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ml.chartshapes+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ml.chartshapes+xml"/>
  <Override PartName="/xl/drawings/drawing10.xml" ContentType="application/vnd.openxmlformats-officedocument.drawing+xml"/>
  <Override PartName="/xl/ctrlProps/ctrlProp23.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harts/chart7.xml" ContentType="application/vnd.openxmlformats-officedocument.drawingml.chart+xml"/>
  <Override PartName="/xl/drawings/drawing14.xml" ContentType="application/vnd.openxmlformats-officedocument.drawing+xml"/>
  <Override PartName="/xl/charts/chart8.xml" ContentType="application/vnd.openxmlformats-officedocument.drawingml.chart+xml"/>
  <Override PartName="/xl/drawings/drawing15.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16.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drawings/drawing17.xml" ContentType="application/vnd.openxmlformats-officedocument.drawing+xml"/>
  <Override PartName="/xl/drawings/drawing18.xml" ContentType="application/vnd.openxmlformats-officedocument.drawing+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01" codeName="{4D1C537B-E38A-612A-F078-A93A15B4B7F4}"/>
  <workbookPr codeName="ThisWorkbook" autoCompressPictures="0"/>
  <mc:AlternateContent xmlns:mc="http://schemas.openxmlformats.org/markup-compatibility/2006">
    <mc:Choice Requires="x15">
      <x15ac:absPath xmlns:x15ac="http://schemas.microsoft.com/office/spreadsheetml/2010/11/ac" url="D:\2020.9-12\Website\"/>
    </mc:Choice>
  </mc:AlternateContent>
  <xr:revisionPtr revIDLastSave="0" documentId="13_ncr:1_{6AE26CF0-7540-4699-9161-D67F1E39A98C}" xr6:coauthVersionLast="46" xr6:coauthVersionMax="46" xr10:uidLastSave="{00000000-0000-0000-0000-000000000000}"/>
  <bookViews>
    <workbookView xWindow="-120" yWindow="-120" windowWidth="29040" windowHeight="15840" tabRatio="929" activeTab="2" xr2:uid="{00000000-000D-0000-FFFF-FFFF00000000}"/>
  </bookViews>
  <sheets>
    <sheet name="Overview" sheetId="60" r:id="rId1"/>
    <sheet name="Changelog" sheetId="100" r:id="rId2"/>
    <sheet name="Main Input &amp; Output" sheetId="53" r:id="rId3"/>
    <sheet name="TempSheet" sheetId="96" state="veryHidden" r:id="rId4"/>
    <sheet name="Expert Input" sheetId="73" r:id="rId5"/>
    <sheet name="Results Single Assay" sheetId="68" r:id="rId6"/>
    <sheet name="Results All Assays" sheetId="52" r:id="rId7"/>
    <sheet name="CokingRefinery Detailed Results" sheetId="54" r:id="rId8"/>
    <sheet name="HydroRefinery Detailed Results" sheetId="56" r:id="rId9"/>
    <sheet name="CokingRefineryPFD" sheetId="8" r:id="rId10"/>
    <sheet name="CokingRefineryCalcs" sheetId="38" r:id="rId11"/>
    <sheet name="CokingRefineryAllocation" sheetId="97" state="hidden" r:id="rId12"/>
    <sheet name="CAtemp" sheetId="99" state="hidden" r:id="rId13"/>
    <sheet name="HydroRefineryPFD " sheetId="58" r:id="rId14"/>
    <sheet name="HydroRefineryCalcs" sheetId="41" r:id="rId15"/>
    <sheet name="CokingRefineryControls" sheetId="74" r:id="rId16"/>
    <sheet name="HydroRefineryControls" sheetId="75" r:id="rId17"/>
    <sheet name="Constants" sheetId="55" r:id="rId18"/>
    <sheet name="Energy &amp; Unit Conversions" sheetId="48" r:id="rId19"/>
    <sheet name="Process Correlations" sheetId="65" r:id="rId20"/>
    <sheet name="Emission Factors" sheetId="47" r:id="rId21"/>
    <sheet name="Assay Inventory" sheetId="13" r:id="rId22"/>
  </sheets>
  <externalReferences>
    <externalReference r:id="rId23"/>
  </externalReferences>
  <definedNames>
    <definedName name="activeFloat">'Expert Input'!$E$103</definedName>
    <definedName name="allocationMethod">CokingRefineryPFD!$E$20</definedName>
    <definedName name="cap_factor">[1]Input_Sheet_Template!$C$21</definedName>
    <definedName name="Coker_HT_Inlet_Flow">CokingRefineryCalcs!$E$920</definedName>
    <definedName name="Coker_HT_Input_H">CokingRefineryCalcs!$E$927</definedName>
    <definedName name="Coker_HT_Output_H">CokingRefineryCalcs!$F$927</definedName>
    <definedName name="CokerrefineryPFD">'Main Input &amp; Output'!$E$60</definedName>
    <definedName name="CokingRefineryConfig">CokingRefineryPFD!$E$8</definedName>
    <definedName name="Diesel_HT_Input_H">CokingRefineryCalcs!$G$321</definedName>
    <definedName name="Diesel_HT_Output_H">CokingRefineryCalcs!$D$327</definedName>
    <definedName name="dynamicOffset">'Assay Inventory'!$T$5</definedName>
    <definedName name="FCC_HT_Inlet_Flow">CokingRefineryCalcs!$J$644</definedName>
    <definedName name="FCC_HT_Input_H">CokingRefineryCalcs!$I$651</definedName>
    <definedName name="FCC_HT_Output_H">CokingRefineryCalcs!$J$651</definedName>
    <definedName name="Feed_CO2_MTpY">[1]Results!$D$86</definedName>
    <definedName name="HCR_Diesel_HT_Input_H">HydroRefineryCalcs!$H$318</definedName>
    <definedName name="HCR_Diesel_HT_Output_H">HydroRefineryCalcs!$D$324</definedName>
    <definedName name="HCR_FCC_HT_Inlet_Flow">HydroRefineryCalcs!$J$620</definedName>
    <definedName name="HCR_FCC_HT_Input_H">HydroRefineryCalcs!$I$627</definedName>
    <definedName name="HCR_FCC_HT_Output_H">HydroRefineryCalcs!$J$627</definedName>
    <definedName name="HCR_HCNaphtha_HT_Inlet_Flow">HydroRefineryCalcs!$E$979</definedName>
    <definedName name="HCR_HCNaphtha_HT_Input_H">HydroRefineryCalcs!$E$986</definedName>
    <definedName name="HCR_HCNaphtha_HT_Output_H">HydroRefineryCalcs!$F$986</definedName>
    <definedName name="HCR_Kero_HT_Input_H">HydroRefineryCalcs!$E$254</definedName>
    <definedName name="HCR_Kero_HT_Output_H">HydroRefineryCalcs!$G$254</definedName>
    <definedName name="HCR_Naphtha_HT_Input_H">HydroRefineryCalcs!$F$124</definedName>
    <definedName name="HCR_Naphtha_HT_Output_H">HydroRefineryCalcs!$H$124</definedName>
    <definedName name="HCR_Total_Refinery_GHG">'Results Single Assay'!$D$191</definedName>
    <definedName name="heatingValue">'Energy &amp; Unit Conversions'!$E$10</definedName>
    <definedName name="Hydro_Alkylation_Unit">HydroRefineryCalcs!$C$777</definedName>
    <definedName name="Hydro_Atmospheric_tower">HydroRefineryCalcs!$C$43</definedName>
    <definedName name="Hydro_Atmospheric_Tower_Furnace">HydroRefineryCalcs!$C$21</definedName>
    <definedName name="Hydro_Desalter">HydroRefineryCalcs!$C$5</definedName>
    <definedName name="Hydro_Diesel_Hydrotreater_and_Blending">HydroRefineryCalcs!$C$307</definedName>
    <definedName name="Hydro_FCC_Feed_Hydrotreater">HydroRefineryCalcs!$C$616</definedName>
    <definedName name="Hydro_Fluid_Catalytic_Cracking">HydroRefineryCalcs!$C$667</definedName>
    <definedName name="Hydro_Fluid_Catalytic_Cracking_Main_Fractionator">HydroRefineryCalcs!$C$721</definedName>
    <definedName name="Hydro_Fuel_Gas_treatment__Sulfur_Recovery_and_Pollution_control">HydroRefineryCalcs!$C$1033</definedName>
    <definedName name="Hydro_Gas_Oil_Hydrocracker">HydroRefineryCalcs!$C$355</definedName>
    <definedName name="Hydro_Gas_Oil_Hydrocracker_Fractionator">HydroRefineryCalcs!$C$441</definedName>
    <definedName name="Hydro_Gasoline_Blending">HydroRefineryCalcs!$C$1019</definedName>
    <definedName name="Hydro_HC_Naphtha_Hydrotreater">HydroRefineryCalcs!$C$975</definedName>
    <definedName name="Hydro_Isomerisation_Unit">HydroRefineryCalcs!$C$158</definedName>
    <definedName name="Hydro_Kero_Hydrotreater">HydroRefineryCalcs!$C$243</definedName>
    <definedName name="Hydro_Kero_Merox_Unit">HydroRefineryCalcs!$C$287</definedName>
    <definedName name="Hydro_Naphtha_Hydrotreater">HydroRefineryCalcs!$C$113</definedName>
    <definedName name="Hydro_Reformer">HydroRefineryCalcs!$C$184</definedName>
    <definedName name="Hydro_Resid_Hydrocracker">HydroRefineryCalcs!$C$822</definedName>
    <definedName name="Hydro_Resid_Hydrocracker_Fractionator">HydroRefineryCalcs!$C$903</definedName>
    <definedName name="Hydro_Resid_Hydrocracker_Furnace">HydroRefineryCalcs!$C$800</definedName>
    <definedName name="Hydro_Steam_Generation">HydroRefineryCalcs!$C$1089</definedName>
    <definedName name="Hydro_Steam_Methane_Reformer">HydroRefineryCalcs!$C$1105</definedName>
    <definedName name="Hydro_Vacuum_tower">HydroRefineryCalcs!$C$511</definedName>
    <definedName name="Hydro_Vacuum_tower_furnace">HydroRefineryCalcs!$C$490</definedName>
    <definedName name="HydroRefineryConfig">'HydroRefineryPFD '!$E$9</definedName>
    <definedName name="HydrorefineryPFD">'Main Input &amp; Output'!$F$60</definedName>
    <definedName name="Kero_HT_Input_H">CokingRefineryCalcs!$E$263</definedName>
    <definedName name="Kero_HT_Output_H">CokingRefineryCalcs!$G$263</definedName>
    <definedName name="Naphtha_HT_Input_H">CokingRefineryCalcs!$F$135</definedName>
    <definedName name="Naphtha_HT_Output_H">CokingRefineryCalcs!$H$135</definedName>
    <definedName name="output_kgyear">[1]Input_Sheet_Template!$C$24</definedName>
    <definedName name="_xlnm.Print_Area" localSheetId="4">'Expert Input'!$C$5:$N$20</definedName>
    <definedName name="_xlnm.Print_Area" localSheetId="13">'HydroRefineryPFD '!$A$5:$EE$332</definedName>
    <definedName name="_xlnm.Print_Area" localSheetId="2">'Main Input &amp; Output'!$A$1:$Y$83</definedName>
    <definedName name="_xlnm.Print_Area" localSheetId="0">Overview!$A$1:$L$138</definedName>
    <definedName name="_xlnm.Print_Area" localSheetId="5">'Results Single Assay'!$B$4:$D$235</definedName>
    <definedName name="reformerFeedstockActive">CokingRefineryPFD!$E$27</definedName>
    <definedName name="selectedCrude">'Assay Inventory'!$T$11</definedName>
    <definedName name="solver_adj" localSheetId="21" hidden="1">'Assay Inventory'!#REF!</definedName>
    <definedName name="solver_adj" localSheetId="10" hidden="1">CokingRefineryCalcs!$D$570:$D$572,CokingRefineryCalcs!$D$576:$D$577,CokingRefineryCalcs!$D$570:$D$572,CokingRefineryCalcs!$D$576:$D$577</definedName>
    <definedName name="solver_adj" localSheetId="4" hidden="1">'Expert Input'!$C$5:$C$62</definedName>
    <definedName name="solver_adj" localSheetId="14" hidden="1">HydroRefineryCalcs!$D$885:$D$889</definedName>
    <definedName name="solver_adj" localSheetId="16" hidden="1">HydroRefineryControls!$C$6:$C$35</definedName>
    <definedName name="solver_adj" localSheetId="2" hidden="1">'Main Input &amp; Output'!$C$18:$C$51</definedName>
    <definedName name="solver_adj" localSheetId="5" hidden="1">'Results Single Assay'!#REF!</definedName>
    <definedName name="solver_cvg" localSheetId="21" hidden="1">0.0001</definedName>
    <definedName name="solver_cvg" localSheetId="10" hidden="1">0.0001</definedName>
    <definedName name="solver_cvg" localSheetId="15" hidden="1">0.0001</definedName>
    <definedName name="solver_cvg" localSheetId="14" hidden="1">0.0001</definedName>
    <definedName name="solver_cvg" localSheetId="16" hidden="1">0.0001</definedName>
    <definedName name="solver_drv" localSheetId="21" hidden="1">1</definedName>
    <definedName name="solver_drv" localSheetId="10" hidden="1">1</definedName>
    <definedName name="solver_drv" localSheetId="15" hidden="1">1</definedName>
    <definedName name="solver_drv" localSheetId="14" hidden="1">1</definedName>
    <definedName name="solver_drv" localSheetId="16" hidden="1">1</definedName>
    <definedName name="solver_eng" localSheetId="15" hidden="1">1</definedName>
    <definedName name="solver_eng" localSheetId="16" hidden="1">1</definedName>
    <definedName name="solver_est" localSheetId="21" hidden="1">1</definedName>
    <definedName name="solver_est" localSheetId="10" hidden="1">1</definedName>
    <definedName name="solver_est" localSheetId="15" hidden="1">1</definedName>
    <definedName name="solver_est" localSheetId="14" hidden="1">1</definedName>
    <definedName name="solver_est" localSheetId="16" hidden="1">1</definedName>
    <definedName name="solver_itr" localSheetId="21" hidden="1">100</definedName>
    <definedName name="solver_itr" localSheetId="10" hidden="1">100</definedName>
    <definedName name="solver_itr" localSheetId="15" hidden="1">100</definedName>
    <definedName name="solver_itr" localSheetId="14" hidden="1">100</definedName>
    <definedName name="solver_itr" localSheetId="16" hidden="1">100</definedName>
    <definedName name="solver_lhs1" localSheetId="10" hidden="1">CokingRefineryCalcs!$D$91</definedName>
    <definedName name="solver_lhs1" localSheetId="15" hidden="1">CokingRefineryControls!$C$6:$C$33</definedName>
    <definedName name="solver_lhs1" localSheetId="14" hidden="1">HydroRefineryCalcs!$D$80</definedName>
    <definedName name="solver_lhs1" localSheetId="16" hidden="1">HydroRefineryControls!$C$6:$C$35</definedName>
    <definedName name="solver_lhs10" localSheetId="15" hidden="1">CokingRefineryControls!$C$6:$C$37</definedName>
    <definedName name="solver_lhs11" localSheetId="15" hidden="1">CokingRefineryControls!$C$6:$C$37</definedName>
    <definedName name="solver_lhs12" localSheetId="15" hidden="1">CokingRefineryControls!$C$6:$C$37</definedName>
    <definedName name="solver_lhs13" localSheetId="15" hidden="1">CokingRefineryControls!$C$6:$C$37</definedName>
    <definedName name="solver_lhs14" localSheetId="15" hidden="1">CokingRefineryControls!$C$6:$C$37</definedName>
    <definedName name="solver_lhs15" localSheetId="15" hidden="1">CokingRefineryControls!$C$6:$C$37</definedName>
    <definedName name="solver_lhs16" localSheetId="15" hidden="1">CokingRefineryControls!$C$6:$C$37</definedName>
    <definedName name="solver_lhs17" localSheetId="15" hidden="1">CokingRefineryControls!$C$6:$C$37</definedName>
    <definedName name="solver_lhs18" localSheetId="15" hidden="1">CokingRefineryControls!$C$41:$C$42</definedName>
    <definedName name="solver_lhs19" localSheetId="15" hidden="1">CokingRefineryControls!$C$41:$C$42</definedName>
    <definedName name="solver_lhs2" localSheetId="10" hidden="1">CokingRefineryCalcs!$D$572</definedName>
    <definedName name="solver_lhs2" localSheetId="15" hidden="1">CokingRefineryControls!$C$6:$C$33</definedName>
    <definedName name="solver_lhs2" localSheetId="14" hidden="1">HydroRefineryCalcs!$D$80</definedName>
    <definedName name="solver_lhs2" localSheetId="16" hidden="1">HydroRefineryControls!$C$6:$C$35</definedName>
    <definedName name="solver_lhs20" localSheetId="15" hidden="1">CokingRefineryControls!$C$41:$C$42</definedName>
    <definedName name="solver_lhs21" localSheetId="15" hidden="1">CokingRefineryControls!$C$41:$C$42</definedName>
    <definedName name="solver_lhs22" localSheetId="15" hidden="1">CokingRefineryControls!$C$41:$C$42</definedName>
    <definedName name="solver_lhs23" localSheetId="15" hidden="1">CokingRefineryControls!$C$41:$C$42</definedName>
    <definedName name="solver_lhs24" localSheetId="15" hidden="1">CokingRefineryControls!$C$41:$C$42</definedName>
    <definedName name="solver_lhs25" localSheetId="15" hidden="1">CokingRefineryControls!$C$41:$C$42</definedName>
    <definedName name="solver_lhs26" localSheetId="15" hidden="1">CokingRefineryControls!$C$41:$C$42</definedName>
    <definedName name="solver_lhs27" localSheetId="15" hidden="1">CokingRefineryControls!$C$41:$C$42</definedName>
    <definedName name="solver_lhs28" localSheetId="15" hidden="1">CokingRefineryControls!$C$41:$C$42</definedName>
    <definedName name="solver_lhs29" localSheetId="15" hidden="1">CokingRefineryControls!$C$41:$C$42</definedName>
    <definedName name="solver_lhs3" localSheetId="10" hidden="1">CokingRefineryCalcs!$D$89</definedName>
    <definedName name="solver_lhs3" localSheetId="15" hidden="1">CokingRefineryControls!$D$71:$D$77</definedName>
    <definedName name="solver_lhs3" localSheetId="14" hidden="1">HydroRefineryCalcs!$D$79</definedName>
    <definedName name="solver_lhs3" localSheetId="16" hidden="1">HydroRefineryControls!$C$6:$C$35</definedName>
    <definedName name="solver_lhs30" localSheetId="15" hidden="1">CokingRefineryControls!$C$41:$C$42</definedName>
    <definedName name="solver_lhs31" localSheetId="15" hidden="1">CokingRefineryControls!$C$41:$C$42</definedName>
    <definedName name="solver_lhs32" localSheetId="15" hidden="1">CokingRefineryControls!$C$41:$C$42</definedName>
    <definedName name="solver_lhs33" localSheetId="15" hidden="1">CokingRefineryControls!$C$41:$C$42</definedName>
    <definedName name="solver_lhs34" localSheetId="15" hidden="1">CokingRefineryControls!$C$41:$C$42</definedName>
    <definedName name="solver_lhs35" localSheetId="15" hidden="1">CokingRefineryControls!$C$41:$C$42</definedName>
    <definedName name="solver_lhs36" localSheetId="15" hidden="1">CokingRefineryControls!$C$41:$C$42</definedName>
    <definedName name="solver_lhs37" localSheetId="15" hidden="1">CokingRefineryControls!$C$41:$C$42</definedName>
    <definedName name="solver_lhs38" localSheetId="15" hidden="1">CokingRefineryControls!$C$41:$C$42</definedName>
    <definedName name="solver_lhs39" localSheetId="15" hidden="1">CokingRefineryControls!$C$41:$C$42</definedName>
    <definedName name="solver_lhs4" localSheetId="10" hidden="1">CokingRefineryCalcs!$D$90</definedName>
    <definedName name="solver_lhs4" localSheetId="15" hidden="1">CokingRefineryControls!$C$6:$C$37</definedName>
    <definedName name="solver_lhs4" localSheetId="14" hidden="1">HydroRefineryCalcs!$D$77</definedName>
    <definedName name="solver_lhs4" localSheetId="16" hidden="1">HydroRefineryControls!$C$6:$C$35</definedName>
    <definedName name="solver_lhs40" localSheetId="15" hidden="1">CokingRefineryControls!$C$41:$C$42</definedName>
    <definedName name="solver_lhs41" localSheetId="15" hidden="1">CokingRefineryControls!$C$41:$C$42</definedName>
    <definedName name="solver_lhs42" localSheetId="15" hidden="1">CokingRefineryControls!$C$41:$C$42</definedName>
    <definedName name="solver_lhs43" localSheetId="15" hidden="1">CokingRefineryControls!$C$41:$C$42</definedName>
    <definedName name="solver_lhs44" localSheetId="15" hidden="1">CokingRefineryControls!$C$41:$C$42</definedName>
    <definedName name="solver_lhs45" localSheetId="15" hidden="1">CokingRefineryControls!$C$41:$C$42</definedName>
    <definedName name="solver_lhs46" localSheetId="15" hidden="1">CokingRefineryControls!$C$41:$C$42</definedName>
    <definedName name="solver_lhs47" localSheetId="15" hidden="1">CokingRefineryControls!$C$41:$C$42</definedName>
    <definedName name="solver_lhs48" localSheetId="15" hidden="1">CokingRefineryControls!$C$41:$C$42</definedName>
    <definedName name="solver_lhs49" localSheetId="15" hidden="1">CokingRefineryControls!$C$41:$C$42</definedName>
    <definedName name="solver_lhs5" localSheetId="10" hidden="1">CokingRefineryCalcs!$D$92</definedName>
    <definedName name="solver_lhs5" localSheetId="15" hidden="1">CokingRefineryControls!$C$6:$C$37</definedName>
    <definedName name="solver_lhs5" localSheetId="14" hidden="1">HydroRefineryCalcs!$D$79</definedName>
    <definedName name="solver_lhs5" localSheetId="16" hidden="1">HydroRefineryControls!$C$46:$C$47</definedName>
    <definedName name="solver_lhs50" localSheetId="15" hidden="1">CokingRefineryControls!$C$41:$C$42</definedName>
    <definedName name="solver_lhs51" localSheetId="15" hidden="1">CokingRefineryControls!$C$41:$C$42</definedName>
    <definedName name="solver_lhs52" localSheetId="15" hidden="1">CokingRefineryControls!$C$41:$C$42</definedName>
    <definedName name="solver_lhs53" localSheetId="15" hidden="1">CokingRefineryControls!$C$41:$C$42</definedName>
    <definedName name="solver_lhs54" localSheetId="15" hidden="1">CokingRefineryControls!$C$41:$C$42</definedName>
    <definedName name="solver_lhs55" localSheetId="15" hidden="1">CokingRefineryControls!$C$41:$C$42</definedName>
    <definedName name="solver_lhs56" localSheetId="15" hidden="1">CokingRefineryControls!$C$41:$C$42</definedName>
    <definedName name="solver_lhs57" localSheetId="15" hidden="1">CokingRefineryControls!$C$41:$C$42</definedName>
    <definedName name="solver_lhs58" localSheetId="15" hidden="1">CokingRefineryControls!$C$41:$C$42</definedName>
    <definedName name="solver_lhs59" localSheetId="15" hidden="1">CokingRefineryControls!$C$41:$C$42</definedName>
    <definedName name="solver_lhs6" localSheetId="10" hidden="1">CokingRefineryCalcs!$D$571</definedName>
    <definedName name="solver_lhs6" localSheetId="15" hidden="1">CokingRefineryControls!$C$6:$C$37</definedName>
    <definedName name="solver_lhs6" localSheetId="14" hidden="1">HydroRefineryCalcs!$D$80</definedName>
    <definedName name="solver_lhs6" localSheetId="16" hidden="1">HydroRefineryControls!$C$46:$C$47</definedName>
    <definedName name="solver_lhs60" localSheetId="15" hidden="1">CokingRefineryControls!$C$41:$C$42</definedName>
    <definedName name="solver_lhs7" localSheetId="10" hidden="1">CokingRefineryCalcs!$D$570</definedName>
    <definedName name="solver_lhs7" localSheetId="15" hidden="1">CokingRefineryControls!$C$6:$C$37</definedName>
    <definedName name="solver_lhs7" localSheetId="14" hidden="1">HydroRefineryCalcs!$D$80</definedName>
    <definedName name="solver_lhs7" localSheetId="16" hidden="1">HydroRefineryControls!$C$6:$C$35</definedName>
    <definedName name="solver_lhs8" localSheetId="10" hidden="1">CokingRefineryCalcs!#REF!</definedName>
    <definedName name="solver_lhs8" localSheetId="15" hidden="1">CokingRefineryControls!$C$6:$C$37</definedName>
    <definedName name="solver_lhs8" localSheetId="14" hidden="1">HydroRefineryCalcs!$D$80</definedName>
    <definedName name="solver_lhs8" localSheetId="16" hidden="1">HydroRefineryControls!$C$6:$C$35</definedName>
    <definedName name="solver_lhs9" localSheetId="15" hidden="1">CokingRefineryControls!$C$6:$C$37</definedName>
    <definedName name="solver_lin" localSheetId="21" hidden="1">2</definedName>
    <definedName name="solver_lin" localSheetId="10" hidden="1">2</definedName>
    <definedName name="solver_lin" localSheetId="15" hidden="1">2</definedName>
    <definedName name="solver_lin" localSheetId="14" hidden="1">2</definedName>
    <definedName name="solver_lin" localSheetId="16" hidden="1">2</definedName>
    <definedName name="solver_mip" localSheetId="15" hidden="1">2147483647</definedName>
    <definedName name="solver_mip" localSheetId="16" hidden="1">2147483647</definedName>
    <definedName name="solver_mni" localSheetId="15" hidden="1">30</definedName>
    <definedName name="solver_mni" localSheetId="16" hidden="1">30</definedName>
    <definedName name="solver_mrt" localSheetId="15" hidden="1">0.075</definedName>
    <definedName name="solver_mrt" localSheetId="16" hidden="1">0.075</definedName>
    <definedName name="solver_msl" localSheetId="15" hidden="1">2</definedName>
    <definedName name="solver_msl" localSheetId="16" hidden="1">2</definedName>
    <definedName name="solver_neg" localSheetId="21" hidden="1">2</definedName>
    <definedName name="solver_neg" localSheetId="10" hidden="1">2</definedName>
    <definedName name="solver_neg" localSheetId="15" hidden="1">1</definedName>
    <definedName name="solver_neg" localSheetId="14" hidden="1">2</definedName>
    <definedName name="solver_neg" localSheetId="16" hidden="1">1</definedName>
    <definedName name="solver_nod" localSheetId="15" hidden="1">2147483647</definedName>
    <definedName name="solver_nod" localSheetId="16" hidden="1">2147483647</definedName>
    <definedName name="solver_num" localSheetId="21" hidden="1">0</definedName>
    <definedName name="solver_num" localSheetId="10" hidden="1">8</definedName>
    <definedName name="solver_num" localSheetId="15" hidden="1">0</definedName>
    <definedName name="solver_num" localSheetId="14" hidden="1">0</definedName>
    <definedName name="solver_num" localSheetId="16" hidden="1">2</definedName>
    <definedName name="solver_nwt" localSheetId="21" hidden="1">1</definedName>
    <definedName name="solver_nwt" localSheetId="10" hidden="1">1</definedName>
    <definedName name="solver_nwt" localSheetId="15" hidden="1">1</definedName>
    <definedName name="solver_nwt" localSheetId="14" hidden="1">1</definedName>
    <definedName name="solver_nwt" localSheetId="16" hidden="1">1</definedName>
    <definedName name="solver_opt" localSheetId="21" hidden="1">'Assay Inventory'!$Q$204</definedName>
    <definedName name="solver_opt" localSheetId="10" hidden="1">CokingRefineryCalcs!$N$515</definedName>
    <definedName name="solver_opt" localSheetId="4" hidden="1">'Expert Input'!#REF!</definedName>
    <definedName name="solver_opt" localSheetId="14" hidden="1">HydroRefineryCalcs!$L$828</definedName>
    <definedName name="solver_opt" localSheetId="16" hidden="1">HydroRefineryControls!$D$75</definedName>
    <definedName name="solver_opt" localSheetId="2" hidden="1">'Main Input &amp; Output'!#REF!</definedName>
    <definedName name="solver_opt" localSheetId="5" hidden="1">'Results Single Assay'!#REF!</definedName>
    <definedName name="solver_pre" localSheetId="21" hidden="1">0.000001</definedName>
    <definedName name="solver_pre" localSheetId="10" hidden="1">0.000001</definedName>
    <definedName name="solver_pre" localSheetId="15" hidden="1">0.000001</definedName>
    <definedName name="solver_pre" localSheetId="14" hidden="1">0.000001</definedName>
    <definedName name="solver_pre" localSheetId="16" hidden="1">0.000001</definedName>
    <definedName name="solver_rbv" localSheetId="15" hidden="1">1</definedName>
    <definedName name="solver_rbv" localSheetId="16" hidden="1">1</definedName>
    <definedName name="solver_rel1" localSheetId="10" hidden="1">1</definedName>
    <definedName name="solver_rel1" localSheetId="15" hidden="1">1</definedName>
    <definedName name="solver_rel1" localSheetId="14" hidden="1">1</definedName>
    <definedName name="solver_rel1" localSheetId="16" hidden="1">1</definedName>
    <definedName name="solver_rel10" localSheetId="15" hidden="1">1</definedName>
    <definedName name="solver_rel11" localSheetId="15" hidden="1">1</definedName>
    <definedName name="solver_rel12" localSheetId="15" hidden="1">1</definedName>
    <definedName name="solver_rel13" localSheetId="15" hidden="1">1</definedName>
    <definedName name="solver_rel14" localSheetId="15" hidden="1">1</definedName>
    <definedName name="solver_rel15" localSheetId="15" hidden="1">1</definedName>
    <definedName name="solver_rel16" localSheetId="15" hidden="1">1</definedName>
    <definedName name="solver_rel17" localSheetId="15" hidden="1">1</definedName>
    <definedName name="solver_rel18" localSheetId="15" hidden="1">1</definedName>
    <definedName name="solver_rel19" localSheetId="15" hidden="1">1</definedName>
    <definedName name="solver_rel2" localSheetId="10" hidden="1">1</definedName>
    <definedName name="solver_rel2" localSheetId="15" hidden="1">3</definedName>
    <definedName name="solver_rel2" localSheetId="14" hidden="1">1</definedName>
    <definedName name="solver_rel2" localSheetId="16" hidden="1">3</definedName>
    <definedName name="solver_rel20" localSheetId="15" hidden="1">3</definedName>
    <definedName name="solver_rel21" localSheetId="15" hidden="1">3</definedName>
    <definedName name="solver_rel22" localSheetId="15" hidden="1">3</definedName>
    <definedName name="solver_rel23" localSheetId="15" hidden="1">3</definedName>
    <definedName name="solver_rel24" localSheetId="15" hidden="1">3</definedName>
    <definedName name="solver_rel25" localSheetId="15" hidden="1">3</definedName>
    <definedName name="solver_rel26" localSheetId="15" hidden="1">3</definedName>
    <definedName name="solver_rel27" localSheetId="15" hidden="1">3</definedName>
    <definedName name="solver_rel28" localSheetId="15" hidden="1">3</definedName>
    <definedName name="solver_rel29" localSheetId="15" hidden="1">3</definedName>
    <definedName name="solver_rel3" localSheetId="10" hidden="1">1</definedName>
    <definedName name="solver_rel3" localSheetId="15" hidden="1">3</definedName>
    <definedName name="solver_rel3" localSheetId="14" hidden="1">1</definedName>
    <definedName name="solver_rel3" localSheetId="16" hidden="1">1</definedName>
    <definedName name="solver_rel30" localSheetId="15" hidden="1">3</definedName>
    <definedName name="solver_rel31" localSheetId="15" hidden="1">3</definedName>
    <definedName name="solver_rel32" localSheetId="15" hidden="1">3</definedName>
    <definedName name="solver_rel33" localSheetId="15" hidden="1">3</definedName>
    <definedName name="solver_rel34" localSheetId="15" hidden="1">3</definedName>
    <definedName name="solver_rel35" localSheetId="15" hidden="1">1</definedName>
    <definedName name="solver_rel36" localSheetId="15" hidden="1">1</definedName>
    <definedName name="solver_rel37" localSheetId="15" hidden="1">1</definedName>
    <definedName name="solver_rel38" localSheetId="15" hidden="1">1</definedName>
    <definedName name="solver_rel39" localSheetId="15" hidden="1">1</definedName>
    <definedName name="solver_rel4" localSheetId="10" hidden="1">1</definedName>
    <definedName name="solver_rel4" localSheetId="15" hidden="1">3</definedName>
    <definedName name="solver_rel4" localSheetId="14" hidden="1">1</definedName>
    <definedName name="solver_rel4" localSheetId="16" hidden="1">3</definedName>
    <definedName name="solver_rel40" localSheetId="15" hidden="1">1</definedName>
    <definedName name="solver_rel41" localSheetId="15" hidden="1">1</definedName>
    <definedName name="solver_rel42" localSheetId="15" hidden="1">1</definedName>
    <definedName name="solver_rel43" localSheetId="15" hidden="1">1</definedName>
    <definedName name="solver_rel44" localSheetId="15" hidden="1">1</definedName>
    <definedName name="solver_rel45" localSheetId="15" hidden="1">1</definedName>
    <definedName name="solver_rel46" localSheetId="15" hidden="1">1</definedName>
    <definedName name="solver_rel47" localSheetId="15" hidden="1">1</definedName>
    <definedName name="solver_rel48" localSheetId="15" hidden="1">1</definedName>
    <definedName name="solver_rel49" localSheetId="15" hidden="1">1</definedName>
    <definedName name="solver_rel5" localSheetId="10" hidden="1">1</definedName>
    <definedName name="solver_rel5" localSheetId="15" hidden="1">1</definedName>
    <definedName name="solver_rel5" localSheetId="14" hidden="1">1</definedName>
    <definedName name="solver_rel5" localSheetId="16" hidden="1">3</definedName>
    <definedName name="solver_rel50" localSheetId="15" hidden="1">1</definedName>
    <definedName name="solver_rel51" localSheetId="15" hidden="1">1</definedName>
    <definedName name="solver_rel52" localSheetId="15" hidden="1">1</definedName>
    <definedName name="solver_rel53" localSheetId="15" hidden="1">1</definedName>
    <definedName name="solver_rel54" localSheetId="15" hidden="1">1</definedName>
    <definedName name="solver_rel55" localSheetId="15" hidden="1">1</definedName>
    <definedName name="solver_rel56" localSheetId="15" hidden="1">1</definedName>
    <definedName name="solver_rel57" localSheetId="15" hidden="1">1</definedName>
    <definedName name="solver_rel58" localSheetId="15" hidden="1">1</definedName>
    <definedName name="solver_rel59" localSheetId="15" hidden="1">1</definedName>
    <definedName name="solver_rel6" localSheetId="10" hidden="1">1</definedName>
    <definedName name="solver_rel6" localSheetId="15" hidden="1">3</definedName>
    <definedName name="solver_rel6" localSheetId="14" hidden="1">1</definedName>
    <definedName name="solver_rel6" localSheetId="16" hidden="1">1</definedName>
    <definedName name="solver_rel60" localSheetId="15" hidden="1">1</definedName>
    <definedName name="solver_rel7" localSheetId="10" hidden="1">1</definedName>
    <definedName name="solver_rel7" localSheetId="15" hidden="1">1</definedName>
    <definedName name="solver_rel7" localSheetId="14" hidden="1">1</definedName>
    <definedName name="solver_rel7" localSheetId="16" hidden="1">1</definedName>
    <definedName name="solver_rel8" localSheetId="10" hidden="1">1</definedName>
    <definedName name="solver_rel8" localSheetId="15" hidden="1">3</definedName>
    <definedName name="solver_rel8" localSheetId="14" hidden="1">1</definedName>
    <definedName name="solver_rel8" localSheetId="16" hidden="1">3</definedName>
    <definedName name="solver_rel9" localSheetId="15" hidden="1">1</definedName>
    <definedName name="solver_rhs1" localSheetId="10" hidden="1">10</definedName>
    <definedName name="solver_rhs1" localSheetId="15" hidden="1">CokingRefineryControls!$G$6:$G$33</definedName>
    <definedName name="solver_rhs1" localSheetId="14" hidden="1">10</definedName>
    <definedName name="solver_rhs1" localSheetId="16" hidden="1">HydroRefineryControls!$G$6:$G$35</definedName>
    <definedName name="solver_rhs10" localSheetId="15" hidden="1">CokingRefineryControls!$G$6:$G$37</definedName>
    <definedName name="solver_rhs11" localSheetId="15" hidden="1">CokingRefineryControls!$G$6:$G$37</definedName>
    <definedName name="solver_rhs12" localSheetId="15" hidden="1">CokingRefineryControls!$G$6:$G$37</definedName>
    <definedName name="solver_rhs13" localSheetId="15" hidden="1">CokingRefineryControls!$G$6:$G$37</definedName>
    <definedName name="solver_rhs14" localSheetId="15" hidden="1">CokingRefineryControls!$G$6:$G$37</definedName>
    <definedName name="solver_rhs15" localSheetId="15" hidden="1">CokingRefineryControls!$G$6:$G$37</definedName>
    <definedName name="solver_rhs16" localSheetId="15" hidden="1">CokingRefineryControls!$G$6:$G$37</definedName>
    <definedName name="solver_rhs17" localSheetId="15" hidden="1">CokingRefineryControls!$G$6:$G$37</definedName>
    <definedName name="solver_rhs18" localSheetId="15" hidden="1">CokingRefineryControls!$G$41:$G$42</definedName>
    <definedName name="solver_rhs19" localSheetId="15" hidden="1">CokingRefineryControls!$G$41:$G$42</definedName>
    <definedName name="solver_rhs2" localSheetId="10" hidden="1">10</definedName>
    <definedName name="solver_rhs2" localSheetId="15" hidden="1">CokingRefineryControls!$F$6:$F$33</definedName>
    <definedName name="solver_rhs2" localSheetId="14" hidden="1">10</definedName>
    <definedName name="solver_rhs2" localSheetId="16" hidden="1">HydroRefineryControls!$F$6:$F$35</definedName>
    <definedName name="solver_rhs20" localSheetId="15" hidden="1">CokingRefineryControls!$F$41:$F$42</definedName>
    <definedName name="solver_rhs21" localSheetId="15" hidden="1">CokingRefineryControls!$F$41:$F$42</definedName>
    <definedName name="solver_rhs22" localSheetId="15" hidden="1">CokingRefineryControls!$F$41:$F$42</definedName>
    <definedName name="solver_rhs23" localSheetId="15" hidden="1">CokingRefineryControls!$F$41:$F$42</definedName>
    <definedName name="solver_rhs24" localSheetId="15" hidden="1">CokingRefineryControls!$F$41:$F$42</definedName>
    <definedName name="solver_rhs25" localSheetId="15" hidden="1">CokingRefineryControls!$F$41:$F$42</definedName>
    <definedName name="solver_rhs26" localSheetId="15" hidden="1">CokingRefineryControls!$F$41:$F$42</definedName>
    <definedName name="solver_rhs27" localSheetId="15" hidden="1">CokingRefineryControls!$F$41:$F$42</definedName>
    <definedName name="solver_rhs28" localSheetId="15" hidden="1">CokingRefineryControls!$F$41:$F$42</definedName>
    <definedName name="solver_rhs29" localSheetId="15" hidden="1">CokingRefineryControls!$F$41:$F$42</definedName>
    <definedName name="solver_rhs3" localSheetId="10" hidden="1">10</definedName>
    <definedName name="solver_rhs3" localSheetId="15" hidden="1">0.001</definedName>
    <definedName name="solver_rhs3" localSheetId="14" hidden="1">10</definedName>
    <definedName name="solver_rhs3" localSheetId="16" hidden="1">HydroRefineryControls!$G$6:$G$35</definedName>
    <definedName name="solver_rhs30" localSheetId="15" hidden="1">CokingRefineryControls!$F$41:$F$42</definedName>
    <definedName name="solver_rhs31" localSheetId="15" hidden="1">CokingRefineryControls!$F$41:$F$42</definedName>
    <definedName name="solver_rhs32" localSheetId="15" hidden="1">CokingRefineryControls!$F$41:$F$42</definedName>
    <definedName name="solver_rhs33" localSheetId="15" hidden="1">CokingRefineryControls!$F$41:$F$42</definedName>
    <definedName name="solver_rhs34" localSheetId="15" hidden="1">CokingRefineryControls!$F$41:$F$42</definedName>
    <definedName name="solver_rhs35" localSheetId="15" hidden="1">CokingRefineryControls!$G$41:$G$42</definedName>
    <definedName name="solver_rhs36" localSheetId="15" hidden="1">CokingRefineryControls!$G$41:$G$42</definedName>
    <definedName name="solver_rhs37" localSheetId="15" hidden="1">CokingRefineryControls!$G$41:$G$42</definedName>
    <definedName name="solver_rhs38" localSheetId="15" hidden="1">CokingRefineryControls!$G$41:$G$42</definedName>
    <definedName name="solver_rhs39" localSheetId="15" hidden="1">CokingRefineryControls!$G$41:$G$42</definedName>
    <definedName name="solver_rhs4" localSheetId="10" hidden="1">10</definedName>
    <definedName name="solver_rhs4" localSheetId="15" hidden="1">CokingRefineryControls!$F$6:$F$37</definedName>
    <definedName name="solver_rhs4" localSheetId="14" hidden="1">10</definedName>
    <definedName name="solver_rhs4" localSheetId="16" hidden="1">HydroRefineryControls!$F$6:$F$35</definedName>
    <definedName name="solver_rhs40" localSheetId="15" hidden="1">CokingRefineryControls!$G$41:$G$42</definedName>
    <definedName name="solver_rhs41" localSheetId="15" hidden="1">CokingRefineryControls!$G$41:$G$42</definedName>
    <definedName name="solver_rhs42" localSheetId="15" hidden="1">CokingRefineryControls!$G$41:$G$42</definedName>
    <definedName name="solver_rhs43" localSheetId="15" hidden="1">CokingRefineryControls!$G$41:$G$42</definedName>
    <definedName name="solver_rhs44" localSheetId="15" hidden="1">CokingRefineryControls!$G$41:$G$42</definedName>
    <definedName name="solver_rhs45" localSheetId="15" hidden="1">CokingRefineryControls!$G$41:$G$42</definedName>
    <definedName name="solver_rhs46" localSheetId="15" hidden="1">CokingRefineryControls!$G$41:$G$42</definedName>
    <definedName name="solver_rhs47" localSheetId="15" hidden="1">CokingRefineryControls!$G$41:$G$42</definedName>
    <definedName name="solver_rhs48" localSheetId="15" hidden="1">CokingRefineryControls!$G$41:$G$42</definedName>
    <definedName name="solver_rhs49" localSheetId="15" hidden="1">CokingRefineryControls!$G$41:$G$42</definedName>
    <definedName name="solver_rhs5" localSheetId="10" hidden="1">10</definedName>
    <definedName name="solver_rhs5" localSheetId="15" hidden="1">CokingRefineryControls!$G$6:$G$37</definedName>
    <definedName name="solver_rhs5" localSheetId="14" hidden="1">10</definedName>
    <definedName name="solver_rhs5" localSheetId="16" hidden="1">HydroRefineryControls!$F$46:$F$47</definedName>
    <definedName name="solver_rhs50" localSheetId="15" hidden="1">CokingRefineryControls!$G$41:$G$42</definedName>
    <definedName name="solver_rhs51" localSheetId="15" hidden="1">CokingRefineryControls!$G$41:$G$42</definedName>
    <definedName name="solver_rhs52" localSheetId="15" hidden="1">CokingRefineryControls!$G$41:$G$42</definedName>
    <definedName name="solver_rhs53" localSheetId="15" hidden="1">CokingRefineryControls!$G$41:$G$42</definedName>
    <definedName name="solver_rhs54" localSheetId="15" hidden="1">CokingRefineryControls!$G$41:$G$42</definedName>
    <definedName name="solver_rhs55" localSheetId="15" hidden="1">CokingRefineryControls!$G$41:$G$42</definedName>
    <definedName name="solver_rhs56" localSheetId="15" hidden="1">CokingRefineryControls!$G$41:$G$42</definedName>
    <definedName name="solver_rhs57" localSheetId="15" hidden="1">CokingRefineryControls!$G$41:$G$42</definedName>
    <definedName name="solver_rhs58" localSheetId="15" hidden="1">CokingRefineryControls!$G$41:$G$42</definedName>
    <definedName name="solver_rhs59" localSheetId="15" hidden="1">CokingRefineryControls!$G$41:$G$42</definedName>
    <definedName name="solver_rhs6" localSheetId="10" hidden="1">10</definedName>
    <definedName name="solver_rhs6" localSheetId="15" hidden="1">CokingRefineryControls!$F$6:$F$37</definedName>
    <definedName name="solver_rhs6" localSheetId="14" hidden="1">10</definedName>
    <definedName name="solver_rhs6" localSheetId="16" hidden="1">HydroRefineryControls!$G$46:$G$47</definedName>
    <definedName name="solver_rhs60" localSheetId="15" hidden="1">CokingRefineryControls!$G$41:$G$42</definedName>
    <definedName name="solver_rhs7" localSheetId="10" hidden="1">10</definedName>
    <definedName name="solver_rhs7" localSheetId="15" hidden="1">CokingRefineryControls!$G$6:$G$37</definedName>
    <definedName name="solver_rhs7" localSheetId="14" hidden="1">10</definedName>
    <definedName name="solver_rhs7" localSheetId="16" hidden="1">HydroRefineryControls!$G$6:$G$35</definedName>
    <definedName name="solver_rhs8" localSheetId="10" hidden="1">10</definedName>
    <definedName name="solver_rhs8" localSheetId="15" hidden="1">CokingRefineryControls!$F$6:$F$37</definedName>
    <definedName name="solver_rhs8" localSheetId="14" hidden="1">10</definedName>
    <definedName name="solver_rhs8" localSheetId="16" hidden="1">HydroRefineryControls!$F$6:$F$35</definedName>
    <definedName name="solver_rhs9" localSheetId="15" hidden="1">CokingRefineryControls!$G$6:$G$37</definedName>
    <definedName name="solver_rlx" localSheetId="15" hidden="1">1</definedName>
    <definedName name="solver_rlx" localSheetId="16" hidden="1">1</definedName>
    <definedName name="solver_rsd" localSheetId="15" hidden="1">0</definedName>
    <definedName name="solver_rsd" localSheetId="16" hidden="1">0</definedName>
    <definedName name="solver_scl" localSheetId="21" hidden="1">2</definedName>
    <definedName name="solver_scl" localSheetId="10" hidden="1">2</definedName>
    <definedName name="solver_scl" localSheetId="15" hidden="1">2</definedName>
    <definedName name="solver_scl" localSheetId="14" hidden="1">2</definedName>
    <definedName name="solver_scl" localSheetId="16" hidden="1">2</definedName>
    <definedName name="solver_sho" localSheetId="21" hidden="1">2</definedName>
    <definedName name="solver_sho" localSheetId="10" hidden="1">2</definedName>
    <definedName name="solver_sho" localSheetId="15" hidden="1">2</definedName>
    <definedName name="solver_sho" localSheetId="14" hidden="1">2</definedName>
    <definedName name="solver_sho" localSheetId="16" hidden="1">2</definedName>
    <definedName name="solver_ssz" localSheetId="15" hidden="1">100</definedName>
    <definedName name="solver_ssz" localSheetId="16" hidden="1">100</definedName>
    <definedName name="solver_tim" localSheetId="21" hidden="1">100</definedName>
    <definedName name="solver_tim" localSheetId="10" hidden="1">100</definedName>
    <definedName name="solver_tim" localSheetId="15" hidden="1">100</definedName>
    <definedName name="solver_tim" localSheetId="14" hidden="1">100</definedName>
    <definedName name="solver_tim" localSheetId="16" hidden="1">100</definedName>
    <definedName name="solver_tol" localSheetId="21" hidden="1">0.05</definedName>
    <definedName name="solver_tol" localSheetId="10" hidden="1">0.05</definedName>
    <definedName name="solver_tol" localSheetId="15" hidden="1">0.05</definedName>
    <definedName name="solver_tol" localSheetId="14" hidden="1">0.05</definedName>
    <definedName name="solver_tol" localSheetId="16" hidden="1">0.05</definedName>
    <definedName name="solver_typ" localSheetId="21" hidden="1">3</definedName>
    <definedName name="solver_typ" localSheetId="10" hidden="1">1</definedName>
    <definedName name="solver_typ" localSheetId="15" hidden="1">1</definedName>
    <definedName name="solver_typ" localSheetId="4" hidden="1">2</definedName>
    <definedName name="solver_typ" localSheetId="14" hidden="1">3</definedName>
    <definedName name="solver_typ" localSheetId="16" hidden="1">3</definedName>
    <definedName name="solver_typ" localSheetId="2" hidden="1">2</definedName>
    <definedName name="solver_typ" localSheetId="5" hidden="1">2</definedName>
    <definedName name="solver_val" localSheetId="21" hidden="1">1</definedName>
    <definedName name="solver_val" localSheetId="10" hidden="1">0</definedName>
    <definedName name="solver_val" localSheetId="15" hidden="1">0</definedName>
    <definedName name="solver_val" localSheetId="4" hidden="1">0</definedName>
    <definedName name="solver_val" localSheetId="14" hidden="1">0</definedName>
    <definedName name="solver_val" localSheetId="16" hidden="1">0.43</definedName>
    <definedName name="solver_val" localSheetId="2" hidden="1">0</definedName>
    <definedName name="solver_val" localSheetId="5" hidden="1">0</definedName>
    <definedName name="solver_ver" localSheetId="15" hidden="1">3</definedName>
    <definedName name="solver_ver" localSheetId="16" hidden="1">3</definedName>
    <definedName name="staticOffset">'Assay Inventory'!$T$4</definedName>
    <definedName name="Total_assays">'Assay Inventory'!$T$12</definedName>
    <definedName name="Total_Refinery_Energy">'Results Single Assay'!$C$77</definedName>
    <definedName name="Total_Refinery_GHG">'Results Single Assay'!$D$77</definedName>
    <definedName name="Unit_Alkylation_Unit">CokingRefineryCalcs!$C$812</definedName>
    <definedName name="Unit_Atm_Tow">CokingRefineryCalcs!$C$43</definedName>
    <definedName name="Unit_Atm_Tow_Furnace">CokingRefineryCalcs!$C$21</definedName>
    <definedName name="Unit_Coker__and_Coker_Fractionator">CokingRefineryCalcs!$C$841</definedName>
    <definedName name="Unit_Coker_Furnace">CokingRefineryCalcs!$C$826</definedName>
    <definedName name="Unit_Coker_Naptha_Hydrotreater">CokingRefineryCalcs!$C$916</definedName>
    <definedName name="Unit_desalter">CokingRefineryCalcs!$C$5</definedName>
    <definedName name="Unit_Diesel_Hydrotreater_and_Blending">CokingRefineryCalcs!$C$310</definedName>
    <definedName name="Unit_FCC">CokingRefineryCalcs!$C$693</definedName>
    <definedName name="Unit_FCC_Feed_Hydrotreater">CokingRefineryCalcs!$C$640</definedName>
    <definedName name="Unit_FCC_Main_Fractionator">CokingRefineryCalcs!$C$749</definedName>
    <definedName name="Unit_Gas_Oil_Hydrocracker">CokingRefineryCalcs!$C$358</definedName>
    <definedName name="Unit_Gas_Oil_Hydrocracker_Fractionator">CokingRefineryCalcs!$C$466</definedName>
    <definedName name="Unit_Isomerisation_Unit">CokingRefineryCalcs!$C$168</definedName>
    <definedName name="Unit_Kero_Hydrotreater">CokingRefineryCalcs!$C$252</definedName>
    <definedName name="Unit_Kero_Merox_Unit">CokingRefineryCalcs!$C$296</definedName>
    <definedName name="Unit_Kerosene_Merox_Unit">CokingRefineryCalcs!$C$296</definedName>
    <definedName name="Unit_Naphta_catalytic_reformer">CokingRefineryCalcs!$C$194</definedName>
    <definedName name="Unit_Naphtha_Hydrotreater">CokingRefineryCalcs!$C$124</definedName>
    <definedName name="Unit_Vac_Tow_Furnace">CokingRefineryCalcs!$C$515</definedName>
    <definedName name="Unit_Vac_Tower">CokingRefineryCalcs!$C$536</definedName>
  </definedNames>
  <calcPr calcId="191029" concurrentCalc="0" concurrentManualCount="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7" i="13" l="1"/>
  <c r="E15" i="13"/>
  <c r="E10" i="8"/>
  <c r="E8" i="8"/>
  <c r="N14" i="13"/>
  <c r="N19" i="13"/>
  <c r="J14" i="13"/>
  <c r="E83" i="38"/>
  <c r="H92" i="38"/>
  <c r="J99" i="38"/>
  <c r="K99" i="38"/>
  <c r="J19" i="13"/>
  <c r="I83" i="38"/>
  <c r="L92" i="38"/>
  <c r="F108" i="38"/>
  <c r="F109" i="38"/>
  <c r="I109" i="38"/>
  <c r="M54" i="38"/>
  <c r="AN289" i="8"/>
  <c r="G597" i="38"/>
  <c r="E646" i="38"/>
  <c r="C35" i="74"/>
  <c r="D608" i="38"/>
  <c r="D609" i="38"/>
  <c r="E583" i="38"/>
  <c r="G542" i="38"/>
  <c r="E614" i="38"/>
  <c r="G614" i="38"/>
  <c r="F646" i="38"/>
  <c r="C36" i="74"/>
  <c r="D625" i="38"/>
  <c r="D626" i="38"/>
  <c r="E584" i="38"/>
  <c r="H542" i="38"/>
  <c r="E631" i="38"/>
  <c r="G631" i="38"/>
  <c r="G646" i="38"/>
  <c r="C37" i="74"/>
  <c r="D903" i="38"/>
  <c r="D904" i="38"/>
  <c r="M20" i="13"/>
  <c r="I548" i="38"/>
  <c r="E838" i="38"/>
  <c r="F838" i="38"/>
  <c r="E853" i="38"/>
  <c r="J874" i="38"/>
  <c r="D871" i="38"/>
  <c r="J871" i="38"/>
  <c r="G871" i="38"/>
  <c r="E585" i="38"/>
  <c r="I542" i="38"/>
  <c r="E832" i="38"/>
  <c r="F832" i="38"/>
  <c r="E847" i="38"/>
  <c r="G872" i="38"/>
  <c r="E881" i="38"/>
  <c r="I892" i="38"/>
  <c r="D872" i="38"/>
  <c r="E880" i="38"/>
  <c r="H886" i="38"/>
  <c r="J891" i="38"/>
  <c r="K891" i="38"/>
  <c r="E898" i="38"/>
  <c r="H847" i="38"/>
  <c r="E908" i="38"/>
  <c r="G908" i="38"/>
  <c r="H646" i="38"/>
  <c r="I646" i="38"/>
  <c r="G602" i="38"/>
  <c r="E651" i="38"/>
  <c r="I583" i="38"/>
  <c r="G547" i="38"/>
  <c r="E619" i="38"/>
  <c r="G619" i="38"/>
  <c r="F651" i="38"/>
  <c r="I584" i="38"/>
  <c r="H547" i="38"/>
  <c r="E636" i="38"/>
  <c r="G636" i="38"/>
  <c r="G651" i="38"/>
  <c r="L886" i="38"/>
  <c r="I898" i="38"/>
  <c r="H852" i="38"/>
  <c r="E913" i="38"/>
  <c r="G913" i="38"/>
  <c r="H651" i="38"/>
  <c r="I651" i="38"/>
  <c r="G598" i="38"/>
  <c r="E647" i="38"/>
  <c r="G583" i="38"/>
  <c r="G543" i="38"/>
  <c r="E615" i="38"/>
  <c r="G615" i="38"/>
  <c r="F647" i="38"/>
  <c r="G584" i="38"/>
  <c r="H543" i="38"/>
  <c r="E632" i="38"/>
  <c r="G632" i="38"/>
  <c r="G647" i="38"/>
  <c r="G585" i="38"/>
  <c r="I543" i="38"/>
  <c r="E833" i="38"/>
  <c r="F833" i="38"/>
  <c r="E848" i="38"/>
  <c r="G881" i="38"/>
  <c r="G880" i="38"/>
  <c r="J886" i="38"/>
  <c r="G898" i="38"/>
  <c r="H848" i="38"/>
  <c r="E909" i="38"/>
  <c r="G909" i="38"/>
  <c r="H647" i="38"/>
  <c r="I647" i="38"/>
  <c r="G599" i="38"/>
  <c r="E648" i="38"/>
  <c r="H583" i="38"/>
  <c r="G544" i="38"/>
  <c r="E616" i="38"/>
  <c r="G616" i="38"/>
  <c r="F648" i="38"/>
  <c r="H584" i="38"/>
  <c r="H544" i="38"/>
  <c r="E633" i="38"/>
  <c r="G633" i="38"/>
  <c r="G648" i="38"/>
  <c r="H585" i="38"/>
  <c r="I544" i="38"/>
  <c r="E834" i="38"/>
  <c r="F834" i="38"/>
  <c r="E849" i="38"/>
  <c r="H881" i="38"/>
  <c r="H880" i="38"/>
  <c r="K886" i="38"/>
  <c r="H898" i="38"/>
  <c r="H849" i="38"/>
  <c r="E910" i="38"/>
  <c r="G910" i="38"/>
  <c r="H648" i="38"/>
  <c r="I648" i="38"/>
  <c r="D688" i="38"/>
  <c r="D685" i="38"/>
  <c r="D683" i="38"/>
  <c r="J651" i="38"/>
  <c r="D682" i="38"/>
  <c r="J646" i="38"/>
  <c r="E699" i="38"/>
  <c r="P743" i="38"/>
  <c r="P744" i="38"/>
  <c r="J699" i="38"/>
  <c r="E778" i="38"/>
  <c r="I791" i="38"/>
  <c r="M743" i="38"/>
  <c r="M744" i="38"/>
  <c r="I699" i="38"/>
  <c r="E777" i="38"/>
  <c r="H784" i="38"/>
  <c r="J790" i="38"/>
  <c r="K790" i="38"/>
  <c r="E798" i="38"/>
  <c r="J755" i="38"/>
  <c r="CP271" i="8"/>
  <c r="N20" i="13"/>
  <c r="K55" i="38"/>
  <c r="AN290" i="8"/>
  <c r="M49" i="38"/>
  <c r="AN285" i="8"/>
  <c r="DD296" i="8"/>
  <c r="CP276" i="8"/>
  <c r="DD301" i="8"/>
  <c r="E704" i="38"/>
  <c r="P732" i="38"/>
  <c r="R732" i="38"/>
  <c r="R738" i="38"/>
  <c r="S736" i="38"/>
  <c r="T736" i="38"/>
  <c r="U736" i="38"/>
  <c r="J704" i="38"/>
  <c r="H778" i="38"/>
  <c r="S735" i="38"/>
  <c r="T735" i="38"/>
  <c r="U735" i="38"/>
  <c r="I704" i="38"/>
  <c r="H777" i="38"/>
  <c r="K784" i="38"/>
  <c r="H798" i="38"/>
  <c r="J760" i="38"/>
  <c r="CP275" i="8"/>
  <c r="N12" i="13"/>
  <c r="J12" i="13"/>
  <c r="D83" i="38"/>
  <c r="G92" i="38"/>
  <c r="G99" i="38"/>
  <c r="H99" i="38"/>
  <c r="D108" i="38"/>
  <c r="D109" i="38"/>
  <c r="E109" i="38"/>
  <c r="M53" i="38"/>
  <c r="DD300" i="8"/>
  <c r="R73" i="13"/>
  <c r="R74" i="13"/>
  <c r="R75" i="13"/>
  <c r="R76" i="13"/>
  <c r="R77" i="13"/>
  <c r="R78" i="13"/>
  <c r="R79" i="13"/>
  <c r="R80" i="13"/>
  <c r="R81" i="13"/>
  <c r="R82" i="13"/>
  <c r="R83" i="13"/>
  <c r="R84" i="13"/>
  <c r="R85" i="13"/>
  <c r="R86" i="13"/>
  <c r="R87" i="13"/>
  <c r="R88" i="13"/>
  <c r="R89" i="13"/>
  <c r="R90" i="13"/>
  <c r="R91" i="13"/>
  <c r="R92" i="13"/>
  <c r="R93" i="13"/>
  <c r="R94" i="13"/>
  <c r="R95" i="13"/>
  <c r="R96" i="13"/>
  <c r="R97" i="13"/>
  <c r="R98" i="13"/>
  <c r="R99" i="13"/>
  <c r="R100" i="13"/>
  <c r="R101" i="13"/>
  <c r="R102" i="13"/>
  <c r="R103" i="13"/>
  <c r="R104" i="13"/>
  <c r="R105" i="13"/>
  <c r="R106" i="13"/>
  <c r="R107" i="13"/>
  <c r="R108" i="13"/>
  <c r="R109" i="13"/>
  <c r="R110" i="13"/>
  <c r="R111" i="13"/>
  <c r="R112" i="13"/>
  <c r="R113" i="13"/>
  <c r="R114" i="13"/>
  <c r="R115" i="13"/>
  <c r="R116" i="13"/>
  <c r="R117" i="13"/>
  <c r="R118" i="13"/>
  <c r="R119" i="13"/>
  <c r="R120" i="13"/>
  <c r="R121" i="13"/>
  <c r="R122" i="13"/>
  <c r="R123" i="13"/>
  <c r="R124" i="13"/>
  <c r="R125" i="13"/>
  <c r="R126" i="13"/>
  <c r="R127" i="13"/>
  <c r="R128" i="13"/>
  <c r="R129" i="13"/>
  <c r="W17" i="55"/>
  <c r="H84" i="55"/>
  <c r="J1040" i="38"/>
  <c r="E95" i="48"/>
  <c r="D1030" i="38"/>
  <c r="E70" i="48"/>
  <c r="J92" i="55"/>
  <c r="I92" i="55"/>
  <c r="J90" i="55"/>
  <c r="I90" i="55"/>
  <c r="I25" i="48"/>
  <c r="P25" i="48"/>
  <c r="J89" i="55"/>
  <c r="I89" i="55"/>
  <c r="N88" i="55"/>
  <c r="H55" i="55"/>
  <c r="J62" i="55"/>
  <c r="I62" i="55"/>
  <c r="J60" i="55"/>
  <c r="I60" i="55"/>
  <c r="J59" i="55"/>
  <c r="I59" i="55"/>
  <c r="R15" i="13"/>
  <c r="E28" i="13"/>
  <c r="E29" i="13"/>
  <c r="E10" i="73"/>
  <c r="E9" i="73"/>
  <c r="E1723" i="13"/>
  <c r="E1726" i="13"/>
  <c r="N14" i="73"/>
  <c r="M14" i="73"/>
  <c r="L14" i="73"/>
  <c r="L1728" i="13"/>
  <c r="K14" i="73"/>
  <c r="J14" i="73"/>
  <c r="I14" i="73"/>
  <c r="H14" i="73"/>
  <c r="H1728" i="13"/>
  <c r="G14" i="73"/>
  <c r="F14" i="73"/>
  <c r="E14" i="73"/>
  <c r="N10" i="73"/>
  <c r="M10" i="73"/>
  <c r="M9" i="73"/>
  <c r="L10" i="73"/>
  <c r="K10" i="73"/>
  <c r="J10" i="73"/>
  <c r="I10" i="73"/>
  <c r="I9" i="73"/>
  <c r="I1723" i="13"/>
  <c r="H10" i="73"/>
  <c r="G10" i="73"/>
  <c r="F10" i="73"/>
  <c r="F9" i="73"/>
  <c r="F1723" i="13"/>
  <c r="L9" i="73"/>
  <c r="J9" i="73"/>
  <c r="G9" i="73"/>
  <c r="G1723" i="13"/>
  <c r="R53" i="13"/>
  <c r="R54" i="13"/>
  <c r="R55" i="13"/>
  <c r="R56" i="13"/>
  <c r="R57" i="13"/>
  <c r="R58" i="13"/>
  <c r="R59" i="13"/>
  <c r="R60" i="13"/>
  <c r="R61" i="13"/>
  <c r="R62" i="13"/>
  <c r="R63" i="13"/>
  <c r="R64" i="13"/>
  <c r="R65" i="13"/>
  <c r="R66" i="13"/>
  <c r="R67" i="13"/>
  <c r="R68" i="13"/>
  <c r="R69" i="13"/>
  <c r="R70" i="13"/>
  <c r="R71" i="13"/>
  <c r="R72" i="13"/>
  <c r="D1722" i="13"/>
  <c r="E1722" i="13"/>
  <c r="F1722" i="13"/>
  <c r="G1722" i="13"/>
  <c r="H1722" i="13"/>
  <c r="I1722" i="13"/>
  <c r="J1722" i="13"/>
  <c r="K1722" i="13"/>
  <c r="L1722" i="13"/>
  <c r="M1722" i="13"/>
  <c r="N1722" i="13"/>
  <c r="D1723" i="13"/>
  <c r="J1723" i="13"/>
  <c r="L1723" i="13"/>
  <c r="M1723" i="13"/>
  <c r="D1724" i="13"/>
  <c r="E1724" i="13"/>
  <c r="F1724" i="13"/>
  <c r="G1724" i="13"/>
  <c r="I1724" i="13"/>
  <c r="J1724" i="13"/>
  <c r="L1724" i="13"/>
  <c r="M1724" i="13"/>
  <c r="D1725" i="13"/>
  <c r="E1725" i="13"/>
  <c r="F1725" i="13"/>
  <c r="G1725" i="13"/>
  <c r="H1725" i="13"/>
  <c r="I1725" i="13"/>
  <c r="J1725" i="13"/>
  <c r="K1725" i="13"/>
  <c r="L1725" i="13"/>
  <c r="M1725" i="13"/>
  <c r="N1725" i="13"/>
  <c r="D1726" i="13"/>
  <c r="F1726" i="13"/>
  <c r="G1726" i="13"/>
  <c r="H1726" i="13"/>
  <c r="I1726" i="13"/>
  <c r="J1726" i="13"/>
  <c r="K1726" i="13"/>
  <c r="L1726" i="13"/>
  <c r="M1726" i="13"/>
  <c r="N1726" i="13"/>
  <c r="D1727" i="13"/>
  <c r="E1727" i="13"/>
  <c r="F1727" i="13"/>
  <c r="G1727" i="13"/>
  <c r="H1727" i="13"/>
  <c r="I1727" i="13"/>
  <c r="J1727" i="13"/>
  <c r="K1727" i="13"/>
  <c r="L1727" i="13"/>
  <c r="M1727" i="13"/>
  <c r="N1727" i="13"/>
  <c r="D1728" i="13"/>
  <c r="E1728" i="13"/>
  <c r="F1728" i="13"/>
  <c r="G1728" i="13"/>
  <c r="I1728" i="13"/>
  <c r="J1728" i="13"/>
  <c r="K1728" i="13"/>
  <c r="M1728" i="13"/>
  <c r="N1728" i="13"/>
  <c r="D1729" i="13"/>
  <c r="E1729" i="13"/>
  <c r="F1729" i="13"/>
  <c r="G1729" i="13"/>
  <c r="H1729" i="13"/>
  <c r="I1729" i="13"/>
  <c r="J1729" i="13"/>
  <c r="K1729" i="13"/>
  <c r="L1729" i="13"/>
  <c r="M1729" i="13"/>
  <c r="N1729" i="13"/>
  <c r="D1730" i="13"/>
  <c r="E1730" i="13"/>
  <c r="F1730" i="13"/>
  <c r="G1730" i="13"/>
  <c r="H1730" i="13"/>
  <c r="I1730" i="13"/>
  <c r="J1730" i="13"/>
  <c r="K1730" i="13"/>
  <c r="L1730" i="13"/>
  <c r="M1730" i="13"/>
  <c r="N1730" i="13"/>
  <c r="D1731" i="13"/>
  <c r="E1731" i="13"/>
  <c r="F1731" i="13"/>
  <c r="G1731" i="13"/>
  <c r="H1731" i="13"/>
  <c r="I1731" i="13"/>
  <c r="J1731" i="13"/>
  <c r="K1731" i="13"/>
  <c r="L1731" i="13"/>
  <c r="M1731" i="13"/>
  <c r="N1731" i="13"/>
  <c r="D1732" i="13"/>
  <c r="E1732" i="13"/>
  <c r="F1732" i="13"/>
  <c r="G1732" i="13"/>
  <c r="H1732" i="13"/>
  <c r="I1732" i="13"/>
  <c r="J1732" i="13"/>
  <c r="K1732" i="13"/>
  <c r="L1732" i="13"/>
  <c r="M1732" i="13"/>
  <c r="N1732" i="13"/>
  <c r="D1733" i="13"/>
  <c r="E1733" i="13"/>
  <c r="F1733" i="13"/>
  <c r="G1733" i="13"/>
  <c r="H1733" i="13"/>
  <c r="I1733" i="13"/>
  <c r="J1733" i="13"/>
  <c r="K1733" i="13"/>
  <c r="L1733" i="13"/>
  <c r="M1733" i="13"/>
  <c r="N1733" i="13"/>
  <c r="Q193" i="47"/>
  <c r="S193" i="47"/>
  <c r="K193" i="47"/>
  <c r="R193" i="47"/>
  <c r="Q194" i="47"/>
  <c r="R194" i="47"/>
  <c r="Q195" i="47"/>
  <c r="S195" i="47"/>
  <c r="K195" i="47"/>
  <c r="R195" i="47"/>
  <c r="Q196" i="47"/>
  <c r="R196" i="47"/>
  <c r="Q197" i="47"/>
  <c r="S197" i="47"/>
  <c r="K197" i="47"/>
  <c r="R197" i="47"/>
  <c r="Q198" i="47"/>
  <c r="R198" i="47"/>
  <c r="Q199" i="47"/>
  <c r="S199" i="47"/>
  <c r="K199" i="47"/>
  <c r="R199" i="47"/>
  <c r="Q200" i="47"/>
  <c r="R200" i="47"/>
  <c r="G75" i="47"/>
  <c r="G74" i="47"/>
  <c r="J74" i="47"/>
  <c r="I73" i="47"/>
  <c r="H73" i="47"/>
  <c r="K73" i="47"/>
  <c r="G73" i="47"/>
  <c r="J73" i="47"/>
  <c r="I72" i="47"/>
  <c r="H72" i="47"/>
  <c r="K72" i="47"/>
  <c r="G72" i="47"/>
  <c r="J72" i="47"/>
  <c r="I71" i="47"/>
  <c r="H71" i="47"/>
  <c r="K71" i="47"/>
  <c r="G71" i="47"/>
  <c r="J71" i="47"/>
  <c r="I70" i="47"/>
  <c r="H70" i="47"/>
  <c r="K70" i="47"/>
  <c r="G70" i="47"/>
  <c r="J70" i="47"/>
  <c r="I69" i="47"/>
  <c r="H69" i="47"/>
  <c r="K69" i="47"/>
  <c r="G69" i="47"/>
  <c r="J69" i="47"/>
  <c r="I68" i="47"/>
  <c r="H68" i="47"/>
  <c r="K68" i="47"/>
  <c r="G68" i="47"/>
  <c r="J68" i="47"/>
  <c r="I67" i="47"/>
  <c r="H67" i="47"/>
  <c r="K67" i="47"/>
  <c r="G67" i="47"/>
  <c r="J67" i="47"/>
  <c r="I66" i="47"/>
  <c r="H66" i="47"/>
  <c r="K66" i="47"/>
  <c r="G66" i="47"/>
  <c r="J66" i="47"/>
  <c r="R215" i="47"/>
  <c r="Q215" i="47"/>
  <c r="S215" i="47"/>
  <c r="K215" i="47"/>
  <c r="R214" i="47"/>
  <c r="Q214" i="47"/>
  <c r="S214" i="47"/>
  <c r="K214" i="47"/>
  <c r="R213" i="47"/>
  <c r="Q213" i="47"/>
  <c r="S213" i="47"/>
  <c r="K213" i="47"/>
  <c r="R212" i="47"/>
  <c r="Q212" i="47"/>
  <c r="S212" i="47"/>
  <c r="K212" i="47"/>
  <c r="R211" i="47"/>
  <c r="Q211" i="47"/>
  <c r="S211" i="47"/>
  <c r="K211" i="47"/>
  <c r="R210" i="47"/>
  <c r="Q210" i="47"/>
  <c r="S210" i="47"/>
  <c r="K210" i="47"/>
  <c r="R209" i="47"/>
  <c r="Q209" i="47"/>
  <c r="S209" i="47"/>
  <c r="K209" i="47"/>
  <c r="R208" i="47"/>
  <c r="Q208" i="47"/>
  <c r="S208" i="47"/>
  <c r="K208" i="47"/>
  <c r="S200" i="47"/>
  <c r="K200" i="47"/>
  <c r="S198" i="47"/>
  <c r="K198" i="47"/>
  <c r="S196" i="47"/>
  <c r="K196" i="47"/>
  <c r="S194" i="47"/>
  <c r="K194" i="47"/>
  <c r="S192" i="47"/>
  <c r="S191" i="47"/>
  <c r="D90" i="38"/>
  <c r="D77" i="41"/>
  <c r="D133" i="68"/>
  <c r="T73" i="53"/>
  <c r="D19" i="68"/>
  <c r="G9" i="47"/>
  <c r="G10" i="47"/>
  <c r="D76" i="47"/>
  <c r="N398" i="55"/>
  <c r="N397" i="55"/>
  <c r="D662" i="41"/>
  <c r="N396" i="55"/>
  <c r="D1003" i="41"/>
  <c r="N395" i="55"/>
  <c r="D855" i="41"/>
  <c r="N394" i="55"/>
  <c r="D339" i="41"/>
  <c r="N393" i="55"/>
  <c r="D389" i="41"/>
  <c r="N392" i="55"/>
  <c r="D271" i="41"/>
  <c r="N391" i="55"/>
  <c r="D142" i="41"/>
  <c r="N390" i="55"/>
  <c r="G168" i="41"/>
  <c r="BP16" i="58"/>
  <c r="N389" i="55"/>
  <c r="N381" i="55"/>
  <c r="N380" i="55"/>
  <c r="D687" i="38"/>
  <c r="N379" i="55"/>
  <c r="D944" i="38"/>
  <c r="N378" i="55"/>
  <c r="N377" i="55"/>
  <c r="D342" i="38"/>
  <c r="N376" i="55"/>
  <c r="D392" i="38"/>
  <c r="N375" i="55"/>
  <c r="D280" i="38"/>
  <c r="N374" i="55"/>
  <c r="D152" i="38"/>
  <c r="N373" i="55"/>
  <c r="G178" i="38"/>
  <c r="BP15" i="8"/>
  <c r="N372" i="55"/>
  <c r="H241" i="38"/>
  <c r="H229" i="38"/>
  <c r="H204" i="38"/>
  <c r="BP37" i="8"/>
  <c r="E28" i="53"/>
  <c r="I14" i="13"/>
  <c r="E69" i="41"/>
  <c r="K14" i="13"/>
  <c r="K97" i="8"/>
  <c r="L14" i="13"/>
  <c r="M14" i="13"/>
  <c r="M97" i="8"/>
  <c r="N25" i="53"/>
  <c r="M15" i="13"/>
  <c r="L15" i="13"/>
  <c r="M19" i="13"/>
  <c r="M102" i="8"/>
  <c r="L19" i="13"/>
  <c r="G109" i="41"/>
  <c r="I539" i="41"/>
  <c r="J30" i="53"/>
  <c r="I19" i="13"/>
  <c r="I82" i="38"/>
  <c r="K19" i="13"/>
  <c r="J15" i="13"/>
  <c r="J99" i="58"/>
  <c r="I15" i="13"/>
  <c r="K15" i="13"/>
  <c r="F116" i="38"/>
  <c r="G563" i="38"/>
  <c r="J16" i="13"/>
  <c r="H70" i="41"/>
  <c r="I16" i="13"/>
  <c r="H82" i="38"/>
  <c r="K16" i="13"/>
  <c r="L16" i="13"/>
  <c r="G117" i="38"/>
  <c r="H564" i="38"/>
  <c r="M16" i="13"/>
  <c r="H106" i="41"/>
  <c r="H540" i="41"/>
  <c r="M104" i="58"/>
  <c r="H636" i="41"/>
  <c r="J626" i="41"/>
  <c r="J625" i="41"/>
  <c r="E675" i="41"/>
  <c r="Q116" i="65"/>
  <c r="J21" i="13"/>
  <c r="J83" i="38"/>
  <c r="I21" i="13"/>
  <c r="K21" i="13"/>
  <c r="F111" i="41"/>
  <c r="J538" i="41"/>
  <c r="L21" i="13"/>
  <c r="M21" i="13"/>
  <c r="H122" i="38"/>
  <c r="J565" i="38"/>
  <c r="J95" i="8"/>
  <c r="I12" i="13"/>
  <c r="K12" i="13"/>
  <c r="L12" i="13"/>
  <c r="M12" i="13"/>
  <c r="H102" i="41"/>
  <c r="D540" i="41"/>
  <c r="H661" i="38"/>
  <c r="J650" i="38"/>
  <c r="J649" i="38"/>
  <c r="G14" i="13"/>
  <c r="E80" i="38"/>
  <c r="H14" i="13"/>
  <c r="H25" i="53"/>
  <c r="G15" i="13"/>
  <c r="H15" i="13"/>
  <c r="G81" i="38"/>
  <c r="D671" i="38"/>
  <c r="G19" i="13"/>
  <c r="I80" i="38"/>
  <c r="H19" i="13"/>
  <c r="H103" i="58"/>
  <c r="G16" i="13"/>
  <c r="G27" i="53"/>
  <c r="H16" i="13"/>
  <c r="G12" i="13"/>
  <c r="H12" i="13"/>
  <c r="D81" i="38"/>
  <c r="F14" i="13"/>
  <c r="F25" i="53"/>
  <c r="F15" i="13"/>
  <c r="F26" i="53"/>
  <c r="E13" i="13"/>
  <c r="E10" i="38"/>
  <c r="F19" i="13"/>
  <c r="F30" i="53"/>
  <c r="F12" i="13"/>
  <c r="N96" i="58"/>
  <c r="J745" i="38"/>
  <c r="H703" i="38"/>
  <c r="H702" i="38"/>
  <c r="P745" i="38"/>
  <c r="J703" i="38"/>
  <c r="J702" i="38"/>
  <c r="D680" i="38"/>
  <c r="J648" i="38"/>
  <c r="E701" i="38"/>
  <c r="F13" i="13"/>
  <c r="F48" i="38"/>
  <c r="P1439" i="38"/>
  <c r="F21" i="13"/>
  <c r="F56" i="41"/>
  <c r="G21" i="13"/>
  <c r="H21" i="13"/>
  <c r="J68" i="41"/>
  <c r="E12" i="13"/>
  <c r="E9" i="41"/>
  <c r="F9" i="41"/>
  <c r="E25" i="41"/>
  <c r="F25" i="41"/>
  <c r="M18" i="13"/>
  <c r="D76" i="41"/>
  <c r="D84" i="41"/>
  <c r="E84" i="41"/>
  <c r="E26" i="48"/>
  <c r="H26" i="48"/>
  <c r="H199" i="41"/>
  <c r="D173" i="41"/>
  <c r="D78" i="41"/>
  <c r="D85" i="41"/>
  <c r="E85" i="41"/>
  <c r="D79" i="41"/>
  <c r="D87" i="41"/>
  <c r="E87" i="41"/>
  <c r="D86" i="41"/>
  <c r="E86" i="41"/>
  <c r="D547" i="41"/>
  <c r="D546" i="41"/>
  <c r="D552" i="41"/>
  <c r="E552" i="41"/>
  <c r="D1525" i="41"/>
  <c r="D854" i="41"/>
  <c r="D849" i="41"/>
  <c r="D948" i="41"/>
  <c r="E948" i="41"/>
  <c r="D545" i="41"/>
  <c r="D551" i="41"/>
  <c r="E551" i="41"/>
  <c r="J832" i="41"/>
  <c r="I832" i="41"/>
  <c r="I831" i="41"/>
  <c r="F69" i="65"/>
  <c r="Q22" i="65"/>
  <c r="E898" i="41"/>
  <c r="E896" i="41"/>
  <c r="E897" i="41"/>
  <c r="E899" i="41"/>
  <c r="D947" i="41"/>
  <c r="H934" i="41"/>
  <c r="H935" i="41"/>
  <c r="E969" i="41"/>
  <c r="G969" i="41"/>
  <c r="H624" i="41"/>
  <c r="H166" i="55"/>
  <c r="H178" i="55"/>
  <c r="H141" i="55"/>
  <c r="M715" i="41"/>
  <c r="D759" i="41"/>
  <c r="J715" i="41"/>
  <c r="D758" i="41"/>
  <c r="D764" i="41"/>
  <c r="E764" i="41"/>
  <c r="P715" i="41"/>
  <c r="D760" i="41"/>
  <c r="D765" i="41"/>
  <c r="D646" i="41"/>
  <c r="L707" i="41"/>
  <c r="L704" i="41"/>
  <c r="L705" i="41"/>
  <c r="L706" i="41"/>
  <c r="L708" i="41"/>
  <c r="L709" i="41"/>
  <c r="D715" i="41"/>
  <c r="K1490" i="41"/>
  <c r="L1481" i="41"/>
  <c r="L1485" i="41"/>
  <c r="L1487" i="41"/>
  <c r="L1490" i="41"/>
  <c r="F1482" i="41"/>
  <c r="F1483" i="41"/>
  <c r="F1484" i="41"/>
  <c r="F1486" i="41"/>
  <c r="F1488" i="41"/>
  <c r="F1489" i="41"/>
  <c r="H1482" i="41"/>
  <c r="H1483" i="41"/>
  <c r="H1484" i="41"/>
  <c r="H1486" i="41"/>
  <c r="H1488" i="41"/>
  <c r="H1489" i="41"/>
  <c r="J1481" i="41"/>
  <c r="J1482" i="41"/>
  <c r="J1483" i="41"/>
  <c r="J1484" i="41"/>
  <c r="J1486" i="41"/>
  <c r="J1488" i="41"/>
  <c r="J1489" i="41"/>
  <c r="J1490" i="41"/>
  <c r="G1482" i="41"/>
  <c r="E1482" i="41"/>
  <c r="M1481" i="41"/>
  <c r="M1482" i="41"/>
  <c r="M1483" i="41"/>
  <c r="M1484" i="41"/>
  <c r="M1486" i="41"/>
  <c r="M1488" i="41"/>
  <c r="M1489" i="41"/>
  <c r="M1490" i="41"/>
  <c r="D89" i="38"/>
  <c r="D96" i="38"/>
  <c r="E96" i="38"/>
  <c r="H210" i="38"/>
  <c r="D183" i="38"/>
  <c r="D91" i="38"/>
  <c r="D97" i="38"/>
  <c r="D92" i="38"/>
  <c r="D99" i="38"/>
  <c r="E99" i="38"/>
  <c r="D98" i="38"/>
  <c r="E98" i="38"/>
  <c r="D571" i="38"/>
  <c r="D577" i="38"/>
  <c r="E577" i="38"/>
  <c r="D1465" i="38"/>
  <c r="D887" i="38"/>
  <c r="D886" i="38"/>
  <c r="D891" i="38"/>
  <c r="E891" i="38"/>
  <c r="D570" i="38"/>
  <c r="D576" i="38"/>
  <c r="E576" i="38"/>
  <c r="D784" i="38"/>
  <c r="J743" i="38"/>
  <c r="D783" i="38"/>
  <c r="D789" i="38"/>
  <c r="D785" i="38"/>
  <c r="D790" i="38"/>
  <c r="E790" i="38"/>
  <c r="D743" i="38"/>
  <c r="L732" i="38"/>
  <c r="L733" i="38"/>
  <c r="L734" i="38"/>
  <c r="L735" i="38"/>
  <c r="L736" i="38"/>
  <c r="L737" i="38"/>
  <c r="K1429" i="38"/>
  <c r="L1424" i="38"/>
  <c r="L1426" i="38"/>
  <c r="L1429" i="38"/>
  <c r="F1421" i="38"/>
  <c r="F1422" i="38"/>
  <c r="F1423" i="38"/>
  <c r="F1425" i="38"/>
  <c r="F1427" i="38"/>
  <c r="F1428" i="38"/>
  <c r="H1421" i="38"/>
  <c r="H1422" i="38"/>
  <c r="H1423" i="38"/>
  <c r="H1425" i="38"/>
  <c r="H1427" i="38"/>
  <c r="H1428" i="38"/>
  <c r="J1421" i="38"/>
  <c r="J1422" i="38"/>
  <c r="J1423" i="38"/>
  <c r="J1425" i="38"/>
  <c r="J1426" i="38"/>
  <c r="J1427" i="38"/>
  <c r="J1428" i="38"/>
  <c r="J1429" i="38"/>
  <c r="G1421" i="38"/>
  <c r="E1421" i="38"/>
  <c r="M1421" i="38"/>
  <c r="M1422" i="38"/>
  <c r="M1423" i="38"/>
  <c r="M1425" i="38"/>
  <c r="M1426" i="38"/>
  <c r="M1427" i="38"/>
  <c r="M1428" i="38"/>
  <c r="M1429" i="38"/>
  <c r="E29" i="58"/>
  <c r="E30" i="58"/>
  <c r="P1500" i="41"/>
  <c r="E32" i="58"/>
  <c r="P1502" i="41"/>
  <c r="P1503" i="41"/>
  <c r="P1441" i="38"/>
  <c r="P1442" i="38"/>
  <c r="D718" i="41"/>
  <c r="H682" i="41"/>
  <c r="H30" i="48"/>
  <c r="J30" i="48"/>
  <c r="Q30" i="48"/>
  <c r="H156" i="47"/>
  <c r="G715" i="41"/>
  <c r="Q705" i="41"/>
  <c r="Q706" i="41"/>
  <c r="Q707" i="41"/>
  <c r="Q708" i="41"/>
  <c r="Q709" i="41"/>
  <c r="E27" i="58"/>
  <c r="E24" i="58"/>
  <c r="H933" i="41"/>
  <c r="F315" i="41"/>
  <c r="G315" i="41"/>
  <c r="I314" i="41"/>
  <c r="J26" i="48"/>
  <c r="Q26" i="48"/>
  <c r="CF17" i="8"/>
  <c r="F36" i="56"/>
  <c r="H191" i="41"/>
  <c r="H1046" i="41"/>
  <c r="E28" i="58"/>
  <c r="J389" i="41"/>
  <c r="L421" i="41"/>
  <c r="T427" i="41"/>
  <c r="J57" i="65"/>
  <c r="M57" i="65"/>
  <c r="R59" i="65"/>
  <c r="Q59" i="65"/>
  <c r="T59" i="65"/>
  <c r="S59" i="65"/>
  <c r="S69" i="65"/>
  <c r="V69" i="65"/>
  <c r="W69" i="65"/>
  <c r="X69" i="65"/>
  <c r="J58" i="65"/>
  <c r="M58" i="65"/>
  <c r="R60" i="65"/>
  <c r="Q60" i="65"/>
  <c r="T60" i="65"/>
  <c r="S60" i="65"/>
  <c r="J392" i="41"/>
  <c r="W426" i="41"/>
  <c r="W425" i="41"/>
  <c r="J59" i="65"/>
  <c r="M59" i="65"/>
  <c r="R61" i="65"/>
  <c r="Q61" i="65"/>
  <c r="T61" i="65"/>
  <c r="S61" i="65"/>
  <c r="E31" i="58"/>
  <c r="DD285" i="58"/>
  <c r="H896" i="41"/>
  <c r="H897" i="41"/>
  <c r="H898" i="41"/>
  <c r="H899" i="41"/>
  <c r="E25" i="58"/>
  <c r="H832" i="41"/>
  <c r="E933" i="41"/>
  <c r="M717" i="41"/>
  <c r="I676" i="41"/>
  <c r="I675" i="41"/>
  <c r="J717" i="41"/>
  <c r="H676" i="41"/>
  <c r="H675" i="41"/>
  <c r="P717" i="41"/>
  <c r="J676" i="41"/>
  <c r="J675" i="41"/>
  <c r="D655" i="41"/>
  <c r="J624" i="41"/>
  <c r="E983" i="41"/>
  <c r="F194" i="41"/>
  <c r="BX53" i="58"/>
  <c r="E26" i="58"/>
  <c r="D1080" i="41"/>
  <c r="D1034" i="38"/>
  <c r="D1095" i="41"/>
  <c r="O48" i="41"/>
  <c r="O49" i="41"/>
  <c r="O51" i="41"/>
  <c r="O52" i="41"/>
  <c r="H23" i="55"/>
  <c r="O54" i="41"/>
  <c r="O55" i="41"/>
  <c r="O57" i="41"/>
  <c r="O58" i="41"/>
  <c r="D528" i="41"/>
  <c r="D529" i="41"/>
  <c r="D924" i="41"/>
  <c r="D925" i="41"/>
  <c r="G717" i="41"/>
  <c r="G676" i="41"/>
  <c r="D740" i="41"/>
  <c r="D741" i="41"/>
  <c r="D207" i="41"/>
  <c r="G83" i="48"/>
  <c r="D1062" i="41"/>
  <c r="D1063" i="41"/>
  <c r="D40" i="41"/>
  <c r="D39" i="41"/>
  <c r="G87" i="48"/>
  <c r="S194" i="55"/>
  <c r="D508" i="41"/>
  <c r="D507" i="41"/>
  <c r="D816" i="41"/>
  <c r="D817" i="41"/>
  <c r="D839" i="41"/>
  <c r="D840" i="41"/>
  <c r="D890" i="41"/>
  <c r="E890" i="41"/>
  <c r="C899" i="41"/>
  <c r="D899" i="41"/>
  <c r="D920" i="41"/>
  <c r="D202" i="41"/>
  <c r="D203" i="41"/>
  <c r="D180" i="41"/>
  <c r="D181" i="41"/>
  <c r="H12" i="55"/>
  <c r="J9" i="41"/>
  <c r="F10" i="56"/>
  <c r="Q97" i="58"/>
  <c r="O61" i="41"/>
  <c r="O62" i="41"/>
  <c r="F12" i="56"/>
  <c r="AA188" i="58"/>
  <c r="D531" i="41"/>
  <c r="D532" i="41"/>
  <c r="AO265" i="58"/>
  <c r="D844" i="41"/>
  <c r="D845" i="41"/>
  <c r="D927" i="41"/>
  <c r="D928" i="41"/>
  <c r="D682" i="41"/>
  <c r="D683" i="41"/>
  <c r="H234" i="55"/>
  <c r="D770" i="38"/>
  <c r="D771" i="38"/>
  <c r="D199" i="41"/>
  <c r="D200" i="41"/>
  <c r="D177" i="41"/>
  <c r="D178" i="41"/>
  <c r="E14" i="13"/>
  <c r="E11" i="41"/>
  <c r="F11" i="41"/>
  <c r="E18" i="13"/>
  <c r="E15" i="38"/>
  <c r="F15" i="38"/>
  <c r="D59" i="48"/>
  <c r="D62" i="48"/>
  <c r="D63" i="48"/>
  <c r="E59" i="48"/>
  <c r="E62" i="48"/>
  <c r="E63" i="48"/>
  <c r="D746" i="38"/>
  <c r="H709" i="38"/>
  <c r="H239" i="55"/>
  <c r="G743" i="38"/>
  <c r="R733" i="38"/>
  <c r="R734" i="38"/>
  <c r="R735" i="38"/>
  <c r="R736" i="38"/>
  <c r="R737" i="38"/>
  <c r="F318" i="38"/>
  <c r="H317" i="38"/>
  <c r="CU84" i="8"/>
  <c r="H123" i="8"/>
  <c r="L127" i="8"/>
  <c r="Q120" i="8"/>
  <c r="U115" i="8"/>
  <c r="W53" i="8"/>
  <c r="F36" i="54"/>
  <c r="H201" i="38"/>
  <c r="J392" i="38"/>
  <c r="L424" i="38"/>
  <c r="E453" i="38"/>
  <c r="D57" i="65"/>
  <c r="G57" i="65"/>
  <c r="R50" i="65"/>
  <c r="Q50" i="65"/>
  <c r="T50" i="65"/>
  <c r="S50" i="65"/>
  <c r="D58" i="65"/>
  <c r="G58" i="65"/>
  <c r="R51" i="65"/>
  <c r="Q51" i="65"/>
  <c r="T51" i="65"/>
  <c r="S51" i="65"/>
  <c r="J395" i="38"/>
  <c r="H452" i="38"/>
  <c r="H451" i="38"/>
  <c r="D59" i="65"/>
  <c r="G59" i="65"/>
  <c r="R52" i="65"/>
  <c r="Q52" i="65"/>
  <c r="T52" i="65"/>
  <c r="S52" i="65"/>
  <c r="O429" i="38"/>
  <c r="Z181" i="8"/>
  <c r="DD286" i="8"/>
  <c r="AH146" i="8"/>
  <c r="AQ245" i="8"/>
  <c r="BG217" i="8"/>
  <c r="M745" i="38"/>
  <c r="I703" i="38"/>
  <c r="I702" i="38"/>
  <c r="CF218" i="8"/>
  <c r="F204" i="38"/>
  <c r="BX49" i="8"/>
  <c r="D1019" i="38"/>
  <c r="D61" i="38"/>
  <c r="D62" i="38"/>
  <c r="D64" i="38"/>
  <c r="D65" i="38"/>
  <c r="D70" i="38"/>
  <c r="D71" i="38"/>
  <c r="H122" i="8"/>
  <c r="L126" i="8"/>
  <c r="Q119" i="8"/>
  <c r="U114" i="8"/>
  <c r="Z180" i="8"/>
  <c r="D553" i="38"/>
  <c r="D554" i="38"/>
  <c r="AQ244" i="8"/>
  <c r="D863" i="38"/>
  <c r="D864" i="38"/>
  <c r="G745" i="38"/>
  <c r="G703" i="38"/>
  <c r="D767" i="38"/>
  <c r="D768" i="38"/>
  <c r="D218" i="38"/>
  <c r="D1001" i="38"/>
  <c r="D1002" i="38"/>
  <c r="D1015" i="38"/>
  <c r="D40" i="38"/>
  <c r="D39" i="38"/>
  <c r="H121" i="8"/>
  <c r="L125" i="8"/>
  <c r="W51" i="8"/>
  <c r="D533" i="38"/>
  <c r="D532" i="38"/>
  <c r="AH144" i="8"/>
  <c r="BG215" i="8"/>
  <c r="CF216" i="8"/>
  <c r="D213" i="38"/>
  <c r="D214" i="38"/>
  <c r="D190" i="38"/>
  <c r="D191" i="38"/>
  <c r="Q117" i="8"/>
  <c r="D74" i="38"/>
  <c r="D75" i="38"/>
  <c r="Z178" i="8"/>
  <c r="D556" i="38"/>
  <c r="D557" i="38"/>
  <c r="AQ242" i="8"/>
  <c r="D858" i="38"/>
  <c r="D859" i="38"/>
  <c r="D866" i="38"/>
  <c r="D867" i="38"/>
  <c r="D709" i="38"/>
  <c r="D710" i="38"/>
  <c r="D210" i="38"/>
  <c r="D211" i="38"/>
  <c r="D187" i="38"/>
  <c r="D188" i="38"/>
  <c r="H27" i="48"/>
  <c r="J27" i="48"/>
  <c r="Q27" i="48"/>
  <c r="D303" i="41"/>
  <c r="D304" i="41"/>
  <c r="F51" i="47"/>
  <c r="G51" i="47"/>
  <c r="F43" i="47"/>
  <c r="G43" i="47"/>
  <c r="F44" i="47"/>
  <c r="G44" i="47"/>
  <c r="D28" i="47"/>
  <c r="D30" i="47"/>
  <c r="F49" i="47"/>
  <c r="G49" i="47"/>
  <c r="F50" i="47"/>
  <c r="G50" i="47"/>
  <c r="D796" i="41"/>
  <c r="D797" i="41"/>
  <c r="W427" i="41"/>
  <c r="D476" i="41"/>
  <c r="D477" i="41"/>
  <c r="D481" i="41"/>
  <c r="E481" i="41"/>
  <c r="E23" i="58"/>
  <c r="BP36" i="8"/>
  <c r="K832" i="41"/>
  <c r="I913" i="41"/>
  <c r="DD318" i="58"/>
  <c r="G337" i="55"/>
  <c r="G339" i="55"/>
  <c r="AA87" i="58"/>
  <c r="BI254" i="58"/>
  <c r="G343" i="55"/>
  <c r="AM181" i="58"/>
  <c r="G359" i="55"/>
  <c r="DD322" i="58"/>
  <c r="AW233" i="58"/>
  <c r="F18" i="13"/>
  <c r="F53" i="41"/>
  <c r="AW32" i="58"/>
  <c r="BP15" i="58"/>
  <c r="BP37" i="58"/>
  <c r="BQ167" i="58"/>
  <c r="G340" i="55"/>
  <c r="AA101" i="8"/>
  <c r="AU118" i="8"/>
  <c r="G342" i="55"/>
  <c r="AM144" i="58"/>
  <c r="AU140" i="58"/>
  <c r="BY192" i="58"/>
  <c r="G350" i="55"/>
  <c r="G351" i="55"/>
  <c r="CU239" i="58"/>
  <c r="G352" i="55"/>
  <c r="CJ253" i="8"/>
  <c r="BT235" i="58"/>
  <c r="P421" i="41"/>
  <c r="P426" i="41"/>
  <c r="G355" i="55"/>
  <c r="DD37" i="8"/>
  <c r="CF105" i="8"/>
  <c r="G357" i="55"/>
  <c r="DD93" i="58"/>
  <c r="CU91" i="58"/>
  <c r="G358" i="55"/>
  <c r="DD160" i="8"/>
  <c r="CF154" i="8"/>
  <c r="BP113" i="58"/>
  <c r="BG64" i="58"/>
  <c r="I317" i="41"/>
  <c r="I316" i="41"/>
  <c r="CU86" i="58"/>
  <c r="CM75" i="58"/>
  <c r="CI15" i="58"/>
  <c r="G353" i="55"/>
  <c r="EG87" i="58"/>
  <c r="D793" i="41"/>
  <c r="D794" i="41"/>
  <c r="D1037" i="38"/>
  <c r="D1098" i="41"/>
  <c r="D1040" i="38"/>
  <c r="D1041" i="38"/>
  <c r="DO46" i="58"/>
  <c r="D1077" i="38"/>
  <c r="D1035" i="38"/>
  <c r="D1036" i="38"/>
  <c r="I26" i="48"/>
  <c r="P26" i="48"/>
  <c r="D1086" i="38"/>
  <c r="D1139" i="41"/>
  <c r="D1097" i="41"/>
  <c r="D1151" i="41"/>
  <c r="D1042" i="38"/>
  <c r="D1103" i="41"/>
  <c r="D1153" i="41"/>
  <c r="D1142" i="41"/>
  <c r="D1154" i="41"/>
  <c r="F108" i="47"/>
  <c r="D1070" i="38"/>
  <c r="D1085" i="38"/>
  <c r="D1066" i="38"/>
  <c r="D1084" i="38"/>
  <c r="I1322" i="41"/>
  <c r="CN269" i="58"/>
  <c r="DB294" i="58"/>
  <c r="AW31" i="8"/>
  <c r="BP14" i="8"/>
  <c r="AX208" i="8"/>
  <c r="BP166" i="8"/>
  <c r="I819" i="38"/>
  <c r="I820" i="38"/>
  <c r="BY191" i="8"/>
  <c r="BT234" i="8"/>
  <c r="P424" i="38"/>
  <c r="P429" i="38"/>
  <c r="D500" i="38"/>
  <c r="D501" i="38"/>
  <c r="D505" i="38"/>
  <c r="E505" i="38"/>
  <c r="DD92" i="8"/>
  <c r="CF131" i="8"/>
  <c r="BL116" i="8"/>
  <c r="H453" i="38"/>
  <c r="BG63" i="8"/>
  <c r="I300" i="38"/>
  <c r="I301" i="38"/>
  <c r="H320" i="38"/>
  <c r="H319" i="38"/>
  <c r="CU85" i="8"/>
  <c r="CM74" i="8"/>
  <c r="CJ14" i="8"/>
  <c r="BY106" i="8"/>
  <c r="BY72" i="8"/>
  <c r="D29" i="47"/>
  <c r="DN45" i="8"/>
  <c r="CQ172" i="8"/>
  <c r="BY74" i="8"/>
  <c r="D1080" i="38"/>
  <c r="D1089" i="38"/>
  <c r="D108" i="47"/>
  <c r="H25" i="48"/>
  <c r="J25" i="48"/>
  <c r="Q25" i="48"/>
  <c r="H114" i="47"/>
  <c r="I114" i="47"/>
  <c r="G115" i="47"/>
  <c r="I816" i="38"/>
  <c r="I817" i="38"/>
  <c r="BY73" i="8"/>
  <c r="D247" i="47"/>
  <c r="E1262" i="38"/>
  <c r="G1262" i="38"/>
  <c r="I1262" i="38"/>
  <c r="J1262" i="38"/>
  <c r="D175" i="47"/>
  <c r="D167" i="47"/>
  <c r="E167" i="47"/>
  <c r="D168" i="47"/>
  <c r="E168" i="47"/>
  <c r="D172" i="47"/>
  <c r="E172" i="47"/>
  <c r="D173" i="47"/>
  <c r="E173" i="47"/>
  <c r="D203" i="47"/>
  <c r="F47" i="47"/>
  <c r="G47" i="47"/>
  <c r="F48" i="47"/>
  <c r="G48" i="47"/>
  <c r="F45" i="47"/>
  <c r="G45" i="47"/>
  <c r="F46" i="47"/>
  <c r="G46" i="47"/>
  <c r="R194" i="55"/>
  <c r="D1128" i="41"/>
  <c r="D1149" i="41"/>
  <c r="F105" i="47"/>
  <c r="D1132" i="41"/>
  <c r="D1150" i="41"/>
  <c r="F106" i="47"/>
  <c r="D218" i="47"/>
  <c r="D262" i="47"/>
  <c r="E1322" i="41"/>
  <c r="G1322" i="41"/>
  <c r="J1322" i="41"/>
  <c r="P1322" i="41"/>
  <c r="G204" i="38"/>
  <c r="CF15" i="8"/>
  <c r="BD310" i="8"/>
  <c r="DD318" i="8"/>
  <c r="G194" i="41"/>
  <c r="CF16" i="58"/>
  <c r="G360" i="55"/>
  <c r="G361" i="55"/>
  <c r="D174" i="47"/>
  <c r="E174" i="47"/>
  <c r="D171" i="47"/>
  <c r="E171" i="47"/>
  <c r="D170" i="47"/>
  <c r="E170" i="47"/>
  <c r="D169" i="47"/>
  <c r="E169" i="47"/>
  <c r="E207" i="47"/>
  <c r="F207" i="47"/>
  <c r="G207" i="47"/>
  <c r="H207" i="47"/>
  <c r="E192" i="47"/>
  <c r="F192" i="47"/>
  <c r="G192" i="47"/>
  <c r="H192" i="47"/>
  <c r="I315" i="41"/>
  <c r="H20" i="48"/>
  <c r="J20" i="48"/>
  <c r="Q20" i="48"/>
  <c r="CF68" i="8"/>
  <c r="DD68" i="8"/>
  <c r="H21" i="48"/>
  <c r="J21" i="48"/>
  <c r="Q21" i="48"/>
  <c r="H318" i="38"/>
  <c r="C1159" i="38"/>
  <c r="C1174" i="38"/>
  <c r="C1187" i="38"/>
  <c r="Q1145" i="38"/>
  <c r="EB97" i="8"/>
  <c r="EB125" i="8"/>
  <c r="EB107" i="8"/>
  <c r="EF106" i="58"/>
  <c r="EF88" i="58"/>
  <c r="EE108" i="58"/>
  <c r="EE90" i="58"/>
  <c r="ED107" i="8"/>
  <c r="EE105" i="8"/>
  <c r="ED89" i="8"/>
  <c r="EE87" i="8"/>
  <c r="G354" i="55"/>
  <c r="DD317" i="8"/>
  <c r="AA71" i="53"/>
  <c r="CF69" i="58"/>
  <c r="DD69" i="58"/>
  <c r="H22" i="48"/>
  <c r="J22" i="48"/>
  <c r="Q22" i="48"/>
  <c r="K1337" i="41"/>
  <c r="K1334" i="41"/>
  <c r="DC285" i="58"/>
  <c r="G344" i="55"/>
  <c r="AL244" i="8"/>
  <c r="DD285" i="8"/>
  <c r="DC286" i="8"/>
  <c r="DD283" i="8"/>
  <c r="D15" i="13"/>
  <c r="D99" i="58"/>
  <c r="EC98" i="58"/>
  <c r="EC126" i="58"/>
  <c r="EC108" i="58"/>
  <c r="EC136" i="58"/>
  <c r="G80" i="97"/>
  <c r="G75" i="97"/>
  <c r="G70" i="97"/>
  <c r="G65" i="97"/>
  <c r="G60" i="97"/>
  <c r="G55" i="97"/>
  <c r="G50" i="97"/>
  <c r="G45" i="97"/>
  <c r="G40" i="97"/>
  <c r="G35" i="97"/>
  <c r="G30" i="97"/>
  <c r="G25" i="97"/>
  <c r="G20" i="97"/>
  <c r="G10" i="97"/>
  <c r="G5" i="97"/>
  <c r="E149" i="99"/>
  <c r="E145" i="99"/>
  <c r="E141" i="99"/>
  <c r="E137" i="99"/>
  <c r="E133" i="99"/>
  <c r="E129" i="99"/>
  <c r="E125" i="99"/>
  <c r="E121" i="99"/>
  <c r="E117" i="99"/>
  <c r="E113" i="99"/>
  <c r="E109" i="99"/>
  <c r="E105" i="99"/>
  <c r="E101" i="99"/>
  <c r="E97" i="99"/>
  <c r="E93" i="99"/>
  <c r="E89" i="99"/>
  <c r="E85" i="99"/>
  <c r="E81" i="99"/>
  <c r="E77" i="99"/>
  <c r="E73" i="99"/>
  <c r="E69" i="99"/>
  <c r="E65" i="99"/>
  <c r="E61" i="99"/>
  <c r="E57" i="99"/>
  <c r="E53" i="99"/>
  <c r="E49" i="99"/>
  <c r="E45" i="99"/>
  <c r="E41" i="99"/>
  <c r="E37" i="99"/>
  <c r="E33" i="99"/>
  <c r="D5" i="99"/>
  <c r="C1" i="97"/>
  <c r="B1" i="97"/>
  <c r="Z53" i="8"/>
  <c r="N73" i="55"/>
  <c r="N103" i="55"/>
  <c r="N134" i="55"/>
  <c r="N147" i="55"/>
  <c r="F203" i="38"/>
  <c r="F970" i="38"/>
  <c r="E47" i="73"/>
  <c r="AM293" i="8"/>
  <c r="D18" i="13"/>
  <c r="D101" i="8"/>
  <c r="D17" i="13"/>
  <c r="D14" i="38"/>
  <c r="N15" i="13"/>
  <c r="N98" i="8"/>
  <c r="D13" i="13"/>
  <c r="D12" i="13"/>
  <c r="D19" i="13"/>
  <c r="K20" i="13"/>
  <c r="B81" i="74"/>
  <c r="B85" i="75"/>
  <c r="E97" i="38"/>
  <c r="E789" i="38"/>
  <c r="D56" i="68"/>
  <c r="D96" i="68"/>
  <c r="C106" i="68"/>
  <c r="D106" i="68"/>
  <c r="F1030" i="41"/>
  <c r="D170" i="68"/>
  <c r="C180" i="68"/>
  <c r="D180" i="68"/>
  <c r="D212" i="68"/>
  <c r="C222" i="68"/>
  <c r="D222" i="68"/>
  <c r="EB135" i="8"/>
  <c r="H915" i="41"/>
  <c r="E973" i="41"/>
  <c r="G973" i="41"/>
  <c r="BS278" i="58"/>
  <c r="C1434" i="41"/>
  <c r="L26" i="48"/>
  <c r="N26" i="48"/>
  <c r="M25" i="48"/>
  <c r="K59" i="48"/>
  <c r="D1101" i="41"/>
  <c r="M26" i="48"/>
  <c r="AE152" i="65"/>
  <c r="L21" i="48"/>
  <c r="N21" i="48"/>
  <c r="L30" i="48"/>
  <c r="N30" i="48"/>
  <c r="L27" i="48"/>
  <c r="N27" i="48"/>
  <c r="L20" i="48"/>
  <c r="N20" i="48"/>
  <c r="E1119" i="41"/>
  <c r="R24" i="13"/>
  <c r="R25" i="13"/>
  <c r="R26" i="13"/>
  <c r="R27" i="13"/>
  <c r="R28" i="13"/>
  <c r="R29" i="13"/>
  <c r="R30" i="13"/>
  <c r="R31" i="13"/>
  <c r="R32" i="13"/>
  <c r="R33" i="13"/>
  <c r="R34" i="13"/>
  <c r="R35" i="13"/>
  <c r="R36" i="13"/>
  <c r="R37" i="13"/>
  <c r="R38" i="13"/>
  <c r="R39" i="13"/>
  <c r="R40" i="13"/>
  <c r="R41" i="13"/>
  <c r="R42" i="13"/>
  <c r="R43" i="13"/>
  <c r="R44" i="13"/>
  <c r="R45" i="13"/>
  <c r="R46" i="13"/>
  <c r="R47" i="13"/>
  <c r="R48" i="13"/>
  <c r="R49" i="13"/>
  <c r="R50" i="13"/>
  <c r="R51" i="13"/>
  <c r="R52" i="13"/>
  <c r="R16" i="13"/>
  <c r="R17" i="13"/>
  <c r="R18" i="13"/>
  <c r="R19" i="13"/>
  <c r="R20" i="13"/>
  <c r="R21" i="13"/>
  <c r="R22" i="13"/>
  <c r="R23" i="13"/>
  <c r="L25" i="48"/>
  <c r="N25" i="48"/>
  <c r="L22" i="48"/>
  <c r="N22" i="48"/>
  <c r="C9" i="13"/>
  <c r="D93" i="58"/>
  <c r="V131" i="65"/>
  <c r="V132" i="65"/>
  <c r="N13" i="13"/>
  <c r="N97" i="58"/>
  <c r="N18" i="13"/>
  <c r="G13" i="13"/>
  <c r="G18" i="13"/>
  <c r="H13" i="13"/>
  <c r="H96" i="8"/>
  <c r="H18" i="13"/>
  <c r="H101" i="8"/>
  <c r="I13" i="13"/>
  <c r="I24" i="53"/>
  <c r="I18" i="13"/>
  <c r="I101" i="8"/>
  <c r="J18" i="13"/>
  <c r="J101" i="8"/>
  <c r="J13" i="13"/>
  <c r="J24" i="53"/>
  <c r="K13" i="13"/>
  <c r="K24" i="53"/>
  <c r="K18" i="13"/>
  <c r="K29" i="53"/>
  <c r="L13" i="13"/>
  <c r="L96" i="8"/>
  <c r="L18" i="13"/>
  <c r="G108" i="41"/>
  <c r="F539" i="41"/>
  <c r="M13" i="13"/>
  <c r="M96" i="8"/>
  <c r="E603" i="38"/>
  <c r="F603" i="38"/>
  <c r="N21" i="13"/>
  <c r="N32" i="53"/>
  <c r="N16" i="13"/>
  <c r="J761" i="38"/>
  <c r="BD309" i="8"/>
  <c r="G341" i="55"/>
  <c r="W140" i="58"/>
  <c r="AE177" i="58"/>
  <c r="H478" i="38"/>
  <c r="CF152" i="8"/>
  <c r="AA99" i="8"/>
  <c r="E579" i="41"/>
  <c r="F579" i="41"/>
  <c r="E367" i="41"/>
  <c r="J678" i="41"/>
  <c r="J733" i="41"/>
  <c r="CP277" i="58"/>
  <c r="CF153" i="58"/>
  <c r="AA100" i="58"/>
  <c r="M446" i="38"/>
  <c r="G37" i="56"/>
  <c r="F95" i="73"/>
  <c r="C81" i="75"/>
  <c r="C80" i="75"/>
  <c r="C79" i="75"/>
  <c r="C78" i="75"/>
  <c r="C77" i="75"/>
  <c r="C76" i="75"/>
  <c r="C75" i="75"/>
  <c r="C51" i="75"/>
  <c r="C50" i="75"/>
  <c r="J47" i="75"/>
  <c r="C77" i="74"/>
  <c r="C76" i="74"/>
  <c r="C75" i="74"/>
  <c r="C74" i="74"/>
  <c r="C73" i="74"/>
  <c r="C72" i="74"/>
  <c r="C71" i="74"/>
  <c r="C48" i="74"/>
  <c r="C47" i="74"/>
  <c r="F49" i="75"/>
  <c r="N22" i="13"/>
  <c r="N34" i="53"/>
  <c r="M22" i="13"/>
  <c r="M34" i="53"/>
  <c r="L22" i="13"/>
  <c r="L34" i="53"/>
  <c r="K22" i="13"/>
  <c r="K34" i="53"/>
  <c r="J22" i="13"/>
  <c r="J34" i="53"/>
  <c r="I22" i="13"/>
  <c r="I34" i="53"/>
  <c r="H22" i="13"/>
  <c r="H34" i="53"/>
  <c r="G22" i="13"/>
  <c r="G34" i="53"/>
  <c r="F22" i="13"/>
  <c r="F34" i="53"/>
  <c r="E22" i="13"/>
  <c r="D22" i="13"/>
  <c r="D19" i="38"/>
  <c r="D35" i="38"/>
  <c r="E21" i="13"/>
  <c r="E32" i="53"/>
  <c r="D21" i="13"/>
  <c r="D18" i="41"/>
  <c r="D34" i="41"/>
  <c r="D56" i="41"/>
  <c r="L20" i="13"/>
  <c r="J20" i="13"/>
  <c r="J31" i="53"/>
  <c r="I20" i="13"/>
  <c r="I31" i="53"/>
  <c r="H20" i="13"/>
  <c r="H104" i="58"/>
  <c r="G20" i="13"/>
  <c r="G104" i="58"/>
  <c r="F20" i="13"/>
  <c r="F55" i="41"/>
  <c r="E20" i="13"/>
  <c r="D20" i="13"/>
  <c r="D17" i="38"/>
  <c r="E19" i="13"/>
  <c r="E103" i="58"/>
  <c r="N17" i="13"/>
  <c r="M17" i="13"/>
  <c r="M100" i="8"/>
  <c r="L17" i="13"/>
  <c r="K17" i="13"/>
  <c r="J17" i="13"/>
  <c r="I17" i="13"/>
  <c r="I28" i="53"/>
  <c r="H17" i="13"/>
  <c r="H101" i="58"/>
  <c r="G17" i="13"/>
  <c r="G100" i="8"/>
  <c r="F17" i="13"/>
  <c r="F100" i="8"/>
  <c r="F16" i="13"/>
  <c r="E16" i="13"/>
  <c r="D16" i="13"/>
  <c r="D100" i="58"/>
  <c r="C10" i="13"/>
  <c r="F9" i="13"/>
  <c r="T6" i="13"/>
  <c r="I156" i="47"/>
  <c r="I155" i="47"/>
  <c r="I113" i="47"/>
  <c r="G108" i="47"/>
  <c r="E108" i="47"/>
  <c r="C108" i="47"/>
  <c r="G107" i="47"/>
  <c r="E107" i="47"/>
  <c r="C107" i="47"/>
  <c r="G106" i="47"/>
  <c r="E106" i="47"/>
  <c r="G105" i="47"/>
  <c r="E105" i="47"/>
  <c r="J86" i="47"/>
  <c r="F86" i="47"/>
  <c r="D86" i="47"/>
  <c r="H86" i="47"/>
  <c r="J85" i="47"/>
  <c r="F85" i="47"/>
  <c r="D85" i="47"/>
  <c r="H85" i="47"/>
  <c r="K65" i="47"/>
  <c r="K64" i="47"/>
  <c r="D31" i="47"/>
  <c r="Q173" i="65"/>
  <c r="K173" i="65"/>
  <c r="E173" i="65"/>
  <c r="AC151" i="65"/>
  <c r="W151" i="65"/>
  <c r="Q151" i="65"/>
  <c r="K151" i="65"/>
  <c r="E151" i="65"/>
  <c r="E194" i="65"/>
  <c r="AH131" i="65"/>
  <c r="AD131" i="65"/>
  <c r="Z131" i="65"/>
  <c r="L131" i="65"/>
  <c r="G131" i="65"/>
  <c r="C131" i="65"/>
  <c r="AA119" i="65"/>
  <c r="M119" i="65"/>
  <c r="Y69" i="65"/>
  <c r="U69" i="65"/>
  <c r="P61" i="65"/>
  <c r="P60" i="65"/>
  <c r="P59" i="65"/>
  <c r="P52" i="65"/>
  <c r="P51" i="65"/>
  <c r="P50" i="65"/>
  <c r="E102" i="48"/>
  <c r="E101" i="48"/>
  <c r="E100" i="48"/>
  <c r="E98" i="48"/>
  <c r="E97" i="48"/>
  <c r="P31" i="48"/>
  <c r="L31" i="48"/>
  <c r="H31" i="48"/>
  <c r="P30" i="48"/>
  <c r="I27" i="48"/>
  <c r="M27" i="48"/>
  <c r="P27" i="48"/>
  <c r="P18" i="48"/>
  <c r="H155" i="47"/>
  <c r="P17" i="48"/>
  <c r="G356" i="55"/>
  <c r="DD73" i="58"/>
  <c r="CF73" i="58"/>
  <c r="BP73" i="58"/>
  <c r="G349" i="55"/>
  <c r="CU176" i="8"/>
  <c r="G348" i="55"/>
  <c r="G347" i="55"/>
  <c r="CF19" i="58"/>
  <c r="G346" i="55"/>
  <c r="BX52" i="8"/>
  <c r="G345" i="55"/>
  <c r="BG45" i="58"/>
  <c r="BY181" i="58"/>
  <c r="AA86" i="8"/>
  <c r="G338" i="55"/>
  <c r="AA70" i="58"/>
  <c r="BG21" i="58"/>
  <c r="K305" i="55"/>
  <c r="J305" i="55"/>
  <c r="I305" i="55"/>
  <c r="H305" i="55"/>
  <c r="H300" i="55"/>
  <c r="K292" i="55"/>
  <c r="J292" i="55"/>
  <c r="I292" i="55"/>
  <c r="H292" i="55"/>
  <c r="H287" i="55"/>
  <c r="L256" i="55"/>
  <c r="J256" i="55"/>
  <c r="I256" i="55"/>
  <c r="L254" i="55"/>
  <c r="J245" i="55"/>
  <c r="I245" i="55"/>
  <c r="H233" i="55"/>
  <c r="L232" i="55"/>
  <c r="L230" i="55"/>
  <c r="L228" i="55"/>
  <c r="L203" i="55"/>
  <c r="L202" i="55"/>
  <c r="J202" i="55"/>
  <c r="I202" i="55"/>
  <c r="L200" i="55"/>
  <c r="L199" i="55"/>
  <c r="T194" i="55"/>
  <c r="L192" i="55"/>
  <c r="L193" i="55"/>
  <c r="G166" i="55"/>
  <c r="G178" i="55"/>
  <c r="G141" i="55"/>
  <c r="H154" i="55"/>
  <c r="J149" i="55"/>
  <c r="I149" i="55"/>
  <c r="H143" i="55"/>
  <c r="J136" i="55"/>
  <c r="I136" i="55"/>
  <c r="H130" i="55"/>
  <c r="H226" i="55"/>
  <c r="I105" i="55"/>
  <c r="H99" i="55"/>
  <c r="J75" i="55"/>
  <c r="I75" i="55"/>
  <c r="U47" i="55"/>
  <c r="J46" i="55"/>
  <c r="I46" i="55"/>
  <c r="U45" i="55"/>
  <c r="H41" i="55"/>
  <c r="H27" i="55"/>
  <c r="H69" i="55"/>
  <c r="C1468" i="41"/>
  <c r="C1467" i="41"/>
  <c r="C1466" i="41"/>
  <c r="C1436" i="41"/>
  <c r="C1435" i="41"/>
  <c r="C1303" i="41"/>
  <c r="C1355" i="41"/>
  <c r="C1409" i="41"/>
  <c r="C1408" i="41"/>
  <c r="M1376" i="41"/>
  <c r="C1356" i="41"/>
  <c r="C1383" i="41"/>
  <c r="C1351" i="41"/>
  <c r="C1326" i="41"/>
  <c r="C1212" i="41"/>
  <c r="C1325" i="41"/>
  <c r="C1211" i="41"/>
  <c r="C1324" i="41"/>
  <c r="C1207" i="41"/>
  <c r="C1220" i="41"/>
  <c r="C1235" i="41"/>
  <c r="C1248" i="41"/>
  <c r="C1222" i="41"/>
  <c r="C1237" i="41"/>
  <c r="C1250" i="41"/>
  <c r="C1221" i="41"/>
  <c r="C1236" i="41"/>
  <c r="C1249" i="41"/>
  <c r="C1232" i="41"/>
  <c r="C1203" i="41"/>
  <c r="C1230" i="41"/>
  <c r="C1206" i="41"/>
  <c r="C1219" i="41"/>
  <c r="C1234" i="41"/>
  <c r="C1247" i="41"/>
  <c r="C1205" i="41"/>
  <c r="C1218" i="41"/>
  <c r="C1233" i="41"/>
  <c r="C1246" i="41"/>
  <c r="H1163" i="41"/>
  <c r="C1150" i="41"/>
  <c r="C1149" i="41"/>
  <c r="C1114" i="41"/>
  <c r="C1113" i="41"/>
  <c r="C1112" i="41"/>
  <c r="C1111" i="41"/>
  <c r="C1110" i="41"/>
  <c r="C1109" i="41"/>
  <c r="C1091" i="41"/>
  <c r="C1083" i="41"/>
  <c r="C1074" i="41"/>
  <c r="K1071" i="41"/>
  <c r="H1070" i="41"/>
  <c r="C1068" i="41"/>
  <c r="F1031" i="41"/>
  <c r="J1029" i="41"/>
  <c r="G1029" i="41"/>
  <c r="E1029" i="41"/>
  <c r="H1027" i="41"/>
  <c r="G1027" i="41"/>
  <c r="G1026" i="41"/>
  <c r="E1026" i="41"/>
  <c r="J1022" i="41"/>
  <c r="G1022" i="41"/>
  <c r="F1022" i="41"/>
  <c r="E1022" i="41"/>
  <c r="F166" i="41"/>
  <c r="E1028" i="41"/>
  <c r="E229" i="41"/>
  <c r="E227" i="41"/>
  <c r="E219" i="41"/>
  <c r="E215" i="41"/>
  <c r="E191" i="41"/>
  <c r="G191" i="41"/>
  <c r="CF13" i="58"/>
  <c r="H189" i="41"/>
  <c r="H188" i="41"/>
  <c r="E187" i="41"/>
  <c r="F786" i="41"/>
  <c r="CU172" i="58"/>
  <c r="E785" i="41"/>
  <c r="F785" i="41"/>
  <c r="E765" i="41"/>
  <c r="F731" i="41"/>
  <c r="F730" i="41"/>
  <c r="F726" i="41"/>
  <c r="F725" i="41"/>
  <c r="J724" i="41"/>
  <c r="CN268" i="58"/>
  <c r="CS268" i="58"/>
  <c r="I724" i="41"/>
  <c r="CH243" i="58"/>
  <c r="CH256" i="58"/>
  <c r="H724" i="41"/>
  <c r="CS228" i="58"/>
  <c r="CS241" i="58"/>
  <c r="G724" i="41"/>
  <c r="F724" i="41"/>
  <c r="E724" i="41"/>
  <c r="D711" i="41"/>
  <c r="E709" i="41"/>
  <c r="F708" i="41"/>
  <c r="F707" i="41"/>
  <c r="F706" i="41"/>
  <c r="F705" i="41"/>
  <c r="C696" i="41"/>
  <c r="C695" i="41"/>
  <c r="C694" i="41"/>
  <c r="C693" i="41"/>
  <c r="C692" i="41"/>
  <c r="C691" i="41"/>
  <c r="L678" i="41"/>
  <c r="E678" i="41"/>
  <c r="H619" i="41"/>
  <c r="F984" i="41"/>
  <c r="BY176" i="58"/>
  <c r="E978" i="41"/>
  <c r="E964" i="41"/>
  <c r="E947" i="41"/>
  <c r="I915" i="41"/>
  <c r="DD320" i="58"/>
  <c r="G915" i="41"/>
  <c r="BI252" i="58"/>
  <c r="F915" i="41"/>
  <c r="E987" i="41"/>
  <c r="E915" i="41"/>
  <c r="E911" i="41"/>
  <c r="E906" i="41"/>
  <c r="E319" i="41"/>
  <c r="J315" i="41"/>
  <c r="C10" i="41"/>
  <c r="C26" i="41"/>
  <c r="F310" i="41"/>
  <c r="E310" i="41"/>
  <c r="G444" i="41"/>
  <c r="J310" i="41"/>
  <c r="C469" i="41"/>
  <c r="C476" i="41"/>
  <c r="C486" i="41"/>
  <c r="AB420" i="41"/>
  <c r="F453" i="41"/>
  <c r="CF109" i="58"/>
  <c r="E453" i="41"/>
  <c r="H444" i="41"/>
  <c r="CD144" i="58"/>
  <c r="CH144" i="58"/>
  <c r="F444" i="41"/>
  <c r="I1022" i="41"/>
  <c r="E444" i="41"/>
  <c r="AA438" i="41"/>
  <c r="Z438" i="41"/>
  <c r="Y438" i="41"/>
  <c r="X438" i="41"/>
  <c r="W438" i="41"/>
  <c r="V438" i="41"/>
  <c r="D438" i="41"/>
  <c r="AA437" i="41"/>
  <c r="AA436" i="41"/>
  <c r="Z437" i="41"/>
  <c r="Z436" i="41"/>
  <c r="Y437" i="41"/>
  <c r="Y436" i="41"/>
  <c r="X437" i="41"/>
  <c r="X436" i="41"/>
  <c r="W437" i="41"/>
  <c r="W436" i="41"/>
  <c r="V437" i="41"/>
  <c r="V436" i="41"/>
  <c r="P437" i="41"/>
  <c r="F437" i="41"/>
  <c r="P436" i="41"/>
  <c r="F436" i="41"/>
  <c r="P435" i="41"/>
  <c r="F435" i="41"/>
  <c r="P434" i="41"/>
  <c r="P432" i="41"/>
  <c r="P433" i="41"/>
  <c r="F434" i="41"/>
  <c r="F433" i="41"/>
  <c r="F432" i="41"/>
  <c r="K392" i="41"/>
  <c r="I388" i="41"/>
  <c r="I390" i="41"/>
  <c r="F367" i="41"/>
  <c r="H358" i="41"/>
  <c r="G358" i="41"/>
  <c r="F358" i="41"/>
  <c r="E358" i="41"/>
  <c r="E296" i="41"/>
  <c r="F295" i="41"/>
  <c r="CF68" i="58"/>
  <c r="DD68" i="58"/>
  <c r="E294" i="41"/>
  <c r="F294" i="41"/>
  <c r="CF67" i="58"/>
  <c r="DD67" i="58"/>
  <c r="E290" i="41"/>
  <c r="E255" i="41"/>
  <c r="G252" i="41"/>
  <c r="F116" i="41"/>
  <c r="D46" i="41"/>
  <c r="D101" i="41"/>
  <c r="C18" i="41"/>
  <c r="C34" i="41"/>
  <c r="C56" i="41"/>
  <c r="C111" i="41"/>
  <c r="C11" i="41"/>
  <c r="C27" i="41"/>
  <c r="C15" i="41"/>
  <c r="C31" i="41"/>
  <c r="C53" i="41"/>
  <c r="C14" i="41"/>
  <c r="C30" i="41"/>
  <c r="C24" i="41"/>
  <c r="C46" i="41"/>
  <c r="C19" i="41"/>
  <c r="C35" i="41"/>
  <c r="C17" i="41"/>
  <c r="C33" i="41"/>
  <c r="C55" i="41"/>
  <c r="C16" i="41"/>
  <c r="C13" i="41"/>
  <c r="C29" i="41"/>
  <c r="C51" i="41"/>
  <c r="C12" i="41"/>
  <c r="D11" i="41"/>
  <c r="D27" i="41"/>
  <c r="C9" i="41"/>
  <c r="DC323" i="58"/>
  <c r="DC312" i="58"/>
  <c r="DB312" i="58"/>
  <c r="DB311" i="58"/>
  <c r="DF311" i="58"/>
  <c r="I1163" i="41"/>
  <c r="AM300" i="58"/>
  <c r="DF293" i="58"/>
  <c r="BK282" i="58"/>
  <c r="BR281" i="58"/>
  <c r="CO280" i="58"/>
  <c r="BR278" i="58"/>
  <c r="BQ278" i="58"/>
  <c r="CO277" i="58"/>
  <c r="DC302" i="58"/>
  <c r="CN277" i="58"/>
  <c r="DB302" i="58"/>
  <c r="BR277" i="58"/>
  <c r="BQ277" i="58"/>
  <c r="CO276" i="58"/>
  <c r="DC301" i="58"/>
  <c r="CN276" i="58"/>
  <c r="DB301" i="58"/>
  <c r="BR276" i="58"/>
  <c r="BQ276" i="58"/>
  <c r="CO275" i="58"/>
  <c r="DC300" i="58"/>
  <c r="CN275" i="58"/>
  <c r="DB300" i="58"/>
  <c r="BQ275" i="58"/>
  <c r="CN274" i="58"/>
  <c r="DB299" i="58"/>
  <c r="BR274" i="58"/>
  <c r="BQ274" i="58"/>
  <c r="CO273" i="58"/>
  <c r="DC298" i="58"/>
  <c r="CN273" i="58"/>
  <c r="DB298" i="58"/>
  <c r="BR273" i="58"/>
  <c r="BQ273" i="58"/>
  <c r="CO272" i="58"/>
  <c r="DC297" i="58"/>
  <c r="CN272" i="58"/>
  <c r="DB297" i="58"/>
  <c r="BR272" i="58"/>
  <c r="BQ272" i="58"/>
  <c r="CO271" i="58"/>
  <c r="DC296" i="58"/>
  <c r="CN271" i="58"/>
  <c r="DB296" i="58"/>
  <c r="BR271" i="58"/>
  <c r="BQ271" i="58"/>
  <c r="BK271" i="58"/>
  <c r="BJ271" i="58"/>
  <c r="CO270" i="58"/>
  <c r="DC295" i="58"/>
  <c r="CN270" i="58"/>
  <c r="DB295" i="58"/>
  <c r="BR270" i="58"/>
  <c r="BQ270" i="58"/>
  <c r="BJ270" i="58"/>
  <c r="BJ283" i="58"/>
  <c r="CO269" i="58"/>
  <c r="DC294" i="58"/>
  <c r="BQ269" i="58"/>
  <c r="BQ283" i="58"/>
  <c r="AS261" i="58"/>
  <c r="AV258" i="58"/>
  <c r="CA257" i="58"/>
  <c r="CH263" i="58"/>
  <c r="AV257" i="58"/>
  <c r="AK257" i="58"/>
  <c r="CI255" i="58"/>
  <c r="BH255" i="58"/>
  <c r="CI252" i="58"/>
  <c r="CH252" i="58"/>
  <c r="BA252" i="58"/>
  <c r="CI251" i="58"/>
  <c r="CH251" i="58"/>
  <c r="CI250" i="58"/>
  <c r="CH250" i="58"/>
  <c r="AS250" i="58"/>
  <c r="AR250" i="58"/>
  <c r="CH249" i="58"/>
  <c r="BB249" i="58"/>
  <c r="AR249" i="58"/>
  <c r="AR266" i="58"/>
  <c r="CI248" i="58"/>
  <c r="CH248" i="58"/>
  <c r="CB248" i="58"/>
  <c r="CI247" i="58"/>
  <c r="CH247" i="58"/>
  <c r="CI246" i="58"/>
  <c r="CH246" i="58"/>
  <c r="CI245" i="58"/>
  <c r="CH245" i="58"/>
  <c r="CB245" i="58"/>
  <c r="CA245" i="58"/>
  <c r="AJ245" i="58"/>
  <c r="AJ258" i="58"/>
  <c r="CI244" i="58"/>
  <c r="CH244" i="58"/>
  <c r="CB244" i="58"/>
  <c r="CA244" i="58"/>
  <c r="BH244" i="58"/>
  <c r="BG244" i="58"/>
  <c r="CB243" i="58"/>
  <c r="CA243" i="58"/>
  <c r="BG243" i="58"/>
  <c r="BK243" i="58"/>
  <c r="CA242" i="58"/>
  <c r="CB241" i="58"/>
  <c r="CA241" i="58"/>
  <c r="BA241" i="58"/>
  <c r="AZ241" i="58"/>
  <c r="CT240" i="58"/>
  <c r="CB240" i="58"/>
  <c r="CA240" i="58"/>
  <c r="BS240" i="58"/>
  <c r="AZ240" i="58"/>
  <c r="AZ254" i="58"/>
  <c r="CB239" i="58"/>
  <c r="CA239" i="58"/>
  <c r="CB238" i="58"/>
  <c r="CA238" i="58"/>
  <c r="AV238" i="58"/>
  <c r="CT237" i="58"/>
  <c r="CS237" i="58"/>
  <c r="CB237" i="58"/>
  <c r="CA237" i="58"/>
  <c r="CT236" i="58"/>
  <c r="CS236" i="58"/>
  <c r="CA236" i="58"/>
  <c r="CA250" i="58"/>
  <c r="BS236" i="58"/>
  <c r="BR236" i="58"/>
  <c r="CT235" i="58"/>
  <c r="CS235" i="58"/>
  <c r="BS235" i="58"/>
  <c r="BR235" i="58"/>
  <c r="AW235" i="58"/>
  <c r="CS234" i="58"/>
  <c r="BR234" i="58"/>
  <c r="CT233" i="58"/>
  <c r="CS233" i="58"/>
  <c r="BS233" i="58"/>
  <c r="BR233" i="58"/>
  <c r="CT232" i="58"/>
  <c r="CS232" i="58"/>
  <c r="BS232" i="58"/>
  <c r="BR232" i="58"/>
  <c r="CT231" i="58"/>
  <c r="CS231" i="58"/>
  <c r="BS231" i="58"/>
  <c r="BR231" i="58"/>
  <c r="CT230" i="58"/>
  <c r="CS230" i="58"/>
  <c r="BS230" i="58"/>
  <c r="BR230" i="58"/>
  <c r="CT229" i="58"/>
  <c r="CS229" i="58"/>
  <c r="BS229" i="58"/>
  <c r="BR229" i="58"/>
  <c r="BR228" i="58"/>
  <c r="DL158" i="58"/>
  <c r="BX227" i="58"/>
  <c r="AV227" i="58"/>
  <c r="AU227" i="58"/>
  <c r="AU226" i="58"/>
  <c r="DL125" i="58"/>
  <c r="BY224" i="58"/>
  <c r="BX216" i="58"/>
  <c r="BW216" i="58"/>
  <c r="BW215" i="58"/>
  <c r="CA215" i="58"/>
  <c r="BW211" i="58"/>
  <c r="BW210" i="58"/>
  <c r="BS205" i="58"/>
  <c r="AT198" i="58"/>
  <c r="BX196" i="58"/>
  <c r="BS194" i="58"/>
  <c r="BR194" i="58"/>
  <c r="BR193" i="58"/>
  <c r="BP187" i="58"/>
  <c r="AT187" i="58"/>
  <c r="AS187" i="58"/>
  <c r="BX186" i="58"/>
  <c r="BW186" i="58"/>
  <c r="BO186" i="58"/>
  <c r="AS186" i="58"/>
  <c r="AX186" i="58"/>
  <c r="BW185" i="58"/>
  <c r="DL147" i="58"/>
  <c r="BX182" i="58"/>
  <c r="BH182" i="58"/>
  <c r="AL182" i="58"/>
  <c r="CL181" i="58"/>
  <c r="AT179" i="58"/>
  <c r="CT178" i="58"/>
  <c r="CL178" i="58"/>
  <c r="CK178" i="58"/>
  <c r="AD178" i="58"/>
  <c r="CL177" i="58"/>
  <c r="CK177" i="58"/>
  <c r="BY177" i="58"/>
  <c r="CL176" i="58"/>
  <c r="CK176" i="58"/>
  <c r="CU175" i="58"/>
  <c r="CT175" i="58"/>
  <c r="CS175" i="58"/>
  <c r="CK175" i="58"/>
  <c r="BY175" i="58"/>
  <c r="CT174" i="58"/>
  <c r="CS174" i="58"/>
  <c r="CL174" i="58"/>
  <c r="CK174" i="58"/>
  <c r="CU173" i="58"/>
  <c r="CT173" i="58"/>
  <c r="CS173" i="58"/>
  <c r="CL173" i="58"/>
  <c r="CK173" i="58"/>
  <c r="CS172" i="58"/>
  <c r="CL172" i="58"/>
  <c r="CK172" i="58"/>
  <c r="BP172" i="58"/>
  <c r="CT171" i="58"/>
  <c r="CS171" i="58"/>
  <c r="CL171" i="58"/>
  <c r="CK171" i="58"/>
  <c r="BX171" i="58"/>
  <c r="BW171" i="58"/>
  <c r="BH171" i="58"/>
  <c r="BG171" i="58"/>
  <c r="CT170" i="58"/>
  <c r="CS170" i="58"/>
  <c r="CL170" i="58"/>
  <c r="CK170" i="58"/>
  <c r="BW170" i="58"/>
  <c r="CA170" i="58"/>
  <c r="BG170" i="58"/>
  <c r="BG184" i="58"/>
  <c r="AK170" i="58"/>
  <c r="AK184" i="58"/>
  <c r="CT169" i="58"/>
  <c r="CS169" i="58"/>
  <c r="CT168" i="58"/>
  <c r="CS168" i="58"/>
  <c r="AT168" i="58"/>
  <c r="AS168" i="58"/>
  <c r="CT167" i="58"/>
  <c r="CS167" i="58"/>
  <c r="AS167" i="58"/>
  <c r="AX167" i="58"/>
  <c r="CS166" i="58"/>
  <c r="CS180" i="58"/>
  <c r="AC166" i="58"/>
  <c r="AC180" i="58"/>
  <c r="DL165" i="58"/>
  <c r="AT164" i="58"/>
  <c r="BP161" i="58"/>
  <c r="BO161" i="58"/>
  <c r="BO160" i="58"/>
  <c r="DL136" i="58"/>
  <c r="BP158" i="58"/>
  <c r="CE156" i="58"/>
  <c r="BQ155" i="58"/>
  <c r="CE153" i="58"/>
  <c r="DC159" i="58"/>
  <c r="CD153" i="58"/>
  <c r="DB159" i="58"/>
  <c r="AT153" i="58"/>
  <c r="AS153" i="58"/>
  <c r="CE152" i="58"/>
  <c r="DC158" i="58"/>
  <c r="CD152" i="58"/>
  <c r="DB158" i="58"/>
  <c r="AS152" i="58"/>
  <c r="AX152" i="58"/>
  <c r="CE151" i="58"/>
  <c r="DC157" i="58"/>
  <c r="CD151" i="58"/>
  <c r="DB157" i="58"/>
  <c r="CD150" i="58"/>
  <c r="DB156" i="58"/>
  <c r="CE149" i="58"/>
  <c r="DC155" i="58"/>
  <c r="CD149" i="58"/>
  <c r="DB155" i="58"/>
  <c r="CE148" i="58"/>
  <c r="DC154" i="58"/>
  <c r="CD148" i="58"/>
  <c r="DB154" i="58"/>
  <c r="CE147" i="58"/>
  <c r="DC153" i="58"/>
  <c r="CD147" i="58"/>
  <c r="DB153" i="58"/>
  <c r="BP147" i="58"/>
  <c r="BO147" i="58"/>
  <c r="CE146" i="58"/>
  <c r="DC152" i="58"/>
  <c r="CD146" i="58"/>
  <c r="DB152" i="58"/>
  <c r="BO146" i="58"/>
  <c r="BR146" i="58"/>
  <c r="CE145" i="58"/>
  <c r="DC151" i="58"/>
  <c r="CD145" i="58"/>
  <c r="DB151" i="58"/>
  <c r="AL145" i="58"/>
  <c r="AT141" i="58"/>
  <c r="V141" i="58"/>
  <c r="CE133" i="58"/>
  <c r="BH133" i="58"/>
  <c r="AK133" i="58"/>
  <c r="AK146" i="58"/>
  <c r="BS132" i="58"/>
  <c r="BM132" i="58"/>
  <c r="BM131" i="58"/>
  <c r="CF130" i="58"/>
  <c r="CE130" i="58"/>
  <c r="CD130" i="58"/>
  <c r="BI130" i="58"/>
  <c r="AT130" i="58"/>
  <c r="AS130" i="58"/>
  <c r="CE129" i="58"/>
  <c r="CD129" i="58"/>
  <c r="BT129" i="58"/>
  <c r="AS129" i="58"/>
  <c r="AX129" i="58"/>
  <c r="U129" i="58"/>
  <c r="Y129" i="58"/>
  <c r="CE128" i="58"/>
  <c r="CD128" i="58"/>
  <c r="CD127" i="58"/>
  <c r="EB126" i="58"/>
  <c r="CE126" i="58"/>
  <c r="CD126" i="58"/>
  <c r="CE125" i="58"/>
  <c r="CD125" i="58"/>
  <c r="CE124" i="58"/>
  <c r="CD124" i="58"/>
  <c r="CE123" i="58"/>
  <c r="CD123" i="58"/>
  <c r="EA122" i="58"/>
  <c r="EA128" i="58"/>
  <c r="CE122" i="58"/>
  <c r="CD122" i="58"/>
  <c r="BH122" i="58"/>
  <c r="BG122" i="58"/>
  <c r="BS121" i="58"/>
  <c r="BR121" i="58"/>
  <c r="BG121" i="58"/>
  <c r="BR120" i="58"/>
  <c r="BR133" i="58"/>
  <c r="AT120" i="58"/>
  <c r="BO118" i="58"/>
  <c r="BP115" i="58"/>
  <c r="CE112" i="58"/>
  <c r="M112" i="58"/>
  <c r="L112" i="58"/>
  <c r="L111" i="58"/>
  <c r="CE109" i="58"/>
  <c r="CD109" i="58"/>
  <c r="AT109" i="58"/>
  <c r="AS109" i="58"/>
  <c r="CE108" i="58"/>
  <c r="CD108" i="58"/>
  <c r="AS108" i="58"/>
  <c r="AX108" i="58"/>
  <c r="CE107" i="58"/>
  <c r="CD107" i="58"/>
  <c r="BO107" i="58"/>
  <c r="BN107" i="58"/>
  <c r="CD106" i="58"/>
  <c r="BN106" i="58"/>
  <c r="DL102" i="58"/>
  <c r="CE105" i="58"/>
  <c r="CD105" i="58"/>
  <c r="CE104" i="58"/>
  <c r="CD104" i="58"/>
  <c r="AT104" i="58"/>
  <c r="C104" i="58"/>
  <c r="CE103" i="58"/>
  <c r="CD103" i="58"/>
  <c r="Z103" i="58"/>
  <c r="C103" i="58"/>
  <c r="CE102" i="58"/>
  <c r="CD102" i="58"/>
  <c r="C102" i="58"/>
  <c r="CE101" i="58"/>
  <c r="CD101" i="58"/>
  <c r="C101" i="58"/>
  <c r="C100" i="58"/>
  <c r="T99" i="58"/>
  <c r="C99" i="58"/>
  <c r="EB98" i="58"/>
  <c r="S98" i="58"/>
  <c r="S110" i="58"/>
  <c r="D98" i="58"/>
  <c r="C98" i="58"/>
  <c r="EC97" i="58"/>
  <c r="C97" i="58"/>
  <c r="C96" i="58"/>
  <c r="C95" i="58"/>
  <c r="EB94" i="58"/>
  <c r="EA94" i="58"/>
  <c r="CS94" i="58"/>
  <c r="EB93" i="58"/>
  <c r="EA93" i="58"/>
  <c r="CN93" i="58"/>
  <c r="AT93" i="58"/>
  <c r="AS93" i="58"/>
  <c r="EA92" i="58"/>
  <c r="EA100" i="58"/>
  <c r="CT92" i="58"/>
  <c r="CN92" i="58"/>
  <c r="AS92" i="58"/>
  <c r="AX92" i="58"/>
  <c r="DD91" i="58"/>
  <c r="Z88" i="58"/>
  <c r="CU85" i="58"/>
  <c r="AA85" i="58"/>
  <c r="DC83" i="58"/>
  <c r="DB83" i="58"/>
  <c r="DB82" i="58"/>
  <c r="DF82" i="58"/>
  <c r="F1163" i="41"/>
  <c r="CT81" i="58"/>
  <c r="CS81" i="58"/>
  <c r="CL80" i="58"/>
  <c r="BK77" i="58"/>
  <c r="BJ76" i="58"/>
  <c r="Y76" i="58"/>
  <c r="AC76" i="58"/>
  <c r="CM74" i="58"/>
  <c r="BO74" i="58"/>
  <c r="CE71" i="58"/>
  <c r="DC71" i="58"/>
  <c r="CD71" i="58"/>
  <c r="DB71" i="58"/>
  <c r="Z71" i="58"/>
  <c r="CF70" i="58"/>
  <c r="DD70" i="58"/>
  <c r="CE70" i="58"/>
  <c r="DC70" i="58"/>
  <c r="CD70" i="58"/>
  <c r="DB70" i="58"/>
  <c r="CL69" i="58"/>
  <c r="CK69" i="58"/>
  <c r="CE69" i="58"/>
  <c r="DC69" i="58"/>
  <c r="CD69" i="58"/>
  <c r="DB69" i="58"/>
  <c r="BP69" i="58"/>
  <c r="BF69" i="58"/>
  <c r="CK68" i="58"/>
  <c r="DL113" i="58"/>
  <c r="CD68" i="58"/>
  <c r="DB68" i="58"/>
  <c r="AA68" i="58"/>
  <c r="CE67" i="58"/>
  <c r="DC67" i="58"/>
  <c r="CD67" i="58"/>
  <c r="DB67" i="58"/>
  <c r="BP67" i="58"/>
  <c r="CE66" i="58"/>
  <c r="DC66" i="58"/>
  <c r="CD66" i="58"/>
  <c r="DB66" i="58"/>
  <c r="CE65" i="58"/>
  <c r="DC65" i="58"/>
  <c r="CD65" i="58"/>
  <c r="DB65" i="58"/>
  <c r="CE64" i="58"/>
  <c r="DC64" i="58"/>
  <c r="CD64" i="58"/>
  <c r="DB64" i="58"/>
  <c r="CE63" i="58"/>
  <c r="DC63" i="58"/>
  <c r="CD63" i="58"/>
  <c r="DB63" i="58"/>
  <c r="BO63" i="58"/>
  <c r="BN63" i="58"/>
  <c r="BG63" i="58"/>
  <c r="CD62" i="58"/>
  <c r="DB62" i="58"/>
  <c r="BN62" i="58"/>
  <c r="BN75" i="58"/>
  <c r="Y59" i="58"/>
  <c r="AC59" i="58"/>
  <c r="BF58" i="58"/>
  <c r="BE58" i="58"/>
  <c r="BW57" i="58"/>
  <c r="BE57" i="58"/>
  <c r="DL91" i="58"/>
  <c r="BX54" i="58"/>
  <c r="BW54" i="58"/>
  <c r="BV54" i="58"/>
  <c r="Z54" i="58"/>
  <c r="BW53" i="58"/>
  <c r="BV53" i="58"/>
  <c r="AY53" i="58"/>
  <c r="BW52" i="58"/>
  <c r="BV52" i="58"/>
  <c r="AX52" i="58"/>
  <c r="BV51" i="58"/>
  <c r="AA51" i="58"/>
  <c r="BW50" i="58"/>
  <c r="BV50" i="58"/>
  <c r="BW49" i="58"/>
  <c r="BV49" i="58"/>
  <c r="BW48" i="58"/>
  <c r="BV48" i="58"/>
  <c r="DO47" i="58"/>
  <c r="BW47" i="58"/>
  <c r="BV47" i="58"/>
  <c r="BW46" i="58"/>
  <c r="BV46" i="58"/>
  <c r="BF46" i="58"/>
  <c r="BV45" i="58"/>
  <c r="BZ45" i="58"/>
  <c r="BG43" i="58"/>
  <c r="Z43" i="58"/>
  <c r="Y43" i="58"/>
  <c r="BO42" i="58"/>
  <c r="Y42" i="58"/>
  <c r="AC42" i="58"/>
  <c r="BG39" i="58"/>
  <c r="BO38" i="58"/>
  <c r="BN38" i="58"/>
  <c r="BO37" i="58"/>
  <c r="BN37" i="58"/>
  <c r="AV37" i="58"/>
  <c r="DD36" i="58"/>
  <c r="DC36" i="58"/>
  <c r="DB36" i="58"/>
  <c r="BP36" i="58"/>
  <c r="BN36" i="58"/>
  <c r="DC35" i="58"/>
  <c r="DB35" i="58"/>
  <c r="BO35" i="58"/>
  <c r="BN35" i="58"/>
  <c r="BF35" i="58"/>
  <c r="BE35" i="58"/>
  <c r="DC34" i="58"/>
  <c r="DB34" i="58"/>
  <c r="BO34" i="58"/>
  <c r="BN34" i="58"/>
  <c r="BE34" i="58"/>
  <c r="BI34" i="58"/>
  <c r="DB33" i="58"/>
  <c r="BO33" i="58"/>
  <c r="BN33" i="58"/>
  <c r="DC32" i="58"/>
  <c r="DB32" i="58"/>
  <c r="BO32" i="58"/>
  <c r="BN32" i="58"/>
  <c r="DC31" i="58"/>
  <c r="DB31" i="58"/>
  <c r="BO31" i="58"/>
  <c r="BN31" i="58"/>
  <c r="AW31" i="58"/>
  <c r="DC30" i="58"/>
  <c r="DB30" i="58"/>
  <c r="BR30" i="58"/>
  <c r="BN30" i="58"/>
  <c r="DL57" i="58"/>
  <c r="DC29" i="58"/>
  <c r="DB29" i="58"/>
  <c r="BQ29" i="58"/>
  <c r="DC28" i="58"/>
  <c r="DB28" i="58"/>
  <c r="DB27" i="58"/>
  <c r="DF27" i="58"/>
  <c r="D1163" i="41"/>
  <c r="AV26" i="58"/>
  <c r="AU26" i="58"/>
  <c r="AU25" i="58"/>
  <c r="DL80" i="58"/>
  <c r="BF22" i="58"/>
  <c r="CE20" i="58"/>
  <c r="BW20" i="58"/>
  <c r="BO20" i="58"/>
  <c r="BX15" i="58"/>
  <c r="BW17" i="58"/>
  <c r="BV17" i="58"/>
  <c r="CE16" i="58"/>
  <c r="CD16" i="58"/>
  <c r="BW16" i="58"/>
  <c r="BV16" i="58"/>
  <c r="BO16" i="58"/>
  <c r="BN16" i="58"/>
  <c r="CF15" i="58"/>
  <c r="CE15" i="58"/>
  <c r="CD15" i="58"/>
  <c r="BW15" i="58"/>
  <c r="BV15" i="58"/>
  <c r="BO15" i="58"/>
  <c r="BN15" i="58"/>
  <c r="CF14" i="58"/>
  <c r="CD14" i="58"/>
  <c r="BX14" i="58"/>
  <c r="BV14" i="58"/>
  <c r="BP14" i="58"/>
  <c r="BN14" i="58"/>
  <c r="CE13" i="58"/>
  <c r="CD13" i="58"/>
  <c r="BX13" i="58"/>
  <c r="BW13" i="58"/>
  <c r="BV13" i="58"/>
  <c r="BO13" i="58"/>
  <c r="BN13" i="58"/>
  <c r="CE12" i="58"/>
  <c r="CD12" i="58"/>
  <c r="BW12" i="58"/>
  <c r="BV12" i="58"/>
  <c r="BO12" i="58"/>
  <c r="BN12" i="58"/>
  <c r="CE11" i="58"/>
  <c r="CD11" i="58"/>
  <c r="BW11" i="58"/>
  <c r="BV11" i="58"/>
  <c r="BO11" i="58"/>
  <c r="BN11" i="58"/>
  <c r="CE10" i="58"/>
  <c r="CD10" i="58"/>
  <c r="BW10" i="58"/>
  <c r="BV10" i="58"/>
  <c r="BO10" i="58"/>
  <c r="BN10" i="58"/>
  <c r="CE9" i="58"/>
  <c r="CD9" i="58"/>
  <c r="BW9" i="58"/>
  <c r="BV9" i="58"/>
  <c r="BO9" i="58"/>
  <c r="BN9" i="58"/>
  <c r="CD8" i="58"/>
  <c r="CH8" i="58"/>
  <c r="BV8" i="58"/>
  <c r="BZ8" i="58"/>
  <c r="BN8" i="58"/>
  <c r="DL69" i="58"/>
  <c r="C1408" i="38"/>
  <c r="C1407" i="38"/>
  <c r="C1406" i="38"/>
  <c r="C1401" i="38"/>
  <c r="C1377" i="38"/>
  <c r="C1296" i="38"/>
  <c r="C1323" i="38"/>
  <c r="C1266" i="38"/>
  <c r="C1243" i="38"/>
  <c r="C1295" i="38"/>
  <c r="C1349" i="38"/>
  <c r="C1169" i="38"/>
  <c r="C1167" i="38"/>
  <c r="C1158" i="38"/>
  <c r="C1173" i="38"/>
  <c r="C1186" i="38"/>
  <c r="C1157" i="38"/>
  <c r="C1172" i="38"/>
  <c r="C1185" i="38"/>
  <c r="C1156" i="38"/>
  <c r="C1171" i="38"/>
  <c r="C1184" i="38"/>
  <c r="C1155" i="38"/>
  <c r="C1170" i="38"/>
  <c r="C1183" i="38"/>
  <c r="C1148" i="38"/>
  <c r="C1177" i="38"/>
  <c r="C1147" i="38"/>
  <c r="C1176" i="38"/>
  <c r="C1143" i="38"/>
  <c r="C1142" i="38"/>
  <c r="C1141" i="38"/>
  <c r="C1139" i="38"/>
  <c r="C1168" i="38"/>
  <c r="C1182" i="38"/>
  <c r="H1097" i="38"/>
  <c r="C1085" i="38"/>
  <c r="C106" i="47"/>
  <c r="C1084" i="38"/>
  <c r="C105" i="47"/>
  <c r="E1057" i="38"/>
  <c r="C1053" i="38"/>
  <c r="C1052" i="38"/>
  <c r="C1051" i="38"/>
  <c r="C1050" i="38"/>
  <c r="C1049" i="38"/>
  <c r="C1048" i="38"/>
  <c r="C1022" i="38"/>
  <c r="C1013" i="38"/>
  <c r="H1007" i="38"/>
  <c r="C1007" i="38"/>
  <c r="L991" i="38"/>
  <c r="EB92" i="8"/>
  <c r="E972" i="38"/>
  <c r="J970" i="38"/>
  <c r="G970" i="38"/>
  <c r="E970" i="38"/>
  <c r="J968" i="38"/>
  <c r="I968" i="38"/>
  <c r="H968" i="38"/>
  <c r="G968" i="38"/>
  <c r="G967" i="38"/>
  <c r="E967" i="38"/>
  <c r="J963" i="38"/>
  <c r="G963" i="38"/>
  <c r="F963" i="38"/>
  <c r="E963" i="38"/>
  <c r="E928" i="38"/>
  <c r="F925" i="38"/>
  <c r="BY175" i="8"/>
  <c r="E914" i="38"/>
  <c r="G914" i="38"/>
  <c r="BT267" i="8"/>
  <c r="C878" i="38"/>
  <c r="N864" i="38"/>
  <c r="M864" i="38"/>
  <c r="F821" i="38"/>
  <c r="CU171" i="8"/>
  <c r="E820" i="38"/>
  <c r="D809" i="38"/>
  <c r="P808" i="38"/>
  <c r="F808" i="38"/>
  <c r="P807" i="38"/>
  <c r="F807" i="38"/>
  <c r="P806" i="38"/>
  <c r="F806" i="38"/>
  <c r="P805" i="38"/>
  <c r="F805" i="38"/>
  <c r="P804" i="38"/>
  <c r="F804" i="38"/>
  <c r="P803" i="38"/>
  <c r="F803" i="38"/>
  <c r="I761" i="38"/>
  <c r="CJ251" i="8"/>
  <c r="H761" i="38"/>
  <c r="CU236" i="8"/>
  <c r="G761" i="38"/>
  <c r="CM177" i="8"/>
  <c r="F761" i="38"/>
  <c r="E761" i="38"/>
  <c r="F759" i="38"/>
  <c r="F758" i="38"/>
  <c r="E757" i="38"/>
  <c r="F754" i="38"/>
  <c r="F753" i="38"/>
  <c r="J752" i="38"/>
  <c r="CN267" i="8"/>
  <c r="CS267" i="8"/>
  <c r="I752" i="38"/>
  <c r="CH242" i="8"/>
  <c r="CH257" i="8"/>
  <c r="H752" i="38"/>
  <c r="CS227" i="8"/>
  <c r="CS240" i="8"/>
  <c r="G752" i="38"/>
  <c r="CK168" i="8"/>
  <c r="CK182" i="8"/>
  <c r="F752" i="38"/>
  <c r="E752" i="38"/>
  <c r="D739" i="38"/>
  <c r="F736" i="38"/>
  <c r="F735" i="38"/>
  <c r="F734" i="38"/>
  <c r="F733" i="38"/>
  <c r="C724" i="38"/>
  <c r="C723" i="38"/>
  <c r="C722" i="38"/>
  <c r="C721" i="38"/>
  <c r="C720" i="38"/>
  <c r="C719" i="38"/>
  <c r="E528" i="38"/>
  <c r="F528" i="38"/>
  <c r="E549" i="38"/>
  <c r="G478" i="38"/>
  <c r="CF129" i="8"/>
  <c r="F478" i="38"/>
  <c r="CF103" i="8"/>
  <c r="E478" i="38"/>
  <c r="H469" i="38"/>
  <c r="C495" i="38"/>
  <c r="C501" i="38"/>
  <c r="C512" i="38"/>
  <c r="G469" i="38"/>
  <c r="CD120" i="8"/>
  <c r="CH120" i="8"/>
  <c r="F469" i="38"/>
  <c r="E469" i="38"/>
  <c r="L463" i="38"/>
  <c r="L462" i="38"/>
  <c r="K463" i="38"/>
  <c r="K462" i="38"/>
  <c r="J463" i="38"/>
  <c r="J462" i="38"/>
  <c r="I463" i="38"/>
  <c r="I462" i="38"/>
  <c r="H463" i="38"/>
  <c r="H462" i="38"/>
  <c r="G463" i="38"/>
  <c r="G462" i="38"/>
  <c r="D441" i="38"/>
  <c r="P440" i="38"/>
  <c r="F440" i="38"/>
  <c r="P439" i="38"/>
  <c r="F439" i="38"/>
  <c r="P438" i="38"/>
  <c r="F438" i="38"/>
  <c r="P437" i="38"/>
  <c r="F437" i="38"/>
  <c r="P436" i="38"/>
  <c r="F436" i="38"/>
  <c r="P435" i="38"/>
  <c r="F435" i="38"/>
  <c r="K395" i="38"/>
  <c r="G393" i="38"/>
  <c r="I391" i="38"/>
  <c r="I393" i="38"/>
  <c r="F370" i="38"/>
  <c r="H361" i="38"/>
  <c r="G361" i="38"/>
  <c r="E361" i="38"/>
  <c r="E322" i="38"/>
  <c r="I318" i="38"/>
  <c r="E313" i="38"/>
  <c r="E305" i="38"/>
  <c r="F304" i="38"/>
  <c r="CF67" i="8"/>
  <c r="DD67" i="8"/>
  <c r="E303" i="38"/>
  <c r="F303" i="38"/>
  <c r="CF66" i="8"/>
  <c r="DD66" i="8"/>
  <c r="E299" i="38"/>
  <c r="E264" i="38"/>
  <c r="G261" i="38"/>
  <c r="BP67" i="8"/>
  <c r="E240" i="38"/>
  <c r="E238" i="38"/>
  <c r="E226" i="38"/>
  <c r="E201" i="38"/>
  <c r="H205" i="38"/>
  <c r="G205" i="38"/>
  <c r="G201" i="38"/>
  <c r="CF12" i="8"/>
  <c r="H199" i="38"/>
  <c r="H198" i="38"/>
  <c r="E197" i="38"/>
  <c r="F176" i="38"/>
  <c r="BX13" i="8"/>
  <c r="F127" i="38"/>
  <c r="D46" i="38"/>
  <c r="Z91" i="8"/>
  <c r="C24" i="38"/>
  <c r="S98" i="8"/>
  <c r="C19" i="38"/>
  <c r="C35" i="38"/>
  <c r="C18" i="38"/>
  <c r="C34" i="38"/>
  <c r="C56" i="38"/>
  <c r="C17" i="38"/>
  <c r="C33" i="38"/>
  <c r="C16" i="38"/>
  <c r="C15" i="38"/>
  <c r="J117" i="8"/>
  <c r="C14" i="38"/>
  <c r="C30" i="38"/>
  <c r="C52" i="38"/>
  <c r="C13" i="38"/>
  <c r="C29" i="38"/>
  <c r="C51" i="38"/>
  <c r="C12" i="38"/>
  <c r="J115" i="8"/>
  <c r="D11" i="38"/>
  <c r="D27" i="38"/>
  <c r="T101" i="8"/>
  <c r="C11" i="38"/>
  <c r="J114" i="8"/>
  <c r="C10" i="38"/>
  <c r="C26" i="38"/>
  <c r="C9" i="38"/>
  <c r="DC322" i="8"/>
  <c r="BC314" i="8"/>
  <c r="BD311" i="8"/>
  <c r="DD319" i="8"/>
  <c r="BD308" i="8"/>
  <c r="BC303" i="8"/>
  <c r="DC311" i="8"/>
  <c r="BB303" i="8"/>
  <c r="DB311" i="8"/>
  <c r="BB302" i="8"/>
  <c r="DB310" i="8"/>
  <c r="DE311" i="8"/>
  <c r="I1097" i="38"/>
  <c r="DE292" i="8"/>
  <c r="CO279" i="8"/>
  <c r="BJ275" i="8"/>
  <c r="BK272" i="8"/>
  <c r="BS270" i="8"/>
  <c r="CO268" i="8"/>
  <c r="DC293" i="8"/>
  <c r="CN268" i="8"/>
  <c r="DB293" i="8"/>
  <c r="BS267" i="8"/>
  <c r="BR267" i="8"/>
  <c r="BS266" i="8"/>
  <c r="BR266" i="8"/>
  <c r="BS265" i="8"/>
  <c r="BR265" i="8"/>
  <c r="BR264" i="8"/>
  <c r="BJ264" i="8"/>
  <c r="BI264" i="8"/>
  <c r="BS263" i="8"/>
  <c r="BR263" i="8"/>
  <c r="BI263" i="8"/>
  <c r="BI276" i="8"/>
  <c r="BS262" i="8"/>
  <c r="BR262" i="8"/>
  <c r="BS261" i="8"/>
  <c r="BR261" i="8"/>
  <c r="BS260" i="8"/>
  <c r="BR260" i="8"/>
  <c r="BS259" i="8"/>
  <c r="BR259" i="8"/>
  <c r="BR258" i="8"/>
  <c r="BR271" i="8"/>
  <c r="CA256" i="8"/>
  <c r="CS274" i="8"/>
  <c r="CI254" i="8"/>
  <c r="BM252" i="8"/>
  <c r="BN249" i="8"/>
  <c r="BM249" i="8"/>
  <c r="BL249" i="8"/>
  <c r="BM248" i="8"/>
  <c r="BL248" i="8"/>
  <c r="CB247" i="8"/>
  <c r="BM247" i="8"/>
  <c r="BL247" i="8"/>
  <c r="BL246" i="8"/>
  <c r="AT246" i="8"/>
  <c r="BM245" i="8"/>
  <c r="BL245" i="8"/>
  <c r="AK245" i="8"/>
  <c r="CC244" i="8"/>
  <c r="BM244" i="8"/>
  <c r="BL244" i="8"/>
  <c r="CI243" i="8"/>
  <c r="CH243" i="8"/>
  <c r="BM243" i="8"/>
  <c r="BL243" i="8"/>
  <c r="BC243" i="8"/>
  <c r="BM242" i="8"/>
  <c r="BL242" i="8"/>
  <c r="BM241" i="8"/>
  <c r="BL241" i="8"/>
  <c r="BL240" i="8"/>
  <c r="BL253" i="8"/>
  <c r="BD240" i="8"/>
  <c r="CT239" i="8"/>
  <c r="BS239" i="8"/>
  <c r="CB236" i="8"/>
  <c r="CA236" i="8"/>
  <c r="BT236" i="8"/>
  <c r="CA235" i="8"/>
  <c r="CA249" i="8"/>
  <c r="AT235" i="8"/>
  <c r="AS235" i="8"/>
  <c r="AS234" i="8"/>
  <c r="AS247" i="8"/>
  <c r="AJ233" i="8"/>
  <c r="AJ246" i="8"/>
  <c r="BC232" i="8"/>
  <c r="BB232" i="8"/>
  <c r="BB231" i="8"/>
  <c r="BB245" i="8"/>
  <c r="CT228" i="8"/>
  <c r="CS228" i="8"/>
  <c r="BS228" i="8"/>
  <c r="BR228" i="8"/>
  <c r="BR227" i="8"/>
  <c r="DK158" i="8"/>
  <c r="BY226" i="8"/>
  <c r="BZ223" i="8"/>
  <c r="BY215" i="8"/>
  <c r="BX215" i="8"/>
  <c r="BX214" i="8"/>
  <c r="CA214" i="8"/>
  <c r="AW213" i="8"/>
  <c r="AX210" i="8"/>
  <c r="BW209" i="8"/>
  <c r="BW208" i="8"/>
  <c r="BS205" i="8"/>
  <c r="BT202" i="8"/>
  <c r="AW202" i="8"/>
  <c r="AV202" i="8"/>
  <c r="AV201" i="8"/>
  <c r="DK124" i="8"/>
  <c r="AT197" i="8"/>
  <c r="BX196" i="8"/>
  <c r="BS194" i="8"/>
  <c r="BR194" i="8"/>
  <c r="BY193" i="8"/>
  <c r="BR193" i="8"/>
  <c r="BN186" i="8"/>
  <c r="AT186" i="8"/>
  <c r="AS186" i="8"/>
  <c r="BW185" i="8"/>
  <c r="BM185" i="8"/>
  <c r="AS185" i="8"/>
  <c r="AX184" i="8"/>
  <c r="BW184" i="8"/>
  <c r="DK147" i="8"/>
  <c r="BK182" i="8"/>
  <c r="BX181" i="8"/>
  <c r="AL181" i="8"/>
  <c r="CL180" i="8"/>
  <c r="BL179" i="8"/>
  <c r="AT178" i="8"/>
  <c r="CT177" i="8"/>
  <c r="AD177" i="8"/>
  <c r="BY176" i="8"/>
  <c r="CU174" i="8"/>
  <c r="CT174" i="8"/>
  <c r="CS174" i="8"/>
  <c r="BY174" i="8"/>
  <c r="CT173" i="8"/>
  <c r="CS173" i="8"/>
  <c r="CU172" i="8"/>
  <c r="CU175" i="8"/>
  <c r="CT172" i="8"/>
  <c r="CS172" i="8"/>
  <c r="CS171" i="8"/>
  <c r="BK171" i="8"/>
  <c r="BJ171" i="8"/>
  <c r="CT170" i="8"/>
  <c r="CS170" i="8"/>
  <c r="BX170" i="8"/>
  <c r="BW170" i="8"/>
  <c r="BO170" i="8"/>
  <c r="BJ170" i="8"/>
  <c r="BJ183" i="8"/>
  <c r="CT169" i="8"/>
  <c r="CS169" i="8"/>
  <c r="CL169" i="8"/>
  <c r="CK169" i="8"/>
  <c r="BW169" i="8"/>
  <c r="CA169" i="8"/>
  <c r="AK169" i="8"/>
  <c r="AK182" i="8"/>
  <c r="CT168" i="8"/>
  <c r="CS168" i="8"/>
  <c r="CT167" i="8"/>
  <c r="CS167" i="8"/>
  <c r="AT167" i="8"/>
  <c r="AS167" i="8"/>
  <c r="CT166" i="8"/>
  <c r="CS166" i="8"/>
  <c r="AS166" i="8"/>
  <c r="AX166" i="8"/>
  <c r="DK165" i="8"/>
  <c r="CS165" i="8"/>
  <c r="CS179" i="8"/>
  <c r="AC165" i="8"/>
  <c r="AC179" i="8"/>
  <c r="AT163" i="8"/>
  <c r="BO160" i="8"/>
  <c r="BN160" i="8"/>
  <c r="BN159" i="8"/>
  <c r="DK136" i="8"/>
  <c r="CE155" i="8"/>
  <c r="CE152" i="8"/>
  <c r="DC158" i="8"/>
  <c r="CD152" i="8"/>
  <c r="DB158" i="8"/>
  <c r="AT152" i="8"/>
  <c r="AS152" i="8"/>
  <c r="CE151" i="8"/>
  <c r="DC157" i="8"/>
  <c r="CD151" i="8"/>
  <c r="DB157" i="8"/>
  <c r="AS151" i="8"/>
  <c r="AX151" i="8"/>
  <c r="CE150" i="8"/>
  <c r="DC156" i="8"/>
  <c r="CD150" i="8"/>
  <c r="DB156" i="8"/>
  <c r="CD149" i="8"/>
  <c r="DB155" i="8"/>
  <c r="CE148" i="8"/>
  <c r="DC154" i="8"/>
  <c r="CD148" i="8"/>
  <c r="DB154" i="8"/>
  <c r="CE147" i="8"/>
  <c r="DC153" i="8"/>
  <c r="CD147" i="8"/>
  <c r="DB153" i="8"/>
  <c r="CE146" i="8"/>
  <c r="DC152" i="8"/>
  <c r="CD146" i="8"/>
  <c r="DB152" i="8"/>
  <c r="CE145" i="8"/>
  <c r="DC151" i="8"/>
  <c r="CD145" i="8"/>
  <c r="DB151" i="8"/>
  <c r="CE144" i="8"/>
  <c r="DC150" i="8"/>
  <c r="CD144" i="8"/>
  <c r="DB150" i="8"/>
  <c r="AT144" i="8"/>
  <c r="AL144" i="8"/>
  <c r="V140" i="8"/>
  <c r="BJ135" i="8"/>
  <c r="AT133" i="8"/>
  <c r="AS133" i="8"/>
  <c r="CE132" i="8"/>
  <c r="BJ132" i="8"/>
  <c r="BI132" i="8"/>
  <c r="AS132" i="8"/>
  <c r="AX132" i="8"/>
  <c r="AK132" i="8"/>
  <c r="AK145" i="8"/>
  <c r="BK131" i="8"/>
  <c r="CE129" i="8"/>
  <c r="CD129" i="8"/>
  <c r="CE128" i="8"/>
  <c r="CD128" i="8"/>
  <c r="U128" i="8"/>
  <c r="Y128" i="8"/>
  <c r="CE127" i="8"/>
  <c r="CD127" i="8"/>
  <c r="CD126" i="8"/>
  <c r="EA125" i="8"/>
  <c r="CE125" i="8"/>
  <c r="CD125" i="8"/>
  <c r="BS125" i="8"/>
  <c r="CE124" i="8"/>
  <c r="CD124" i="8"/>
  <c r="CE123" i="8"/>
  <c r="CD123" i="8"/>
  <c r="BJ123" i="8"/>
  <c r="BI123" i="8"/>
  <c r="CE122" i="8"/>
  <c r="CD122" i="8"/>
  <c r="BT122" i="8"/>
  <c r="BI122" i="8"/>
  <c r="DZ121" i="8"/>
  <c r="DZ127" i="8"/>
  <c r="CE121" i="8"/>
  <c r="CD121" i="8"/>
  <c r="BK120" i="8"/>
  <c r="AT119" i="8"/>
  <c r="BS114" i="8"/>
  <c r="BR114" i="8"/>
  <c r="BR113" i="8"/>
  <c r="BR127" i="8"/>
  <c r="K111" i="8"/>
  <c r="J111" i="8"/>
  <c r="BK110" i="8"/>
  <c r="BJ110" i="8"/>
  <c r="J110" i="8"/>
  <c r="BJ109" i="8"/>
  <c r="DK101" i="8"/>
  <c r="AS107" i="8"/>
  <c r="AX107" i="8"/>
  <c r="CE106" i="8"/>
  <c r="CE103" i="8"/>
  <c r="CD103" i="8"/>
  <c r="AT103" i="8"/>
  <c r="C103" i="8"/>
  <c r="CE102" i="8"/>
  <c r="CD102" i="8"/>
  <c r="Z102" i="8"/>
  <c r="C102" i="8"/>
  <c r="CE101" i="8"/>
  <c r="CD101" i="8"/>
  <c r="C101" i="8"/>
  <c r="CD100" i="8"/>
  <c r="C100" i="8"/>
  <c r="CE99" i="8"/>
  <c r="CD99" i="8"/>
  <c r="C99" i="8"/>
  <c r="CE98" i="8"/>
  <c r="CD98" i="8"/>
  <c r="T98" i="8"/>
  <c r="C98" i="8"/>
  <c r="EA97" i="8"/>
  <c r="CE97" i="8"/>
  <c r="CD97" i="8"/>
  <c r="S97" i="8"/>
  <c r="S109" i="8"/>
  <c r="D97" i="8"/>
  <c r="C97" i="8"/>
  <c r="CE96" i="8"/>
  <c r="CD96" i="8"/>
  <c r="C96" i="8"/>
  <c r="CE95" i="8"/>
  <c r="CD95" i="8"/>
  <c r="C95" i="8"/>
  <c r="C94" i="8"/>
  <c r="EB93" i="8"/>
  <c r="EA93" i="8"/>
  <c r="EA92" i="8"/>
  <c r="CO92" i="8"/>
  <c r="DZ91" i="8"/>
  <c r="DZ99" i="8"/>
  <c r="CT91" i="8"/>
  <c r="CN91" i="8"/>
  <c r="AS91" i="8"/>
  <c r="AX91" i="8"/>
  <c r="DD90" i="8"/>
  <c r="CU88" i="8"/>
  <c r="Z87" i="8"/>
  <c r="AA84" i="8"/>
  <c r="DC82" i="8"/>
  <c r="DB82" i="8"/>
  <c r="DB81" i="8"/>
  <c r="DE81" i="8"/>
  <c r="F1097" i="38"/>
  <c r="CT80" i="8"/>
  <c r="CS80" i="8"/>
  <c r="CL79" i="8"/>
  <c r="BK76" i="8"/>
  <c r="BJ75" i="8"/>
  <c r="Y75" i="8"/>
  <c r="AC75" i="8"/>
  <c r="DC73" i="8"/>
  <c r="BO73" i="8"/>
  <c r="CE70" i="8"/>
  <c r="DC70" i="8"/>
  <c r="CD70" i="8"/>
  <c r="DB70" i="8"/>
  <c r="Z70" i="8"/>
  <c r="CF69" i="8"/>
  <c r="DD69" i="8"/>
  <c r="CE69" i="8"/>
  <c r="DC69" i="8"/>
  <c r="CD69" i="8"/>
  <c r="DB69" i="8"/>
  <c r="CL68" i="8"/>
  <c r="CK68" i="8"/>
  <c r="CE68" i="8"/>
  <c r="DC68" i="8"/>
  <c r="CD68" i="8"/>
  <c r="DB68" i="8"/>
  <c r="BP68" i="8"/>
  <c r="BF68" i="8"/>
  <c r="CK67" i="8"/>
  <c r="DK112" i="8"/>
  <c r="CD67" i="8"/>
  <c r="DB67" i="8"/>
  <c r="AA67" i="8"/>
  <c r="CE66" i="8"/>
  <c r="DC66" i="8"/>
  <c r="CD66" i="8"/>
  <c r="DB66" i="8"/>
  <c r="BP66" i="8"/>
  <c r="CE65" i="8"/>
  <c r="DC65" i="8"/>
  <c r="CD65" i="8"/>
  <c r="DB65" i="8"/>
  <c r="CE64" i="8"/>
  <c r="DC64" i="8"/>
  <c r="CD64" i="8"/>
  <c r="DB64" i="8"/>
  <c r="CE63" i="8"/>
  <c r="DC63" i="8"/>
  <c r="CD63" i="8"/>
  <c r="DB63" i="8"/>
  <c r="CE62" i="8"/>
  <c r="DC62" i="8"/>
  <c r="CD62" i="8"/>
  <c r="DB62" i="8"/>
  <c r="BO62" i="8"/>
  <c r="BN62" i="8"/>
  <c r="CD61" i="8"/>
  <c r="DB61" i="8"/>
  <c r="BN61" i="8"/>
  <c r="BN74" i="8"/>
  <c r="Y58" i="8"/>
  <c r="AC58" i="8"/>
  <c r="BF57" i="8"/>
  <c r="BE57" i="8"/>
  <c r="BE56" i="8"/>
  <c r="DK90" i="8"/>
  <c r="BW53" i="8"/>
  <c r="BW50" i="8"/>
  <c r="BV50" i="8"/>
  <c r="AY50" i="8"/>
  <c r="AA50" i="8"/>
  <c r="BW49" i="8"/>
  <c r="BV49" i="8"/>
  <c r="AX49" i="8"/>
  <c r="BW48" i="8"/>
  <c r="BV48" i="8"/>
  <c r="BV47" i="8"/>
  <c r="DN46" i="8"/>
  <c r="BW46" i="8"/>
  <c r="BV46" i="8"/>
  <c r="BW45" i="8"/>
  <c r="BV45" i="8"/>
  <c r="BF45" i="8"/>
  <c r="BW44" i="8"/>
  <c r="BV44" i="8"/>
  <c r="BW43" i="8"/>
  <c r="BV43" i="8"/>
  <c r="BW42" i="8"/>
  <c r="BV42" i="8"/>
  <c r="Y42" i="8"/>
  <c r="BV41" i="8"/>
  <c r="BZ41" i="8"/>
  <c r="BO41" i="8"/>
  <c r="Y41" i="8"/>
  <c r="AC41" i="8"/>
  <c r="BG38" i="8"/>
  <c r="BO37" i="8"/>
  <c r="BN37" i="8"/>
  <c r="BO36" i="8"/>
  <c r="BN36" i="8"/>
  <c r="AV36" i="8"/>
  <c r="DD35" i="8"/>
  <c r="DC35" i="8"/>
  <c r="DB35" i="8"/>
  <c r="BO35" i="8"/>
  <c r="BN35" i="8"/>
  <c r="DC34" i="8"/>
  <c r="DB34" i="8"/>
  <c r="BO34" i="8"/>
  <c r="BN34" i="8"/>
  <c r="BF34" i="8"/>
  <c r="BE34" i="8"/>
  <c r="DC33" i="8"/>
  <c r="DB33" i="8"/>
  <c r="BO33" i="8"/>
  <c r="BN33" i="8"/>
  <c r="BE33" i="8"/>
  <c r="BI33" i="8"/>
  <c r="DB32" i="8"/>
  <c r="BO32" i="8"/>
  <c r="BN32" i="8"/>
  <c r="DC31" i="8"/>
  <c r="DB31" i="8"/>
  <c r="BO31" i="8"/>
  <c r="BN31" i="8"/>
  <c r="DC30" i="8"/>
  <c r="DB30" i="8"/>
  <c r="BO30" i="8"/>
  <c r="BN30" i="8"/>
  <c r="DC29" i="8"/>
  <c r="DB29" i="8"/>
  <c r="BN29" i="8"/>
  <c r="DK56" i="8"/>
  <c r="DC28" i="8"/>
  <c r="DB28" i="8"/>
  <c r="DC27" i="8"/>
  <c r="DB27" i="8"/>
  <c r="DB26" i="8"/>
  <c r="DE26" i="8"/>
  <c r="D1097" i="38"/>
  <c r="AV25" i="8"/>
  <c r="AU25" i="8"/>
  <c r="AU24" i="8"/>
  <c r="DK79" i="8"/>
  <c r="BF21" i="8"/>
  <c r="CE19" i="8"/>
  <c r="BW19" i="8"/>
  <c r="BO19" i="8"/>
  <c r="CE16" i="8"/>
  <c r="CD16" i="8"/>
  <c r="BX16" i="8"/>
  <c r="BW16" i="8"/>
  <c r="BV16" i="8"/>
  <c r="BP16" i="8"/>
  <c r="BO16" i="8"/>
  <c r="BN16" i="8"/>
  <c r="CE15" i="8"/>
  <c r="CD15" i="8"/>
  <c r="BW15" i="8"/>
  <c r="BV15" i="8"/>
  <c r="BO15" i="8"/>
  <c r="BN15" i="8"/>
  <c r="CF14" i="8"/>
  <c r="CE14" i="8"/>
  <c r="CD14" i="8"/>
  <c r="BX14" i="8"/>
  <c r="BX17" i="8"/>
  <c r="BW14" i="8"/>
  <c r="BV14" i="8"/>
  <c r="BO14" i="8"/>
  <c r="BN14" i="8"/>
  <c r="CF13" i="8"/>
  <c r="CE13" i="8"/>
  <c r="CD13" i="8"/>
  <c r="BV13" i="8"/>
  <c r="BP13" i="8"/>
  <c r="BO13" i="8"/>
  <c r="BN13" i="8"/>
  <c r="CE12" i="8"/>
  <c r="CD12" i="8"/>
  <c r="BX12" i="8"/>
  <c r="BW12" i="8"/>
  <c r="BV12" i="8"/>
  <c r="BO12" i="8"/>
  <c r="BN12" i="8"/>
  <c r="CE11" i="8"/>
  <c r="CD11" i="8"/>
  <c r="BW11" i="8"/>
  <c r="BV11" i="8"/>
  <c r="BO11" i="8"/>
  <c r="BN11" i="8"/>
  <c r="CE10" i="8"/>
  <c r="CD10" i="8"/>
  <c r="BW10" i="8"/>
  <c r="BV10" i="8"/>
  <c r="BO10" i="8"/>
  <c r="BN10" i="8"/>
  <c r="BF10" i="8"/>
  <c r="BE10" i="8"/>
  <c r="CE9" i="8"/>
  <c r="CD9" i="8"/>
  <c r="BW9" i="8"/>
  <c r="BV9" i="8"/>
  <c r="BO9" i="8"/>
  <c r="BN9" i="8"/>
  <c r="CE8" i="8"/>
  <c r="CD8" i="8"/>
  <c r="BW8" i="8"/>
  <c r="BV8" i="8"/>
  <c r="BO8" i="8"/>
  <c r="BN8" i="8"/>
  <c r="CD7" i="8"/>
  <c r="CH7" i="8"/>
  <c r="BV7" i="8"/>
  <c r="BZ7" i="8"/>
  <c r="BN7" i="8"/>
  <c r="DK68" i="8"/>
  <c r="C31" i="56"/>
  <c r="DN41" i="58"/>
  <c r="C30" i="56"/>
  <c r="C66" i="56"/>
  <c r="C29" i="56"/>
  <c r="C64" i="56"/>
  <c r="Q28" i="56"/>
  <c r="C28" i="56"/>
  <c r="C63" i="56"/>
  <c r="C27" i="56"/>
  <c r="C62" i="56"/>
  <c r="C26" i="56"/>
  <c r="CE214" i="58"/>
  <c r="C25" i="56"/>
  <c r="BW245" i="58"/>
  <c r="C24" i="56"/>
  <c r="BW203" i="58"/>
  <c r="C23" i="56"/>
  <c r="C22" i="56"/>
  <c r="C57" i="56"/>
  <c r="C21" i="56"/>
  <c r="AV250" i="58"/>
  <c r="C20" i="56"/>
  <c r="AN263" i="58"/>
  <c r="C19" i="56"/>
  <c r="C18" i="56"/>
  <c r="BX111" i="58"/>
  <c r="C17" i="56"/>
  <c r="C16" i="56"/>
  <c r="C15" i="56"/>
  <c r="C50" i="56"/>
  <c r="C14" i="56"/>
  <c r="C13" i="56"/>
  <c r="C48" i="56"/>
  <c r="C12" i="56"/>
  <c r="C11" i="56"/>
  <c r="C46" i="56"/>
  <c r="C10" i="56"/>
  <c r="C9" i="56"/>
  <c r="C44" i="56"/>
  <c r="M60" i="54"/>
  <c r="H60" i="54"/>
  <c r="M56" i="54"/>
  <c r="H56" i="54"/>
  <c r="M55" i="54"/>
  <c r="H55" i="54"/>
  <c r="M52" i="54"/>
  <c r="H52" i="54"/>
  <c r="M51" i="54"/>
  <c r="H51" i="54"/>
  <c r="M47" i="54"/>
  <c r="H47" i="54"/>
  <c r="M45" i="54"/>
  <c r="H45" i="54"/>
  <c r="M44" i="54"/>
  <c r="H44" i="54"/>
  <c r="C31" i="54"/>
  <c r="C66" i="54"/>
  <c r="C30" i="54"/>
  <c r="C65" i="54"/>
  <c r="C29" i="54"/>
  <c r="C28" i="54"/>
  <c r="BR44" i="8"/>
  <c r="C27" i="54"/>
  <c r="C62" i="54"/>
  <c r="C26" i="54"/>
  <c r="CE213" i="8"/>
  <c r="C25" i="54"/>
  <c r="C60" i="54"/>
  <c r="C24" i="54"/>
  <c r="BW202" i="8"/>
  <c r="C23" i="54"/>
  <c r="BM178" i="8"/>
  <c r="C22" i="54"/>
  <c r="BF212" i="8"/>
  <c r="C21" i="54"/>
  <c r="C56" i="54"/>
  <c r="C20" i="54"/>
  <c r="AO240" i="8"/>
  <c r="C19" i="54"/>
  <c r="C18" i="54"/>
  <c r="C53" i="54"/>
  <c r="C17" i="54"/>
  <c r="C52" i="54"/>
  <c r="C16" i="54"/>
  <c r="C51" i="54"/>
  <c r="C15" i="54"/>
  <c r="C50" i="54"/>
  <c r="C14" i="54"/>
  <c r="AX42" i="8"/>
  <c r="C13" i="54"/>
  <c r="C48" i="54"/>
  <c r="C12" i="54"/>
  <c r="C47" i="54"/>
  <c r="C11" i="54"/>
  <c r="C46" i="54"/>
  <c r="C10" i="54"/>
  <c r="P115" i="8"/>
  <c r="C9" i="54"/>
  <c r="H7" i="99"/>
  <c r="H5" i="99"/>
  <c r="H10" i="99"/>
  <c r="G37" i="54"/>
  <c r="D122" i="68"/>
  <c r="D8" i="68"/>
  <c r="F70" i="73"/>
  <c r="N56" i="73"/>
  <c r="M56" i="73"/>
  <c r="L56" i="73"/>
  <c r="K56" i="73"/>
  <c r="J56" i="73"/>
  <c r="I56" i="73"/>
  <c r="H56" i="73"/>
  <c r="G56" i="73"/>
  <c r="F56" i="73"/>
  <c r="E56" i="73"/>
  <c r="N55" i="73"/>
  <c r="M55" i="73"/>
  <c r="L55" i="73"/>
  <c r="K55" i="73"/>
  <c r="J55" i="73"/>
  <c r="I55" i="73"/>
  <c r="H55" i="73"/>
  <c r="G55" i="73"/>
  <c r="F55" i="73"/>
  <c r="E55" i="73"/>
  <c r="N54" i="73"/>
  <c r="M54" i="73"/>
  <c r="L54" i="73"/>
  <c r="K54" i="73"/>
  <c r="J54" i="73"/>
  <c r="I54" i="73"/>
  <c r="H54" i="73"/>
  <c r="G54" i="73"/>
  <c r="F54" i="73"/>
  <c r="E54" i="73"/>
  <c r="N53" i="73"/>
  <c r="M53" i="73"/>
  <c r="L53" i="73"/>
  <c r="K53" i="73"/>
  <c r="J53" i="73"/>
  <c r="I53" i="73"/>
  <c r="H53" i="73"/>
  <c r="G53" i="73"/>
  <c r="F53" i="73"/>
  <c r="E53" i="73"/>
  <c r="N52" i="73"/>
  <c r="M52" i="73"/>
  <c r="L52" i="73"/>
  <c r="K52" i="73"/>
  <c r="J52" i="73"/>
  <c r="I52" i="73"/>
  <c r="H52" i="73"/>
  <c r="G52" i="73"/>
  <c r="F52" i="73"/>
  <c r="E52" i="73"/>
  <c r="N51" i="73"/>
  <c r="M51" i="73"/>
  <c r="L51" i="73"/>
  <c r="K51" i="73"/>
  <c r="J51" i="73"/>
  <c r="I51" i="73"/>
  <c r="H51" i="73"/>
  <c r="G51" i="73"/>
  <c r="F51" i="73"/>
  <c r="E51" i="73"/>
  <c r="N50" i="73"/>
  <c r="M50" i="73"/>
  <c r="L50" i="73"/>
  <c r="K50" i="73"/>
  <c r="J50" i="73"/>
  <c r="I50" i="73"/>
  <c r="H50" i="73"/>
  <c r="G50" i="73"/>
  <c r="F50" i="73"/>
  <c r="E50" i="73"/>
  <c r="N49" i="73"/>
  <c r="M49" i="73"/>
  <c r="L49" i="73"/>
  <c r="K49" i="73"/>
  <c r="J49" i="73"/>
  <c r="I49" i="73"/>
  <c r="H49" i="73"/>
  <c r="G49" i="73"/>
  <c r="F49" i="73"/>
  <c r="E49" i="73"/>
  <c r="N48" i="73"/>
  <c r="M48" i="73"/>
  <c r="L48" i="73"/>
  <c r="K48" i="73"/>
  <c r="J48" i="73"/>
  <c r="I48" i="73"/>
  <c r="H48" i="73"/>
  <c r="G48" i="73"/>
  <c r="F48" i="73"/>
  <c r="E48" i="73"/>
  <c r="N47" i="73"/>
  <c r="M47" i="73"/>
  <c r="L47" i="73"/>
  <c r="K47" i="73"/>
  <c r="J47" i="73"/>
  <c r="I47" i="73"/>
  <c r="H47" i="73"/>
  <c r="G47" i="73"/>
  <c r="F47" i="73"/>
  <c r="N46" i="73"/>
  <c r="M46" i="73"/>
  <c r="L46" i="73"/>
  <c r="K46" i="73"/>
  <c r="J46" i="73"/>
  <c r="I46" i="73"/>
  <c r="H46" i="73"/>
  <c r="G46" i="73"/>
  <c r="F46" i="73"/>
  <c r="E46" i="73"/>
  <c r="N45" i="73"/>
  <c r="M45" i="73"/>
  <c r="L45" i="73"/>
  <c r="K45" i="73"/>
  <c r="J45" i="73"/>
  <c r="I45" i="73"/>
  <c r="H45" i="73"/>
  <c r="G45" i="73"/>
  <c r="F45" i="73"/>
  <c r="E45" i="73"/>
  <c r="N44" i="73"/>
  <c r="M44" i="73"/>
  <c r="L44" i="73"/>
  <c r="K44" i="73"/>
  <c r="J44" i="73"/>
  <c r="I44" i="73"/>
  <c r="H44" i="73"/>
  <c r="G44" i="73"/>
  <c r="F44" i="73"/>
  <c r="E44" i="73"/>
  <c r="E39" i="73"/>
  <c r="R90" i="53"/>
  <c r="R89" i="53"/>
  <c r="R88" i="53"/>
  <c r="R85" i="53"/>
  <c r="R84" i="53"/>
  <c r="R83" i="53"/>
  <c r="R82" i="53"/>
  <c r="R81" i="53"/>
  <c r="C32" i="53"/>
  <c r="C31" i="53"/>
  <c r="C30" i="53"/>
  <c r="C29" i="53"/>
  <c r="C28" i="53"/>
  <c r="C27" i="53"/>
  <c r="C26" i="53"/>
  <c r="D25" i="53"/>
  <c r="C25" i="53"/>
  <c r="C24" i="53"/>
  <c r="C23" i="53"/>
  <c r="E21" i="53"/>
  <c r="D11" i="13"/>
  <c r="D95" i="58"/>
  <c r="CS247" i="8"/>
  <c r="DE33" i="8"/>
  <c r="C1112" i="38"/>
  <c r="C1125" i="38"/>
  <c r="CK189" i="8"/>
  <c r="CS186" i="8"/>
  <c r="DE299" i="8"/>
  <c r="I22" i="48"/>
  <c r="P22" i="48"/>
  <c r="M22" i="48"/>
  <c r="I21" i="48"/>
  <c r="P21" i="48"/>
  <c r="M21" i="48"/>
  <c r="I20" i="48"/>
  <c r="P20" i="48"/>
  <c r="M20" i="48"/>
  <c r="E935" i="41"/>
  <c r="J831" i="41"/>
  <c r="E934" i="41"/>
  <c r="D61" i="48"/>
  <c r="H113" i="47"/>
  <c r="CH264" i="8"/>
  <c r="DK119" i="8"/>
  <c r="DZ134" i="8"/>
  <c r="DF300" i="58"/>
  <c r="N11" i="13"/>
  <c r="N22" i="53"/>
  <c r="J11" i="13"/>
  <c r="J95" i="58"/>
  <c r="F11" i="13"/>
  <c r="F38" i="38"/>
  <c r="D10" i="13"/>
  <c r="D9" i="13"/>
  <c r="DE89" i="8"/>
  <c r="CS100" i="8"/>
  <c r="J10" i="13"/>
  <c r="J7" i="73"/>
  <c r="F10" i="13"/>
  <c r="F7" i="73"/>
  <c r="G11" i="13"/>
  <c r="E11" i="13"/>
  <c r="E95" i="58"/>
  <c r="K11" i="13"/>
  <c r="K95" i="58"/>
  <c r="N10" i="13"/>
  <c r="N20" i="53"/>
  <c r="N21" i="53"/>
  <c r="E10" i="13"/>
  <c r="H11" i="13"/>
  <c r="L11" i="13"/>
  <c r="L94" i="8"/>
  <c r="K10" i="13"/>
  <c r="K20" i="53"/>
  <c r="K21" i="53"/>
  <c r="G10" i="13"/>
  <c r="M11" i="13"/>
  <c r="M94" i="8"/>
  <c r="H10" i="13"/>
  <c r="H20" i="53"/>
  <c r="H21" i="53"/>
  <c r="E9" i="13"/>
  <c r="I11" i="13"/>
  <c r="L10" i="13"/>
  <c r="L20" i="53"/>
  <c r="L21" i="53"/>
  <c r="M10" i="13"/>
  <c r="M7" i="73"/>
  <c r="I10" i="13"/>
  <c r="I7" i="73"/>
  <c r="F201" i="38"/>
  <c r="BX46" i="8"/>
  <c r="F967" i="38"/>
  <c r="F191" i="41"/>
  <c r="F1026" i="41"/>
  <c r="F193" i="41"/>
  <c r="F192" i="41"/>
  <c r="E239" i="41"/>
  <c r="BX56" i="58"/>
  <c r="BY195" i="58"/>
  <c r="BP41" i="58"/>
  <c r="BP169" i="8"/>
  <c r="BP117" i="58"/>
  <c r="CF18" i="8"/>
  <c r="BG68" i="58"/>
  <c r="BG20" i="8"/>
  <c r="D1102" i="41"/>
  <c r="K1324" i="41"/>
  <c r="K1264" i="38"/>
  <c r="H117" i="47"/>
  <c r="EG86" i="58"/>
  <c r="N10" i="56"/>
  <c r="N16" i="56"/>
  <c r="N26" i="56"/>
  <c r="BG66" i="8"/>
  <c r="BQ170" i="58"/>
  <c r="BP168" i="8"/>
  <c r="CM77" i="8"/>
  <c r="BL118" i="8"/>
  <c r="BT237" i="8"/>
  <c r="N13" i="56"/>
  <c r="AW35" i="58"/>
  <c r="AX211" i="8"/>
  <c r="EB95" i="8"/>
  <c r="EF85" i="8"/>
  <c r="EF103" i="8"/>
  <c r="N11" i="56"/>
  <c r="N18" i="56"/>
  <c r="N27" i="56"/>
  <c r="BT238" i="58"/>
  <c r="CM78" i="58"/>
  <c r="BP39" i="8"/>
  <c r="BP71" i="8"/>
  <c r="BP17" i="8"/>
  <c r="BP116" i="58"/>
  <c r="AW236" i="58"/>
  <c r="BG67" i="58"/>
  <c r="AW34" i="8"/>
  <c r="N9" i="56"/>
  <c r="EG104" i="58"/>
  <c r="N12" i="56"/>
  <c r="N20" i="56"/>
  <c r="N30" i="56"/>
  <c r="BP40" i="58"/>
  <c r="EC96" i="58"/>
  <c r="N22" i="56"/>
  <c r="BY194" i="58"/>
  <c r="BY194" i="8"/>
  <c r="BP18" i="58"/>
  <c r="H11" i="56"/>
  <c r="H27" i="56"/>
  <c r="CQ171" i="58"/>
  <c r="K303" i="55"/>
  <c r="J229" i="55"/>
  <c r="I303" i="55"/>
  <c r="Q216" i="55"/>
  <c r="T216" i="55"/>
  <c r="I148" i="55"/>
  <c r="H303" i="55"/>
  <c r="Q217" i="55"/>
  <c r="T217" i="55"/>
  <c r="I104" i="55"/>
  <c r="Q214" i="55"/>
  <c r="Q215" i="55"/>
  <c r="U215" i="55"/>
  <c r="K290" i="55"/>
  <c r="I193" i="55"/>
  <c r="H271" i="55"/>
  <c r="Q211" i="55"/>
  <c r="T211" i="55"/>
  <c r="H290" i="55"/>
  <c r="I229" i="55"/>
  <c r="I255" i="55"/>
  <c r="H27" i="54"/>
  <c r="CQ170" i="8"/>
  <c r="J290" i="55"/>
  <c r="Q212" i="55"/>
  <c r="U212" i="55"/>
  <c r="I135" i="55"/>
  <c r="I290" i="55"/>
  <c r="Q213" i="55"/>
  <c r="T213" i="55"/>
  <c r="I45" i="55"/>
  <c r="Q210" i="55"/>
  <c r="T210" i="55"/>
  <c r="I74" i="55"/>
  <c r="H274" i="55"/>
  <c r="J104" i="55"/>
  <c r="Q209" i="55"/>
  <c r="T209" i="55"/>
  <c r="J135" i="55"/>
  <c r="H18" i="56"/>
  <c r="BY114" i="58"/>
  <c r="H30" i="56"/>
  <c r="J45" i="55"/>
  <c r="J148" i="55"/>
  <c r="J303" i="55"/>
  <c r="Q208" i="55"/>
  <c r="T208" i="55"/>
  <c r="J255" i="55"/>
  <c r="J193" i="55"/>
  <c r="J74" i="55"/>
  <c r="Q207" i="55"/>
  <c r="U207" i="55"/>
  <c r="DL120" i="58"/>
  <c r="CS101" i="58"/>
  <c r="DF89" i="58"/>
  <c r="J31" i="48"/>
  <c r="Q31" i="48"/>
  <c r="G31" i="48"/>
  <c r="R28" i="56"/>
  <c r="BP72" i="58"/>
  <c r="BY221" i="58"/>
  <c r="CS275" i="58"/>
  <c r="CK190" i="58"/>
  <c r="CS187" i="58"/>
  <c r="BY180" i="58"/>
  <c r="C52" i="75"/>
  <c r="N31" i="48"/>
  <c r="BX18" i="58"/>
  <c r="CD121" i="58"/>
  <c r="CH121" i="58"/>
  <c r="BY222" i="58"/>
  <c r="BY225" i="58"/>
  <c r="CS248" i="58"/>
  <c r="DF34" i="58"/>
  <c r="C1176" i="41"/>
  <c r="C49" i="74"/>
  <c r="W139" i="8"/>
  <c r="AE176" i="8"/>
  <c r="DD71" i="8"/>
  <c r="DD303" i="8"/>
  <c r="CP278" i="8"/>
  <c r="CU176" i="58"/>
  <c r="C470" i="41"/>
  <c r="C477" i="41"/>
  <c r="C487" i="41"/>
  <c r="E676" i="41"/>
  <c r="H711" i="41"/>
  <c r="DD72" i="58"/>
  <c r="E52" i="47"/>
  <c r="E53" i="47"/>
  <c r="E74" i="47"/>
  <c r="F74" i="47"/>
  <c r="P201" i="47"/>
  <c r="R201" i="47"/>
  <c r="P216" i="47"/>
  <c r="C65" i="56"/>
  <c r="H831" i="41"/>
  <c r="BP35" i="58"/>
  <c r="L114" i="58"/>
  <c r="H698" i="41"/>
  <c r="CO168" i="58"/>
  <c r="EC137" i="58"/>
  <c r="CD143" i="8"/>
  <c r="CH143" i="8"/>
  <c r="DF62" i="58"/>
  <c r="E1163" i="41"/>
  <c r="C61" i="56"/>
  <c r="F438" i="41"/>
  <c r="G436" i="41"/>
  <c r="AU101" i="58"/>
  <c r="BL279" i="58"/>
  <c r="BX50" i="58"/>
  <c r="CD100" i="58"/>
  <c r="CH100" i="58"/>
  <c r="E969" i="38"/>
  <c r="EB136" i="8"/>
  <c r="K831" i="41"/>
  <c r="I912" i="41"/>
  <c r="DD317" i="58"/>
  <c r="EC109" i="58"/>
  <c r="C59" i="56"/>
  <c r="BR21" i="58"/>
  <c r="D900" i="41"/>
  <c r="F832" i="41"/>
  <c r="F831" i="41"/>
  <c r="BB246" i="58"/>
  <c r="C60" i="56"/>
  <c r="J1028" i="41"/>
  <c r="H628" i="41"/>
  <c r="BI179" i="58"/>
  <c r="BD231" i="58"/>
  <c r="L710" i="41"/>
  <c r="M710" i="41"/>
  <c r="O147" i="65"/>
  <c r="Q123" i="65"/>
  <c r="C896" i="41"/>
  <c r="D896" i="41"/>
  <c r="Z77" i="58"/>
  <c r="Z92" i="58"/>
  <c r="V130" i="58"/>
  <c r="C898" i="41"/>
  <c r="D898" i="41"/>
  <c r="H900" i="41"/>
  <c r="BR45" i="58"/>
  <c r="Z60" i="58"/>
  <c r="D493" i="41"/>
  <c r="D514" i="41"/>
  <c r="AL171" i="58"/>
  <c r="F969" i="41"/>
  <c r="CF72" i="58"/>
  <c r="C55" i="56"/>
  <c r="CU87" i="58"/>
  <c r="CU90" i="58"/>
  <c r="I898" i="41"/>
  <c r="G1028" i="41"/>
  <c r="S99" i="58"/>
  <c r="C897" i="41"/>
  <c r="D897" i="41"/>
  <c r="C1239" i="41"/>
  <c r="E900" i="41"/>
  <c r="C1240" i="41"/>
  <c r="E228" i="41"/>
  <c r="BJ69" i="58"/>
  <c r="C61" i="54"/>
  <c r="C59" i="54"/>
  <c r="DM40" i="8"/>
  <c r="C31" i="38"/>
  <c r="S104" i="8"/>
  <c r="F322" i="38"/>
  <c r="J969" i="38"/>
  <c r="Y176" i="8"/>
  <c r="C44" i="54"/>
  <c r="BW244" i="8"/>
  <c r="I15" i="99"/>
  <c r="V48" i="58"/>
  <c r="BW69" i="8"/>
  <c r="C494" i="38"/>
  <c r="C500" i="38"/>
  <c r="C511" i="38"/>
  <c r="C49" i="54"/>
  <c r="BM120" i="8"/>
  <c r="F971" i="38"/>
  <c r="AU100" i="8"/>
  <c r="E370" i="38"/>
  <c r="F143" i="99"/>
  <c r="F141" i="99"/>
  <c r="D112" i="38"/>
  <c r="P441" i="38"/>
  <c r="F463" i="38"/>
  <c r="F462" i="38"/>
  <c r="CU86" i="8"/>
  <c r="CU89" i="8"/>
  <c r="D518" i="38"/>
  <c r="AD166" i="8"/>
  <c r="DE62" i="8"/>
  <c r="E1097" i="38"/>
  <c r="F809" i="38"/>
  <c r="Z59" i="8"/>
  <c r="DD320" i="8"/>
  <c r="Z76" i="8"/>
  <c r="BF11" i="58"/>
  <c r="F202" i="38"/>
  <c r="F969" i="38"/>
  <c r="I87" i="99"/>
  <c r="I85" i="99"/>
  <c r="G143" i="99"/>
  <c r="G141" i="99"/>
  <c r="C58" i="54"/>
  <c r="BW103" i="8"/>
  <c r="AG141" i="8"/>
  <c r="EB108" i="8"/>
  <c r="G7" i="99"/>
  <c r="G5" i="99"/>
  <c r="G10" i="99"/>
  <c r="AG142" i="58"/>
  <c r="C46" i="38"/>
  <c r="C518" i="38"/>
  <c r="I86" i="47"/>
  <c r="E249" i="38"/>
  <c r="F87" i="99"/>
  <c r="F85" i="99"/>
  <c r="BX48" i="8"/>
  <c r="BX51" i="8"/>
  <c r="C57" i="54"/>
  <c r="C63" i="54"/>
  <c r="P809" i="38"/>
  <c r="C53" i="56"/>
  <c r="E239" i="38"/>
  <c r="E702" i="38"/>
  <c r="D116" i="65"/>
  <c r="D123" i="65"/>
  <c r="BZ220" i="8"/>
  <c r="F99" i="99"/>
  <c r="F97" i="99"/>
  <c r="G95" i="99"/>
  <c r="G93" i="99"/>
  <c r="G51" i="99"/>
  <c r="G49" i="99"/>
  <c r="G131" i="99"/>
  <c r="G129" i="99"/>
  <c r="I47" i="99"/>
  <c r="I45" i="99"/>
  <c r="C1264" i="38"/>
  <c r="C1317" i="38"/>
  <c r="C1344" i="38"/>
  <c r="C1370" i="38"/>
  <c r="F739" i="38"/>
  <c r="G735" i="38"/>
  <c r="G23" i="99"/>
  <c r="I11" i="99"/>
  <c r="I51" i="99"/>
  <c r="I49" i="99"/>
  <c r="CF71" i="8"/>
  <c r="E703" i="38"/>
  <c r="G31" i="99"/>
  <c r="H75" i="99"/>
  <c r="H73" i="99"/>
  <c r="F131" i="99"/>
  <c r="F129" i="99"/>
  <c r="I31" i="99"/>
  <c r="CO167" i="8"/>
  <c r="G969" i="38"/>
  <c r="H39" i="99"/>
  <c r="H37" i="99"/>
  <c r="G127" i="99"/>
  <c r="G125" i="99"/>
  <c r="G67" i="99"/>
  <c r="G65" i="99"/>
  <c r="I139" i="99"/>
  <c r="I137" i="99"/>
  <c r="I63" i="99"/>
  <c r="I61" i="99"/>
  <c r="AW218" i="8"/>
  <c r="H123" i="99"/>
  <c r="H121" i="99"/>
  <c r="H147" i="99"/>
  <c r="H145" i="99"/>
  <c r="G15" i="99"/>
  <c r="I23" i="99"/>
  <c r="C45" i="54"/>
  <c r="C1265" i="38"/>
  <c r="C1318" i="38"/>
  <c r="C1345" i="38"/>
  <c r="C1371" i="38"/>
  <c r="F39" i="99"/>
  <c r="F37" i="99"/>
  <c r="G120" i="58"/>
  <c r="F11" i="99"/>
  <c r="F71" i="99"/>
  <c r="F69" i="99"/>
  <c r="H143" i="99"/>
  <c r="H141" i="99"/>
  <c r="I79" i="99"/>
  <c r="I77" i="99"/>
  <c r="BZ221" i="8"/>
  <c r="BZ224" i="8"/>
  <c r="V48" i="8"/>
  <c r="F95" i="99"/>
  <c r="F93" i="99"/>
  <c r="G103" i="99"/>
  <c r="G101" i="99"/>
  <c r="BJ68" i="8"/>
  <c r="F79" i="99"/>
  <c r="F77" i="99"/>
  <c r="G115" i="99"/>
  <c r="G113" i="99"/>
  <c r="E304" i="38"/>
  <c r="I27" i="99"/>
  <c r="H127" i="99"/>
  <c r="H125" i="99"/>
  <c r="I115" i="99"/>
  <c r="I113" i="99"/>
  <c r="I55" i="99"/>
  <c r="I53" i="99"/>
  <c r="G83" i="99"/>
  <c r="G81" i="99"/>
  <c r="G135" i="99"/>
  <c r="G133" i="99"/>
  <c r="C1146" i="38"/>
  <c r="C1160" i="38"/>
  <c r="C1175" i="38"/>
  <c r="C1188" i="38"/>
  <c r="E815" i="38"/>
  <c r="C55" i="54"/>
  <c r="J113" i="8"/>
  <c r="L120" i="58"/>
  <c r="S107" i="58"/>
  <c r="J119" i="8"/>
  <c r="J116" i="8"/>
  <c r="S103" i="8"/>
  <c r="T102" i="58"/>
  <c r="D49" i="41"/>
  <c r="Z63" i="58"/>
  <c r="C503" i="41"/>
  <c r="C524" i="41"/>
  <c r="K114" i="8"/>
  <c r="M115" i="58"/>
  <c r="L118" i="58"/>
  <c r="C28" i="41"/>
  <c r="L116" i="58"/>
  <c r="L115" i="58"/>
  <c r="C32" i="41"/>
  <c r="L119" i="58"/>
  <c r="L113" i="58"/>
  <c r="C25" i="41"/>
  <c r="C27" i="38"/>
  <c r="S101" i="8"/>
  <c r="C49" i="38"/>
  <c r="Y79" i="8"/>
  <c r="L117" i="58"/>
  <c r="G435" i="41"/>
  <c r="G432" i="41"/>
  <c r="G63" i="99"/>
  <c r="G61" i="99"/>
  <c r="G35" i="99"/>
  <c r="G33" i="99"/>
  <c r="F55" i="99"/>
  <c r="F53" i="99"/>
  <c r="H99" i="99"/>
  <c r="H97" i="99"/>
  <c r="F119" i="99"/>
  <c r="F117" i="99"/>
  <c r="BX51" i="58"/>
  <c r="F1028" i="41"/>
  <c r="BR20" i="8"/>
  <c r="C64" i="54"/>
  <c r="H107" i="99"/>
  <c r="H105" i="99"/>
  <c r="I111" i="99"/>
  <c r="I109" i="99"/>
  <c r="G71" i="99"/>
  <c r="G69" i="99"/>
  <c r="G39" i="99"/>
  <c r="G37" i="99"/>
  <c r="F151" i="99"/>
  <c r="F149" i="99"/>
  <c r="F135" i="99"/>
  <c r="F133" i="99"/>
  <c r="I123" i="99"/>
  <c r="I121" i="99"/>
  <c r="I107" i="99"/>
  <c r="I105" i="99"/>
  <c r="H95" i="99"/>
  <c r="H93" i="99"/>
  <c r="I75" i="99"/>
  <c r="I73" i="99"/>
  <c r="H63" i="99"/>
  <c r="H61" i="99"/>
  <c r="I43" i="99"/>
  <c r="I41" i="99"/>
  <c r="G79" i="99"/>
  <c r="G77" i="99"/>
  <c r="H139" i="99"/>
  <c r="H137" i="99"/>
  <c r="I71" i="99"/>
  <c r="I69" i="99"/>
  <c r="H71" i="99"/>
  <c r="H69" i="99"/>
  <c r="H151" i="99"/>
  <c r="H149" i="99"/>
  <c r="F63" i="99"/>
  <c r="F61" i="99"/>
  <c r="F107" i="99"/>
  <c r="F105" i="99"/>
  <c r="I83" i="99"/>
  <c r="I81" i="99"/>
  <c r="H43" i="99"/>
  <c r="H41" i="99"/>
  <c r="G119" i="99"/>
  <c r="G117" i="99"/>
  <c r="G107" i="99"/>
  <c r="G105" i="99"/>
  <c r="G87" i="99"/>
  <c r="G85" i="99"/>
  <c r="G55" i="99"/>
  <c r="G53" i="99"/>
  <c r="G147" i="99"/>
  <c r="G145" i="99"/>
  <c r="F139" i="99"/>
  <c r="F137" i="99"/>
  <c r="F123" i="99"/>
  <c r="F121" i="99"/>
  <c r="H111" i="99"/>
  <c r="H109" i="99"/>
  <c r="I91" i="99"/>
  <c r="I89" i="99"/>
  <c r="H79" i="99"/>
  <c r="H77" i="99"/>
  <c r="I59" i="99"/>
  <c r="I57" i="99"/>
  <c r="H47" i="99"/>
  <c r="H45" i="99"/>
  <c r="F103" i="99"/>
  <c r="F101" i="99"/>
  <c r="G47" i="99"/>
  <c r="G45" i="99"/>
  <c r="I103" i="99"/>
  <c r="I101" i="99"/>
  <c r="I39" i="99"/>
  <c r="I37" i="99"/>
  <c r="F115" i="99"/>
  <c r="F113" i="99"/>
  <c r="F47" i="99"/>
  <c r="F45" i="99"/>
  <c r="F127" i="99"/>
  <c r="F125" i="99"/>
  <c r="AX46" i="58"/>
  <c r="C49" i="56"/>
  <c r="C55" i="38"/>
  <c r="S106" i="8"/>
  <c r="G736" i="38"/>
  <c r="Z186" i="58"/>
  <c r="C47" i="56"/>
  <c r="BO179" i="58"/>
  <c r="C58" i="56"/>
  <c r="C25" i="38"/>
  <c r="J112" i="8"/>
  <c r="P95" i="58"/>
  <c r="C45" i="56"/>
  <c r="F441" i="38"/>
  <c r="G436" i="38"/>
  <c r="BX52" i="58"/>
  <c r="BX55" i="58"/>
  <c r="F1029" i="41"/>
  <c r="G118" i="8"/>
  <c r="G151" i="99"/>
  <c r="G149" i="99"/>
  <c r="I143" i="99"/>
  <c r="I141" i="99"/>
  <c r="G139" i="99"/>
  <c r="G137" i="99"/>
  <c r="H131" i="99"/>
  <c r="H129" i="99"/>
  <c r="G123" i="99"/>
  <c r="G121" i="99"/>
  <c r="H115" i="99"/>
  <c r="H113" i="99"/>
  <c r="F111" i="99"/>
  <c r="F109" i="99"/>
  <c r="I95" i="99"/>
  <c r="I93" i="99"/>
  <c r="I7" i="99"/>
  <c r="I5" i="99"/>
  <c r="I10" i="99"/>
  <c r="I9" i="99"/>
  <c r="I131" i="99"/>
  <c r="I129" i="99"/>
  <c r="I99" i="99"/>
  <c r="I97" i="99"/>
  <c r="H59" i="99"/>
  <c r="H57" i="99"/>
  <c r="I35" i="99"/>
  <c r="I33" i="99"/>
  <c r="I147" i="99"/>
  <c r="I145" i="99"/>
  <c r="H91" i="99"/>
  <c r="H89" i="99"/>
  <c r="I67" i="99"/>
  <c r="I65" i="99"/>
  <c r="I127" i="99"/>
  <c r="I125" i="99"/>
  <c r="F91" i="99"/>
  <c r="F89" i="99"/>
  <c r="H83" i="99"/>
  <c r="H81" i="99"/>
  <c r="F75" i="99"/>
  <c r="F73" i="99"/>
  <c r="H67" i="99"/>
  <c r="H65" i="99"/>
  <c r="F59" i="99"/>
  <c r="F57" i="99"/>
  <c r="H51" i="99"/>
  <c r="H49" i="99"/>
  <c r="F43" i="99"/>
  <c r="F41" i="99"/>
  <c r="H35" i="99"/>
  <c r="H33" i="99"/>
  <c r="G19" i="99"/>
  <c r="H11" i="99"/>
  <c r="H9" i="99"/>
  <c r="F147" i="99"/>
  <c r="F145" i="99"/>
  <c r="G111" i="99"/>
  <c r="G109" i="99"/>
  <c r="G99" i="99"/>
  <c r="G97" i="99"/>
  <c r="F83" i="99"/>
  <c r="F81" i="99"/>
  <c r="F67" i="99"/>
  <c r="F65" i="99"/>
  <c r="F51" i="99"/>
  <c r="F49" i="99"/>
  <c r="F35" i="99"/>
  <c r="F33" i="99"/>
  <c r="I151" i="99"/>
  <c r="I149" i="99"/>
  <c r="I135" i="99"/>
  <c r="I133" i="99"/>
  <c r="I119" i="99"/>
  <c r="I117" i="99"/>
  <c r="G91" i="99"/>
  <c r="G89" i="99"/>
  <c r="G75" i="99"/>
  <c r="G73" i="99"/>
  <c r="G59" i="99"/>
  <c r="G57" i="99"/>
  <c r="G43" i="99"/>
  <c r="G41" i="99"/>
  <c r="I19" i="99"/>
  <c r="H55" i="99"/>
  <c r="H53" i="99"/>
  <c r="H87" i="99"/>
  <c r="H85" i="99"/>
  <c r="H103" i="99"/>
  <c r="H101" i="99"/>
  <c r="H119" i="99"/>
  <c r="H117" i="99"/>
  <c r="H135" i="99"/>
  <c r="H133" i="99"/>
  <c r="G27" i="99"/>
  <c r="C54" i="54"/>
  <c r="CN84" i="8"/>
  <c r="C51" i="56"/>
  <c r="BW70" i="58"/>
  <c r="CN85" i="58"/>
  <c r="C54" i="56"/>
  <c r="C32" i="38"/>
  <c r="J118" i="8"/>
  <c r="CD94" i="8"/>
  <c r="CH94" i="8"/>
  <c r="I963" i="38"/>
  <c r="F52" i="47"/>
  <c r="F280" i="47"/>
  <c r="F281" i="47"/>
  <c r="D280" i="47"/>
  <c r="D281" i="47"/>
  <c r="G280" i="47"/>
  <c r="G281" i="47"/>
  <c r="D52" i="47"/>
  <c r="D53" i="47"/>
  <c r="W51" i="58"/>
  <c r="C56" i="56"/>
  <c r="T207" i="55"/>
  <c r="C52" i="56"/>
  <c r="BM125" i="58"/>
  <c r="C1231" i="41"/>
  <c r="C1245" i="41"/>
  <c r="C1217" i="41"/>
  <c r="Z42" i="8"/>
  <c r="V129" i="8"/>
  <c r="P438" i="41"/>
  <c r="U437" i="41"/>
  <c r="U436" i="41"/>
  <c r="I192" i="47"/>
  <c r="J192" i="47"/>
  <c r="K192" i="47"/>
  <c r="BX19" i="58"/>
  <c r="BX18" i="8"/>
  <c r="J207" i="47"/>
  <c r="K207" i="47"/>
  <c r="I207" i="47"/>
  <c r="DD38" i="58"/>
  <c r="CF111" i="58"/>
  <c r="L10" i="56"/>
  <c r="Q100" i="58"/>
  <c r="L9" i="56"/>
  <c r="H125" i="58"/>
  <c r="N128" i="58"/>
  <c r="U116" i="58"/>
  <c r="L12" i="56"/>
  <c r="AA191" i="58"/>
  <c r="L13" i="56"/>
  <c r="AH147" i="58"/>
  <c r="L16" i="56"/>
  <c r="BY75" i="58"/>
  <c r="L22" i="56"/>
  <c r="BE236" i="58"/>
  <c r="L25" i="56"/>
  <c r="L27" i="56"/>
  <c r="CQ173" i="58"/>
  <c r="L11" i="56"/>
  <c r="W53" i="58"/>
  <c r="L20" i="56"/>
  <c r="AO268" i="58"/>
  <c r="L18" i="56"/>
  <c r="L30" i="56"/>
  <c r="CF18" i="58"/>
  <c r="E295" i="41"/>
  <c r="BP68" i="58"/>
  <c r="F711" i="41"/>
  <c r="G706" i="41"/>
  <c r="E780" i="41"/>
  <c r="CK169" i="58"/>
  <c r="CK183" i="58"/>
  <c r="D1091" i="41"/>
  <c r="L26" i="56"/>
  <c r="CF219" i="58"/>
  <c r="H255" i="55"/>
  <c r="I830" i="38"/>
  <c r="I831" i="38"/>
  <c r="L738" i="38"/>
  <c r="M732" i="38"/>
  <c r="M708" i="41"/>
  <c r="O145" i="65"/>
  <c r="J144" i="65"/>
  <c r="J145" i="65"/>
  <c r="J147" i="65"/>
  <c r="J146" i="65"/>
  <c r="J142" i="65"/>
  <c r="Z119" i="65"/>
  <c r="O146" i="65"/>
  <c r="O144" i="65"/>
  <c r="E144" i="65"/>
  <c r="E146" i="65"/>
  <c r="E145" i="65"/>
  <c r="E147" i="65"/>
  <c r="E142" i="65"/>
  <c r="Z120" i="65"/>
  <c r="E695" i="41"/>
  <c r="BD313" i="8"/>
  <c r="DD321" i="8"/>
  <c r="D1038" i="38"/>
  <c r="DD161" i="58"/>
  <c r="CF155" i="58"/>
  <c r="E175" i="47"/>
  <c r="D176" i="47"/>
  <c r="H9" i="56"/>
  <c r="H13" i="56"/>
  <c r="H229" i="55"/>
  <c r="D685" i="41"/>
  <c r="D686" i="41"/>
  <c r="H26" i="56"/>
  <c r="H16" i="56"/>
  <c r="I899" i="41"/>
  <c r="I896" i="41"/>
  <c r="I897" i="41"/>
  <c r="D743" i="41"/>
  <c r="D744" i="41"/>
  <c r="AM180" i="8"/>
  <c r="AU177" i="8"/>
  <c r="C53" i="38"/>
  <c r="U135" i="8"/>
  <c r="EA135" i="58"/>
  <c r="EA107" i="58"/>
  <c r="U214" i="55"/>
  <c r="T214" i="55"/>
  <c r="T212" i="55"/>
  <c r="R216" i="47"/>
  <c r="P217" i="47"/>
  <c r="P202" i="47"/>
  <c r="R202" i="47"/>
  <c r="R203" i="47"/>
  <c r="F75" i="47"/>
  <c r="I74" i="47"/>
  <c r="H74" i="47"/>
  <c r="K74" i="47"/>
  <c r="E75" i="47"/>
  <c r="G437" i="41"/>
  <c r="M709" i="41"/>
  <c r="M704" i="41"/>
  <c r="E912" i="41"/>
  <c r="G434" i="41"/>
  <c r="I434" i="41"/>
  <c r="G433" i="41"/>
  <c r="M433" i="41"/>
  <c r="M707" i="41"/>
  <c r="M706" i="41"/>
  <c r="E913" i="41"/>
  <c r="M705" i="41"/>
  <c r="BB247" i="58"/>
  <c r="BB250" i="58"/>
  <c r="AL134" i="58"/>
  <c r="AK246" i="58"/>
  <c r="AM289" i="58"/>
  <c r="F897" i="41"/>
  <c r="F899" i="41"/>
  <c r="F898" i="41"/>
  <c r="F896" i="41"/>
  <c r="I98" i="47"/>
  <c r="I95" i="47"/>
  <c r="I96" i="47"/>
  <c r="I93" i="47"/>
  <c r="K1222" i="38"/>
  <c r="E86" i="47"/>
  <c r="E91" i="47"/>
  <c r="D1039" i="38"/>
  <c r="E85" i="47"/>
  <c r="D91" i="47"/>
  <c r="F91" i="47"/>
  <c r="D144" i="65"/>
  <c r="D146" i="65"/>
  <c r="I144" i="65"/>
  <c r="I146" i="65"/>
  <c r="BX47" i="8"/>
  <c r="D539" i="38"/>
  <c r="AD167" i="58"/>
  <c r="N147" i="65"/>
  <c r="Y91" i="8"/>
  <c r="U129" i="8"/>
  <c r="C112" i="38"/>
  <c r="N144" i="65"/>
  <c r="G734" i="38"/>
  <c r="Y59" i="8"/>
  <c r="BE11" i="58"/>
  <c r="N146" i="65"/>
  <c r="Y76" i="8"/>
  <c r="N145" i="65"/>
  <c r="G733" i="38"/>
  <c r="C539" i="38"/>
  <c r="AC167" i="58"/>
  <c r="AC166" i="8"/>
  <c r="H739" i="38"/>
  <c r="I739" i="38"/>
  <c r="H726" i="38"/>
  <c r="Y85" i="58"/>
  <c r="Y100" i="58"/>
  <c r="Z95" i="58"/>
  <c r="C502" i="41"/>
  <c r="C523" i="41"/>
  <c r="Z80" i="58"/>
  <c r="D104" i="41"/>
  <c r="C110" i="41"/>
  <c r="Y96" i="8"/>
  <c r="Y64" i="8"/>
  <c r="D313" i="41"/>
  <c r="CL72" i="58"/>
  <c r="D496" i="41"/>
  <c r="D517" i="41"/>
  <c r="V133" i="58"/>
  <c r="Y83" i="58"/>
  <c r="Y98" i="58"/>
  <c r="S100" i="58"/>
  <c r="C47" i="41"/>
  <c r="C119" i="38"/>
  <c r="AH145" i="58"/>
  <c r="F53" i="47"/>
  <c r="G53" i="47"/>
  <c r="G52" i="47"/>
  <c r="I92" i="47"/>
  <c r="I97" i="47"/>
  <c r="I91" i="47"/>
  <c r="I90" i="47"/>
  <c r="I94" i="47"/>
  <c r="G438" i="38"/>
  <c r="I435" i="41"/>
  <c r="M435" i="41"/>
  <c r="BY73" i="58"/>
  <c r="H123" i="58"/>
  <c r="N126" i="58"/>
  <c r="E176" i="47"/>
  <c r="D177" i="47"/>
  <c r="E177" i="47"/>
  <c r="D1099" i="41"/>
  <c r="M735" i="38"/>
  <c r="M734" i="38"/>
  <c r="M736" i="38"/>
  <c r="M733" i="38"/>
  <c r="M737" i="38"/>
  <c r="M738" i="38"/>
  <c r="G705" i="41"/>
  <c r="G708" i="41"/>
  <c r="G707" i="41"/>
  <c r="I711" i="41"/>
  <c r="C121" i="38"/>
  <c r="U137" i="8"/>
  <c r="BE19" i="58"/>
  <c r="Y99" i="8"/>
  <c r="C322" i="38"/>
  <c r="DB90" i="8"/>
  <c r="C527" i="38"/>
  <c r="I437" i="41"/>
  <c r="M437" i="41"/>
  <c r="CF217" i="58"/>
  <c r="D1096" i="41"/>
  <c r="O142" i="65"/>
  <c r="Z118" i="65"/>
  <c r="E693" i="41"/>
  <c r="G439" i="38"/>
  <c r="G437" i="38"/>
  <c r="G803" i="38"/>
  <c r="G807" i="38"/>
  <c r="G806" i="38"/>
  <c r="G808" i="38"/>
  <c r="G804" i="38"/>
  <c r="G805" i="38"/>
  <c r="G435" i="38"/>
  <c r="G440" i="38"/>
  <c r="C47" i="38"/>
  <c r="S99" i="8"/>
  <c r="M436" i="41"/>
  <c r="I436" i="41"/>
  <c r="I900" i="41"/>
  <c r="J9" i="56"/>
  <c r="J21" i="56"/>
  <c r="J17" i="56"/>
  <c r="J20" i="56"/>
  <c r="J16" i="56"/>
  <c r="J12" i="56"/>
  <c r="J25" i="56"/>
  <c r="J29" i="56"/>
  <c r="J29" i="54"/>
  <c r="J10" i="56"/>
  <c r="I231" i="55"/>
  <c r="J260" i="55"/>
  <c r="I107" i="55"/>
  <c r="J31" i="54"/>
  <c r="I48" i="55"/>
  <c r="J247" i="55"/>
  <c r="I199" i="55"/>
  <c r="J48" i="55"/>
  <c r="J294" i="55"/>
  <c r="I151" i="55"/>
  <c r="I77" i="55"/>
  <c r="U48" i="55"/>
  <c r="J77" i="55"/>
  <c r="J30" i="56"/>
  <c r="I260" i="55"/>
  <c r="J151" i="55"/>
  <c r="I247" i="55"/>
  <c r="K294" i="55"/>
  <c r="H294" i="55"/>
  <c r="I294" i="55"/>
  <c r="J199" i="55"/>
  <c r="I138" i="55"/>
  <c r="J138" i="55"/>
  <c r="J231" i="55"/>
  <c r="I432" i="41"/>
  <c r="M432" i="41"/>
  <c r="E76" i="47"/>
  <c r="H75" i="47"/>
  <c r="P203" i="47"/>
  <c r="I75" i="47"/>
  <c r="I76" i="47"/>
  <c r="F76" i="47"/>
  <c r="P218" i="47"/>
  <c r="R217" i="47"/>
  <c r="R218" i="47"/>
  <c r="I433" i="41"/>
  <c r="M434" i="41"/>
  <c r="CT84" i="58"/>
  <c r="F900" i="41"/>
  <c r="G739" i="38"/>
  <c r="E90" i="47"/>
  <c r="E92" i="47"/>
  <c r="E94" i="47"/>
  <c r="E95" i="47"/>
  <c r="J733" i="38"/>
  <c r="E98" i="47"/>
  <c r="E96" i="47"/>
  <c r="E93" i="47"/>
  <c r="E97" i="47"/>
  <c r="I145" i="65"/>
  <c r="I147" i="65"/>
  <c r="D145" i="65"/>
  <c r="D147" i="65"/>
  <c r="D142" i="65"/>
  <c r="L120" i="65"/>
  <c r="E723" i="38"/>
  <c r="J735" i="38"/>
  <c r="J734" i="38"/>
  <c r="AL170" i="8"/>
  <c r="AL133" i="8"/>
  <c r="AK234" i="8"/>
  <c r="AM282" i="8"/>
  <c r="D594" i="38"/>
  <c r="N142" i="65"/>
  <c r="L118" i="65"/>
  <c r="E721" i="38"/>
  <c r="J736" i="38"/>
  <c r="AK170" i="8"/>
  <c r="AK133" i="8"/>
  <c r="AJ234" i="8"/>
  <c r="AL282" i="8"/>
  <c r="C594" i="38"/>
  <c r="DC86" i="58"/>
  <c r="C125" i="41"/>
  <c r="AJ254" i="58"/>
  <c r="Y61" i="58"/>
  <c r="C494" i="41"/>
  <c r="C515" i="41"/>
  <c r="AK172" i="58"/>
  <c r="U131" i="58"/>
  <c r="Q99" i="58"/>
  <c r="M45" i="56"/>
  <c r="AA190" i="58"/>
  <c r="M47" i="56"/>
  <c r="M56" i="56"/>
  <c r="M440" i="38"/>
  <c r="I440" i="38"/>
  <c r="I808" i="38"/>
  <c r="M808" i="38"/>
  <c r="I437" i="38"/>
  <c r="M437" i="38"/>
  <c r="K1219" i="38"/>
  <c r="D1100" i="41"/>
  <c r="I85" i="47"/>
  <c r="I99" i="47"/>
  <c r="E99" i="47"/>
  <c r="M65" i="56"/>
  <c r="H64" i="54"/>
  <c r="M64" i="54"/>
  <c r="BY74" i="58"/>
  <c r="M51" i="56"/>
  <c r="H124" i="58"/>
  <c r="N127" i="58"/>
  <c r="M44" i="56"/>
  <c r="H44" i="56"/>
  <c r="M435" i="38"/>
  <c r="I435" i="38"/>
  <c r="M806" i="38"/>
  <c r="I806" i="38"/>
  <c r="I439" i="38"/>
  <c r="M439" i="38"/>
  <c r="I438" i="38"/>
  <c r="M438" i="38"/>
  <c r="I100" i="47"/>
  <c r="E100" i="47"/>
  <c r="E47" i="56"/>
  <c r="E45" i="54"/>
  <c r="E66" i="54"/>
  <c r="E47" i="54"/>
  <c r="E45" i="56"/>
  <c r="E55" i="54"/>
  <c r="E55" i="56"/>
  <c r="E65" i="56"/>
  <c r="M438" i="41"/>
  <c r="N433" i="41"/>
  <c r="M64" i="56"/>
  <c r="AO267" i="58"/>
  <c r="M55" i="56"/>
  <c r="M805" i="38"/>
  <c r="I805" i="38"/>
  <c r="I807" i="38"/>
  <c r="M807" i="38"/>
  <c r="G711" i="41"/>
  <c r="M66" i="54"/>
  <c r="M60" i="56"/>
  <c r="M52" i="56"/>
  <c r="U130" i="8"/>
  <c r="Y92" i="8"/>
  <c r="Y77" i="8"/>
  <c r="C314" i="38"/>
  <c r="C519" i="38"/>
  <c r="Y60" i="8"/>
  <c r="M804" i="38"/>
  <c r="I804" i="38"/>
  <c r="M803" i="38"/>
  <c r="G809" i="38"/>
  <c r="I803" i="38"/>
  <c r="F37" i="54"/>
  <c r="CS88" i="8"/>
  <c r="J706" i="41"/>
  <c r="J707" i="41"/>
  <c r="J708" i="41"/>
  <c r="J705" i="41"/>
  <c r="K75" i="47"/>
  <c r="H76" i="47"/>
  <c r="K76" i="47"/>
  <c r="N435" i="41"/>
  <c r="N437" i="41"/>
  <c r="N436" i="41"/>
  <c r="J739" i="38"/>
  <c r="U115" i="58"/>
  <c r="AT92" i="8"/>
  <c r="AT108" i="8"/>
  <c r="AS108" i="8"/>
  <c r="AS92" i="8"/>
  <c r="BE43" i="58"/>
  <c r="AK135" i="58"/>
  <c r="M809" i="38"/>
  <c r="N432" i="41"/>
  <c r="F37" i="56"/>
  <c r="D94" i="47"/>
  <c r="F94" i="47"/>
  <c r="D96" i="47"/>
  <c r="F96" i="47"/>
  <c r="D95" i="47"/>
  <c r="F95" i="47"/>
  <c r="D93" i="47"/>
  <c r="F93" i="47"/>
  <c r="D92" i="47"/>
  <c r="F92" i="47"/>
  <c r="D97" i="47"/>
  <c r="F97" i="47"/>
  <c r="D90" i="47"/>
  <c r="F90" i="47"/>
  <c r="J711" i="41"/>
  <c r="I809" i="38"/>
  <c r="DB83" i="8"/>
  <c r="N434" i="41"/>
  <c r="N438" i="41"/>
  <c r="J1420" i="38"/>
  <c r="L1420" i="38"/>
  <c r="M1420" i="38"/>
  <c r="DH318" i="58"/>
  <c r="CJ150" i="8"/>
  <c r="S73" i="53"/>
  <c r="CU275" i="8"/>
  <c r="CI151" i="58"/>
  <c r="P1438" i="38"/>
  <c r="CU276" i="58"/>
  <c r="DG318" i="8"/>
  <c r="H98" i="47"/>
  <c r="J98" i="47"/>
  <c r="D98" i="47"/>
  <c r="F98" i="47"/>
  <c r="P1499" i="41"/>
  <c r="C90" i="68"/>
  <c r="S92" i="53"/>
  <c r="D90" i="68"/>
  <c r="W92" i="53"/>
  <c r="C89" i="68"/>
  <c r="S91" i="53"/>
  <c r="D89" i="68"/>
  <c r="W91" i="53"/>
  <c r="U210" i="55"/>
  <c r="U209" i="55"/>
  <c r="AU102" i="8"/>
  <c r="CU238" i="8"/>
  <c r="AA102" i="58"/>
  <c r="DD72" i="8"/>
  <c r="CF72" i="8"/>
  <c r="BP72" i="8"/>
  <c r="L48" i="55"/>
  <c r="L62" i="55"/>
  <c r="L46" i="55"/>
  <c r="L60" i="55"/>
  <c r="L44" i="55"/>
  <c r="L45" i="55"/>
  <c r="L58" i="55"/>
  <c r="L59" i="55"/>
  <c r="D1088" i="38"/>
  <c r="D107" i="47"/>
  <c r="AU197" i="58"/>
  <c r="BL281" i="58"/>
  <c r="AU178" i="58"/>
  <c r="K1225" i="38"/>
  <c r="CU177" i="58"/>
  <c r="DD304" i="58"/>
  <c r="CP279" i="58"/>
  <c r="U213" i="55"/>
  <c r="U216" i="55"/>
  <c r="CU90" i="8"/>
  <c r="U208" i="55"/>
  <c r="O1448" i="38"/>
  <c r="BK274" i="8"/>
  <c r="BT269" i="8"/>
  <c r="D712" i="38"/>
  <c r="D713" i="38"/>
  <c r="T215" i="55"/>
  <c r="U211" i="55"/>
  <c r="I9" i="38"/>
  <c r="AU196" i="8"/>
  <c r="U217" i="55"/>
  <c r="I246" i="38"/>
  <c r="K1232" i="38"/>
  <c r="D105" i="47"/>
  <c r="D109" i="47"/>
  <c r="D67" i="38"/>
  <c r="D68" i="38"/>
  <c r="BL119" i="8"/>
  <c r="BT238" i="8"/>
  <c r="AW36" i="58"/>
  <c r="BP19" i="58"/>
  <c r="CM78" i="8"/>
  <c r="BP18" i="8"/>
  <c r="EF104" i="8"/>
  <c r="EG105" i="58"/>
  <c r="BY195" i="8"/>
  <c r="BT239" i="58"/>
  <c r="AX212" i="8"/>
  <c r="BG67" i="8"/>
  <c r="AW237" i="58"/>
  <c r="BQ171" i="58"/>
  <c r="EB96" i="8"/>
  <c r="EF86" i="8"/>
  <c r="AU163" i="58"/>
  <c r="AM143" i="8"/>
  <c r="CJ254" i="58"/>
  <c r="BG44" i="8"/>
  <c r="BY180" i="8"/>
  <c r="AW35" i="8"/>
  <c r="BP40" i="8"/>
  <c r="CM79" i="58"/>
  <c r="H1448" i="38"/>
  <c r="J1448" i="38"/>
  <c r="Q1448" i="38"/>
  <c r="H1509" i="41"/>
  <c r="I1509" i="41"/>
  <c r="K1509" i="41"/>
  <c r="F143" i="47"/>
  <c r="F142" i="47"/>
  <c r="F139" i="47"/>
  <c r="F149" i="47"/>
  <c r="F145" i="47"/>
  <c r="F146" i="47"/>
  <c r="F147" i="47"/>
  <c r="F144" i="47"/>
  <c r="F140" i="47"/>
  <c r="F141" i="47"/>
  <c r="F132" i="47"/>
  <c r="F128" i="47"/>
  <c r="F134" i="47"/>
  <c r="F135" i="47"/>
  <c r="F130" i="47"/>
  <c r="F133" i="47"/>
  <c r="F127" i="47"/>
  <c r="F131" i="47"/>
  <c r="F129" i="47"/>
  <c r="F126" i="47"/>
  <c r="AL256" i="58"/>
  <c r="D1087" i="38"/>
  <c r="K1226" i="38"/>
  <c r="BN251" i="8"/>
  <c r="F148" i="47"/>
  <c r="CF132" i="58"/>
  <c r="AA69" i="8"/>
  <c r="AU245" i="8"/>
  <c r="O1509" i="41"/>
  <c r="K1448" i="38"/>
  <c r="E125" i="47"/>
  <c r="G675" i="41"/>
  <c r="G730" i="41"/>
  <c r="G731" i="41"/>
  <c r="BS280" i="58"/>
  <c r="BQ157" i="58"/>
  <c r="D1091" i="38"/>
  <c r="K1229" i="38"/>
  <c r="D106" i="47"/>
  <c r="D132" i="47"/>
  <c r="G702" i="38"/>
  <c r="G758" i="38"/>
  <c r="CM174" i="8"/>
  <c r="G759" i="38"/>
  <c r="D1152" i="41"/>
  <c r="I1448" i="38"/>
  <c r="E130" i="47"/>
  <c r="E131" i="47"/>
  <c r="D1157" i="41"/>
  <c r="E133" i="47"/>
  <c r="E132" i="47"/>
  <c r="E127" i="47"/>
  <c r="F107" i="47"/>
  <c r="E147" i="47"/>
  <c r="E128" i="47"/>
  <c r="F125" i="47"/>
  <c r="K25" i="53"/>
  <c r="D142" i="47"/>
  <c r="D140" i="47"/>
  <c r="D146" i="47"/>
  <c r="D144" i="47"/>
  <c r="D145" i="47"/>
  <c r="D139" i="47"/>
  <c r="D141" i="47"/>
  <c r="D143" i="47"/>
  <c r="D147" i="47"/>
  <c r="H22" i="99"/>
  <c r="H26" i="99"/>
  <c r="H14" i="99"/>
  <c r="H30" i="99"/>
  <c r="H18" i="99"/>
  <c r="M436" i="38"/>
  <c r="I436" i="38"/>
  <c r="G441" i="38"/>
  <c r="I49" i="56"/>
  <c r="I66" i="54"/>
  <c r="I55" i="54"/>
  <c r="I51" i="54"/>
  <c r="I59" i="54"/>
  <c r="I59" i="56"/>
  <c r="I44" i="54"/>
  <c r="I66" i="56"/>
  <c r="I54" i="56"/>
  <c r="I57" i="56"/>
  <c r="I47" i="56"/>
  <c r="I56" i="54"/>
  <c r="I51" i="56"/>
  <c r="I61" i="54"/>
  <c r="I48" i="56"/>
  <c r="I50" i="56"/>
  <c r="I49" i="54"/>
  <c r="I65" i="54"/>
  <c r="I61" i="56"/>
  <c r="I50" i="54"/>
  <c r="I44" i="56"/>
  <c r="I63" i="56"/>
  <c r="I63" i="54"/>
  <c r="I57" i="54"/>
  <c r="I52" i="54"/>
  <c r="I56" i="56"/>
  <c r="I58" i="56"/>
  <c r="I45" i="56"/>
  <c r="I62" i="54"/>
  <c r="I52" i="56"/>
  <c r="I64" i="54"/>
  <c r="I62" i="56"/>
  <c r="I45" i="54"/>
  <c r="I65" i="56"/>
  <c r="I55" i="56"/>
  <c r="I53" i="54"/>
  <c r="I58" i="54"/>
  <c r="I48" i="54"/>
  <c r="I46" i="54"/>
  <c r="I46" i="56"/>
  <c r="I54" i="54"/>
  <c r="I64" i="56"/>
  <c r="I47" i="54"/>
  <c r="I53" i="56"/>
  <c r="H94" i="47"/>
  <c r="J94" i="47"/>
  <c r="H96" i="47"/>
  <c r="J96" i="47"/>
  <c r="E145" i="47"/>
  <c r="H91" i="47"/>
  <c r="J91" i="47"/>
  <c r="E140" i="47"/>
  <c r="H97" i="47"/>
  <c r="J97" i="47"/>
  <c r="H90" i="47"/>
  <c r="J90" i="47"/>
  <c r="H95" i="47"/>
  <c r="J95" i="47"/>
  <c r="E144" i="47"/>
  <c r="H92" i="47"/>
  <c r="J92" i="47"/>
  <c r="E141" i="47"/>
  <c r="H93" i="47"/>
  <c r="J93" i="47"/>
  <c r="D119" i="41"/>
  <c r="D249" i="41"/>
  <c r="D806" i="41"/>
  <c r="AL137" i="58"/>
  <c r="I438" i="41"/>
  <c r="CM175" i="58"/>
  <c r="E786" i="41"/>
  <c r="E821" i="38"/>
  <c r="G134" i="47"/>
  <c r="F109" i="47"/>
  <c r="G148" i="47"/>
  <c r="I142" i="65"/>
  <c r="L119" i="65"/>
  <c r="I26" i="99"/>
  <c r="I30" i="99"/>
  <c r="I14" i="99"/>
  <c r="I22" i="99"/>
  <c r="I18" i="99"/>
  <c r="C580" i="41"/>
  <c r="C126" i="41"/>
  <c r="J1509" i="41"/>
  <c r="Q1509" i="41"/>
  <c r="S102" i="58"/>
  <c r="C49" i="41"/>
  <c r="C1210" i="41"/>
  <c r="C1223" i="41"/>
  <c r="C1238" i="41"/>
  <c r="C1251" i="41"/>
  <c r="C1189" i="41"/>
  <c r="Y60" i="58"/>
  <c r="C493" i="41"/>
  <c r="C514" i="41"/>
  <c r="U130" i="58"/>
  <c r="C101" i="41"/>
  <c r="Y77" i="58"/>
  <c r="Y92" i="58"/>
  <c r="C54" i="41"/>
  <c r="S106" i="58"/>
  <c r="S100" i="8"/>
  <c r="C48" i="38"/>
  <c r="H9" i="73"/>
  <c r="H1723" i="13"/>
  <c r="H1724" i="13"/>
  <c r="K9" i="73"/>
  <c r="K1723" i="13"/>
  <c r="K1724" i="13"/>
  <c r="N1724" i="13"/>
  <c r="N9" i="73"/>
  <c r="N1723" i="13"/>
  <c r="H987" i="38"/>
  <c r="BP34" i="8"/>
  <c r="BD312" i="8"/>
  <c r="DD321" i="58"/>
  <c r="DZ106" i="8"/>
  <c r="AA53" i="58"/>
  <c r="BI181" i="58"/>
  <c r="AA52" i="8"/>
  <c r="BL181" i="8"/>
  <c r="I96" i="38"/>
  <c r="C28" i="38"/>
  <c r="CM180" i="58"/>
  <c r="CM179" i="8"/>
  <c r="H230" i="41"/>
  <c r="H218" i="41"/>
  <c r="H194" i="41"/>
  <c r="J75" i="47"/>
  <c r="G76" i="47"/>
  <c r="G120" i="38"/>
  <c r="I564" i="38"/>
  <c r="F104" i="41"/>
  <c r="E538" i="41"/>
  <c r="I551" i="41"/>
  <c r="F115" i="38"/>
  <c r="E563" i="38"/>
  <c r="I576" i="38"/>
  <c r="J96" i="58"/>
  <c r="I98" i="58"/>
  <c r="I25" i="53"/>
  <c r="I97" i="8"/>
  <c r="L102" i="8"/>
  <c r="M103" i="58"/>
  <c r="E82" i="38"/>
  <c r="I98" i="38"/>
  <c r="F99" i="38"/>
  <c r="M30" i="53"/>
  <c r="M32" i="53"/>
  <c r="G106" i="41"/>
  <c r="H539" i="41"/>
  <c r="H111" i="41"/>
  <c r="J540" i="41"/>
  <c r="H120" i="38"/>
  <c r="I565" i="38"/>
  <c r="H83" i="38"/>
  <c r="H109" i="41"/>
  <c r="I540" i="41"/>
  <c r="I100" i="58"/>
  <c r="K98" i="58"/>
  <c r="I27" i="53"/>
  <c r="L30" i="53"/>
  <c r="L103" i="58"/>
  <c r="E10" i="41"/>
  <c r="J10" i="41"/>
  <c r="E9" i="56"/>
  <c r="F9" i="56"/>
  <c r="H122" i="58"/>
  <c r="N125" i="58"/>
  <c r="U113" i="58"/>
  <c r="E24" i="53"/>
  <c r="M28" i="53"/>
  <c r="B4" i="68"/>
  <c r="E25" i="53"/>
  <c r="G30" i="53"/>
  <c r="L29" i="53"/>
  <c r="N99" i="58"/>
  <c r="AU243" i="8"/>
  <c r="F40" i="41"/>
  <c r="F39" i="41"/>
  <c r="N26" i="53"/>
  <c r="D13" i="38"/>
  <c r="D29" i="38"/>
  <c r="D51" i="38"/>
  <c r="D318" i="38"/>
  <c r="K99" i="58"/>
  <c r="H29" i="53"/>
  <c r="D13" i="41"/>
  <c r="D29" i="41"/>
  <c r="D51" i="41"/>
  <c r="D315" i="41"/>
  <c r="G102" i="8"/>
  <c r="L62" i="48"/>
  <c r="N62" i="48"/>
  <c r="P62" i="48"/>
  <c r="L65" i="48"/>
  <c r="K98" i="8"/>
  <c r="F53" i="38"/>
  <c r="E134" i="38"/>
  <c r="I134" i="38"/>
  <c r="BG16" i="8"/>
  <c r="BG19" i="8"/>
  <c r="E97" i="58"/>
  <c r="F105" i="41"/>
  <c r="G538" i="41"/>
  <c r="F102" i="58"/>
  <c r="D15" i="38"/>
  <c r="K117" i="8"/>
  <c r="E15" i="41"/>
  <c r="F15" i="41"/>
  <c r="E31" i="41"/>
  <c r="F31" i="41"/>
  <c r="U105" i="58"/>
  <c r="F103" i="58"/>
  <c r="E96" i="8"/>
  <c r="K26" i="53"/>
  <c r="G103" i="58"/>
  <c r="G114" i="38"/>
  <c r="F29" i="53"/>
  <c r="E19" i="53"/>
  <c r="D12" i="38"/>
  <c r="D29" i="53"/>
  <c r="F99" i="58"/>
  <c r="M95" i="8"/>
  <c r="M23" i="53"/>
  <c r="H97" i="58"/>
  <c r="M96" i="58"/>
  <c r="D70" i="41"/>
  <c r="C87" i="41"/>
  <c r="I70" i="41"/>
  <c r="H102" i="58"/>
  <c r="G119" i="38"/>
  <c r="F564" i="38"/>
  <c r="B2" i="54"/>
  <c r="D15" i="41"/>
  <c r="F50" i="41"/>
  <c r="BG15" i="58"/>
  <c r="E102" i="58"/>
  <c r="F68" i="41"/>
  <c r="H118" i="38"/>
  <c r="H24" i="53"/>
  <c r="L22" i="53"/>
  <c r="M31" i="53"/>
  <c r="F50" i="38"/>
  <c r="G101" i="58"/>
  <c r="H103" i="8"/>
  <c r="F81" i="38"/>
  <c r="G103" i="41"/>
  <c r="L102" i="58"/>
  <c r="H110" i="41"/>
  <c r="I523" i="41"/>
  <c r="M20" i="53"/>
  <c r="M21" i="53"/>
  <c r="L97" i="58"/>
  <c r="K32" i="53"/>
  <c r="J23" i="53"/>
  <c r="E65" i="48"/>
  <c r="E104" i="8"/>
  <c r="H103" i="41"/>
  <c r="E101" i="8"/>
  <c r="F122" i="38"/>
  <c r="J563" i="38"/>
  <c r="D92" i="8"/>
  <c r="Q2" i="53"/>
  <c r="H121" i="38"/>
  <c r="H113" i="38"/>
  <c r="D565" i="38"/>
  <c r="L24" i="53"/>
  <c r="F98" i="8"/>
  <c r="B2" i="56"/>
  <c r="D102" i="58"/>
  <c r="M103" i="8"/>
  <c r="C48" i="41"/>
  <c r="S101" i="58"/>
  <c r="AS253" i="58"/>
  <c r="BA244" i="58"/>
  <c r="D828" i="41"/>
  <c r="C255" i="41"/>
  <c r="BN71" i="58"/>
  <c r="Y51" i="58"/>
  <c r="C122" i="38"/>
  <c r="C528" i="38"/>
  <c r="C549" i="38"/>
  <c r="G548" i="38"/>
  <c r="F136" i="38"/>
  <c r="F121" i="38"/>
  <c r="G96" i="8"/>
  <c r="G24" i="53"/>
  <c r="N97" i="8"/>
  <c r="N98" i="58"/>
  <c r="CS81" i="8"/>
  <c r="CK69" i="8"/>
  <c r="BE14" i="58"/>
  <c r="Y97" i="8"/>
  <c r="C525" i="38"/>
  <c r="BE17" i="58"/>
  <c r="C320" i="38"/>
  <c r="Y65" i="8"/>
  <c r="G28" i="53"/>
  <c r="H81" i="38"/>
  <c r="H27" i="53"/>
  <c r="H68" i="41"/>
  <c r="F106" i="41"/>
  <c r="H538" i="41"/>
  <c r="F117" i="38"/>
  <c r="H563" i="38"/>
  <c r="C54" i="38"/>
  <c r="S105" i="8"/>
  <c r="U133" i="58"/>
  <c r="Y80" i="58"/>
  <c r="Y95" i="58"/>
  <c r="C313" i="41"/>
  <c r="C319" i="38"/>
  <c r="C118" i="38"/>
  <c r="BE16" i="58"/>
  <c r="Y81" i="8"/>
  <c r="U134" i="8"/>
  <c r="C524" i="38"/>
  <c r="S102" i="8"/>
  <c r="C50" i="38"/>
  <c r="C498" i="41"/>
  <c r="C519" i="41"/>
  <c r="C315" i="41"/>
  <c r="C106" i="41"/>
  <c r="N28" i="53"/>
  <c r="N101" i="58"/>
  <c r="N100" i="8"/>
  <c r="N27" i="53"/>
  <c r="N100" i="58"/>
  <c r="N99" i="8"/>
  <c r="E527" i="38"/>
  <c r="F527" i="38"/>
  <c r="N31" i="53"/>
  <c r="U132" i="8"/>
  <c r="C316" i="38"/>
  <c r="C115" i="38"/>
  <c r="Y62" i="8"/>
  <c r="Y94" i="8"/>
  <c r="C520" i="38"/>
  <c r="C315" i="38"/>
  <c r="BE13" i="58"/>
  <c r="Y61" i="8"/>
  <c r="D30" i="53"/>
  <c r="D103" i="58"/>
  <c r="C521" i="38"/>
  <c r="C579" i="41"/>
  <c r="AK179" i="58"/>
  <c r="AK142" i="58"/>
  <c r="C812" i="41"/>
  <c r="N23" i="53"/>
  <c r="S105" i="58"/>
  <c r="C117" i="41"/>
  <c r="AJ247" i="58"/>
  <c r="AL290" i="58"/>
  <c r="C804" i="41"/>
  <c r="C571" i="41"/>
  <c r="S104" i="58"/>
  <c r="C52" i="41"/>
  <c r="F101" i="58"/>
  <c r="F52" i="38"/>
  <c r="E176" i="38"/>
  <c r="F28" i="53"/>
  <c r="F52" i="41"/>
  <c r="BG16" i="58"/>
  <c r="H119" i="38"/>
  <c r="F565" i="38"/>
  <c r="D1470" i="38"/>
  <c r="DD281" i="8"/>
  <c r="M101" i="8"/>
  <c r="M29" i="53"/>
  <c r="AC168" i="58"/>
  <c r="AC167" i="8"/>
  <c r="C540" i="38"/>
  <c r="C109" i="41"/>
  <c r="U137" i="58"/>
  <c r="C501" i="41"/>
  <c r="C522" i="41"/>
  <c r="Y67" i="58"/>
  <c r="Y84" i="58"/>
  <c r="D49" i="38"/>
  <c r="E16" i="38"/>
  <c r="F16" i="38"/>
  <c r="L118" i="8"/>
  <c r="E102" i="8"/>
  <c r="E16" i="41"/>
  <c r="F16" i="41"/>
  <c r="N119" i="58"/>
  <c r="I95" i="58"/>
  <c r="I94" i="8"/>
  <c r="C117" i="38"/>
  <c r="C523" i="38"/>
  <c r="C544" i="38"/>
  <c r="C318" i="38"/>
  <c r="C108" i="41"/>
  <c r="C317" i="41"/>
  <c r="U136" i="58"/>
  <c r="C500" i="41"/>
  <c r="C521" i="41"/>
  <c r="H104" i="41"/>
  <c r="E540" i="41"/>
  <c r="I553" i="41"/>
  <c r="H115" i="38"/>
  <c r="E565" i="38"/>
  <c r="I578" i="38"/>
  <c r="M98" i="58"/>
  <c r="M25" i="53"/>
  <c r="AC175" i="58"/>
  <c r="AC174" i="8"/>
  <c r="C548" i="38"/>
  <c r="Y82" i="8"/>
  <c r="U131" i="8"/>
  <c r="Y66" i="58"/>
  <c r="BF61" i="58"/>
  <c r="BO66" i="58"/>
  <c r="AL174" i="58"/>
  <c r="AK249" i="58"/>
  <c r="AM292" i="58"/>
  <c r="E103" i="8"/>
  <c r="E104" i="58"/>
  <c r="E17" i="38"/>
  <c r="F17" i="38"/>
  <c r="E33" i="38"/>
  <c r="F33" i="38"/>
  <c r="H80" i="38"/>
  <c r="H67" i="41"/>
  <c r="H69" i="41"/>
  <c r="I99" i="8"/>
  <c r="J102" i="8"/>
  <c r="J103" i="58"/>
  <c r="BF38" i="58"/>
  <c r="D573" i="41"/>
  <c r="S103" i="58"/>
  <c r="C50" i="41"/>
  <c r="Y68" i="58"/>
  <c r="U138" i="58"/>
  <c r="C319" i="41"/>
  <c r="DB91" i="58"/>
  <c r="Z46" i="58"/>
  <c r="Y93" i="58"/>
  <c r="Y78" i="58"/>
  <c r="C102" i="41"/>
  <c r="C311" i="41"/>
  <c r="J94" i="8"/>
  <c r="J28" i="53"/>
  <c r="J101" i="58"/>
  <c r="F32" i="53"/>
  <c r="F56" i="38"/>
  <c r="F39" i="38"/>
  <c r="C113" i="38"/>
  <c r="BE12" i="58"/>
  <c r="Y84" i="8"/>
  <c r="Y67" i="8"/>
  <c r="I101" i="58"/>
  <c r="K96" i="8"/>
  <c r="D99" i="8"/>
  <c r="H99" i="58"/>
  <c r="H98" i="8"/>
  <c r="F49" i="41"/>
  <c r="BG14" i="58"/>
  <c r="K97" i="58"/>
  <c r="L108" i="38"/>
  <c r="E17" i="41"/>
  <c r="F17" i="41"/>
  <c r="N103" i="8"/>
  <c r="K31" i="53"/>
  <c r="K104" i="58"/>
  <c r="E101" i="58"/>
  <c r="N95" i="8"/>
  <c r="K99" i="8"/>
  <c r="K27" i="53"/>
  <c r="K22" i="53"/>
  <c r="H100" i="58"/>
  <c r="K55" i="41"/>
  <c r="E31" i="53"/>
  <c r="L100" i="58"/>
  <c r="K103" i="8"/>
  <c r="H107" i="41"/>
  <c r="L101" i="8"/>
  <c r="I96" i="8"/>
  <c r="F49" i="38"/>
  <c r="E174" i="38"/>
  <c r="E18" i="41"/>
  <c r="F18" i="41"/>
  <c r="E34" i="41"/>
  <c r="F34" i="41"/>
  <c r="E56" i="41"/>
  <c r="G97" i="58"/>
  <c r="F114" i="38"/>
  <c r="F103" i="41"/>
  <c r="I100" i="8"/>
  <c r="F97" i="8"/>
  <c r="K94" i="8"/>
  <c r="E14" i="38"/>
  <c r="F14" i="38"/>
  <c r="L116" i="8"/>
  <c r="G68" i="41"/>
  <c r="F98" i="58"/>
  <c r="D32" i="53"/>
  <c r="I97" i="58"/>
  <c r="L96" i="41"/>
  <c r="N7" i="73"/>
  <c r="H108" i="41"/>
  <c r="H7" i="73"/>
  <c r="E11" i="38"/>
  <c r="F11" i="38"/>
  <c r="F110" i="41"/>
  <c r="E98" i="58"/>
  <c r="J100" i="8"/>
  <c r="M102" i="58"/>
  <c r="D27" i="53"/>
  <c r="E97" i="8"/>
  <c r="J96" i="8"/>
  <c r="K100" i="58"/>
  <c r="J97" i="58"/>
  <c r="D18" i="38"/>
  <c r="D34" i="38"/>
  <c r="D56" i="38"/>
  <c r="D528" i="38"/>
  <c r="D549" i="38"/>
  <c r="E67" i="41"/>
  <c r="I84" i="41"/>
  <c r="N104" i="58"/>
  <c r="E18" i="38"/>
  <c r="F18" i="38"/>
  <c r="E34" i="38"/>
  <c r="F34" i="38"/>
  <c r="E56" i="38"/>
  <c r="G523" i="41"/>
  <c r="L27" i="53"/>
  <c r="H26" i="53"/>
  <c r="D16" i="41"/>
  <c r="L95" i="58"/>
  <c r="E14" i="41"/>
  <c r="F14" i="41"/>
  <c r="N117" i="58"/>
  <c r="J69" i="41"/>
  <c r="J82" i="38"/>
  <c r="I32" i="53"/>
  <c r="G105" i="41"/>
  <c r="G539" i="41"/>
  <c r="L99" i="58"/>
  <c r="G116" i="38"/>
  <c r="G564" i="38"/>
  <c r="L26" i="53"/>
  <c r="L98" i="8"/>
  <c r="K95" i="8"/>
  <c r="F102" i="41"/>
  <c r="D538" i="41"/>
  <c r="K96" i="58"/>
  <c r="K23" i="53"/>
  <c r="F113" i="38"/>
  <c r="D563" i="38"/>
  <c r="K103" i="58"/>
  <c r="K30" i="53"/>
  <c r="F120" i="38"/>
  <c r="I563" i="38"/>
  <c r="F109" i="41"/>
  <c r="I538" i="41"/>
  <c r="F46" i="41"/>
  <c r="F46" i="38"/>
  <c r="F22" i="53"/>
  <c r="F94" i="8"/>
  <c r="F38" i="41"/>
  <c r="K100" i="8"/>
  <c r="K101" i="58"/>
  <c r="K28" i="53"/>
  <c r="F118" i="38"/>
  <c r="F47" i="38"/>
  <c r="F23" i="53"/>
  <c r="F95" i="8"/>
  <c r="F47" i="41"/>
  <c r="F96" i="58"/>
  <c r="H117" i="38"/>
  <c r="H565" i="38"/>
  <c r="J32" i="53"/>
  <c r="G7" i="73"/>
  <c r="G20" i="53"/>
  <c r="G21" i="53"/>
  <c r="G22" i="53"/>
  <c r="G95" i="58"/>
  <c r="G94" i="8"/>
  <c r="F27" i="53"/>
  <c r="F51" i="41"/>
  <c r="E121" i="41"/>
  <c r="I121" i="41"/>
  <c r="F100" i="58"/>
  <c r="F99" i="8"/>
  <c r="L28" i="53"/>
  <c r="G107" i="41"/>
  <c r="E19" i="41"/>
  <c r="F19" i="41"/>
  <c r="E35" i="41"/>
  <c r="F35" i="41"/>
  <c r="E19" i="38"/>
  <c r="F19" i="38"/>
  <c r="E35" i="38"/>
  <c r="F35" i="38"/>
  <c r="E34" i="53"/>
  <c r="N24" i="53"/>
  <c r="N96" i="8"/>
  <c r="D10" i="38"/>
  <c r="K113" i="8"/>
  <c r="D24" i="53"/>
  <c r="D10" i="41"/>
  <c r="D97" i="58"/>
  <c r="D96" i="8"/>
  <c r="J80" i="38"/>
  <c r="G32" i="53"/>
  <c r="N30" i="53"/>
  <c r="N103" i="58"/>
  <c r="N102" i="8"/>
  <c r="J70" i="41"/>
  <c r="J67" i="41"/>
  <c r="J22" i="53"/>
  <c r="L23" i="53"/>
  <c r="L95" i="8"/>
  <c r="L96" i="58"/>
  <c r="G102" i="41"/>
  <c r="D539" i="41"/>
  <c r="G546" i="41"/>
  <c r="G70" i="41"/>
  <c r="G83" i="38"/>
  <c r="J26" i="53"/>
  <c r="M98" i="8"/>
  <c r="M26" i="53"/>
  <c r="F55" i="38"/>
  <c r="E136" i="38"/>
  <c r="F103" i="8"/>
  <c r="F31" i="53"/>
  <c r="J102" i="58"/>
  <c r="J29" i="53"/>
  <c r="F70" i="41"/>
  <c r="F83" i="38"/>
  <c r="J81" i="38"/>
  <c r="H32" i="53"/>
  <c r="H98" i="58"/>
  <c r="H97" i="8"/>
  <c r="E81" i="38"/>
  <c r="E68" i="41"/>
  <c r="J98" i="8"/>
  <c r="F51" i="38"/>
  <c r="E132" i="38"/>
  <c r="I132" i="38"/>
  <c r="F104" i="58"/>
  <c r="M99" i="8"/>
  <c r="M100" i="58"/>
  <c r="J98" i="58"/>
  <c r="E70" i="41"/>
  <c r="J25" i="53"/>
  <c r="J97" i="8"/>
  <c r="G98" i="8"/>
  <c r="G67" i="41"/>
  <c r="N102" i="58"/>
  <c r="N29" i="53"/>
  <c r="N101" i="8"/>
  <c r="D96" i="58"/>
  <c r="D95" i="8"/>
  <c r="D9" i="38"/>
  <c r="D9" i="41"/>
  <c r="D23" i="53"/>
  <c r="G95" i="8"/>
  <c r="G23" i="53"/>
  <c r="G96" i="58"/>
  <c r="D80" i="38"/>
  <c r="G89" i="38"/>
  <c r="D67" i="41"/>
  <c r="K102" i="8"/>
  <c r="M27" i="53"/>
  <c r="G113" i="38"/>
  <c r="D564" i="38"/>
  <c r="C577" i="38"/>
  <c r="F95" i="58"/>
  <c r="F107" i="41"/>
  <c r="E31" i="38"/>
  <c r="F31" i="38"/>
  <c r="L117" i="8"/>
  <c r="N113" i="58"/>
  <c r="I102" i="8"/>
  <c r="F20" i="53"/>
  <c r="F21" i="53"/>
  <c r="H31" i="53"/>
  <c r="G25" i="53"/>
  <c r="I30" i="53"/>
  <c r="F101" i="8"/>
  <c r="M101" i="58"/>
  <c r="J20" i="53"/>
  <c r="J21" i="53"/>
  <c r="I20" i="53"/>
  <c r="I21" i="53"/>
  <c r="E29" i="53"/>
  <c r="L99" i="8"/>
  <c r="D26" i="53"/>
  <c r="I69" i="41"/>
  <c r="K7" i="73"/>
  <c r="G99" i="8"/>
  <c r="D94" i="8"/>
  <c r="E30" i="53"/>
  <c r="I103" i="58"/>
  <c r="H99" i="8"/>
  <c r="E100" i="8"/>
  <c r="I67" i="41"/>
  <c r="G98" i="58"/>
  <c r="G97" i="8"/>
  <c r="G100" i="58"/>
  <c r="I22" i="53"/>
  <c r="E123" i="41"/>
  <c r="I123" i="41"/>
  <c r="E167" i="41"/>
  <c r="K116" i="8"/>
  <c r="D30" i="38"/>
  <c r="T103" i="8"/>
  <c r="L7" i="73"/>
  <c r="D19" i="41"/>
  <c r="D35" i="41"/>
  <c r="E26" i="53"/>
  <c r="E99" i="58"/>
  <c r="E12" i="41"/>
  <c r="F12" i="41"/>
  <c r="E12" i="38"/>
  <c r="F12" i="38"/>
  <c r="E11" i="58"/>
  <c r="E9" i="58"/>
  <c r="E98" i="8"/>
  <c r="H95" i="58"/>
  <c r="H22" i="53"/>
  <c r="H94" i="8"/>
  <c r="K119" i="8"/>
  <c r="D33" i="38"/>
  <c r="F67" i="41"/>
  <c r="G102" i="58"/>
  <c r="F80" i="38"/>
  <c r="G101" i="8"/>
  <c r="G29" i="53"/>
  <c r="F987" i="41"/>
  <c r="BY179" i="58"/>
  <c r="U100" i="58"/>
  <c r="E47" i="41"/>
  <c r="E169" i="41"/>
  <c r="BG19" i="58"/>
  <c r="E20" i="53"/>
  <c r="E7" i="73"/>
  <c r="D104" i="58"/>
  <c r="D103" i="8"/>
  <c r="D31" i="53"/>
  <c r="D17" i="41"/>
  <c r="G322" i="38"/>
  <c r="L103" i="8"/>
  <c r="G121" i="38"/>
  <c r="J319" i="41"/>
  <c r="G110" i="41"/>
  <c r="H548" i="38"/>
  <c r="E637" i="38"/>
  <c r="I628" i="41"/>
  <c r="BT202" i="58"/>
  <c r="E824" i="38"/>
  <c r="L104" i="58"/>
  <c r="H523" i="41"/>
  <c r="L31" i="53"/>
  <c r="D111" i="41"/>
  <c r="D503" i="41"/>
  <c r="D524" i="41"/>
  <c r="F553" i="41"/>
  <c r="C553" i="41"/>
  <c r="G69" i="41"/>
  <c r="G82" i="38"/>
  <c r="I26" i="53"/>
  <c r="I98" i="8"/>
  <c r="I99" i="58"/>
  <c r="E27" i="41"/>
  <c r="F27" i="41"/>
  <c r="N115" i="58"/>
  <c r="F119" i="38"/>
  <c r="F563" i="38"/>
  <c r="F108" i="41"/>
  <c r="F538" i="41"/>
  <c r="K101" i="8"/>
  <c r="K102" i="58"/>
  <c r="E173" i="38"/>
  <c r="D189" i="38"/>
  <c r="E29" i="54"/>
  <c r="F29" i="54"/>
  <c r="E129" i="38"/>
  <c r="F97" i="38"/>
  <c r="C97" i="38"/>
  <c r="E13" i="38"/>
  <c r="F13" i="38"/>
  <c r="E29" i="38"/>
  <c r="F29" i="38"/>
  <c r="E51" i="38"/>
  <c r="E99" i="8"/>
  <c r="E13" i="41"/>
  <c r="F13" i="41"/>
  <c r="E29" i="41"/>
  <c r="F29" i="41"/>
  <c r="E51" i="41"/>
  <c r="E27" i="53"/>
  <c r="E100" i="58"/>
  <c r="H30" i="53"/>
  <c r="I81" i="38"/>
  <c r="I68" i="41"/>
  <c r="M95" i="58"/>
  <c r="M22" i="53"/>
  <c r="L101" i="58"/>
  <c r="L100" i="8"/>
  <c r="G118" i="38"/>
  <c r="M24" i="53"/>
  <c r="H114" i="38"/>
  <c r="M97" i="58"/>
  <c r="D28" i="53"/>
  <c r="D14" i="41"/>
  <c r="D30" i="41"/>
  <c r="D52" i="41"/>
  <c r="D12" i="41"/>
  <c r="D98" i="8"/>
  <c r="BG17" i="58"/>
  <c r="BG20" i="58"/>
  <c r="F96" i="8"/>
  <c r="F48" i="41"/>
  <c r="F97" i="58"/>
  <c r="F24" i="53"/>
  <c r="H96" i="58"/>
  <c r="D68" i="41"/>
  <c r="H23" i="53"/>
  <c r="H95" i="8"/>
  <c r="D69" i="41"/>
  <c r="I23" i="53"/>
  <c r="I95" i="8"/>
  <c r="I96" i="58"/>
  <c r="D82" i="38"/>
  <c r="L97" i="8"/>
  <c r="G115" i="38"/>
  <c r="E564" i="38"/>
  <c r="L25" i="53"/>
  <c r="L98" i="58"/>
  <c r="G104" i="41"/>
  <c r="E539" i="41"/>
  <c r="H102" i="8"/>
  <c r="E94" i="8"/>
  <c r="E22" i="53"/>
  <c r="E23" i="53"/>
  <c r="E96" i="58"/>
  <c r="W21" i="55"/>
  <c r="E9" i="38"/>
  <c r="F9" i="38"/>
  <c r="E95" i="8"/>
  <c r="G103" i="8"/>
  <c r="G31" i="53"/>
  <c r="I29" i="53"/>
  <c r="F69" i="41"/>
  <c r="F82" i="38"/>
  <c r="I102" i="58"/>
  <c r="F54" i="41"/>
  <c r="F102" i="8"/>
  <c r="F54" i="38"/>
  <c r="H28" i="53"/>
  <c r="H100" i="8"/>
  <c r="D16" i="38"/>
  <c r="D102" i="8"/>
  <c r="F10" i="38"/>
  <c r="I10" i="38"/>
  <c r="E9" i="54"/>
  <c r="I86" i="41"/>
  <c r="N95" i="58"/>
  <c r="N94" i="8"/>
  <c r="G80" i="38"/>
  <c r="G99" i="58"/>
  <c r="G26" i="53"/>
  <c r="G111" i="41"/>
  <c r="J539" i="41"/>
  <c r="G122" i="38"/>
  <c r="J564" i="38"/>
  <c r="L32" i="53"/>
  <c r="J99" i="8"/>
  <c r="J100" i="58"/>
  <c r="J27" i="53"/>
  <c r="H105" i="41"/>
  <c r="G540" i="41"/>
  <c r="H116" i="38"/>
  <c r="G565" i="38"/>
  <c r="M99" i="58"/>
  <c r="AU119" i="58"/>
  <c r="AU103" i="58"/>
  <c r="E129" i="47"/>
  <c r="E126" i="47"/>
  <c r="E134" i="47"/>
  <c r="E135" i="47"/>
  <c r="AU162" i="8"/>
  <c r="AU143" i="8"/>
  <c r="AT260" i="58"/>
  <c r="DD284" i="58"/>
  <c r="D129" i="47"/>
  <c r="H129" i="47"/>
  <c r="D110" i="47"/>
  <c r="D128" i="47"/>
  <c r="H128" i="47"/>
  <c r="D127" i="47"/>
  <c r="H127" i="47"/>
  <c r="D125" i="47"/>
  <c r="H125" i="47"/>
  <c r="D131" i="47"/>
  <c r="H131" i="47"/>
  <c r="D133" i="47"/>
  <c r="H133" i="47"/>
  <c r="F110" i="47"/>
  <c r="E139" i="47"/>
  <c r="H139" i="47"/>
  <c r="E143" i="47"/>
  <c r="H140" i="47"/>
  <c r="D130" i="47"/>
  <c r="H130" i="47"/>
  <c r="CM176" i="58"/>
  <c r="CM179" i="58"/>
  <c r="E787" i="41"/>
  <c r="E142" i="47"/>
  <c r="E146" i="47"/>
  <c r="H147" i="47"/>
  <c r="D126" i="47"/>
  <c r="H126" i="47"/>
  <c r="H132" i="47"/>
  <c r="CM175" i="8"/>
  <c r="CM178" i="8"/>
  <c r="E822" i="38"/>
  <c r="J76" i="47"/>
  <c r="H99" i="47"/>
  <c r="J99" i="47"/>
  <c r="E148" i="47"/>
  <c r="E149" i="47"/>
  <c r="D99" i="47"/>
  <c r="F99" i="47"/>
  <c r="D134" i="47"/>
  <c r="Y93" i="8"/>
  <c r="C114" i="38"/>
  <c r="Y78" i="8"/>
  <c r="AJ246" i="58"/>
  <c r="AL289" i="58"/>
  <c r="AK134" i="58"/>
  <c r="AK171" i="58"/>
  <c r="Y63" i="58"/>
  <c r="C104" i="41"/>
  <c r="C496" i="41"/>
  <c r="C517" i="41"/>
  <c r="C368" i="41"/>
  <c r="C597" i="41"/>
  <c r="C614" i="41"/>
  <c r="J436" i="41"/>
  <c r="J437" i="41"/>
  <c r="J433" i="41"/>
  <c r="J435" i="41"/>
  <c r="J432" i="41"/>
  <c r="I235" i="41"/>
  <c r="BP38" i="58"/>
  <c r="I441" i="38"/>
  <c r="J436" i="38"/>
  <c r="D148" i="47"/>
  <c r="H148" i="47"/>
  <c r="H145" i="47"/>
  <c r="H142" i="47"/>
  <c r="M441" i="38"/>
  <c r="H143" i="47"/>
  <c r="H144" i="47"/>
  <c r="C318" i="41"/>
  <c r="Y99" i="58"/>
  <c r="J434" i="41"/>
  <c r="H141" i="47"/>
  <c r="H146" i="47"/>
  <c r="D117" i="38"/>
  <c r="E166" i="41"/>
  <c r="C99" i="38"/>
  <c r="E113" i="38"/>
  <c r="D562" i="38"/>
  <c r="D566" i="38"/>
  <c r="D1531" i="41"/>
  <c r="E44" i="56"/>
  <c r="F10" i="41"/>
  <c r="E26" i="41"/>
  <c r="F26" i="41"/>
  <c r="U101" i="58"/>
  <c r="F40" i="38"/>
  <c r="F41" i="38"/>
  <c r="E165" i="41"/>
  <c r="D31" i="38"/>
  <c r="E118" i="8"/>
  <c r="E6" i="99"/>
  <c r="E5" i="99"/>
  <c r="E10" i="99"/>
  <c r="E9" i="99"/>
  <c r="E14" i="99"/>
  <c r="N118" i="58"/>
  <c r="D122" i="38"/>
  <c r="E32" i="38"/>
  <c r="F32" i="38"/>
  <c r="E54" i="38"/>
  <c r="E105" i="58"/>
  <c r="E119" i="58"/>
  <c r="R1170" i="41"/>
  <c r="E177" i="38"/>
  <c r="F307" i="38"/>
  <c r="CF70" i="8"/>
  <c r="DD70" i="8"/>
  <c r="J370" i="38"/>
  <c r="D523" i="38"/>
  <c r="D544" i="38"/>
  <c r="D834" i="38"/>
  <c r="D849" i="38"/>
  <c r="D924" i="38"/>
  <c r="E122" i="41"/>
  <c r="I122" i="41"/>
  <c r="D498" i="41"/>
  <c r="D519" i="41"/>
  <c r="D808" i="41"/>
  <c r="D830" i="41"/>
  <c r="D911" i="41"/>
  <c r="D983" i="41"/>
  <c r="D106" i="41"/>
  <c r="E119" i="41"/>
  <c r="I119" i="41"/>
  <c r="D28" i="38"/>
  <c r="K115" i="8"/>
  <c r="E164" i="41"/>
  <c r="G164" i="41"/>
  <c r="G79" i="41"/>
  <c r="G87" i="41"/>
  <c r="H87" i="41"/>
  <c r="E102" i="41"/>
  <c r="D537" i="41"/>
  <c r="D541" i="41"/>
  <c r="F87" i="41"/>
  <c r="F578" i="38"/>
  <c r="C578" i="38"/>
  <c r="E30" i="38"/>
  <c r="F30" i="38"/>
  <c r="U103" i="8"/>
  <c r="W137" i="8"/>
  <c r="E130" i="38"/>
  <c r="I130" i="38"/>
  <c r="BG13" i="8"/>
  <c r="E175" i="38"/>
  <c r="E131" i="38"/>
  <c r="I131" i="38"/>
  <c r="BG14" i="8"/>
  <c r="E133" i="38"/>
  <c r="I133" i="38"/>
  <c r="BG15" i="8"/>
  <c r="AL254" i="58"/>
  <c r="DD282" i="58"/>
  <c r="E812" i="41"/>
  <c r="F812" i="41"/>
  <c r="L119" i="8"/>
  <c r="D52" i="38"/>
  <c r="D524" i="38"/>
  <c r="D545" i="38"/>
  <c r="M118" i="58"/>
  <c r="D31" i="41"/>
  <c r="E120" i="41"/>
  <c r="I120" i="41"/>
  <c r="AC172" i="58"/>
  <c r="AC171" i="8"/>
  <c r="C545" i="38"/>
  <c r="E32" i="41"/>
  <c r="F32" i="41"/>
  <c r="U106" i="58"/>
  <c r="Y64" i="58"/>
  <c r="C105" i="41"/>
  <c r="Y81" i="58"/>
  <c r="U134" i="58"/>
  <c r="C314" i="41"/>
  <c r="C497" i="41"/>
  <c r="C518" i="41"/>
  <c r="Y96" i="58"/>
  <c r="C107" i="41"/>
  <c r="Y65" i="58"/>
  <c r="C499" i="41"/>
  <c r="C520" i="41"/>
  <c r="C316" i="41"/>
  <c r="Y97" i="58"/>
  <c r="Y82" i="58"/>
  <c r="U135" i="58"/>
  <c r="E620" i="38"/>
  <c r="F620" i="38"/>
  <c r="E53" i="41"/>
  <c r="Y66" i="8"/>
  <c r="C120" i="38"/>
  <c r="C526" i="38"/>
  <c r="Y98" i="8"/>
  <c r="BE18" i="58"/>
  <c r="Y83" i="8"/>
  <c r="U136" i="8"/>
  <c r="C321" i="38"/>
  <c r="F928" i="38"/>
  <c r="BY178" i="8"/>
  <c r="F577" i="38"/>
  <c r="E30" i="41"/>
  <c r="F30" i="41"/>
  <c r="E52" i="41"/>
  <c r="E84" i="38"/>
  <c r="E85" i="38"/>
  <c r="C359" i="41"/>
  <c r="AS94" i="58"/>
  <c r="C588" i="41"/>
  <c r="C620" i="41"/>
  <c r="AS110" i="58"/>
  <c r="CS82" i="8"/>
  <c r="DB84" i="8"/>
  <c r="CK70" i="8"/>
  <c r="CK74" i="8"/>
  <c r="CS86" i="8"/>
  <c r="DB88" i="8"/>
  <c r="Y44" i="58"/>
  <c r="C247" i="41"/>
  <c r="BE36" i="58"/>
  <c r="C595" i="38"/>
  <c r="C830" i="38"/>
  <c r="AK134" i="8"/>
  <c r="AJ235" i="8"/>
  <c r="AL283" i="8"/>
  <c r="AK171" i="8"/>
  <c r="C128" i="38"/>
  <c r="C810" i="41"/>
  <c r="C123" i="41"/>
  <c r="C577" i="41"/>
  <c r="AK177" i="58"/>
  <c r="AJ252" i="58"/>
  <c r="AL295" i="58"/>
  <c r="AK140" i="58"/>
  <c r="CK70" i="58"/>
  <c r="DB84" i="58"/>
  <c r="CS82" i="58"/>
  <c r="V132" i="8"/>
  <c r="Z94" i="8"/>
  <c r="Z62" i="8"/>
  <c r="D115" i="38"/>
  <c r="BF14" i="58"/>
  <c r="D316" i="38"/>
  <c r="Z79" i="8"/>
  <c r="D521" i="38"/>
  <c r="H76" i="41"/>
  <c r="L76" i="41"/>
  <c r="C839" i="38"/>
  <c r="C604" i="38"/>
  <c r="F205" i="38"/>
  <c r="BX50" i="8"/>
  <c r="G571" i="38"/>
  <c r="G577" i="38"/>
  <c r="H577" i="38"/>
  <c r="F41" i="41"/>
  <c r="C578" i="41"/>
  <c r="C124" i="41"/>
  <c r="C811" i="41"/>
  <c r="AJ253" i="58"/>
  <c r="AL296" i="58"/>
  <c r="AK141" i="58"/>
  <c r="AK178" i="58"/>
  <c r="C826" i="41"/>
  <c r="AR251" i="58"/>
  <c r="AZ242" i="58"/>
  <c r="C628" i="41"/>
  <c r="C367" i="41"/>
  <c r="AS101" i="58"/>
  <c r="AS117" i="58"/>
  <c r="C596" i="41"/>
  <c r="AC168" i="8"/>
  <c r="C541" i="38"/>
  <c r="AC169" i="58"/>
  <c r="C121" i="41"/>
  <c r="C251" i="41"/>
  <c r="C808" i="41"/>
  <c r="C830" i="41"/>
  <c r="C911" i="41"/>
  <c r="C983" i="41"/>
  <c r="C575" i="41"/>
  <c r="CS85" i="8"/>
  <c r="DB87" i="8"/>
  <c r="CK73" i="8"/>
  <c r="C838" i="38"/>
  <c r="C136" i="38"/>
  <c r="C603" i="38"/>
  <c r="DB85" i="8"/>
  <c r="CS83" i="8"/>
  <c r="CK71" i="8"/>
  <c r="E71" i="41"/>
  <c r="E72" i="41"/>
  <c r="AR258" i="58"/>
  <c r="C834" i="41"/>
  <c r="AZ249" i="58"/>
  <c r="D909" i="41"/>
  <c r="AV230" i="58"/>
  <c r="DB89" i="58"/>
  <c r="CK75" i="58"/>
  <c r="CS87" i="58"/>
  <c r="D622" i="41"/>
  <c r="D590" i="41"/>
  <c r="AT112" i="58"/>
  <c r="D361" i="41"/>
  <c r="AT96" i="58"/>
  <c r="C834" i="38"/>
  <c r="C849" i="38"/>
  <c r="C924" i="38"/>
  <c r="C599" i="38"/>
  <c r="C132" i="38"/>
  <c r="C260" i="38"/>
  <c r="AC170" i="58"/>
  <c r="C542" i="38"/>
  <c r="AC169" i="8"/>
  <c r="C522" i="38"/>
  <c r="BE15" i="58"/>
  <c r="C317" i="38"/>
  <c r="U133" i="8"/>
  <c r="C116" i="38"/>
  <c r="Y63" i="8"/>
  <c r="Y80" i="8"/>
  <c r="Y95" i="8"/>
  <c r="CK72" i="58"/>
  <c r="CS84" i="58"/>
  <c r="DB86" i="58"/>
  <c r="C546" i="38"/>
  <c r="AC173" i="58"/>
  <c r="AC172" i="8"/>
  <c r="Y94" i="58"/>
  <c r="U132" i="58"/>
  <c r="C495" i="41"/>
  <c r="C516" i="41"/>
  <c r="Y79" i="58"/>
  <c r="Y62" i="58"/>
  <c r="C103" i="41"/>
  <c r="C312" i="41"/>
  <c r="W138" i="58"/>
  <c r="E502" i="41"/>
  <c r="F502" i="41"/>
  <c r="H89" i="38"/>
  <c r="M89" i="38"/>
  <c r="H91" i="38"/>
  <c r="D32" i="41"/>
  <c r="M119" i="58"/>
  <c r="E596" i="41"/>
  <c r="F628" i="41"/>
  <c r="AM142" i="58"/>
  <c r="F169" i="41"/>
  <c r="G255" i="41"/>
  <c r="F298" i="41"/>
  <c r="CF71" i="58"/>
  <c r="DD71" i="58"/>
  <c r="E27" i="38"/>
  <c r="F27" i="38"/>
  <c r="L114" i="8"/>
  <c r="D1530" i="41"/>
  <c r="DD280" i="58"/>
  <c r="F540" i="41"/>
  <c r="E33" i="41"/>
  <c r="F33" i="41"/>
  <c r="N120" i="58"/>
  <c r="H77" i="41"/>
  <c r="J77" i="41"/>
  <c r="I85" i="41"/>
  <c r="E171" i="38"/>
  <c r="E127" i="38"/>
  <c r="I127" i="38"/>
  <c r="BE9" i="8"/>
  <c r="BI9" i="8"/>
  <c r="BE10" i="58"/>
  <c r="BI10" i="58"/>
  <c r="H79" i="41"/>
  <c r="H78" i="41"/>
  <c r="L78" i="41"/>
  <c r="I87" i="41"/>
  <c r="I97" i="38"/>
  <c r="H90" i="38"/>
  <c r="L90" i="38"/>
  <c r="E161" i="41"/>
  <c r="E116" i="41"/>
  <c r="I116" i="41"/>
  <c r="F576" i="38"/>
  <c r="C576" i="38"/>
  <c r="G570" i="38"/>
  <c r="U104" i="8"/>
  <c r="E53" i="38"/>
  <c r="M113" i="58"/>
  <c r="D25" i="41"/>
  <c r="G174" i="38"/>
  <c r="F174" i="38"/>
  <c r="I99" i="38"/>
  <c r="D25" i="38"/>
  <c r="K112" i="8"/>
  <c r="C552" i="41"/>
  <c r="F552" i="41"/>
  <c r="D26" i="38"/>
  <c r="D48" i="38"/>
  <c r="F84" i="41"/>
  <c r="C84" i="41"/>
  <c r="M114" i="58"/>
  <c r="D26" i="41"/>
  <c r="G545" i="41"/>
  <c r="G547" i="41"/>
  <c r="F551" i="41"/>
  <c r="C551" i="41"/>
  <c r="E128" i="38"/>
  <c r="I128" i="38"/>
  <c r="BG11" i="8"/>
  <c r="E172" i="38"/>
  <c r="C96" i="38"/>
  <c r="F96" i="38"/>
  <c r="E117" i="41"/>
  <c r="I117" i="41"/>
  <c r="E162" i="41"/>
  <c r="D182" i="41"/>
  <c r="G29" i="56"/>
  <c r="H29" i="56"/>
  <c r="BG12" i="58"/>
  <c r="AE174" i="8"/>
  <c r="E548" i="38"/>
  <c r="K1356" i="38"/>
  <c r="K1363" i="38"/>
  <c r="K1368" i="38"/>
  <c r="K1395" i="38"/>
  <c r="J1359" i="38"/>
  <c r="Q1359" i="38"/>
  <c r="K1360" i="38"/>
  <c r="K1369" i="38"/>
  <c r="J1175" i="38"/>
  <c r="J1188" i="38"/>
  <c r="G1359" i="38"/>
  <c r="E1359" i="38"/>
  <c r="K1366" i="38"/>
  <c r="K1393" i="38"/>
  <c r="L1359" i="38"/>
  <c r="G1175" i="38"/>
  <c r="G1188" i="38"/>
  <c r="E1368" i="38"/>
  <c r="E1395" i="38"/>
  <c r="I1368" i="38"/>
  <c r="I1395" i="38"/>
  <c r="E1175" i="38"/>
  <c r="E1188" i="38"/>
  <c r="I1175" i="38"/>
  <c r="I1188" i="38"/>
  <c r="P1359" i="38"/>
  <c r="D1359" i="38"/>
  <c r="G1368" i="38"/>
  <c r="G1395" i="38"/>
  <c r="O1359" i="38"/>
  <c r="N1359" i="38"/>
  <c r="K1354" i="38"/>
  <c r="K1381" i="38"/>
  <c r="I1359" i="38"/>
  <c r="K1370" i="38"/>
  <c r="K1358" i="38"/>
  <c r="K1385" i="38"/>
  <c r="H1359" i="38"/>
  <c r="K1362" i="38"/>
  <c r="K1389" i="38"/>
  <c r="J1368" i="38"/>
  <c r="J1395" i="38"/>
  <c r="K1365" i="38"/>
  <c r="K1367" i="38"/>
  <c r="K1351" i="38"/>
  <c r="K1378" i="38"/>
  <c r="K1359" i="38"/>
  <c r="K1353" i="38"/>
  <c r="M1359" i="38"/>
  <c r="K1364" i="38"/>
  <c r="K1391" i="38"/>
  <c r="F1359" i="38"/>
  <c r="K1361" i="38"/>
  <c r="K1388" i="38"/>
  <c r="K1357" i="38"/>
  <c r="K1384" i="38"/>
  <c r="E28" i="38"/>
  <c r="F28" i="38"/>
  <c r="L115" i="8"/>
  <c r="K118" i="8"/>
  <c r="D32" i="38"/>
  <c r="N116" i="58"/>
  <c r="E28" i="41"/>
  <c r="F28" i="41"/>
  <c r="F85" i="41"/>
  <c r="G76" i="41"/>
  <c r="C85" i="41"/>
  <c r="G77" i="41"/>
  <c r="D71" i="41"/>
  <c r="D28" i="41"/>
  <c r="M116" i="58"/>
  <c r="I129" i="38"/>
  <c r="BG12" i="8"/>
  <c r="D580" i="41"/>
  <c r="D126" i="41"/>
  <c r="K1420" i="41"/>
  <c r="J1415" i="41"/>
  <c r="P1428" i="41"/>
  <c r="P1455" i="41"/>
  <c r="I1419" i="41"/>
  <c r="O1419" i="41"/>
  <c r="N1419" i="41"/>
  <c r="K1414" i="41"/>
  <c r="K1441" i="41"/>
  <c r="H1419" i="41"/>
  <c r="K1418" i="41"/>
  <c r="K1445" i="41"/>
  <c r="K1424" i="41"/>
  <c r="K1451" i="41"/>
  <c r="M1415" i="41"/>
  <c r="O1412" i="41"/>
  <c r="K1411" i="41"/>
  <c r="P1238" i="41"/>
  <c r="P1251" i="41"/>
  <c r="J1428" i="41"/>
  <c r="J1455" i="41"/>
  <c r="D1419" i="41"/>
  <c r="E1412" i="41"/>
  <c r="J1238" i="41"/>
  <c r="J1251" i="41"/>
  <c r="K1428" i="41"/>
  <c r="K1455" i="41"/>
  <c r="K1413" i="41"/>
  <c r="N1415" i="41"/>
  <c r="K1415" i="41"/>
  <c r="F1419" i="41"/>
  <c r="E1428" i="41"/>
  <c r="E1455" i="41"/>
  <c r="I1238" i="41"/>
  <c r="I1251" i="41"/>
  <c r="Q1419" i="41"/>
  <c r="G1428" i="41"/>
  <c r="G1455" i="41"/>
  <c r="K1417" i="41"/>
  <c r="K1444" i="41"/>
  <c r="F1412" i="41"/>
  <c r="K1419" i="41"/>
  <c r="J1412" i="41"/>
  <c r="G1238" i="41"/>
  <c r="G1251" i="41"/>
  <c r="G1415" i="41"/>
  <c r="E1415" i="41"/>
  <c r="P1412" i="41"/>
  <c r="L1415" i="41"/>
  <c r="K1421" i="41"/>
  <c r="K1448" i="41"/>
  <c r="H1415" i="41"/>
  <c r="K1423" i="41"/>
  <c r="M1412" i="41"/>
  <c r="D1415" i="41"/>
  <c r="F1415" i="41"/>
  <c r="H1412" i="41"/>
  <c r="L1412" i="41"/>
  <c r="E1238" i="41"/>
  <c r="E1251" i="41"/>
  <c r="K1425" i="41"/>
  <c r="P1415" i="41"/>
  <c r="K1422" i="41"/>
  <c r="K1449" i="41"/>
  <c r="K1429" i="41"/>
  <c r="I1412" i="41"/>
  <c r="O1415" i="41"/>
  <c r="L1419" i="41"/>
  <c r="I1428" i="41"/>
  <c r="I1455" i="41"/>
  <c r="Q1415" i="41"/>
  <c r="K1412" i="41"/>
  <c r="J1419" i="41"/>
  <c r="K1426" i="41"/>
  <c r="K1453" i="41"/>
  <c r="E1419" i="41"/>
  <c r="K1416" i="41"/>
  <c r="M1419" i="41"/>
  <c r="Q1412" i="41"/>
  <c r="G1419" i="41"/>
  <c r="D1412" i="41"/>
  <c r="G1412" i="41"/>
  <c r="P1419" i="41"/>
  <c r="N1412" i="41"/>
  <c r="I1415" i="41"/>
  <c r="K1427" i="41"/>
  <c r="F98" i="38"/>
  <c r="G91" i="38"/>
  <c r="G90" i="38"/>
  <c r="C98" i="38"/>
  <c r="D84" i="38"/>
  <c r="D499" i="41"/>
  <c r="D520" i="41"/>
  <c r="D316" i="41"/>
  <c r="CT86" i="58"/>
  <c r="D107" i="41"/>
  <c r="E64" i="54"/>
  <c r="E49" i="41"/>
  <c r="U102" i="58"/>
  <c r="E613" i="41"/>
  <c r="AM179" i="58"/>
  <c r="T106" i="8"/>
  <c r="D55" i="38"/>
  <c r="C10" i="8"/>
  <c r="C11" i="58"/>
  <c r="E230" i="38"/>
  <c r="BG42" i="8"/>
  <c r="E205" i="38"/>
  <c r="G552" i="41"/>
  <c r="H552" i="41"/>
  <c r="E55" i="38"/>
  <c r="U106" i="8"/>
  <c r="D839" i="38"/>
  <c r="D604" i="38"/>
  <c r="E124" i="41"/>
  <c r="BG18" i="58"/>
  <c r="BG22" i="58"/>
  <c r="E168" i="41"/>
  <c r="F168" i="41"/>
  <c r="D33" i="41"/>
  <c r="M120" i="58"/>
  <c r="H571" i="38"/>
  <c r="K571" i="38"/>
  <c r="I577" i="38"/>
  <c r="H570" i="38"/>
  <c r="K570" i="38"/>
  <c r="F9" i="54"/>
  <c r="E178" i="38"/>
  <c r="F178" i="38"/>
  <c r="E135" i="38"/>
  <c r="H546" i="41"/>
  <c r="J546" i="41"/>
  <c r="H545" i="41"/>
  <c r="K545" i="41"/>
  <c r="I552" i="41"/>
  <c r="BG13" i="58"/>
  <c r="E163" i="41"/>
  <c r="D179" i="41"/>
  <c r="E29" i="56"/>
  <c r="F29" i="56"/>
  <c r="E118" i="41"/>
  <c r="L112" i="8"/>
  <c r="E25" i="38"/>
  <c r="F25" i="38"/>
  <c r="E26" i="38"/>
  <c r="F26" i="38"/>
  <c r="L113" i="8"/>
  <c r="G78" i="41"/>
  <c r="C86" i="41"/>
  <c r="F86" i="41"/>
  <c r="G96" i="38"/>
  <c r="H96" i="38"/>
  <c r="F637" i="38"/>
  <c r="G637" i="38"/>
  <c r="K42" i="75"/>
  <c r="K39" i="75"/>
  <c r="C39" i="75"/>
  <c r="D567" i="41"/>
  <c r="K36" i="75"/>
  <c r="C36" i="75"/>
  <c r="D941" i="41"/>
  <c r="K41" i="75"/>
  <c r="AN297" i="58"/>
  <c r="K40" i="75"/>
  <c r="Y91" i="58"/>
  <c r="AC91" i="58"/>
  <c r="C37" i="75"/>
  <c r="D942" i="41"/>
  <c r="G579" i="41"/>
  <c r="C41" i="75"/>
  <c r="D601" i="41"/>
  <c r="DB150" i="58"/>
  <c r="DF150" i="58"/>
  <c r="G1163" i="41"/>
  <c r="AL288" i="58"/>
  <c r="AL303" i="58"/>
  <c r="C40" i="75"/>
  <c r="D584" i="41"/>
  <c r="K38" i="75"/>
  <c r="C122" i="68"/>
  <c r="L560" i="41"/>
  <c r="S7" i="53"/>
  <c r="C38" i="75"/>
  <c r="D943" i="41"/>
  <c r="AN299" i="58"/>
  <c r="K37" i="75"/>
  <c r="G195" i="41"/>
  <c r="C42" i="75"/>
  <c r="D961" i="41"/>
  <c r="H195" i="41"/>
  <c r="DD159" i="58"/>
  <c r="AN312" i="58"/>
  <c r="AN311" i="58"/>
  <c r="H134" i="47"/>
  <c r="H135" i="47"/>
  <c r="DB90" i="58"/>
  <c r="CK76" i="58"/>
  <c r="CS88" i="58"/>
  <c r="N807" i="38"/>
  <c r="N808" i="38"/>
  <c r="N438" i="38"/>
  <c r="N437" i="38"/>
  <c r="N435" i="38"/>
  <c r="N440" i="38"/>
  <c r="N806" i="38"/>
  <c r="N803" i="38"/>
  <c r="N804" i="38"/>
  <c r="N805" i="38"/>
  <c r="N809" i="38"/>
  <c r="N439" i="38"/>
  <c r="J422" i="41"/>
  <c r="J427" i="41"/>
  <c r="J438" i="41"/>
  <c r="L49" i="56"/>
  <c r="J65" i="54"/>
  <c r="J55" i="56"/>
  <c r="J57" i="54"/>
  <c r="J44" i="54"/>
  <c r="L59" i="56"/>
  <c r="L66" i="54"/>
  <c r="L59" i="54"/>
  <c r="L46" i="56"/>
  <c r="L54" i="56"/>
  <c r="L48" i="56"/>
  <c r="J57" i="56"/>
  <c r="L62" i="54"/>
  <c r="L57" i="56"/>
  <c r="L61" i="54"/>
  <c r="N1343" i="38"/>
  <c r="J55" i="54"/>
  <c r="J51" i="54"/>
  <c r="L50" i="56"/>
  <c r="L49" i="54"/>
  <c r="L58" i="54"/>
  <c r="J61" i="54"/>
  <c r="L44" i="54"/>
  <c r="J46" i="56"/>
  <c r="J60" i="56"/>
  <c r="L51" i="56"/>
  <c r="J51" i="56"/>
  <c r="L66" i="56"/>
  <c r="L47" i="56"/>
  <c r="J63" i="56"/>
  <c r="L57" i="54"/>
  <c r="L62" i="56"/>
  <c r="L55" i="56"/>
  <c r="J46" i="54"/>
  <c r="O1343" i="38"/>
  <c r="L51" i="54"/>
  <c r="L55" i="54"/>
  <c r="L45" i="56"/>
  <c r="J66" i="54"/>
  <c r="M1403" i="41"/>
  <c r="L65" i="56"/>
  <c r="J47" i="56"/>
  <c r="L56" i="56"/>
  <c r="J45" i="56"/>
  <c r="J56" i="54"/>
  <c r="L60" i="54"/>
  <c r="J53" i="54"/>
  <c r="J65" i="56"/>
  <c r="L50" i="54"/>
  <c r="L61" i="56"/>
  <c r="L60" i="56"/>
  <c r="L53" i="56"/>
  <c r="J47" i="54"/>
  <c r="L58" i="56"/>
  <c r="L54" i="54"/>
  <c r="L65" i="54"/>
  <c r="L52" i="56"/>
  <c r="J48" i="56"/>
  <c r="J53" i="56"/>
  <c r="J60" i="54"/>
  <c r="L47" i="54"/>
  <c r="P1343" i="38"/>
  <c r="J62" i="56"/>
  <c r="J66" i="56"/>
  <c r="L64" i="54"/>
  <c r="J44" i="56"/>
  <c r="Q1159" i="38"/>
  <c r="J45" i="54"/>
  <c r="L44" i="56"/>
  <c r="J62" i="54"/>
  <c r="J63" i="54"/>
  <c r="L48" i="54"/>
  <c r="L53" i="54"/>
  <c r="L45" i="54"/>
  <c r="J61" i="56"/>
  <c r="L56" i="54"/>
  <c r="J48" i="54"/>
  <c r="L64" i="56"/>
  <c r="L46" i="54"/>
  <c r="L52" i="54"/>
  <c r="J438" i="38"/>
  <c r="J440" i="38"/>
  <c r="J803" i="38"/>
  <c r="J430" i="38"/>
  <c r="J439" i="38"/>
  <c r="J441" i="38"/>
  <c r="J808" i="38"/>
  <c r="J435" i="38"/>
  <c r="J809" i="38"/>
  <c r="J806" i="38"/>
  <c r="J437" i="38"/>
  <c r="J805" i="38"/>
  <c r="J804" i="38"/>
  <c r="J807" i="38"/>
  <c r="N436" i="38"/>
  <c r="H149" i="47"/>
  <c r="C119" i="41"/>
  <c r="AK174" i="58"/>
  <c r="C806" i="41"/>
  <c r="C573" i="41"/>
  <c r="AJ249" i="58"/>
  <c r="AL292" i="58"/>
  <c r="AK137" i="58"/>
  <c r="D100" i="47"/>
  <c r="F48" i="54"/>
  <c r="F62" i="54"/>
  <c r="F46" i="54"/>
  <c r="F44" i="56"/>
  <c r="F53" i="56"/>
  <c r="F62" i="56"/>
  <c r="H100" i="47"/>
  <c r="J100" i="47"/>
  <c r="F53" i="54"/>
  <c r="F46" i="56"/>
  <c r="F48" i="56"/>
  <c r="F44" i="54"/>
  <c r="F57" i="54"/>
  <c r="F61" i="54"/>
  <c r="F65" i="56"/>
  <c r="D135" i="47"/>
  <c r="F61" i="56"/>
  <c r="F51" i="56"/>
  <c r="F66" i="54"/>
  <c r="F51" i="54"/>
  <c r="D149" i="47"/>
  <c r="E114" i="38"/>
  <c r="M77" i="41"/>
  <c r="E48" i="41"/>
  <c r="O63" i="41"/>
  <c r="E11" i="56"/>
  <c r="F11" i="56"/>
  <c r="E46" i="56"/>
  <c r="N114" i="58"/>
  <c r="E26" i="99"/>
  <c r="R1106" i="38"/>
  <c r="E30" i="99"/>
  <c r="E18" i="99"/>
  <c r="E22" i="99"/>
  <c r="M76" i="41"/>
  <c r="L123" i="8"/>
  <c r="U111" i="8"/>
  <c r="K76" i="41"/>
  <c r="C579" i="38"/>
  <c r="F579" i="38"/>
  <c r="T104" i="8"/>
  <c r="D53" i="38"/>
  <c r="L89" i="38"/>
  <c r="U104" i="58"/>
  <c r="K89" i="38"/>
  <c r="J76" i="41"/>
  <c r="U105" i="8"/>
  <c r="F972" i="38"/>
  <c r="D132" i="38"/>
  <c r="D260" i="38"/>
  <c r="D599" i="38"/>
  <c r="D616" i="38"/>
  <c r="D633" i="38"/>
  <c r="D319" i="38"/>
  <c r="CT85" i="8"/>
  <c r="N124" i="58"/>
  <c r="U112" i="58"/>
  <c r="E103" i="41"/>
  <c r="D118" i="38"/>
  <c r="E242" i="38"/>
  <c r="D96" i="41"/>
  <c r="D97" i="41"/>
  <c r="E54" i="41"/>
  <c r="D50" i="38"/>
  <c r="T102" i="8"/>
  <c r="F164" i="41"/>
  <c r="G165" i="41"/>
  <c r="E52" i="38"/>
  <c r="D121" i="41"/>
  <c r="D251" i="41"/>
  <c r="D575" i="41"/>
  <c r="J90" i="38"/>
  <c r="T100" i="8"/>
  <c r="D53" i="41"/>
  <c r="T105" i="58"/>
  <c r="J96" i="38"/>
  <c r="K96" i="38"/>
  <c r="J84" i="41"/>
  <c r="K84" i="41"/>
  <c r="AT258" i="58"/>
  <c r="E834" i="41"/>
  <c r="I89" i="38"/>
  <c r="J89" i="38"/>
  <c r="BX219" i="58"/>
  <c r="BS197" i="58"/>
  <c r="BX189" i="58"/>
  <c r="AU235" i="58"/>
  <c r="C915" i="41"/>
  <c r="AS243" i="8"/>
  <c r="BB240" i="8"/>
  <c r="C853" i="38"/>
  <c r="C596" i="38"/>
  <c r="C831" i="38"/>
  <c r="AK135" i="8"/>
  <c r="AK172" i="8"/>
  <c r="C129" i="38"/>
  <c r="AJ236" i="8"/>
  <c r="AL284" i="8"/>
  <c r="C626" i="41"/>
  <c r="C594" i="41"/>
  <c r="AS99" i="58"/>
  <c r="C365" i="41"/>
  <c r="AS115" i="58"/>
  <c r="AS109" i="8"/>
  <c r="C644" i="38"/>
  <c r="C362" i="38"/>
  <c r="AS93" i="8"/>
  <c r="C612" i="38"/>
  <c r="AC173" i="8"/>
  <c r="C547" i="38"/>
  <c r="AC174" i="58"/>
  <c r="CK74" i="58"/>
  <c r="DB88" i="58"/>
  <c r="CS86" i="58"/>
  <c r="CS83" i="58"/>
  <c r="CK71" i="58"/>
  <c r="DB85" i="58"/>
  <c r="AU228" i="58"/>
  <c r="C907" i="41"/>
  <c r="D542" i="38"/>
  <c r="AD169" i="8"/>
  <c r="AD170" i="58"/>
  <c r="C253" i="41"/>
  <c r="BE41" i="58"/>
  <c r="Y49" i="58"/>
  <c r="R431" i="41"/>
  <c r="BN108" i="58"/>
  <c r="BG123" i="58"/>
  <c r="R420" i="41"/>
  <c r="BR122" i="58"/>
  <c r="C122" i="41"/>
  <c r="C576" i="41"/>
  <c r="C809" i="41"/>
  <c r="AK139" i="58"/>
  <c r="AK176" i="58"/>
  <c r="AJ251" i="58"/>
  <c r="AL294" i="58"/>
  <c r="C832" i="41"/>
  <c r="AR256" i="58"/>
  <c r="AZ247" i="58"/>
  <c r="DB86" i="8"/>
  <c r="CK72" i="8"/>
  <c r="CS84" i="8"/>
  <c r="DC85" i="8"/>
  <c r="CT83" i="8"/>
  <c r="CL71" i="8"/>
  <c r="AU27" i="58"/>
  <c r="C256" i="38"/>
  <c r="BE35" i="8"/>
  <c r="Y43" i="8"/>
  <c r="BE11" i="8"/>
  <c r="AU26" i="8"/>
  <c r="CS87" i="8"/>
  <c r="DB89" i="8"/>
  <c r="CK75" i="8"/>
  <c r="C835" i="38"/>
  <c r="AK175" i="8"/>
  <c r="AK138" i="8"/>
  <c r="C600" i="38"/>
  <c r="AJ239" i="8"/>
  <c r="AL287" i="8"/>
  <c r="C133" i="38"/>
  <c r="C554" i="41"/>
  <c r="C118" i="41"/>
  <c r="AK136" i="58"/>
  <c r="C805" i="41"/>
  <c r="C572" i="41"/>
  <c r="AJ248" i="58"/>
  <c r="AL291" i="58"/>
  <c r="AK173" i="58"/>
  <c r="C543" i="38"/>
  <c r="AC171" i="58"/>
  <c r="AC170" i="8"/>
  <c r="BO110" i="58"/>
  <c r="S422" i="41"/>
  <c r="BS124" i="58"/>
  <c r="BH125" i="58"/>
  <c r="S433" i="41"/>
  <c r="BR129" i="58"/>
  <c r="BG130" i="58"/>
  <c r="BN115" i="58"/>
  <c r="C833" i="41"/>
  <c r="AZ248" i="58"/>
  <c r="AR257" i="58"/>
  <c r="C371" i="38"/>
  <c r="C621" i="38"/>
  <c r="C638" i="38"/>
  <c r="C653" i="38"/>
  <c r="AK175" i="58"/>
  <c r="C120" i="41"/>
  <c r="AK138" i="58"/>
  <c r="C807" i="41"/>
  <c r="C574" i="41"/>
  <c r="AJ250" i="58"/>
  <c r="AL293" i="58"/>
  <c r="C134" i="38"/>
  <c r="AK139" i="8"/>
  <c r="AK176" i="8"/>
  <c r="AJ240" i="8"/>
  <c r="AL288" i="8"/>
  <c r="C601" i="38"/>
  <c r="C836" i="38"/>
  <c r="C616" i="38"/>
  <c r="C633" i="38"/>
  <c r="C366" i="38"/>
  <c r="C648" i="38"/>
  <c r="C701" i="38"/>
  <c r="C757" i="38"/>
  <c r="BN64" i="58"/>
  <c r="BE59" i="58"/>
  <c r="C624" i="41"/>
  <c r="C363" i="41"/>
  <c r="C592" i="41"/>
  <c r="C609" i="41"/>
  <c r="G620" i="38"/>
  <c r="AU160" i="8"/>
  <c r="G572" i="38"/>
  <c r="BH174" i="58"/>
  <c r="BH247" i="58"/>
  <c r="BP150" i="58"/>
  <c r="BK274" i="58"/>
  <c r="D981" i="41"/>
  <c r="DC315" i="58"/>
  <c r="AS116" i="8"/>
  <c r="C652" i="38"/>
  <c r="C370" i="38"/>
  <c r="C620" i="38"/>
  <c r="AS100" i="8"/>
  <c r="BR202" i="58"/>
  <c r="BW224" i="58"/>
  <c r="C254" i="41"/>
  <c r="BE42" i="58"/>
  <c r="Y50" i="58"/>
  <c r="BW187" i="58"/>
  <c r="BR195" i="58"/>
  <c r="BW217" i="58"/>
  <c r="CK73" i="58"/>
  <c r="DB87" i="58"/>
  <c r="CS85" i="58"/>
  <c r="C613" i="41"/>
  <c r="AS138" i="58"/>
  <c r="G972" i="38"/>
  <c r="C597" i="38"/>
  <c r="AJ237" i="8"/>
  <c r="AL285" i="8"/>
  <c r="AK173" i="8"/>
  <c r="C832" i="38"/>
  <c r="C130" i="38"/>
  <c r="AK136" i="8"/>
  <c r="D607" i="41"/>
  <c r="AT133" i="58"/>
  <c r="C264" i="38"/>
  <c r="BN70" i="8"/>
  <c r="BE42" i="8"/>
  <c r="Y50" i="8"/>
  <c r="BE18" i="8"/>
  <c r="AS116" i="58"/>
  <c r="C627" i="41"/>
  <c r="C595" i="41"/>
  <c r="C366" i="41"/>
  <c r="AS100" i="58"/>
  <c r="BB233" i="8"/>
  <c r="AS236" i="8"/>
  <c r="C845" i="38"/>
  <c r="C605" i="41"/>
  <c r="AS131" i="58"/>
  <c r="D54" i="41"/>
  <c r="T106" i="58"/>
  <c r="K91" i="38"/>
  <c r="J98" i="38"/>
  <c r="K98" i="38"/>
  <c r="L77" i="41"/>
  <c r="U107" i="58"/>
  <c r="E55" i="41"/>
  <c r="F596" i="41"/>
  <c r="G596" i="41"/>
  <c r="AU161" i="58"/>
  <c r="E523" i="41"/>
  <c r="AE175" i="58"/>
  <c r="BP71" i="58"/>
  <c r="E298" i="41"/>
  <c r="BX17" i="58"/>
  <c r="E1031" i="41"/>
  <c r="H860" i="38"/>
  <c r="K77" i="41"/>
  <c r="U101" i="8"/>
  <c r="E49" i="38"/>
  <c r="L91" i="38"/>
  <c r="J91" i="38"/>
  <c r="M91" i="38"/>
  <c r="I92" i="38"/>
  <c r="E119" i="38"/>
  <c r="K92" i="38"/>
  <c r="E117" i="38"/>
  <c r="H562" i="38"/>
  <c r="BP12" i="58"/>
  <c r="BP11" i="58"/>
  <c r="BP10" i="58"/>
  <c r="DM69" i="58"/>
  <c r="E1047" i="41"/>
  <c r="D47" i="38"/>
  <c r="T99" i="8"/>
  <c r="F173" i="38"/>
  <c r="E966" i="38"/>
  <c r="BX11" i="8"/>
  <c r="CB16" i="8"/>
  <c r="G175" i="38"/>
  <c r="G551" i="41"/>
  <c r="D558" i="41"/>
  <c r="G515" i="41"/>
  <c r="G576" i="38"/>
  <c r="D583" i="38"/>
  <c r="G540" i="38"/>
  <c r="J545" i="41"/>
  <c r="C100" i="38"/>
  <c r="F554" i="41"/>
  <c r="M90" i="38"/>
  <c r="D47" i="41"/>
  <c r="T100" i="58"/>
  <c r="J86" i="41"/>
  <c r="K86" i="41"/>
  <c r="J78" i="41"/>
  <c r="E120" i="38"/>
  <c r="I562" i="38"/>
  <c r="M79" i="41"/>
  <c r="E111" i="41"/>
  <c r="J537" i="41"/>
  <c r="I79" i="41"/>
  <c r="E108" i="41"/>
  <c r="J87" i="41"/>
  <c r="K87" i="41"/>
  <c r="K79" i="41"/>
  <c r="E106" i="41"/>
  <c r="H537" i="41"/>
  <c r="M545" i="41"/>
  <c r="J571" i="38"/>
  <c r="D192" i="38"/>
  <c r="G29" i="54"/>
  <c r="H29" i="54"/>
  <c r="H299" i="55"/>
  <c r="T101" i="58"/>
  <c r="D48" i="41"/>
  <c r="J79" i="41"/>
  <c r="E105" i="41"/>
  <c r="G537" i="41"/>
  <c r="L79" i="41"/>
  <c r="E109" i="41"/>
  <c r="I537" i="41"/>
  <c r="M92" i="38"/>
  <c r="E122" i="38"/>
  <c r="J562" i="38"/>
  <c r="K78" i="41"/>
  <c r="J92" i="38"/>
  <c r="E116" i="38"/>
  <c r="G562" i="38"/>
  <c r="E988" i="38"/>
  <c r="BP11" i="8"/>
  <c r="J97" i="38"/>
  <c r="K97" i="38"/>
  <c r="K90" i="38"/>
  <c r="D104" i="38"/>
  <c r="G47" i="38"/>
  <c r="G48" i="38"/>
  <c r="F129" i="38"/>
  <c r="M78" i="41"/>
  <c r="J85" i="41"/>
  <c r="K85" i="41"/>
  <c r="K546" i="41"/>
  <c r="M546" i="41"/>
  <c r="L570" i="38"/>
  <c r="E64" i="56"/>
  <c r="Z67" i="8"/>
  <c r="V137" i="8"/>
  <c r="BF19" i="58"/>
  <c r="Z99" i="8"/>
  <c r="D527" i="38"/>
  <c r="D322" i="38"/>
  <c r="Z84" i="8"/>
  <c r="D121" i="38"/>
  <c r="D50" i="41"/>
  <c r="T103" i="58"/>
  <c r="D54" i="38"/>
  <c r="T105" i="8"/>
  <c r="D568" i="41"/>
  <c r="E47" i="38"/>
  <c r="U99" i="8"/>
  <c r="E971" i="38"/>
  <c r="BX15" i="8"/>
  <c r="D184" i="38"/>
  <c r="M570" i="38"/>
  <c r="AL175" i="8"/>
  <c r="D133" i="38"/>
  <c r="D600" i="38"/>
  <c r="AL138" i="8"/>
  <c r="D835" i="38"/>
  <c r="D850" i="38"/>
  <c r="D925" i="38"/>
  <c r="AK239" i="8"/>
  <c r="AM287" i="8"/>
  <c r="T107" i="58"/>
  <c r="D55" i="41"/>
  <c r="D520" i="38"/>
  <c r="Z78" i="8"/>
  <c r="D315" i="38"/>
  <c r="Z61" i="8"/>
  <c r="Z93" i="8"/>
  <c r="D114" i="38"/>
  <c r="V131" i="8"/>
  <c r="BF13" i="58"/>
  <c r="G97" i="38"/>
  <c r="D105" i="38"/>
  <c r="H47" i="38"/>
  <c r="I90" i="38"/>
  <c r="I118" i="41"/>
  <c r="U100" i="8"/>
  <c r="E48" i="38"/>
  <c r="D76" i="38"/>
  <c r="E11" i="54"/>
  <c r="L571" i="38"/>
  <c r="G98" i="38"/>
  <c r="H98" i="38"/>
  <c r="D107" i="38"/>
  <c r="J47" i="38"/>
  <c r="I91" i="38"/>
  <c r="G85" i="41"/>
  <c r="H85" i="41"/>
  <c r="I77" i="41"/>
  <c r="E628" i="41"/>
  <c r="AU117" i="58"/>
  <c r="J551" i="41"/>
  <c r="K551" i="41"/>
  <c r="I545" i="41"/>
  <c r="J552" i="41"/>
  <c r="K552" i="41"/>
  <c r="I546" i="41"/>
  <c r="H120" i="8"/>
  <c r="L124" i="8"/>
  <c r="U112" i="8"/>
  <c r="E44" i="54"/>
  <c r="F7" i="99"/>
  <c r="F5" i="99"/>
  <c r="F10" i="99"/>
  <c r="F9" i="99"/>
  <c r="AU141" i="8"/>
  <c r="G370" i="38"/>
  <c r="K1430" i="41"/>
  <c r="K1438" i="41"/>
  <c r="C88" i="41"/>
  <c r="E50" i="38"/>
  <c r="U102" i="8"/>
  <c r="D602" i="41"/>
  <c r="AU194" i="8"/>
  <c r="G652" i="38"/>
  <c r="L545" i="41"/>
  <c r="L546" i="41"/>
  <c r="G84" i="41"/>
  <c r="D92" i="41"/>
  <c r="G80" i="41"/>
  <c r="I76" i="41"/>
  <c r="G86" i="41"/>
  <c r="H86" i="41"/>
  <c r="D95" i="41"/>
  <c r="I78" i="41"/>
  <c r="AU175" i="8"/>
  <c r="H370" i="38"/>
  <c r="I570" i="38"/>
  <c r="J576" i="38"/>
  <c r="J577" i="38"/>
  <c r="K577" i="38"/>
  <c r="I571" i="38"/>
  <c r="D621" i="38"/>
  <c r="D638" i="38"/>
  <c r="D371" i="38"/>
  <c r="D653" i="38"/>
  <c r="G613" i="41"/>
  <c r="AU195" i="58"/>
  <c r="F613" i="41"/>
  <c r="F88" i="41"/>
  <c r="D962" i="41"/>
  <c r="D585" i="41"/>
  <c r="E1030" i="41"/>
  <c r="BX16" i="58"/>
  <c r="M571" i="38"/>
  <c r="C34" i="74"/>
  <c r="D591" i="38"/>
  <c r="AN292" i="8"/>
  <c r="AL281" i="8"/>
  <c r="AL294" i="8"/>
  <c r="G603" i="38"/>
  <c r="AU116" i="8"/>
  <c r="C8" i="68"/>
  <c r="K34" i="74"/>
  <c r="K35" i="74"/>
  <c r="L585" i="38"/>
  <c r="DD158" i="8"/>
  <c r="Y90" i="8"/>
  <c r="AC90" i="8"/>
  <c r="S6" i="53"/>
  <c r="DB149" i="8"/>
  <c r="DE149" i="8"/>
  <c r="G1097" i="38"/>
  <c r="K37" i="74"/>
  <c r="K36" i="74"/>
  <c r="AN302" i="8"/>
  <c r="AN303" i="8"/>
  <c r="D122" i="41"/>
  <c r="D809" i="41"/>
  <c r="D831" i="41"/>
  <c r="D912" i="41"/>
  <c r="D984" i="41"/>
  <c r="D576" i="41"/>
  <c r="D597" i="41"/>
  <c r="D614" i="41"/>
  <c r="D368" i="41"/>
  <c r="E50" i="41"/>
  <c r="U103" i="58"/>
  <c r="F100" i="38"/>
  <c r="J570" i="38"/>
  <c r="C622" i="41"/>
  <c r="C590" i="41"/>
  <c r="C361" i="41"/>
  <c r="AS96" i="58"/>
  <c r="AS112" i="58"/>
  <c r="N441" i="38"/>
  <c r="O76" i="47"/>
  <c r="F100" i="47"/>
  <c r="O100" i="47"/>
  <c r="C828" i="41"/>
  <c r="AR253" i="58"/>
  <c r="AZ244" i="58"/>
  <c r="Y46" i="58"/>
  <c r="C249" i="41"/>
  <c r="BE38" i="58"/>
  <c r="W50" i="58"/>
  <c r="K47" i="41"/>
  <c r="E494" i="41"/>
  <c r="F494" i="41"/>
  <c r="D525" i="38"/>
  <c r="V135" i="8"/>
  <c r="BF17" i="58"/>
  <c r="Z82" i="8"/>
  <c r="D119" i="38"/>
  <c r="D320" i="38"/>
  <c r="Z97" i="8"/>
  <c r="Z65" i="8"/>
  <c r="D174" i="41"/>
  <c r="E1116" i="41"/>
  <c r="D366" i="38"/>
  <c r="D461" i="38"/>
  <c r="D648" i="38"/>
  <c r="D701" i="38"/>
  <c r="D757" i="38"/>
  <c r="F92" i="41"/>
  <c r="G49" i="41"/>
  <c r="F119" i="41"/>
  <c r="G119" i="41"/>
  <c r="H1047" i="41"/>
  <c r="I1047" i="41"/>
  <c r="J1047" i="41"/>
  <c r="BP13" i="58"/>
  <c r="E1025" i="41"/>
  <c r="D624" i="41"/>
  <c r="D592" i="41"/>
  <c r="D609" i="41"/>
  <c r="D363" i="41"/>
  <c r="F104" i="38"/>
  <c r="K104" i="38"/>
  <c r="G56" i="38"/>
  <c r="G39" i="38"/>
  <c r="BX12" i="58"/>
  <c r="BX20" i="58"/>
  <c r="Z63" i="8"/>
  <c r="V133" i="8"/>
  <c r="BF15" i="58"/>
  <c r="Z95" i="8"/>
  <c r="Z80" i="8"/>
  <c r="D522" i="38"/>
  <c r="D116" i="38"/>
  <c r="D317" i="38"/>
  <c r="F163" i="41"/>
  <c r="F162" i="41"/>
  <c r="F652" i="38"/>
  <c r="F93" i="41"/>
  <c r="H93" i="41"/>
  <c r="H51" i="41"/>
  <c r="E251" i="41"/>
  <c r="D317" i="41"/>
  <c r="Z66" i="58"/>
  <c r="D500" i="41"/>
  <c r="D521" i="41"/>
  <c r="V136" i="58"/>
  <c r="Z83" i="58"/>
  <c r="D108" i="41"/>
  <c r="Z98" i="58"/>
  <c r="C258" i="38"/>
  <c r="AU29" i="58"/>
  <c r="BE37" i="8"/>
  <c r="AU28" i="8"/>
  <c r="BE13" i="8"/>
  <c r="Y45" i="8"/>
  <c r="BE40" i="58"/>
  <c r="Y48" i="58"/>
  <c r="C252" i="41"/>
  <c r="AS134" i="8"/>
  <c r="C629" i="38"/>
  <c r="BB304" i="8"/>
  <c r="DB312" i="8"/>
  <c r="C920" i="38"/>
  <c r="AV203" i="8"/>
  <c r="BI265" i="8"/>
  <c r="BJ172" i="8"/>
  <c r="BB235" i="8"/>
  <c r="C847" i="38"/>
  <c r="AS238" i="8"/>
  <c r="BW193" i="8"/>
  <c r="C705" i="38"/>
  <c r="BX223" i="8"/>
  <c r="BR202" i="8"/>
  <c r="AU31" i="8"/>
  <c r="Y48" i="8"/>
  <c r="BE40" i="8"/>
  <c r="BE16" i="8"/>
  <c r="C262" i="38"/>
  <c r="AU32" i="58"/>
  <c r="BE15" i="8"/>
  <c r="C261" i="38"/>
  <c r="Y47" i="8"/>
  <c r="AU30" i="8"/>
  <c r="BE39" i="8"/>
  <c r="AU31" i="58"/>
  <c r="BW192" i="58"/>
  <c r="BW222" i="58"/>
  <c r="BR200" i="58"/>
  <c r="F105" i="38"/>
  <c r="K105" i="38"/>
  <c r="H56" i="38"/>
  <c r="C450" i="38"/>
  <c r="C461" i="38"/>
  <c r="BE58" i="8"/>
  <c r="BN63" i="8"/>
  <c r="C913" i="41"/>
  <c r="AU233" i="58"/>
  <c r="C457" i="38"/>
  <c r="C446" i="38"/>
  <c r="BR115" i="8"/>
  <c r="BJ111" i="8"/>
  <c r="BI124" i="8"/>
  <c r="AK137" i="8"/>
  <c r="AJ238" i="8"/>
  <c r="AL286" i="8"/>
  <c r="C598" i="38"/>
  <c r="AK174" i="8"/>
  <c r="C131" i="38"/>
  <c r="C833" i="38"/>
  <c r="BB311" i="8"/>
  <c r="DB319" i="8"/>
  <c r="C928" i="38"/>
  <c r="BW178" i="8"/>
  <c r="BJ179" i="8"/>
  <c r="AV210" i="8"/>
  <c r="BI272" i="8"/>
  <c r="BE65" i="58"/>
  <c r="BN70" i="58"/>
  <c r="BG179" i="58"/>
  <c r="C987" i="41"/>
  <c r="BW179" i="58"/>
  <c r="BJ279" i="58"/>
  <c r="DB320" i="58"/>
  <c r="BG252" i="58"/>
  <c r="BO155" i="58"/>
  <c r="F128" i="38"/>
  <c r="C646" i="38"/>
  <c r="AS111" i="8"/>
  <c r="C364" i="38"/>
  <c r="AS95" i="8"/>
  <c r="C614" i="38"/>
  <c r="AS241" i="8"/>
  <c r="BB238" i="8"/>
  <c r="C851" i="38"/>
  <c r="BG245" i="58"/>
  <c r="BO148" i="58"/>
  <c r="C979" i="41"/>
  <c r="BJ272" i="58"/>
  <c r="DB313" i="58"/>
  <c r="BG172" i="58"/>
  <c r="R427" i="41"/>
  <c r="R438" i="41"/>
  <c r="BG129" i="58"/>
  <c r="BN114" i="58"/>
  <c r="BR128" i="58"/>
  <c r="C368" i="38"/>
  <c r="C618" i="38"/>
  <c r="AS98" i="8"/>
  <c r="C650" i="38"/>
  <c r="AS114" i="8"/>
  <c r="AU234" i="58"/>
  <c r="C914" i="41"/>
  <c r="AS161" i="58"/>
  <c r="AS176" i="58"/>
  <c r="AS195" i="58"/>
  <c r="BN69" i="58"/>
  <c r="BE64" i="58"/>
  <c r="AS136" i="58"/>
  <c r="C611" i="41"/>
  <c r="AS97" i="8"/>
  <c r="C617" i="38"/>
  <c r="C649" i="38"/>
  <c r="AS113" i="8"/>
  <c r="C367" i="38"/>
  <c r="AL173" i="8"/>
  <c r="D130" i="38"/>
  <c r="AK237" i="8"/>
  <c r="AM285" i="8"/>
  <c r="D832" i="38"/>
  <c r="D597" i="38"/>
  <c r="AL136" i="8"/>
  <c r="C257" i="38"/>
  <c r="AU27" i="8"/>
  <c r="BE36" i="8"/>
  <c r="Y44" i="8"/>
  <c r="AU28" i="58"/>
  <c r="BE12" i="8"/>
  <c r="BP164" i="58"/>
  <c r="BX174" i="58"/>
  <c r="AZ245" i="58"/>
  <c r="AR254" i="58"/>
  <c r="C829" i="41"/>
  <c r="AZ243" i="58"/>
  <c r="AR252" i="58"/>
  <c r="C827" i="41"/>
  <c r="AS169" i="58"/>
  <c r="AS154" i="58"/>
  <c r="AS188" i="58"/>
  <c r="AS137" i="58"/>
  <c r="C612" i="41"/>
  <c r="AT190" i="58"/>
  <c r="AT171" i="58"/>
  <c r="AT156" i="58"/>
  <c r="BE39" i="58"/>
  <c r="C250" i="41"/>
  <c r="Y47" i="58"/>
  <c r="BE37" i="58"/>
  <c r="Y45" i="58"/>
  <c r="C248" i="41"/>
  <c r="AS240" i="8"/>
  <c r="C850" i="38"/>
  <c r="BB237" i="8"/>
  <c r="AR255" i="58"/>
  <c r="C831" i="41"/>
  <c r="AZ246" i="58"/>
  <c r="AK140" i="8"/>
  <c r="C602" i="38"/>
  <c r="C837" i="38"/>
  <c r="C135" i="38"/>
  <c r="AK177" i="8"/>
  <c r="AJ241" i="8"/>
  <c r="R437" i="41"/>
  <c r="BG128" i="58"/>
  <c r="R426" i="41"/>
  <c r="BN113" i="58"/>
  <c r="BR127" i="58"/>
  <c r="BB234" i="8"/>
  <c r="C846" i="38"/>
  <c r="AS237" i="8"/>
  <c r="BR122" i="8"/>
  <c r="BI131" i="8"/>
  <c r="AS97" i="58"/>
  <c r="C362" i="41"/>
  <c r="C623" i="41"/>
  <c r="C591" i="41"/>
  <c r="AS113" i="58"/>
  <c r="C589" i="41"/>
  <c r="AS111" i="58"/>
  <c r="AS95" i="58"/>
  <c r="C360" i="41"/>
  <c r="C621" i="41"/>
  <c r="BW186" i="8"/>
  <c r="C697" i="38"/>
  <c r="BX216" i="8"/>
  <c r="BR195" i="8"/>
  <c r="R435" i="41"/>
  <c r="R424" i="41"/>
  <c r="F107" i="38"/>
  <c r="K107" i="38"/>
  <c r="J56" i="38"/>
  <c r="BW193" i="58"/>
  <c r="BW223" i="58"/>
  <c r="BR201" i="58"/>
  <c r="C637" i="38"/>
  <c r="AS141" i="8"/>
  <c r="C593" i="41"/>
  <c r="AS98" i="58"/>
  <c r="C625" i="41"/>
  <c r="AS114" i="58"/>
  <c r="C364" i="41"/>
  <c r="AS94" i="8"/>
  <c r="C613" i="38"/>
  <c r="C645" i="38"/>
  <c r="AS110" i="8"/>
  <c r="C363" i="38"/>
  <c r="D501" i="41"/>
  <c r="D522" i="41"/>
  <c r="Z84" i="58"/>
  <c r="D318" i="41"/>
  <c r="V137" i="58"/>
  <c r="Z67" i="58"/>
  <c r="Z99" i="58"/>
  <c r="D109" i="41"/>
  <c r="F95" i="41"/>
  <c r="J49" i="41"/>
  <c r="E573" i="41"/>
  <c r="F573" i="41"/>
  <c r="AU96" i="58"/>
  <c r="H551" i="41"/>
  <c r="D559" i="41"/>
  <c r="H515" i="41"/>
  <c r="G367" i="41"/>
  <c r="AU138" i="58"/>
  <c r="AM135" i="58"/>
  <c r="E588" i="41"/>
  <c r="F588" i="41"/>
  <c r="G359" i="41"/>
  <c r="G516" i="41"/>
  <c r="AM136" i="58"/>
  <c r="E965" i="38"/>
  <c r="BX10" i="8"/>
  <c r="F172" i="38"/>
  <c r="H576" i="38"/>
  <c r="D584" i="38"/>
  <c r="H540" i="38"/>
  <c r="AM171" i="8"/>
  <c r="D311" i="41"/>
  <c r="Z78" i="58"/>
  <c r="Z61" i="58"/>
  <c r="D102" i="41"/>
  <c r="D494" i="41"/>
  <c r="D515" i="41"/>
  <c r="V131" i="58"/>
  <c r="Z93" i="58"/>
  <c r="D94" i="41"/>
  <c r="I47" i="41"/>
  <c r="E311" i="41"/>
  <c r="E107" i="41"/>
  <c r="F537" i="41"/>
  <c r="F1047" i="41"/>
  <c r="BX19" i="8"/>
  <c r="Z62" i="58"/>
  <c r="Z79" i="58"/>
  <c r="D495" i="41"/>
  <c r="D516" i="41"/>
  <c r="D103" i="41"/>
  <c r="Z94" i="58"/>
  <c r="V132" i="58"/>
  <c r="D312" i="41"/>
  <c r="E104" i="41"/>
  <c r="E537" i="41"/>
  <c r="E541" i="41"/>
  <c r="F96" i="41"/>
  <c r="K96" i="41"/>
  <c r="K56" i="41"/>
  <c r="E503" i="41"/>
  <c r="F503" i="41"/>
  <c r="E524" i="41"/>
  <c r="BF12" i="58"/>
  <c r="D314" i="38"/>
  <c r="D113" i="38"/>
  <c r="Z60" i="8"/>
  <c r="V130" i="8"/>
  <c r="Z92" i="8"/>
  <c r="Z77" i="8"/>
  <c r="D519" i="38"/>
  <c r="F106" i="38"/>
  <c r="I49" i="38"/>
  <c r="BP10" i="8"/>
  <c r="BP9" i="8"/>
  <c r="DL77" i="8"/>
  <c r="F988" i="38"/>
  <c r="DL68" i="8"/>
  <c r="F94" i="41"/>
  <c r="I94" i="41"/>
  <c r="I54" i="41"/>
  <c r="E118" i="38"/>
  <c r="F562" i="38"/>
  <c r="H988" i="38"/>
  <c r="I988" i="38"/>
  <c r="J988" i="38"/>
  <c r="L988" i="38"/>
  <c r="BP12" i="8"/>
  <c r="H97" i="38"/>
  <c r="D106" i="38"/>
  <c r="I47" i="38"/>
  <c r="E595" i="38"/>
  <c r="F595" i="38"/>
  <c r="J48" i="38"/>
  <c r="AA92" i="8"/>
  <c r="DC84" i="8"/>
  <c r="CT82" i="8"/>
  <c r="CL70" i="8"/>
  <c r="J47" i="41"/>
  <c r="AA60" i="8"/>
  <c r="E256" i="38"/>
  <c r="H68" i="55"/>
  <c r="H48" i="38"/>
  <c r="BF15" i="8"/>
  <c r="Z47" i="8"/>
  <c r="D261" i="38"/>
  <c r="Z81" i="58"/>
  <c r="D314" i="41"/>
  <c r="Z64" i="58"/>
  <c r="D497" i="41"/>
  <c r="D518" i="41"/>
  <c r="D105" i="41"/>
  <c r="Z96" i="58"/>
  <c r="V134" i="58"/>
  <c r="G541" i="38"/>
  <c r="E612" i="38"/>
  <c r="F612" i="38"/>
  <c r="AM134" i="8"/>
  <c r="K576" i="38"/>
  <c r="D541" i="38"/>
  <c r="AD169" i="58"/>
  <c r="AD168" i="8"/>
  <c r="G47" i="41"/>
  <c r="H367" i="41"/>
  <c r="AU176" i="58"/>
  <c r="Z85" i="58"/>
  <c r="V138" i="58"/>
  <c r="D110" i="41"/>
  <c r="D502" i="41"/>
  <c r="D523" i="41"/>
  <c r="D319" i="41"/>
  <c r="DC91" i="58"/>
  <c r="Z68" i="58"/>
  <c r="Z100" i="58"/>
  <c r="M47" i="38"/>
  <c r="M48" i="38"/>
  <c r="K47" i="38"/>
  <c r="E1054" i="38"/>
  <c r="D185" i="38"/>
  <c r="D186" i="38"/>
  <c r="K29" i="54"/>
  <c r="L29" i="54"/>
  <c r="CT88" i="8"/>
  <c r="DC90" i="8"/>
  <c r="Z48" i="58"/>
  <c r="D252" i="41"/>
  <c r="D592" i="38"/>
  <c r="F22" i="99"/>
  <c r="F14" i="99"/>
  <c r="F26" i="99"/>
  <c r="F18" i="99"/>
  <c r="F30" i="99"/>
  <c r="E559" i="41"/>
  <c r="I559" i="41"/>
  <c r="H522" i="41"/>
  <c r="D548" i="38"/>
  <c r="AD174" i="8"/>
  <c r="AD175" i="58"/>
  <c r="F11" i="54"/>
  <c r="D617" i="38"/>
  <c r="D634" i="38"/>
  <c r="D649" i="38"/>
  <c r="D702" i="38"/>
  <c r="D758" i="38"/>
  <c r="CT233" i="8"/>
  <c r="D367" i="38"/>
  <c r="H84" i="41"/>
  <c r="D93" i="41"/>
  <c r="D364" i="41"/>
  <c r="D625" i="41"/>
  <c r="D593" i="41"/>
  <c r="D610" i="41"/>
  <c r="G129" i="38"/>
  <c r="AA44" i="8"/>
  <c r="Z66" i="8"/>
  <c r="Z83" i="8"/>
  <c r="V136" i="8"/>
  <c r="D321" i="38"/>
  <c r="D120" i="38"/>
  <c r="Z98" i="8"/>
  <c r="BF18" i="58"/>
  <c r="D526" i="38"/>
  <c r="G128" i="38"/>
  <c r="AA43" i="8"/>
  <c r="H40" i="55"/>
  <c r="H64" i="56"/>
  <c r="H60" i="56"/>
  <c r="H65" i="56"/>
  <c r="H55" i="56"/>
  <c r="H47" i="56"/>
  <c r="H66" i="54"/>
  <c r="H51" i="56"/>
  <c r="H56" i="56"/>
  <c r="H52" i="56"/>
  <c r="H45" i="56"/>
  <c r="BN110" i="58"/>
  <c r="R422" i="41"/>
  <c r="R433" i="41"/>
  <c r="BR124" i="58"/>
  <c r="BG125" i="58"/>
  <c r="BE61" i="58"/>
  <c r="BN66" i="58"/>
  <c r="C909" i="41"/>
  <c r="AU230" i="58"/>
  <c r="C607" i="41"/>
  <c r="AS133" i="58"/>
  <c r="BW189" i="58"/>
  <c r="BR197" i="58"/>
  <c r="BW219" i="58"/>
  <c r="K48" i="41"/>
  <c r="E495" i="41"/>
  <c r="F495" i="41"/>
  <c r="W131" i="58"/>
  <c r="D450" i="38"/>
  <c r="K29" i="56"/>
  <c r="L29" i="56"/>
  <c r="J64" i="56"/>
  <c r="BS30" i="58"/>
  <c r="CB17" i="58"/>
  <c r="D175" i="41"/>
  <c r="D176" i="41"/>
  <c r="H92" i="41"/>
  <c r="G51" i="41"/>
  <c r="F121" i="41"/>
  <c r="G121" i="41"/>
  <c r="I92" i="41"/>
  <c r="G54" i="41"/>
  <c r="F124" i="41"/>
  <c r="D136" i="41"/>
  <c r="D143" i="41"/>
  <c r="D141" i="41"/>
  <c r="G92" i="41"/>
  <c r="G50" i="41"/>
  <c r="F120" i="41"/>
  <c r="D130" i="41"/>
  <c r="D131" i="41"/>
  <c r="D132" i="41"/>
  <c r="G104" i="38"/>
  <c r="G50" i="38"/>
  <c r="F131" i="38"/>
  <c r="E92" i="41"/>
  <c r="J92" i="41"/>
  <c r="G52" i="41"/>
  <c r="F122" i="41"/>
  <c r="H122" i="41"/>
  <c r="K92" i="41"/>
  <c r="G56" i="41"/>
  <c r="G40" i="41"/>
  <c r="CL74" i="8"/>
  <c r="DC88" i="8"/>
  <c r="CT86" i="8"/>
  <c r="AD172" i="8"/>
  <c r="D546" i="38"/>
  <c r="AD173" i="58"/>
  <c r="G95" i="41"/>
  <c r="J50" i="41"/>
  <c r="AA96" i="58"/>
  <c r="E95" i="41"/>
  <c r="J95" i="41"/>
  <c r="J52" i="41"/>
  <c r="K95" i="41"/>
  <c r="J56" i="41"/>
  <c r="E580" i="41"/>
  <c r="AA95" i="58"/>
  <c r="AE99" i="58"/>
  <c r="H95" i="41"/>
  <c r="J51" i="41"/>
  <c r="E575" i="41"/>
  <c r="F575" i="41"/>
  <c r="E363" i="41"/>
  <c r="J49" i="38"/>
  <c r="E597" i="38"/>
  <c r="F597" i="38"/>
  <c r="G107" i="38"/>
  <c r="J50" i="38"/>
  <c r="E598" i="38"/>
  <c r="F598" i="38"/>
  <c r="E604" i="38"/>
  <c r="F604" i="38"/>
  <c r="E371" i="38"/>
  <c r="J39" i="38"/>
  <c r="J40" i="38"/>
  <c r="G93" i="41"/>
  <c r="H50" i="41"/>
  <c r="E250" i="41"/>
  <c r="E107" i="38"/>
  <c r="J53" i="38"/>
  <c r="G1047" i="41"/>
  <c r="I93" i="41"/>
  <c r="H54" i="41"/>
  <c r="AA67" i="58"/>
  <c r="I107" i="38"/>
  <c r="J54" i="38"/>
  <c r="E602" i="38"/>
  <c r="F602" i="38"/>
  <c r="E1024" i="41"/>
  <c r="H107" i="38"/>
  <c r="J51" i="38"/>
  <c r="E599" i="38"/>
  <c r="BX11" i="58"/>
  <c r="I95" i="41"/>
  <c r="J54" i="41"/>
  <c r="AA99" i="58"/>
  <c r="I104" i="38"/>
  <c r="G54" i="38"/>
  <c r="F135" i="38"/>
  <c r="AD171" i="58"/>
  <c r="AD170" i="8"/>
  <c r="D543" i="38"/>
  <c r="S435" i="41"/>
  <c r="S424" i="41"/>
  <c r="G106" i="38"/>
  <c r="I50" i="38"/>
  <c r="AA80" i="8"/>
  <c r="CL72" i="8"/>
  <c r="CT84" i="8"/>
  <c r="DC86" i="8"/>
  <c r="E104" i="38"/>
  <c r="J104" i="38"/>
  <c r="G52" i="38"/>
  <c r="F133" i="38"/>
  <c r="H133" i="38"/>
  <c r="G49" i="38"/>
  <c r="F130" i="38"/>
  <c r="D153" i="38"/>
  <c r="H541" i="38"/>
  <c r="E630" i="38"/>
  <c r="H104" i="38"/>
  <c r="G51" i="38"/>
  <c r="F132" i="38"/>
  <c r="D144" i="38"/>
  <c r="G40" i="38"/>
  <c r="K93" i="41"/>
  <c r="H56" i="41"/>
  <c r="H40" i="41"/>
  <c r="H49" i="41"/>
  <c r="AA63" i="58"/>
  <c r="E361" i="41"/>
  <c r="G105" i="38"/>
  <c r="H50" i="38"/>
  <c r="AA63" i="8"/>
  <c r="AL177" i="58"/>
  <c r="D810" i="41"/>
  <c r="D123" i="41"/>
  <c r="AL140" i="58"/>
  <c r="D577" i="41"/>
  <c r="AK252" i="58"/>
  <c r="AM295" i="58"/>
  <c r="CT87" i="58"/>
  <c r="DC89" i="58"/>
  <c r="CL75" i="58"/>
  <c r="H39" i="38"/>
  <c r="H40" i="38"/>
  <c r="AS132" i="58"/>
  <c r="C606" i="41"/>
  <c r="BJ116" i="8"/>
  <c r="BI129" i="8"/>
  <c r="BR120" i="8"/>
  <c r="C463" i="38"/>
  <c r="C452" i="38"/>
  <c r="C459" i="38"/>
  <c r="C448" i="38"/>
  <c r="BJ113" i="8"/>
  <c r="BR117" i="8"/>
  <c r="BI126" i="8"/>
  <c r="BJ173" i="8"/>
  <c r="C921" i="38"/>
  <c r="AV204" i="8"/>
  <c r="BI266" i="8"/>
  <c r="BB305" i="8"/>
  <c r="DB313" i="8"/>
  <c r="BC235" i="8"/>
  <c r="D847" i="38"/>
  <c r="AT238" i="8"/>
  <c r="AU29" i="8"/>
  <c r="C259" i="38"/>
  <c r="AU30" i="58"/>
  <c r="BE14" i="8"/>
  <c r="BE38" i="8"/>
  <c r="Y46" i="8"/>
  <c r="H105" i="38"/>
  <c r="H51" i="38"/>
  <c r="E260" i="38"/>
  <c r="BG127" i="58"/>
  <c r="R425" i="41"/>
  <c r="BN112" i="58"/>
  <c r="BR126" i="58"/>
  <c r="R436" i="41"/>
  <c r="BO153" i="58"/>
  <c r="DB318" i="58"/>
  <c r="C985" i="41"/>
  <c r="BJ277" i="58"/>
  <c r="BG250" i="58"/>
  <c r="BG177" i="58"/>
  <c r="BW218" i="58"/>
  <c r="BW188" i="58"/>
  <c r="BR196" i="58"/>
  <c r="BR125" i="58"/>
  <c r="R423" i="41"/>
  <c r="BN111" i="58"/>
  <c r="R434" i="41"/>
  <c r="BG126" i="58"/>
  <c r="C619" i="38"/>
  <c r="C651" i="38"/>
  <c r="AS115" i="8"/>
  <c r="C369" i="38"/>
  <c r="AS99" i="8"/>
  <c r="BN65" i="58"/>
  <c r="BE60" i="58"/>
  <c r="BF13" i="8"/>
  <c r="BF37" i="8"/>
  <c r="D258" i="38"/>
  <c r="AV29" i="58"/>
  <c r="Z45" i="8"/>
  <c r="AV28" i="8"/>
  <c r="AS112" i="8"/>
  <c r="C647" i="38"/>
  <c r="C615" i="38"/>
  <c r="C365" i="38"/>
  <c r="AS96" i="8"/>
  <c r="BN68" i="8"/>
  <c r="BE63" i="8"/>
  <c r="BN67" i="58"/>
  <c r="BE62" i="58"/>
  <c r="BR199" i="8"/>
  <c r="BW190" i="8"/>
  <c r="BX220" i="8"/>
  <c r="C702" i="38"/>
  <c r="C634" i="38"/>
  <c r="AS138" i="8"/>
  <c r="G588" i="41"/>
  <c r="G589" i="41"/>
  <c r="C608" i="41"/>
  <c r="AS134" i="58"/>
  <c r="C908" i="41"/>
  <c r="AU229" i="58"/>
  <c r="DB319" i="58"/>
  <c r="BO154" i="58"/>
  <c r="BG251" i="58"/>
  <c r="BJ278" i="58"/>
  <c r="BG178" i="58"/>
  <c r="C986" i="41"/>
  <c r="C699" i="38"/>
  <c r="BW188" i="8"/>
  <c r="BX218" i="8"/>
  <c r="BR197" i="8"/>
  <c r="C852" i="38"/>
  <c r="AS242" i="8"/>
  <c r="BB239" i="8"/>
  <c r="BW171" i="8"/>
  <c r="BN161" i="8"/>
  <c r="I105" i="38"/>
  <c r="H54" i="38"/>
  <c r="AA66" i="8"/>
  <c r="K106" i="38"/>
  <c r="I56" i="38"/>
  <c r="I40" i="38"/>
  <c r="BW221" i="58"/>
  <c r="BR199" i="58"/>
  <c r="BW191" i="58"/>
  <c r="BG124" i="58"/>
  <c r="R432" i="41"/>
  <c r="R421" i="41"/>
  <c r="BN109" i="58"/>
  <c r="BR123" i="58"/>
  <c r="AS194" i="58"/>
  <c r="AS175" i="58"/>
  <c r="AS160" i="58"/>
  <c r="C910" i="41"/>
  <c r="AU231" i="58"/>
  <c r="BW191" i="8"/>
  <c r="BX221" i="8"/>
  <c r="C703" i="38"/>
  <c r="BR200" i="8"/>
  <c r="AS153" i="8"/>
  <c r="AS187" i="8"/>
  <c r="AS168" i="8"/>
  <c r="BO162" i="58"/>
  <c r="BW172" i="58"/>
  <c r="AS135" i="8"/>
  <c r="C630" i="38"/>
  <c r="BR229" i="8"/>
  <c r="CA237" i="8"/>
  <c r="C753" i="38"/>
  <c r="C925" i="38"/>
  <c r="AV207" i="8"/>
  <c r="BI269" i="8"/>
  <c r="BB308" i="8"/>
  <c r="DB316" i="8"/>
  <c r="BJ176" i="8"/>
  <c r="BR198" i="58"/>
  <c r="BW190" i="58"/>
  <c r="BW220" i="58"/>
  <c r="BR236" i="8"/>
  <c r="CA244" i="8"/>
  <c r="C761" i="38"/>
  <c r="H49" i="38"/>
  <c r="E258" i="38"/>
  <c r="I106" i="38"/>
  <c r="I54" i="38"/>
  <c r="E321" i="38"/>
  <c r="BI125" i="8"/>
  <c r="C458" i="38"/>
  <c r="BJ112" i="8"/>
  <c r="C447" i="38"/>
  <c r="BR116" i="8"/>
  <c r="C451" i="38"/>
  <c r="BI128" i="8"/>
  <c r="C462" i="38"/>
  <c r="BR119" i="8"/>
  <c r="BJ115" i="8"/>
  <c r="C631" i="38"/>
  <c r="AS136" i="8"/>
  <c r="BB306" i="8"/>
  <c r="DB314" i="8"/>
  <c r="AV205" i="8"/>
  <c r="C922" i="38"/>
  <c r="BI267" i="8"/>
  <c r="BJ174" i="8"/>
  <c r="BX217" i="8"/>
  <c r="C698" i="38"/>
  <c r="BW187" i="8"/>
  <c r="BR196" i="8"/>
  <c r="AS175" i="8"/>
  <c r="AS160" i="8"/>
  <c r="AS194" i="8"/>
  <c r="D646" i="38"/>
  <c r="AT111" i="8"/>
  <c r="D614" i="38"/>
  <c r="D364" i="38"/>
  <c r="AT95" i="8"/>
  <c r="C848" i="38"/>
  <c r="BB236" i="8"/>
  <c r="AS239" i="8"/>
  <c r="BE62" i="8"/>
  <c r="BN67" i="8"/>
  <c r="C263" i="38"/>
  <c r="BE41" i="8"/>
  <c r="AU33" i="58"/>
  <c r="AU32" i="8"/>
  <c r="BE17" i="8"/>
  <c r="Y49" i="8"/>
  <c r="AS174" i="58"/>
  <c r="AS193" i="58"/>
  <c r="AS159" i="58"/>
  <c r="BB309" i="8"/>
  <c r="DB317" i="8"/>
  <c r="AV208" i="8"/>
  <c r="BJ177" i="8"/>
  <c r="BI270" i="8"/>
  <c r="C926" i="38"/>
  <c r="E105" i="38"/>
  <c r="H53" i="38"/>
  <c r="C610" i="41"/>
  <c r="AS135" i="58"/>
  <c r="C912" i="41"/>
  <c r="AU232" i="58"/>
  <c r="BN64" i="8"/>
  <c r="BE59" i="8"/>
  <c r="C635" i="38"/>
  <c r="AS139" i="8"/>
  <c r="BN68" i="58"/>
  <c r="BE63" i="58"/>
  <c r="BN65" i="8"/>
  <c r="BE60" i="8"/>
  <c r="CT88" i="58"/>
  <c r="CL76" i="58"/>
  <c r="DC90" i="58"/>
  <c r="E94" i="41"/>
  <c r="J94" i="41"/>
  <c r="I52" i="41"/>
  <c r="AA82" i="58"/>
  <c r="F589" i="41"/>
  <c r="G360" i="41"/>
  <c r="AU131" i="58"/>
  <c r="E589" i="41"/>
  <c r="K988" i="38"/>
  <c r="P988" i="38"/>
  <c r="S988" i="38"/>
  <c r="H516" i="41"/>
  <c r="E605" i="41"/>
  <c r="AM172" i="58"/>
  <c r="E629" i="38"/>
  <c r="F629" i="38"/>
  <c r="F630" i="38"/>
  <c r="AL178" i="58"/>
  <c r="D124" i="41"/>
  <c r="AL141" i="58"/>
  <c r="D578" i="41"/>
  <c r="D811" i="41"/>
  <c r="AK253" i="58"/>
  <c r="AM296" i="58"/>
  <c r="E318" i="41"/>
  <c r="AA84" i="58"/>
  <c r="DC85" i="58"/>
  <c r="CT83" i="58"/>
  <c r="CL71" i="58"/>
  <c r="H94" i="41"/>
  <c r="I51" i="41"/>
  <c r="E315" i="41"/>
  <c r="I49" i="41"/>
  <c r="D540" i="38"/>
  <c r="AD167" i="8"/>
  <c r="AD168" i="58"/>
  <c r="K1047" i="41"/>
  <c r="P1047" i="41"/>
  <c r="L1047" i="41"/>
  <c r="AA78" i="58"/>
  <c r="E558" i="41"/>
  <c r="F558" i="41"/>
  <c r="H96" i="41"/>
  <c r="K51" i="41"/>
  <c r="E498" i="41"/>
  <c r="F498" i="41"/>
  <c r="E519" i="41"/>
  <c r="F97" i="41"/>
  <c r="K49" i="41"/>
  <c r="E96" i="41"/>
  <c r="E964" i="38"/>
  <c r="BX9" i="8"/>
  <c r="CT81" i="8"/>
  <c r="CL69" i="8"/>
  <c r="DC83" i="8"/>
  <c r="E115" i="38"/>
  <c r="E562" i="38"/>
  <c r="H108" i="38"/>
  <c r="K51" i="38"/>
  <c r="E523" i="38"/>
  <c r="F523" i="38"/>
  <c r="E544" i="38"/>
  <c r="DC84" i="58"/>
  <c r="CL70" i="58"/>
  <c r="CT82" i="58"/>
  <c r="I48" i="41"/>
  <c r="O53" i="41"/>
  <c r="G94" i="41"/>
  <c r="I50" i="41"/>
  <c r="E106" i="38"/>
  <c r="I53" i="38"/>
  <c r="G988" i="38"/>
  <c r="M988" i="38"/>
  <c r="N988" i="38"/>
  <c r="O988" i="38"/>
  <c r="H106" i="38"/>
  <c r="I51" i="38"/>
  <c r="E318" i="38"/>
  <c r="G96" i="41"/>
  <c r="K50" i="41"/>
  <c r="E1023" i="41"/>
  <c r="BX10" i="58"/>
  <c r="G559" i="41"/>
  <c r="H518" i="41"/>
  <c r="E608" i="41"/>
  <c r="G573" i="41"/>
  <c r="E622" i="41"/>
  <c r="AA79" i="8"/>
  <c r="E316" i="38"/>
  <c r="I96" i="41"/>
  <c r="K54" i="41"/>
  <c r="D572" i="41"/>
  <c r="D805" i="41"/>
  <c r="D118" i="41"/>
  <c r="AL173" i="58"/>
  <c r="AK248" i="58"/>
  <c r="AM291" i="58"/>
  <c r="AL136" i="58"/>
  <c r="AK247" i="58"/>
  <c r="AM290" i="58"/>
  <c r="AL135" i="58"/>
  <c r="D571" i="41"/>
  <c r="D117" i="41"/>
  <c r="D804" i="41"/>
  <c r="AL172" i="58"/>
  <c r="K94" i="41"/>
  <c r="I56" i="41"/>
  <c r="H559" i="41"/>
  <c r="H519" i="41"/>
  <c r="E609" i="41"/>
  <c r="F609" i="41"/>
  <c r="H363" i="41"/>
  <c r="AA46" i="58"/>
  <c r="K559" i="41"/>
  <c r="H524" i="41"/>
  <c r="G507" i="41"/>
  <c r="E612" i="41"/>
  <c r="AM178" i="58"/>
  <c r="AK254" i="58"/>
  <c r="D579" i="41"/>
  <c r="D812" i="41"/>
  <c r="AL142" i="58"/>
  <c r="D125" i="41"/>
  <c r="AL179" i="58"/>
  <c r="CT87" i="8"/>
  <c r="DC89" i="8"/>
  <c r="CL75" i="8"/>
  <c r="F613" i="38"/>
  <c r="AU134" i="8"/>
  <c r="G362" i="38"/>
  <c r="D596" i="38"/>
  <c r="AL135" i="8"/>
  <c r="D129" i="38"/>
  <c r="AK236" i="8"/>
  <c r="AM284" i="8"/>
  <c r="D831" i="38"/>
  <c r="AL172" i="8"/>
  <c r="D1421" i="38"/>
  <c r="M29" i="54"/>
  <c r="N29" i="54"/>
  <c r="BK115" i="8"/>
  <c r="D462" i="38"/>
  <c r="D451" i="38"/>
  <c r="G612" i="38"/>
  <c r="F117" i="41"/>
  <c r="G48" i="41"/>
  <c r="F118" i="41"/>
  <c r="J64" i="54"/>
  <c r="D603" i="38"/>
  <c r="D136" i="38"/>
  <c r="D838" i="38"/>
  <c r="AM135" i="8"/>
  <c r="E613" i="38"/>
  <c r="J48" i="41"/>
  <c r="AA93" i="58"/>
  <c r="E571" i="41"/>
  <c r="AA93" i="8"/>
  <c r="D69" i="38"/>
  <c r="E596" i="38"/>
  <c r="S436" i="41"/>
  <c r="S425" i="41"/>
  <c r="D547" i="38"/>
  <c r="AD173" i="8"/>
  <c r="AD174" i="58"/>
  <c r="E515" i="41"/>
  <c r="D1522" i="41"/>
  <c r="AE168" i="58"/>
  <c r="E362" i="38"/>
  <c r="F596" i="38"/>
  <c r="AU93" i="8"/>
  <c r="D120" i="41"/>
  <c r="AL175" i="58"/>
  <c r="D807" i="41"/>
  <c r="AL138" i="58"/>
  <c r="D574" i="41"/>
  <c r="AK250" i="58"/>
  <c r="AM293" i="58"/>
  <c r="AA61" i="8"/>
  <c r="D63" i="38"/>
  <c r="E257" i="38"/>
  <c r="AA77" i="8"/>
  <c r="E314" i="38"/>
  <c r="I48" i="38"/>
  <c r="CT85" i="58"/>
  <c r="DC87" i="58"/>
  <c r="CL73" i="58"/>
  <c r="H47" i="41"/>
  <c r="E93" i="41"/>
  <c r="E46" i="54"/>
  <c r="F23" i="99"/>
  <c r="F27" i="99"/>
  <c r="W50" i="8"/>
  <c r="F15" i="99"/>
  <c r="F31" i="99"/>
  <c r="F19" i="99"/>
  <c r="H517" i="41"/>
  <c r="F559" i="41"/>
  <c r="G595" i="38"/>
  <c r="W130" i="8"/>
  <c r="E519" i="38"/>
  <c r="F519" i="38"/>
  <c r="K48" i="38"/>
  <c r="G117" i="41"/>
  <c r="AA44" i="58"/>
  <c r="H54" i="55"/>
  <c r="AS156" i="58"/>
  <c r="AS190" i="58"/>
  <c r="AS171" i="58"/>
  <c r="BG247" i="58"/>
  <c r="C981" i="41"/>
  <c r="DB315" i="58"/>
  <c r="BG174" i="58"/>
  <c r="BJ274" i="58"/>
  <c r="BO150" i="58"/>
  <c r="W132" i="58"/>
  <c r="D140" i="41"/>
  <c r="D138" i="41"/>
  <c r="E97" i="41"/>
  <c r="J97" i="41"/>
  <c r="I97" i="41"/>
  <c r="H97" i="41"/>
  <c r="G97" i="41"/>
  <c r="K97" i="41"/>
  <c r="DM78" i="58"/>
  <c r="G53" i="41"/>
  <c r="F123" i="41"/>
  <c r="AA103" i="58"/>
  <c r="G124" i="41"/>
  <c r="AA50" i="58"/>
  <c r="AA54" i="58"/>
  <c r="E574" i="41"/>
  <c r="F574" i="41"/>
  <c r="G120" i="41"/>
  <c r="AA47" i="58"/>
  <c r="D144" i="41"/>
  <c r="H130" i="41"/>
  <c r="H132" i="41"/>
  <c r="J120" i="41"/>
  <c r="H1038" i="41"/>
  <c r="G39" i="41"/>
  <c r="G41" i="41"/>
  <c r="E254" i="41"/>
  <c r="AA64" i="58"/>
  <c r="J40" i="41"/>
  <c r="E317" i="38"/>
  <c r="J39" i="41"/>
  <c r="J53" i="41"/>
  <c r="E577" i="41"/>
  <c r="D134" i="38"/>
  <c r="D601" i="38"/>
  <c r="D836" i="38"/>
  <c r="AK240" i="8"/>
  <c r="AM288" i="8"/>
  <c r="AL176" i="8"/>
  <c r="AL139" i="8"/>
  <c r="G130" i="38"/>
  <c r="G131" i="38"/>
  <c r="AA46" i="8"/>
  <c r="F599" i="38"/>
  <c r="E366" i="38"/>
  <c r="D140" i="38"/>
  <c r="D141" i="38"/>
  <c r="G575" i="41"/>
  <c r="E624" i="41"/>
  <c r="AU112" i="8"/>
  <c r="J105" i="38"/>
  <c r="H52" i="38"/>
  <c r="AA64" i="8"/>
  <c r="G604" i="38"/>
  <c r="E653" i="38"/>
  <c r="AA94" i="8"/>
  <c r="AA62" i="8"/>
  <c r="G41" i="38"/>
  <c r="AA95" i="8"/>
  <c r="J41" i="38"/>
  <c r="F620" i="41"/>
  <c r="AU112" i="58"/>
  <c r="AM172" i="8"/>
  <c r="E578" i="41"/>
  <c r="G578" i="41"/>
  <c r="K108" i="38"/>
  <c r="E249" i="41"/>
  <c r="J107" i="38"/>
  <c r="J52" i="38"/>
  <c r="AA96" i="8"/>
  <c r="G53" i="38"/>
  <c r="F134" i="38"/>
  <c r="E263" i="38"/>
  <c r="D274" i="38"/>
  <c r="AA98" i="8"/>
  <c r="D146" i="38"/>
  <c r="E259" i="38"/>
  <c r="D268" i="38"/>
  <c r="G629" i="38"/>
  <c r="G630" i="38"/>
  <c r="AL174" i="8"/>
  <c r="D131" i="38"/>
  <c r="D598" i="38"/>
  <c r="AL137" i="8"/>
  <c r="D833" i="38"/>
  <c r="AK238" i="8"/>
  <c r="AM286" i="8"/>
  <c r="H39" i="41"/>
  <c r="H41" i="41"/>
  <c r="H41" i="38"/>
  <c r="AU154" i="58"/>
  <c r="G508" i="41"/>
  <c r="G509" i="41"/>
  <c r="AT115" i="58"/>
  <c r="AT99" i="58"/>
  <c r="D626" i="41"/>
  <c r="D594" i="41"/>
  <c r="D365" i="41"/>
  <c r="I39" i="38"/>
  <c r="I41" i="38"/>
  <c r="D253" i="41"/>
  <c r="Z49" i="58"/>
  <c r="BF41" i="58"/>
  <c r="AS256" i="58"/>
  <c r="D832" i="41"/>
  <c r="BA247" i="58"/>
  <c r="E316" i="41"/>
  <c r="I53" i="41"/>
  <c r="AA83" i="58"/>
  <c r="AA86" i="58"/>
  <c r="CA239" i="8"/>
  <c r="C755" i="38"/>
  <c r="BR231" i="8"/>
  <c r="BW172" i="8"/>
  <c r="BN162" i="8"/>
  <c r="BO151" i="58"/>
  <c r="BG248" i="58"/>
  <c r="C982" i="41"/>
  <c r="BG175" i="58"/>
  <c r="BJ275" i="58"/>
  <c r="DB316" i="58"/>
  <c r="C464" i="38"/>
  <c r="C453" i="38"/>
  <c r="BJ117" i="8"/>
  <c r="BR121" i="8"/>
  <c r="BI130" i="8"/>
  <c r="BW177" i="58"/>
  <c r="BO167" i="58"/>
  <c r="I558" i="41"/>
  <c r="G522" i="41"/>
  <c r="AM141" i="58"/>
  <c r="R988" i="38"/>
  <c r="T988" i="38"/>
  <c r="BW173" i="8"/>
  <c r="BN163" i="8"/>
  <c r="AS154" i="8"/>
  <c r="AS188" i="8"/>
  <c r="AS169" i="8"/>
  <c r="BB310" i="8"/>
  <c r="DB318" i="8"/>
  <c r="BI271" i="8"/>
  <c r="BJ178" i="8"/>
  <c r="C927" i="38"/>
  <c r="AV209" i="8"/>
  <c r="AS189" i="58"/>
  <c r="AS155" i="58"/>
  <c r="AS170" i="58"/>
  <c r="CA238" i="8"/>
  <c r="C754" i="38"/>
  <c r="BR230" i="8"/>
  <c r="DB314" i="58"/>
  <c r="BJ273" i="58"/>
  <c r="BG173" i="58"/>
  <c r="BO149" i="58"/>
  <c r="BG246" i="58"/>
  <c r="C980" i="41"/>
  <c r="BE61" i="8"/>
  <c r="BN66" i="8"/>
  <c r="C632" i="38"/>
  <c r="AS137" i="8"/>
  <c r="AS192" i="8"/>
  <c r="AS158" i="8"/>
  <c r="AS173" i="8"/>
  <c r="G609" i="41"/>
  <c r="G624" i="41"/>
  <c r="BJ175" i="8"/>
  <c r="BB307" i="8"/>
  <c r="DB315" i="8"/>
  <c r="AV206" i="8"/>
  <c r="BI268" i="8"/>
  <c r="C923" i="38"/>
  <c r="BO65" i="8"/>
  <c r="BF60" i="8"/>
  <c r="BW192" i="8"/>
  <c r="BR201" i="8"/>
  <c r="BX222" i="8"/>
  <c r="C704" i="38"/>
  <c r="D631" i="38"/>
  <c r="AT136" i="8"/>
  <c r="BN165" i="8"/>
  <c r="BW175" i="8"/>
  <c r="CA241" i="8"/>
  <c r="BR233" i="8"/>
  <c r="C758" i="38"/>
  <c r="BW178" i="58"/>
  <c r="BO168" i="58"/>
  <c r="BI127" i="8"/>
  <c r="BR118" i="8"/>
  <c r="C449" i="38"/>
  <c r="BJ114" i="8"/>
  <c r="C460" i="38"/>
  <c r="BX188" i="8"/>
  <c r="BS197" i="8"/>
  <c r="BY218" i="8"/>
  <c r="D699" i="38"/>
  <c r="BR198" i="8"/>
  <c r="C700" i="38"/>
  <c r="BW189" i="8"/>
  <c r="BX219" i="8"/>
  <c r="AW205" i="8"/>
  <c r="BK174" i="8"/>
  <c r="D922" i="38"/>
  <c r="BJ267" i="8"/>
  <c r="BC306" i="8"/>
  <c r="DC314" i="8"/>
  <c r="E312" i="41"/>
  <c r="AA83" i="8"/>
  <c r="AA87" i="8"/>
  <c r="D15" i="97"/>
  <c r="CH251" i="8"/>
  <c r="CK177" i="8"/>
  <c r="CS236" i="8"/>
  <c r="CN276" i="8"/>
  <c r="DB301" i="8"/>
  <c r="C759" i="38"/>
  <c r="CA242" i="8"/>
  <c r="BR234" i="8"/>
  <c r="C636" i="38"/>
  <c r="AS140" i="8"/>
  <c r="BE64" i="8"/>
  <c r="BN69" i="8"/>
  <c r="AS155" i="8"/>
  <c r="AS189" i="8"/>
  <c r="AS170" i="8"/>
  <c r="AS173" i="58"/>
  <c r="AS192" i="58"/>
  <c r="AS158" i="58"/>
  <c r="CS229" i="8"/>
  <c r="CH244" i="8"/>
  <c r="CN269" i="8"/>
  <c r="DB294" i="8"/>
  <c r="CK170" i="8"/>
  <c r="AS157" i="58"/>
  <c r="AS191" i="58"/>
  <c r="AS172" i="58"/>
  <c r="BN166" i="8"/>
  <c r="BW176" i="8"/>
  <c r="AA79" i="58"/>
  <c r="BG176" i="58"/>
  <c r="DB317" i="58"/>
  <c r="BG249" i="58"/>
  <c r="BO152" i="58"/>
  <c r="C984" i="41"/>
  <c r="BJ276" i="58"/>
  <c r="D448" i="38"/>
  <c r="D459" i="38"/>
  <c r="BJ126" i="8"/>
  <c r="BK113" i="8"/>
  <c r="BS117" i="8"/>
  <c r="AS157" i="8"/>
  <c r="AS191" i="8"/>
  <c r="AS172" i="8"/>
  <c r="AM175" i="58"/>
  <c r="AU168" i="8"/>
  <c r="D254" i="41"/>
  <c r="Z50" i="58"/>
  <c r="BF42" i="58"/>
  <c r="H362" i="38"/>
  <c r="AU132" i="58"/>
  <c r="AT100" i="58"/>
  <c r="D627" i="41"/>
  <c r="D595" i="41"/>
  <c r="AT116" i="58"/>
  <c r="D366" i="41"/>
  <c r="E606" i="41"/>
  <c r="AM173" i="58"/>
  <c r="BA248" i="58"/>
  <c r="AS257" i="58"/>
  <c r="D833" i="41"/>
  <c r="F605" i="41"/>
  <c r="G605" i="41"/>
  <c r="D359" i="41"/>
  <c r="AT110" i="58"/>
  <c r="D588" i="41"/>
  <c r="AT94" i="58"/>
  <c r="D620" i="41"/>
  <c r="J96" i="41"/>
  <c r="K52" i="41"/>
  <c r="K53" i="41"/>
  <c r="W137" i="58"/>
  <c r="E501" i="41"/>
  <c r="F501" i="41"/>
  <c r="G517" i="41"/>
  <c r="E590" i="41"/>
  <c r="I39" i="41"/>
  <c r="I40" i="41"/>
  <c r="I108" i="38"/>
  <c r="K54" i="38"/>
  <c r="E108" i="38"/>
  <c r="K49" i="38"/>
  <c r="L40" i="41"/>
  <c r="J106" i="38"/>
  <c r="I52" i="38"/>
  <c r="AA81" i="8"/>
  <c r="G108" i="38"/>
  <c r="K50" i="38"/>
  <c r="E314" i="41"/>
  <c r="AA81" i="58"/>
  <c r="E566" i="38"/>
  <c r="F580" i="41"/>
  <c r="E368" i="41"/>
  <c r="G580" i="41"/>
  <c r="R1047" i="41"/>
  <c r="Q1047" i="41"/>
  <c r="S1047" i="41"/>
  <c r="D830" i="38"/>
  <c r="D595" i="38"/>
  <c r="AK235" i="8"/>
  <c r="AM283" i="8"/>
  <c r="D128" i="38"/>
  <c r="AL134" i="8"/>
  <c r="AL171" i="8"/>
  <c r="W133" i="58"/>
  <c r="AA137" i="58"/>
  <c r="E496" i="41"/>
  <c r="F496" i="41"/>
  <c r="AA80" i="58"/>
  <c r="E313" i="41"/>
  <c r="K558" i="41"/>
  <c r="G524" i="41"/>
  <c r="G558" i="41"/>
  <c r="G518" i="41"/>
  <c r="E591" i="41"/>
  <c r="E614" i="41"/>
  <c r="F614" i="41"/>
  <c r="H368" i="41"/>
  <c r="D826" i="41"/>
  <c r="AS251" i="58"/>
  <c r="BA242" i="58"/>
  <c r="D248" i="41"/>
  <c r="BF37" i="58"/>
  <c r="Z45" i="58"/>
  <c r="H558" i="41"/>
  <c r="G519" i="41"/>
  <c r="E592" i="41"/>
  <c r="D360" i="41"/>
  <c r="D589" i="41"/>
  <c r="D621" i="41"/>
  <c r="AT111" i="58"/>
  <c r="AT95" i="58"/>
  <c r="L39" i="41"/>
  <c r="M1047" i="41"/>
  <c r="N1047" i="41"/>
  <c r="O1047" i="41"/>
  <c r="M29" i="56"/>
  <c r="N29" i="56"/>
  <c r="F64" i="56"/>
  <c r="D1482" i="41"/>
  <c r="AA71" i="58"/>
  <c r="BF36" i="58"/>
  <c r="Z44" i="58"/>
  <c r="D247" i="41"/>
  <c r="D827" i="41"/>
  <c r="BA243" i="58"/>
  <c r="AS252" i="58"/>
  <c r="E497" i="41"/>
  <c r="F497" i="41"/>
  <c r="W134" i="58"/>
  <c r="AM177" i="8"/>
  <c r="L1421" i="38"/>
  <c r="K1421" i="38"/>
  <c r="I1421" i="38"/>
  <c r="H134" i="38"/>
  <c r="E227" i="38"/>
  <c r="E202" i="38"/>
  <c r="BG39" i="8"/>
  <c r="E369" i="38"/>
  <c r="AU99" i="8"/>
  <c r="E216" i="41"/>
  <c r="E192" i="41"/>
  <c r="H123" i="41"/>
  <c r="BG40" i="58"/>
  <c r="K584" i="38"/>
  <c r="H549" i="38"/>
  <c r="H53" i="41"/>
  <c r="J93" i="41"/>
  <c r="H52" i="41"/>
  <c r="E315" i="38"/>
  <c r="D66" i="38"/>
  <c r="AA78" i="8"/>
  <c r="E365" i="38"/>
  <c r="AU96" i="8"/>
  <c r="H363" i="38"/>
  <c r="AU169" i="8"/>
  <c r="D264" i="38"/>
  <c r="BO70" i="8"/>
  <c r="Z50" i="8"/>
  <c r="BF42" i="8"/>
  <c r="BF18" i="8"/>
  <c r="E572" i="41"/>
  <c r="AA94" i="58"/>
  <c r="O56" i="41"/>
  <c r="H521" i="41"/>
  <c r="J559" i="41"/>
  <c r="H520" i="41"/>
  <c r="AA61" i="58"/>
  <c r="E247" i="41"/>
  <c r="H83" i="55"/>
  <c r="H48" i="41"/>
  <c r="D362" i="41"/>
  <c r="D623" i="41"/>
  <c r="AT113" i="58"/>
  <c r="AT97" i="58"/>
  <c r="D591" i="41"/>
  <c r="AA82" i="8"/>
  <c r="E320" i="38"/>
  <c r="E262" i="38"/>
  <c r="AA65" i="8"/>
  <c r="D281" i="38"/>
  <c r="D652" i="38"/>
  <c r="AT116" i="8"/>
  <c r="D370" i="38"/>
  <c r="D620" i="38"/>
  <c r="AT100" i="8"/>
  <c r="D255" i="41"/>
  <c r="BO71" i="58"/>
  <c r="BF43" i="58"/>
  <c r="Z51" i="58"/>
  <c r="E520" i="38"/>
  <c r="F520" i="38"/>
  <c r="W131" i="8"/>
  <c r="D72" i="38"/>
  <c r="E607" i="41"/>
  <c r="AM174" i="58"/>
  <c r="AM182" i="58"/>
  <c r="AL177" i="8"/>
  <c r="D135" i="38"/>
  <c r="AK241" i="8"/>
  <c r="D837" i="38"/>
  <c r="D602" i="38"/>
  <c r="AL140" i="8"/>
  <c r="AU95" i="8"/>
  <c r="E364" i="38"/>
  <c r="D134" i="41"/>
  <c r="G118" i="41"/>
  <c r="D133" i="41"/>
  <c r="D846" i="38"/>
  <c r="AT237" i="8"/>
  <c r="BC234" i="8"/>
  <c r="G521" i="41"/>
  <c r="J558" i="41"/>
  <c r="G520" i="41"/>
  <c r="D363" i="38"/>
  <c r="AT110" i="8"/>
  <c r="AT94" i="8"/>
  <c r="D613" i="38"/>
  <c r="D645" i="38"/>
  <c r="AT243" i="8"/>
  <c r="BC240" i="8"/>
  <c r="D853" i="38"/>
  <c r="BA245" i="58"/>
  <c r="D829" i="41"/>
  <c r="AS254" i="58"/>
  <c r="AA97" i="58"/>
  <c r="E576" i="41"/>
  <c r="G363" i="38"/>
  <c r="AU135" i="8"/>
  <c r="D150" i="38"/>
  <c r="D148" i="38"/>
  <c r="D1422" i="38"/>
  <c r="D151" i="38"/>
  <c r="D834" i="41"/>
  <c r="BA249" i="58"/>
  <c r="AS258" i="58"/>
  <c r="F584" i="38"/>
  <c r="G596" i="38"/>
  <c r="E644" i="38"/>
  <c r="AU109" i="8"/>
  <c r="AE167" i="8"/>
  <c r="E540" i="38"/>
  <c r="D1462" i="38"/>
  <c r="G608" i="41"/>
  <c r="F608" i="41"/>
  <c r="F64" i="54"/>
  <c r="D257" i="38"/>
  <c r="AV28" i="58"/>
  <c r="AV27" i="8"/>
  <c r="Z44" i="8"/>
  <c r="BF36" i="8"/>
  <c r="BF12" i="8"/>
  <c r="D367" i="41"/>
  <c r="D596" i="41"/>
  <c r="AT101" i="58"/>
  <c r="AT117" i="58"/>
  <c r="D628" i="41"/>
  <c r="AE169" i="58"/>
  <c r="E516" i="41"/>
  <c r="D533" i="41"/>
  <c r="E13" i="56"/>
  <c r="E601" i="38"/>
  <c r="AA97" i="8"/>
  <c r="AA100" i="8"/>
  <c r="D272" i="38"/>
  <c r="Z47" i="58"/>
  <c r="BF39" i="58"/>
  <c r="D250" i="41"/>
  <c r="AU155" i="58"/>
  <c r="F621" i="41"/>
  <c r="E363" i="38"/>
  <c r="AU94" i="8"/>
  <c r="F571" i="41"/>
  <c r="G571" i="41"/>
  <c r="F644" i="38"/>
  <c r="AU153" i="8"/>
  <c r="G613" i="38"/>
  <c r="G612" i="41"/>
  <c r="F612" i="41"/>
  <c r="BW174" i="58"/>
  <c r="BO164" i="58"/>
  <c r="H109" i="38"/>
  <c r="M51" i="38"/>
  <c r="K109" i="38"/>
  <c r="G109" i="38"/>
  <c r="M50" i="38"/>
  <c r="AW30" i="58"/>
  <c r="J119" i="41"/>
  <c r="DM80" i="58"/>
  <c r="G574" i="41"/>
  <c r="E623" i="41"/>
  <c r="D265" i="41"/>
  <c r="H131" i="41"/>
  <c r="J124" i="41"/>
  <c r="AW33" i="58"/>
  <c r="AU115" i="8"/>
  <c r="J41" i="41"/>
  <c r="D272" i="41"/>
  <c r="D269" i="41"/>
  <c r="D267" i="41"/>
  <c r="AA98" i="58"/>
  <c r="AA101" i="58"/>
  <c r="AA45" i="8"/>
  <c r="AT241" i="8"/>
  <c r="D851" i="38"/>
  <c r="BC238" i="8"/>
  <c r="D618" i="38"/>
  <c r="D368" i="38"/>
  <c r="AT114" i="8"/>
  <c r="AT98" i="8"/>
  <c r="D650" i="38"/>
  <c r="G134" i="38"/>
  <c r="AA48" i="8"/>
  <c r="AA51" i="8"/>
  <c r="G132" i="38"/>
  <c r="AV31" i="8"/>
  <c r="AV32" i="58"/>
  <c r="D262" i="38"/>
  <c r="Z48" i="8"/>
  <c r="BF16" i="8"/>
  <c r="BF40" i="8"/>
  <c r="G135" i="38"/>
  <c r="AA49" i="8"/>
  <c r="E261" i="38"/>
  <c r="AA102" i="8"/>
  <c r="E15" i="97"/>
  <c r="AU111" i="8"/>
  <c r="E600" i="38"/>
  <c r="F600" i="38"/>
  <c r="F578" i="41"/>
  <c r="AU100" i="58"/>
  <c r="AU104" i="58"/>
  <c r="AZ99" i="58"/>
  <c r="AA70" i="8"/>
  <c r="C15" i="97"/>
  <c r="E319" i="38"/>
  <c r="D259" i="41"/>
  <c r="D260" i="41"/>
  <c r="D261" i="41"/>
  <c r="G644" i="38"/>
  <c r="W141" i="58"/>
  <c r="AU187" i="8"/>
  <c r="G614" i="41"/>
  <c r="AT239" i="8"/>
  <c r="D848" i="38"/>
  <c r="BC236" i="8"/>
  <c r="D365" i="38"/>
  <c r="AT96" i="8"/>
  <c r="AT112" i="8"/>
  <c r="D615" i="38"/>
  <c r="D647" i="38"/>
  <c r="E595" i="41"/>
  <c r="G595" i="41"/>
  <c r="AV30" i="58"/>
  <c r="BF38" i="8"/>
  <c r="Z46" i="8"/>
  <c r="D259" i="38"/>
  <c r="BF14" i="8"/>
  <c r="AV29" i="8"/>
  <c r="BF64" i="58"/>
  <c r="BO69" i="58"/>
  <c r="E317" i="41"/>
  <c r="D913" i="41"/>
  <c r="AV233" i="58"/>
  <c r="AT136" i="58"/>
  <c r="D611" i="41"/>
  <c r="BX192" i="58"/>
  <c r="BX222" i="58"/>
  <c r="BS200" i="58"/>
  <c r="S426" i="41"/>
  <c r="BS127" i="58"/>
  <c r="BO113" i="58"/>
  <c r="S437" i="41"/>
  <c r="BH128" i="58"/>
  <c r="CN273" i="8"/>
  <c r="DB298" i="8"/>
  <c r="CK174" i="8"/>
  <c r="CS233" i="8"/>
  <c r="CH248" i="8"/>
  <c r="C756" i="38"/>
  <c r="BR232" i="8"/>
  <c r="CA240" i="8"/>
  <c r="BO163" i="58"/>
  <c r="BW173" i="58"/>
  <c r="BR235" i="8"/>
  <c r="C760" i="38"/>
  <c r="CA243" i="8"/>
  <c r="BO165" i="58"/>
  <c r="BW175" i="58"/>
  <c r="L41" i="41"/>
  <c r="CS230" i="8"/>
  <c r="CH245" i="8"/>
  <c r="CN270" i="8"/>
  <c r="DB295" i="8"/>
  <c r="CK171" i="8"/>
  <c r="CH249" i="8"/>
  <c r="CK175" i="8"/>
  <c r="CN274" i="8"/>
  <c r="DB299" i="8"/>
  <c r="CS234" i="8"/>
  <c r="CB239" i="8"/>
  <c r="BS231" i="8"/>
  <c r="D755" i="38"/>
  <c r="AS171" i="8"/>
  <c r="AS156" i="8"/>
  <c r="AS190" i="8"/>
  <c r="BW177" i="8"/>
  <c r="BN167" i="8"/>
  <c r="BO166" i="58"/>
  <c r="BW176" i="58"/>
  <c r="AS193" i="8"/>
  <c r="AS159" i="8"/>
  <c r="AS174" i="8"/>
  <c r="BO163" i="8"/>
  <c r="BX173" i="8"/>
  <c r="BN164" i="8"/>
  <c r="BW174" i="8"/>
  <c r="CS231" i="8"/>
  <c r="CK172" i="8"/>
  <c r="CH246" i="8"/>
  <c r="CN271" i="8"/>
  <c r="DB296" i="8"/>
  <c r="AT170" i="8"/>
  <c r="AT189" i="8"/>
  <c r="AT155" i="8"/>
  <c r="AM137" i="58"/>
  <c r="AM145" i="58"/>
  <c r="H359" i="41"/>
  <c r="AU169" i="58"/>
  <c r="F606" i="41"/>
  <c r="BO70" i="58"/>
  <c r="BF65" i="58"/>
  <c r="AM138" i="58"/>
  <c r="AV234" i="58"/>
  <c r="D914" i="41"/>
  <c r="BS201" i="58"/>
  <c r="BX223" i="58"/>
  <c r="BX193" i="58"/>
  <c r="BH129" i="58"/>
  <c r="BS128" i="58"/>
  <c r="S438" i="41"/>
  <c r="BO114" i="58"/>
  <c r="S427" i="41"/>
  <c r="AU188" i="58"/>
  <c r="G606" i="41"/>
  <c r="G620" i="41"/>
  <c r="D612" i="41"/>
  <c r="AT137" i="58"/>
  <c r="AA88" i="58"/>
  <c r="AE171" i="58"/>
  <c r="E518" i="41"/>
  <c r="K1482" i="41"/>
  <c r="L1482" i="41"/>
  <c r="I1482" i="41"/>
  <c r="E517" i="41"/>
  <c r="D1523" i="41"/>
  <c r="AE170" i="58"/>
  <c r="BF60" i="58"/>
  <c r="BO65" i="58"/>
  <c r="E499" i="41"/>
  <c r="F499" i="41"/>
  <c r="W135" i="58"/>
  <c r="D908" i="41"/>
  <c r="AV229" i="58"/>
  <c r="AU97" i="58"/>
  <c r="E362" i="41"/>
  <c r="W136" i="8"/>
  <c r="E526" i="38"/>
  <c r="F526" i="38"/>
  <c r="BS195" i="58"/>
  <c r="BX187" i="58"/>
  <c r="BX217" i="58"/>
  <c r="BO64" i="58"/>
  <c r="BF59" i="58"/>
  <c r="E597" i="41"/>
  <c r="K39" i="41"/>
  <c r="F507" i="41"/>
  <c r="K40" i="41"/>
  <c r="F508" i="41"/>
  <c r="Z43" i="8"/>
  <c r="BF35" i="8"/>
  <c r="BF11" i="8"/>
  <c r="AV27" i="58"/>
  <c r="AV26" i="8"/>
  <c r="D256" i="38"/>
  <c r="W133" i="8"/>
  <c r="E522" i="38"/>
  <c r="F522" i="38"/>
  <c r="I41" i="41"/>
  <c r="K53" i="38"/>
  <c r="J108" i="38"/>
  <c r="K52" i="38"/>
  <c r="AV228" i="58"/>
  <c r="D907" i="41"/>
  <c r="AT131" i="58"/>
  <c r="D605" i="41"/>
  <c r="D644" i="38"/>
  <c r="AT93" i="8"/>
  <c r="AT109" i="8"/>
  <c r="D612" i="38"/>
  <c r="D362" i="38"/>
  <c r="F583" i="38"/>
  <c r="K583" i="38"/>
  <c r="G549" i="38"/>
  <c r="AT132" i="58"/>
  <c r="D606" i="41"/>
  <c r="W132" i="8"/>
  <c r="AA136" i="8"/>
  <c r="E521" i="38"/>
  <c r="F521" i="38"/>
  <c r="S421" i="41"/>
  <c r="BH124" i="58"/>
  <c r="BO109" i="58"/>
  <c r="S432" i="41"/>
  <c r="BS123" i="58"/>
  <c r="W136" i="58"/>
  <c r="W139" i="58"/>
  <c r="E500" i="41"/>
  <c r="F500" i="41"/>
  <c r="E627" i="41"/>
  <c r="AU116" i="58"/>
  <c r="AU120" i="58"/>
  <c r="AZ115" i="58"/>
  <c r="BS196" i="58"/>
  <c r="BX188" i="58"/>
  <c r="BX218" i="58"/>
  <c r="G592" i="41"/>
  <c r="F624" i="41"/>
  <c r="F592" i="41"/>
  <c r="G363" i="41"/>
  <c r="BC233" i="8"/>
  <c r="AT236" i="8"/>
  <c r="D845" i="38"/>
  <c r="E522" i="41"/>
  <c r="AE174" i="58"/>
  <c r="BH123" i="58"/>
  <c r="S420" i="41"/>
  <c r="S431" i="41"/>
  <c r="BO108" i="58"/>
  <c r="BS122" i="58"/>
  <c r="D73" i="38"/>
  <c r="I11" i="54"/>
  <c r="BF59" i="8"/>
  <c r="BO64" i="8"/>
  <c r="L39" i="38"/>
  <c r="G533" i="38"/>
  <c r="L40" i="38"/>
  <c r="E638" i="38"/>
  <c r="G532" i="38"/>
  <c r="E594" i="41"/>
  <c r="AM140" i="58"/>
  <c r="AM143" i="58"/>
  <c r="F607" i="41"/>
  <c r="G607" i="41"/>
  <c r="D269" i="38"/>
  <c r="BH126" i="58"/>
  <c r="BS125" i="58"/>
  <c r="S423" i="41"/>
  <c r="BO111" i="58"/>
  <c r="S434" i="41"/>
  <c r="E252" i="41"/>
  <c r="AA65" i="58"/>
  <c r="AU172" i="58"/>
  <c r="H362" i="41"/>
  <c r="AM173" i="8"/>
  <c r="AM181" i="8"/>
  <c r="D630" i="38"/>
  <c r="AT135" i="8"/>
  <c r="AC70" i="8"/>
  <c r="AA68" i="8"/>
  <c r="AU110" i="58"/>
  <c r="E620" i="41"/>
  <c r="G572" i="41"/>
  <c r="D910" i="41"/>
  <c r="AV231" i="58"/>
  <c r="BK112" i="8"/>
  <c r="D458" i="38"/>
  <c r="D447" i="38"/>
  <c r="BJ125" i="8"/>
  <c r="BS116" i="8"/>
  <c r="D279" i="38"/>
  <c r="D1423" i="38"/>
  <c r="D278" i="38"/>
  <c r="D276" i="38"/>
  <c r="AA85" i="8"/>
  <c r="AC87" i="8"/>
  <c r="AA66" i="58"/>
  <c r="AA69" i="58"/>
  <c r="E253" i="41"/>
  <c r="BG41" i="58"/>
  <c r="BG44" i="58"/>
  <c r="E217" i="41"/>
  <c r="E193" i="41"/>
  <c r="BG40" i="8"/>
  <c r="BG43" i="8"/>
  <c r="E228" i="38"/>
  <c r="E203" i="38"/>
  <c r="F601" i="38"/>
  <c r="G601" i="38"/>
  <c r="G627" i="41"/>
  <c r="AU194" i="58"/>
  <c r="BS202" i="58"/>
  <c r="BX224" i="58"/>
  <c r="F572" i="41"/>
  <c r="AU94" i="58"/>
  <c r="E359" i="41"/>
  <c r="D613" i="41"/>
  <c r="AT138" i="58"/>
  <c r="D928" i="38"/>
  <c r="BX178" i="8"/>
  <c r="BJ272" i="8"/>
  <c r="AW210" i="8"/>
  <c r="BC311" i="8"/>
  <c r="DC319" i="8"/>
  <c r="BK179" i="8"/>
  <c r="AT141" i="8"/>
  <c r="D637" i="38"/>
  <c r="AA62" i="58"/>
  <c r="O50" i="41"/>
  <c r="E248" i="41"/>
  <c r="AM176" i="58"/>
  <c r="E610" i="41"/>
  <c r="F633" i="38"/>
  <c r="H366" i="38"/>
  <c r="F636" i="38"/>
  <c r="H366" i="41"/>
  <c r="AU175" i="58"/>
  <c r="D263" i="38"/>
  <c r="BF41" i="8"/>
  <c r="AV33" i="58"/>
  <c r="Z49" i="8"/>
  <c r="AV32" i="8"/>
  <c r="BF17" i="8"/>
  <c r="D142" i="38"/>
  <c r="G623" i="41"/>
  <c r="AU191" i="58"/>
  <c r="AM139" i="58"/>
  <c r="E593" i="41"/>
  <c r="F645" i="38"/>
  <c r="AU154" i="8"/>
  <c r="F13" i="56"/>
  <c r="BS129" i="58"/>
  <c r="BH130" i="58"/>
  <c r="BO115" i="58"/>
  <c r="F577" i="41"/>
  <c r="G577" i="41"/>
  <c r="E645" i="38"/>
  <c r="AU110" i="8"/>
  <c r="K1422" i="38"/>
  <c r="E1422" i="38"/>
  <c r="O1449" i="38"/>
  <c r="I1422" i="38"/>
  <c r="G1422" i="38"/>
  <c r="L1422" i="38"/>
  <c r="D921" i="38"/>
  <c r="BC305" i="8"/>
  <c r="DC313" i="8"/>
  <c r="BJ266" i="8"/>
  <c r="BK173" i="8"/>
  <c r="AW204" i="8"/>
  <c r="D369" i="38"/>
  <c r="D619" i="38"/>
  <c r="AT115" i="8"/>
  <c r="D651" i="38"/>
  <c r="AT99" i="8"/>
  <c r="E541" i="38"/>
  <c r="D558" i="38"/>
  <c r="E13" i="54"/>
  <c r="AE168" i="8"/>
  <c r="BJ131" i="8"/>
  <c r="BS122" i="8"/>
  <c r="AM177" i="58"/>
  <c r="AM180" i="58"/>
  <c r="E611" i="41"/>
  <c r="AU103" i="8"/>
  <c r="AV235" i="58"/>
  <c r="D915" i="41"/>
  <c r="D852" i="38"/>
  <c r="BC239" i="8"/>
  <c r="AT242" i="8"/>
  <c r="AT134" i="58"/>
  <c r="D608" i="41"/>
  <c r="AM174" i="8"/>
  <c r="G1448" i="38"/>
  <c r="D1448" i="38"/>
  <c r="F1448" i="38"/>
  <c r="P1448" i="38"/>
  <c r="BF62" i="58"/>
  <c r="BO67" i="58"/>
  <c r="BX190" i="58"/>
  <c r="BX220" i="58"/>
  <c r="BS198" i="58"/>
  <c r="H546" i="38"/>
  <c r="J584" i="38"/>
  <c r="H545" i="38"/>
  <c r="F590" i="41"/>
  <c r="G590" i="41"/>
  <c r="F576" i="41"/>
  <c r="G576" i="41"/>
  <c r="D698" i="38"/>
  <c r="BX187" i="8"/>
  <c r="BY217" i="8"/>
  <c r="BS196" i="8"/>
  <c r="AA45" i="58"/>
  <c r="G123" i="41"/>
  <c r="AU188" i="8"/>
  <c r="G645" i="38"/>
  <c r="BX193" i="8"/>
  <c r="BS202" i="8"/>
  <c r="D705" i="38"/>
  <c r="BY223" i="8"/>
  <c r="F591" i="41"/>
  <c r="G591" i="41"/>
  <c r="H124" i="41"/>
  <c r="AU113" i="58"/>
  <c r="J109" i="38"/>
  <c r="M52" i="38"/>
  <c r="D270" i="41"/>
  <c r="E1038" i="41"/>
  <c r="F1038" i="41"/>
  <c r="G1038" i="41"/>
  <c r="AW29" i="58"/>
  <c r="AW28" i="58"/>
  <c r="AW27" i="58"/>
  <c r="G27" i="96"/>
  <c r="AU119" i="8"/>
  <c r="AZ114" i="8"/>
  <c r="D273" i="41"/>
  <c r="H259" i="41"/>
  <c r="E366" i="41"/>
  <c r="G133" i="38"/>
  <c r="AA47" i="8"/>
  <c r="AA53" i="8"/>
  <c r="B15" i="97"/>
  <c r="AE98" i="8"/>
  <c r="D262" i="41"/>
  <c r="F595" i="41"/>
  <c r="AU137" i="58"/>
  <c r="AZ98" i="8"/>
  <c r="D452" i="38"/>
  <c r="BK116" i="8"/>
  <c r="D463" i="38"/>
  <c r="BS120" i="8"/>
  <c r="BJ129" i="8"/>
  <c r="G600" i="38"/>
  <c r="AU113" i="8"/>
  <c r="BJ270" i="8"/>
  <c r="BC309" i="8"/>
  <c r="DC317" i="8"/>
  <c r="D926" i="38"/>
  <c r="BK177" i="8"/>
  <c r="AW208" i="8"/>
  <c r="BO68" i="8"/>
  <c r="BF63" i="8"/>
  <c r="D635" i="38"/>
  <c r="AT139" i="8"/>
  <c r="D703" i="38"/>
  <c r="BX191" i="8"/>
  <c r="BS200" i="8"/>
  <c r="BY221" i="8"/>
  <c r="AE66" i="58"/>
  <c r="AE62" i="58"/>
  <c r="BS198" i="8"/>
  <c r="BY219" i="8"/>
  <c r="BX189" i="8"/>
  <c r="D700" i="38"/>
  <c r="D632" i="38"/>
  <c r="AT137" i="8"/>
  <c r="BS118" i="8"/>
  <c r="BK114" i="8"/>
  <c r="BJ127" i="8"/>
  <c r="D449" i="38"/>
  <c r="D460" i="38"/>
  <c r="BJ268" i="8"/>
  <c r="D923" i="38"/>
  <c r="AW206" i="8"/>
  <c r="BK175" i="8"/>
  <c r="BC307" i="8"/>
  <c r="DC315" i="8"/>
  <c r="BF61" i="8"/>
  <c r="BO66" i="8"/>
  <c r="AT193" i="58"/>
  <c r="AT159" i="58"/>
  <c r="AT174" i="58"/>
  <c r="AA136" i="58"/>
  <c r="AA135" i="58"/>
  <c r="AE186" i="58"/>
  <c r="AN309" i="58"/>
  <c r="BH177" i="58"/>
  <c r="BP153" i="58"/>
  <c r="DC318" i="58"/>
  <c r="BK277" i="58"/>
  <c r="D985" i="41"/>
  <c r="BH250" i="58"/>
  <c r="F509" i="41"/>
  <c r="AE98" i="58"/>
  <c r="AE97" i="58"/>
  <c r="AZ98" i="58"/>
  <c r="CS232" i="8"/>
  <c r="CK173" i="8"/>
  <c r="CH247" i="8"/>
  <c r="CN272" i="8"/>
  <c r="DB297" i="8"/>
  <c r="CN275" i="8"/>
  <c r="DB300" i="8"/>
  <c r="CK176" i="8"/>
  <c r="CS235" i="8"/>
  <c r="CH250" i="8"/>
  <c r="K41" i="41"/>
  <c r="CL172" i="8"/>
  <c r="CI246" i="8"/>
  <c r="CO271" i="8"/>
  <c r="DC296" i="8"/>
  <c r="CT231" i="8"/>
  <c r="AE49" i="58"/>
  <c r="AE178" i="58"/>
  <c r="G621" i="41"/>
  <c r="AU189" i="58"/>
  <c r="H360" i="41"/>
  <c r="AU170" i="58"/>
  <c r="AT175" i="58"/>
  <c r="AT160" i="58"/>
  <c r="AT194" i="58"/>
  <c r="DC319" i="58"/>
  <c r="D986" i="41"/>
  <c r="BP154" i="58"/>
  <c r="BH251" i="58"/>
  <c r="BH178" i="58"/>
  <c r="BK278" i="58"/>
  <c r="AE83" i="58"/>
  <c r="D629" i="38"/>
  <c r="AT134" i="8"/>
  <c r="E543" i="38"/>
  <c r="AE170" i="8"/>
  <c r="F616" i="38"/>
  <c r="G366" i="38"/>
  <c r="D979" i="41"/>
  <c r="BH172" i="58"/>
  <c r="BK272" i="58"/>
  <c r="DC313" i="58"/>
  <c r="BP148" i="58"/>
  <c r="BH245" i="58"/>
  <c r="AM140" i="8"/>
  <c r="BO63" i="8"/>
  <c r="BF58" i="8"/>
  <c r="AE173" i="8"/>
  <c r="E547" i="38"/>
  <c r="AE172" i="58"/>
  <c r="E520" i="41"/>
  <c r="D1509" i="41"/>
  <c r="G1509" i="41"/>
  <c r="AM136" i="8"/>
  <c r="BS195" i="8"/>
  <c r="BY216" i="8"/>
  <c r="BX186" i="8"/>
  <c r="D697" i="38"/>
  <c r="W140" i="8"/>
  <c r="BK111" i="8"/>
  <c r="BS115" i="8"/>
  <c r="D457" i="38"/>
  <c r="D446" i="38"/>
  <c r="BJ124" i="8"/>
  <c r="D980" i="41"/>
  <c r="BH246" i="58"/>
  <c r="BK273" i="58"/>
  <c r="BH173" i="58"/>
  <c r="DC314" i="58"/>
  <c r="BP149" i="58"/>
  <c r="D1526" i="41"/>
  <c r="D1524" i="41"/>
  <c r="H20" i="55"/>
  <c r="F533" i="38"/>
  <c r="E621" i="38"/>
  <c r="K39" i="38"/>
  <c r="F532" i="38"/>
  <c r="K40" i="38"/>
  <c r="E524" i="38"/>
  <c r="F524" i="38"/>
  <c r="W134" i="8"/>
  <c r="F597" i="41"/>
  <c r="G368" i="41"/>
  <c r="G597" i="41"/>
  <c r="E521" i="41"/>
  <c r="AE173" i="58"/>
  <c r="AE176" i="58"/>
  <c r="AE169" i="8"/>
  <c r="E542" i="38"/>
  <c r="D1463" i="38"/>
  <c r="G546" i="38"/>
  <c r="J583" i="38"/>
  <c r="G545" i="38"/>
  <c r="E525" i="38"/>
  <c r="F525" i="38"/>
  <c r="W135" i="8"/>
  <c r="W138" i="8"/>
  <c r="AT155" i="58"/>
  <c r="AT189" i="58"/>
  <c r="AT170" i="58"/>
  <c r="AT188" i="58"/>
  <c r="AT169" i="58"/>
  <c r="AT154" i="58"/>
  <c r="BC304" i="8"/>
  <c r="DC312" i="8"/>
  <c r="AW203" i="8"/>
  <c r="BK172" i="8"/>
  <c r="D920" i="38"/>
  <c r="BJ265" i="8"/>
  <c r="L41" i="38"/>
  <c r="AM137" i="8"/>
  <c r="G534" i="38"/>
  <c r="AT195" i="58"/>
  <c r="AT161" i="58"/>
  <c r="AT176" i="58"/>
  <c r="E621" i="41"/>
  <c r="AU111" i="58"/>
  <c r="AU98" i="58"/>
  <c r="E364" i="41"/>
  <c r="AT172" i="58"/>
  <c r="AT157" i="58"/>
  <c r="AT191" i="58"/>
  <c r="DC320" i="58"/>
  <c r="BH252" i="58"/>
  <c r="D987" i="41"/>
  <c r="BX179" i="58"/>
  <c r="BK279" i="58"/>
  <c r="BH179" i="58"/>
  <c r="BP155" i="58"/>
  <c r="G611" i="41"/>
  <c r="F611" i="41"/>
  <c r="F593" i="41"/>
  <c r="G593" i="41"/>
  <c r="AT154" i="8"/>
  <c r="AT188" i="8"/>
  <c r="AT169" i="8"/>
  <c r="F13" i="54"/>
  <c r="F623" i="41"/>
  <c r="AU157" i="58"/>
  <c r="E626" i="41"/>
  <c r="AU115" i="58"/>
  <c r="AU118" i="58"/>
  <c r="E48" i="56"/>
  <c r="AH144" i="58"/>
  <c r="BF64" i="8"/>
  <c r="BO69" i="8"/>
  <c r="AT175" i="8"/>
  <c r="AT194" i="8"/>
  <c r="AT160" i="8"/>
  <c r="E360" i="41"/>
  <c r="AU95" i="58"/>
  <c r="D270" i="38"/>
  <c r="G594" i="41"/>
  <c r="F594" i="41"/>
  <c r="G362" i="41"/>
  <c r="AU134" i="58"/>
  <c r="G361" i="41"/>
  <c r="AU133" i="58"/>
  <c r="D704" i="38"/>
  <c r="BX192" i="8"/>
  <c r="BS201" i="8"/>
  <c r="BY222" i="8"/>
  <c r="BO162" i="8"/>
  <c r="BX172" i="8"/>
  <c r="H1449" i="38"/>
  <c r="K1449" i="38"/>
  <c r="AU99" i="58"/>
  <c r="AU102" i="58"/>
  <c r="E365" i="41"/>
  <c r="D143" i="38"/>
  <c r="D154" i="38"/>
  <c r="G1423" i="38"/>
  <c r="L1423" i="38"/>
  <c r="E1423" i="38"/>
  <c r="O1450" i="38"/>
  <c r="K1423" i="38"/>
  <c r="I1423" i="38"/>
  <c r="F631" i="38"/>
  <c r="G622" i="41"/>
  <c r="AU190" i="58"/>
  <c r="AU198" i="58"/>
  <c r="AZ193" i="58"/>
  <c r="E367" i="38"/>
  <c r="AU97" i="8"/>
  <c r="G638" i="38"/>
  <c r="G653" i="38"/>
  <c r="F638" i="38"/>
  <c r="H371" i="38"/>
  <c r="E625" i="41"/>
  <c r="AU114" i="58"/>
  <c r="E634" i="38"/>
  <c r="AM175" i="8"/>
  <c r="E1448" i="38"/>
  <c r="G1449" i="38"/>
  <c r="D1449" i="38"/>
  <c r="E1449" i="38"/>
  <c r="F610" i="41"/>
  <c r="G610" i="41"/>
  <c r="AU171" i="58"/>
  <c r="AU179" i="58"/>
  <c r="AZ174" i="58"/>
  <c r="H361" i="41"/>
  <c r="BS230" i="8"/>
  <c r="CB238" i="8"/>
  <c r="D754" i="38"/>
  <c r="F632" i="38"/>
  <c r="AU156" i="58"/>
  <c r="F622" i="41"/>
  <c r="D761" i="38"/>
  <c r="BS236" i="8"/>
  <c r="CB244" i="8"/>
  <c r="AM176" i="8"/>
  <c r="AM179" i="8"/>
  <c r="E635" i="38"/>
  <c r="BC310" i="8"/>
  <c r="DC318" i="8"/>
  <c r="BJ271" i="8"/>
  <c r="AW209" i="8"/>
  <c r="BK178" i="8"/>
  <c r="D927" i="38"/>
  <c r="D636" i="38"/>
  <c r="AT140" i="8"/>
  <c r="AU174" i="8"/>
  <c r="H369" i="38"/>
  <c r="AU114" i="8"/>
  <c r="AU117" i="8"/>
  <c r="E650" i="38"/>
  <c r="BH248" i="58"/>
  <c r="BH175" i="58"/>
  <c r="DC316" i="58"/>
  <c r="BK275" i="58"/>
  <c r="BP151" i="58"/>
  <c r="D982" i="41"/>
  <c r="F627" i="41"/>
  <c r="AU160" i="58"/>
  <c r="AA49" i="58"/>
  <c r="AA52" i="58"/>
  <c r="G122" i="41"/>
  <c r="AA48" i="58"/>
  <c r="D453" i="38"/>
  <c r="BJ130" i="8"/>
  <c r="BS121" i="8"/>
  <c r="BK117" i="8"/>
  <c r="D464" i="38"/>
  <c r="AU193" i="8"/>
  <c r="D263" i="41"/>
  <c r="AU98" i="8"/>
  <c r="AU101" i="8"/>
  <c r="E368" i="38"/>
  <c r="J11" i="54"/>
  <c r="I124" i="41"/>
  <c r="D137" i="41"/>
  <c r="D139" i="41"/>
  <c r="E218" i="41"/>
  <c r="E194" i="41"/>
  <c r="E235" i="41"/>
  <c r="BG42" i="58"/>
  <c r="E560" i="41"/>
  <c r="K560" i="41"/>
  <c r="I524" i="41"/>
  <c r="I560" i="41"/>
  <c r="I522" i="41"/>
  <c r="I1038" i="41"/>
  <c r="J1038" i="41"/>
  <c r="G366" i="41"/>
  <c r="AE93" i="58"/>
  <c r="AZ94" i="58"/>
  <c r="AZ114" i="58"/>
  <c r="AE61" i="58"/>
  <c r="AE65" i="58"/>
  <c r="AT173" i="8"/>
  <c r="AT158" i="8"/>
  <c r="AT192" i="8"/>
  <c r="D759" i="38"/>
  <c r="BS234" i="8"/>
  <c r="CB242" i="8"/>
  <c r="E649" i="38"/>
  <c r="BX176" i="8"/>
  <c r="BO166" i="8"/>
  <c r="AT156" i="8"/>
  <c r="AT171" i="8"/>
  <c r="AT190" i="8"/>
  <c r="BS232" i="8"/>
  <c r="CB240" i="8"/>
  <c r="D756" i="38"/>
  <c r="BX174" i="8"/>
  <c r="BO164" i="8"/>
  <c r="AA132" i="58"/>
  <c r="AE183" i="58"/>
  <c r="AN306" i="58"/>
  <c r="AA131" i="58"/>
  <c r="AE182" i="58"/>
  <c r="AN305" i="58"/>
  <c r="BP167" i="58"/>
  <c r="BX177" i="58"/>
  <c r="AE94" i="58"/>
  <c r="AZ95" i="58"/>
  <c r="AE45" i="58"/>
  <c r="AE48" i="58"/>
  <c r="AE44" i="58"/>
  <c r="BP168" i="58"/>
  <c r="BX178" i="58"/>
  <c r="AE78" i="58"/>
  <c r="AE79" i="58"/>
  <c r="AE82" i="58"/>
  <c r="AU164" i="58"/>
  <c r="AZ159" i="58"/>
  <c r="BP162" i="58"/>
  <c r="BX172" i="58"/>
  <c r="F621" i="38"/>
  <c r="G371" i="38"/>
  <c r="G621" i="38"/>
  <c r="F653" i="38"/>
  <c r="F15" i="97"/>
  <c r="G15" i="97"/>
  <c r="B16" i="97"/>
  <c r="D13" i="99"/>
  <c r="E13" i="99"/>
  <c r="AE97" i="8"/>
  <c r="AE82" i="8"/>
  <c r="AE48" i="8"/>
  <c r="AA135" i="8"/>
  <c r="AE65" i="8"/>
  <c r="F619" i="38"/>
  <c r="AE172" i="8"/>
  <c r="AE175" i="8"/>
  <c r="E546" i="38"/>
  <c r="F534" i="38"/>
  <c r="D753" i="38"/>
  <c r="BS229" i="8"/>
  <c r="CB237" i="8"/>
  <c r="F1509" i="41"/>
  <c r="P1509" i="41"/>
  <c r="E1509" i="41"/>
  <c r="AM144" i="8"/>
  <c r="E617" i="38"/>
  <c r="AM138" i="8"/>
  <c r="BX173" i="58"/>
  <c r="BP163" i="58"/>
  <c r="D1466" i="38"/>
  <c r="D1464" i="38"/>
  <c r="E545" i="38"/>
  <c r="AE171" i="8"/>
  <c r="DD277" i="58"/>
  <c r="D163" i="68"/>
  <c r="E561" i="41"/>
  <c r="D1527" i="41"/>
  <c r="D1528" i="41"/>
  <c r="D560" i="41"/>
  <c r="BX171" i="8"/>
  <c r="BO161" i="8"/>
  <c r="F615" i="38"/>
  <c r="E618" i="38"/>
  <c r="AM139" i="8"/>
  <c r="AM142" i="8"/>
  <c r="K41" i="38"/>
  <c r="F614" i="38"/>
  <c r="AE177" i="8"/>
  <c r="AT168" i="8"/>
  <c r="AT153" i="8"/>
  <c r="AT187" i="8"/>
  <c r="F625" i="41"/>
  <c r="AU158" i="58"/>
  <c r="G1450" i="38"/>
  <c r="D1450" i="38"/>
  <c r="E1450" i="38"/>
  <c r="J1449" i="38"/>
  <c r="Q1449" i="38"/>
  <c r="I1449" i="38"/>
  <c r="D271" i="38"/>
  <c r="D282" i="38"/>
  <c r="AT174" i="8"/>
  <c r="AT159" i="8"/>
  <c r="AT193" i="8"/>
  <c r="AU190" i="8"/>
  <c r="G625" i="41"/>
  <c r="AU192" i="58"/>
  <c r="F1449" i="38"/>
  <c r="P1449" i="38"/>
  <c r="AU189" i="8"/>
  <c r="AU197" i="8"/>
  <c r="AZ191" i="8"/>
  <c r="H249" i="41"/>
  <c r="CI251" i="8"/>
  <c r="CO276" i="8"/>
  <c r="DC301" i="8"/>
  <c r="CL177" i="8"/>
  <c r="CT236" i="8"/>
  <c r="AU135" i="58"/>
  <c r="G364" i="41"/>
  <c r="BO167" i="8"/>
  <c r="BX177" i="8"/>
  <c r="CI245" i="8"/>
  <c r="CO270" i="8"/>
  <c r="DC295" i="8"/>
  <c r="CL171" i="8"/>
  <c r="CT230" i="8"/>
  <c r="AU173" i="58"/>
  <c r="H364" i="41"/>
  <c r="G634" i="38"/>
  <c r="F634" i="38"/>
  <c r="AU170" i="8"/>
  <c r="AU178" i="8"/>
  <c r="AZ173" i="8"/>
  <c r="H364" i="38"/>
  <c r="H140" i="38"/>
  <c r="H260" i="41"/>
  <c r="H254" i="41"/>
  <c r="BG65" i="58"/>
  <c r="AU174" i="58"/>
  <c r="AU177" i="58"/>
  <c r="H365" i="41"/>
  <c r="H365" i="38"/>
  <c r="AU171" i="8"/>
  <c r="AU141" i="58"/>
  <c r="AZ136" i="58"/>
  <c r="BP165" i="58"/>
  <c r="BX175" i="58"/>
  <c r="G365" i="41"/>
  <c r="AU136" i="58"/>
  <c r="AU139" i="58"/>
  <c r="H261" i="41"/>
  <c r="H250" i="41"/>
  <c r="AH143" i="8"/>
  <c r="E48" i="54"/>
  <c r="AU193" i="58"/>
  <c r="AU196" i="58"/>
  <c r="G626" i="41"/>
  <c r="G635" i="38"/>
  <c r="F635" i="38"/>
  <c r="H1450" i="38"/>
  <c r="K1450" i="38"/>
  <c r="AU159" i="58"/>
  <c r="AU162" i="58"/>
  <c r="F626" i="41"/>
  <c r="H27" i="99"/>
  <c r="H19" i="99"/>
  <c r="H15" i="99"/>
  <c r="H31" i="99"/>
  <c r="W52" i="8"/>
  <c r="M46" i="54"/>
  <c r="H23" i="99"/>
  <c r="H46" i="54"/>
  <c r="D760" i="38"/>
  <c r="BS235" i="8"/>
  <c r="CB243" i="8"/>
  <c r="H142" i="38"/>
  <c r="J131" i="38"/>
  <c r="D145" i="41"/>
  <c r="H57" i="55"/>
  <c r="H119" i="41"/>
  <c r="AZ110" i="58"/>
  <c r="AL247" i="58"/>
  <c r="AL248" i="58"/>
  <c r="D561" i="41"/>
  <c r="I515" i="41"/>
  <c r="AL253" i="58"/>
  <c r="E811" i="41"/>
  <c r="F811" i="41"/>
  <c r="I517" i="41"/>
  <c r="F560" i="41"/>
  <c r="H560" i="41"/>
  <c r="I519" i="41"/>
  <c r="E808" i="41"/>
  <c r="F808" i="41"/>
  <c r="E830" i="41"/>
  <c r="G560" i="41"/>
  <c r="I518" i="41"/>
  <c r="I585" i="38"/>
  <c r="I547" i="38"/>
  <c r="M39" i="41"/>
  <c r="M40" i="41"/>
  <c r="H508" i="41"/>
  <c r="H507" i="41"/>
  <c r="F16" i="97"/>
  <c r="D29" i="99"/>
  <c r="E29" i="99"/>
  <c r="CT234" i="8"/>
  <c r="CO274" i="8"/>
  <c r="DC299" i="8"/>
  <c r="CI249" i="8"/>
  <c r="CL175" i="8"/>
  <c r="CL173" i="8"/>
  <c r="CO272" i="8"/>
  <c r="DC297" i="8"/>
  <c r="CI247" i="8"/>
  <c r="CT232" i="8"/>
  <c r="AZ111" i="58"/>
  <c r="H141" i="38"/>
  <c r="J135" i="38"/>
  <c r="AW32" i="8"/>
  <c r="D16" i="97"/>
  <c r="D21" i="99"/>
  <c r="I21" i="99"/>
  <c r="H13" i="99"/>
  <c r="F1450" i="38"/>
  <c r="P1450" i="38"/>
  <c r="AE81" i="8"/>
  <c r="AE77" i="8"/>
  <c r="AE78" i="8"/>
  <c r="AU156" i="8"/>
  <c r="G365" i="38"/>
  <c r="AU137" i="8"/>
  <c r="G364" i="38"/>
  <c r="AU136" i="8"/>
  <c r="AU159" i="8"/>
  <c r="G26" i="96"/>
  <c r="I13" i="99"/>
  <c r="D1467" i="38"/>
  <c r="D1468" i="38"/>
  <c r="DD278" i="8"/>
  <c r="D49" i="68"/>
  <c r="G369" i="38"/>
  <c r="AU140" i="8"/>
  <c r="DD276" i="58"/>
  <c r="DD275" i="58"/>
  <c r="AE93" i="8"/>
  <c r="AE96" i="8"/>
  <c r="AE92" i="8"/>
  <c r="C16" i="97"/>
  <c r="D17" i="99"/>
  <c r="H17" i="99"/>
  <c r="F13" i="99"/>
  <c r="K561" i="41"/>
  <c r="H561" i="41"/>
  <c r="J519" i="41"/>
  <c r="G561" i="41"/>
  <c r="J517" i="41"/>
  <c r="AN292" i="58"/>
  <c r="I561" i="41"/>
  <c r="J522" i="41"/>
  <c r="AN296" i="58"/>
  <c r="AA131" i="8"/>
  <c r="AE182" i="8"/>
  <c r="AA130" i="8"/>
  <c r="AE181" i="8"/>
  <c r="AA134" i="8"/>
  <c r="AE185" i="8"/>
  <c r="G617" i="38"/>
  <c r="F617" i="38"/>
  <c r="AU155" i="8"/>
  <c r="G254" i="41"/>
  <c r="E297" i="41"/>
  <c r="AE64" i="8"/>
  <c r="AE60" i="8"/>
  <c r="AE61" i="8"/>
  <c r="E16" i="97"/>
  <c r="D25" i="99"/>
  <c r="E25" i="99"/>
  <c r="G618" i="38"/>
  <c r="F618" i="38"/>
  <c r="CL170" i="8"/>
  <c r="CT229" i="8"/>
  <c r="CO269" i="8"/>
  <c r="DC294" i="8"/>
  <c r="CI244" i="8"/>
  <c r="AE47" i="8"/>
  <c r="AE43" i="8"/>
  <c r="AE44" i="8"/>
  <c r="H979" i="38"/>
  <c r="AW29" i="8"/>
  <c r="K1038" i="41"/>
  <c r="P1038" i="41"/>
  <c r="L1038" i="41"/>
  <c r="H268" i="38"/>
  <c r="H258" i="38"/>
  <c r="J130" i="38"/>
  <c r="E1039" i="41"/>
  <c r="BG61" i="58"/>
  <c r="DM91" i="58"/>
  <c r="AU173" i="8"/>
  <c r="AU176" i="8"/>
  <c r="H368" i="38"/>
  <c r="BG62" i="58"/>
  <c r="H1039" i="41"/>
  <c r="AU172" i="8"/>
  <c r="H367" i="38"/>
  <c r="AE95" i="8"/>
  <c r="AE63" i="8"/>
  <c r="AA133" i="8"/>
  <c r="AE184" i="8"/>
  <c r="AE80" i="8"/>
  <c r="AE46" i="8"/>
  <c r="G650" i="38"/>
  <c r="AU192" i="8"/>
  <c r="AU195" i="8"/>
  <c r="G649" i="38"/>
  <c r="AU191" i="8"/>
  <c r="CT235" i="8"/>
  <c r="CL176" i="8"/>
  <c r="CO275" i="8"/>
  <c r="DC300" i="8"/>
  <c r="CI250" i="8"/>
  <c r="I1450" i="38"/>
  <c r="J1450" i="38"/>
  <c r="Q1450" i="38"/>
  <c r="H62" i="55"/>
  <c r="H58" i="55"/>
  <c r="H59" i="55"/>
  <c r="D146" i="41"/>
  <c r="H60" i="55"/>
  <c r="J515" i="41"/>
  <c r="J516" i="41"/>
  <c r="AN291" i="58"/>
  <c r="O59" i="41"/>
  <c r="O60" i="41"/>
  <c r="I11" i="56"/>
  <c r="J11" i="56"/>
  <c r="AN290" i="58"/>
  <c r="F561" i="41"/>
  <c r="J521" i="41"/>
  <c r="AN295" i="58"/>
  <c r="AN298" i="58"/>
  <c r="E1109" i="41"/>
  <c r="AZ53" i="58"/>
  <c r="F139" i="41"/>
  <c r="H133" i="41"/>
  <c r="K14" i="56"/>
  <c r="L14" i="56"/>
  <c r="J49" i="56"/>
  <c r="E586" i="38"/>
  <c r="J542" i="38"/>
  <c r="H135" i="38"/>
  <c r="F140" i="41"/>
  <c r="K120" i="41"/>
  <c r="K124" i="41"/>
  <c r="BG38" i="58"/>
  <c r="K119" i="41"/>
  <c r="E214" i="41"/>
  <c r="H118" i="41"/>
  <c r="H29" i="99"/>
  <c r="K585" i="38"/>
  <c r="I549" i="38"/>
  <c r="M39" i="38"/>
  <c r="M41" i="41"/>
  <c r="J30" i="41"/>
  <c r="J29" i="41"/>
  <c r="J27" i="41"/>
  <c r="J26" i="41"/>
  <c r="J28" i="41"/>
  <c r="G10" i="56"/>
  <c r="H10" i="56"/>
  <c r="Q98" i="58"/>
  <c r="U114" i="58"/>
  <c r="E837" i="38"/>
  <c r="F837" i="38"/>
  <c r="AL241" i="8"/>
  <c r="E833" i="41"/>
  <c r="D877" i="41"/>
  <c r="AT257" i="58"/>
  <c r="DD281" i="58"/>
  <c r="I521" i="41"/>
  <c r="J560" i="41"/>
  <c r="I520" i="41"/>
  <c r="E806" i="41"/>
  <c r="F806" i="41"/>
  <c r="AL249" i="58"/>
  <c r="AL266" i="58"/>
  <c r="I516" i="41"/>
  <c r="E804" i="41"/>
  <c r="D585" i="38"/>
  <c r="I540" i="38"/>
  <c r="H509" i="41"/>
  <c r="J498" i="41"/>
  <c r="J497" i="41"/>
  <c r="J495" i="41"/>
  <c r="J494" i="41"/>
  <c r="J496" i="41"/>
  <c r="G12" i="56"/>
  <c r="H12" i="56"/>
  <c r="E807" i="41"/>
  <c r="F807" i="41"/>
  <c r="AL250" i="58"/>
  <c r="DD278" i="58"/>
  <c r="AE50" i="58"/>
  <c r="AE67" i="58"/>
  <c r="AE84" i="58"/>
  <c r="I29" i="99"/>
  <c r="F29" i="99"/>
  <c r="I17" i="99"/>
  <c r="E21" i="99"/>
  <c r="G5" i="96"/>
  <c r="G6" i="96"/>
  <c r="I25" i="99"/>
  <c r="AN300" i="58"/>
  <c r="AU163" i="8"/>
  <c r="AZ158" i="8"/>
  <c r="H21" i="99"/>
  <c r="F21" i="99"/>
  <c r="F25" i="99"/>
  <c r="H25" i="99"/>
  <c r="AU144" i="8"/>
  <c r="AZ139" i="8"/>
  <c r="AN296" i="8"/>
  <c r="G368" i="38"/>
  <c r="AU139" i="8"/>
  <c r="AU142" i="8"/>
  <c r="D266" i="41"/>
  <c r="G249" i="41"/>
  <c r="F17" i="99"/>
  <c r="AU158" i="8"/>
  <c r="AU161" i="8"/>
  <c r="F650" i="38"/>
  <c r="AM192" i="58"/>
  <c r="AM154" i="58"/>
  <c r="AZ109" i="8"/>
  <c r="AZ93" i="8"/>
  <c r="E17" i="99"/>
  <c r="AN293" i="58"/>
  <c r="J518" i="41"/>
  <c r="DD277" i="8"/>
  <c r="DD276" i="8"/>
  <c r="BP70" i="58"/>
  <c r="AU138" i="8"/>
  <c r="G367" i="38"/>
  <c r="J561" i="41"/>
  <c r="J520" i="41"/>
  <c r="AN294" i="58"/>
  <c r="AZ110" i="8"/>
  <c r="AZ94" i="8"/>
  <c r="K586" i="38"/>
  <c r="H586" i="38"/>
  <c r="J544" i="38"/>
  <c r="G586" i="38"/>
  <c r="J543" i="38"/>
  <c r="AN286" i="8"/>
  <c r="I586" i="38"/>
  <c r="J547" i="38"/>
  <c r="AN300" i="8"/>
  <c r="AN297" i="8"/>
  <c r="AZ97" i="8"/>
  <c r="AZ113" i="8"/>
  <c r="F649" i="38"/>
  <c r="AU157" i="8"/>
  <c r="E980" i="38"/>
  <c r="BG60" i="8"/>
  <c r="H263" i="38"/>
  <c r="BG64" i="8"/>
  <c r="R1038" i="41"/>
  <c r="Q1038" i="41"/>
  <c r="AZ96" i="8"/>
  <c r="AZ112" i="8"/>
  <c r="H269" i="38"/>
  <c r="G4" i="96"/>
  <c r="D1483" i="41"/>
  <c r="M14" i="56"/>
  <c r="M1038" i="41"/>
  <c r="N1038" i="41"/>
  <c r="BG60" i="58"/>
  <c r="BG59" i="58"/>
  <c r="DM100" i="58"/>
  <c r="H259" i="38"/>
  <c r="I1039" i="41"/>
  <c r="F1039" i="41"/>
  <c r="G1039" i="41"/>
  <c r="E979" i="38"/>
  <c r="AW28" i="8"/>
  <c r="H270" i="38"/>
  <c r="H63" i="55"/>
  <c r="D154" i="41"/>
  <c r="H61" i="55"/>
  <c r="D151" i="41"/>
  <c r="M46" i="56"/>
  <c r="W52" i="58"/>
  <c r="H46" i="56"/>
  <c r="E213" i="41"/>
  <c r="E189" i="41"/>
  <c r="BG37" i="58"/>
  <c r="H117" i="41"/>
  <c r="BK43" i="58"/>
  <c r="BG46" i="58"/>
  <c r="E190" i="41"/>
  <c r="E236" i="41"/>
  <c r="E220" i="41"/>
  <c r="H214" i="41"/>
  <c r="BK19" i="58"/>
  <c r="DM89" i="58"/>
  <c r="I135" i="38"/>
  <c r="BG17" i="8"/>
  <c r="BG21" i="8"/>
  <c r="E229" i="38"/>
  <c r="E204" i="38"/>
  <c r="E246" i="38"/>
  <c r="BG41" i="8"/>
  <c r="D147" i="38"/>
  <c r="D149" i="38"/>
  <c r="F585" i="38"/>
  <c r="I546" i="38"/>
  <c r="H532" i="38"/>
  <c r="H533" i="38"/>
  <c r="M40" i="38"/>
  <c r="M41" i="38"/>
  <c r="I29" i="38"/>
  <c r="I28" i="38"/>
  <c r="I26" i="38"/>
  <c r="I25" i="38"/>
  <c r="H14" i="55"/>
  <c r="E839" i="38"/>
  <c r="F839" i="38"/>
  <c r="F45" i="56"/>
  <c r="D586" i="38"/>
  <c r="AE95" i="58"/>
  <c r="AE80" i="58"/>
  <c r="AE46" i="58"/>
  <c r="AE63" i="58"/>
  <c r="AA133" i="58"/>
  <c r="D530" i="41"/>
  <c r="I13" i="56"/>
  <c r="J13" i="56"/>
  <c r="E805" i="41"/>
  <c r="AL257" i="58"/>
  <c r="DG280" i="58"/>
  <c r="E828" i="41"/>
  <c r="AT253" i="58"/>
  <c r="AT261" i="58"/>
  <c r="AL237" i="8"/>
  <c r="AL254" i="8"/>
  <c r="AL238" i="8"/>
  <c r="DD279" i="8"/>
  <c r="E809" i="41"/>
  <c r="F809" i="41"/>
  <c r="AL251" i="58"/>
  <c r="DD279" i="58"/>
  <c r="AA189" i="58"/>
  <c r="F47" i="56"/>
  <c r="AL252" i="58"/>
  <c r="AL255" i="58"/>
  <c r="DD283" i="58"/>
  <c r="E810" i="41"/>
  <c r="F810" i="41"/>
  <c r="D1471" i="38"/>
  <c r="DD282" i="8"/>
  <c r="F804" i="41"/>
  <c r="D818" i="41"/>
  <c r="G20" i="56"/>
  <c r="H20" i="56"/>
  <c r="E829" i="41"/>
  <c r="AT254" i="58"/>
  <c r="AL235" i="8"/>
  <c r="I541" i="38"/>
  <c r="E830" i="38"/>
  <c r="E852" i="38"/>
  <c r="AU242" i="8"/>
  <c r="AE83" i="8"/>
  <c r="AE66" i="8"/>
  <c r="AE49" i="8"/>
  <c r="D268" i="41"/>
  <c r="D274" i="41"/>
  <c r="AM190" i="8"/>
  <c r="AN293" i="8"/>
  <c r="AM153" i="8"/>
  <c r="G263" i="38"/>
  <c r="E306" i="38"/>
  <c r="O1038" i="41"/>
  <c r="E307" i="38"/>
  <c r="BP70" i="8"/>
  <c r="S1038" i="41"/>
  <c r="F979" i="38"/>
  <c r="G979" i="38"/>
  <c r="I979" i="38"/>
  <c r="DL79" i="8"/>
  <c r="N14" i="56"/>
  <c r="L1483" i="41"/>
  <c r="E1483" i="41"/>
  <c r="O1510" i="41"/>
  <c r="K1483" i="41"/>
  <c r="G1483" i="41"/>
  <c r="I1483" i="41"/>
  <c r="E293" i="41"/>
  <c r="BP66" i="58"/>
  <c r="G248" i="41"/>
  <c r="BG59" i="8"/>
  <c r="BG58" i="8"/>
  <c r="DL99" i="8"/>
  <c r="AW27" i="8"/>
  <c r="AW26" i="8"/>
  <c r="J1039" i="41"/>
  <c r="BG61" i="8"/>
  <c r="H980" i="38"/>
  <c r="I980" i="38"/>
  <c r="J980" i="38"/>
  <c r="L980" i="38"/>
  <c r="F980" i="38"/>
  <c r="DL90" i="8"/>
  <c r="H262" i="41"/>
  <c r="H86" i="55"/>
  <c r="AA134" i="58"/>
  <c r="AE185" i="58"/>
  <c r="AE64" i="58"/>
  <c r="AE47" i="58"/>
  <c r="AE96" i="58"/>
  <c r="AE81" i="58"/>
  <c r="J540" i="38"/>
  <c r="F586" i="38"/>
  <c r="J585" i="38"/>
  <c r="I545" i="38"/>
  <c r="AL239" i="8"/>
  <c r="BG36" i="58"/>
  <c r="E212" i="41"/>
  <c r="E188" i="41"/>
  <c r="F214" i="41"/>
  <c r="H190" i="41"/>
  <c r="H220" i="41"/>
  <c r="D155" i="38"/>
  <c r="H43" i="55"/>
  <c r="H130" i="38"/>
  <c r="D205" i="41"/>
  <c r="D206" i="41"/>
  <c r="D201" i="41"/>
  <c r="E28" i="56"/>
  <c r="F28" i="56"/>
  <c r="E63" i="56"/>
  <c r="H534" i="38"/>
  <c r="I523" i="38"/>
  <c r="I522" i="38"/>
  <c r="I520" i="38"/>
  <c r="I519" i="38"/>
  <c r="H29" i="55"/>
  <c r="I27" i="38"/>
  <c r="G10" i="54"/>
  <c r="H10" i="54"/>
  <c r="F45" i="54"/>
  <c r="AE184" i="58"/>
  <c r="AT251" i="58"/>
  <c r="E826" i="41"/>
  <c r="H266" i="55"/>
  <c r="F805" i="41"/>
  <c r="D819" i="41"/>
  <c r="D820" i="41"/>
  <c r="F830" i="38"/>
  <c r="H253" i="55"/>
  <c r="I832" i="38"/>
  <c r="G20" i="54"/>
  <c r="H20" i="54"/>
  <c r="DG276" i="58"/>
  <c r="P1172" i="41"/>
  <c r="P1205" i="41"/>
  <c r="P1218" i="41"/>
  <c r="AL236" i="8"/>
  <c r="D555" i="38"/>
  <c r="E831" i="38"/>
  <c r="AU239" i="8"/>
  <c r="AT256" i="58"/>
  <c r="AT259" i="58"/>
  <c r="E832" i="41"/>
  <c r="D865" i="41"/>
  <c r="D850" i="41"/>
  <c r="D856" i="41"/>
  <c r="E831" i="41"/>
  <c r="AT255" i="58"/>
  <c r="AL245" i="8"/>
  <c r="AU238" i="8"/>
  <c r="AU246" i="8"/>
  <c r="P1164" i="41"/>
  <c r="D146" i="68"/>
  <c r="DG279" i="58"/>
  <c r="P1175" i="41"/>
  <c r="DG275" i="58"/>
  <c r="P1170" i="41"/>
  <c r="P1231" i="41"/>
  <c r="M48" i="56"/>
  <c r="AH146" i="58"/>
  <c r="AN308" i="58"/>
  <c r="H48" i="56"/>
  <c r="AM191" i="58"/>
  <c r="AL265" i="58"/>
  <c r="AM153" i="58"/>
  <c r="AO266" i="58"/>
  <c r="F55" i="56"/>
  <c r="AL240" i="8"/>
  <c r="E836" i="38"/>
  <c r="F836" i="38"/>
  <c r="AZ112" i="58"/>
  <c r="AZ96" i="58"/>
  <c r="K15" i="56"/>
  <c r="L15" i="56"/>
  <c r="E1110" i="41"/>
  <c r="BL77" i="58"/>
  <c r="BP84" i="58"/>
  <c r="F249" i="41"/>
  <c r="J249" i="41"/>
  <c r="D275" i="38"/>
  <c r="D277" i="38"/>
  <c r="D283" i="38"/>
  <c r="BP69" i="8"/>
  <c r="G980" i="38"/>
  <c r="M980" i="38"/>
  <c r="N980" i="38"/>
  <c r="O980" i="38"/>
  <c r="M15" i="54"/>
  <c r="N15" i="54"/>
  <c r="BP74" i="58"/>
  <c r="E299" i="41"/>
  <c r="F293" i="41"/>
  <c r="J979" i="38"/>
  <c r="K980" i="38"/>
  <c r="P980" i="38"/>
  <c r="D1510" i="41"/>
  <c r="E1510" i="41"/>
  <c r="G1510" i="41"/>
  <c r="G247" i="41"/>
  <c r="BP65" i="58"/>
  <c r="E292" i="41"/>
  <c r="D305" i="41"/>
  <c r="E16" i="56"/>
  <c r="F16" i="56"/>
  <c r="H1510" i="41"/>
  <c r="K1510" i="41"/>
  <c r="K1039" i="41"/>
  <c r="L1039" i="41"/>
  <c r="H88" i="55"/>
  <c r="H89" i="55"/>
  <c r="D275" i="41"/>
  <c r="H90" i="55"/>
  <c r="H92" i="55"/>
  <c r="E835" i="38"/>
  <c r="F835" i="38"/>
  <c r="AU240" i="8"/>
  <c r="AZ97" i="58"/>
  <c r="AZ113" i="58"/>
  <c r="J586" i="38"/>
  <c r="J545" i="38"/>
  <c r="AN287" i="8"/>
  <c r="J546" i="38"/>
  <c r="AN288" i="8"/>
  <c r="AN291" i="8"/>
  <c r="DG277" i="58"/>
  <c r="P1173" i="41"/>
  <c r="P1206" i="41"/>
  <c r="P1219" i="41"/>
  <c r="AN307" i="58"/>
  <c r="J541" i="38"/>
  <c r="AN284" i="8"/>
  <c r="AN283" i="8"/>
  <c r="I236" i="41"/>
  <c r="E238" i="41"/>
  <c r="E240" i="41"/>
  <c r="E1046" i="41"/>
  <c r="D1481" i="41"/>
  <c r="BP34" i="58"/>
  <c r="DM57" i="58"/>
  <c r="D204" i="41"/>
  <c r="G28" i="56"/>
  <c r="H28" i="56"/>
  <c r="D208" i="41"/>
  <c r="I28" i="56"/>
  <c r="J28" i="56"/>
  <c r="E1048" i="38"/>
  <c r="K14" i="54"/>
  <c r="L14" i="54"/>
  <c r="J49" i="54"/>
  <c r="AZ50" i="8"/>
  <c r="H143" i="38"/>
  <c r="F220" i="41"/>
  <c r="F213" i="41"/>
  <c r="F190" i="41"/>
  <c r="G214" i="41"/>
  <c r="BG37" i="8"/>
  <c r="E225" i="38"/>
  <c r="H129" i="38"/>
  <c r="G11" i="99"/>
  <c r="G9" i="99"/>
  <c r="G14" i="99"/>
  <c r="G13" i="99"/>
  <c r="Q118" i="8"/>
  <c r="U113" i="8"/>
  <c r="P1464" i="41"/>
  <c r="P1467" i="41"/>
  <c r="I521" i="38"/>
  <c r="G12" i="54"/>
  <c r="H12" i="54"/>
  <c r="Z179" i="8"/>
  <c r="AM150" i="58"/>
  <c r="AZ156" i="58"/>
  <c r="AM188" i="58"/>
  <c r="AZ190" i="58"/>
  <c r="P1305" i="41"/>
  <c r="P1411" i="41"/>
  <c r="P1438" i="41"/>
  <c r="P1233" i="41"/>
  <c r="P1246" i="41"/>
  <c r="AM189" i="58"/>
  <c r="AL263" i="58"/>
  <c r="AT271" i="58"/>
  <c r="AM151" i="58"/>
  <c r="DG278" i="58"/>
  <c r="P1174" i="41"/>
  <c r="J872" i="38"/>
  <c r="J847" i="38"/>
  <c r="J875" i="38"/>
  <c r="E827" i="41"/>
  <c r="D871" i="41"/>
  <c r="AT252" i="58"/>
  <c r="AM189" i="8"/>
  <c r="AM152" i="8"/>
  <c r="DG281" i="8"/>
  <c r="DG276" i="8"/>
  <c r="AU241" i="8"/>
  <c r="AU244" i="8"/>
  <c r="E851" i="38"/>
  <c r="AM152" i="58"/>
  <c r="AM149" i="58"/>
  <c r="AM148" i="58"/>
  <c r="D851" i="41"/>
  <c r="D852" i="41"/>
  <c r="D853" i="41"/>
  <c r="P1303" i="41"/>
  <c r="P1409" i="41"/>
  <c r="AL253" i="8"/>
  <c r="AL248" i="8"/>
  <c r="AU249" i="8"/>
  <c r="DG313" i="8"/>
  <c r="I1106" i="38"/>
  <c r="AL264" i="58"/>
  <c r="AT272" i="58"/>
  <c r="AL260" i="58"/>
  <c r="AT268" i="58"/>
  <c r="AL261" i="58"/>
  <c r="AT269" i="58"/>
  <c r="AL243" i="8"/>
  <c r="DD284" i="8"/>
  <c r="DD280" i="8"/>
  <c r="D857" i="41"/>
  <c r="D858" i="41"/>
  <c r="P1472" i="41"/>
  <c r="P1373" i="41"/>
  <c r="P1360" i="41"/>
  <c r="P1387" i="41"/>
  <c r="P1370" i="41"/>
  <c r="P1397" i="41"/>
  <c r="P1362" i="41"/>
  <c r="P1368" i="41"/>
  <c r="P1395" i="41"/>
  <c r="P1359" i="41"/>
  <c r="P1209" i="41"/>
  <c r="P1222" i="41"/>
  <c r="P1214" i="41"/>
  <c r="P1372" i="41"/>
  <c r="P1399" i="41"/>
  <c r="P1213" i="41"/>
  <c r="P1369" i="41"/>
  <c r="P1357" i="41"/>
  <c r="P1366" i="41"/>
  <c r="P1363" i="41"/>
  <c r="P1390" i="41"/>
  <c r="P1367" i="41"/>
  <c r="P1394" i="41"/>
  <c r="P1364" i="41"/>
  <c r="P1391" i="41"/>
  <c r="P1355" i="41"/>
  <c r="P1374" i="41"/>
  <c r="P1401" i="41"/>
  <c r="P1376" i="41"/>
  <c r="P1403" i="41"/>
  <c r="P1203" i="41"/>
  <c r="P1375" i="41"/>
  <c r="P1210" i="41"/>
  <c r="P1223" i="41"/>
  <c r="P1371" i="41"/>
  <c r="P1208" i="41"/>
  <c r="E845" i="38"/>
  <c r="AU236" i="8"/>
  <c r="F831" i="38"/>
  <c r="I833" i="38"/>
  <c r="I834" i="38"/>
  <c r="I13" i="54"/>
  <c r="J13" i="54"/>
  <c r="H35" i="55"/>
  <c r="AM190" i="58"/>
  <c r="AM187" i="58"/>
  <c r="AM186" i="58"/>
  <c r="AL262" i="58"/>
  <c r="AT270" i="58"/>
  <c r="F55" i="54"/>
  <c r="AQ243" i="8"/>
  <c r="J254" i="41"/>
  <c r="G258" i="38"/>
  <c r="BP65" i="8"/>
  <c r="F1510" i="41"/>
  <c r="P1510" i="41"/>
  <c r="BP64" i="58"/>
  <c r="E291" i="41"/>
  <c r="CF66" i="58"/>
  <c r="DD66" i="58"/>
  <c r="F292" i="41"/>
  <c r="F299" i="41"/>
  <c r="R980" i="38"/>
  <c r="T980" i="38"/>
  <c r="S980" i="38"/>
  <c r="H71" i="55"/>
  <c r="F258" i="38"/>
  <c r="K15" i="54"/>
  <c r="E1049" i="38"/>
  <c r="BL76" i="8"/>
  <c r="H271" i="38"/>
  <c r="D1484" i="41"/>
  <c r="M15" i="56"/>
  <c r="M1039" i="41"/>
  <c r="BY72" i="58"/>
  <c r="E51" i="56"/>
  <c r="K979" i="38"/>
  <c r="P979" i="38"/>
  <c r="L979" i="38"/>
  <c r="I1510" i="41"/>
  <c r="J1510" i="41"/>
  <c r="Q1510" i="41"/>
  <c r="P1039" i="41"/>
  <c r="J50" i="56"/>
  <c r="E850" i="38"/>
  <c r="H93" i="55"/>
  <c r="D283" i="41"/>
  <c r="H91" i="55"/>
  <c r="D280" i="41"/>
  <c r="P1234" i="41"/>
  <c r="P1247" i="41"/>
  <c r="P1275" i="41"/>
  <c r="H63" i="56"/>
  <c r="M63" i="56"/>
  <c r="DM66" i="58"/>
  <c r="BP33" i="58"/>
  <c r="BP32" i="58"/>
  <c r="AA132" i="8"/>
  <c r="AE183" i="8"/>
  <c r="AL250" i="8"/>
  <c r="AU251" i="8"/>
  <c r="BG36" i="8"/>
  <c r="E224" i="38"/>
  <c r="E199" i="38"/>
  <c r="H128" i="38"/>
  <c r="BK18" i="8"/>
  <c r="DL88" i="8"/>
  <c r="I1481" i="41"/>
  <c r="H1481" i="41"/>
  <c r="G1481" i="41"/>
  <c r="E1481" i="41"/>
  <c r="O1508" i="41"/>
  <c r="F1481" i="41"/>
  <c r="K1481" i="41"/>
  <c r="G213" i="41"/>
  <c r="G190" i="41"/>
  <c r="G220" i="41"/>
  <c r="F1025" i="41"/>
  <c r="BX49" i="58"/>
  <c r="E231" i="38"/>
  <c r="E200" i="38"/>
  <c r="H225" i="38"/>
  <c r="F1046" i="41"/>
  <c r="G1046" i="41"/>
  <c r="I1046" i="41"/>
  <c r="J1046" i="41"/>
  <c r="F212" i="41"/>
  <c r="F188" i="41"/>
  <c r="F189" i="41"/>
  <c r="BK42" i="8"/>
  <c r="BG45" i="8"/>
  <c r="H48" i="55"/>
  <c r="H46" i="55"/>
  <c r="H44" i="55"/>
  <c r="H45" i="55"/>
  <c r="AE79" i="8"/>
  <c r="AE45" i="8"/>
  <c r="G18" i="99"/>
  <c r="G17" i="99"/>
  <c r="G22" i="99"/>
  <c r="G21" i="99"/>
  <c r="G26" i="99"/>
  <c r="G25" i="99"/>
  <c r="G30" i="99"/>
  <c r="G29" i="99"/>
  <c r="AZ133" i="58"/>
  <c r="F47" i="54"/>
  <c r="AE94" i="8"/>
  <c r="AZ111" i="8"/>
  <c r="AE62" i="8"/>
  <c r="P1468" i="41"/>
  <c r="P1466" i="41"/>
  <c r="AZ171" i="58"/>
  <c r="AL252" i="8"/>
  <c r="AU253" i="8"/>
  <c r="DG277" i="8"/>
  <c r="P1108" i="38"/>
  <c r="P1245" i="38"/>
  <c r="P1351" i="38"/>
  <c r="P1378" i="38"/>
  <c r="D866" i="41"/>
  <c r="D868" i="41"/>
  <c r="D869" i="41"/>
  <c r="DG280" i="8"/>
  <c r="P1111" i="38"/>
  <c r="AL249" i="8"/>
  <c r="AU250" i="8"/>
  <c r="P1112" i="38"/>
  <c r="P1262" i="38"/>
  <c r="P1368" i="38"/>
  <c r="P1395" i="38"/>
  <c r="H48" i="54"/>
  <c r="M48" i="54"/>
  <c r="AH145" i="8"/>
  <c r="AN299" i="8"/>
  <c r="D874" i="41"/>
  <c r="AZ192" i="58"/>
  <c r="AZ173" i="58"/>
  <c r="P1384" i="41"/>
  <c r="P1377" i="41"/>
  <c r="G898" i="41"/>
  <c r="G896" i="41"/>
  <c r="G899" i="41"/>
  <c r="G897" i="41"/>
  <c r="H857" i="38"/>
  <c r="F847" i="38"/>
  <c r="P1279" i="41"/>
  <c r="P1207" i="41"/>
  <c r="P1178" i="41"/>
  <c r="P1235" i="41"/>
  <c r="P1248" i="41"/>
  <c r="P1179" i="41"/>
  <c r="AZ189" i="58"/>
  <c r="AZ170" i="58"/>
  <c r="AZ191" i="58"/>
  <c r="AZ172" i="58"/>
  <c r="G874" i="38"/>
  <c r="G875" i="38"/>
  <c r="D881" i="38"/>
  <c r="J848" i="38"/>
  <c r="BD307" i="8"/>
  <c r="DD315" i="8"/>
  <c r="J846" i="38"/>
  <c r="J849" i="38"/>
  <c r="D860" i="38"/>
  <c r="E21" i="54"/>
  <c r="F21" i="54"/>
  <c r="E56" i="54"/>
  <c r="BD306" i="8"/>
  <c r="D859" i="41"/>
  <c r="D861" i="41"/>
  <c r="D863" i="41"/>
  <c r="AZ154" i="58"/>
  <c r="AZ131" i="58"/>
  <c r="AM148" i="8"/>
  <c r="AM147" i="8"/>
  <c r="AM151" i="8"/>
  <c r="AZ157" i="58"/>
  <c r="AZ134" i="58"/>
  <c r="AZ158" i="58"/>
  <c r="AZ135" i="58"/>
  <c r="AU237" i="8"/>
  <c r="E846" i="38"/>
  <c r="P1098" i="38"/>
  <c r="D32" i="68"/>
  <c r="M872" i="38"/>
  <c r="M873" i="38"/>
  <c r="D874" i="38"/>
  <c r="D875" i="38"/>
  <c r="D880" i="38"/>
  <c r="M871" i="38"/>
  <c r="AZ169" i="58"/>
  <c r="AZ188" i="58"/>
  <c r="D860" i="41"/>
  <c r="D862" i="41"/>
  <c r="AZ155" i="58"/>
  <c r="AZ132" i="58"/>
  <c r="AM185" i="8"/>
  <c r="AM188" i="8"/>
  <c r="AM184" i="8"/>
  <c r="G257" i="38"/>
  <c r="G256" i="38"/>
  <c r="E302" i="38"/>
  <c r="F302" i="38"/>
  <c r="I1243" i="38"/>
  <c r="I1349" i="38"/>
  <c r="I1168" i="38"/>
  <c r="I1404" i="38"/>
  <c r="P1106" i="38"/>
  <c r="AF252" i="8"/>
  <c r="E1164" i="41"/>
  <c r="D153" i="68"/>
  <c r="M14" i="54"/>
  <c r="M979" i="38"/>
  <c r="N979" i="38"/>
  <c r="N1039" i="41"/>
  <c r="H75" i="55"/>
  <c r="H77" i="55"/>
  <c r="H73" i="55"/>
  <c r="H74" i="55"/>
  <c r="N15" i="56"/>
  <c r="L15" i="54"/>
  <c r="R979" i="38"/>
  <c r="S979" i="38"/>
  <c r="E1484" i="41"/>
  <c r="L1484" i="41"/>
  <c r="K1484" i="41"/>
  <c r="G1484" i="41"/>
  <c r="I1484" i="41"/>
  <c r="CF65" i="58"/>
  <c r="DD65" i="58"/>
  <c r="F291" i="41"/>
  <c r="CF64" i="58"/>
  <c r="DD64" i="58"/>
  <c r="Q1039" i="41"/>
  <c r="R1039" i="41"/>
  <c r="BP83" i="8"/>
  <c r="BP73" i="8"/>
  <c r="AN298" i="8"/>
  <c r="H49" i="55"/>
  <c r="D155" i="41"/>
  <c r="D156" i="41"/>
  <c r="I14" i="56"/>
  <c r="J14" i="56"/>
  <c r="D164" i="38"/>
  <c r="D165" i="38"/>
  <c r="D166" i="38"/>
  <c r="I14" i="54"/>
  <c r="J14" i="54"/>
  <c r="E223" i="38"/>
  <c r="E198" i="38"/>
  <c r="BG35" i="8"/>
  <c r="K1508" i="41"/>
  <c r="H1508" i="41"/>
  <c r="L1046" i="41"/>
  <c r="M28" i="56"/>
  <c r="N28" i="56"/>
  <c r="F63" i="56"/>
  <c r="K1046" i="41"/>
  <c r="P1046" i="41"/>
  <c r="G1508" i="41"/>
  <c r="D1508" i="41"/>
  <c r="E1508" i="41"/>
  <c r="F225" i="38"/>
  <c r="H200" i="38"/>
  <c r="H231" i="38"/>
  <c r="E206" i="38"/>
  <c r="E247" i="38"/>
  <c r="BX48" i="58"/>
  <c r="F1024" i="41"/>
  <c r="BX47" i="58"/>
  <c r="F1023" i="41"/>
  <c r="D156" i="38"/>
  <c r="I190" i="41"/>
  <c r="H201" i="41"/>
  <c r="D216" i="38"/>
  <c r="D217" i="38"/>
  <c r="D212" i="38"/>
  <c r="E28" i="54"/>
  <c r="F28" i="54"/>
  <c r="E63" i="54"/>
  <c r="CB54" i="58"/>
  <c r="BX57" i="58"/>
  <c r="H47" i="55"/>
  <c r="D152" i="41"/>
  <c r="D153" i="41"/>
  <c r="E14" i="56"/>
  <c r="F14" i="56"/>
  <c r="E49" i="56"/>
  <c r="D161" i="38"/>
  <c r="D162" i="38"/>
  <c r="D163" i="38"/>
  <c r="E14" i="54"/>
  <c r="F14" i="54"/>
  <c r="E49" i="54"/>
  <c r="G212" i="41"/>
  <c r="G188" i="41"/>
  <c r="G189" i="41"/>
  <c r="AZ95" i="8"/>
  <c r="P1470" i="41"/>
  <c r="P1473" i="41"/>
  <c r="D867" i="41"/>
  <c r="P1170" i="38"/>
  <c r="P1183" i="38"/>
  <c r="P1175" i="38"/>
  <c r="P1188" i="38"/>
  <c r="M874" i="38"/>
  <c r="AZ169" i="8"/>
  <c r="AZ187" i="8"/>
  <c r="AM149" i="8"/>
  <c r="AM186" i="8"/>
  <c r="DG278" i="8"/>
  <c r="P1109" i="38"/>
  <c r="D864" i="41"/>
  <c r="AZ157" i="8"/>
  <c r="AZ138" i="8"/>
  <c r="BD314" i="8"/>
  <c r="DD314" i="8"/>
  <c r="P1220" i="41"/>
  <c r="P1211" i="41"/>
  <c r="P1212" i="41"/>
  <c r="AM150" i="8"/>
  <c r="AM187" i="8"/>
  <c r="DG279" i="8"/>
  <c r="P1110" i="38"/>
  <c r="AL251" i="8"/>
  <c r="AU252" i="8"/>
  <c r="J845" i="38"/>
  <c r="DD313" i="8"/>
  <c r="BD305" i="8"/>
  <c r="F881" i="38"/>
  <c r="P1145" i="38"/>
  <c r="P1159" i="38"/>
  <c r="P1305" i="38"/>
  <c r="P1312" i="38"/>
  <c r="P1339" i="38"/>
  <c r="P1309" i="38"/>
  <c r="P1297" i="38"/>
  <c r="P1299" i="38"/>
  <c r="P1310" i="38"/>
  <c r="P1337" i="38"/>
  <c r="P1307" i="38"/>
  <c r="P1334" i="38"/>
  <c r="P1314" i="38"/>
  <c r="P1341" i="38"/>
  <c r="P1301" i="38"/>
  <c r="P1298" i="38"/>
  <c r="P1295" i="38"/>
  <c r="P1142" i="38"/>
  <c r="P1156" i="38"/>
  <c r="P1303" i="38"/>
  <c r="P1330" i="38"/>
  <c r="P1308" i="38"/>
  <c r="P1335" i="38"/>
  <c r="P1304" i="38"/>
  <c r="P1331" i="38"/>
  <c r="P1139" i="38"/>
  <c r="P1306" i="38"/>
  <c r="P1146" i="38"/>
  <c r="P1160" i="38"/>
  <c r="P1300" i="38"/>
  <c r="P1327" i="38"/>
  <c r="P1143" i="38"/>
  <c r="P1157" i="38"/>
  <c r="P1149" i="38"/>
  <c r="P1163" i="38"/>
  <c r="P1311" i="38"/>
  <c r="P1412" i="38"/>
  <c r="P1144" i="38"/>
  <c r="P1302" i="38"/>
  <c r="P1141" i="38"/>
  <c r="P1150" i="38"/>
  <c r="P1313" i="38"/>
  <c r="P1315" i="38"/>
  <c r="AZ134" i="8"/>
  <c r="AZ153" i="8"/>
  <c r="P1280" i="41"/>
  <c r="P1283" i="41"/>
  <c r="P1312" i="41"/>
  <c r="P1418" i="41"/>
  <c r="P1445" i="41"/>
  <c r="AZ172" i="8"/>
  <c r="AZ190" i="8"/>
  <c r="E983" i="38"/>
  <c r="AX205" i="8"/>
  <c r="C891" i="38"/>
  <c r="D882" i="38"/>
  <c r="F891" i="38"/>
  <c r="G886" i="38"/>
  <c r="F892" i="38"/>
  <c r="C892" i="38"/>
  <c r="E882" i="38"/>
  <c r="F880" i="38"/>
  <c r="I891" i="38"/>
  <c r="AZ168" i="8"/>
  <c r="AZ186" i="8"/>
  <c r="AZ154" i="8"/>
  <c r="AZ135" i="8"/>
  <c r="D873" i="41"/>
  <c r="D875" i="41"/>
  <c r="D878" i="41"/>
  <c r="D879" i="41"/>
  <c r="D881" i="41"/>
  <c r="D880" i="41"/>
  <c r="P1378" i="41"/>
  <c r="C207" i="68"/>
  <c r="T93" i="53"/>
  <c r="BP64" i="8"/>
  <c r="E301" i="38"/>
  <c r="I302" i="38"/>
  <c r="E16" i="54"/>
  <c r="F16" i="54"/>
  <c r="BY71" i="8"/>
  <c r="E308" i="38"/>
  <c r="I1407" i="38"/>
  <c r="I1408" i="38"/>
  <c r="I1406" i="38"/>
  <c r="P1243" i="38"/>
  <c r="P1349" i="38"/>
  <c r="P1404" i="38"/>
  <c r="P1168" i="38"/>
  <c r="S1039" i="41"/>
  <c r="O979" i="38"/>
  <c r="D62" i="75"/>
  <c r="D128" i="68"/>
  <c r="N14" i="54"/>
  <c r="D1511" i="41"/>
  <c r="F1511" i="41"/>
  <c r="P1511" i="41"/>
  <c r="G1511" i="41"/>
  <c r="J50" i="54"/>
  <c r="D284" i="38"/>
  <c r="K1511" i="41"/>
  <c r="H1511" i="41"/>
  <c r="T979" i="38"/>
  <c r="H78" i="55"/>
  <c r="D284" i="41"/>
  <c r="D285" i="41"/>
  <c r="I15" i="56"/>
  <c r="D292" i="38"/>
  <c r="D293" i="38"/>
  <c r="D294" i="38"/>
  <c r="I15" i="54"/>
  <c r="F308" i="38"/>
  <c r="CF65" i="8"/>
  <c r="F301" i="38"/>
  <c r="H76" i="55"/>
  <c r="D289" i="38"/>
  <c r="D290" i="38"/>
  <c r="D291" i="38"/>
  <c r="E15" i="54"/>
  <c r="D281" i="41"/>
  <c r="D282" i="41"/>
  <c r="E15" i="56"/>
  <c r="E300" i="38"/>
  <c r="BP63" i="8"/>
  <c r="O1039" i="41"/>
  <c r="O1511" i="41"/>
  <c r="E1210" i="41"/>
  <c r="E1223" i="41"/>
  <c r="D137" i="68"/>
  <c r="E1374" i="41"/>
  <c r="E1401" i="41"/>
  <c r="M1046" i="41"/>
  <c r="N1046" i="41"/>
  <c r="O1046" i="41"/>
  <c r="D147" i="41"/>
  <c r="D149" i="41"/>
  <c r="D150" i="41"/>
  <c r="D148" i="41"/>
  <c r="G14" i="56"/>
  <c r="H14" i="56"/>
  <c r="F49" i="56"/>
  <c r="M49" i="56"/>
  <c r="H49" i="56"/>
  <c r="I1508" i="41"/>
  <c r="J1508" i="41"/>
  <c r="Q1508" i="41"/>
  <c r="D158" i="38"/>
  <c r="G14" i="54"/>
  <c r="H14" i="54"/>
  <c r="F49" i="54"/>
  <c r="D157" i="38"/>
  <c r="D159" i="38"/>
  <c r="D160" i="38"/>
  <c r="F200" i="38"/>
  <c r="F231" i="38"/>
  <c r="F224" i="38"/>
  <c r="G225" i="38"/>
  <c r="O28" i="56"/>
  <c r="E1121" i="41"/>
  <c r="H200" i="41"/>
  <c r="H202" i="41"/>
  <c r="R1046" i="41"/>
  <c r="Q1046" i="41"/>
  <c r="S1046" i="41"/>
  <c r="I247" i="38"/>
  <c r="E248" i="38"/>
  <c r="E250" i="38"/>
  <c r="E987" i="38"/>
  <c r="H206" i="38"/>
  <c r="BP33" i="8"/>
  <c r="D1420" i="38"/>
  <c r="D219" i="38"/>
  <c r="I28" i="54"/>
  <c r="J28" i="54"/>
  <c r="D215" i="38"/>
  <c r="G28" i="54"/>
  <c r="H28" i="54"/>
  <c r="H286" i="55"/>
  <c r="W24" i="55"/>
  <c r="H49" i="54"/>
  <c r="M49" i="54"/>
  <c r="F1508" i="41"/>
  <c r="P1508" i="41"/>
  <c r="P1474" i="41"/>
  <c r="C893" i="38"/>
  <c r="F893" i="38"/>
  <c r="G891" i="38"/>
  <c r="D897" i="38"/>
  <c r="G887" i="38"/>
  <c r="F828" i="41"/>
  <c r="H838" i="41"/>
  <c r="H839" i="41"/>
  <c r="BD304" i="8"/>
  <c r="DD312" i="8"/>
  <c r="AZ170" i="8"/>
  <c r="AZ188" i="8"/>
  <c r="J896" i="41"/>
  <c r="I886" i="38"/>
  <c r="AX204" i="8"/>
  <c r="AX203" i="8"/>
  <c r="DL133" i="8"/>
  <c r="AZ155" i="8"/>
  <c r="AZ136" i="8"/>
  <c r="P1148" i="38"/>
  <c r="J898" i="41"/>
  <c r="P1218" i="38"/>
  <c r="P1172" i="38"/>
  <c r="P1185" i="38"/>
  <c r="J897" i="41"/>
  <c r="P1324" i="38"/>
  <c r="P1317" i="38"/>
  <c r="AZ171" i="8"/>
  <c r="AZ189" i="8"/>
  <c r="P1155" i="38"/>
  <c r="P1147" i="38"/>
  <c r="D838" i="41"/>
  <c r="P1214" i="38"/>
  <c r="P1114" i="38"/>
  <c r="P1171" i="38"/>
  <c r="P1184" i="38"/>
  <c r="DL124" i="8"/>
  <c r="I1098" i="38"/>
  <c r="DG320" i="8"/>
  <c r="D42" i="68"/>
  <c r="DD322" i="8"/>
  <c r="P1115" i="38"/>
  <c r="J899" i="41"/>
  <c r="AZ156" i="8"/>
  <c r="AZ137" i="8"/>
  <c r="E51" i="54"/>
  <c r="I1410" i="38"/>
  <c r="P1407" i="38"/>
  <c r="P1406" i="38"/>
  <c r="P1408" i="38"/>
  <c r="J15" i="54"/>
  <c r="D277" i="41"/>
  <c r="G15" i="56"/>
  <c r="D276" i="41"/>
  <c r="D278" i="41"/>
  <c r="D279" i="41"/>
  <c r="CF64" i="8"/>
  <c r="DD64" i="8"/>
  <c r="F300" i="38"/>
  <c r="CF63" i="8"/>
  <c r="DD63" i="8"/>
  <c r="J15" i="56"/>
  <c r="D286" i="38"/>
  <c r="G15" i="54"/>
  <c r="D285" i="38"/>
  <c r="D287" i="38"/>
  <c r="D288" i="38"/>
  <c r="E1511" i="41"/>
  <c r="T68" i="53"/>
  <c r="DD73" i="8"/>
  <c r="DD65" i="8"/>
  <c r="F15" i="54"/>
  <c r="F15" i="56"/>
  <c r="I1511" i="41"/>
  <c r="J1511" i="41"/>
  <c r="Q1511" i="41"/>
  <c r="F223" i="38"/>
  <c r="F198" i="38"/>
  <c r="F199" i="38"/>
  <c r="H204" i="41"/>
  <c r="H203" i="41"/>
  <c r="H205" i="41"/>
  <c r="K1420" i="38"/>
  <c r="F1420" i="38"/>
  <c r="G1420" i="38"/>
  <c r="E1420" i="38"/>
  <c r="O1447" i="38"/>
  <c r="H1420" i="38"/>
  <c r="I1420" i="38"/>
  <c r="DL65" i="8"/>
  <c r="BP32" i="8"/>
  <c r="BP31" i="8"/>
  <c r="F987" i="38"/>
  <c r="G987" i="38"/>
  <c r="DL56" i="8"/>
  <c r="I987" i="38"/>
  <c r="J987" i="38"/>
  <c r="K987" i="38"/>
  <c r="P987" i="38"/>
  <c r="P28" i="56"/>
  <c r="O32" i="56"/>
  <c r="G224" i="38"/>
  <c r="G231" i="38"/>
  <c r="G200" i="38"/>
  <c r="H63" i="54"/>
  <c r="M63" i="54"/>
  <c r="BX45" i="8"/>
  <c r="F966" i="38"/>
  <c r="F206" i="38"/>
  <c r="H891" i="38"/>
  <c r="D898" i="38"/>
  <c r="H845" i="38"/>
  <c r="BK265" i="8"/>
  <c r="I1412" i="38"/>
  <c r="J900" i="41"/>
  <c r="J901" i="41"/>
  <c r="F833" i="41"/>
  <c r="E914" i="41"/>
  <c r="G885" i="41"/>
  <c r="H895" i="41"/>
  <c r="G833" i="41"/>
  <c r="AW234" i="58"/>
  <c r="C91" i="68"/>
  <c r="S93" i="53"/>
  <c r="P1318" i="38"/>
  <c r="E897" i="38"/>
  <c r="H897" i="38"/>
  <c r="G849" i="38"/>
  <c r="I1314" i="38"/>
  <c r="I1341" i="38"/>
  <c r="I1146" i="38"/>
  <c r="I1160" i="38"/>
  <c r="D26" i="68"/>
  <c r="I1149" i="38"/>
  <c r="I1163" i="38"/>
  <c r="I1139" i="38"/>
  <c r="I1298" i="38"/>
  <c r="I1295" i="38"/>
  <c r="G828" i="41"/>
  <c r="H840" i="41"/>
  <c r="K828" i="41"/>
  <c r="I828" i="41"/>
  <c r="I833" i="41"/>
  <c r="F827" i="41"/>
  <c r="J828" i="41"/>
  <c r="E909" i="41"/>
  <c r="H828" i="41"/>
  <c r="BB244" i="58"/>
  <c r="G901" i="41"/>
  <c r="F829" i="41"/>
  <c r="H841" i="41"/>
  <c r="K21" i="56"/>
  <c r="L21" i="56"/>
  <c r="J56" i="56"/>
  <c r="H267" i="55"/>
  <c r="AW258" i="58"/>
  <c r="E1115" i="41"/>
  <c r="P1219" i="38"/>
  <c r="P1222" i="38"/>
  <c r="P1252" i="38"/>
  <c r="P1358" i="38"/>
  <c r="P1385" i="38"/>
  <c r="D17" i="68"/>
  <c r="S71" i="53"/>
  <c r="D61" i="74"/>
  <c r="G845" i="38"/>
  <c r="I1413" i="38"/>
  <c r="I1414" i="38"/>
  <c r="P1410" i="38"/>
  <c r="P1414" i="38"/>
  <c r="H15" i="54"/>
  <c r="M50" i="56"/>
  <c r="H50" i="56"/>
  <c r="H15" i="56"/>
  <c r="E50" i="54"/>
  <c r="E50" i="56"/>
  <c r="D39" i="68"/>
  <c r="E1098" i="38"/>
  <c r="D14" i="68"/>
  <c r="D58" i="74"/>
  <c r="M50" i="54"/>
  <c r="H50" i="54"/>
  <c r="L987" i="38"/>
  <c r="R987" i="38"/>
  <c r="T987" i="38"/>
  <c r="S987" i="38"/>
  <c r="G223" i="38"/>
  <c r="G198" i="38"/>
  <c r="G199" i="38"/>
  <c r="M987" i="38"/>
  <c r="N987" i="38"/>
  <c r="O987" i="38"/>
  <c r="M28" i="54"/>
  <c r="N28" i="54"/>
  <c r="F63" i="54"/>
  <c r="K1447" i="38"/>
  <c r="H1447" i="38"/>
  <c r="D1447" i="38"/>
  <c r="F1447" i="38"/>
  <c r="P1447" i="38"/>
  <c r="G1447" i="38"/>
  <c r="F965" i="38"/>
  <c r="BX44" i="8"/>
  <c r="BX53" i="8"/>
  <c r="CB50" i="8"/>
  <c r="G206" i="38"/>
  <c r="I206" i="38"/>
  <c r="H212" i="38"/>
  <c r="I200" i="38"/>
  <c r="P32" i="56"/>
  <c r="D1194" i="41"/>
  <c r="L63" i="56"/>
  <c r="BX43" i="8"/>
  <c r="F964" i="38"/>
  <c r="D899" i="38"/>
  <c r="H846" i="38"/>
  <c r="E907" i="38"/>
  <c r="E906" i="38"/>
  <c r="G906" i="38"/>
  <c r="F898" i="38"/>
  <c r="J898" i="38"/>
  <c r="BB248" i="58"/>
  <c r="BB252" i="58"/>
  <c r="E924" i="38"/>
  <c r="J833" i="41"/>
  <c r="J827" i="41"/>
  <c r="F935" i="41"/>
  <c r="I949" i="41"/>
  <c r="J829" i="41"/>
  <c r="G935" i="41"/>
  <c r="BK271" i="8"/>
  <c r="K833" i="41"/>
  <c r="I914" i="41"/>
  <c r="DD319" i="58"/>
  <c r="K827" i="41"/>
  <c r="I909" i="41"/>
  <c r="DD315" i="58"/>
  <c r="K829" i="41"/>
  <c r="I910" i="41"/>
  <c r="DD316" i="58"/>
  <c r="BL172" i="8"/>
  <c r="E920" i="38"/>
  <c r="H156" i="55"/>
  <c r="G846" i="38"/>
  <c r="I845" i="38"/>
  <c r="E910" i="41"/>
  <c r="BB245" i="58"/>
  <c r="D870" i="41"/>
  <c r="I897" i="38"/>
  <c r="G852" i="38"/>
  <c r="F897" i="38"/>
  <c r="E899" i="38"/>
  <c r="G847" i="38"/>
  <c r="G897" i="38"/>
  <c r="G848" i="38"/>
  <c r="BK267" i="8"/>
  <c r="H833" i="41"/>
  <c r="H827" i="41"/>
  <c r="H826" i="41"/>
  <c r="D933" i="41"/>
  <c r="F933" i="41"/>
  <c r="H829" i="41"/>
  <c r="G933" i="41"/>
  <c r="E1042" i="41"/>
  <c r="AW230" i="58"/>
  <c r="DM125" i="58"/>
  <c r="F826" i="41"/>
  <c r="E908" i="41"/>
  <c r="D929" i="41"/>
  <c r="E22" i="56"/>
  <c r="F22" i="56"/>
  <c r="BB243" i="58"/>
  <c r="I827" i="41"/>
  <c r="I826" i="41"/>
  <c r="F934" i="41"/>
  <c r="I829" i="41"/>
  <c r="G934" i="41"/>
  <c r="G829" i="41"/>
  <c r="F885" i="41"/>
  <c r="BB263" i="58"/>
  <c r="BK268" i="8"/>
  <c r="F910" i="38"/>
  <c r="P1413" i="38"/>
  <c r="E1314" i="38"/>
  <c r="E1341" i="38"/>
  <c r="E1146" i="38"/>
  <c r="E1160" i="38"/>
  <c r="D23" i="68"/>
  <c r="E1298" i="38"/>
  <c r="F50" i="56"/>
  <c r="S68" i="53"/>
  <c r="F50" i="54"/>
  <c r="E1447" i="38"/>
  <c r="D865" i="38"/>
  <c r="I22" i="54"/>
  <c r="J22" i="54"/>
  <c r="BK266" i="8"/>
  <c r="O28" i="54"/>
  <c r="E1059" i="38"/>
  <c r="H211" i="38"/>
  <c r="H213" i="38"/>
  <c r="J1447" i="38"/>
  <c r="Q1447" i="38"/>
  <c r="I1447" i="38"/>
  <c r="F906" i="38"/>
  <c r="F907" i="38"/>
  <c r="H851" i="38"/>
  <c r="BK270" i="8"/>
  <c r="BK273" i="8"/>
  <c r="F908" i="38"/>
  <c r="H644" i="38"/>
  <c r="I644" i="38"/>
  <c r="BT260" i="8"/>
  <c r="G907" i="38"/>
  <c r="DM134" i="58"/>
  <c r="AW229" i="58"/>
  <c r="AW228" i="58"/>
  <c r="BN242" i="8"/>
  <c r="I948" i="41"/>
  <c r="H942" i="41"/>
  <c r="BL175" i="8"/>
  <c r="E923" i="38"/>
  <c r="I848" i="38"/>
  <c r="BD236" i="8"/>
  <c r="DD323" i="58"/>
  <c r="DH320" i="58"/>
  <c r="I1164" i="41"/>
  <c r="D156" i="68"/>
  <c r="D934" i="41"/>
  <c r="G941" i="41"/>
  <c r="G947" i="41"/>
  <c r="H947" i="41"/>
  <c r="D846" i="41"/>
  <c r="E21" i="56"/>
  <c r="F21" i="56"/>
  <c r="E56" i="56"/>
  <c r="H941" i="41"/>
  <c r="F936" i="41"/>
  <c r="I947" i="41"/>
  <c r="E922" i="38"/>
  <c r="BL174" i="8"/>
  <c r="I847" i="38"/>
  <c r="BD235" i="8"/>
  <c r="BD254" i="8"/>
  <c r="F848" i="38"/>
  <c r="F852" i="38"/>
  <c r="F849" i="38"/>
  <c r="I908" i="41"/>
  <c r="DD314" i="58"/>
  <c r="K826" i="41"/>
  <c r="I907" i="41"/>
  <c r="DD313" i="58"/>
  <c r="J826" i="41"/>
  <c r="D842" i="41"/>
  <c r="D843" i="41"/>
  <c r="AW231" i="58"/>
  <c r="H1042" i="41"/>
  <c r="I1042" i="41"/>
  <c r="J1042" i="41"/>
  <c r="K1042" i="41"/>
  <c r="P1042" i="41"/>
  <c r="F1042" i="41"/>
  <c r="G1042" i="41"/>
  <c r="C947" i="41"/>
  <c r="F947" i="41"/>
  <c r="H260" i="55"/>
  <c r="F909" i="38"/>
  <c r="E57" i="56"/>
  <c r="BE233" i="58"/>
  <c r="G851" i="38"/>
  <c r="J897" i="38"/>
  <c r="H256" i="55"/>
  <c r="BD233" i="8"/>
  <c r="F913" i="38"/>
  <c r="I849" i="38"/>
  <c r="E907" i="41"/>
  <c r="D923" i="41"/>
  <c r="G22" i="56"/>
  <c r="H22" i="56"/>
  <c r="BB242" i="58"/>
  <c r="E927" i="38"/>
  <c r="F927" i="38"/>
  <c r="BL178" i="8"/>
  <c r="E921" i="38"/>
  <c r="D936" i="38"/>
  <c r="I846" i="38"/>
  <c r="BL173" i="8"/>
  <c r="BK275" i="8"/>
  <c r="BD242" i="8"/>
  <c r="H215" i="38"/>
  <c r="H214" i="38"/>
  <c r="H216" i="38"/>
  <c r="F362" i="38"/>
  <c r="I362" i="38"/>
  <c r="J396" i="38"/>
  <c r="O32" i="54"/>
  <c r="P28" i="54"/>
  <c r="E912" i="38"/>
  <c r="F912" i="38"/>
  <c r="H850" i="38"/>
  <c r="E911" i="38"/>
  <c r="BK284" i="8"/>
  <c r="BY177" i="8"/>
  <c r="G971" i="38"/>
  <c r="E241" i="38"/>
  <c r="Q1042" i="41"/>
  <c r="S1042" i="41"/>
  <c r="R1042" i="41"/>
  <c r="K941" i="41"/>
  <c r="J947" i="41"/>
  <c r="K947" i="41"/>
  <c r="I941" i="41"/>
  <c r="F57" i="56"/>
  <c r="BE234" i="58"/>
  <c r="G850" i="38"/>
  <c r="E926" i="38"/>
  <c r="BL177" i="8"/>
  <c r="BL180" i="8"/>
  <c r="BL191" i="8"/>
  <c r="F948" i="41"/>
  <c r="C948" i="41"/>
  <c r="H645" i="38"/>
  <c r="I645" i="38"/>
  <c r="BT196" i="8"/>
  <c r="BT261" i="8"/>
  <c r="I851" i="38"/>
  <c r="BD234" i="8"/>
  <c r="D868" i="38"/>
  <c r="E22" i="54"/>
  <c r="F22" i="54"/>
  <c r="D954" i="41"/>
  <c r="D935" i="41"/>
  <c r="D841" i="41"/>
  <c r="G21" i="56"/>
  <c r="H21" i="56"/>
  <c r="D938" i="38"/>
  <c r="D945" i="38"/>
  <c r="D932" i="38"/>
  <c r="AX209" i="8"/>
  <c r="F983" i="38"/>
  <c r="BN243" i="8"/>
  <c r="F363" i="38"/>
  <c r="I363" i="38"/>
  <c r="D131" i="68"/>
  <c r="T71" i="53"/>
  <c r="D65" i="75"/>
  <c r="H129" i="55"/>
  <c r="BT195" i="8"/>
  <c r="BT204" i="8"/>
  <c r="BZ225" i="8"/>
  <c r="I852" i="38"/>
  <c r="BD239" i="8"/>
  <c r="BD243" i="8"/>
  <c r="F369" i="38"/>
  <c r="BN248" i="8"/>
  <c r="BN245" i="8"/>
  <c r="F365" i="38"/>
  <c r="L1042" i="41"/>
  <c r="J941" i="41"/>
  <c r="J407" i="38"/>
  <c r="F364" i="38"/>
  <c r="BN244" i="8"/>
  <c r="K942" i="41"/>
  <c r="J948" i="41"/>
  <c r="K948" i="41"/>
  <c r="H57" i="54"/>
  <c r="BG216" i="8"/>
  <c r="M57" i="54"/>
  <c r="H983" i="38"/>
  <c r="I983" i="38"/>
  <c r="J983" i="38"/>
  <c r="AX206" i="8"/>
  <c r="BL182" i="8"/>
  <c r="BL190" i="8"/>
  <c r="BT266" i="8"/>
  <c r="BT263" i="8"/>
  <c r="I1213" i="41"/>
  <c r="I1209" i="41"/>
  <c r="I1222" i="41"/>
  <c r="I1210" i="41"/>
  <c r="I1223" i="41"/>
  <c r="D140" i="68"/>
  <c r="I1374" i="41"/>
  <c r="I1401" i="41"/>
  <c r="J942" i="41"/>
  <c r="BT262" i="8"/>
  <c r="H185" i="55"/>
  <c r="C42" i="74"/>
  <c r="G912" i="38"/>
  <c r="BK124" i="8"/>
  <c r="BK134" i="8"/>
  <c r="P32" i="54"/>
  <c r="D1130" i="38"/>
  <c r="L63" i="54"/>
  <c r="BK269" i="8"/>
  <c r="E955" i="41"/>
  <c r="G955" i="41"/>
  <c r="G910" i="41"/>
  <c r="G983" i="38"/>
  <c r="BT270" i="8"/>
  <c r="BT278" i="8"/>
  <c r="E954" i="41"/>
  <c r="G954" i="41"/>
  <c r="M1042" i="41"/>
  <c r="N1042" i="41"/>
  <c r="O1042" i="41"/>
  <c r="M21" i="56"/>
  <c r="N21" i="56"/>
  <c r="F56" i="56"/>
  <c r="D1487" i="41"/>
  <c r="E57" i="54"/>
  <c r="BG214" i="8"/>
  <c r="K983" i="38"/>
  <c r="P983" i="38"/>
  <c r="L983" i="38"/>
  <c r="I364" i="38"/>
  <c r="I371" i="38"/>
  <c r="C16" i="65"/>
  <c r="BN247" i="8"/>
  <c r="BN250" i="8"/>
  <c r="F368" i="38"/>
  <c r="D933" i="38"/>
  <c r="BD238" i="8"/>
  <c r="BD241" i="8"/>
  <c r="I850" i="38"/>
  <c r="BD237" i="8"/>
  <c r="F907" i="41"/>
  <c r="BT265" i="8"/>
  <c r="BT268" i="8"/>
  <c r="H650" i="38"/>
  <c r="E956" i="41"/>
  <c r="G956" i="41"/>
  <c r="H910" i="41"/>
  <c r="BD255" i="8"/>
  <c r="DG321" i="8"/>
  <c r="BK125" i="8"/>
  <c r="BN252" i="8"/>
  <c r="BN260" i="8"/>
  <c r="D1427" i="38"/>
  <c r="D942" i="38"/>
  <c r="D940" i="38"/>
  <c r="D939" i="38"/>
  <c r="D943" i="38"/>
  <c r="BL176" i="8"/>
  <c r="E925" i="38"/>
  <c r="BK283" i="8"/>
  <c r="G942" i="41"/>
  <c r="F949" i="41"/>
  <c r="C949" i="41"/>
  <c r="C950" i="41"/>
  <c r="D936" i="41"/>
  <c r="F911" i="38"/>
  <c r="G911" i="38"/>
  <c r="BY179" i="8"/>
  <c r="M955" i="41"/>
  <c r="G909" i="41"/>
  <c r="BI247" i="58"/>
  <c r="BM252" i="58"/>
  <c r="H955" i="41"/>
  <c r="K955" i="41"/>
  <c r="L955" i="41"/>
  <c r="F909" i="41"/>
  <c r="BI174" i="58"/>
  <c r="BI193" i="58"/>
  <c r="H954" i="41"/>
  <c r="F914" i="41"/>
  <c r="I653" i="38"/>
  <c r="BT198" i="8"/>
  <c r="I369" i="38"/>
  <c r="D414" i="38"/>
  <c r="F910" i="41"/>
  <c r="BI175" i="58"/>
  <c r="L954" i="41"/>
  <c r="M954" i="41"/>
  <c r="E957" i="41"/>
  <c r="F954" i="41"/>
  <c r="I954" i="41"/>
  <c r="BT201" i="8"/>
  <c r="D681" i="38"/>
  <c r="I366" i="38"/>
  <c r="BK126" i="8"/>
  <c r="D393" i="38"/>
  <c r="I368" i="38"/>
  <c r="D402" i="38"/>
  <c r="D1426" i="38"/>
  <c r="M21" i="54"/>
  <c r="N21" i="54"/>
  <c r="F56" i="54"/>
  <c r="D679" i="38"/>
  <c r="I650" i="38"/>
  <c r="BT197" i="8"/>
  <c r="D934" i="38"/>
  <c r="D947" i="38"/>
  <c r="R983" i="38"/>
  <c r="T983" i="38"/>
  <c r="S983" i="38"/>
  <c r="H1487" i="41"/>
  <c r="J1487" i="41"/>
  <c r="G1487" i="41"/>
  <c r="I1487" i="41"/>
  <c r="E1487" i="41"/>
  <c r="K1487" i="41"/>
  <c r="F1487" i="41"/>
  <c r="M1487" i="41"/>
  <c r="BT264" i="8"/>
  <c r="H649" i="38"/>
  <c r="F367" i="38"/>
  <c r="BN246" i="8"/>
  <c r="F922" i="38"/>
  <c r="D941" i="38"/>
  <c r="M983" i="38"/>
  <c r="N983" i="38"/>
  <c r="O983" i="38"/>
  <c r="G943" i="41"/>
  <c r="G948" i="41"/>
  <c r="I942" i="41"/>
  <c r="L1427" i="38"/>
  <c r="E1427" i="38"/>
  <c r="O1454" i="38"/>
  <c r="G1427" i="38"/>
  <c r="K1427" i="38"/>
  <c r="I1427" i="38"/>
  <c r="E968" i="41"/>
  <c r="BL275" i="58"/>
  <c r="E979" i="41"/>
  <c r="H169" i="55"/>
  <c r="F908" i="41"/>
  <c r="BI172" i="58"/>
  <c r="G50" i="65"/>
  <c r="G51" i="65"/>
  <c r="H51" i="65"/>
  <c r="D50" i="65"/>
  <c r="D51" i="65"/>
  <c r="E51" i="65"/>
  <c r="E44" i="65"/>
  <c r="D40" i="65"/>
  <c r="D38" i="65"/>
  <c r="D121" i="65"/>
  <c r="D122" i="65"/>
  <c r="D34" i="65"/>
  <c r="E32" i="65"/>
  <c r="E34" i="65"/>
  <c r="E33" i="65"/>
  <c r="D33" i="65"/>
  <c r="H50" i="65"/>
  <c r="P35" i="65"/>
  <c r="H54" i="65"/>
  <c r="E37" i="65"/>
  <c r="Q32" i="65"/>
  <c r="E40" i="65"/>
  <c r="E43" i="65"/>
  <c r="E41" i="65"/>
  <c r="E52" i="65"/>
  <c r="E42" i="65"/>
  <c r="G54" i="65"/>
  <c r="G55" i="65"/>
  <c r="H55" i="65"/>
  <c r="E35" i="65"/>
  <c r="E38" i="65"/>
  <c r="D36" i="65"/>
  <c r="D44" i="65"/>
  <c r="Q35" i="65"/>
  <c r="D39" i="65"/>
  <c r="D54" i="65"/>
  <c r="D55" i="65"/>
  <c r="E55" i="65"/>
  <c r="D37" i="65"/>
  <c r="D43" i="65"/>
  <c r="P36" i="65"/>
  <c r="Q33" i="65"/>
  <c r="P32" i="65"/>
  <c r="E36" i="65"/>
  <c r="H48" i="65"/>
  <c r="P33" i="65"/>
  <c r="H52" i="65"/>
  <c r="E50" i="65"/>
  <c r="E54" i="65"/>
  <c r="D35" i="65"/>
  <c r="D52" i="65"/>
  <c r="D53" i="65"/>
  <c r="E53" i="65"/>
  <c r="G52" i="65"/>
  <c r="G53" i="65"/>
  <c r="H53" i="65"/>
  <c r="D32" i="65"/>
  <c r="D42" i="65"/>
  <c r="P34" i="65"/>
  <c r="Q36" i="65"/>
  <c r="Q34" i="65"/>
  <c r="D41" i="65"/>
  <c r="E48" i="65"/>
  <c r="E39" i="65"/>
  <c r="F950" i="41"/>
  <c r="H956" i="41"/>
  <c r="H914" i="41"/>
  <c r="H909" i="41"/>
  <c r="I365" i="38"/>
  <c r="BK127" i="8"/>
  <c r="BK135" i="8"/>
  <c r="BI248" i="58"/>
  <c r="F314" i="41"/>
  <c r="F313" i="41"/>
  <c r="G914" i="41"/>
  <c r="BI251" i="58"/>
  <c r="BI255" i="58"/>
  <c r="K954" i="41"/>
  <c r="N954" i="41"/>
  <c r="E981" i="41"/>
  <c r="D1004" i="41"/>
  <c r="D1002" i="41"/>
  <c r="F913" i="41"/>
  <c r="BI177" i="58"/>
  <c r="BI180" i="58"/>
  <c r="H58" i="65"/>
  <c r="D672" i="38"/>
  <c r="D673" i="38"/>
  <c r="D674" i="38"/>
  <c r="D675" i="38"/>
  <c r="D676" i="38"/>
  <c r="BK130" i="8"/>
  <c r="J405" i="38"/>
  <c r="BT205" i="8"/>
  <c r="E982" i="41"/>
  <c r="E58" i="65"/>
  <c r="H57" i="65"/>
  <c r="H59" i="65"/>
  <c r="G1426" i="38"/>
  <c r="I1426" i="38"/>
  <c r="K1426" i="38"/>
  <c r="E1426" i="38"/>
  <c r="O1453" i="38"/>
  <c r="F1426" i="38"/>
  <c r="H1426" i="38"/>
  <c r="K1514" i="41"/>
  <c r="H1514" i="41"/>
  <c r="K23" i="54"/>
  <c r="L23" i="54"/>
  <c r="J58" i="54"/>
  <c r="E1052" i="38"/>
  <c r="BO186" i="8"/>
  <c r="H159" i="55"/>
  <c r="O1514" i="41"/>
  <c r="D935" i="38"/>
  <c r="D946" i="38"/>
  <c r="J387" i="38"/>
  <c r="BZ222" i="8"/>
  <c r="H948" i="41"/>
  <c r="D956" i="41"/>
  <c r="D955" i="41"/>
  <c r="G968" i="41"/>
  <c r="F968" i="41"/>
  <c r="J403" i="38"/>
  <c r="D408" i="38"/>
  <c r="BL274" i="58"/>
  <c r="BL292" i="58"/>
  <c r="E967" i="41"/>
  <c r="K1454" i="38"/>
  <c r="H1454" i="38"/>
  <c r="BL278" i="58"/>
  <c r="E972" i="41"/>
  <c r="E59" i="65"/>
  <c r="AI133" i="65"/>
  <c r="AI135" i="65"/>
  <c r="AA133" i="65"/>
  <c r="AA135" i="65"/>
  <c r="AE133" i="65"/>
  <c r="AE135" i="65"/>
  <c r="D133" i="65"/>
  <c r="D135" i="65"/>
  <c r="N133" i="65"/>
  <c r="N135" i="65"/>
  <c r="W133" i="65"/>
  <c r="W135" i="65"/>
  <c r="I133" i="65"/>
  <c r="I135" i="65"/>
  <c r="S133" i="65"/>
  <c r="S134" i="65"/>
  <c r="S136" i="65"/>
  <c r="BT200" i="8"/>
  <c r="BT203" i="8"/>
  <c r="I649" i="38"/>
  <c r="BT199" i="8"/>
  <c r="D394" i="38"/>
  <c r="D395" i="38"/>
  <c r="D1428" i="38"/>
  <c r="D686" i="38"/>
  <c r="G1454" i="38"/>
  <c r="D1454" i="38"/>
  <c r="F1454" i="38"/>
  <c r="P1454" i="38"/>
  <c r="BY173" i="8"/>
  <c r="F921" i="38"/>
  <c r="E237" i="38"/>
  <c r="G966" i="38"/>
  <c r="G1514" i="41"/>
  <c r="D1514" i="41"/>
  <c r="F1514" i="41"/>
  <c r="P1514" i="41"/>
  <c r="D387" i="38"/>
  <c r="E57" i="65"/>
  <c r="BI173" i="58"/>
  <c r="E980" i="41"/>
  <c r="BI178" i="58"/>
  <c r="BI182" i="58"/>
  <c r="E986" i="41"/>
  <c r="BK129" i="8"/>
  <c r="BK133" i="8"/>
  <c r="I367" i="38"/>
  <c r="F318" i="41"/>
  <c r="D1001" i="41"/>
  <c r="E985" i="41"/>
  <c r="F912" i="41"/>
  <c r="E984" i="41"/>
  <c r="D991" i="41"/>
  <c r="D992" i="41"/>
  <c r="D993" i="41"/>
  <c r="D1005" i="41"/>
  <c r="H25" i="65"/>
  <c r="I25" i="65"/>
  <c r="L427" i="38"/>
  <c r="J453" i="38"/>
  <c r="D995" i="41"/>
  <c r="W134" i="65"/>
  <c r="W136" i="65"/>
  <c r="W131" i="65"/>
  <c r="H26" i="65"/>
  <c r="J26" i="65"/>
  <c r="K26" i="65"/>
  <c r="E428" i="38"/>
  <c r="K452" i="38"/>
  <c r="K451" i="38"/>
  <c r="D999" i="41"/>
  <c r="H24" i="65"/>
  <c r="I24" i="65"/>
  <c r="L426" i="38"/>
  <c r="I453" i="38"/>
  <c r="D396" i="38"/>
  <c r="D398" i="38"/>
  <c r="D400" i="38"/>
  <c r="I134" i="65"/>
  <c r="I136" i="65"/>
  <c r="I131" i="65"/>
  <c r="E1454" i="38"/>
  <c r="E1514" i="41"/>
  <c r="F986" i="41"/>
  <c r="D997" i="41"/>
  <c r="D1453" i="38"/>
  <c r="E1453" i="38"/>
  <c r="G1453" i="38"/>
  <c r="D134" i="65"/>
  <c r="D136" i="65"/>
  <c r="D131" i="65"/>
  <c r="I1514" i="41"/>
  <c r="J1514" i="41"/>
  <c r="Q1514" i="41"/>
  <c r="H932" i="38"/>
  <c r="H934" i="38"/>
  <c r="G923" i="38"/>
  <c r="D388" i="38"/>
  <c r="D389" i="38"/>
  <c r="D390" i="38"/>
  <c r="D403" i="38"/>
  <c r="AE134" i="65"/>
  <c r="AE136" i="65"/>
  <c r="AE131" i="65"/>
  <c r="AI134" i="65"/>
  <c r="AI136" i="65"/>
  <c r="AI131" i="65"/>
  <c r="H623" i="41"/>
  <c r="BS274" i="58"/>
  <c r="H1453" i="38"/>
  <c r="K1453" i="38"/>
  <c r="N134" i="65"/>
  <c r="N136" i="65"/>
  <c r="N131" i="65"/>
  <c r="G967" i="41"/>
  <c r="F967" i="41"/>
  <c r="D397" i="38"/>
  <c r="D399" i="38"/>
  <c r="S732" i="38"/>
  <c r="S737" i="38"/>
  <c r="S738" i="38"/>
  <c r="S733" i="38"/>
  <c r="S734" i="38"/>
  <c r="F972" i="41"/>
  <c r="G972" i="41"/>
  <c r="BL282" i="58"/>
  <c r="BM250" i="58"/>
  <c r="BQ151" i="58"/>
  <c r="F362" i="41"/>
  <c r="C15" i="65"/>
  <c r="BK128" i="8"/>
  <c r="H237" i="38"/>
  <c r="H243" i="38"/>
  <c r="E243" i="38"/>
  <c r="J647" i="38"/>
  <c r="BZ218" i="8"/>
  <c r="BZ226" i="8"/>
  <c r="J645" i="38"/>
  <c r="I1454" i="38"/>
  <c r="J1454" i="38"/>
  <c r="Q1454" i="38"/>
  <c r="G907" i="41"/>
  <c r="F955" i="41"/>
  <c r="D957" i="41"/>
  <c r="H160" i="55"/>
  <c r="H161" i="55"/>
  <c r="D948" i="38"/>
  <c r="H164" i="55"/>
  <c r="D956" i="38"/>
  <c r="D957" i="38"/>
  <c r="D958" i="38"/>
  <c r="I23" i="54"/>
  <c r="J23" i="54"/>
  <c r="H162" i="55"/>
  <c r="D953" i="38"/>
  <c r="D954" i="38"/>
  <c r="D955" i="38"/>
  <c r="E23" i="54"/>
  <c r="F23" i="54"/>
  <c r="E58" i="54"/>
  <c r="CC178" i="8"/>
  <c r="BY181" i="8"/>
  <c r="D411" i="38"/>
  <c r="J388" i="38"/>
  <c r="J389" i="38"/>
  <c r="K430" i="38"/>
  <c r="K428" i="38"/>
  <c r="BY172" i="8"/>
  <c r="G965" i="38"/>
  <c r="F920" i="38"/>
  <c r="E236" i="38"/>
  <c r="G1428" i="38"/>
  <c r="E1428" i="38"/>
  <c r="O1455" i="38"/>
  <c r="L1428" i="38"/>
  <c r="I1428" i="38"/>
  <c r="K1428" i="38"/>
  <c r="S135" i="65"/>
  <c r="S131" i="65"/>
  <c r="AA134" i="65"/>
  <c r="AA136" i="65"/>
  <c r="AA131" i="65"/>
  <c r="D684" i="38"/>
  <c r="D677" i="38"/>
  <c r="H907" i="41"/>
  <c r="F956" i="41"/>
  <c r="D657" i="38"/>
  <c r="BI176" i="58"/>
  <c r="J25" i="65"/>
  <c r="K25" i="65"/>
  <c r="E427" i="38"/>
  <c r="J452" i="38"/>
  <c r="J451" i="38"/>
  <c r="W132" i="65"/>
  <c r="I26" i="65"/>
  <c r="L428" i="38"/>
  <c r="K453" i="38"/>
  <c r="M369" i="38"/>
  <c r="H495" i="38"/>
  <c r="J24" i="65"/>
  <c r="K24" i="65"/>
  <c r="E426" i="38"/>
  <c r="I452" i="38"/>
  <c r="I451" i="38"/>
  <c r="D401" i="38"/>
  <c r="D998" i="41"/>
  <c r="D1000" i="41"/>
  <c r="D1006" i="41"/>
  <c r="D994" i="41"/>
  <c r="J390" i="38"/>
  <c r="J397" i="38"/>
  <c r="F448" i="38"/>
  <c r="F237" i="38"/>
  <c r="G237" i="38"/>
  <c r="BI191" i="58"/>
  <c r="F1453" i="38"/>
  <c r="P1453" i="38"/>
  <c r="BI192" i="58"/>
  <c r="BM251" i="58"/>
  <c r="M58" i="54"/>
  <c r="H58" i="54"/>
  <c r="D1455" i="38"/>
  <c r="E1455" i="38"/>
  <c r="G1455" i="38"/>
  <c r="D690" i="38"/>
  <c r="E700" i="38"/>
  <c r="N732" i="38"/>
  <c r="BZ219" i="8"/>
  <c r="BL290" i="58"/>
  <c r="BL291" i="58"/>
  <c r="T737" i="38"/>
  <c r="E965" i="41"/>
  <c r="H908" i="41"/>
  <c r="BL272" i="58"/>
  <c r="F311" i="41"/>
  <c r="G908" i="41"/>
  <c r="BI245" i="58"/>
  <c r="BS277" i="58"/>
  <c r="H627" i="41"/>
  <c r="AA132" i="65"/>
  <c r="H933" i="38"/>
  <c r="G927" i="38"/>
  <c r="BP167" i="8"/>
  <c r="G922" i="38"/>
  <c r="H935" i="38"/>
  <c r="G744" i="38"/>
  <c r="D744" i="38"/>
  <c r="D115" i="65"/>
  <c r="T732" i="38"/>
  <c r="D747" i="38"/>
  <c r="J744" i="38"/>
  <c r="H34" i="65"/>
  <c r="H32" i="65"/>
  <c r="H33" i="65"/>
  <c r="H35" i="65"/>
  <c r="H622" i="41"/>
  <c r="BS273" i="58"/>
  <c r="H991" i="41"/>
  <c r="H992" i="41"/>
  <c r="G986" i="41"/>
  <c r="BQ168" i="58"/>
  <c r="H913" i="41"/>
  <c r="I956" i="41"/>
  <c r="I955" i="41"/>
  <c r="G913" i="41"/>
  <c r="H132" i="55"/>
  <c r="K24" i="54"/>
  <c r="L24" i="54"/>
  <c r="J59" i="54"/>
  <c r="BX209" i="8"/>
  <c r="CC223" i="8"/>
  <c r="E1053" i="38"/>
  <c r="D678" i="38"/>
  <c r="D689" i="38"/>
  <c r="H1455" i="38"/>
  <c r="K1455" i="38"/>
  <c r="T734" i="38"/>
  <c r="K437" i="38"/>
  <c r="K805" i="38"/>
  <c r="K436" i="38"/>
  <c r="K427" i="38"/>
  <c r="K438" i="38"/>
  <c r="K425" i="38"/>
  <c r="K804" i="38"/>
  <c r="K424" i="38"/>
  <c r="K439" i="38"/>
  <c r="K440" i="38"/>
  <c r="K803" i="38"/>
  <c r="K808" i="38"/>
  <c r="K435" i="38"/>
  <c r="K807" i="38"/>
  <c r="K426" i="38"/>
  <c r="K806" i="38"/>
  <c r="G964" i="38"/>
  <c r="BY171" i="8"/>
  <c r="E235" i="38"/>
  <c r="D950" i="38"/>
  <c r="G23" i="54"/>
  <c r="H23" i="54"/>
  <c r="D949" i="38"/>
  <c r="D951" i="38"/>
  <c r="D952" i="38"/>
  <c r="J644" i="38"/>
  <c r="BZ217" i="8"/>
  <c r="E698" i="38"/>
  <c r="BQ154" i="58"/>
  <c r="E231" i="41"/>
  <c r="F366" i="41"/>
  <c r="J1453" i="38"/>
  <c r="Q1453" i="38"/>
  <c r="I1453" i="38"/>
  <c r="D405" i="38"/>
  <c r="D406" i="38"/>
  <c r="D404" i="38"/>
  <c r="BP164" i="8"/>
  <c r="H984" i="38"/>
  <c r="DH319" i="58"/>
  <c r="T733" i="38"/>
  <c r="BQ150" i="58"/>
  <c r="F361" i="41"/>
  <c r="BN250" i="58"/>
  <c r="BY178" i="58"/>
  <c r="G1030" i="41"/>
  <c r="E230" i="41"/>
  <c r="L369" i="38"/>
  <c r="H494" i="38"/>
  <c r="F981" i="41"/>
  <c r="E226" i="41"/>
  <c r="BQ158" i="58"/>
  <c r="BT153" i="58"/>
  <c r="F243" i="38"/>
  <c r="F236" i="38"/>
  <c r="F235" i="38"/>
  <c r="J398" i="38"/>
  <c r="J399" i="38"/>
  <c r="O732" i="38"/>
  <c r="F700" i="38"/>
  <c r="H986" i="38"/>
  <c r="U734" i="38"/>
  <c r="H704" i="38"/>
  <c r="H776" i="38"/>
  <c r="N738" i="38"/>
  <c r="BS281" i="58"/>
  <c r="BS290" i="58"/>
  <c r="K23" i="56"/>
  <c r="L23" i="56"/>
  <c r="J58" i="56"/>
  <c r="E1113" i="41"/>
  <c r="BQ187" i="58"/>
  <c r="H171" i="55"/>
  <c r="J116" i="65"/>
  <c r="K719" i="38"/>
  <c r="J122" i="65"/>
  <c r="BI246" i="58"/>
  <c r="F312" i="41"/>
  <c r="D921" i="41"/>
  <c r="D922" i="41"/>
  <c r="J746" i="38"/>
  <c r="H699" i="38"/>
  <c r="E776" i="38"/>
  <c r="G699" i="38"/>
  <c r="T744" i="38"/>
  <c r="G746" i="38"/>
  <c r="P746" i="38"/>
  <c r="K809" i="38"/>
  <c r="H710" i="38"/>
  <c r="Q25" i="54"/>
  <c r="Q32" i="54"/>
  <c r="L699" i="38"/>
  <c r="H711" i="38"/>
  <c r="BL273" i="58"/>
  <c r="D926" i="41"/>
  <c r="I22" i="56"/>
  <c r="J22" i="56"/>
  <c r="E966" i="41"/>
  <c r="J1455" i="38"/>
  <c r="Q1455" i="38"/>
  <c r="I1455" i="38"/>
  <c r="N736" i="38"/>
  <c r="O736" i="38"/>
  <c r="J700" i="38"/>
  <c r="G778" i="38"/>
  <c r="M746" i="38"/>
  <c r="G965" i="41"/>
  <c r="F965" i="41"/>
  <c r="BO250" i="58"/>
  <c r="BO249" i="58"/>
  <c r="BN249" i="58"/>
  <c r="I361" i="41"/>
  <c r="I363" i="41"/>
  <c r="H993" i="41"/>
  <c r="G982" i="41"/>
  <c r="H994" i="41"/>
  <c r="G981" i="41"/>
  <c r="F699" i="38"/>
  <c r="T742" i="38"/>
  <c r="K441" i="38"/>
  <c r="I622" i="41"/>
  <c r="I627" i="41"/>
  <c r="N735" i="38"/>
  <c r="O735" i="38"/>
  <c r="I700" i="38"/>
  <c r="G777" i="38"/>
  <c r="T738" i="38"/>
  <c r="H657" i="38"/>
  <c r="H659" i="38"/>
  <c r="K647" i="38"/>
  <c r="H912" i="41"/>
  <c r="E971" i="41"/>
  <c r="BL277" i="58"/>
  <c r="BL280" i="58"/>
  <c r="K15" i="65"/>
  <c r="U732" i="38"/>
  <c r="F704" i="38"/>
  <c r="G236" i="38"/>
  <c r="G235" i="38"/>
  <c r="G243" i="38"/>
  <c r="U737" i="38"/>
  <c r="L704" i="38"/>
  <c r="D410" i="38"/>
  <c r="D412" i="38"/>
  <c r="D415" i="38"/>
  <c r="E697" i="38"/>
  <c r="BZ216" i="8"/>
  <c r="H138" i="55"/>
  <c r="H136" i="55"/>
  <c r="H134" i="55"/>
  <c r="H135" i="55"/>
  <c r="D658" i="38"/>
  <c r="U733" i="38"/>
  <c r="G704" i="38"/>
  <c r="G760" i="38"/>
  <c r="G912" i="41"/>
  <c r="F317" i="41"/>
  <c r="BI250" i="58"/>
  <c r="BI253" i="58"/>
  <c r="N734" i="38"/>
  <c r="O734" i="38"/>
  <c r="H700" i="38"/>
  <c r="G776" i="38"/>
  <c r="D114" i="65"/>
  <c r="D711" i="38"/>
  <c r="E25" i="54"/>
  <c r="F25" i="54"/>
  <c r="E60" i="54"/>
  <c r="N733" i="38"/>
  <c r="O733" i="38"/>
  <c r="G700" i="38"/>
  <c r="G756" i="38"/>
  <c r="N737" i="38"/>
  <c r="O737" i="38"/>
  <c r="L700" i="38"/>
  <c r="E984" i="38"/>
  <c r="BP163" i="8"/>
  <c r="BB251" i="58"/>
  <c r="F1455" i="38"/>
  <c r="P1455" i="38"/>
  <c r="F980" i="41"/>
  <c r="BY174" i="58"/>
  <c r="BY182" i="58"/>
  <c r="G1025" i="41"/>
  <c r="F756" i="38"/>
  <c r="BT232" i="8"/>
  <c r="I623" i="41"/>
  <c r="BT198" i="58"/>
  <c r="I366" i="41"/>
  <c r="BI129" i="58"/>
  <c r="O804" i="38"/>
  <c r="O808" i="38"/>
  <c r="O436" i="38"/>
  <c r="O805" i="38"/>
  <c r="K119" i="65"/>
  <c r="K124" i="65"/>
  <c r="K117" i="65"/>
  <c r="K118" i="65"/>
  <c r="J118" i="65"/>
  <c r="K120" i="65"/>
  <c r="BT235" i="8"/>
  <c r="F760" i="38"/>
  <c r="BQ164" i="58"/>
  <c r="E1043" i="41"/>
  <c r="DM136" i="58"/>
  <c r="F966" i="41"/>
  <c r="F359" i="41"/>
  <c r="I359" i="41"/>
  <c r="BQ148" i="58"/>
  <c r="D656" i="41"/>
  <c r="J627" i="41"/>
  <c r="BT201" i="58"/>
  <c r="T34" i="65"/>
  <c r="D426" i="38"/>
  <c r="K19" i="65"/>
  <c r="K18" i="65"/>
  <c r="K17" i="65"/>
  <c r="G424" i="38"/>
  <c r="T32" i="65"/>
  <c r="T33" i="65"/>
  <c r="T35" i="65"/>
  <c r="M57" i="56"/>
  <c r="H57" i="56"/>
  <c r="BE235" i="58"/>
  <c r="O435" i="38"/>
  <c r="D416" i="38"/>
  <c r="D418" i="38"/>
  <c r="E819" i="38"/>
  <c r="F819" i="38"/>
  <c r="CM173" i="8"/>
  <c r="H139" i="55"/>
  <c r="D666" i="38"/>
  <c r="D667" i="38"/>
  <c r="D668" i="38"/>
  <c r="I24" i="54"/>
  <c r="J24" i="54"/>
  <c r="E970" i="41"/>
  <c r="BL276" i="58"/>
  <c r="O806" i="38"/>
  <c r="K442" i="38"/>
  <c r="F460" i="38"/>
  <c r="H712" i="38"/>
  <c r="R25" i="54"/>
  <c r="O437" i="38"/>
  <c r="G755" i="38"/>
  <c r="K699" i="38"/>
  <c r="K704" i="38"/>
  <c r="G1024" i="41"/>
  <c r="BY173" i="58"/>
  <c r="F979" i="41"/>
  <c r="E225" i="41"/>
  <c r="F755" i="38"/>
  <c r="E986" i="38"/>
  <c r="BT231" i="8"/>
  <c r="E823" i="38"/>
  <c r="F823" i="38"/>
  <c r="CM176" i="8"/>
  <c r="H226" i="41"/>
  <c r="H232" i="41"/>
  <c r="E232" i="41"/>
  <c r="C41" i="74"/>
  <c r="D714" i="38"/>
  <c r="G25" i="54"/>
  <c r="H25" i="54"/>
  <c r="H224" i="55"/>
  <c r="BS271" i="58"/>
  <c r="G966" i="41"/>
  <c r="H620" i="41"/>
  <c r="I620" i="41"/>
  <c r="BT195" i="58"/>
  <c r="D659" i="38"/>
  <c r="D661" i="38"/>
  <c r="D662" i="38"/>
  <c r="D660" i="38"/>
  <c r="G24" i="54"/>
  <c r="H24" i="54"/>
  <c r="H1043" i="41"/>
  <c r="BQ165" i="58"/>
  <c r="P747" i="38"/>
  <c r="J697" i="38"/>
  <c r="D778" i="38"/>
  <c r="F778" i="38"/>
  <c r="J698" i="38"/>
  <c r="G971" i="41"/>
  <c r="F971" i="41"/>
  <c r="I698" i="38"/>
  <c r="M747" i="38"/>
  <c r="I697" i="38"/>
  <c r="D777" i="38"/>
  <c r="O440" i="38"/>
  <c r="O439" i="38"/>
  <c r="I368" i="41"/>
  <c r="O16" i="65"/>
  <c r="D390" i="41"/>
  <c r="D399" i="41"/>
  <c r="BI125" i="58"/>
  <c r="O807" i="38"/>
  <c r="H783" i="38"/>
  <c r="K783" i="38"/>
  <c r="I789" i="38"/>
  <c r="E779" i="38"/>
  <c r="I362" i="41"/>
  <c r="BI126" i="58"/>
  <c r="H985" i="38"/>
  <c r="BY189" i="8"/>
  <c r="H174" i="55"/>
  <c r="D1012" i="41"/>
  <c r="D1013" i="41"/>
  <c r="D1014" i="41"/>
  <c r="E23" i="56"/>
  <c r="F23" i="56"/>
  <c r="E58" i="56"/>
  <c r="H172" i="55"/>
  <c r="H173" i="55"/>
  <c r="D1007" i="41"/>
  <c r="H176" i="55"/>
  <c r="D1015" i="41"/>
  <c r="D1016" i="41"/>
  <c r="D1017" i="41"/>
  <c r="I23" i="56"/>
  <c r="J23" i="56"/>
  <c r="BP162" i="8"/>
  <c r="BP161" i="8"/>
  <c r="DL145" i="8"/>
  <c r="DL136" i="8"/>
  <c r="I984" i="38"/>
  <c r="J984" i="38"/>
  <c r="F984" i="38"/>
  <c r="G984" i="38"/>
  <c r="I790" i="38"/>
  <c r="J784" i="38"/>
  <c r="G747" i="38"/>
  <c r="G697" i="38"/>
  <c r="G698" i="38"/>
  <c r="T746" i="38"/>
  <c r="T747" i="38"/>
  <c r="D663" i="38"/>
  <c r="D664" i="38"/>
  <c r="D665" i="38"/>
  <c r="E24" i="54"/>
  <c r="F24" i="54"/>
  <c r="E59" i="54"/>
  <c r="H137" i="55"/>
  <c r="I624" i="41"/>
  <c r="BT197" i="58"/>
  <c r="D663" i="41"/>
  <c r="O803" i="38"/>
  <c r="BI249" i="58"/>
  <c r="F316" i="41"/>
  <c r="H658" i="38"/>
  <c r="K651" i="38"/>
  <c r="BY192" i="8"/>
  <c r="H660" i="38"/>
  <c r="K646" i="38"/>
  <c r="O438" i="38"/>
  <c r="O809" i="38"/>
  <c r="H698" i="38"/>
  <c r="J747" i="38"/>
  <c r="H697" i="38"/>
  <c r="D776" i="38"/>
  <c r="O441" i="38"/>
  <c r="J400" i="41"/>
  <c r="CC179" i="58"/>
  <c r="D647" i="41"/>
  <c r="D648" i="41"/>
  <c r="D649" i="41"/>
  <c r="D411" i="41"/>
  <c r="O442" i="38"/>
  <c r="F464" i="38"/>
  <c r="F226" i="41"/>
  <c r="G226" i="41"/>
  <c r="D425" i="38"/>
  <c r="P425" i="38"/>
  <c r="BI133" i="58"/>
  <c r="J384" i="41"/>
  <c r="J385" i="41"/>
  <c r="J386" i="41"/>
  <c r="K427" i="41"/>
  <c r="T745" i="38"/>
  <c r="F459" i="38"/>
  <c r="F458" i="38"/>
  <c r="F457" i="38"/>
  <c r="J457" i="38"/>
  <c r="J458" i="38"/>
  <c r="J459" i="38"/>
  <c r="BT205" i="58"/>
  <c r="E760" i="38"/>
  <c r="CC243" i="8"/>
  <c r="K698" i="38"/>
  <c r="G754" i="38"/>
  <c r="D660" i="41"/>
  <c r="D658" i="41"/>
  <c r="D657" i="41"/>
  <c r="D661" i="41"/>
  <c r="G1023" i="41"/>
  <c r="BY172" i="58"/>
  <c r="E224" i="41"/>
  <c r="BY223" i="58"/>
  <c r="E677" i="41"/>
  <c r="P704" i="41"/>
  <c r="Q704" i="41"/>
  <c r="F776" i="38"/>
  <c r="D779" i="38"/>
  <c r="C789" i="38"/>
  <c r="G783" i="38"/>
  <c r="F789" i="38"/>
  <c r="CU173" i="8"/>
  <c r="J971" i="38"/>
  <c r="CU170" i="8"/>
  <c r="J967" i="38"/>
  <c r="K721" i="38"/>
  <c r="M58" i="56"/>
  <c r="H58" i="56"/>
  <c r="C791" i="38"/>
  <c r="F791" i="38"/>
  <c r="BT230" i="8"/>
  <c r="BT229" i="8"/>
  <c r="DL168" i="8"/>
  <c r="D417" i="38"/>
  <c r="E459" i="38"/>
  <c r="E460" i="38"/>
  <c r="F360" i="41"/>
  <c r="I360" i="41"/>
  <c r="BQ149" i="58"/>
  <c r="E985" i="38"/>
  <c r="BY188" i="8"/>
  <c r="K50" i="65"/>
  <c r="J54" i="65"/>
  <c r="J55" i="65"/>
  <c r="K55" i="65"/>
  <c r="J33" i="65"/>
  <c r="N54" i="65"/>
  <c r="K52" i="65"/>
  <c r="P45" i="65"/>
  <c r="P43" i="65"/>
  <c r="J34" i="65"/>
  <c r="J32" i="65"/>
  <c r="M54" i="65"/>
  <c r="M55" i="65"/>
  <c r="N55" i="65"/>
  <c r="N52" i="65"/>
  <c r="Q43" i="65"/>
  <c r="J35" i="65"/>
  <c r="M50" i="65"/>
  <c r="M51" i="65"/>
  <c r="N51" i="65"/>
  <c r="Q45" i="65"/>
  <c r="P41" i="65"/>
  <c r="K37" i="65"/>
  <c r="K35" i="65"/>
  <c r="K48" i="65"/>
  <c r="K36" i="65"/>
  <c r="P44" i="65"/>
  <c r="J43" i="65"/>
  <c r="J41" i="65"/>
  <c r="Q41" i="65"/>
  <c r="J52" i="65"/>
  <c r="J53" i="65"/>
  <c r="K53" i="65"/>
  <c r="M52" i="65"/>
  <c r="M53" i="65"/>
  <c r="N53" i="65"/>
  <c r="K42" i="65"/>
  <c r="J40" i="65"/>
  <c r="K43" i="65"/>
  <c r="N48" i="65"/>
  <c r="J50" i="65"/>
  <c r="J51" i="65"/>
  <c r="K51" i="65"/>
  <c r="K40" i="65"/>
  <c r="K44" i="65"/>
  <c r="K54" i="65"/>
  <c r="J39" i="65"/>
  <c r="K32" i="65"/>
  <c r="N50" i="65"/>
  <c r="K41" i="65"/>
  <c r="K34" i="65"/>
  <c r="Q44" i="65"/>
  <c r="P42" i="65"/>
  <c r="J37" i="65"/>
  <c r="J38" i="65"/>
  <c r="Q121" i="65"/>
  <c r="Q122" i="65"/>
  <c r="J44" i="65"/>
  <c r="J42" i="65"/>
  <c r="J36" i="65"/>
  <c r="Q42" i="65"/>
  <c r="K33" i="65"/>
  <c r="K38" i="65"/>
  <c r="K39" i="65"/>
  <c r="G753" i="38"/>
  <c r="K697" i="38"/>
  <c r="BX250" i="8"/>
  <c r="R1112" i="38"/>
  <c r="R32" i="54"/>
  <c r="I60" i="54"/>
  <c r="D384" i="41"/>
  <c r="D385" i="41"/>
  <c r="D386" i="41"/>
  <c r="BS276" i="58"/>
  <c r="BS279" i="58"/>
  <c r="H626" i="41"/>
  <c r="J391" i="38"/>
  <c r="F424" i="38"/>
  <c r="BT204" i="58"/>
  <c r="BY226" i="58"/>
  <c r="D1009" i="41"/>
  <c r="G23" i="56"/>
  <c r="H23" i="56"/>
  <c r="D1008" i="41"/>
  <c r="D1010" i="41"/>
  <c r="D1011" i="41"/>
  <c r="J783" i="38"/>
  <c r="J789" i="38"/>
  <c r="E796" i="38"/>
  <c r="D391" i="41"/>
  <c r="D408" i="41"/>
  <c r="D392" i="41"/>
  <c r="F777" i="38"/>
  <c r="F790" i="38"/>
  <c r="G784" i="38"/>
  <c r="G790" i="38"/>
  <c r="H790" i="38"/>
  <c r="C790" i="38"/>
  <c r="DL158" i="8"/>
  <c r="I986" i="38"/>
  <c r="J986" i="38"/>
  <c r="F986" i="38"/>
  <c r="G986" i="38"/>
  <c r="K700" i="38"/>
  <c r="CC239" i="8"/>
  <c r="CC259" i="8"/>
  <c r="E755" i="38"/>
  <c r="F426" i="38"/>
  <c r="P426" i="38"/>
  <c r="I446" i="38"/>
  <c r="I447" i="38"/>
  <c r="I448" i="38"/>
  <c r="I449" i="38"/>
  <c r="L984" i="38"/>
  <c r="M23" i="54"/>
  <c r="N23" i="54"/>
  <c r="F58" i="54"/>
  <c r="K984" i="38"/>
  <c r="P984" i="38"/>
  <c r="BQ163" i="58"/>
  <c r="BQ162" i="58"/>
  <c r="DM145" i="58"/>
  <c r="M59" i="54"/>
  <c r="H59" i="54"/>
  <c r="BQ153" i="58"/>
  <c r="BQ156" i="58"/>
  <c r="F365" i="41"/>
  <c r="BS272" i="58"/>
  <c r="H621" i="41"/>
  <c r="I621" i="41"/>
  <c r="M120" i="65"/>
  <c r="J120" i="65"/>
  <c r="BI123" i="58"/>
  <c r="BI132" i="58"/>
  <c r="J404" i="41"/>
  <c r="C47" i="75"/>
  <c r="J393" i="41"/>
  <c r="G2" i="96"/>
  <c r="E818" i="38"/>
  <c r="F818" i="38"/>
  <c r="CM172" i="8"/>
  <c r="CM180" i="8"/>
  <c r="F970" i="41"/>
  <c r="G970" i="41"/>
  <c r="K16" i="65"/>
  <c r="D427" i="38"/>
  <c r="F1043" i="41"/>
  <c r="G1043" i="41"/>
  <c r="I1043" i="41"/>
  <c r="J1043" i="41"/>
  <c r="K121" i="65"/>
  <c r="M121" i="65"/>
  <c r="J119" i="65"/>
  <c r="D650" i="41"/>
  <c r="D651" i="41"/>
  <c r="G457" i="38"/>
  <c r="G458" i="38"/>
  <c r="G459" i="38"/>
  <c r="G460" i="38"/>
  <c r="F425" i="38"/>
  <c r="O425" i="38"/>
  <c r="F225" i="41"/>
  <c r="F224" i="41"/>
  <c r="F232" i="41"/>
  <c r="H446" i="38"/>
  <c r="H447" i="38"/>
  <c r="H448" i="38"/>
  <c r="K59" i="65"/>
  <c r="K789" i="38"/>
  <c r="E797" i="38"/>
  <c r="E799" i="38"/>
  <c r="J460" i="38"/>
  <c r="J464" i="38"/>
  <c r="L457" i="38"/>
  <c r="L458" i="38"/>
  <c r="L459" i="38"/>
  <c r="L460" i="38"/>
  <c r="H457" i="38"/>
  <c r="H458" i="38"/>
  <c r="H459" i="38"/>
  <c r="H464" i="38"/>
  <c r="I457" i="38"/>
  <c r="I458" i="38"/>
  <c r="I459" i="38"/>
  <c r="I460" i="38"/>
  <c r="K457" i="38"/>
  <c r="K458" i="38"/>
  <c r="K459" i="38"/>
  <c r="K460" i="38"/>
  <c r="D393" i="41"/>
  <c r="D395" i="41"/>
  <c r="D397" i="41"/>
  <c r="C792" i="38"/>
  <c r="K58" i="65"/>
  <c r="D798" i="38"/>
  <c r="J753" i="38"/>
  <c r="J754" i="38"/>
  <c r="CP270" i="8"/>
  <c r="DD295" i="8"/>
  <c r="N58" i="65"/>
  <c r="K123" i="65"/>
  <c r="I124" i="65"/>
  <c r="J387" i="41"/>
  <c r="J394" i="41"/>
  <c r="U422" i="41"/>
  <c r="DL156" i="8"/>
  <c r="BY187" i="8"/>
  <c r="BY186" i="8"/>
  <c r="F985" i="38"/>
  <c r="G985" i="38"/>
  <c r="DL147" i="8"/>
  <c r="I985" i="38"/>
  <c r="J985" i="38"/>
  <c r="J966" i="38"/>
  <c r="CU169" i="8"/>
  <c r="CU177" i="8"/>
  <c r="F817" i="38"/>
  <c r="M984" i="38"/>
  <c r="N984" i="38"/>
  <c r="O984" i="38"/>
  <c r="O424" i="38"/>
  <c r="N57" i="65"/>
  <c r="G798" i="38"/>
  <c r="J756" i="38"/>
  <c r="CP272" i="8"/>
  <c r="F792" i="38"/>
  <c r="CC238" i="8"/>
  <c r="E754" i="38"/>
  <c r="L1043" i="41"/>
  <c r="M1043" i="41"/>
  <c r="N1043" i="41"/>
  <c r="O1043" i="41"/>
  <c r="K1043" i="41"/>
  <c r="P1043" i="41"/>
  <c r="L986" i="38"/>
  <c r="M986" i="38"/>
  <c r="N986" i="38"/>
  <c r="O986" i="38"/>
  <c r="K986" i="38"/>
  <c r="P986" i="38"/>
  <c r="D396" i="41"/>
  <c r="D394" i="41"/>
  <c r="J393" i="38"/>
  <c r="J401" i="38"/>
  <c r="E448" i="38"/>
  <c r="H375" i="38"/>
  <c r="CC237" i="8"/>
  <c r="E753" i="38"/>
  <c r="X133" i="65"/>
  <c r="X135" i="65"/>
  <c r="J133" i="65"/>
  <c r="J135" i="65"/>
  <c r="AF133" i="65"/>
  <c r="AF134" i="65"/>
  <c r="AF136" i="65"/>
  <c r="T133" i="65"/>
  <c r="T135" i="65"/>
  <c r="AJ133" i="65"/>
  <c r="AJ134" i="65"/>
  <c r="AJ136" i="65"/>
  <c r="O133" i="65"/>
  <c r="O134" i="65"/>
  <c r="O136" i="65"/>
  <c r="E133" i="65"/>
  <c r="E135" i="65"/>
  <c r="AB133" i="65"/>
  <c r="AB134" i="65"/>
  <c r="AB136" i="65"/>
  <c r="N59" i="65"/>
  <c r="BI124" i="58"/>
  <c r="D405" i="41"/>
  <c r="I365" i="41"/>
  <c r="J401" i="41"/>
  <c r="I783" i="38"/>
  <c r="G789" i="38"/>
  <c r="D796" i="38"/>
  <c r="F796" i="38"/>
  <c r="G785" i="38"/>
  <c r="H625" i="41"/>
  <c r="BS275" i="58"/>
  <c r="Q710" i="41"/>
  <c r="R704" i="41"/>
  <c r="F364" i="41"/>
  <c r="BQ152" i="58"/>
  <c r="G232" i="41"/>
  <c r="G225" i="41"/>
  <c r="G224" i="41"/>
  <c r="J622" i="41"/>
  <c r="CM192" i="8"/>
  <c r="CC240" i="8"/>
  <c r="E756" i="38"/>
  <c r="CM171" i="8"/>
  <c r="E817" i="38"/>
  <c r="I821" i="38"/>
  <c r="E27" i="54"/>
  <c r="F27" i="54"/>
  <c r="M122" i="65"/>
  <c r="K724" i="38"/>
  <c r="K723" i="38"/>
  <c r="D654" i="41"/>
  <c r="BT196" i="58"/>
  <c r="I626" i="41"/>
  <c r="O426" i="38"/>
  <c r="E464" i="38"/>
  <c r="D419" i="38"/>
  <c r="H796" i="38"/>
  <c r="H760" i="38"/>
  <c r="CC247" i="8"/>
  <c r="S984" i="38"/>
  <c r="R984" i="38"/>
  <c r="T984" i="38"/>
  <c r="J117" i="65"/>
  <c r="J121" i="65"/>
  <c r="K722" i="38"/>
  <c r="I784" i="38"/>
  <c r="CM170" i="8"/>
  <c r="E816" i="38"/>
  <c r="H243" i="55"/>
  <c r="P427" i="38"/>
  <c r="J446" i="38"/>
  <c r="J447" i="38"/>
  <c r="J448" i="38"/>
  <c r="J449" i="38"/>
  <c r="F427" i="38"/>
  <c r="K703" i="38"/>
  <c r="H755" i="38"/>
  <c r="D387" i="41"/>
  <c r="D400" i="41"/>
  <c r="K434" i="41"/>
  <c r="K436" i="41"/>
  <c r="K421" i="41"/>
  <c r="K432" i="41"/>
  <c r="K425" i="41"/>
  <c r="K423" i="41"/>
  <c r="K422" i="41"/>
  <c r="K437" i="41"/>
  <c r="K435" i="41"/>
  <c r="K433" i="41"/>
  <c r="K426" i="41"/>
  <c r="K424" i="41"/>
  <c r="K57" i="65"/>
  <c r="G796" i="38"/>
  <c r="H756" i="38"/>
  <c r="G464" i="38"/>
  <c r="K362" i="38"/>
  <c r="F470" i="38"/>
  <c r="CF96" i="8"/>
  <c r="X134" i="65"/>
  <c r="X136" i="65"/>
  <c r="X131" i="65"/>
  <c r="T26" i="65"/>
  <c r="U26" i="65"/>
  <c r="H460" i="38"/>
  <c r="L464" i="38"/>
  <c r="E134" i="65"/>
  <c r="E136" i="65"/>
  <c r="E131" i="65"/>
  <c r="D398" i="41"/>
  <c r="I464" i="38"/>
  <c r="K464" i="38"/>
  <c r="F798" i="38"/>
  <c r="J759" i="38"/>
  <c r="CP274" i="8"/>
  <c r="D659" i="41"/>
  <c r="O135" i="65"/>
  <c r="O131" i="65"/>
  <c r="T25" i="65"/>
  <c r="U25" i="65"/>
  <c r="L424" i="41"/>
  <c r="Y427" i="41"/>
  <c r="CP269" i="8"/>
  <c r="DD294" i="8"/>
  <c r="D18" i="68"/>
  <c r="S72" i="53"/>
  <c r="K363" i="38"/>
  <c r="F471" i="38"/>
  <c r="I965" i="38"/>
  <c r="J134" i="65"/>
  <c r="J136" i="65"/>
  <c r="J131" i="65"/>
  <c r="J395" i="41"/>
  <c r="J396" i="41"/>
  <c r="T24" i="65"/>
  <c r="V24" i="65"/>
  <c r="W24" i="65"/>
  <c r="E423" i="41"/>
  <c r="X426" i="41"/>
  <c r="X425" i="41"/>
  <c r="K438" i="41"/>
  <c r="H789" i="38"/>
  <c r="D797" i="38"/>
  <c r="I753" i="38"/>
  <c r="I754" i="38"/>
  <c r="K448" i="38"/>
  <c r="G448" i="38"/>
  <c r="K364" i="38"/>
  <c r="K369" i="38"/>
  <c r="F477" i="38"/>
  <c r="H449" i="38"/>
  <c r="I625" i="41"/>
  <c r="BT199" i="58"/>
  <c r="BT200" i="58"/>
  <c r="BT203" i="58"/>
  <c r="AF135" i="65"/>
  <c r="AF131" i="65"/>
  <c r="S986" i="38"/>
  <c r="R986" i="38"/>
  <c r="T986" i="38"/>
  <c r="D401" i="41"/>
  <c r="D402" i="41"/>
  <c r="H971" i="38"/>
  <c r="CU235" i="8"/>
  <c r="CQ169" i="8"/>
  <c r="E62" i="54"/>
  <c r="BY219" i="58"/>
  <c r="BY227" i="58"/>
  <c r="J621" i="41"/>
  <c r="E673" i="41"/>
  <c r="S704" i="41"/>
  <c r="J623" i="41"/>
  <c r="BI128" i="58"/>
  <c r="BI131" i="58"/>
  <c r="I364" i="41"/>
  <c r="AB135" i="65"/>
  <c r="AB131" i="65"/>
  <c r="D1429" i="38"/>
  <c r="M25" i="54"/>
  <c r="N25" i="54"/>
  <c r="F60" i="54"/>
  <c r="H797" i="38"/>
  <c r="I760" i="38"/>
  <c r="I755" i="38"/>
  <c r="CU277" i="8"/>
  <c r="AJ135" i="65"/>
  <c r="AJ131" i="65"/>
  <c r="O427" i="38"/>
  <c r="R709" i="41"/>
  <c r="R706" i="41"/>
  <c r="R710" i="41"/>
  <c r="R708" i="41"/>
  <c r="R705" i="41"/>
  <c r="R707" i="41"/>
  <c r="CU168" i="8"/>
  <c r="F816" i="38"/>
  <c r="J965" i="38"/>
  <c r="CU232" i="8"/>
  <c r="H967" i="38"/>
  <c r="L117" i="65"/>
  <c r="E720" i="38"/>
  <c r="K720" i="38"/>
  <c r="R1043" i="41"/>
  <c r="Q1043" i="41"/>
  <c r="S1043" i="41"/>
  <c r="H966" i="38"/>
  <c r="CU231" i="8"/>
  <c r="CU250" i="8"/>
  <c r="CC242" i="8"/>
  <c r="CC245" i="8"/>
  <c r="E759" i="38"/>
  <c r="K702" i="38"/>
  <c r="CP279" i="8"/>
  <c r="D772" i="38"/>
  <c r="E26" i="54"/>
  <c r="F26" i="54"/>
  <c r="D769" i="38"/>
  <c r="I26" i="54"/>
  <c r="J26" i="54"/>
  <c r="L985" i="38"/>
  <c r="M24" i="54"/>
  <c r="N24" i="54"/>
  <c r="F59" i="54"/>
  <c r="K985" i="38"/>
  <c r="P985" i="38"/>
  <c r="J123" i="65"/>
  <c r="D720" i="38"/>
  <c r="L121" i="65"/>
  <c r="E722" i="38"/>
  <c r="H759" i="38"/>
  <c r="I796" i="38"/>
  <c r="D652" i="41"/>
  <c r="H753" i="38"/>
  <c r="T134" i="65"/>
  <c r="T136" i="65"/>
  <c r="T131" i="65"/>
  <c r="H376" i="38"/>
  <c r="J369" i="38"/>
  <c r="BL117" i="8"/>
  <c r="J364" i="38"/>
  <c r="BL113" i="8"/>
  <c r="E982" i="38"/>
  <c r="H377" i="38"/>
  <c r="D1488" i="41"/>
  <c r="M23" i="56"/>
  <c r="N23" i="56"/>
  <c r="F58" i="56"/>
  <c r="G797" i="38"/>
  <c r="I756" i="38"/>
  <c r="D632" i="41"/>
  <c r="E1114" i="41"/>
  <c r="I964" i="38"/>
  <c r="X132" i="65"/>
  <c r="V26" i="65"/>
  <c r="W26" i="65"/>
  <c r="E425" i="41"/>
  <c r="Z426" i="41"/>
  <c r="Z425" i="41"/>
  <c r="S709" i="41"/>
  <c r="CF97" i="8"/>
  <c r="J758" i="38"/>
  <c r="CP273" i="8"/>
  <c r="DD298" i="8"/>
  <c r="D62" i="74"/>
  <c r="F314" i="38"/>
  <c r="G314" i="38"/>
  <c r="H98" i="55"/>
  <c r="M985" i="38"/>
  <c r="N985" i="38"/>
  <c r="O985" i="38"/>
  <c r="K365" i="38"/>
  <c r="F473" i="38"/>
  <c r="I967" i="38"/>
  <c r="V25" i="65"/>
  <c r="W25" i="65"/>
  <c r="E424" i="41"/>
  <c r="Y426" i="41"/>
  <c r="Y425" i="41"/>
  <c r="CU239" i="8"/>
  <c r="D722" i="38"/>
  <c r="F722" i="38"/>
  <c r="F797" i="38"/>
  <c r="I759" i="38"/>
  <c r="S707" i="41"/>
  <c r="D799" i="38"/>
  <c r="U24" i="65"/>
  <c r="L423" i="41"/>
  <c r="X427" i="41"/>
  <c r="CJ244" i="8"/>
  <c r="S708" i="41"/>
  <c r="G449" i="38"/>
  <c r="N365" i="38"/>
  <c r="N364" i="38"/>
  <c r="CJ245" i="8"/>
  <c r="F315" i="38"/>
  <c r="G315" i="38"/>
  <c r="E758" i="38"/>
  <c r="CC241" i="8"/>
  <c r="CJ247" i="8"/>
  <c r="F317" i="38"/>
  <c r="O15" i="65"/>
  <c r="BI127" i="58"/>
  <c r="H758" i="38"/>
  <c r="H970" i="38"/>
  <c r="CU234" i="8"/>
  <c r="CU237" i="8"/>
  <c r="M720" i="38"/>
  <c r="F720" i="38"/>
  <c r="CF102" i="8"/>
  <c r="I971" i="38"/>
  <c r="CF217" i="8"/>
  <c r="M61" i="54"/>
  <c r="H61" i="54"/>
  <c r="S705" i="41"/>
  <c r="F321" i="38"/>
  <c r="CJ250" i="8"/>
  <c r="D665" i="41"/>
  <c r="E674" i="41"/>
  <c r="N704" i="41"/>
  <c r="BY220" i="58"/>
  <c r="F982" i="38"/>
  <c r="DL101" i="8"/>
  <c r="BL112" i="8"/>
  <c r="BL111" i="8"/>
  <c r="S985" i="38"/>
  <c r="R985" i="38"/>
  <c r="T985" i="38"/>
  <c r="CJ246" i="8"/>
  <c r="CJ267" i="8"/>
  <c r="F316" i="38"/>
  <c r="D724" i="38"/>
  <c r="M724" i="38"/>
  <c r="D719" i="38"/>
  <c r="D721" i="38"/>
  <c r="D723" i="38"/>
  <c r="F472" i="38"/>
  <c r="K368" i="38"/>
  <c r="S710" i="41"/>
  <c r="H1429" i="38"/>
  <c r="G1429" i="38"/>
  <c r="I1429" i="38"/>
  <c r="E1429" i="38"/>
  <c r="O1456" i="38"/>
  <c r="F1429" i="38"/>
  <c r="E672" i="41"/>
  <c r="J620" i="41"/>
  <c r="BY218" i="58"/>
  <c r="D403" i="41"/>
  <c r="K447" i="38"/>
  <c r="F428" i="38"/>
  <c r="L364" i="38"/>
  <c r="E494" i="38"/>
  <c r="M364" i="38"/>
  <c r="E495" i="38"/>
  <c r="K449" i="38"/>
  <c r="H145" i="55"/>
  <c r="K24" i="56"/>
  <c r="L24" i="56"/>
  <c r="J59" i="56"/>
  <c r="CU167" i="8"/>
  <c r="I818" i="38"/>
  <c r="I27" i="54"/>
  <c r="J27" i="54"/>
  <c r="J964" i="38"/>
  <c r="DD297" i="8"/>
  <c r="D43" i="68"/>
  <c r="D653" i="41"/>
  <c r="D664" i="41"/>
  <c r="L426" i="41"/>
  <c r="O426" i="41"/>
  <c r="L425" i="41"/>
  <c r="Z427" i="41"/>
  <c r="DD299" i="8"/>
  <c r="DD302" i="8"/>
  <c r="H1098" i="38"/>
  <c r="CP277" i="8"/>
  <c r="G1488" i="41"/>
  <c r="E1488" i="41"/>
  <c r="O1515" i="41"/>
  <c r="K1488" i="41"/>
  <c r="I1488" i="41"/>
  <c r="L1488" i="41"/>
  <c r="H964" i="38"/>
  <c r="CU229" i="8"/>
  <c r="H754" i="38"/>
  <c r="E61" i="54"/>
  <c r="CF215" i="8"/>
  <c r="J716" i="41"/>
  <c r="D716" i="41"/>
  <c r="F673" i="41"/>
  <c r="P716" i="41"/>
  <c r="G716" i="41"/>
  <c r="M716" i="41"/>
  <c r="Q115" i="65"/>
  <c r="D719" i="41"/>
  <c r="J365" i="38"/>
  <c r="BL114" i="8"/>
  <c r="H982" i="38"/>
  <c r="I982" i="38"/>
  <c r="J982" i="38"/>
  <c r="K982" i="38"/>
  <c r="P982" i="38"/>
  <c r="S706" i="41"/>
  <c r="AB132" i="65"/>
  <c r="BX211" i="58"/>
  <c r="CC224" i="58"/>
  <c r="CF99" i="8"/>
  <c r="K964" i="38"/>
  <c r="DD28" i="8"/>
  <c r="D13" i="68"/>
  <c r="S67" i="53"/>
  <c r="I797" i="38"/>
  <c r="M722" i="38"/>
  <c r="CC246" i="8"/>
  <c r="T706" i="41"/>
  <c r="F678" i="41"/>
  <c r="F733" i="41"/>
  <c r="L719" i="38"/>
  <c r="M719" i="38"/>
  <c r="T708" i="41"/>
  <c r="H678" i="41"/>
  <c r="H733" i="41"/>
  <c r="CU237" i="58"/>
  <c r="CJ254" i="8"/>
  <c r="CU276" i="8"/>
  <c r="T705" i="41"/>
  <c r="G677" i="41"/>
  <c r="G732" i="41"/>
  <c r="E788" i="41"/>
  <c r="F788" i="41"/>
  <c r="N707" i="41"/>
  <c r="O707" i="41"/>
  <c r="I674" i="41"/>
  <c r="G751" i="41"/>
  <c r="E1045" i="41"/>
  <c r="BT232" i="58"/>
  <c r="F727" i="41"/>
  <c r="DM158" i="58"/>
  <c r="M62" i="54"/>
  <c r="H62" i="54"/>
  <c r="CQ171" i="8"/>
  <c r="K1456" i="38"/>
  <c r="H1456" i="38"/>
  <c r="J718" i="41"/>
  <c r="H673" i="41"/>
  <c r="E750" i="41"/>
  <c r="L366" i="41"/>
  <c r="H469" i="41"/>
  <c r="M366" i="41"/>
  <c r="H470" i="41"/>
  <c r="O428" i="38"/>
  <c r="F430" i="38"/>
  <c r="M363" i="38"/>
  <c r="M368" i="38"/>
  <c r="M367" i="38"/>
  <c r="K446" i="38"/>
  <c r="L363" i="38"/>
  <c r="L368" i="38"/>
  <c r="L367" i="38"/>
  <c r="G447" i="38"/>
  <c r="M721" i="38"/>
  <c r="F721" i="38"/>
  <c r="R982" i="38"/>
  <c r="T982" i="38"/>
  <c r="S982" i="38"/>
  <c r="H683" i="41"/>
  <c r="L673" i="41"/>
  <c r="H632" i="41"/>
  <c r="H633" i="41"/>
  <c r="K627" i="41"/>
  <c r="BY193" i="58"/>
  <c r="H149" i="55"/>
  <c r="H147" i="55"/>
  <c r="H148" i="55"/>
  <c r="D633" i="41"/>
  <c r="H151" i="55"/>
  <c r="D726" i="38"/>
  <c r="T709" i="41"/>
  <c r="X122" i="65"/>
  <c r="X116" i="65"/>
  <c r="H1515" i="41"/>
  <c r="K1515" i="41"/>
  <c r="D407" i="41"/>
  <c r="G982" i="38"/>
  <c r="N34" i="65"/>
  <c r="N32" i="65"/>
  <c r="N33" i="65"/>
  <c r="N35" i="65"/>
  <c r="D1515" i="41"/>
  <c r="F1515" i="41"/>
  <c r="P1515" i="41"/>
  <c r="G1515" i="41"/>
  <c r="F723" i="38"/>
  <c r="M723" i="38"/>
  <c r="N709" i="41"/>
  <c r="O709" i="41"/>
  <c r="L674" i="41"/>
  <c r="M718" i="41"/>
  <c r="I673" i="41"/>
  <c r="E751" i="41"/>
  <c r="BT117" i="8"/>
  <c r="E472" i="38"/>
  <c r="N708" i="41"/>
  <c r="O708" i="41"/>
  <c r="J674" i="41"/>
  <c r="G752" i="41"/>
  <c r="G673" i="41"/>
  <c r="T715" i="41"/>
  <c r="G718" i="41"/>
  <c r="L365" i="38"/>
  <c r="M365" i="38"/>
  <c r="G495" i="38"/>
  <c r="BY217" i="58"/>
  <c r="E671" i="41"/>
  <c r="F476" i="38"/>
  <c r="K367" i="38"/>
  <c r="F475" i="38"/>
  <c r="G316" i="38"/>
  <c r="G318" i="38"/>
  <c r="D334" i="38"/>
  <c r="T707" i="41"/>
  <c r="CU233" i="8"/>
  <c r="H969" i="38"/>
  <c r="BT118" i="8"/>
  <c r="J400" i="38"/>
  <c r="E473" i="38"/>
  <c r="D407" i="38"/>
  <c r="H1298" i="38"/>
  <c r="D27" i="68"/>
  <c r="I505" i="38"/>
  <c r="H500" i="38"/>
  <c r="J505" i="38"/>
  <c r="K505" i="38"/>
  <c r="E496" i="38"/>
  <c r="O704" i="41"/>
  <c r="F674" i="41"/>
  <c r="N705" i="41"/>
  <c r="O705" i="41"/>
  <c r="G674" i="41"/>
  <c r="D1456" i="38"/>
  <c r="E1456" i="38"/>
  <c r="G1456" i="38"/>
  <c r="N710" i="41"/>
  <c r="D766" i="38"/>
  <c r="CU230" i="8"/>
  <c r="H965" i="38"/>
  <c r="K965" i="38"/>
  <c r="DD29" i="8"/>
  <c r="L982" i="38"/>
  <c r="CJ249" i="8"/>
  <c r="CJ252" i="8"/>
  <c r="I758" i="38"/>
  <c r="F320" i="38"/>
  <c r="N706" i="41"/>
  <c r="O706" i="41"/>
  <c r="H674" i="41"/>
  <c r="G750" i="41"/>
  <c r="P718" i="41"/>
  <c r="J673" i="41"/>
  <c r="E752" i="41"/>
  <c r="I766" i="41"/>
  <c r="D47" i="74"/>
  <c r="I506" i="38"/>
  <c r="Q114" i="65"/>
  <c r="D684" i="41"/>
  <c r="E25" i="56"/>
  <c r="F25" i="56"/>
  <c r="E60" i="56"/>
  <c r="CF98" i="8"/>
  <c r="I966" i="38"/>
  <c r="T704" i="41"/>
  <c r="F677" i="41"/>
  <c r="D57" i="74"/>
  <c r="H677" i="41"/>
  <c r="H750" i="41"/>
  <c r="M725" i="38"/>
  <c r="N724" i="38"/>
  <c r="O724" i="38"/>
  <c r="P724" i="38"/>
  <c r="J677" i="41"/>
  <c r="H752" i="41"/>
  <c r="E1515" i="41"/>
  <c r="CM190" i="8"/>
  <c r="CJ265" i="8"/>
  <c r="CJ266" i="8"/>
  <c r="CM177" i="58"/>
  <c r="F1456" i="38"/>
  <c r="P1456" i="38"/>
  <c r="M982" i="38"/>
  <c r="N982" i="38"/>
  <c r="O982" i="38"/>
  <c r="F726" i="38"/>
  <c r="G722" i="38"/>
  <c r="CU249" i="8"/>
  <c r="CU248" i="8"/>
  <c r="CM191" i="8"/>
  <c r="I678" i="41"/>
  <c r="I733" i="41"/>
  <c r="L677" i="41"/>
  <c r="G428" i="38"/>
  <c r="K431" i="38"/>
  <c r="G426" i="38"/>
  <c r="G425" i="38"/>
  <c r="G427" i="38"/>
  <c r="E512" i="38"/>
  <c r="CU174" i="58"/>
  <c r="J1030" i="41"/>
  <c r="M17" i="54"/>
  <c r="N17" i="54"/>
  <c r="D1424" i="38"/>
  <c r="G728" i="41"/>
  <c r="T716" i="41"/>
  <c r="T717" i="41"/>
  <c r="G672" i="41"/>
  <c r="G719" i="41"/>
  <c r="G671" i="41"/>
  <c r="I765" i="41"/>
  <c r="H759" i="41"/>
  <c r="K966" i="38"/>
  <c r="K971" i="38"/>
  <c r="DD34" i="8"/>
  <c r="D35" i="68"/>
  <c r="BT233" i="58"/>
  <c r="F728" i="41"/>
  <c r="H1045" i="41"/>
  <c r="I1045" i="41"/>
  <c r="J1045" i="41"/>
  <c r="G317" i="38"/>
  <c r="D330" i="38"/>
  <c r="G320" i="38"/>
  <c r="G319" i="38"/>
  <c r="D343" i="38"/>
  <c r="I672" i="41"/>
  <c r="M719" i="41"/>
  <c r="I671" i="41"/>
  <c r="D751" i="41"/>
  <c r="D409" i="41"/>
  <c r="D412" i="41"/>
  <c r="H684" i="41"/>
  <c r="Q25" i="56"/>
  <c r="Q32" i="56"/>
  <c r="D428" i="38"/>
  <c r="M362" i="38"/>
  <c r="D495" i="38"/>
  <c r="L362" i="38"/>
  <c r="D494" i="38"/>
  <c r="E753" i="41"/>
  <c r="H758" i="41"/>
  <c r="I764" i="41"/>
  <c r="BT236" i="58"/>
  <c r="F732" i="41"/>
  <c r="E511" i="38"/>
  <c r="G23" i="96"/>
  <c r="H635" i="41"/>
  <c r="K622" i="41"/>
  <c r="G24" i="96"/>
  <c r="J402" i="38"/>
  <c r="J406" i="38"/>
  <c r="J408" i="38"/>
  <c r="O430" i="38"/>
  <c r="G453" i="38"/>
  <c r="N369" i="38"/>
  <c r="D420" i="38"/>
  <c r="G494" i="38"/>
  <c r="J500" i="38"/>
  <c r="H634" i="41"/>
  <c r="K623" i="41"/>
  <c r="CJ103" i="8"/>
  <c r="I1515" i="41"/>
  <c r="J1515" i="41"/>
  <c r="Q1515" i="41"/>
  <c r="D641" i="41"/>
  <c r="D642" i="41"/>
  <c r="D643" i="41"/>
  <c r="I24" i="56"/>
  <c r="J24" i="56"/>
  <c r="H152" i="55"/>
  <c r="BT231" i="58"/>
  <c r="BT230" i="58"/>
  <c r="P719" i="41"/>
  <c r="J671" i="41"/>
  <c r="D752" i="41"/>
  <c r="J672" i="41"/>
  <c r="K500" i="38"/>
  <c r="I970" i="38"/>
  <c r="CF101" i="8"/>
  <c r="CF104" i="8"/>
  <c r="W15" i="65"/>
  <c r="K691" i="41"/>
  <c r="D635" i="41"/>
  <c r="G24" i="56"/>
  <c r="H24" i="56"/>
  <c r="D634" i="41"/>
  <c r="D636" i="41"/>
  <c r="D637" i="41"/>
  <c r="J1456" i="38"/>
  <c r="Q1456" i="38"/>
  <c r="I1456" i="38"/>
  <c r="F1045" i="41"/>
  <c r="F319" i="38"/>
  <c r="CJ248" i="8"/>
  <c r="I677" i="41"/>
  <c r="H751" i="41"/>
  <c r="G678" i="41"/>
  <c r="G733" i="41"/>
  <c r="N363" i="38"/>
  <c r="G446" i="38"/>
  <c r="N362" i="38"/>
  <c r="I969" i="38"/>
  <c r="CF100" i="8"/>
  <c r="K673" i="41"/>
  <c r="G727" i="41"/>
  <c r="CF106" i="8"/>
  <c r="J719" i="41"/>
  <c r="H671" i="41"/>
  <c r="D750" i="41"/>
  <c r="F750" i="41"/>
  <c r="H672" i="41"/>
  <c r="Y118" i="65"/>
  <c r="X118" i="65"/>
  <c r="Y120" i="65"/>
  <c r="Y124" i="65"/>
  <c r="Y117" i="65"/>
  <c r="Y119" i="65"/>
  <c r="D687" i="41"/>
  <c r="G25" i="56"/>
  <c r="H25" i="56"/>
  <c r="C46" i="75"/>
  <c r="G321" i="38"/>
  <c r="D336" i="38"/>
  <c r="D638" i="41"/>
  <c r="D639" i="41"/>
  <c r="D640" i="41"/>
  <c r="E24" i="56"/>
  <c r="F24" i="56"/>
  <c r="E59" i="56"/>
  <c r="H150" i="55"/>
  <c r="N721" i="38"/>
  <c r="O721" i="38"/>
  <c r="P721" i="38"/>
  <c r="N725" i="38"/>
  <c r="O725" i="38"/>
  <c r="N720" i="38"/>
  <c r="O720" i="38"/>
  <c r="P720" i="38"/>
  <c r="N722" i="38"/>
  <c r="O722" i="38"/>
  <c r="P722" i="38"/>
  <c r="N723" i="38"/>
  <c r="O723" i="38"/>
  <c r="P723" i="38"/>
  <c r="N719" i="38"/>
  <c r="O719" i="38"/>
  <c r="P719" i="38"/>
  <c r="G721" i="38"/>
  <c r="G1045" i="41"/>
  <c r="G723" i="38"/>
  <c r="I726" i="38"/>
  <c r="J722" i="38"/>
  <c r="H511" i="38"/>
  <c r="G477" i="38"/>
  <c r="CF128" i="8"/>
  <c r="K759" i="41"/>
  <c r="K758" i="41"/>
  <c r="G720" i="38"/>
  <c r="G512" i="38"/>
  <c r="H473" i="38"/>
  <c r="CF148" i="8"/>
  <c r="DD154" i="8"/>
  <c r="T718" i="41"/>
  <c r="K693" i="41"/>
  <c r="K672" i="41"/>
  <c r="G726" i="41"/>
  <c r="K967" i="38"/>
  <c r="DD31" i="8"/>
  <c r="D34" i="68"/>
  <c r="K970" i="38"/>
  <c r="DD30" i="8"/>
  <c r="D38" i="68"/>
  <c r="E470" i="38"/>
  <c r="BT115" i="8"/>
  <c r="W19" i="65"/>
  <c r="D423" i="41"/>
  <c r="W18" i="65"/>
  <c r="T43" i="65"/>
  <c r="T41" i="65"/>
  <c r="T42" i="65"/>
  <c r="T44" i="65"/>
  <c r="W17" i="65"/>
  <c r="G421" i="41"/>
  <c r="G511" i="38"/>
  <c r="G473" i="38"/>
  <c r="G472" i="38"/>
  <c r="E513" i="38"/>
  <c r="J758" i="41"/>
  <c r="J764" i="41"/>
  <c r="K764" i="41"/>
  <c r="D413" i="41"/>
  <c r="O437" i="41"/>
  <c r="O438" i="41"/>
  <c r="O436" i="41"/>
  <c r="O435" i="41"/>
  <c r="O432" i="41"/>
  <c r="O433" i="41"/>
  <c r="O434" i="41"/>
  <c r="E784" i="41"/>
  <c r="F784" i="41"/>
  <c r="CM174" i="58"/>
  <c r="G319" i="41"/>
  <c r="CJ252" i="58"/>
  <c r="X119" i="65"/>
  <c r="Y121" i="65"/>
  <c r="AA121" i="65"/>
  <c r="K677" i="41"/>
  <c r="E471" i="38"/>
  <c r="BT116" i="8"/>
  <c r="H59" i="56"/>
  <c r="M59" i="56"/>
  <c r="E477" i="38"/>
  <c r="BT121" i="8"/>
  <c r="BT125" i="8"/>
  <c r="F1424" i="38"/>
  <c r="J1424" i="38"/>
  <c r="J1430" i="38"/>
  <c r="M1424" i="38"/>
  <c r="M1430" i="38"/>
  <c r="H1424" i="38"/>
  <c r="H1430" i="38"/>
  <c r="K1424" i="38"/>
  <c r="G1424" i="38"/>
  <c r="E1424" i="38"/>
  <c r="I1424" i="38"/>
  <c r="H512" i="38"/>
  <c r="H477" i="38"/>
  <c r="CF151" i="8"/>
  <c r="DD157" i="8"/>
  <c r="H472" i="38"/>
  <c r="CF147" i="8"/>
  <c r="F752" i="41"/>
  <c r="C766" i="41"/>
  <c r="F766" i="41"/>
  <c r="DM168" i="58"/>
  <c r="R25" i="56"/>
  <c r="H685" i="41"/>
  <c r="G758" i="41"/>
  <c r="F764" i="41"/>
  <c r="D753" i="41"/>
  <c r="C764" i="41"/>
  <c r="D1425" i="38"/>
  <c r="D1430" i="38"/>
  <c r="D340" i="38"/>
  <c r="D338" i="38"/>
  <c r="D341" i="38"/>
  <c r="E789" i="41"/>
  <c r="CM178" i="58"/>
  <c r="J409" i="38"/>
  <c r="D375" i="38"/>
  <c r="L1045" i="41"/>
  <c r="K1045" i="41"/>
  <c r="P1045" i="41"/>
  <c r="K674" i="41"/>
  <c r="E727" i="41"/>
  <c r="CC240" i="58"/>
  <c r="CC260" i="58"/>
  <c r="C506" i="38"/>
  <c r="F506" i="38"/>
  <c r="F495" i="38"/>
  <c r="F751" i="41"/>
  <c r="F765" i="41"/>
  <c r="G759" i="41"/>
  <c r="G765" i="41"/>
  <c r="H765" i="41"/>
  <c r="C765" i="41"/>
  <c r="G430" i="38"/>
  <c r="H1044" i="41"/>
  <c r="BY190" i="58"/>
  <c r="D331" i="38"/>
  <c r="D332" i="38"/>
  <c r="D333" i="38"/>
  <c r="CM173" i="58"/>
  <c r="E783" i="41"/>
  <c r="F783" i="41"/>
  <c r="F494" i="38"/>
  <c r="D496" i="38"/>
  <c r="C505" i="38"/>
  <c r="F505" i="38"/>
  <c r="G500" i="38"/>
  <c r="J759" i="41"/>
  <c r="J765" i="41"/>
  <c r="K765" i="41"/>
  <c r="X120" i="65"/>
  <c r="AA120" i="65"/>
  <c r="E1044" i="41"/>
  <c r="BY189" i="58"/>
  <c r="DM147" i="58"/>
  <c r="P428" i="38"/>
  <c r="P430" i="38"/>
  <c r="G452" i="38"/>
  <c r="D430" i="38"/>
  <c r="K671" i="41"/>
  <c r="G725" i="41"/>
  <c r="M1045" i="41"/>
  <c r="N1045" i="41"/>
  <c r="O1045" i="41"/>
  <c r="J723" i="38"/>
  <c r="G726" i="38"/>
  <c r="J721" i="38"/>
  <c r="O439" i="41"/>
  <c r="U438" i="41"/>
  <c r="E772" i="41"/>
  <c r="G772" i="41"/>
  <c r="J720" i="38"/>
  <c r="I321" i="38"/>
  <c r="C507" i="38"/>
  <c r="D774" i="41"/>
  <c r="J725" i="41"/>
  <c r="CP270" i="58"/>
  <c r="DD295" i="58"/>
  <c r="D344" i="38"/>
  <c r="H326" i="38"/>
  <c r="K316" i="38"/>
  <c r="E981" i="38"/>
  <c r="AA122" i="65"/>
  <c r="K696" i="41"/>
  <c r="K695" i="41"/>
  <c r="CC241" i="58"/>
  <c r="E728" i="41"/>
  <c r="K678" i="41"/>
  <c r="CC245" i="58"/>
  <c r="E781" i="41"/>
  <c r="CM171" i="58"/>
  <c r="I758" i="41"/>
  <c r="G764" i="41"/>
  <c r="D772" i="41"/>
  <c r="G760" i="41"/>
  <c r="CF155" i="8"/>
  <c r="CJ152" i="8"/>
  <c r="DD153" i="8"/>
  <c r="D41" i="68"/>
  <c r="CF125" i="8"/>
  <c r="I317" i="38"/>
  <c r="E725" i="41"/>
  <c r="CC238" i="58"/>
  <c r="I759" i="41"/>
  <c r="CU171" i="58"/>
  <c r="J1026" i="41"/>
  <c r="E774" i="41"/>
  <c r="H774" i="41"/>
  <c r="J732" i="41"/>
  <c r="CP276" i="58"/>
  <c r="Q1045" i="41"/>
  <c r="S1045" i="41"/>
  <c r="R1045" i="41"/>
  <c r="I60" i="56"/>
  <c r="BX251" i="58"/>
  <c r="R32" i="56"/>
  <c r="R1176" i="41"/>
  <c r="H1451" i="38"/>
  <c r="K1451" i="38"/>
  <c r="F1430" i="38"/>
  <c r="D415" i="41"/>
  <c r="U433" i="41"/>
  <c r="K676" i="41"/>
  <c r="E726" i="41"/>
  <c r="CC239" i="58"/>
  <c r="N368" i="38"/>
  <c r="G451" i="38"/>
  <c r="N367" i="38"/>
  <c r="Y123" i="65"/>
  <c r="W124" i="65"/>
  <c r="D1490" i="41"/>
  <c r="M25" i="56"/>
  <c r="N25" i="56"/>
  <c r="F60" i="56"/>
  <c r="G1451" i="38"/>
  <c r="D1451" i="38"/>
  <c r="X117" i="65"/>
  <c r="X121" i="65"/>
  <c r="W16" i="65"/>
  <c r="D424" i="41"/>
  <c r="I1044" i="41"/>
  <c r="J1044" i="41"/>
  <c r="F1044" i="41"/>
  <c r="G1044" i="41"/>
  <c r="F767" i="41"/>
  <c r="CF124" i="8"/>
  <c r="CJ129" i="8"/>
  <c r="I316" i="38"/>
  <c r="DD33" i="8"/>
  <c r="DD36" i="8"/>
  <c r="D1098" i="38"/>
  <c r="K969" i="38"/>
  <c r="DD32" i="8"/>
  <c r="CU170" i="58"/>
  <c r="CU178" i="58"/>
  <c r="F782" i="41"/>
  <c r="J1025" i="41"/>
  <c r="E732" i="41"/>
  <c r="CC244" i="58"/>
  <c r="CC248" i="58"/>
  <c r="J388" i="41"/>
  <c r="F421" i="41"/>
  <c r="CM172" i="58"/>
  <c r="E782" i="41"/>
  <c r="D798" i="41"/>
  <c r="E27" i="56"/>
  <c r="F27" i="56"/>
  <c r="CM193" i="58"/>
  <c r="CM181" i="58"/>
  <c r="I500" i="38"/>
  <c r="G501" i="38"/>
  <c r="G505" i="38"/>
  <c r="D511" i="38"/>
  <c r="E773" i="41"/>
  <c r="H188" i="55"/>
  <c r="K17" i="54"/>
  <c r="L17" i="54"/>
  <c r="J52" i="54"/>
  <c r="E1051" i="38"/>
  <c r="BK132" i="8"/>
  <c r="H378" i="38"/>
  <c r="G1425" i="38"/>
  <c r="G1430" i="38"/>
  <c r="E1425" i="38"/>
  <c r="O1452" i="38"/>
  <c r="L1425" i="38"/>
  <c r="L1430" i="38"/>
  <c r="I1425" i="38"/>
  <c r="K1425" i="38"/>
  <c r="K1430" i="38"/>
  <c r="O1451" i="38"/>
  <c r="D422" i="41"/>
  <c r="BY188" i="58"/>
  <c r="BY187" i="58"/>
  <c r="DM156" i="58"/>
  <c r="F507" i="38"/>
  <c r="H772" i="41"/>
  <c r="C767" i="41"/>
  <c r="X420" i="41"/>
  <c r="P423" i="41"/>
  <c r="X421" i="41"/>
  <c r="X422" i="41"/>
  <c r="X423" i="41"/>
  <c r="F423" i="41"/>
  <c r="J726" i="38"/>
  <c r="M772" i="41"/>
  <c r="H727" i="41"/>
  <c r="H1025" i="41"/>
  <c r="H764" i="41"/>
  <c r="D773" i="41"/>
  <c r="I725" i="41"/>
  <c r="CJ245" i="58"/>
  <c r="H728" i="41"/>
  <c r="H1026" i="41"/>
  <c r="L772" i="41"/>
  <c r="H328" i="38"/>
  <c r="K317" i="38"/>
  <c r="CM72" i="8"/>
  <c r="H327" i="38"/>
  <c r="K321" i="38"/>
  <c r="CM75" i="8"/>
  <c r="J726" i="41"/>
  <c r="CP271" i="58"/>
  <c r="DD296" i="58"/>
  <c r="CM71" i="8"/>
  <c r="CM70" i="8"/>
  <c r="CM69" i="8"/>
  <c r="D1439" i="38"/>
  <c r="L1439" i="38"/>
  <c r="H732" i="41"/>
  <c r="K772" i="41"/>
  <c r="D1452" i="38"/>
  <c r="D1457" i="38"/>
  <c r="G1452" i="38"/>
  <c r="O1438" i="38"/>
  <c r="D30" i="68"/>
  <c r="F211" i="55"/>
  <c r="H198" i="55"/>
  <c r="D485" i="38"/>
  <c r="D486" i="38"/>
  <c r="D487" i="38"/>
  <c r="H202" i="55"/>
  <c r="H192" i="55"/>
  <c r="H193" i="55"/>
  <c r="D376" i="38"/>
  <c r="Z117" i="65"/>
  <c r="E692" i="41"/>
  <c r="K692" i="41"/>
  <c r="G773" i="41"/>
  <c r="I727" i="41"/>
  <c r="M773" i="41"/>
  <c r="I1430" i="38"/>
  <c r="K107" i="54"/>
  <c r="F781" i="41"/>
  <c r="J1024" i="41"/>
  <c r="CU169" i="58"/>
  <c r="CF132" i="8"/>
  <c r="K1452" i="38"/>
  <c r="O1439" i="38"/>
  <c r="D31" i="68"/>
  <c r="H1452" i="38"/>
  <c r="H1457" i="38"/>
  <c r="D742" i="41"/>
  <c r="I26" i="56"/>
  <c r="J26" i="56"/>
  <c r="D745" i="41"/>
  <c r="E26" i="56"/>
  <c r="F26" i="56"/>
  <c r="D132" i="68"/>
  <c r="T72" i="53"/>
  <c r="D67" i="75"/>
  <c r="O423" i="41"/>
  <c r="P422" i="41"/>
  <c r="W420" i="41"/>
  <c r="F422" i="41"/>
  <c r="W421" i="41"/>
  <c r="H505" i="38"/>
  <c r="D512" i="38"/>
  <c r="CC243" i="58"/>
  <c r="CC246" i="58"/>
  <c r="E731" i="41"/>
  <c r="K675" i="41"/>
  <c r="G774" i="41"/>
  <c r="J728" i="41"/>
  <c r="CP273" i="58"/>
  <c r="J727" i="41"/>
  <c r="CP272" i="58"/>
  <c r="CP280" i="58"/>
  <c r="F774" i="41"/>
  <c r="J731" i="41"/>
  <c r="D22" i="68"/>
  <c r="D1298" i="38"/>
  <c r="X123" i="65"/>
  <c r="D694" i="41"/>
  <c r="Z121" i="65"/>
  <c r="E694" i="41"/>
  <c r="K694" i="41"/>
  <c r="E475" i="38"/>
  <c r="BT119" i="8"/>
  <c r="BT120" i="8"/>
  <c r="BT123" i="8"/>
  <c r="E476" i="38"/>
  <c r="CQ170" i="58"/>
  <c r="E62" i="56"/>
  <c r="E1451" i="38"/>
  <c r="F1451" i="38"/>
  <c r="P1451" i="38"/>
  <c r="I1451" i="38"/>
  <c r="J1451" i="38"/>
  <c r="Q1451" i="38"/>
  <c r="H725" i="41"/>
  <c r="E775" i="41"/>
  <c r="E1430" i="38"/>
  <c r="L1457" i="38"/>
  <c r="M1457" i="38"/>
  <c r="DL110" i="8"/>
  <c r="BT136" i="8"/>
  <c r="G470" i="38"/>
  <c r="F511" i="38"/>
  <c r="O421" i="41"/>
  <c r="L1044" i="41"/>
  <c r="K1044" i="41"/>
  <c r="P1044" i="41"/>
  <c r="H1490" i="41"/>
  <c r="G1490" i="41"/>
  <c r="F1490" i="41"/>
  <c r="E1490" i="41"/>
  <c r="O1517" i="41"/>
  <c r="I1490" i="41"/>
  <c r="U432" i="41"/>
  <c r="K439" i="41"/>
  <c r="U434" i="41"/>
  <c r="F772" i="41"/>
  <c r="J390" i="41"/>
  <c r="J398" i="41"/>
  <c r="T422" i="41"/>
  <c r="H372" i="41"/>
  <c r="P424" i="41"/>
  <c r="Y420" i="41"/>
  <c r="Y421" i="41"/>
  <c r="Y422" i="41"/>
  <c r="Y423" i="41"/>
  <c r="F424" i="41"/>
  <c r="H773" i="41"/>
  <c r="D414" i="41"/>
  <c r="T433" i="41"/>
  <c r="E990" i="38"/>
  <c r="DL112" i="8"/>
  <c r="DL172" i="8"/>
  <c r="CU232" i="58"/>
  <c r="CU251" i="58"/>
  <c r="F773" i="41"/>
  <c r="I773" i="41"/>
  <c r="CU233" i="58"/>
  <c r="D775" i="41"/>
  <c r="G311" i="41"/>
  <c r="H311" i="41"/>
  <c r="I726" i="41"/>
  <c r="G312" i="41"/>
  <c r="H312" i="41"/>
  <c r="D327" i="38"/>
  <c r="H321" i="38"/>
  <c r="D337" i="38"/>
  <c r="E1452" i="38"/>
  <c r="H981" i="38"/>
  <c r="I981" i="38"/>
  <c r="J981" i="38"/>
  <c r="F981" i="38"/>
  <c r="E1439" i="38"/>
  <c r="D48" i="68"/>
  <c r="G3" i="96"/>
  <c r="H1439" i="38"/>
  <c r="F1452" i="38"/>
  <c r="P1452" i="38"/>
  <c r="D692" i="41"/>
  <c r="F692" i="41"/>
  <c r="K359" i="41"/>
  <c r="F445" i="41"/>
  <c r="CF102" i="58"/>
  <c r="K106" i="54"/>
  <c r="D1517" i="41"/>
  <c r="F1517" i="41"/>
  <c r="P1517" i="41"/>
  <c r="G1517" i="41"/>
  <c r="H470" i="38"/>
  <c r="F512" i="38"/>
  <c r="CU168" i="58"/>
  <c r="D795" i="41"/>
  <c r="I27" i="56"/>
  <c r="J27" i="56"/>
  <c r="J1023" i="41"/>
  <c r="H1023" i="41"/>
  <c r="CU230" i="58"/>
  <c r="CC247" i="58"/>
  <c r="H726" i="41"/>
  <c r="J730" i="41"/>
  <c r="CP274" i="58"/>
  <c r="CP275" i="58"/>
  <c r="D513" i="38"/>
  <c r="J1457" i="38"/>
  <c r="I1457" i="38"/>
  <c r="I1439" i="38"/>
  <c r="J1439" i="38"/>
  <c r="I1452" i="38"/>
  <c r="J1452" i="38"/>
  <c r="Q1452" i="38"/>
  <c r="I732" i="41"/>
  <c r="K773" i="41"/>
  <c r="I772" i="41"/>
  <c r="H731" i="41"/>
  <c r="E730" i="41"/>
  <c r="CC242" i="58"/>
  <c r="CF216" i="58"/>
  <c r="E61" i="56"/>
  <c r="O424" i="41"/>
  <c r="R1044" i="41"/>
  <c r="Q1044" i="41"/>
  <c r="S1044" i="41"/>
  <c r="D696" i="41"/>
  <c r="M696" i="41"/>
  <c r="D691" i="41"/>
  <c r="D693" i="41"/>
  <c r="D695" i="41"/>
  <c r="M61" i="56"/>
  <c r="CF218" i="58"/>
  <c r="H61" i="56"/>
  <c r="CJ128" i="8"/>
  <c r="CJ127" i="8"/>
  <c r="CJ101" i="8"/>
  <c r="CJ102" i="8"/>
  <c r="G313" i="41"/>
  <c r="CJ247" i="58"/>
  <c r="CJ266" i="58"/>
  <c r="CJ151" i="8"/>
  <c r="I18" i="54"/>
  <c r="J18" i="54"/>
  <c r="H199" i="55"/>
  <c r="H200" i="55"/>
  <c r="H373" i="41"/>
  <c r="J366" i="41"/>
  <c r="BP114" i="58"/>
  <c r="E1041" i="41"/>
  <c r="J361" i="41"/>
  <c r="BP110" i="58"/>
  <c r="H374" i="41"/>
  <c r="I511" i="38"/>
  <c r="G475" i="38"/>
  <c r="G476" i="38"/>
  <c r="DM102" i="58"/>
  <c r="T434" i="41"/>
  <c r="H1517" i="41"/>
  <c r="K1517" i="41"/>
  <c r="DD297" i="58"/>
  <c r="DD298" i="58"/>
  <c r="CU278" i="58"/>
  <c r="W422" i="41"/>
  <c r="K360" i="41"/>
  <c r="F446" i="41"/>
  <c r="J106" i="54"/>
  <c r="J105" i="54"/>
  <c r="E1457" i="38"/>
  <c r="I1438" i="38"/>
  <c r="J1438" i="38"/>
  <c r="F1457" i="38"/>
  <c r="K105" i="54"/>
  <c r="D1438" i="38"/>
  <c r="H1438" i="38"/>
  <c r="T438" i="41"/>
  <c r="D416" i="41"/>
  <c r="I314" i="38"/>
  <c r="G471" i="38"/>
  <c r="CF122" i="8"/>
  <c r="M694" i="41"/>
  <c r="F694" i="41"/>
  <c r="O422" i="41"/>
  <c r="D1489" i="41"/>
  <c r="M24" i="56"/>
  <c r="N24" i="56"/>
  <c r="F59" i="56"/>
  <c r="I728" i="41"/>
  <c r="L773" i="41"/>
  <c r="D377" i="38"/>
  <c r="D379" i="38"/>
  <c r="D380" i="38"/>
  <c r="D378" i="38"/>
  <c r="G17" i="54"/>
  <c r="H17" i="54"/>
  <c r="F52" i="54"/>
  <c r="DL173" i="8"/>
  <c r="V433" i="41"/>
  <c r="V434" i="41"/>
  <c r="Z433" i="41"/>
  <c r="Z434" i="41"/>
  <c r="AA433" i="41"/>
  <c r="AA434" i="41"/>
  <c r="U431" i="41"/>
  <c r="W433" i="41"/>
  <c r="W434" i="41"/>
  <c r="X433" i="41"/>
  <c r="X434" i="41"/>
  <c r="Y433" i="41"/>
  <c r="Y434" i="41"/>
  <c r="M1044" i="41"/>
  <c r="N1044" i="41"/>
  <c r="O1044" i="41"/>
  <c r="J107" i="54"/>
  <c r="H204" i="55"/>
  <c r="D381" i="38"/>
  <c r="D382" i="38"/>
  <c r="D383" i="38"/>
  <c r="E17" i="54"/>
  <c r="F17" i="54"/>
  <c r="E52" i="54"/>
  <c r="H205" i="55"/>
  <c r="D488" i="38"/>
  <c r="D489" i="38"/>
  <c r="D490" i="38"/>
  <c r="E18" i="54"/>
  <c r="F18" i="54"/>
  <c r="H203" i="55"/>
  <c r="CU236" i="58"/>
  <c r="H1030" i="41"/>
  <c r="CU240" i="58"/>
  <c r="I731" i="41"/>
  <c r="G317" i="41"/>
  <c r="CJ246" i="58"/>
  <c r="G981" i="38"/>
  <c r="I990" i="38"/>
  <c r="CU87" i="8"/>
  <c r="E1517" i="41"/>
  <c r="EB161" i="8"/>
  <c r="N1439" i="38"/>
  <c r="M1439" i="38"/>
  <c r="M692" i="41"/>
  <c r="G1439" i="38"/>
  <c r="O1098" i="38"/>
  <c r="O1298" i="38"/>
  <c r="H316" i="38"/>
  <c r="D339" i="38"/>
  <c r="D345" i="38"/>
  <c r="K1439" i="38"/>
  <c r="N772" i="41"/>
  <c r="F1439" i="38"/>
  <c r="I1023" i="41"/>
  <c r="K1023" i="41"/>
  <c r="DD29" i="58"/>
  <c r="DD302" i="58"/>
  <c r="M62" i="56"/>
  <c r="H62" i="56"/>
  <c r="CQ172" i="58"/>
  <c r="H1041" i="41"/>
  <c r="I1041" i="41"/>
  <c r="J1041" i="41"/>
  <c r="K1041" i="41"/>
  <c r="P1041" i="41"/>
  <c r="J362" i="41"/>
  <c r="BP111" i="58"/>
  <c r="G318" i="41"/>
  <c r="CJ251" i="58"/>
  <c r="CJ255" i="58"/>
  <c r="I512" i="38"/>
  <c r="H475" i="38"/>
  <c r="CF149" i="8"/>
  <c r="DD155" i="8"/>
  <c r="H476" i="38"/>
  <c r="CF150" i="8"/>
  <c r="I315" i="38"/>
  <c r="D484" i="38"/>
  <c r="CF123" i="8"/>
  <c r="DD299" i="58"/>
  <c r="BY105" i="8"/>
  <c r="E53" i="54"/>
  <c r="I1489" i="41"/>
  <c r="K1489" i="41"/>
  <c r="G1489" i="41"/>
  <c r="E1489" i="41"/>
  <c r="O1516" i="41"/>
  <c r="L1489" i="41"/>
  <c r="DD301" i="58"/>
  <c r="D157" i="68"/>
  <c r="BP109" i="58"/>
  <c r="BP108" i="58"/>
  <c r="H313" i="41"/>
  <c r="H315" i="41"/>
  <c r="D331" i="41"/>
  <c r="F695" i="41"/>
  <c r="M695" i="41"/>
  <c r="DD300" i="58"/>
  <c r="DD303" i="58"/>
  <c r="H1164" i="41"/>
  <c r="D141" i="68"/>
  <c r="CP278" i="58"/>
  <c r="J990" i="38"/>
  <c r="D995" i="38"/>
  <c r="D998" i="38"/>
  <c r="D1000" i="38"/>
  <c r="D1003" i="38"/>
  <c r="L981" i="38"/>
  <c r="K981" i="38"/>
  <c r="K990" i="38"/>
  <c r="F1041" i="41"/>
  <c r="F693" i="41"/>
  <c r="M693" i="41"/>
  <c r="L691" i="41"/>
  <c r="M691" i="41"/>
  <c r="CF145" i="8"/>
  <c r="DD151" i="8"/>
  <c r="H471" i="38"/>
  <c r="CF146" i="8"/>
  <c r="DD152" i="8"/>
  <c r="J1517" i="41"/>
  <c r="Q1517" i="41"/>
  <c r="I1517" i="41"/>
  <c r="D698" i="41"/>
  <c r="H1024" i="41"/>
  <c r="CU231" i="58"/>
  <c r="D739" i="41"/>
  <c r="Y431" i="41"/>
  <c r="Y432" i="41"/>
  <c r="Z431" i="41"/>
  <c r="Z432" i="41"/>
  <c r="X431" i="41"/>
  <c r="X432" i="41"/>
  <c r="AA431" i="41"/>
  <c r="AA432" i="41"/>
  <c r="V431" i="41"/>
  <c r="V432" i="41"/>
  <c r="W431" i="41"/>
  <c r="W432" i="41"/>
  <c r="CJ248" i="58"/>
  <c r="G314" i="41"/>
  <c r="I1024" i="41"/>
  <c r="CF103" i="58"/>
  <c r="CF127" i="8"/>
  <c r="CF130" i="8"/>
  <c r="I320" i="38"/>
  <c r="H53" i="54"/>
  <c r="M53" i="54"/>
  <c r="BY107" i="8"/>
  <c r="H730" i="41"/>
  <c r="CU235" i="58"/>
  <c r="CU238" i="58"/>
  <c r="H1029" i="41"/>
  <c r="L1438" i="38"/>
  <c r="E1438" i="38"/>
  <c r="G1440" i="38"/>
  <c r="D1440" i="38"/>
  <c r="Z422" i="41"/>
  <c r="V422" i="41"/>
  <c r="K361" i="41"/>
  <c r="W423" i="41"/>
  <c r="CF126" i="8"/>
  <c r="I319" i="38"/>
  <c r="I730" i="41"/>
  <c r="G1041" i="41"/>
  <c r="CJ250" i="58"/>
  <c r="CJ253" i="58"/>
  <c r="CU250" i="58"/>
  <c r="O1305" i="38"/>
  <c r="O1143" i="38"/>
  <c r="O1157" i="38"/>
  <c r="O1141" i="38"/>
  <c r="O1155" i="38"/>
  <c r="O1301" i="38"/>
  <c r="O1145" i="38"/>
  <c r="O1159" i="38"/>
  <c r="O1144" i="38"/>
  <c r="O1142" i="38"/>
  <c r="O1156" i="38"/>
  <c r="O1146" i="38"/>
  <c r="O1160" i="38"/>
  <c r="L1041" i="41"/>
  <c r="H314" i="41"/>
  <c r="D327" i="41"/>
  <c r="D328" i="41"/>
  <c r="D329" i="41"/>
  <c r="D330" i="41"/>
  <c r="BT124" i="8"/>
  <c r="P981" i="38"/>
  <c r="P990" i="38"/>
  <c r="H318" i="41"/>
  <c r="D333" i="41"/>
  <c r="K19" i="54"/>
  <c r="E1050" i="38"/>
  <c r="E1056" i="38"/>
  <c r="E1058" i="38"/>
  <c r="E1060" i="38"/>
  <c r="E1061" i="38"/>
  <c r="E1062" i="38"/>
  <c r="H329" i="38"/>
  <c r="CP92" i="8"/>
  <c r="DL122" i="8"/>
  <c r="H101" i="55"/>
  <c r="H315" i="38"/>
  <c r="J315" i="38"/>
  <c r="DD84" i="8"/>
  <c r="CU83" i="8"/>
  <c r="J316" i="38"/>
  <c r="J317" i="38"/>
  <c r="DD86" i="8"/>
  <c r="F1440" i="38"/>
  <c r="M361" i="41"/>
  <c r="E470" i="41"/>
  <c r="F425" i="41"/>
  <c r="Z421" i="41"/>
  <c r="L361" i="41"/>
  <c r="E469" i="41"/>
  <c r="Z423" i="41"/>
  <c r="CM192" i="58"/>
  <c r="H1028" i="41"/>
  <c r="CU234" i="58"/>
  <c r="CM191" i="58"/>
  <c r="K362" i="41"/>
  <c r="F448" i="41"/>
  <c r="M697" i="41"/>
  <c r="N693" i="41"/>
  <c r="O693" i="41"/>
  <c r="P693" i="41"/>
  <c r="M19" i="54"/>
  <c r="L990" i="38"/>
  <c r="M981" i="38"/>
  <c r="D340" i="41"/>
  <c r="H317" i="41"/>
  <c r="H316" i="41"/>
  <c r="K1516" i="41"/>
  <c r="H1516" i="41"/>
  <c r="K365" i="41"/>
  <c r="F447" i="41"/>
  <c r="D1516" i="41"/>
  <c r="F1516" i="41"/>
  <c r="P1516" i="41"/>
  <c r="G1516" i="41"/>
  <c r="V423" i="41"/>
  <c r="N362" i="41"/>
  <c r="N361" i="41"/>
  <c r="D50" i="75"/>
  <c r="D127" i="68"/>
  <c r="T67" i="53"/>
  <c r="D61" i="75"/>
  <c r="CJ264" i="58"/>
  <c r="CJ265" i="58"/>
  <c r="G316" i="41"/>
  <c r="CJ249" i="58"/>
  <c r="F698" i="41"/>
  <c r="Q1041" i="41"/>
  <c r="S1041" i="41"/>
  <c r="R1041" i="41"/>
  <c r="F109" i="54"/>
  <c r="F110" i="54"/>
  <c r="R1456" i="38"/>
  <c r="BT239" i="8"/>
  <c r="R1447" i="38"/>
  <c r="BP41" i="8"/>
  <c r="R1448" i="38"/>
  <c r="BP19" i="8"/>
  <c r="F1438" i="38"/>
  <c r="R1450" i="38"/>
  <c r="BG68" i="8"/>
  <c r="K1438" i="38"/>
  <c r="N1438" i="38"/>
  <c r="R1453" i="38"/>
  <c r="AX213" i="8"/>
  <c r="M1438" i="38"/>
  <c r="F107" i="54"/>
  <c r="G1438" i="38"/>
  <c r="R1449" i="38"/>
  <c r="AW36" i="8"/>
  <c r="EB144" i="8"/>
  <c r="R1454" i="38"/>
  <c r="BP170" i="8"/>
  <c r="D47" i="68"/>
  <c r="R1455" i="38"/>
  <c r="BY196" i="8"/>
  <c r="E1440" i="38"/>
  <c r="H1440" i="38"/>
  <c r="EB94" i="8"/>
  <c r="EF84" i="8"/>
  <c r="R1451" i="38"/>
  <c r="BL120" i="8"/>
  <c r="R1452" i="38"/>
  <c r="CM79" i="8"/>
  <c r="D16" i="68"/>
  <c r="S70" i="53"/>
  <c r="D60" i="74"/>
  <c r="D1020" i="38"/>
  <c r="J30" i="54"/>
  <c r="D1017" i="38"/>
  <c r="CU249" i="58"/>
  <c r="CU277" i="58"/>
  <c r="K366" i="41"/>
  <c r="F452" i="41"/>
  <c r="K1024" i="41"/>
  <c r="DD30" i="58"/>
  <c r="D1009" i="38"/>
  <c r="D1011" i="38"/>
  <c r="H30" i="54"/>
  <c r="CF153" i="8"/>
  <c r="DD156" i="8"/>
  <c r="DD159" i="8"/>
  <c r="G1098" i="38"/>
  <c r="M1041" i="41"/>
  <c r="N1041" i="41"/>
  <c r="O1041" i="41"/>
  <c r="N695" i="41"/>
  <c r="O695" i="41"/>
  <c r="P695" i="41"/>
  <c r="D1485" i="41"/>
  <c r="K1485" i="41"/>
  <c r="M17" i="56"/>
  <c r="N17" i="56"/>
  <c r="N691" i="41"/>
  <c r="O691" i="41"/>
  <c r="P691" i="41"/>
  <c r="O1147" i="38"/>
  <c r="S981" i="38"/>
  <c r="S990" i="38"/>
  <c r="DR52" i="8"/>
  <c r="EB109" i="8"/>
  <c r="R981" i="38"/>
  <c r="T981" i="38"/>
  <c r="T990" i="38"/>
  <c r="U981" i="38"/>
  <c r="E1441" i="38"/>
  <c r="G1441" i="38"/>
  <c r="J318" i="38"/>
  <c r="H103" i="55"/>
  <c r="H104" i="55"/>
  <c r="D346" i="38"/>
  <c r="H107" i="55"/>
  <c r="H105" i="55"/>
  <c r="J321" i="38"/>
  <c r="DD89" i="8"/>
  <c r="H312" i="55"/>
  <c r="D1081" i="38"/>
  <c r="D1067" i="38"/>
  <c r="D1078" i="38"/>
  <c r="D1079" i="38"/>
  <c r="D1071" i="38"/>
  <c r="CU103" i="8"/>
  <c r="CU91" i="8"/>
  <c r="DL121" i="8"/>
  <c r="DL120" i="8"/>
  <c r="DD85" i="8"/>
  <c r="D40" i="68"/>
  <c r="J320" i="38"/>
  <c r="K32" i="54"/>
  <c r="L19" i="54"/>
  <c r="D341" i="41"/>
  <c r="H323" i="41"/>
  <c r="L313" i="41"/>
  <c r="CU82" i="8"/>
  <c r="H314" i="38"/>
  <c r="L362" i="41"/>
  <c r="M362" i="41"/>
  <c r="G470" i="41"/>
  <c r="BT135" i="8"/>
  <c r="BT134" i="8"/>
  <c r="DL109" i="8"/>
  <c r="DL108" i="8"/>
  <c r="M991" i="38"/>
  <c r="N981" i="38"/>
  <c r="M990" i="38"/>
  <c r="G1314" i="38"/>
  <c r="G1341" i="38"/>
  <c r="G1146" i="38"/>
  <c r="G1160" i="38"/>
  <c r="G1298" i="38"/>
  <c r="D25" i="68"/>
  <c r="BK41" i="8"/>
  <c r="BK40" i="8"/>
  <c r="BK35" i="8"/>
  <c r="DL87" i="8"/>
  <c r="DL86" i="8"/>
  <c r="DL81" i="8"/>
  <c r="BK17" i="8"/>
  <c r="BK16" i="8"/>
  <c r="BK11" i="8"/>
  <c r="DL66" i="8"/>
  <c r="DL63" i="8"/>
  <c r="CB52" i="8"/>
  <c r="CB48" i="8"/>
  <c r="I1025" i="41"/>
  <c r="K1025" i="41"/>
  <c r="CF104" i="58"/>
  <c r="M360" i="41"/>
  <c r="M365" i="41"/>
  <c r="M364" i="41"/>
  <c r="L360" i="41"/>
  <c r="L365" i="41"/>
  <c r="L364" i="41"/>
  <c r="Z420" i="41"/>
  <c r="V421" i="41"/>
  <c r="EF102" i="8"/>
  <c r="L1098" i="38"/>
  <c r="K1098" i="38"/>
  <c r="N1098" i="38"/>
  <c r="F106" i="54"/>
  <c r="DL167" i="8"/>
  <c r="DL166" i="8"/>
  <c r="DL165" i="8"/>
  <c r="CC258" i="8"/>
  <c r="CC257" i="8"/>
  <c r="CC256" i="8"/>
  <c r="F451" i="41"/>
  <c r="K364" i="41"/>
  <c r="F450" i="41"/>
  <c r="N19" i="54"/>
  <c r="M32" i="54"/>
  <c r="EB110" i="8"/>
  <c r="O425" i="41"/>
  <c r="F427" i="41"/>
  <c r="BP82" i="8"/>
  <c r="BP81" i="8"/>
  <c r="BP76" i="8"/>
  <c r="DG64" i="8"/>
  <c r="E1106" i="38"/>
  <c r="DL98" i="8"/>
  <c r="DL97" i="8"/>
  <c r="DL92" i="8"/>
  <c r="EF94" i="8"/>
  <c r="K1110" i="38"/>
  <c r="K1172" i="38"/>
  <c r="K1185" i="38"/>
  <c r="EB106" i="8"/>
  <c r="EB102" i="8"/>
  <c r="EB101" i="8"/>
  <c r="EB103" i="8"/>
  <c r="EF96" i="8"/>
  <c r="K1112" i="38"/>
  <c r="K1175" i="38"/>
  <c r="K1188" i="38"/>
  <c r="EF91" i="8"/>
  <c r="K1106" i="38"/>
  <c r="EF93" i="8"/>
  <c r="K1109" i="38"/>
  <c r="K1171" i="38"/>
  <c r="K1184" i="38"/>
  <c r="EF95" i="8"/>
  <c r="K1111" i="38"/>
  <c r="EB105" i="8"/>
  <c r="EF92" i="8"/>
  <c r="K1108" i="38"/>
  <c r="EB104" i="8"/>
  <c r="I698" i="41"/>
  <c r="J696" i="41"/>
  <c r="G694" i="41"/>
  <c r="G692" i="41"/>
  <c r="H476" i="41"/>
  <c r="I481" i="41"/>
  <c r="E471" i="41"/>
  <c r="J1516" i="41"/>
  <c r="Q1516" i="41"/>
  <c r="I1516" i="41"/>
  <c r="I482" i="41"/>
  <c r="H65" i="54"/>
  <c r="DN44" i="8"/>
  <c r="M65" i="54"/>
  <c r="I30" i="54"/>
  <c r="D1441" i="38"/>
  <c r="DG319" i="8"/>
  <c r="BD253" i="8"/>
  <c r="DL134" i="8"/>
  <c r="DL131" i="8"/>
  <c r="DL126" i="8"/>
  <c r="BD256" i="8"/>
  <c r="BD252" i="8"/>
  <c r="BD247" i="8"/>
  <c r="DL132" i="8"/>
  <c r="BT125" i="58"/>
  <c r="E448" i="41"/>
  <c r="J397" i="41"/>
  <c r="D404" i="41"/>
  <c r="N692" i="41"/>
  <c r="O692" i="41"/>
  <c r="P692" i="41"/>
  <c r="N697" i="41"/>
  <c r="O697" i="41"/>
  <c r="N694" i="41"/>
  <c r="O694" i="41"/>
  <c r="P694" i="41"/>
  <c r="N696" i="41"/>
  <c r="O696" i="41"/>
  <c r="P696" i="41"/>
  <c r="G695" i="41"/>
  <c r="I1030" i="41"/>
  <c r="CF108" i="58"/>
  <c r="CC177" i="8"/>
  <c r="CC176" i="8"/>
  <c r="DL144" i="8"/>
  <c r="DL143" i="8"/>
  <c r="D337" i="41"/>
  <c r="D335" i="41"/>
  <c r="D338" i="41"/>
  <c r="DL76" i="8"/>
  <c r="DL75" i="8"/>
  <c r="CB15" i="8"/>
  <c r="CB14" i="8"/>
  <c r="G693" i="41"/>
  <c r="DN43" i="8"/>
  <c r="F65" i="54"/>
  <c r="G30" i="54"/>
  <c r="O1440" i="38"/>
  <c r="L1440" i="38"/>
  <c r="M1440" i="38"/>
  <c r="P1440" i="38"/>
  <c r="I1440" i="38"/>
  <c r="J1440" i="38"/>
  <c r="BT124" i="58"/>
  <c r="E447" i="41"/>
  <c r="DL155" i="8"/>
  <c r="DL154" i="8"/>
  <c r="CC222" i="8"/>
  <c r="CC221" i="8"/>
  <c r="E1516" i="41"/>
  <c r="I1026" i="41"/>
  <c r="CF105" i="58"/>
  <c r="I1485" i="41"/>
  <c r="M1485" i="41"/>
  <c r="M1491" i="41"/>
  <c r="H1485" i="41"/>
  <c r="H1491" i="41"/>
  <c r="G1485" i="41"/>
  <c r="E1485" i="41"/>
  <c r="F1485" i="41"/>
  <c r="J1485" i="41"/>
  <c r="J1491" i="41"/>
  <c r="K1441" i="38"/>
  <c r="N1441" i="38"/>
  <c r="M1441" i="38"/>
  <c r="O1441" i="38"/>
  <c r="H324" i="41"/>
  <c r="L318" i="41"/>
  <c r="CM76" i="58"/>
  <c r="R990" i="38"/>
  <c r="H1010" i="38"/>
  <c r="CP89" i="8"/>
  <c r="U987" i="38"/>
  <c r="BT48" i="8"/>
  <c r="U979" i="38"/>
  <c r="AZ47" i="8"/>
  <c r="U983" i="38"/>
  <c r="AY221" i="8"/>
  <c r="U980" i="38"/>
  <c r="BL71" i="8"/>
  <c r="U986" i="38"/>
  <c r="BX249" i="8"/>
  <c r="U984" i="38"/>
  <c r="BO183" i="8"/>
  <c r="U982" i="38"/>
  <c r="BO125" i="8"/>
  <c r="U988" i="38"/>
  <c r="BT24" i="8"/>
  <c r="U985" i="38"/>
  <c r="BX206" i="8"/>
  <c r="EB122" i="8"/>
  <c r="M1098" i="38"/>
  <c r="CU81" i="8"/>
  <c r="J314" i="38"/>
  <c r="DD83" i="8"/>
  <c r="J693" i="41"/>
  <c r="CI109" i="58"/>
  <c r="D351" i="38"/>
  <c r="D352" i="38"/>
  <c r="D353" i="38"/>
  <c r="E19" i="54"/>
  <c r="F19" i="54"/>
  <c r="E54" i="54"/>
  <c r="H106" i="55"/>
  <c r="H108" i="55"/>
  <c r="D354" i="38"/>
  <c r="D355" i="38"/>
  <c r="D356" i="38"/>
  <c r="I19" i="54"/>
  <c r="J19" i="54"/>
  <c r="D347" i="38"/>
  <c r="D349" i="38"/>
  <c r="D350" i="38"/>
  <c r="D348" i="38"/>
  <c r="G19" i="54"/>
  <c r="H19" i="54"/>
  <c r="F54" i="54"/>
  <c r="CU102" i="8"/>
  <c r="CU101" i="8"/>
  <c r="CF11" i="8"/>
  <c r="D46" i="68"/>
  <c r="L32" i="54"/>
  <c r="J54" i="54"/>
  <c r="D1073" i="38"/>
  <c r="D1072" i="38"/>
  <c r="DD88" i="8"/>
  <c r="DD91" i="8"/>
  <c r="F1098" i="38"/>
  <c r="J319" i="38"/>
  <c r="DD87" i="8"/>
  <c r="D1068" i="38"/>
  <c r="D1074" i="38"/>
  <c r="D1069" i="38"/>
  <c r="BK278" i="8"/>
  <c r="BL185" i="8"/>
  <c r="J399" i="41"/>
  <c r="J403" i="41"/>
  <c r="J405" i="41"/>
  <c r="O427" i="41"/>
  <c r="V427" i="41"/>
  <c r="N366" i="41"/>
  <c r="N1144" i="38"/>
  <c r="N1145" i="38"/>
  <c r="N1159" i="38"/>
  <c r="N1142" i="38"/>
  <c r="N1156" i="38"/>
  <c r="N1298" i="38"/>
  <c r="N1146" i="38"/>
  <c r="N1160" i="38"/>
  <c r="N1301" i="38"/>
  <c r="N1141" i="38"/>
  <c r="N1305" i="38"/>
  <c r="N1143" i="38"/>
  <c r="N1157" i="38"/>
  <c r="J692" i="41"/>
  <c r="G698" i="41"/>
  <c r="K1404" i="38"/>
  <c r="K1243" i="38"/>
  <c r="K1295" i="38"/>
  <c r="K1168" i="38"/>
  <c r="K1115" i="38"/>
  <c r="I1028" i="41"/>
  <c r="CF106" i="58"/>
  <c r="K1440" i="38"/>
  <c r="N1440" i="38"/>
  <c r="CF112" i="58"/>
  <c r="Q1440" i="38"/>
  <c r="J694" i="41"/>
  <c r="I1029" i="41"/>
  <c r="CF107" i="58"/>
  <c r="CF110" i="58"/>
  <c r="D1512" i="41"/>
  <c r="F1512" i="41"/>
  <c r="P1512" i="41"/>
  <c r="G1512" i="41"/>
  <c r="N360" i="41"/>
  <c r="V420" i="41"/>
  <c r="N359" i="41"/>
  <c r="DL70" i="8"/>
  <c r="CB9" i="8"/>
  <c r="O981" i="38"/>
  <c r="N990" i="38"/>
  <c r="K1030" i="41"/>
  <c r="DD35" i="58"/>
  <c r="D149" i="68"/>
  <c r="DD31" i="58"/>
  <c r="D152" i="68"/>
  <c r="K1029" i="41"/>
  <c r="N32" i="54"/>
  <c r="L1310" i="38"/>
  <c r="L1337" i="38"/>
  <c r="L1297" i="38"/>
  <c r="L1412" i="38"/>
  <c r="L1307" i="38"/>
  <c r="L1334" i="38"/>
  <c r="L1298" i="38"/>
  <c r="L1145" i="38"/>
  <c r="L1159" i="38"/>
  <c r="L1314" i="38"/>
  <c r="L1341" i="38"/>
  <c r="L1302" i="38"/>
  <c r="L1295" i="38"/>
  <c r="L1304" i="38"/>
  <c r="L1331" i="38"/>
  <c r="L1149" i="38"/>
  <c r="L1163" i="38"/>
  <c r="L1150" i="38"/>
  <c r="L1143" i="38"/>
  <c r="L1157" i="38"/>
  <c r="L1142" i="38"/>
  <c r="L1156" i="38"/>
  <c r="L1313" i="38"/>
  <c r="L1144" i="38"/>
  <c r="L1146" i="38"/>
  <c r="L1160" i="38"/>
  <c r="L1312" i="38"/>
  <c r="L1339" i="38"/>
  <c r="L1306" i="38"/>
  <c r="L1316" i="38"/>
  <c r="L1343" i="38"/>
  <c r="L1308" i="38"/>
  <c r="L1335" i="38"/>
  <c r="L1311" i="38"/>
  <c r="L1315" i="38"/>
  <c r="L1303" i="38"/>
  <c r="L1330" i="38"/>
  <c r="L1300" i="38"/>
  <c r="L1327" i="38"/>
  <c r="L1299" i="38"/>
  <c r="L1141" i="38"/>
  <c r="L1139" i="38"/>
  <c r="L1309" i="38"/>
  <c r="CJ264" i="8"/>
  <c r="CU274" i="8"/>
  <c r="DG299" i="8"/>
  <c r="H1112" i="38"/>
  <c r="CM189" i="8"/>
  <c r="CU186" i="8"/>
  <c r="CU247" i="8"/>
  <c r="G469" i="41"/>
  <c r="D417" i="41"/>
  <c r="K1026" i="41"/>
  <c r="DD32" i="58"/>
  <c r="D148" i="68"/>
  <c r="Q1439" i="38"/>
  <c r="EB172" i="8"/>
  <c r="Q1442" i="38"/>
  <c r="EB138" i="8"/>
  <c r="Q1441" i="38"/>
  <c r="EF115" i="8"/>
  <c r="Q1438" i="38"/>
  <c r="EB155" i="8"/>
  <c r="J695" i="41"/>
  <c r="E1168" i="38"/>
  <c r="E1404" i="38"/>
  <c r="E1139" i="38"/>
  <c r="E1243" i="38"/>
  <c r="CJ9" i="8"/>
  <c r="J1106" i="38"/>
  <c r="DL58" i="8"/>
  <c r="CB43" i="8"/>
  <c r="H325" i="41"/>
  <c r="L314" i="41"/>
  <c r="K1297" i="38"/>
  <c r="K1313" i="38"/>
  <c r="K1141" i="38"/>
  <c r="K1315" i="38"/>
  <c r="K1146" i="38"/>
  <c r="K1142" i="38"/>
  <c r="K1143" i="38"/>
  <c r="K1310" i="38"/>
  <c r="K1337" i="38"/>
  <c r="K1306" i="38"/>
  <c r="K1307" i="38"/>
  <c r="K1334" i="38"/>
  <c r="K1139" i="38"/>
  <c r="D183" i="47"/>
  <c r="K1314" i="38"/>
  <c r="K1341" i="38"/>
  <c r="D1213" i="38"/>
  <c r="K1309" i="38"/>
  <c r="K1299" i="38"/>
  <c r="K1302" i="38"/>
  <c r="K1300" i="38"/>
  <c r="K1327" i="38"/>
  <c r="K1298" i="38"/>
  <c r="K1311" i="38"/>
  <c r="K1303" i="38"/>
  <c r="K1330" i="38"/>
  <c r="K1308" i="38"/>
  <c r="K1335" i="38"/>
  <c r="K1304" i="38"/>
  <c r="K1331" i="38"/>
  <c r="K1312" i="38"/>
  <c r="K1339" i="38"/>
  <c r="K476" i="41"/>
  <c r="J481" i="41"/>
  <c r="K481" i="41"/>
  <c r="M359" i="41"/>
  <c r="D470" i="41"/>
  <c r="D425" i="41"/>
  <c r="L359" i="41"/>
  <c r="D469" i="41"/>
  <c r="DM113" i="58"/>
  <c r="DM172" i="58"/>
  <c r="E1040" i="41"/>
  <c r="CM72" i="58"/>
  <c r="CM71" i="58"/>
  <c r="CM70" i="58"/>
  <c r="K1114" i="38"/>
  <c r="K1170" i="38"/>
  <c r="K1183" i="38"/>
  <c r="G425" i="41"/>
  <c r="K428" i="41"/>
  <c r="G423" i="41"/>
  <c r="G422" i="41"/>
  <c r="G424" i="41"/>
  <c r="O201" i="47"/>
  <c r="O1512" i="41"/>
  <c r="K1512" i="41"/>
  <c r="F1491" i="41"/>
  <c r="H1512" i="41"/>
  <c r="J1512" i="41"/>
  <c r="Q1512" i="41"/>
  <c r="AY222" i="8"/>
  <c r="DL129" i="8"/>
  <c r="G25" i="96"/>
  <c r="D324" i="41"/>
  <c r="I318" i="41"/>
  <c r="CU88" i="58"/>
  <c r="BT47" i="8"/>
  <c r="I32" i="54"/>
  <c r="BT49" i="8"/>
  <c r="AZ45" i="8"/>
  <c r="DL83" i="8"/>
  <c r="D44" i="68"/>
  <c r="BX205" i="8"/>
  <c r="BX207" i="8"/>
  <c r="AY223" i="8"/>
  <c r="DG317" i="8"/>
  <c r="I1111" i="38"/>
  <c r="BT25" i="8"/>
  <c r="D1024" i="38"/>
  <c r="E30" i="54"/>
  <c r="F30" i="54"/>
  <c r="E65" i="54"/>
  <c r="AZ46" i="8"/>
  <c r="DL84" i="8"/>
  <c r="BL72" i="8"/>
  <c r="DL95" i="8"/>
  <c r="BO181" i="8"/>
  <c r="BO124" i="8"/>
  <c r="EB137" i="8"/>
  <c r="BL73" i="8"/>
  <c r="BP80" i="8"/>
  <c r="DG68" i="8"/>
  <c r="E1111" i="38"/>
  <c r="U990" i="38"/>
  <c r="BO123" i="8"/>
  <c r="BX247" i="8"/>
  <c r="BO182" i="8"/>
  <c r="BX248" i="8"/>
  <c r="BT23" i="8"/>
  <c r="D1075" i="38"/>
  <c r="CU100" i="8"/>
  <c r="DG89" i="8"/>
  <c r="F1112" i="38"/>
  <c r="F1262" i="38"/>
  <c r="F1298" i="38"/>
  <c r="D24" i="68"/>
  <c r="H32" i="54"/>
  <c r="R1109" i="38"/>
  <c r="CP87" i="8"/>
  <c r="E1512" i="41"/>
  <c r="M54" i="54"/>
  <c r="H54" i="54"/>
  <c r="J32" i="54"/>
  <c r="R1110" i="38"/>
  <c r="CP88" i="8"/>
  <c r="CJ16" i="8"/>
  <c r="CF10" i="8"/>
  <c r="CF9" i="8"/>
  <c r="CF19" i="8"/>
  <c r="J1098" i="38"/>
  <c r="Q1098" i="38"/>
  <c r="D59" i="74"/>
  <c r="D15" i="68"/>
  <c r="D48" i="74"/>
  <c r="D49" i="74"/>
  <c r="C51" i="74"/>
  <c r="E486" i="41"/>
  <c r="H486" i="41"/>
  <c r="D1076" i="38"/>
  <c r="D29" i="68"/>
  <c r="R1111" i="38"/>
  <c r="G32" i="54"/>
  <c r="E487" i="41"/>
  <c r="H487" i="41"/>
  <c r="BT123" i="58"/>
  <c r="E446" i="41"/>
  <c r="K1028" i="41"/>
  <c r="DD33" i="58"/>
  <c r="DD34" i="58"/>
  <c r="DD37" i="58"/>
  <c r="D1164" i="41"/>
  <c r="D136" i="68"/>
  <c r="DL119" i="8"/>
  <c r="BT128" i="58"/>
  <c r="BT132" i="58"/>
  <c r="E452" i="41"/>
  <c r="J476" i="41"/>
  <c r="K1407" i="38"/>
  <c r="K1408" i="38"/>
  <c r="K1406" i="38"/>
  <c r="G427" i="41"/>
  <c r="F469" i="41"/>
  <c r="C481" i="41"/>
  <c r="F481" i="41"/>
  <c r="G476" i="41"/>
  <c r="D471" i="41"/>
  <c r="J1168" i="38"/>
  <c r="J1404" i="38"/>
  <c r="J1243" i="38"/>
  <c r="J1349" i="38"/>
  <c r="N1147" i="38"/>
  <c r="N1155" i="38"/>
  <c r="D372" i="41"/>
  <c r="J406" i="41"/>
  <c r="H1040" i="41"/>
  <c r="H1049" i="41"/>
  <c r="CM73" i="58"/>
  <c r="L1324" i="38"/>
  <c r="L1317" i="38"/>
  <c r="L1318" i="38"/>
  <c r="E1049" i="41"/>
  <c r="DM173" i="58"/>
  <c r="F1040" i="41"/>
  <c r="K1157" i="38"/>
  <c r="D186" i="47"/>
  <c r="D185" i="47"/>
  <c r="K1156" i="38"/>
  <c r="DG33" i="8"/>
  <c r="D1112" i="38"/>
  <c r="J698" i="41"/>
  <c r="D188" i="47"/>
  <c r="K1160" i="38"/>
  <c r="H1146" i="38"/>
  <c r="H1160" i="38"/>
  <c r="H1175" i="38"/>
  <c r="H1188" i="38"/>
  <c r="H1262" i="38"/>
  <c r="P425" i="41"/>
  <c r="P427" i="41"/>
  <c r="V426" i="41"/>
  <c r="D427" i="41"/>
  <c r="E1349" i="38"/>
  <c r="E1295" i="38"/>
  <c r="F482" i="41"/>
  <c r="C482" i="41"/>
  <c r="F470" i="41"/>
  <c r="D184" i="47"/>
  <c r="K1155" i="38"/>
  <c r="E1407" i="38"/>
  <c r="E1406" i="38"/>
  <c r="E1408" i="38"/>
  <c r="L1148" i="38"/>
  <c r="DL138" i="8"/>
  <c r="CC171" i="8"/>
  <c r="O202" i="47"/>
  <c r="Q201" i="47"/>
  <c r="S201" i="47"/>
  <c r="K201" i="47"/>
  <c r="K1317" i="38"/>
  <c r="K1318" i="38"/>
  <c r="K1324" i="38"/>
  <c r="L1155" i="38"/>
  <c r="L1147" i="38"/>
  <c r="O992" i="38"/>
  <c r="I117" i="47"/>
  <c r="I118" i="47"/>
  <c r="I119" i="47"/>
  <c r="O990" i="38"/>
  <c r="O991" i="38"/>
  <c r="BT122" i="58"/>
  <c r="E445" i="41"/>
  <c r="EF97" i="8"/>
  <c r="EB111" i="8"/>
  <c r="K1265" i="38"/>
  <c r="K1371" i="38"/>
  <c r="K1349" i="38"/>
  <c r="BN255" i="8"/>
  <c r="BT273" i="8"/>
  <c r="DL94" i="8"/>
  <c r="BP78" i="8"/>
  <c r="DG66" i="8"/>
  <c r="E1109" i="38"/>
  <c r="M1298" i="38"/>
  <c r="BK39" i="8"/>
  <c r="DL85" i="8"/>
  <c r="BK15" i="8"/>
  <c r="BD249" i="8"/>
  <c r="DG315" i="8"/>
  <c r="I1109" i="38"/>
  <c r="DL128" i="8"/>
  <c r="I1512" i="41"/>
  <c r="BD250" i="8"/>
  <c r="BL188" i="8"/>
  <c r="DG316" i="8"/>
  <c r="I1110" i="38"/>
  <c r="I1172" i="38"/>
  <c r="I1185" i="38"/>
  <c r="D334" i="41"/>
  <c r="I313" i="41"/>
  <c r="CU84" i="58"/>
  <c r="AZ44" i="8"/>
  <c r="BK36" i="8"/>
  <c r="BK37" i="8"/>
  <c r="DL60" i="8"/>
  <c r="BK38" i="8"/>
  <c r="CJ12" i="8"/>
  <c r="J1110" i="38"/>
  <c r="J1143" i="38"/>
  <c r="BK14" i="8"/>
  <c r="CB12" i="8"/>
  <c r="BP79" i="8"/>
  <c r="DG67" i="8"/>
  <c r="E1110" i="38"/>
  <c r="E1218" i="38"/>
  <c r="BD251" i="8"/>
  <c r="BK282" i="8"/>
  <c r="BK13" i="8"/>
  <c r="DL72" i="8"/>
  <c r="F1175" i="38"/>
  <c r="F1188" i="38"/>
  <c r="BO122" i="8"/>
  <c r="DN42" i="8"/>
  <c r="BT46" i="8"/>
  <c r="CP86" i="8"/>
  <c r="BL70" i="8"/>
  <c r="BP77" i="8"/>
  <c r="DG65" i="8"/>
  <c r="E1108" i="38"/>
  <c r="E1141" i="38"/>
  <c r="BT22" i="8"/>
  <c r="BX246" i="8"/>
  <c r="DL130" i="8"/>
  <c r="BO180" i="8"/>
  <c r="F32" i="54"/>
  <c r="R1108" i="38"/>
  <c r="R1115" i="38"/>
  <c r="BX204" i="8"/>
  <c r="AY220" i="8"/>
  <c r="E32" i="54"/>
  <c r="DL96" i="8"/>
  <c r="F1146" i="38"/>
  <c r="F1160" i="38"/>
  <c r="E1410" i="38"/>
  <c r="E1412" i="38"/>
  <c r="G486" i="41"/>
  <c r="G448" i="41"/>
  <c r="J314" i="41"/>
  <c r="N486" i="41"/>
  <c r="G447" i="41"/>
  <c r="J313" i="41"/>
  <c r="L486" i="41"/>
  <c r="G452" i="41"/>
  <c r="J318" i="41"/>
  <c r="CB49" i="8"/>
  <c r="CJ17" i="8"/>
  <c r="CJ15" i="8"/>
  <c r="CB51" i="8"/>
  <c r="DL64" i="8"/>
  <c r="C16" i="68"/>
  <c r="W70" i="53"/>
  <c r="S69" i="53"/>
  <c r="C15" i="68"/>
  <c r="W69" i="53"/>
  <c r="C13" i="68"/>
  <c r="W67" i="53"/>
  <c r="C14" i="68"/>
  <c r="W68" i="53"/>
  <c r="C17" i="68"/>
  <c r="W71" i="53"/>
  <c r="C18" i="68"/>
  <c r="W72" i="53"/>
  <c r="C19" i="68"/>
  <c r="W73" i="53"/>
  <c r="D76" i="74"/>
  <c r="D77" i="74"/>
  <c r="D72" i="74"/>
  <c r="D74" i="74"/>
  <c r="D73" i="74"/>
  <c r="D66" i="74"/>
  <c r="D71" i="74"/>
  <c r="D75" i="74"/>
  <c r="J1146" i="38"/>
  <c r="J1160" i="38"/>
  <c r="J1298" i="38"/>
  <c r="J1295" i="38"/>
  <c r="J1314" i="38"/>
  <c r="J1341" i="38"/>
  <c r="J1139" i="38"/>
  <c r="D228" i="47"/>
  <c r="L487" i="41"/>
  <c r="H452" i="41"/>
  <c r="CF152" i="58"/>
  <c r="E488" i="41"/>
  <c r="G487" i="41"/>
  <c r="H448" i="41"/>
  <c r="CF149" i="58"/>
  <c r="DD155" i="58"/>
  <c r="H447" i="41"/>
  <c r="CF148" i="58"/>
  <c r="DD154" i="58"/>
  <c r="D155" i="68"/>
  <c r="K1410" i="38"/>
  <c r="K1412" i="38"/>
  <c r="N487" i="41"/>
  <c r="G1040" i="41"/>
  <c r="DL149" i="8"/>
  <c r="CC216" i="8"/>
  <c r="DD158" i="58"/>
  <c r="J1408" i="38"/>
  <c r="J1406" i="38"/>
  <c r="J1407" i="38"/>
  <c r="DL103" i="8"/>
  <c r="BT129" i="8"/>
  <c r="H1368" i="38"/>
  <c r="H1395" i="38"/>
  <c r="H1314" i="38"/>
  <c r="H1341" i="38"/>
  <c r="I1040" i="41"/>
  <c r="I476" i="41"/>
  <c r="G481" i="41"/>
  <c r="H481" i="41"/>
  <c r="D487" i="41"/>
  <c r="G477" i="41"/>
  <c r="EB154" i="8"/>
  <c r="N1112" i="38"/>
  <c r="EB134" i="8"/>
  <c r="M1112" i="38"/>
  <c r="EB171" i="8"/>
  <c r="O1112" i="38"/>
  <c r="EF114" i="8"/>
  <c r="L1112" i="38"/>
  <c r="D1262" i="38"/>
  <c r="D1146" i="38"/>
  <c r="D1160" i="38"/>
  <c r="D1175" i="38"/>
  <c r="D1188" i="38"/>
  <c r="H189" i="55"/>
  <c r="K17" i="56"/>
  <c r="E1112" i="41"/>
  <c r="BN132" i="58"/>
  <c r="H375" i="41"/>
  <c r="F483" i="41"/>
  <c r="C483" i="41"/>
  <c r="E200" i="47"/>
  <c r="E199" i="47"/>
  <c r="E193" i="47"/>
  <c r="E202" i="47"/>
  <c r="E196" i="47"/>
  <c r="E195" i="47"/>
  <c r="E198" i="47"/>
  <c r="E197" i="47"/>
  <c r="E201" i="47"/>
  <c r="E194" i="47"/>
  <c r="N365" i="41"/>
  <c r="V425" i="41"/>
  <c r="N364" i="41"/>
  <c r="F198" i="47"/>
  <c r="F201" i="47"/>
  <c r="F200" i="47"/>
  <c r="F202" i="47"/>
  <c r="F195" i="47"/>
  <c r="F197" i="47"/>
  <c r="F199" i="47"/>
  <c r="F194" i="47"/>
  <c r="F196" i="47"/>
  <c r="F193" i="47"/>
  <c r="F1368" i="38"/>
  <c r="F1395" i="38"/>
  <c r="F1314" i="38"/>
  <c r="F1341" i="38"/>
  <c r="G199" i="47"/>
  <c r="G196" i="47"/>
  <c r="G201" i="47"/>
  <c r="G193" i="47"/>
  <c r="G197" i="47"/>
  <c r="G194" i="47"/>
  <c r="G195" i="47"/>
  <c r="G198" i="47"/>
  <c r="G200" i="47"/>
  <c r="G202" i="47"/>
  <c r="O203" i="47"/>
  <c r="S207" i="47"/>
  <c r="S206" i="47"/>
  <c r="Q202" i="47"/>
  <c r="I200" i="47"/>
  <c r="I203" i="47"/>
  <c r="I194" i="47"/>
  <c r="I201" i="47"/>
  <c r="I199" i="47"/>
  <c r="I193" i="47"/>
  <c r="I195" i="47"/>
  <c r="I197" i="47"/>
  <c r="I198" i="47"/>
  <c r="I196" i="47"/>
  <c r="I202" i="47"/>
  <c r="I1214" i="38"/>
  <c r="I1171" i="38"/>
  <c r="I1184" i="38"/>
  <c r="I1142" i="38"/>
  <c r="I1156" i="38"/>
  <c r="I1218" i="38"/>
  <c r="CB13" i="8"/>
  <c r="DL74" i="8"/>
  <c r="Q1298" i="38"/>
  <c r="BL187" i="8"/>
  <c r="BK280" i="8"/>
  <c r="E1214" i="38"/>
  <c r="E1171" i="38"/>
  <c r="E1184" i="38"/>
  <c r="E1142" i="38"/>
  <c r="E1156" i="38"/>
  <c r="CB47" i="8"/>
  <c r="CJ13" i="8"/>
  <c r="J1111" i="38"/>
  <c r="DL62" i="8"/>
  <c r="BK281" i="8"/>
  <c r="BT276" i="8"/>
  <c r="I1143" i="38"/>
  <c r="I1157" i="38"/>
  <c r="D336" i="41"/>
  <c r="D342" i="41"/>
  <c r="CO93" i="58"/>
  <c r="DM123" i="58"/>
  <c r="I312" i="41"/>
  <c r="I311" i="41"/>
  <c r="CU82" i="58"/>
  <c r="BK12" i="8"/>
  <c r="DL71" i="8"/>
  <c r="DL59" i="8"/>
  <c r="CB46" i="8"/>
  <c r="DL61" i="8"/>
  <c r="DL82" i="8"/>
  <c r="CB45" i="8"/>
  <c r="CJ11" i="8"/>
  <c r="J1109" i="38"/>
  <c r="J1142" i="38"/>
  <c r="J1156" i="38"/>
  <c r="E1170" i="38"/>
  <c r="E1183" i="38"/>
  <c r="E1172" i="38"/>
  <c r="E1185" i="38"/>
  <c r="DL73" i="8"/>
  <c r="E1114" i="38"/>
  <c r="E1143" i="38"/>
  <c r="E1157" i="38"/>
  <c r="BL189" i="8"/>
  <c r="CC175" i="8"/>
  <c r="CB11" i="8"/>
  <c r="E1245" i="38"/>
  <c r="E1351" i="38"/>
  <c r="E1378" i="38"/>
  <c r="CB44" i="8"/>
  <c r="CJ10" i="8"/>
  <c r="J1108" i="38"/>
  <c r="J1141" i="38"/>
  <c r="D229" i="47"/>
  <c r="CF129" i="58"/>
  <c r="R1114" i="38"/>
  <c r="DL93" i="8"/>
  <c r="E1413" i="38"/>
  <c r="E1115" i="38"/>
  <c r="DG314" i="8"/>
  <c r="I1108" i="38"/>
  <c r="DL127" i="8"/>
  <c r="BD248" i="8"/>
  <c r="E1414" i="38"/>
  <c r="G203" i="47"/>
  <c r="M486" i="41"/>
  <c r="CF125" i="58"/>
  <c r="CI130" i="58"/>
  <c r="J1410" i="38"/>
  <c r="J1413" i="38"/>
  <c r="E203" i="47"/>
  <c r="G1206" i="38"/>
  <c r="CU92" i="58"/>
  <c r="C62" i="74"/>
  <c r="E62" i="74"/>
  <c r="C58" i="74"/>
  <c r="E58" i="74"/>
  <c r="C60" i="74"/>
  <c r="E60" i="74"/>
  <c r="C59" i="74"/>
  <c r="E59" i="74"/>
  <c r="C63" i="74"/>
  <c r="E63" i="74"/>
  <c r="C61" i="74"/>
  <c r="E61" i="74"/>
  <c r="C57" i="74"/>
  <c r="CF126" i="58"/>
  <c r="CF156" i="58"/>
  <c r="CI153" i="58"/>
  <c r="M487" i="41"/>
  <c r="K1413" i="38"/>
  <c r="K1414" i="38"/>
  <c r="D486" i="41"/>
  <c r="D488" i="41"/>
  <c r="Q1112" i="38"/>
  <c r="P1125" i="38"/>
  <c r="BT126" i="58"/>
  <c r="E450" i="41"/>
  <c r="M1125" i="38"/>
  <c r="M1175" i="38"/>
  <c r="M1188" i="38"/>
  <c r="M1262" i="38"/>
  <c r="M1206" i="38"/>
  <c r="M1146" i="38"/>
  <c r="M1160" i="38"/>
  <c r="BT127" i="58"/>
  <c r="BT130" i="58"/>
  <c r="E451" i="41"/>
  <c r="DM111" i="58"/>
  <c r="BT142" i="58"/>
  <c r="I1125" i="38"/>
  <c r="J1125" i="38"/>
  <c r="N1125" i="38"/>
  <c r="N1206" i="38"/>
  <c r="N1175" i="38"/>
  <c r="N1188" i="38"/>
  <c r="N1262" i="38"/>
  <c r="K1125" i="38"/>
  <c r="L1175" i="38"/>
  <c r="L1188" i="38"/>
  <c r="L1262" i="38"/>
  <c r="L1206" i="38"/>
  <c r="L1125" i="38"/>
  <c r="H1206" i="38"/>
  <c r="H1125" i="38"/>
  <c r="F1125" i="38"/>
  <c r="O1125" i="38"/>
  <c r="O1175" i="38"/>
  <c r="O1188" i="38"/>
  <c r="O1206" i="38"/>
  <c r="O1262" i="38"/>
  <c r="E1125" i="38"/>
  <c r="Q203" i="47"/>
  <c r="S203" i="47"/>
  <c r="K203" i="47"/>
  <c r="S202" i="47"/>
  <c r="K202" i="47"/>
  <c r="L17" i="56"/>
  <c r="H445" i="41"/>
  <c r="F487" i="41"/>
  <c r="F203" i="47"/>
  <c r="H195" i="55"/>
  <c r="H196" i="55"/>
  <c r="D373" i="41"/>
  <c r="F212" i="55"/>
  <c r="H213" i="55"/>
  <c r="D460" i="41"/>
  <c r="D461" i="41"/>
  <c r="D462" i="41"/>
  <c r="H217" i="55"/>
  <c r="G1125" i="38"/>
  <c r="K313" i="41"/>
  <c r="K318" i="41"/>
  <c r="DD90" i="58"/>
  <c r="D1125" i="38"/>
  <c r="I1206" i="38"/>
  <c r="J1206" i="38"/>
  <c r="E1206" i="38"/>
  <c r="F1206" i="38"/>
  <c r="P1206" i="38"/>
  <c r="D1206" i="38"/>
  <c r="D1314" i="38"/>
  <c r="D1368" i="38"/>
  <c r="D1395" i="38"/>
  <c r="J1040" i="41"/>
  <c r="I1049" i="41"/>
  <c r="CJ96" i="8"/>
  <c r="CJ145" i="8"/>
  <c r="DG151" i="8"/>
  <c r="G1106" i="38"/>
  <c r="CJ122" i="8"/>
  <c r="CC251" i="8"/>
  <c r="DL160" i="8"/>
  <c r="D231" i="47"/>
  <c r="J1157" i="38"/>
  <c r="CC173" i="8"/>
  <c r="DL140" i="8"/>
  <c r="J1172" i="38"/>
  <c r="J1185" i="38"/>
  <c r="J1218" i="38"/>
  <c r="DL141" i="8"/>
  <c r="CC174" i="8"/>
  <c r="BN259" i="8"/>
  <c r="BT277" i="8"/>
  <c r="BN257" i="8"/>
  <c r="BT275" i="8"/>
  <c r="E1219" i="38"/>
  <c r="E1222" i="38"/>
  <c r="E1252" i="38"/>
  <c r="E1155" i="38"/>
  <c r="I1219" i="38"/>
  <c r="I1222" i="38"/>
  <c r="I1252" i="38"/>
  <c r="BN258" i="8"/>
  <c r="H320" i="41"/>
  <c r="CU83" i="58"/>
  <c r="CB10" i="8"/>
  <c r="H117" i="55"/>
  <c r="H121" i="55"/>
  <c r="D348" i="41"/>
  <c r="D349" i="41"/>
  <c r="D350" i="41"/>
  <c r="E19" i="56"/>
  <c r="F19" i="56"/>
  <c r="E54" i="56"/>
  <c r="CU104" i="58"/>
  <c r="K19" i="56"/>
  <c r="L19" i="56"/>
  <c r="J54" i="56"/>
  <c r="E1111" i="41"/>
  <c r="E1118" i="41"/>
  <c r="E1120" i="41"/>
  <c r="E1122" i="41"/>
  <c r="E1123" i="41"/>
  <c r="E1124" i="41"/>
  <c r="D1129" i="41"/>
  <c r="H326" i="41"/>
  <c r="J1214" i="38"/>
  <c r="J1171" i="38"/>
  <c r="J1184" i="38"/>
  <c r="D230" i="47"/>
  <c r="F246" i="47"/>
  <c r="E1297" i="38"/>
  <c r="E1324" i="38"/>
  <c r="CF133" i="58"/>
  <c r="CI152" i="58"/>
  <c r="J1115" i="38"/>
  <c r="DL142" i="8"/>
  <c r="J1114" i="38"/>
  <c r="J1170" i="38"/>
  <c r="J1183" i="38"/>
  <c r="J1245" i="38"/>
  <c r="J1297" i="38"/>
  <c r="J1324" i="38"/>
  <c r="J1155" i="38"/>
  <c r="J1414" i="38"/>
  <c r="BK279" i="8"/>
  <c r="BL186" i="8"/>
  <c r="I1245" i="38"/>
  <c r="I1141" i="38"/>
  <c r="I1155" i="38"/>
  <c r="I1114" i="38"/>
  <c r="I1115" i="38"/>
  <c r="I1170" i="38"/>
  <c r="I1183" i="38"/>
  <c r="J1412" i="38"/>
  <c r="O486" i="41"/>
  <c r="F486" i="41"/>
  <c r="I486" i="41"/>
  <c r="G450" i="41"/>
  <c r="CF127" i="58"/>
  <c r="D1289" i="38"/>
  <c r="J1289" i="38"/>
  <c r="G445" i="41"/>
  <c r="CF123" i="58"/>
  <c r="E57" i="74"/>
  <c r="E66" i="74"/>
  <c r="C66" i="74"/>
  <c r="K315" i="41"/>
  <c r="K1040" i="41"/>
  <c r="K1049" i="41"/>
  <c r="J1049" i="41"/>
  <c r="D1056" i="41"/>
  <c r="D1059" i="41"/>
  <c r="D1061" i="41"/>
  <c r="D1064" i="41"/>
  <c r="L1040" i="41"/>
  <c r="L1368" i="38"/>
  <c r="L1395" i="38"/>
  <c r="L1289" i="38"/>
  <c r="F1289" i="38"/>
  <c r="H1289" i="38"/>
  <c r="D375" i="41"/>
  <c r="G17" i="56"/>
  <c r="H17" i="56"/>
  <c r="D374" i="41"/>
  <c r="D376" i="41"/>
  <c r="D377" i="41"/>
  <c r="E1289" i="38"/>
  <c r="C115" i="68"/>
  <c r="D1341" i="38"/>
  <c r="D115" i="68"/>
  <c r="M1368" i="38"/>
  <c r="M1395" i="38"/>
  <c r="M1289" i="38"/>
  <c r="M1314" i="38"/>
  <c r="M1341" i="38"/>
  <c r="CU269" i="8"/>
  <c r="DG294" i="8"/>
  <c r="H1106" i="38"/>
  <c r="CJ259" i="8"/>
  <c r="CU242" i="8"/>
  <c r="CM184" i="8"/>
  <c r="CU181" i="8"/>
  <c r="P1289" i="38"/>
  <c r="Q1206" i="38"/>
  <c r="O1289" i="38"/>
  <c r="O1314" i="38"/>
  <c r="O1341" i="38"/>
  <c r="O1368" i="38"/>
  <c r="O1395" i="38"/>
  <c r="Q1175" i="38"/>
  <c r="Q1188" i="38"/>
  <c r="Q1125" i="38"/>
  <c r="Q1146" i="38"/>
  <c r="Q1160" i="38"/>
  <c r="H220" i="55"/>
  <c r="D463" i="41"/>
  <c r="D464" i="41"/>
  <c r="D465" i="41"/>
  <c r="E18" i="56"/>
  <c r="F18" i="56"/>
  <c r="H218" i="55"/>
  <c r="H219" i="55"/>
  <c r="D378" i="41"/>
  <c r="D379" i="41"/>
  <c r="D380" i="41"/>
  <c r="E17" i="56"/>
  <c r="F17" i="56"/>
  <c r="E52" i="56"/>
  <c r="I18" i="56"/>
  <c r="J18" i="56"/>
  <c r="H214" i="55"/>
  <c r="H215" i="55"/>
  <c r="G1289" i="38"/>
  <c r="K1289" i="38"/>
  <c r="G1139" i="38"/>
  <c r="G1168" i="38"/>
  <c r="G1404" i="38"/>
  <c r="G1243" i="38"/>
  <c r="Q1262" i="38"/>
  <c r="K314" i="41"/>
  <c r="DD87" i="58"/>
  <c r="DD86" i="58"/>
  <c r="D154" i="68"/>
  <c r="CF146" i="58"/>
  <c r="DD152" i="58"/>
  <c r="H446" i="41"/>
  <c r="CF147" i="58"/>
  <c r="DD153" i="58"/>
  <c r="N1368" i="38"/>
  <c r="N1395" i="38"/>
  <c r="N1289" i="38"/>
  <c r="N1314" i="38"/>
  <c r="N1341" i="38"/>
  <c r="J52" i="56"/>
  <c r="H451" i="41"/>
  <c r="CF151" i="58"/>
  <c r="I487" i="41"/>
  <c r="H450" i="41"/>
  <c r="CF150" i="58"/>
  <c r="DD156" i="58"/>
  <c r="I1358" i="38"/>
  <c r="I1385" i="38"/>
  <c r="I1304" i="38"/>
  <c r="I1331" i="38"/>
  <c r="I1289" i="38"/>
  <c r="G241" i="47"/>
  <c r="G245" i="47"/>
  <c r="G239" i="47"/>
  <c r="G240" i="47"/>
  <c r="G242" i="47"/>
  <c r="G246" i="47"/>
  <c r="G244" i="47"/>
  <c r="G237" i="47"/>
  <c r="G238" i="47"/>
  <c r="G243" i="47"/>
  <c r="F239" i="47"/>
  <c r="E241" i="47"/>
  <c r="E237" i="47"/>
  <c r="E239" i="47"/>
  <c r="E240" i="47"/>
  <c r="E245" i="47"/>
  <c r="E246" i="47"/>
  <c r="E243" i="47"/>
  <c r="E242" i="47"/>
  <c r="E238" i="47"/>
  <c r="E244" i="47"/>
  <c r="DL151" i="8"/>
  <c r="CC218" i="8"/>
  <c r="BT131" i="8"/>
  <c r="DL105" i="8"/>
  <c r="DL106" i="8"/>
  <c r="BT132" i="8"/>
  <c r="CC219" i="8"/>
  <c r="DL152" i="8"/>
  <c r="DL153" i="8"/>
  <c r="CC220" i="8"/>
  <c r="J1222" i="38"/>
  <c r="J1252" i="38"/>
  <c r="J1219" i="38"/>
  <c r="BT133" i="8"/>
  <c r="DL107" i="8"/>
  <c r="E1304" i="38"/>
  <c r="E1331" i="38"/>
  <c r="E1358" i="38"/>
  <c r="E1385" i="38"/>
  <c r="L32" i="56"/>
  <c r="D143" i="68"/>
  <c r="H119" i="55"/>
  <c r="H120" i="55"/>
  <c r="D343" i="41"/>
  <c r="D344" i="41"/>
  <c r="D346" i="41"/>
  <c r="D347" i="41"/>
  <c r="H122" i="55"/>
  <c r="D1133" i="41"/>
  <c r="D1136" i="41"/>
  <c r="K32" i="56"/>
  <c r="D160" i="68"/>
  <c r="D1143" i="41"/>
  <c r="H123" i="55"/>
  <c r="D351" i="41"/>
  <c r="D352" i="41"/>
  <c r="D353" i="41"/>
  <c r="I19" i="56"/>
  <c r="J19" i="56"/>
  <c r="M54" i="56"/>
  <c r="D1146" i="41"/>
  <c r="F241" i="47"/>
  <c r="D1140" i="41"/>
  <c r="D1141" i="41"/>
  <c r="F242" i="47"/>
  <c r="F238" i="47"/>
  <c r="F243" i="47"/>
  <c r="F245" i="47"/>
  <c r="F240" i="47"/>
  <c r="F244" i="47"/>
  <c r="F237" i="47"/>
  <c r="G446" i="41"/>
  <c r="J312" i="41"/>
  <c r="K312" i="41"/>
  <c r="CI108" i="58"/>
  <c r="CI128" i="58"/>
  <c r="CI129" i="58"/>
  <c r="CI107" i="58"/>
  <c r="J1351" i="38"/>
  <c r="J1378" i="38"/>
  <c r="I1297" i="38"/>
  <c r="I1324" i="38"/>
  <c r="I1351" i="38"/>
  <c r="I1378" i="38"/>
  <c r="CC172" i="8"/>
  <c r="DL139" i="8"/>
  <c r="BT274" i="8"/>
  <c r="BN256" i="8"/>
  <c r="G451" i="41"/>
  <c r="J317" i="41"/>
  <c r="J316" i="41"/>
  <c r="DG28" i="8"/>
  <c r="D1106" i="38"/>
  <c r="D1139" i="38"/>
  <c r="J311" i="41"/>
  <c r="K311" i="41"/>
  <c r="DD84" i="58"/>
  <c r="D51" i="75"/>
  <c r="D52" i="75"/>
  <c r="C54" i="75"/>
  <c r="H53" i="56"/>
  <c r="M53" i="56"/>
  <c r="BY115" i="58"/>
  <c r="D130" i="68"/>
  <c r="D64" i="75"/>
  <c r="L1049" i="41"/>
  <c r="L1051" i="41"/>
  <c r="L1050" i="41"/>
  <c r="D1486" i="41"/>
  <c r="M19" i="56"/>
  <c r="M1040" i="41"/>
  <c r="P1040" i="41"/>
  <c r="G1407" i="38"/>
  <c r="G1408" i="38"/>
  <c r="G1406" i="38"/>
  <c r="D1130" i="41"/>
  <c r="D1131" i="41"/>
  <c r="CF154" i="58"/>
  <c r="DD157" i="58"/>
  <c r="DD160" i="58"/>
  <c r="G1164" i="41"/>
  <c r="DL114" i="8"/>
  <c r="CU95" i="8"/>
  <c r="DG84" i="8"/>
  <c r="F1106" i="38"/>
  <c r="D1070" i="41"/>
  <c r="D1072" i="41"/>
  <c r="G1295" i="38"/>
  <c r="G1349" i="38"/>
  <c r="BY113" i="58"/>
  <c r="E53" i="56"/>
  <c r="Q1289" i="38"/>
  <c r="Q1368" i="38"/>
  <c r="Q1314" i="38"/>
  <c r="Q1341" i="38"/>
  <c r="BT131" i="58"/>
  <c r="H1243" i="38"/>
  <c r="H1139" i="38"/>
  <c r="H1168" i="38"/>
  <c r="H1404" i="38"/>
  <c r="F52" i="56"/>
  <c r="D1076" i="41"/>
  <c r="D1081" i="41"/>
  <c r="J31" i="56"/>
  <c r="D1078" i="41"/>
  <c r="G247" i="47"/>
  <c r="J1358" i="38"/>
  <c r="J1385" i="38"/>
  <c r="J1304" i="38"/>
  <c r="J1331" i="38"/>
  <c r="E247" i="47"/>
  <c r="CJ99" i="8"/>
  <c r="CJ148" i="8"/>
  <c r="DG154" i="8"/>
  <c r="G1110" i="38"/>
  <c r="CJ125" i="8"/>
  <c r="CJ98" i="8"/>
  <c r="CJ124" i="8"/>
  <c r="CJ147" i="8"/>
  <c r="DG153" i="8"/>
  <c r="G1109" i="38"/>
  <c r="CJ126" i="8"/>
  <c r="CJ149" i="8"/>
  <c r="DG155" i="8"/>
  <c r="G1111" i="38"/>
  <c r="CJ100" i="8"/>
  <c r="DL164" i="8"/>
  <c r="CC255" i="8"/>
  <c r="DL163" i="8"/>
  <c r="CC254" i="8"/>
  <c r="DL162" i="8"/>
  <c r="CC253" i="8"/>
  <c r="R1175" i="41"/>
  <c r="D1135" i="41"/>
  <c r="D345" i="41"/>
  <c r="G19" i="56"/>
  <c r="H19" i="56"/>
  <c r="CF12" i="58"/>
  <c r="CI17" i="58"/>
  <c r="H54" i="56"/>
  <c r="H124" i="55"/>
  <c r="D1134" i="41"/>
  <c r="D1137" i="41"/>
  <c r="F247" i="47"/>
  <c r="CF124" i="58"/>
  <c r="D459" i="41"/>
  <c r="D63" i="75"/>
  <c r="D77" i="75"/>
  <c r="D1243" i="38"/>
  <c r="D1295" i="38"/>
  <c r="C96" i="68"/>
  <c r="D1168" i="38"/>
  <c r="DL150" i="8"/>
  <c r="CC217" i="8"/>
  <c r="CF128" i="58"/>
  <c r="CF131" i="58"/>
  <c r="D1404" i="38"/>
  <c r="D1407" i="38"/>
  <c r="BT130" i="8"/>
  <c r="DL104" i="8"/>
  <c r="D129" i="68"/>
  <c r="C133" i="68"/>
  <c r="X73" i="53"/>
  <c r="G1410" i="38"/>
  <c r="G1413" i="38"/>
  <c r="D1138" i="41"/>
  <c r="H31" i="56"/>
  <c r="N1040" i="41"/>
  <c r="M1050" i="41"/>
  <c r="M1049" i="41"/>
  <c r="H1406" i="38"/>
  <c r="H1407" i="38"/>
  <c r="H1408" i="38"/>
  <c r="M66" i="56"/>
  <c r="H66" i="56"/>
  <c r="I31" i="56"/>
  <c r="I32" i="56"/>
  <c r="DO45" i="58"/>
  <c r="J32" i="56"/>
  <c r="R1174" i="41"/>
  <c r="H1349" i="38"/>
  <c r="H1295" i="38"/>
  <c r="G1374" i="41"/>
  <c r="G1401" i="41"/>
  <c r="D139" i="68"/>
  <c r="G1210" i="41"/>
  <c r="G1223" i="41"/>
  <c r="N19" i="56"/>
  <c r="M32" i="56"/>
  <c r="G1486" i="41"/>
  <c r="D1491" i="41"/>
  <c r="L1486" i="41"/>
  <c r="L1491" i="41"/>
  <c r="E1486" i="41"/>
  <c r="I1486" i="41"/>
  <c r="K1486" i="41"/>
  <c r="K1491" i="41"/>
  <c r="F1243" i="38"/>
  <c r="F1168" i="38"/>
  <c r="F1139" i="38"/>
  <c r="F1404" i="38"/>
  <c r="P1049" i="41"/>
  <c r="Q1040" i="41"/>
  <c r="R1040" i="41"/>
  <c r="R1049" i="41"/>
  <c r="DQ48" i="58"/>
  <c r="T70" i="53"/>
  <c r="Q1395" i="38"/>
  <c r="D75" i="68"/>
  <c r="W32" i="53"/>
  <c r="C75" i="68"/>
  <c r="S32" i="53"/>
  <c r="DD85" i="58"/>
  <c r="K317" i="41"/>
  <c r="EB129" i="8"/>
  <c r="M1106" i="38"/>
  <c r="EF109" i="8"/>
  <c r="L1106" i="38"/>
  <c r="EB166" i="8"/>
  <c r="O1106" i="38"/>
  <c r="EB149" i="8"/>
  <c r="N1106" i="38"/>
  <c r="G1214" i="38"/>
  <c r="G1171" i="38"/>
  <c r="G1184" i="38"/>
  <c r="G1142" i="38"/>
  <c r="G1156" i="38"/>
  <c r="CM186" i="8"/>
  <c r="CU183" i="8"/>
  <c r="CU244" i="8"/>
  <c r="CU271" i="8"/>
  <c r="DG296" i="8"/>
  <c r="H1109" i="38"/>
  <c r="CJ261" i="8"/>
  <c r="G1172" i="38"/>
  <c r="G1185" i="38"/>
  <c r="G1218" i="38"/>
  <c r="G1143" i="38"/>
  <c r="G1157" i="38"/>
  <c r="CU246" i="8"/>
  <c r="CJ263" i="8"/>
  <c r="CM188" i="8"/>
  <c r="CU185" i="8"/>
  <c r="CU273" i="8"/>
  <c r="DG298" i="8"/>
  <c r="H1111" i="38"/>
  <c r="CJ262" i="8"/>
  <c r="CU245" i="8"/>
  <c r="CU272" i="8"/>
  <c r="DG297" i="8"/>
  <c r="H1110" i="38"/>
  <c r="CM187" i="8"/>
  <c r="CU184" i="8"/>
  <c r="H32" i="56"/>
  <c r="R1173" i="41"/>
  <c r="J1164" i="41"/>
  <c r="J1374" i="41"/>
  <c r="J1401" i="41"/>
  <c r="CF11" i="58"/>
  <c r="CF10" i="58"/>
  <c r="CF20" i="58"/>
  <c r="CB55" i="58"/>
  <c r="D70" i="75"/>
  <c r="C61" i="75"/>
  <c r="E61" i="75"/>
  <c r="D80" i="75"/>
  <c r="D76" i="75"/>
  <c r="D75" i="75"/>
  <c r="D79" i="75"/>
  <c r="D81" i="75"/>
  <c r="D78" i="75"/>
  <c r="C132" i="68"/>
  <c r="X72" i="53"/>
  <c r="C127" i="68"/>
  <c r="X67" i="53"/>
  <c r="C131" i="68"/>
  <c r="X71" i="53"/>
  <c r="C129" i="68"/>
  <c r="X69" i="53"/>
  <c r="T69" i="53"/>
  <c r="C130" i="68"/>
  <c r="X70" i="53"/>
  <c r="C128" i="68"/>
  <c r="X68" i="53"/>
  <c r="D1349" i="38"/>
  <c r="G1414" i="38"/>
  <c r="DO44" i="58"/>
  <c r="G1412" i="38"/>
  <c r="D1408" i="38"/>
  <c r="G31" i="56"/>
  <c r="G32" i="56"/>
  <c r="D1406" i="38"/>
  <c r="DL161" i="8"/>
  <c r="CC252" i="8"/>
  <c r="CJ123" i="8"/>
  <c r="CJ146" i="8"/>
  <c r="DG152" i="8"/>
  <c r="G1108" i="38"/>
  <c r="CJ97" i="8"/>
  <c r="F66" i="56"/>
  <c r="G1119" i="38"/>
  <c r="F1200" i="38"/>
  <c r="H1410" i="38"/>
  <c r="H1414" i="38"/>
  <c r="O1513" i="41"/>
  <c r="E1491" i="41"/>
  <c r="L1518" i="41"/>
  <c r="M1518" i="41"/>
  <c r="F1406" i="38"/>
  <c r="F1408" i="38"/>
  <c r="F1407" i="38"/>
  <c r="N1404" i="38"/>
  <c r="N1119" i="38"/>
  <c r="N1168" i="38"/>
  <c r="N1243" i="38"/>
  <c r="N1139" i="38"/>
  <c r="N1148" i="38"/>
  <c r="N1200" i="38"/>
  <c r="K316" i="41"/>
  <c r="DD88" i="58"/>
  <c r="DD89" i="58"/>
  <c r="DD92" i="58"/>
  <c r="F1164" i="41"/>
  <c r="D138" i="68"/>
  <c r="O1243" i="38"/>
  <c r="O1404" i="38"/>
  <c r="O1200" i="38"/>
  <c r="O1119" i="38"/>
  <c r="O1139" i="38"/>
  <c r="O1148" i="38"/>
  <c r="O1168" i="38"/>
  <c r="O1040" i="41"/>
  <c r="N1049" i="41"/>
  <c r="M1168" i="38"/>
  <c r="M1139" i="38"/>
  <c r="M1200" i="38"/>
  <c r="M1243" i="38"/>
  <c r="M1404" i="38"/>
  <c r="M1119" i="38"/>
  <c r="F54" i="56"/>
  <c r="N32" i="56"/>
  <c r="Q1049" i="41"/>
  <c r="D1085" i="41"/>
  <c r="E31" i="56"/>
  <c r="S1040" i="41"/>
  <c r="G1491" i="41"/>
  <c r="K1513" i="41"/>
  <c r="H1513" i="41"/>
  <c r="L1200" i="38"/>
  <c r="L1168" i="38"/>
  <c r="L1404" i="38"/>
  <c r="L1119" i="38"/>
  <c r="L1243" i="38"/>
  <c r="I1200" i="38"/>
  <c r="P1200" i="38"/>
  <c r="I1119" i="38"/>
  <c r="E1200" i="38"/>
  <c r="P1119" i="38"/>
  <c r="J1119" i="38"/>
  <c r="H1200" i="38"/>
  <c r="K1119" i="38"/>
  <c r="H1119" i="38"/>
  <c r="Q1106" i="38"/>
  <c r="D1200" i="38"/>
  <c r="D1119" i="38"/>
  <c r="E1119" i="38"/>
  <c r="F1295" i="38"/>
  <c r="F1349" i="38"/>
  <c r="J1200" i="38"/>
  <c r="G1200" i="38"/>
  <c r="F1119" i="38"/>
  <c r="G1513" i="41"/>
  <c r="D1513" i="41"/>
  <c r="D1518" i="41"/>
  <c r="I1491" i="41"/>
  <c r="K110" i="56"/>
  <c r="DG30" i="8"/>
  <c r="D1109" i="38"/>
  <c r="D1171" i="38"/>
  <c r="D1184" i="38"/>
  <c r="DG32" i="8"/>
  <c r="D1111" i="38"/>
  <c r="DG31" i="8"/>
  <c r="D1110" i="38"/>
  <c r="D1172" i="38"/>
  <c r="D1185" i="38"/>
  <c r="H1171" i="38"/>
  <c r="H1184" i="38"/>
  <c r="H1214" i="38"/>
  <c r="H1142" i="38"/>
  <c r="H1156" i="38"/>
  <c r="G1219" i="38"/>
  <c r="G1222" i="38"/>
  <c r="G1252" i="38"/>
  <c r="CU98" i="8"/>
  <c r="DG87" i="8"/>
  <c r="F1110" i="38"/>
  <c r="DL117" i="8"/>
  <c r="H1218" i="38"/>
  <c r="H1172" i="38"/>
  <c r="H1185" i="38"/>
  <c r="H1143" i="38"/>
  <c r="H1157" i="38"/>
  <c r="DL118" i="8"/>
  <c r="CU99" i="8"/>
  <c r="DG88" i="8"/>
  <c r="F1111" i="38"/>
  <c r="DL116" i="8"/>
  <c r="CU97" i="8"/>
  <c r="DG86" i="8"/>
  <c r="F1109" i="38"/>
  <c r="C64" i="75"/>
  <c r="E64" i="75"/>
  <c r="J1210" i="41"/>
  <c r="J1223" i="41"/>
  <c r="C63" i="75"/>
  <c r="E63" i="75"/>
  <c r="C62" i="75"/>
  <c r="E62" i="75"/>
  <c r="C65" i="75"/>
  <c r="E65" i="75"/>
  <c r="CI18" i="58"/>
  <c r="C66" i="75"/>
  <c r="E66" i="75"/>
  <c r="C67" i="75"/>
  <c r="E67" i="75"/>
  <c r="D1410" i="38"/>
  <c r="D1413" i="38"/>
  <c r="G1114" i="38"/>
  <c r="G1141" i="38"/>
  <c r="G1155" i="38"/>
  <c r="G1245" i="38"/>
  <c r="G1170" i="38"/>
  <c r="G1183" i="38"/>
  <c r="G1115" i="38"/>
  <c r="CU243" i="8"/>
  <c r="CM185" i="8"/>
  <c r="CU182" i="8"/>
  <c r="CJ260" i="8"/>
  <c r="CU270" i="8"/>
  <c r="DG295" i="8"/>
  <c r="H1108" i="38"/>
  <c r="F1513" i="41"/>
  <c r="P1513" i="41"/>
  <c r="H1413" i="38"/>
  <c r="E1513" i="41"/>
  <c r="H1412" i="38"/>
  <c r="F1410" i="38"/>
  <c r="F1412" i="38"/>
  <c r="E1270" i="38"/>
  <c r="J110" i="56"/>
  <c r="J109" i="56"/>
  <c r="G1270" i="38"/>
  <c r="F31" i="56"/>
  <c r="E32" i="56"/>
  <c r="J1270" i="38"/>
  <c r="O1408" i="38"/>
  <c r="O1406" i="38"/>
  <c r="O1407" i="38"/>
  <c r="K109" i="56"/>
  <c r="D1499" i="41"/>
  <c r="E1518" i="41"/>
  <c r="I1499" i="41"/>
  <c r="J1499" i="41"/>
  <c r="K108" i="56"/>
  <c r="J108" i="56"/>
  <c r="F1518" i="41"/>
  <c r="Q1200" i="38"/>
  <c r="J1513" i="41"/>
  <c r="Q1513" i="41"/>
  <c r="I1513" i="41"/>
  <c r="H1518" i="41"/>
  <c r="O1349" i="38"/>
  <c r="O1295" i="38"/>
  <c r="O1270" i="38"/>
  <c r="N1408" i="38"/>
  <c r="N1406" i="38"/>
  <c r="N1407" i="38"/>
  <c r="Q1119" i="38"/>
  <c r="Q1404" i="38"/>
  <c r="Q1168" i="38"/>
  <c r="Q1139" i="38"/>
  <c r="O1500" i="41"/>
  <c r="O1164" i="41"/>
  <c r="O1049" i="41"/>
  <c r="O1050" i="41"/>
  <c r="O1051" i="41"/>
  <c r="J117" i="47"/>
  <c r="J118" i="47"/>
  <c r="J119" i="47"/>
  <c r="O1499" i="41"/>
  <c r="N1164" i="41"/>
  <c r="D1500" i="41"/>
  <c r="E1500" i="41"/>
  <c r="M1408" i="38"/>
  <c r="M1406" i="38"/>
  <c r="M1407" i="38"/>
  <c r="L1406" i="38"/>
  <c r="L1408" i="38"/>
  <c r="L1407" i="38"/>
  <c r="N1349" i="38"/>
  <c r="N1295" i="38"/>
  <c r="N1270" i="38"/>
  <c r="K1270" i="38"/>
  <c r="F1270" i="38"/>
  <c r="L1270" i="38"/>
  <c r="L1349" i="38"/>
  <c r="H1270" i="38"/>
  <c r="D1270" i="38"/>
  <c r="I1270" i="38"/>
  <c r="Q1243" i="38"/>
  <c r="P1270" i="38"/>
  <c r="S1049" i="41"/>
  <c r="T1040" i="41"/>
  <c r="M1295" i="38"/>
  <c r="M1349" i="38"/>
  <c r="M1270" i="38"/>
  <c r="D1214" i="38"/>
  <c r="D1142" i="38"/>
  <c r="D1156" i="38"/>
  <c r="D1143" i="38"/>
  <c r="D1157" i="38"/>
  <c r="D1218" i="38"/>
  <c r="D1222" i="38"/>
  <c r="EB131" i="8"/>
  <c r="M1109" i="38"/>
  <c r="EF111" i="8"/>
  <c r="L1109" i="38"/>
  <c r="EB151" i="8"/>
  <c r="N1109" i="38"/>
  <c r="EB168" i="8"/>
  <c r="O1109" i="38"/>
  <c r="H1222" i="38"/>
  <c r="H1252" i="38"/>
  <c r="H1219" i="38"/>
  <c r="G1358" i="38"/>
  <c r="G1385" i="38"/>
  <c r="G1304" i="38"/>
  <c r="G1331" i="38"/>
  <c r="F1171" i="38"/>
  <c r="F1184" i="38"/>
  <c r="F1214" i="38"/>
  <c r="F1142" i="38"/>
  <c r="F1156" i="38"/>
  <c r="EB132" i="8"/>
  <c r="M1110" i="38"/>
  <c r="EB152" i="8"/>
  <c r="N1110" i="38"/>
  <c r="EB169" i="8"/>
  <c r="O1110" i="38"/>
  <c r="EF112" i="8"/>
  <c r="L1110" i="38"/>
  <c r="EF113" i="8"/>
  <c r="L1111" i="38"/>
  <c r="EB133" i="8"/>
  <c r="M1111" i="38"/>
  <c r="EB153" i="8"/>
  <c r="N1111" i="38"/>
  <c r="EB170" i="8"/>
  <c r="O1111" i="38"/>
  <c r="F1172" i="38"/>
  <c r="F1185" i="38"/>
  <c r="F1218" i="38"/>
  <c r="F1143" i="38"/>
  <c r="F1157" i="38"/>
  <c r="E70" i="75"/>
  <c r="DG29" i="8"/>
  <c r="D1108" i="38"/>
  <c r="D1245" i="38"/>
  <c r="D1351" i="38"/>
  <c r="D1378" i="38"/>
  <c r="D1412" i="38"/>
  <c r="D1414" i="38"/>
  <c r="CU96" i="8"/>
  <c r="DG85" i="8"/>
  <c r="F1108" i="38"/>
  <c r="DL115" i="8"/>
  <c r="G1297" i="38"/>
  <c r="G1324" i="38"/>
  <c r="G1351" i="38"/>
  <c r="G1378" i="38"/>
  <c r="H1115" i="38"/>
  <c r="H1170" i="38"/>
  <c r="H1183" i="38"/>
  <c r="H1245" i="38"/>
  <c r="H1114" i="38"/>
  <c r="H1141" i="38"/>
  <c r="H1155" i="38"/>
  <c r="L1500" i="41"/>
  <c r="F1413" i="38"/>
  <c r="F1414" i="38"/>
  <c r="N1410" i="38"/>
  <c r="N1413" i="38"/>
  <c r="O1410" i="38"/>
  <c r="O1413" i="38"/>
  <c r="H1500" i="41"/>
  <c r="G1500" i="41"/>
  <c r="D145" i="68"/>
  <c r="M1410" i="38"/>
  <c r="M1412" i="38"/>
  <c r="D1219" i="38"/>
  <c r="L1410" i="38"/>
  <c r="L1413" i="38"/>
  <c r="Q1349" i="38"/>
  <c r="C56" i="68"/>
  <c r="Q1270" i="38"/>
  <c r="Q1295" i="38"/>
  <c r="J1518" i="41"/>
  <c r="I1518" i="41"/>
  <c r="I1500" i="41"/>
  <c r="J1500" i="41"/>
  <c r="D162" i="68"/>
  <c r="N1500" i="41"/>
  <c r="EC164" i="58"/>
  <c r="M1500" i="41"/>
  <c r="L1499" i="41"/>
  <c r="E1499" i="41"/>
  <c r="D1501" i="41"/>
  <c r="DO43" i="58"/>
  <c r="E66" i="56"/>
  <c r="F32" i="56"/>
  <c r="R1172" i="41"/>
  <c r="T1042" i="41"/>
  <c r="EC123" i="58"/>
  <c r="T1044" i="41"/>
  <c r="T1043" i="41"/>
  <c r="T1045" i="41"/>
  <c r="T1047" i="41"/>
  <c r="T1041" i="41"/>
  <c r="T1038" i="41"/>
  <c r="T1046" i="41"/>
  <c r="T1039" i="41"/>
  <c r="H1499" i="41"/>
  <c r="Q1408" i="38"/>
  <c r="Q1406" i="38"/>
  <c r="Q1407" i="38"/>
  <c r="E1122" i="38"/>
  <c r="E1135" i="38"/>
  <c r="E1150" i="38"/>
  <c r="E1203" i="38"/>
  <c r="J1122" i="38"/>
  <c r="J1135" i="38"/>
  <c r="E1123" i="38"/>
  <c r="F1123" i="38"/>
  <c r="E1124" i="38"/>
  <c r="N1122" i="38"/>
  <c r="N1135" i="38"/>
  <c r="N1214" i="38"/>
  <c r="N1203" i="38"/>
  <c r="N1171" i="38"/>
  <c r="N1184" i="38"/>
  <c r="F1204" i="38"/>
  <c r="L1124" i="38"/>
  <c r="L1205" i="38"/>
  <c r="D1124" i="38"/>
  <c r="I1205" i="38"/>
  <c r="I1124" i="38"/>
  <c r="P1205" i="38"/>
  <c r="H1205" i="38"/>
  <c r="N1218" i="38"/>
  <c r="N1172" i="38"/>
  <c r="N1185" i="38"/>
  <c r="N1123" i="38"/>
  <c r="N1204" i="38"/>
  <c r="F1122" i="38"/>
  <c r="F1135" i="38"/>
  <c r="K1122" i="38"/>
  <c r="K1135" i="38"/>
  <c r="H1123" i="38"/>
  <c r="L1122" i="38"/>
  <c r="L1135" i="38"/>
  <c r="L1179" i="38"/>
  <c r="L1214" i="38"/>
  <c r="L1203" i="38"/>
  <c r="L1171" i="38"/>
  <c r="L1184" i="38"/>
  <c r="D1122" i="38"/>
  <c r="D1135" i="38"/>
  <c r="M1204" i="38"/>
  <c r="M1218" i="38"/>
  <c r="M1172" i="38"/>
  <c r="M1185" i="38"/>
  <c r="M1123" i="38"/>
  <c r="M1143" i="38"/>
  <c r="M1157" i="38"/>
  <c r="F1124" i="38"/>
  <c r="F1203" i="38"/>
  <c r="M1203" i="38"/>
  <c r="M1122" i="38"/>
  <c r="M1135" i="38"/>
  <c r="M1214" i="38"/>
  <c r="M1171" i="38"/>
  <c r="M1184" i="38"/>
  <c r="M1142" i="38"/>
  <c r="M1156" i="38"/>
  <c r="O1123" i="38"/>
  <c r="O1172" i="38"/>
  <c r="O1185" i="38"/>
  <c r="O1204" i="38"/>
  <c r="O1218" i="38"/>
  <c r="P1123" i="38"/>
  <c r="D1203" i="38"/>
  <c r="D1252" i="38"/>
  <c r="P1203" i="38"/>
  <c r="H1304" i="38"/>
  <c r="H1331" i="38"/>
  <c r="H1358" i="38"/>
  <c r="H1385" i="38"/>
  <c r="I1204" i="38"/>
  <c r="J1123" i="38"/>
  <c r="I1122" i="38"/>
  <c r="I1135" i="38"/>
  <c r="D1205" i="38"/>
  <c r="F1222" i="38"/>
  <c r="F1252" i="38"/>
  <c r="F1219" i="38"/>
  <c r="G1203" i="38"/>
  <c r="G1123" i="38"/>
  <c r="Q1111" i="38"/>
  <c r="J1205" i="38"/>
  <c r="F1205" i="38"/>
  <c r="H1203" i="38"/>
  <c r="J1203" i="38"/>
  <c r="K1123" i="38"/>
  <c r="G1124" i="38"/>
  <c r="I1123" i="38"/>
  <c r="G1122" i="38"/>
  <c r="G1135" i="38"/>
  <c r="G1204" i="38"/>
  <c r="O1205" i="38"/>
  <c r="O1124" i="38"/>
  <c r="P1204" i="38"/>
  <c r="H1124" i="38"/>
  <c r="K1124" i="38"/>
  <c r="P1124" i="38"/>
  <c r="M1124" i="38"/>
  <c r="M1205" i="38"/>
  <c r="Q1109" i="38"/>
  <c r="N1205" i="38"/>
  <c r="N1124" i="38"/>
  <c r="I1203" i="38"/>
  <c r="L1204" i="38"/>
  <c r="L1218" i="38"/>
  <c r="L1172" i="38"/>
  <c r="L1185" i="38"/>
  <c r="L1123" i="38"/>
  <c r="J1204" i="38"/>
  <c r="Q1110" i="38"/>
  <c r="E1204" i="38"/>
  <c r="H1204" i="38"/>
  <c r="G1205" i="38"/>
  <c r="P1122" i="38"/>
  <c r="P1135" i="38"/>
  <c r="P1179" i="38"/>
  <c r="J1124" i="38"/>
  <c r="D1123" i="38"/>
  <c r="D1204" i="38"/>
  <c r="E1205" i="38"/>
  <c r="O1122" i="38"/>
  <c r="O1135" i="38"/>
  <c r="O1203" i="38"/>
  <c r="O1171" i="38"/>
  <c r="O1184" i="38"/>
  <c r="O1214" i="38"/>
  <c r="H1122" i="38"/>
  <c r="H1135" i="38"/>
  <c r="D1115" i="38"/>
  <c r="D1114" i="38"/>
  <c r="D1170" i="38"/>
  <c r="D1183" i="38"/>
  <c r="D1297" i="38"/>
  <c r="C98" i="68"/>
  <c r="D1141" i="38"/>
  <c r="D1155" i="38"/>
  <c r="N1412" i="38"/>
  <c r="H1297" i="38"/>
  <c r="H1324" i="38"/>
  <c r="H1351" i="38"/>
  <c r="H1378" i="38"/>
  <c r="EF110" i="8"/>
  <c r="L1108" i="38"/>
  <c r="EB150" i="8"/>
  <c r="N1108" i="38"/>
  <c r="EB167" i="8"/>
  <c r="O1108" i="38"/>
  <c r="EB130" i="8"/>
  <c r="M1108" i="38"/>
  <c r="F1245" i="38"/>
  <c r="F1115" i="38"/>
  <c r="F1170" i="38"/>
  <c r="F1183" i="38"/>
  <c r="F1114" i="38"/>
  <c r="F1141" i="38"/>
  <c r="F1155" i="38"/>
  <c r="O1412" i="38"/>
  <c r="M1414" i="38"/>
  <c r="O1414" i="38"/>
  <c r="N1414" i="38"/>
  <c r="L1414" i="38"/>
  <c r="Q1410" i="38"/>
  <c r="Q1413" i="38"/>
  <c r="M1413" i="38"/>
  <c r="F1500" i="41"/>
  <c r="K1500" i="41"/>
  <c r="F1501" i="41"/>
  <c r="R1178" i="41"/>
  <c r="R1179" i="41"/>
  <c r="M1165" i="41"/>
  <c r="D158" i="68"/>
  <c r="EC138" i="58"/>
  <c r="D161" i="68"/>
  <c r="R1517" i="41"/>
  <c r="BT240" i="58"/>
  <c r="R1512" i="41"/>
  <c r="BP118" i="58"/>
  <c r="F1499" i="41"/>
  <c r="R1510" i="41"/>
  <c r="AW37" i="58"/>
  <c r="R1508" i="41"/>
  <c r="BP42" i="58"/>
  <c r="R1511" i="41"/>
  <c r="BG69" i="58"/>
  <c r="R1514" i="41"/>
  <c r="AW238" i="58"/>
  <c r="F112" i="56"/>
  <c r="F113" i="56"/>
  <c r="R1515" i="41"/>
  <c r="BQ172" i="58"/>
  <c r="G1499" i="41"/>
  <c r="R1516" i="41"/>
  <c r="BY196" i="58"/>
  <c r="R1509" i="41"/>
  <c r="BP20" i="58"/>
  <c r="EC147" i="58"/>
  <c r="E1501" i="41"/>
  <c r="E1502" i="41"/>
  <c r="M1499" i="41"/>
  <c r="F110" i="56"/>
  <c r="K1499" i="41"/>
  <c r="N1499" i="41"/>
  <c r="EC95" i="58"/>
  <c r="R1513" i="41"/>
  <c r="CM80" i="58"/>
  <c r="T1049" i="41"/>
  <c r="I1179" i="38"/>
  <c r="I1150" i="38"/>
  <c r="G1501" i="41"/>
  <c r="E1179" i="38"/>
  <c r="J1179" i="38"/>
  <c r="J1150" i="38"/>
  <c r="Q1218" i="38"/>
  <c r="K1179" i="38"/>
  <c r="K1150" i="38"/>
  <c r="H1179" i="38"/>
  <c r="H1150" i="38"/>
  <c r="Q1123" i="38"/>
  <c r="Q1172" i="38"/>
  <c r="Q1185" i="38"/>
  <c r="Q1143" i="38"/>
  <c r="Q1157" i="38"/>
  <c r="D1304" i="38"/>
  <c r="D1358" i="38"/>
  <c r="D1385" i="38"/>
  <c r="D1150" i="38"/>
  <c r="D1179" i="38"/>
  <c r="Q1135" i="38"/>
  <c r="F1150" i="38"/>
  <c r="F1179" i="38"/>
  <c r="M1219" i="38"/>
  <c r="M1222" i="38"/>
  <c r="M1252" i="38"/>
  <c r="N1219" i="38"/>
  <c r="N1222" i="38"/>
  <c r="N1252" i="38"/>
  <c r="N1150" i="38"/>
  <c r="N1179" i="38"/>
  <c r="Q1124" i="38"/>
  <c r="D1131" i="38"/>
  <c r="M1179" i="38"/>
  <c r="M1150" i="38"/>
  <c r="F1358" i="38"/>
  <c r="F1385" i="38"/>
  <c r="F1304" i="38"/>
  <c r="F1331" i="38"/>
  <c r="Q1205" i="38"/>
  <c r="O1179" i="38"/>
  <c r="O1150" i="38"/>
  <c r="Q1204" i="38"/>
  <c r="L1222" i="38"/>
  <c r="L1252" i="38"/>
  <c r="L1358" i="38"/>
  <c r="L1385" i="38"/>
  <c r="L1219" i="38"/>
  <c r="Q1171" i="38"/>
  <c r="Q1184" i="38"/>
  <c r="Q1142" i="38"/>
  <c r="Q1156" i="38"/>
  <c r="Q1122" i="38"/>
  <c r="Q1214" i="38"/>
  <c r="G1150" i="38"/>
  <c r="G1179" i="38"/>
  <c r="Q1203" i="38"/>
  <c r="O1219" i="38"/>
  <c r="O1222" i="38"/>
  <c r="O1252" i="38"/>
  <c r="D1324" i="38"/>
  <c r="D98" i="68"/>
  <c r="F1297" i="38"/>
  <c r="F1324" i="38"/>
  <c r="F1351" i="38"/>
  <c r="F1378" i="38"/>
  <c r="M1202" i="38"/>
  <c r="M1141" i="38"/>
  <c r="M1155" i="38"/>
  <c r="M1114" i="38"/>
  <c r="M1121" i="38"/>
  <c r="M1170" i="38"/>
  <c r="M1183" i="38"/>
  <c r="M1115" i="38"/>
  <c r="M1245" i="38"/>
  <c r="O1121" i="38"/>
  <c r="O1245" i="38"/>
  <c r="O1114" i="38"/>
  <c r="O1115" i="38"/>
  <c r="O1170" i="38"/>
  <c r="O1183" i="38"/>
  <c r="O1202" i="38"/>
  <c r="N1115" i="38"/>
  <c r="N1121" i="38"/>
  <c r="N1245" i="38"/>
  <c r="N1202" i="38"/>
  <c r="N1114" i="38"/>
  <c r="N1170" i="38"/>
  <c r="N1183" i="38"/>
  <c r="Q1108" i="38"/>
  <c r="E1121" i="38"/>
  <c r="G1202" i="38"/>
  <c r="E1202" i="38"/>
  <c r="H1202" i="38"/>
  <c r="L1114" i="38"/>
  <c r="D1121" i="38"/>
  <c r="F1202" i="38"/>
  <c r="F1121" i="38"/>
  <c r="I1202" i="38"/>
  <c r="D1202" i="38"/>
  <c r="L1170" i="38"/>
  <c r="L1183" i="38"/>
  <c r="I1121" i="38"/>
  <c r="L1115" i="38"/>
  <c r="J1121" i="38"/>
  <c r="K1121" i="38"/>
  <c r="L1245" i="38"/>
  <c r="H1121" i="38"/>
  <c r="G1121" i="38"/>
  <c r="J1202" i="38"/>
  <c r="L1202" i="38"/>
  <c r="P1121" i="38"/>
  <c r="P1202" i="38"/>
  <c r="L1121" i="38"/>
  <c r="Q1414" i="38"/>
  <c r="Q1412" i="38"/>
  <c r="BT141" i="58"/>
  <c r="BT140" i="58"/>
  <c r="DM110" i="58"/>
  <c r="DM109" i="58"/>
  <c r="DM167" i="58"/>
  <c r="DM166" i="58"/>
  <c r="DM165" i="58"/>
  <c r="CC259" i="58"/>
  <c r="CC258" i="58"/>
  <c r="CC257" i="58"/>
  <c r="DM133" i="58"/>
  <c r="DM132" i="58"/>
  <c r="DM127" i="58"/>
  <c r="BB262" i="58"/>
  <c r="BB261" i="58"/>
  <c r="BB256" i="58"/>
  <c r="D1502" i="41"/>
  <c r="I1501" i="41"/>
  <c r="J1501" i="41"/>
  <c r="L1501" i="41"/>
  <c r="M1501" i="41"/>
  <c r="P1501" i="41"/>
  <c r="EG85" i="58"/>
  <c r="O1501" i="41"/>
  <c r="K1501" i="41"/>
  <c r="DM99" i="58"/>
  <c r="DM98" i="58"/>
  <c r="DM93" i="58"/>
  <c r="BP83" i="58"/>
  <c r="BP82" i="58"/>
  <c r="BP77" i="58"/>
  <c r="DH64" i="58"/>
  <c r="E1170" i="41"/>
  <c r="F109" i="56"/>
  <c r="D144" i="68"/>
  <c r="EC110" i="58"/>
  <c r="EC111" i="58"/>
  <c r="BT50" i="58"/>
  <c r="BN129" i="58"/>
  <c r="AW252" i="58"/>
  <c r="BT49" i="58"/>
  <c r="BL72" i="58"/>
  <c r="BN130" i="58"/>
  <c r="EC103" i="58"/>
  <c r="K1172" i="41"/>
  <c r="BS26" i="58"/>
  <c r="BX208" i="58"/>
  <c r="AZ50" i="58"/>
  <c r="EC107" i="58"/>
  <c r="K1176" i="41"/>
  <c r="BX248" i="58"/>
  <c r="CO87" i="58"/>
  <c r="EG92" i="58"/>
  <c r="BQ183" i="58"/>
  <c r="BS24" i="58"/>
  <c r="EG94" i="58"/>
  <c r="BQ184" i="58"/>
  <c r="AZ49" i="58"/>
  <c r="BQ182" i="58"/>
  <c r="BN128" i="58"/>
  <c r="EC104" i="58"/>
  <c r="K1173" i="41"/>
  <c r="BL74" i="58"/>
  <c r="BN127" i="58"/>
  <c r="BX250" i="58"/>
  <c r="AW253" i="58"/>
  <c r="CO88" i="58"/>
  <c r="BL71" i="58"/>
  <c r="EC105" i="58"/>
  <c r="K1174" i="41"/>
  <c r="BT47" i="58"/>
  <c r="BX207" i="58"/>
  <c r="BS23" i="58"/>
  <c r="BX206" i="58"/>
  <c r="EG96" i="58"/>
  <c r="BX249" i="58"/>
  <c r="AZ51" i="58"/>
  <c r="AW255" i="58"/>
  <c r="BX247" i="58"/>
  <c r="CO90" i="58"/>
  <c r="EG93" i="58"/>
  <c r="EG95" i="58"/>
  <c r="BX205" i="58"/>
  <c r="AW254" i="58"/>
  <c r="EC106" i="58"/>
  <c r="K1175" i="41"/>
  <c r="AZ48" i="58"/>
  <c r="CO89" i="58"/>
  <c r="EG97" i="58"/>
  <c r="BQ181" i="58"/>
  <c r="BL73" i="58"/>
  <c r="BS25" i="58"/>
  <c r="BT48" i="58"/>
  <c r="DM67" i="58"/>
  <c r="DM64" i="58"/>
  <c r="CB56" i="58"/>
  <c r="CB52" i="58"/>
  <c r="CI16" i="58"/>
  <c r="CB53" i="58"/>
  <c r="DM65" i="58"/>
  <c r="O1502" i="41"/>
  <c r="M1502" i="41"/>
  <c r="K1502" i="41"/>
  <c r="N1502" i="41"/>
  <c r="EG103" i="58"/>
  <c r="L1164" i="41"/>
  <c r="G1502" i="41"/>
  <c r="CC178" i="58"/>
  <c r="CC177" i="58"/>
  <c r="DM144" i="58"/>
  <c r="DM143" i="58"/>
  <c r="DM77" i="58"/>
  <c r="DM76" i="58"/>
  <c r="CB16" i="58"/>
  <c r="CB15" i="58"/>
  <c r="BK42" i="58"/>
  <c r="BK41" i="58"/>
  <c r="BK36" i="58"/>
  <c r="DM88" i="58"/>
  <c r="DM87" i="58"/>
  <c r="DM82" i="58"/>
  <c r="BK18" i="58"/>
  <c r="BK17" i="58"/>
  <c r="BK12" i="58"/>
  <c r="H1501" i="41"/>
  <c r="O216" i="47"/>
  <c r="DM122" i="58"/>
  <c r="DM121" i="58"/>
  <c r="CU103" i="58"/>
  <c r="CU102" i="58"/>
  <c r="DM155" i="58"/>
  <c r="DM154" i="58"/>
  <c r="CC223" i="58"/>
  <c r="CC222" i="58"/>
  <c r="M1134" i="38"/>
  <c r="L1134" i="38"/>
  <c r="P1134" i="38"/>
  <c r="H1134" i="38"/>
  <c r="N1134" i="38"/>
  <c r="E1134" i="38"/>
  <c r="O1134" i="38"/>
  <c r="D1134" i="38"/>
  <c r="I1134" i="38"/>
  <c r="J1134" i="38"/>
  <c r="F1134" i="38"/>
  <c r="K1134" i="38"/>
  <c r="Q1134" i="38"/>
  <c r="G1134" i="38"/>
  <c r="P1132" i="38"/>
  <c r="K1132" i="38"/>
  <c r="E1132" i="38"/>
  <c r="I1132" i="38"/>
  <c r="J1132" i="38"/>
  <c r="J1144" i="38"/>
  <c r="G1132" i="38"/>
  <c r="H1132" i="38"/>
  <c r="D1132" i="38"/>
  <c r="F1132" i="38"/>
  <c r="L1132" i="38"/>
  <c r="M1132" i="38"/>
  <c r="N1132" i="38"/>
  <c r="O1132" i="38"/>
  <c r="N1215" i="38"/>
  <c r="J1215" i="38"/>
  <c r="M1215" i="38"/>
  <c r="O1215" i="38"/>
  <c r="H1215" i="38"/>
  <c r="K1215" i="38"/>
  <c r="P1215" i="38"/>
  <c r="D1215" i="38"/>
  <c r="G1215" i="38"/>
  <c r="E1215" i="38"/>
  <c r="Q1215" i="38"/>
  <c r="L1215" i="38"/>
  <c r="I1215" i="38"/>
  <c r="F1215" i="38"/>
  <c r="Q1252" i="38"/>
  <c r="Q1132" i="38"/>
  <c r="N1358" i="38"/>
  <c r="N1385" i="38"/>
  <c r="N1304" i="38"/>
  <c r="N1331" i="38"/>
  <c r="Q1179" i="38"/>
  <c r="Q1150" i="38"/>
  <c r="D1331" i="38"/>
  <c r="D105" i="68"/>
  <c r="C105" i="68"/>
  <c r="M1304" i="38"/>
  <c r="M1331" i="38"/>
  <c r="M1358" i="38"/>
  <c r="M1385" i="38"/>
  <c r="O1304" i="38"/>
  <c r="O1331" i="38"/>
  <c r="O1358" i="38"/>
  <c r="O1385" i="38"/>
  <c r="Q1219" i="38"/>
  <c r="Q1222" i="38"/>
  <c r="E1272" i="38"/>
  <c r="N1207" i="38"/>
  <c r="N1126" i="38"/>
  <c r="D1127" i="38"/>
  <c r="I1208" i="38"/>
  <c r="P1208" i="38"/>
  <c r="G1127" i="38"/>
  <c r="E1208" i="38"/>
  <c r="H1127" i="38"/>
  <c r="F1127" i="38"/>
  <c r="J1127" i="38"/>
  <c r="J1208" i="38"/>
  <c r="E1127" i="38"/>
  <c r="D1208" i="38"/>
  <c r="F1208" i="38"/>
  <c r="L1127" i="38"/>
  <c r="L1208" i="38"/>
  <c r="K1127" i="38"/>
  <c r="P1127" i="38"/>
  <c r="G1208" i="38"/>
  <c r="I1127" i="38"/>
  <c r="H1208" i="38"/>
  <c r="K1272" i="38"/>
  <c r="F1272" i="38"/>
  <c r="P1272" i="38"/>
  <c r="H1207" i="38"/>
  <c r="G1126" i="38"/>
  <c r="K1126" i="38"/>
  <c r="F1207" i="38"/>
  <c r="F1126" i="38"/>
  <c r="P1126" i="38"/>
  <c r="D1207" i="38"/>
  <c r="I1126" i="38"/>
  <c r="E1207" i="38"/>
  <c r="E1126" i="38"/>
  <c r="D1126" i="38"/>
  <c r="J1126" i="38"/>
  <c r="P1207" i="38"/>
  <c r="J1207" i="38"/>
  <c r="G1207" i="38"/>
  <c r="L1126" i="38"/>
  <c r="I1207" i="38"/>
  <c r="L1207" i="38"/>
  <c r="H1126" i="38"/>
  <c r="O1351" i="38"/>
  <c r="O1378" i="38"/>
  <c r="O1297" i="38"/>
  <c r="O1272" i="38"/>
  <c r="H1272" i="38"/>
  <c r="N1272" i="38"/>
  <c r="N1297" i="38"/>
  <c r="N1351" i="38"/>
  <c r="N1378" i="38"/>
  <c r="Q1245" i="38"/>
  <c r="Q1202" i="38"/>
  <c r="N1127" i="38"/>
  <c r="N1208" i="38"/>
  <c r="D1272" i="38"/>
  <c r="L1272" i="38"/>
  <c r="I1272" i="38"/>
  <c r="L1351" i="38"/>
  <c r="L1378" i="38"/>
  <c r="Q1121" i="38"/>
  <c r="Q1115" i="38"/>
  <c r="Q1127" i="38"/>
  <c r="Q1114" i="38"/>
  <c r="Q1126" i="38"/>
  <c r="Q1170" i="38"/>
  <c r="Q1183" i="38"/>
  <c r="Q1141" i="38"/>
  <c r="Q1155" i="38"/>
  <c r="M1297" i="38"/>
  <c r="M1324" i="38"/>
  <c r="M1351" i="38"/>
  <c r="M1378" i="38"/>
  <c r="M1272" i="38"/>
  <c r="O1126" i="38"/>
  <c r="O1207" i="38"/>
  <c r="M1207" i="38"/>
  <c r="M1126" i="38"/>
  <c r="J1272" i="38"/>
  <c r="G1272" i="38"/>
  <c r="O1208" i="38"/>
  <c r="O1127" i="38"/>
  <c r="M1208" i="38"/>
  <c r="M1127" i="38"/>
  <c r="Q1501" i="41"/>
  <c r="EG98" i="58"/>
  <c r="K1275" i="41"/>
  <c r="K1234" i="41"/>
  <c r="K1247" i="41"/>
  <c r="Q216" i="47"/>
  <c r="S216" i="47"/>
  <c r="K216" i="47"/>
  <c r="O217" i="47"/>
  <c r="K1235" i="41"/>
  <c r="K1248" i="41"/>
  <c r="K1279" i="41"/>
  <c r="DM71" i="58"/>
  <c r="CB10" i="58"/>
  <c r="DM94" i="58"/>
  <c r="BP78" i="58"/>
  <c r="DH65" i="58"/>
  <c r="E1172" i="41"/>
  <c r="DM130" i="58"/>
  <c r="BB259" i="58"/>
  <c r="DM84" i="58"/>
  <c r="BK14" i="58"/>
  <c r="BK38" i="58"/>
  <c r="K1238" i="41"/>
  <c r="K1251" i="41"/>
  <c r="BB257" i="58"/>
  <c r="DM128" i="58"/>
  <c r="CI10" i="58"/>
  <c r="J1170" i="41"/>
  <c r="DM59" i="58"/>
  <c r="CB47" i="58"/>
  <c r="DM129" i="58"/>
  <c r="BB258" i="58"/>
  <c r="BK15" i="58"/>
  <c r="BK39" i="58"/>
  <c r="DM85" i="58"/>
  <c r="EC93" i="58"/>
  <c r="EC94" i="58"/>
  <c r="N1501" i="41"/>
  <c r="CU275" i="58"/>
  <c r="DH300" i="58"/>
  <c r="H1176" i="41"/>
  <c r="CJ263" i="58"/>
  <c r="CM190" i="58"/>
  <c r="CU187" i="58"/>
  <c r="CU248" i="58"/>
  <c r="BK13" i="58"/>
  <c r="BK37" i="58"/>
  <c r="DM83" i="58"/>
  <c r="DM95" i="58"/>
  <c r="BP79" i="58"/>
  <c r="DH66" i="58"/>
  <c r="E1173" i="41"/>
  <c r="BI186" i="58"/>
  <c r="BL285" i="58"/>
  <c r="DH313" i="58"/>
  <c r="I1170" i="41"/>
  <c r="BM245" i="58"/>
  <c r="BP80" i="58"/>
  <c r="DH67" i="58"/>
  <c r="E1174" i="41"/>
  <c r="DM96" i="58"/>
  <c r="K1164" i="41"/>
  <c r="K1210" i="41"/>
  <c r="BB260" i="58"/>
  <c r="DM131" i="58"/>
  <c r="L1372" i="41"/>
  <c r="L1399" i="41"/>
  <c r="L1357" i="41"/>
  <c r="L1370" i="41"/>
  <c r="L1397" i="41"/>
  <c r="L1368" i="41"/>
  <c r="L1395" i="41"/>
  <c r="L1208" i="41"/>
  <c r="L1362" i="41"/>
  <c r="L1355" i="41"/>
  <c r="L1364" i="41"/>
  <c r="L1391" i="41"/>
  <c r="L1213" i="41"/>
  <c r="L1360" i="41"/>
  <c r="L1387" i="41"/>
  <c r="L1373" i="41"/>
  <c r="L1367" i="41"/>
  <c r="L1394" i="41"/>
  <c r="L1366" i="41"/>
  <c r="L1376" i="41"/>
  <c r="L1403" i="41"/>
  <c r="L1375" i="41"/>
  <c r="L1371" i="41"/>
  <c r="L1209" i="41"/>
  <c r="L1222" i="41"/>
  <c r="L1363" i="41"/>
  <c r="L1390" i="41"/>
  <c r="L1374" i="41"/>
  <c r="L1401" i="41"/>
  <c r="L1359" i="41"/>
  <c r="L1369" i="41"/>
  <c r="L1214" i="41"/>
  <c r="BK40" i="58"/>
  <c r="DM86" i="58"/>
  <c r="BK16" i="58"/>
  <c r="E1464" i="41"/>
  <c r="E1203" i="41"/>
  <c r="E1231" i="41"/>
  <c r="E1303" i="41"/>
  <c r="DM97" i="58"/>
  <c r="BP81" i="58"/>
  <c r="DH68" i="58"/>
  <c r="E1175" i="41"/>
  <c r="K1233" i="41"/>
  <c r="K1246" i="41"/>
  <c r="K1178" i="41"/>
  <c r="Q1499" i="41"/>
  <c r="EC158" i="58"/>
  <c r="Q1503" i="41"/>
  <c r="EC139" i="58"/>
  <c r="Q1502" i="41"/>
  <c r="EG116" i="58"/>
  <c r="Q1500" i="41"/>
  <c r="EC175" i="58"/>
  <c r="D1217" i="38"/>
  <c r="M1149" i="38"/>
  <c r="M1163" i="38"/>
  <c r="M1266" i="38"/>
  <c r="M1178" i="38"/>
  <c r="M1191" i="38"/>
  <c r="E1247" i="38"/>
  <c r="E1216" i="38"/>
  <c r="E1248" i="38"/>
  <c r="M1247" i="38"/>
  <c r="M1216" i="38"/>
  <c r="M1248" i="38"/>
  <c r="L1261" i="38"/>
  <c r="L1173" i="38"/>
  <c r="L1224" i="38"/>
  <c r="L1133" i="38"/>
  <c r="L1174" i="38"/>
  <c r="L1187" i="38"/>
  <c r="K1173" i="38"/>
  <c r="K1133" i="38"/>
  <c r="K1144" i="38"/>
  <c r="D1178" i="38"/>
  <c r="D1191" i="38"/>
  <c r="D1149" i="38"/>
  <c r="D1163" i="38"/>
  <c r="D1266" i="38"/>
  <c r="I1178" i="38"/>
  <c r="I1191" i="38"/>
  <c r="I1266" i="38"/>
  <c r="G1247" i="38"/>
  <c r="G1216" i="38"/>
  <c r="G1248" i="38"/>
  <c r="J1247" i="38"/>
  <c r="J1299" i="38"/>
  <c r="J1216" i="38"/>
  <c r="J1248" i="38"/>
  <c r="F1261" i="38"/>
  <c r="F1173" i="38"/>
  <c r="F1144" i="38"/>
  <c r="F1224" i="38"/>
  <c r="F1133" i="38"/>
  <c r="P1261" i="38"/>
  <c r="P1173" i="38"/>
  <c r="P1224" i="38"/>
  <c r="P1133" i="38"/>
  <c r="P1174" i="38"/>
  <c r="P1187" i="38"/>
  <c r="O1266" i="38"/>
  <c r="O1372" i="38"/>
  <c r="O1397" i="38"/>
  <c r="O1149" i="38"/>
  <c r="O1163" i="38"/>
  <c r="O1178" i="38"/>
  <c r="O1191" i="38"/>
  <c r="D1247" i="38"/>
  <c r="D1216" i="38"/>
  <c r="D1248" i="38"/>
  <c r="N1247" i="38"/>
  <c r="N1216" i="38"/>
  <c r="N1248" i="38"/>
  <c r="D1261" i="38"/>
  <c r="D1173" i="38"/>
  <c r="D1144" i="38"/>
  <c r="D1224" i="38"/>
  <c r="D1133" i="38"/>
  <c r="G1149" i="38"/>
  <c r="G1163" i="38"/>
  <c r="G1178" i="38"/>
  <c r="G1191" i="38"/>
  <c r="G1266" i="38"/>
  <c r="E1149" i="38"/>
  <c r="E1163" i="38"/>
  <c r="E1266" i="38"/>
  <c r="E1178" i="38"/>
  <c r="E1191" i="38"/>
  <c r="O1247" i="38"/>
  <c r="O1216" i="38"/>
  <c r="O1248" i="38"/>
  <c r="P1247" i="38"/>
  <c r="P1216" i="38"/>
  <c r="P1248" i="38"/>
  <c r="P1354" i="38"/>
  <c r="P1381" i="38"/>
  <c r="Q1216" i="38"/>
  <c r="H1261" i="38"/>
  <c r="H1173" i="38"/>
  <c r="H1144" i="38"/>
  <c r="H1133" i="38"/>
  <c r="H1224" i="38"/>
  <c r="Q1266" i="38"/>
  <c r="Q1149" i="38"/>
  <c r="Q1178" i="38"/>
  <c r="Q1191" i="38"/>
  <c r="N1149" i="38"/>
  <c r="N1163" i="38"/>
  <c r="N1266" i="38"/>
  <c r="N1372" i="38"/>
  <c r="N1397" i="38"/>
  <c r="N1178" i="38"/>
  <c r="N1191" i="38"/>
  <c r="F1247" i="38"/>
  <c r="F1216" i="38"/>
  <c r="F1248" i="38"/>
  <c r="K1216" i="38"/>
  <c r="G1261" i="38"/>
  <c r="G1173" i="38"/>
  <c r="G1144" i="38"/>
  <c r="G1133" i="38"/>
  <c r="G1224" i="38"/>
  <c r="K1178" i="38"/>
  <c r="K1191" i="38"/>
  <c r="K1266" i="38"/>
  <c r="K1149" i="38"/>
  <c r="K1163" i="38"/>
  <c r="H1149" i="38"/>
  <c r="H1163" i="38"/>
  <c r="H1178" i="38"/>
  <c r="H1191" i="38"/>
  <c r="H1266" i="38"/>
  <c r="M1261" i="38"/>
  <c r="M1173" i="38"/>
  <c r="M1144" i="38"/>
  <c r="M1133" i="38"/>
  <c r="M1224" i="38"/>
  <c r="Q1173" i="38"/>
  <c r="Q1144" i="38"/>
  <c r="Q1133" i="38"/>
  <c r="Q1174" i="38"/>
  <c r="Q1187" i="38"/>
  <c r="I1247" i="38"/>
  <c r="I1299" i="38"/>
  <c r="I1216" i="38"/>
  <c r="I1248" i="38"/>
  <c r="O1173" i="38"/>
  <c r="O1261" i="38"/>
  <c r="O1133" i="38"/>
  <c r="O1174" i="38"/>
  <c r="O1187" i="38"/>
  <c r="O1224" i="38"/>
  <c r="J1261" i="38"/>
  <c r="J1313" i="38"/>
  <c r="J1173" i="38"/>
  <c r="J1133" i="38"/>
  <c r="J1224" i="38"/>
  <c r="F1266" i="38"/>
  <c r="F1178" i="38"/>
  <c r="F1191" i="38"/>
  <c r="F1149" i="38"/>
  <c r="F1163" i="38"/>
  <c r="P1178" i="38"/>
  <c r="P1191" i="38"/>
  <c r="P1266" i="38"/>
  <c r="P1372" i="38"/>
  <c r="P1397" i="38"/>
  <c r="E1261" i="38"/>
  <c r="E1173" i="38"/>
  <c r="E1144" i="38"/>
  <c r="E1224" i="38"/>
  <c r="E1133" i="38"/>
  <c r="E1279" i="38"/>
  <c r="I1279" i="38"/>
  <c r="F1279" i="38"/>
  <c r="N1279" i="38"/>
  <c r="D1279" i="38"/>
  <c r="M1279" i="38"/>
  <c r="Q1304" i="38"/>
  <c r="Q1331" i="38"/>
  <c r="O1279" i="38"/>
  <c r="G1279" i="38"/>
  <c r="J1279" i="38"/>
  <c r="L1279" i="38"/>
  <c r="P1279" i="38"/>
  <c r="K1279" i="38"/>
  <c r="Q1358" i="38"/>
  <c r="Q1279" i="38"/>
  <c r="H1279" i="38"/>
  <c r="L1247" i="38"/>
  <c r="L1216" i="38"/>
  <c r="L1248" i="38"/>
  <c r="L1354" i="38"/>
  <c r="L1381" i="38"/>
  <c r="H1247" i="38"/>
  <c r="H1216" i="38"/>
  <c r="H1248" i="38"/>
  <c r="N1261" i="38"/>
  <c r="N1173" i="38"/>
  <c r="N1133" i="38"/>
  <c r="N1174" i="38"/>
  <c r="N1187" i="38"/>
  <c r="N1224" i="38"/>
  <c r="I1173" i="38"/>
  <c r="I1261" i="38"/>
  <c r="I1313" i="38"/>
  <c r="I1144" i="38"/>
  <c r="I1133" i="38"/>
  <c r="I1224" i="38"/>
  <c r="J1149" i="38"/>
  <c r="J1163" i="38"/>
  <c r="J1266" i="38"/>
  <c r="J1178" i="38"/>
  <c r="J1191" i="38"/>
  <c r="L1178" i="38"/>
  <c r="L1191" i="38"/>
  <c r="L1266" i="38"/>
  <c r="L1372" i="38"/>
  <c r="L1397" i="38"/>
  <c r="Q1207" i="38"/>
  <c r="Q1297" i="38"/>
  <c r="Q1324" i="38"/>
  <c r="Q1351" i="38"/>
  <c r="Q1272" i="38"/>
  <c r="O1324" i="38"/>
  <c r="O1344" i="38"/>
  <c r="O1345" i="38"/>
  <c r="O1317" i="38"/>
  <c r="O1318" i="38"/>
  <c r="Q1208" i="38"/>
  <c r="N1317" i="38"/>
  <c r="N1318" i="38"/>
  <c r="N1324" i="38"/>
  <c r="N1344" i="38"/>
  <c r="N1345" i="38"/>
  <c r="AZ272" i="58"/>
  <c r="E1179" i="41"/>
  <c r="DH317" i="58"/>
  <c r="I1175" i="41"/>
  <c r="I1208" i="41"/>
  <c r="BL289" i="58"/>
  <c r="BM249" i="58"/>
  <c r="BI190" i="58"/>
  <c r="K1369" i="41"/>
  <c r="K1370" i="41"/>
  <c r="K1397" i="41"/>
  <c r="K1374" i="41"/>
  <c r="K1401" i="41"/>
  <c r="K1368" i="41"/>
  <c r="K1395" i="41"/>
  <c r="K1363" i="41"/>
  <c r="K1390" i="41"/>
  <c r="K1372" i="41"/>
  <c r="K1399" i="41"/>
  <c r="K1371" i="41"/>
  <c r="Q1164" i="41"/>
  <c r="K1375" i="41"/>
  <c r="K1373" i="41"/>
  <c r="K1364" i="41"/>
  <c r="K1391" i="41"/>
  <c r="K1359" i="41"/>
  <c r="K1366" i="41"/>
  <c r="K1362" i="41"/>
  <c r="D1274" i="41"/>
  <c r="K1360" i="41"/>
  <c r="K1387" i="41"/>
  <c r="K1367" i="41"/>
  <c r="K1394" i="41"/>
  <c r="K1357" i="41"/>
  <c r="K1206" i="41"/>
  <c r="CB12" i="58"/>
  <c r="DM73" i="58"/>
  <c r="K1205" i="41"/>
  <c r="E1466" i="41"/>
  <c r="E1467" i="41"/>
  <c r="E1468" i="41"/>
  <c r="L1377" i="41"/>
  <c r="L1378" i="41"/>
  <c r="L1384" i="41"/>
  <c r="E1279" i="41"/>
  <c r="E1235" i="41"/>
  <c r="E1248" i="41"/>
  <c r="E1207" i="41"/>
  <c r="E1220" i="41"/>
  <c r="J1203" i="41"/>
  <c r="F228" i="47"/>
  <c r="J1464" i="41"/>
  <c r="J1303" i="41"/>
  <c r="J1231" i="41"/>
  <c r="BM248" i="58"/>
  <c r="DH316" i="58"/>
  <c r="I1174" i="41"/>
  <c r="BL288" i="58"/>
  <c r="BI189" i="58"/>
  <c r="K1283" i="41"/>
  <c r="K1280" i="41"/>
  <c r="CI14" i="58"/>
  <c r="J1175" i="41"/>
  <c r="DM63" i="58"/>
  <c r="CB51" i="58"/>
  <c r="O218" i="47"/>
  <c r="Q217" i="47"/>
  <c r="DH34" i="58"/>
  <c r="D1176" i="41"/>
  <c r="BL287" i="58"/>
  <c r="DH315" i="58"/>
  <c r="I1173" i="41"/>
  <c r="BM247" i="58"/>
  <c r="BI188" i="58"/>
  <c r="CU101" i="58"/>
  <c r="DH89" i="58"/>
  <c r="F1176" i="41"/>
  <c r="DM120" i="58"/>
  <c r="E1206" i="41"/>
  <c r="E1219" i="41"/>
  <c r="E1234" i="41"/>
  <c r="E1247" i="41"/>
  <c r="E1275" i="41"/>
  <c r="I1354" i="38"/>
  <c r="I1381" i="38"/>
  <c r="I1300" i="38"/>
  <c r="I1327" i="38"/>
  <c r="DM75" i="58"/>
  <c r="CB14" i="58"/>
  <c r="CI11" i="58"/>
  <c r="J1172" i="41"/>
  <c r="DM60" i="58"/>
  <c r="CB48" i="58"/>
  <c r="K1207" i="41"/>
  <c r="I1203" i="41"/>
  <c r="I1464" i="41"/>
  <c r="I1231" i="41"/>
  <c r="I1303" i="41"/>
  <c r="DM74" i="58"/>
  <c r="CB13" i="58"/>
  <c r="F188" i="47"/>
  <c r="K1223" i="41"/>
  <c r="BT148" i="58"/>
  <c r="BS285" i="58"/>
  <c r="E1409" i="41"/>
  <c r="E1355" i="41"/>
  <c r="CC172" i="58"/>
  <c r="DM138" i="58"/>
  <c r="CB49" i="58"/>
  <c r="CI12" i="58"/>
  <c r="J1173" i="41"/>
  <c r="DM61" i="58"/>
  <c r="H1322" i="41"/>
  <c r="H1210" i="41"/>
  <c r="H1223" i="41"/>
  <c r="H1238" i="41"/>
  <c r="H1251" i="41"/>
  <c r="EC112" i="58"/>
  <c r="DM72" i="58"/>
  <c r="CB11" i="58"/>
  <c r="DM62" i="58"/>
  <c r="CB50" i="58"/>
  <c r="CI13" i="58"/>
  <c r="J1174" i="41"/>
  <c r="BM246" i="58"/>
  <c r="BI187" i="58"/>
  <c r="BL286" i="58"/>
  <c r="DH314" i="58"/>
  <c r="I1172" i="41"/>
  <c r="E1178" i="41"/>
  <c r="E1205" i="41"/>
  <c r="E1218" i="41"/>
  <c r="E1233" i="41"/>
  <c r="E1246" i="41"/>
  <c r="E1305" i="41"/>
  <c r="J1354" i="38"/>
  <c r="J1381" i="38"/>
  <c r="J1300" i="38"/>
  <c r="J1327" i="38"/>
  <c r="J1372" i="38"/>
  <c r="J1397" i="38"/>
  <c r="J1316" i="38"/>
  <c r="J1343" i="38"/>
  <c r="J1174" i="38"/>
  <c r="J1187" i="38"/>
  <c r="J1145" i="38"/>
  <c r="N1176" i="38"/>
  <c r="N1177" i="38"/>
  <c r="H1225" i="38"/>
  <c r="H1256" i="38"/>
  <c r="H1232" i="38"/>
  <c r="H1229" i="38"/>
  <c r="H1226" i="38"/>
  <c r="P1353" i="38"/>
  <c r="P1274" i="38"/>
  <c r="E1372" i="38"/>
  <c r="E1397" i="38"/>
  <c r="E1316" i="38"/>
  <c r="E1343" i="38"/>
  <c r="F1174" i="38"/>
  <c r="F1187" i="38"/>
  <c r="F1145" i="38"/>
  <c r="F1159" i="38"/>
  <c r="G1354" i="38"/>
  <c r="G1381" i="38"/>
  <c r="G1300" i="38"/>
  <c r="G1327" i="38"/>
  <c r="E1300" i="38"/>
  <c r="E1327" i="38"/>
  <c r="E1354" i="38"/>
  <c r="E1381" i="38"/>
  <c r="I1226" i="38"/>
  <c r="I1229" i="38"/>
  <c r="I1232" i="38"/>
  <c r="I1225" i="38"/>
  <c r="I1256" i="38"/>
  <c r="N1313" i="38"/>
  <c r="N1367" i="38"/>
  <c r="N1288" i="38"/>
  <c r="E1367" i="38"/>
  <c r="E1313" i="38"/>
  <c r="E1288" i="38"/>
  <c r="O1288" i="38"/>
  <c r="O1313" i="38"/>
  <c r="O1367" i="38"/>
  <c r="K1372" i="38"/>
  <c r="K1397" i="38"/>
  <c r="K1316" i="38"/>
  <c r="K1343" i="38"/>
  <c r="H1174" i="38"/>
  <c r="H1187" i="38"/>
  <c r="H1145" i="38"/>
  <c r="H1159" i="38"/>
  <c r="D1367" i="38"/>
  <c r="Q1261" i="38"/>
  <c r="K1288" i="38"/>
  <c r="D1313" i="38"/>
  <c r="D1288" i="38"/>
  <c r="F1225" i="38"/>
  <c r="F1256" i="38"/>
  <c r="F1229" i="38"/>
  <c r="F1232" i="38"/>
  <c r="F1226" i="38"/>
  <c r="I1372" i="38"/>
  <c r="I1397" i="38"/>
  <c r="I1316" i="38"/>
  <c r="I1343" i="38"/>
  <c r="G1313" i="38"/>
  <c r="G1288" i="38"/>
  <c r="G1367" i="38"/>
  <c r="I1174" i="38"/>
  <c r="I1187" i="38"/>
  <c r="I1145" i="38"/>
  <c r="I1159" i="38"/>
  <c r="H1354" i="38"/>
  <c r="H1381" i="38"/>
  <c r="H1300" i="38"/>
  <c r="H1327" i="38"/>
  <c r="Q1385" i="38"/>
  <c r="D65" i="68"/>
  <c r="W22" i="53"/>
  <c r="C65" i="68"/>
  <c r="S22" i="53"/>
  <c r="F1372" i="38"/>
  <c r="F1397" i="38"/>
  <c r="F1316" i="38"/>
  <c r="F1343" i="38"/>
  <c r="O1176" i="38"/>
  <c r="O1177" i="38"/>
  <c r="M1367" i="38"/>
  <c r="M1313" i="38"/>
  <c r="M1288" i="38"/>
  <c r="F1354" i="38"/>
  <c r="F1381" i="38"/>
  <c r="F1300" i="38"/>
  <c r="F1327" i="38"/>
  <c r="G1372" i="38"/>
  <c r="G1397" i="38"/>
  <c r="G1316" i="38"/>
  <c r="G1343" i="38"/>
  <c r="N1354" i="38"/>
  <c r="N1381" i="38"/>
  <c r="N1300" i="38"/>
  <c r="N1327" i="38"/>
  <c r="G1274" i="38"/>
  <c r="G1353" i="38"/>
  <c r="G1299" i="38"/>
  <c r="L1229" i="38"/>
  <c r="L1226" i="38"/>
  <c r="L1232" i="38"/>
  <c r="L1225" i="38"/>
  <c r="L1256" i="38"/>
  <c r="L1362" i="38"/>
  <c r="L1389" i="38"/>
  <c r="E1299" i="38"/>
  <c r="E1353" i="38"/>
  <c r="E1274" i="38"/>
  <c r="J1226" i="38"/>
  <c r="J1229" i="38"/>
  <c r="J1225" i="38"/>
  <c r="J1256" i="38"/>
  <c r="J1232" i="38"/>
  <c r="Q1147" i="38"/>
  <c r="Q1148" i="38"/>
  <c r="G1229" i="38"/>
  <c r="G1226" i="38"/>
  <c r="G1225" i="38"/>
  <c r="G1256" i="38"/>
  <c r="G1232" i="38"/>
  <c r="F1291" i="38"/>
  <c r="E1291" i="38"/>
  <c r="D1372" i="38"/>
  <c r="D1397" i="38"/>
  <c r="J1291" i="38"/>
  <c r="K1291" i="38"/>
  <c r="G1291" i="38"/>
  <c r="Q1291" i="38"/>
  <c r="P1291" i="38"/>
  <c r="I1291" i="38"/>
  <c r="L1291" i="38"/>
  <c r="D1291" i="38"/>
  <c r="H1291" i="38"/>
  <c r="M1291" i="38"/>
  <c r="O1291" i="38"/>
  <c r="N1291" i="38"/>
  <c r="D1316" i="38"/>
  <c r="D1343" i="38"/>
  <c r="L1176" i="38"/>
  <c r="L1177" i="38"/>
  <c r="M1372" i="38"/>
  <c r="M1397" i="38"/>
  <c r="M1316" i="38"/>
  <c r="M1343" i="38"/>
  <c r="O1226" i="38"/>
  <c r="O1232" i="38"/>
  <c r="O1225" i="38"/>
  <c r="O1256" i="38"/>
  <c r="O1229" i="38"/>
  <c r="K1174" i="38"/>
  <c r="K1187" i="38"/>
  <c r="K1145" i="38"/>
  <c r="K1148" i="38"/>
  <c r="I1367" i="38"/>
  <c r="I1288" i="38"/>
  <c r="H1274" i="38"/>
  <c r="H1353" i="38"/>
  <c r="H1299" i="38"/>
  <c r="Q1176" i="38"/>
  <c r="Q1177" i="38"/>
  <c r="G1174" i="38"/>
  <c r="G1187" i="38"/>
  <c r="G1145" i="38"/>
  <c r="G1159" i="38"/>
  <c r="F1353" i="38"/>
  <c r="F1299" i="38"/>
  <c r="F1274" i="38"/>
  <c r="H1367" i="38"/>
  <c r="H1288" i="38"/>
  <c r="H1313" i="38"/>
  <c r="O1354" i="38"/>
  <c r="O1381" i="38"/>
  <c r="O1300" i="38"/>
  <c r="O1327" i="38"/>
  <c r="N1299" i="38"/>
  <c r="N1353" i="38"/>
  <c r="N1274" i="38"/>
  <c r="F1367" i="38"/>
  <c r="F1288" i="38"/>
  <c r="F1313" i="38"/>
  <c r="L1288" i="38"/>
  <c r="L1367" i="38"/>
  <c r="M1174" i="38"/>
  <c r="M1187" i="38"/>
  <c r="M1145" i="38"/>
  <c r="M1159" i="38"/>
  <c r="K1274" i="38"/>
  <c r="D1353" i="38"/>
  <c r="D1299" i="38"/>
  <c r="D1274" i="38"/>
  <c r="Q1247" i="38"/>
  <c r="P1288" i="38"/>
  <c r="P1367" i="38"/>
  <c r="E1174" i="38"/>
  <c r="E1187" i="38"/>
  <c r="E1145" i="38"/>
  <c r="E1159" i="38"/>
  <c r="I1274" i="38"/>
  <c r="I1353" i="38"/>
  <c r="H1372" i="38"/>
  <c r="H1397" i="38"/>
  <c r="H1316" i="38"/>
  <c r="H1343" i="38"/>
  <c r="D1174" i="38"/>
  <c r="D1187" i="38"/>
  <c r="D1145" i="38"/>
  <c r="D1159" i="38"/>
  <c r="Q1248" i="38"/>
  <c r="D1300" i="38"/>
  <c r="D1354" i="38"/>
  <c r="D1381" i="38"/>
  <c r="P1226" i="38"/>
  <c r="P1229" i="38"/>
  <c r="P1225" i="38"/>
  <c r="P1256" i="38"/>
  <c r="P1362" i="38"/>
  <c r="P1389" i="38"/>
  <c r="P1232" i="38"/>
  <c r="M1300" i="38"/>
  <c r="M1327" i="38"/>
  <c r="M1354" i="38"/>
  <c r="M1381" i="38"/>
  <c r="E1220" i="38"/>
  <c r="F1220" i="38"/>
  <c r="O1220" i="38"/>
  <c r="H1220" i="38"/>
  <c r="L1220" i="38"/>
  <c r="M1220" i="38"/>
  <c r="G1220" i="38"/>
  <c r="J1220" i="38"/>
  <c r="N1220" i="38"/>
  <c r="D1220" i="38"/>
  <c r="K1220" i="38"/>
  <c r="P1220" i="38"/>
  <c r="I1220" i="38"/>
  <c r="Q1372" i="38"/>
  <c r="Q1397" i="38"/>
  <c r="Q1316" i="38"/>
  <c r="Q1343" i="38"/>
  <c r="J1274" i="38"/>
  <c r="J1353" i="38"/>
  <c r="N1229" i="38"/>
  <c r="N1226" i="38"/>
  <c r="N1225" i="38"/>
  <c r="N1256" i="38"/>
  <c r="N1232" i="38"/>
  <c r="L1353" i="38"/>
  <c r="L1274" i="38"/>
  <c r="E1225" i="38"/>
  <c r="E1256" i="38"/>
  <c r="E1229" i="38"/>
  <c r="E1226" i="38"/>
  <c r="E1232" i="38"/>
  <c r="J1367" i="38"/>
  <c r="J1288" i="38"/>
  <c r="M1225" i="38"/>
  <c r="M1256" i="38"/>
  <c r="M1229" i="38"/>
  <c r="M1232" i="38"/>
  <c r="M1226" i="38"/>
  <c r="O1299" i="38"/>
  <c r="O1274" i="38"/>
  <c r="O1353" i="38"/>
  <c r="D1229" i="38"/>
  <c r="D1225" i="38"/>
  <c r="D1226" i="38"/>
  <c r="D1232" i="38"/>
  <c r="Q1224" i="38"/>
  <c r="P1177" i="38"/>
  <c r="P1176" i="38"/>
  <c r="M1274" i="38"/>
  <c r="M1353" i="38"/>
  <c r="M1299" i="38"/>
  <c r="E1470" i="41"/>
  <c r="E1473" i="41"/>
  <c r="C58" i="68"/>
  <c r="S15" i="53"/>
  <c r="Q1378" i="38"/>
  <c r="D58" i="68"/>
  <c r="W15" i="53"/>
  <c r="J1179" i="41"/>
  <c r="H1176" i="38"/>
  <c r="I1148" i="38"/>
  <c r="I1147" i="38"/>
  <c r="I1362" i="38"/>
  <c r="I1389" i="38"/>
  <c r="I1308" i="38"/>
  <c r="I1335" i="38"/>
  <c r="DM104" i="58"/>
  <c r="BT135" i="58"/>
  <c r="K1219" i="41"/>
  <c r="F185" i="47"/>
  <c r="K1384" i="41"/>
  <c r="K1377" i="41"/>
  <c r="BS287" i="58"/>
  <c r="BT150" i="58"/>
  <c r="J1467" i="41"/>
  <c r="J1466" i="41"/>
  <c r="J1468" i="41"/>
  <c r="CC176" i="58"/>
  <c r="DM142" i="58"/>
  <c r="Q218" i="47"/>
  <c r="S218" i="47"/>
  <c r="K218" i="47"/>
  <c r="S217" i="47"/>
  <c r="K217" i="47"/>
  <c r="BS288" i="58"/>
  <c r="BT151" i="58"/>
  <c r="DM149" i="58"/>
  <c r="CC217" i="58"/>
  <c r="I1467" i="41"/>
  <c r="I1466" i="41"/>
  <c r="I1468" i="41"/>
  <c r="I1205" i="41"/>
  <c r="I1233" i="41"/>
  <c r="I1246" i="41"/>
  <c r="I1178" i="41"/>
  <c r="I1305" i="41"/>
  <c r="J1355" i="41"/>
  <c r="J1409" i="41"/>
  <c r="K1220" i="41"/>
  <c r="F186" i="47"/>
  <c r="D1238" i="41"/>
  <c r="D1251" i="41"/>
  <c r="D1322" i="41"/>
  <c r="D1210" i="41"/>
  <c r="D1223" i="41"/>
  <c r="E1357" i="41"/>
  <c r="E1384" i="41"/>
  <c r="E1411" i="41"/>
  <c r="E1438" i="41"/>
  <c r="J1207" i="41"/>
  <c r="J1235" i="41"/>
  <c r="J1248" i="41"/>
  <c r="J1279" i="41"/>
  <c r="I1179" i="41"/>
  <c r="J1205" i="41"/>
  <c r="J1178" i="41"/>
  <c r="J1305" i="41"/>
  <c r="J1233" i="41"/>
  <c r="J1246" i="41"/>
  <c r="EC157" i="58"/>
  <c r="N1176" i="41"/>
  <c r="EC174" i="58"/>
  <c r="O1176" i="41"/>
  <c r="EG115" i="58"/>
  <c r="L1176" i="41"/>
  <c r="EC135" i="58"/>
  <c r="M1176" i="41"/>
  <c r="I1207" i="41"/>
  <c r="I1220" i="41"/>
  <c r="I1279" i="41"/>
  <c r="I1235" i="41"/>
  <c r="I1248" i="41"/>
  <c r="F184" i="47"/>
  <c r="K1218" i="41"/>
  <c r="BS289" i="58"/>
  <c r="BT152" i="58"/>
  <c r="H1428" i="41"/>
  <c r="H1455" i="41"/>
  <c r="H1374" i="41"/>
  <c r="H1401" i="41"/>
  <c r="DM140" i="58"/>
  <c r="CC174" i="58"/>
  <c r="J1206" i="41"/>
  <c r="J1275" i="41"/>
  <c r="J1234" i="41"/>
  <c r="J1247" i="41"/>
  <c r="I1206" i="41"/>
  <c r="I1219" i="41"/>
  <c r="I1275" i="41"/>
  <c r="I1234" i="41"/>
  <c r="I1247" i="41"/>
  <c r="BT149" i="58"/>
  <c r="BS286" i="58"/>
  <c r="I216" i="47"/>
  <c r="I209" i="47"/>
  <c r="I213" i="47"/>
  <c r="I217" i="47"/>
  <c r="I211" i="47"/>
  <c r="I215" i="47"/>
  <c r="I218" i="47"/>
  <c r="I212" i="47"/>
  <c r="I210" i="47"/>
  <c r="I208" i="47"/>
  <c r="I214" i="47"/>
  <c r="CC173" i="58"/>
  <c r="DM139" i="58"/>
  <c r="CC175" i="58"/>
  <c r="DM141" i="58"/>
  <c r="J1176" i="38"/>
  <c r="H1177" i="38"/>
  <c r="I1355" i="41"/>
  <c r="I1409" i="41"/>
  <c r="F1238" i="41"/>
  <c r="F1251" i="41"/>
  <c r="F1210" i="41"/>
  <c r="F1223" i="41"/>
  <c r="F1322" i="41"/>
  <c r="E1280" i="41"/>
  <c r="E1283" i="41"/>
  <c r="E1312" i="41"/>
  <c r="H1148" i="38"/>
  <c r="E1147" i="38"/>
  <c r="H1147" i="38"/>
  <c r="J1159" i="38"/>
  <c r="D232" i="47"/>
  <c r="J1147" i="38"/>
  <c r="J1148" i="38"/>
  <c r="J1362" i="38"/>
  <c r="J1389" i="38"/>
  <c r="J1308" i="38"/>
  <c r="J1335" i="38"/>
  <c r="J1177" i="38"/>
  <c r="K1147" i="38"/>
  <c r="F1177" i="38"/>
  <c r="I1177" i="38"/>
  <c r="G1148" i="38"/>
  <c r="F1176" i="38"/>
  <c r="E1148" i="38"/>
  <c r="I1176" i="38"/>
  <c r="G1176" i="38"/>
  <c r="F1148" i="38"/>
  <c r="G1177" i="38"/>
  <c r="F1147" i="38"/>
  <c r="D1177" i="38"/>
  <c r="M1362" i="38"/>
  <c r="M1389" i="38"/>
  <c r="M1308" i="38"/>
  <c r="M1335" i="38"/>
  <c r="N1362" i="38"/>
  <c r="N1389" i="38"/>
  <c r="N1308" i="38"/>
  <c r="N1335" i="38"/>
  <c r="J1250" i="38"/>
  <c r="J1302" i="38"/>
  <c r="J1221" i="38"/>
  <c r="J1251" i="38"/>
  <c r="D1148" i="38"/>
  <c r="M1176" i="38"/>
  <c r="D1176" i="38"/>
  <c r="Q1232" i="38"/>
  <c r="G1250" i="38"/>
  <c r="G1221" i="38"/>
  <c r="G1251" i="38"/>
  <c r="D1147" i="38"/>
  <c r="D187" i="47"/>
  <c r="K1159" i="38"/>
  <c r="G1308" i="38"/>
  <c r="G1335" i="38"/>
  <c r="G1362" i="38"/>
  <c r="G1389" i="38"/>
  <c r="M1177" i="38"/>
  <c r="E1250" i="38"/>
  <c r="E1221" i="38"/>
  <c r="E1251" i="38"/>
  <c r="M1250" i="38"/>
  <c r="M1221" i="38"/>
  <c r="M1251" i="38"/>
  <c r="F1308" i="38"/>
  <c r="F1335" i="38"/>
  <c r="F1362" i="38"/>
  <c r="F1389" i="38"/>
  <c r="H1308" i="38"/>
  <c r="H1335" i="38"/>
  <c r="H1362" i="38"/>
  <c r="H1389" i="38"/>
  <c r="E1177" i="38"/>
  <c r="N1250" i="38"/>
  <c r="N1221" i="38"/>
  <c r="N1251" i="38"/>
  <c r="D1256" i="38"/>
  <c r="Q1225" i="38"/>
  <c r="E1308" i="38"/>
  <c r="E1335" i="38"/>
  <c r="E1362" i="38"/>
  <c r="E1389" i="38"/>
  <c r="I1250" i="38"/>
  <c r="I1221" i="38"/>
  <c r="I1251" i="38"/>
  <c r="L1250" i="38"/>
  <c r="L1221" i="38"/>
  <c r="L1251" i="38"/>
  <c r="L1357" i="38"/>
  <c r="L1384" i="38"/>
  <c r="Q1274" i="38"/>
  <c r="Q1353" i="38"/>
  <c r="Q1299" i="38"/>
  <c r="M1148" i="38"/>
  <c r="E1176" i="38"/>
  <c r="Q1226" i="38"/>
  <c r="Q1229" i="38"/>
  <c r="P1250" i="38"/>
  <c r="P1221" i="38"/>
  <c r="P1251" i="38"/>
  <c r="P1357" i="38"/>
  <c r="P1384" i="38"/>
  <c r="H1250" i="38"/>
  <c r="H1221" i="38"/>
  <c r="H1251" i="38"/>
  <c r="O1362" i="38"/>
  <c r="O1389" i="38"/>
  <c r="O1308" i="38"/>
  <c r="O1335" i="38"/>
  <c r="C114" i="68"/>
  <c r="K1177" i="38"/>
  <c r="M1147" i="38"/>
  <c r="K1221" i="38"/>
  <c r="O1250" i="38"/>
  <c r="O1221" i="38"/>
  <c r="O1251" i="38"/>
  <c r="D1327" i="38"/>
  <c r="D101" i="68"/>
  <c r="C101" i="68"/>
  <c r="C100" i="68"/>
  <c r="K1176" i="38"/>
  <c r="Q1220" i="38"/>
  <c r="D1250" i="38"/>
  <c r="D1221" i="38"/>
  <c r="F1250" i="38"/>
  <c r="F1221" i="38"/>
  <c r="F1251" i="38"/>
  <c r="J1275" i="38"/>
  <c r="O1275" i="38"/>
  <c r="E1275" i="38"/>
  <c r="P1275" i="38"/>
  <c r="Q1354" i="38"/>
  <c r="I1275" i="38"/>
  <c r="G1275" i="38"/>
  <c r="D1275" i="38"/>
  <c r="K1275" i="38"/>
  <c r="F1275" i="38"/>
  <c r="Q1275" i="38"/>
  <c r="N1275" i="38"/>
  <c r="M1275" i="38"/>
  <c r="Q1300" i="38"/>
  <c r="Q1327" i="38"/>
  <c r="L1275" i="38"/>
  <c r="H1275" i="38"/>
  <c r="G1147" i="38"/>
  <c r="Q1367" i="38"/>
  <c r="Q1313" i="38"/>
  <c r="Q1288" i="38"/>
  <c r="E1472" i="41"/>
  <c r="E1474" i="41"/>
  <c r="I1470" i="41"/>
  <c r="I1472" i="41"/>
  <c r="P1189" i="41"/>
  <c r="Q1176" i="41"/>
  <c r="Q1189" i="41"/>
  <c r="P1269" i="41"/>
  <c r="K1189" i="41"/>
  <c r="F1269" i="41"/>
  <c r="J1470" i="41"/>
  <c r="J1474" i="41"/>
  <c r="I1280" i="41"/>
  <c r="I1283" i="41"/>
  <c r="I1312" i="41"/>
  <c r="DM107" i="58"/>
  <c r="BT138" i="58"/>
  <c r="F1374" i="41"/>
  <c r="F1401" i="41"/>
  <c r="F1428" i="41"/>
  <c r="F1455" i="41"/>
  <c r="DM152" i="58"/>
  <c r="CC220" i="58"/>
  <c r="M1210" i="41"/>
  <c r="M1223" i="41"/>
  <c r="M1238" i="41"/>
  <c r="M1251" i="41"/>
  <c r="M1269" i="41"/>
  <c r="M1322" i="41"/>
  <c r="M1189" i="41"/>
  <c r="J1189" i="41"/>
  <c r="BT137" i="58"/>
  <c r="DM106" i="58"/>
  <c r="BT139" i="58"/>
  <c r="DM108" i="58"/>
  <c r="L1210" i="41"/>
  <c r="L1223" i="41"/>
  <c r="L1189" i="41"/>
  <c r="L1269" i="41"/>
  <c r="L1322" i="41"/>
  <c r="L1428" i="41"/>
  <c r="L1455" i="41"/>
  <c r="L1238" i="41"/>
  <c r="L1251" i="41"/>
  <c r="H1269" i="41"/>
  <c r="J1283" i="41"/>
  <c r="J1312" i="41"/>
  <c r="J1280" i="41"/>
  <c r="G1189" i="41"/>
  <c r="D1189" i="41"/>
  <c r="DM151" i="58"/>
  <c r="CC219" i="58"/>
  <c r="CI123" i="58"/>
  <c r="CI102" i="58"/>
  <c r="CI146" i="58"/>
  <c r="DH152" i="58"/>
  <c r="G1170" i="41"/>
  <c r="CC221" i="58"/>
  <c r="DM153" i="58"/>
  <c r="O1189" i="41"/>
  <c r="O1269" i="41"/>
  <c r="O1210" i="41"/>
  <c r="O1223" i="41"/>
  <c r="O1322" i="41"/>
  <c r="O1238" i="41"/>
  <c r="O1251" i="41"/>
  <c r="G1269" i="41"/>
  <c r="E1269" i="41"/>
  <c r="I1211" i="41"/>
  <c r="I1218" i="41"/>
  <c r="F215" i="47"/>
  <c r="F211" i="47"/>
  <c r="F216" i="47"/>
  <c r="F209" i="47"/>
  <c r="F212" i="47"/>
  <c r="F210" i="47"/>
  <c r="F208" i="47"/>
  <c r="F213" i="47"/>
  <c r="F217" i="47"/>
  <c r="F214" i="47"/>
  <c r="N1238" i="41"/>
  <c r="N1251" i="41"/>
  <c r="N1210" i="41"/>
  <c r="N1223" i="41"/>
  <c r="N1322" i="41"/>
  <c r="N1189" i="41"/>
  <c r="N1269" i="41"/>
  <c r="E1189" i="41"/>
  <c r="I1212" i="41"/>
  <c r="F230" i="47"/>
  <c r="J1219" i="41"/>
  <c r="E214" i="47"/>
  <c r="E216" i="47"/>
  <c r="E215" i="47"/>
  <c r="E217" i="47"/>
  <c r="E213" i="47"/>
  <c r="E210" i="47"/>
  <c r="E208" i="47"/>
  <c r="E211" i="47"/>
  <c r="E209" i="47"/>
  <c r="E212" i="47"/>
  <c r="J1269" i="41"/>
  <c r="I1357" i="41"/>
  <c r="I1411" i="41"/>
  <c r="I1438" i="41"/>
  <c r="CC252" i="58"/>
  <c r="DM160" i="58"/>
  <c r="DM105" i="58"/>
  <c r="BT136" i="58"/>
  <c r="F229" i="47"/>
  <c r="J1218" i="41"/>
  <c r="G211" i="47"/>
  <c r="G212" i="47"/>
  <c r="G216" i="47"/>
  <c r="G209" i="47"/>
  <c r="G210" i="47"/>
  <c r="G208" i="47"/>
  <c r="G217" i="47"/>
  <c r="G214" i="47"/>
  <c r="G213" i="47"/>
  <c r="G215" i="47"/>
  <c r="I1189" i="41"/>
  <c r="I1357" i="38"/>
  <c r="I1384" i="38"/>
  <c r="I1303" i="38"/>
  <c r="I1330" i="38"/>
  <c r="E1364" i="41"/>
  <c r="E1391" i="41"/>
  <c r="E1418" i="41"/>
  <c r="E1445" i="41"/>
  <c r="F231" i="47"/>
  <c r="J1220" i="41"/>
  <c r="I1269" i="41"/>
  <c r="F1189" i="41"/>
  <c r="DM150" i="58"/>
  <c r="CC218" i="58"/>
  <c r="J1357" i="41"/>
  <c r="J1384" i="41"/>
  <c r="J1411" i="41"/>
  <c r="J1438" i="41"/>
  <c r="D1269" i="41"/>
  <c r="D1374" i="41"/>
  <c r="D1428" i="41"/>
  <c r="D1455" i="41"/>
  <c r="H1189" i="41"/>
  <c r="H246" i="47"/>
  <c r="H244" i="47"/>
  <c r="I244" i="47"/>
  <c r="H239" i="47"/>
  <c r="I239" i="47"/>
  <c r="H242" i="47"/>
  <c r="I242" i="47"/>
  <c r="H245" i="47"/>
  <c r="I245" i="47"/>
  <c r="H238" i="47"/>
  <c r="I238" i="47"/>
  <c r="H241" i="47"/>
  <c r="I241" i="47"/>
  <c r="H237" i="47"/>
  <c r="I237" i="47"/>
  <c r="H240" i="47"/>
  <c r="I240" i="47"/>
  <c r="H243" i="47"/>
  <c r="I243" i="47"/>
  <c r="J1357" i="38"/>
  <c r="J1384" i="38"/>
  <c r="J1303" i="38"/>
  <c r="J1330" i="38"/>
  <c r="D1302" i="38"/>
  <c r="Q1250" i="38"/>
  <c r="D1356" i="38"/>
  <c r="N1302" i="38"/>
  <c r="N1356" i="38"/>
  <c r="J1356" i="38"/>
  <c r="D1223" i="38"/>
  <c r="O1357" i="38"/>
  <c r="O1384" i="38"/>
  <c r="O1303" i="38"/>
  <c r="O1330" i="38"/>
  <c r="D1362" i="38"/>
  <c r="D1389" i="38"/>
  <c r="D1308" i="38"/>
  <c r="Q1256" i="38"/>
  <c r="G1357" i="38"/>
  <c r="G1384" i="38"/>
  <c r="G1303" i="38"/>
  <c r="G1330" i="38"/>
  <c r="O1356" i="38"/>
  <c r="O1302" i="38"/>
  <c r="H1303" i="38"/>
  <c r="H1330" i="38"/>
  <c r="H1357" i="38"/>
  <c r="H1384" i="38"/>
  <c r="L1356" i="38"/>
  <c r="M1303" i="38"/>
  <c r="M1330" i="38"/>
  <c r="M1357" i="38"/>
  <c r="M1384" i="38"/>
  <c r="E1303" i="38"/>
  <c r="E1330" i="38"/>
  <c r="E1357" i="38"/>
  <c r="E1384" i="38"/>
  <c r="G1302" i="38"/>
  <c r="G1356" i="38"/>
  <c r="H1302" i="38"/>
  <c r="H1356" i="38"/>
  <c r="M1356" i="38"/>
  <c r="M1302" i="38"/>
  <c r="E1302" i="38"/>
  <c r="E1356" i="38"/>
  <c r="N1303" i="38"/>
  <c r="N1330" i="38"/>
  <c r="N1357" i="38"/>
  <c r="N1384" i="38"/>
  <c r="H195" i="47"/>
  <c r="J195" i="47"/>
  <c r="H201" i="47"/>
  <c r="J201" i="47"/>
  <c r="H200" i="47"/>
  <c r="J200" i="47"/>
  <c r="H198" i="47"/>
  <c r="J198" i="47"/>
  <c r="H202" i="47"/>
  <c r="H199" i="47"/>
  <c r="J199" i="47"/>
  <c r="H193" i="47"/>
  <c r="J193" i="47"/>
  <c r="H197" i="47"/>
  <c r="J197" i="47"/>
  <c r="H196" i="47"/>
  <c r="J196" i="47"/>
  <c r="H194" i="47"/>
  <c r="J194" i="47"/>
  <c r="C74" i="68"/>
  <c r="S31" i="53"/>
  <c r="F1357" i="38"/>
  <c r="F1384" i="38"/>
  <c r="F1303" i="38"/>
  <c r="F1330" i="38"/>
  <c r="Q1221" i="38"/>
  <c r="D1251" i="38"/>
  <c r="C60" i="68"/>
  <c r="S17" i="53"/>
  <c r="I1302" i="38"/>
  <c r="I1356" i="38"/>
  <c r="F1302" i="38"/>
  <c r="F1356" i="38"/>
  <c r="Q1381" i="38"/>
  <c r="D61" i="68"/>
  <c r="W18" i="53"/>
  <c r="C61" i="68"/>
  <c r="S18" i="53"/>
  <c r="P1356" i="38"/>
  <c r="I1473" i="41"/>
  <c r="I1474" i="41"/>
  <c r="Q1210" i="41"/>
  <c r="Q1223" i="41"/>
  <c r="Q1238" i="41"/>
  <c r="Q1251" i="41"/>
  <c r="J1472" i="41"/>
  <c r="J1473" i="41"/>
  <c r="J1418" i="41"/>
  <c r="J1445" i="41"/>
  <c r="J1364" i="41"/>
  <c r="J1391" i="41"/>
  <c r="E218" i="47"/>
  <c r="Q1322" i="41"/>
  <c r="M1349" i="41"/>
  <c r="F218" i="47"/>
  <c r="CM185" i="58"/>
  <c r="CU182" i="58"/>
  <c r="CU243" i="58"/>
  <c r="CJ258" i="58"/>
  <c r="CU270" i="58"/>
  <c r="DH295" i="58"/>
  <c r="H1170" i="41"/>
  <c r="O1428" i="41"/>
  <c r="O1455" i="41"/>
  <c r="O1374" i="41"/>
  <c r="O1401" i="41"/>
  <c r="Q1269" i="41"/>
  <c r="G261" i="47"/>
  <c r="G257" i="47"/>
  <c r="G252" i="47"/>
  <c r="G258" i="47"/>
  <c r="G256" i="47"/>
  <c r="G259" i="47"/>
  <c r="G260" i="47"/>
  <c r="G255" i="47"/>
  <c r="G254" i="47"/>
  <c r="G253" i="47"/>
  <c r="CC255" i="58"/>
  <c r="DM163" i="58"/>
  <c r="G218" i="47"/>
  <c r="E253" i="47"/>
  <c r="E259" i="47"/>
  <c r="E261" i="47"/>
  <c r="E254" i="47"/>
  <c r="E256" i="47"/>
  <c r="E258" i="47"/>
  <c r="E257" i="47"/>
  <c r="E252" i="47"/>
  <c r="E260" i="47"/>
  <c r="E255" i="47"/>
  <c r="N1428" i="41"/>
  <c r="N1455" i="41"/>
  <c r="N1374" i="41"/>
  <c r="N1401" i="41"/>
  <c r="I1418" i="41"/>
  <c r="I1445" i="41"/>
  <c r="I1364" i="41"/>
  <c r="I1391" i="41"/>
  <c r="I1384" i="41"/>
  <c r="DM162" i="58"/>
  <c r="CC254" i="58"/>
  <c r="CI147" i="58"/>
  <c r="DH153" i="58"/>
  <c r="G1172" i="41"/>
  <c r="CI103" i="58"/>
  <c r="CI124" i="58"/>
  <c r="CC253" i="58"/>
  <c r="DM161" i="58"/>
  <c r="CC256" i="58"/>
  <c r="DM164" i="58"/>
  <c r="CI104" i="58"/>
  <c r="CI125" i="58"/>
  <c r="CI148" i="58"/>
  <c r="DH154" i="58"/>
  <c r="G1173" i="41"/>
  <c r="C231" i="68"/>
  <c r="D1401" i="41"/>
  <c r="D231" i="68"/>
  <c r="F255" i="47"/>
  <c r="F253" i="47"/>
  <c r="F260" i="47"/>
  <c r="F261" i="47"/>
  <c r="F254" i="47"/>
  <c r="F256" i="47"/>
  <c r="F258" i="47"/>
  <c r="F257" i="47"/>
  <c r="F252" i="47"/>
  <c r="F259" i="47"/>
  <c r="G1464" i="41"/>
  <c r="G1231" i="41"/>
  <c r="G1203" i="41"/>
  <c r="G1303" i="41"/>
  <c r="CI150" i="58"/>
  <c r="DH156" i="58"/>
  <c r="G1175" i="41"/>
  <c r="CI127" i="58"/>
  <c r="CI106" i="58"/>
  <c r="M1428" i="41"/>
  <c r="M1455" i="41"/>
  <c r="M1374" i="41"/>
  <c r="M1401" i="41"/>
  <c r="CI149" i="58"/>
  <c r="DH155" i="58"/>
  <c r="G1174" i="41"/>
  <c r="CI105" i="58"/>
  <c r="CI126" i="58"/>
  <c r="H247" i="47"/>
  <c r="I247" i="47"/>
  <c r="I246" i="47"/>
  <c r="S16" i="53"/>
  <c r="Q1251" i="38"/>
  <c r="D1303" i="38"/>
  <c r="D1357" i="38"/>
  <c r="D1384" i="38"/>
  <c r="N1283" i="38"/>
  <c r="Q1283" i="38"/>
  <c r="E1283" i="38"/>
  <c r="G1283" i="38"/>
  <c r="Q1308" i="38"/>
  <c r="Q1335" i="38"/>
  <c r="L1283" i="38"/>
  <c r="O1283" i="38"/>
  <c r="I1283" i="38"/>
  <c r="H1283" i="38"/>
  <c r="D1283" i="38"/>
  <c r="Q1362" i="38"/>
  <c r="P1283" i="38"/>
  <c r="K1283" i="38"/>
  <c r="M1283" i="38"/>
  <c r="F1283" i="38"/>
  <c r="J1283" i="38"/>
  <c r="L1277" i="38"/>
  <c r="O1277" i="38"/>
  <c r="K1277" i="38"/>
  <c r="J1277" i="38"/>
  <c r="E1277" i="38"/>
  <c r="H1277" i="38"/>
  <c r="Q1302" i="38"/>
  <c r="F1277" i="38"/>
  <c r="N1277" i="38"/>
  <c r="M1277" i="38"/>
  <c r="G1277" i="38"/>
  <c r="P1277" i="38"/>
  <c r="D1277" i="38"/>
  <c r="Q1277" i="38"/>
  <c r="Q1356" i="38"/>
  <c r="I1277" i="38"/>
  <c r="H203" i="47"/>
  <c r="J203" i="47"/>
  <c r="J202" i="47"/>
  <c r="D1335" i="38"/>
  <c r="D109" i="68"/>
  <c r="C109" i="68"/>
  <c r="C103" i="68"/>
  <c r="H1227" i="38"/>
  <c r="G1227" i="38"/>
  <c r="D1227" i="38"/>
  <c r="M1227" i="38"/>
  <c r="L1227" i="38"/>
  <c r="P1227" i="38"/>
  <c r="J1227" i="38"/>
  <c r="K1227" i="38"/>
  <c r="F1227" i="38"/>
  <c r="I1227" i="38"/>
  <c r="N1227" i="38"/>
  <c r="O1227" i="38"/>
  <c r="E1227" i="38"/>
  <c r="F1349" i="41"/>
  <c r="N1349" i="41"/>
  <c r="O1349" i="41"/>
  <c r="H1349" i="41"/>
  <c r="P1349" i="41"/>
  <c r="Q1374" i="41"/>
  <c r="Q1401" i="41"/>
  <c r="K1349" i="41"/>
  <c r="D1349" i="41"/>
  <c r="Q1349" i="41"/>
  <c r="J1349" i="41"/>
  <c r="L1349" i="41"/>
  <c r="G1349" i="41"/>
  <c r="E1349" i="41"/>
  <c r="Q1428" i="41"/>
  <c r="C189" i="68"/>
  <c r="T32" i="53"/>
  <c r="I1349" i="41"/>
  <c r="F262" i="47"/>
  <c r="DH29" i="58"/>
  <c r="D1170" i="41"/>
  <c r="D1464" i="41"/>
  <c r="G1234" i="41"/>
  <c r="G1247" i="41"/>
  <c r="G1206" i="41"/>
  <c r="G1219" i="41"/>
  <c r="G1275" i="41"/>
  <c r="G1233" i="41"/>
  <c r="G1246" i="41"/>
  <c r="G1205" i="41"/>
  <c r="G1218" i="41"/>
  <c r="G1305" i="41"/>
  <c r="G1178" i="41"/>
  <c r="G1467" i="41"/>
  <c r="G1468" i="41"/>
  <c r="G1466" i="41"/>
  <c r="CJ261" i="58"/>
  <c r="CU273" i="58"/>
  <c r="DH298" i="58"/>
  <c r="H1174" i="41"/>
  <c r="CM188" i="58"/>
  <c r="CU185" i="58"/>
  <c r="CU246" i="58"/>
  <c r="CU96" i="58"/>
  <c r="DH84" i="58"/>
  <c r="F1170" i="41"/>
  <c r="DM115" i="58"/>
  <c r="CU272" i="58"/>
  <c r="DH297" i="58"/>
  <c r="H1173" i="41"/>
  <c r="CJ260" i="58"/>
  <c r="CM187" i="58"/>
  <c r="CU184" i="58"/>
  <c r="CU245" i="58"/>
  <c r="E262" i="47"/>
  <c r="G1409" i="41"/>
  <c r="G1355" i="41"/>
  <c r="G1207" i="41"/>
  <c r="G1220" i="41"/>
  <c r="G1235" i="41"/>
  <c r="G1248" i="41"/>
  <c r="G1279" i="41"/>
  <c r="H1303" i="41"/>
  <c r="H1464" i="41"/>
  <c r="H1231" i="41"/>
  <c r="H1203" i="41"/>
  <c r="CU247" i="58"/>
  <c r="CU274" i="58"/>
  <c r="DH299" i="58"/>
  <c r="H1175" i="41"/>
  <c r="CM189" i="58"/>
  <c r="CU186" i="58"/>
  <c r="CJ262" i="58"/>
  <c r="G262" i="47"/>
  <c r="G1179" i="41"/>
  <c r="CM186" i="58"/>
  <c r="CU183" i="58"/>
  <c r="CU244" i="58"/>
  <c r="CJ259" i="58"/>
  <c r="CU271" i="58"/>
  <c r="DH296" i="58"/>
  <c r="H1172" i="41"/>
  <c r="L1340" i="38"/>
  <c r="O1158" i="38"/>
  <c r="O1161" i="38"/>
  <c r="O1162" i="38"/>
  <c r="K1394" i="38"/>
  <c r="L1158" i="38"/>
  <c r="L1161" i="38"/>
  <c r="L1162" i="38"/>
  <c r="P1340" i="38"/>
  <c r="I1340" i="38"/>
  <c r="P1158" i="38"/>
  <c r="P1161" i="38"/>
  <c r="P1162" i="38"/>
  <c r="N1158" i="38"/>
  <c r="N1161" i="38"/>
  <c r="N1162" i="38"/>
  <c r="K1340" i="38"/>
  <c r="J1158" i="38"/>
  <c r="J1161" i="38"/>
  <c r="J1162" i="38"/>
  <c r="J1186" i="38"/>
  <c r="J1189" i="38"/>
  <c r="J1190" i="38"/>
  <c r="E1186" i="38"/>
  <c r="E1189" i="38"/>
  <c r="E1190" i="38"/>
  <c r="Q1186" i="38"/>
  <c r="Q1189" i="38"/>
  <c r="Q1190" i="38"/>
  <c r="K1158" i="38"/>
  <c r="K1161" i="38"/>
  <c r="K1162" i="38"/>
  <c r="E1158" i="38"/>
  <c r="E1161" i="38"/>
  <c r="E1162" i="38"/>
  <c r="F1186" i="38"/>
  <c r="F1189" i="38"/>
  <c r="F1190" i="38"/>
  <c r="D1158" i="38"/>
  <c r="D1161" i="38"/>
  <c r="D1162" i="38"/>
  <c r="I1186" i="38"/>
  <c r="I1189" i="38"/>
  <c r="I1190" i="38"/>
  <c r="F1158" i="38"/>
  <c r="F1161" i="38"/>
  <c r="F1162" i="38"/>
  <c r="O1186" i="38"/>
  <c r="O1189" i="38"/>
  <c r="O1190" i="38"/>
  <c r="H1158" i="38"/>
  <c r="H1161" i="38"/>
  <c r="H1162" i="38"/>
  <c r="H1186" i="38"/>
  <c r="H1189" i="38"/>
  <c r="H1190" i="38"/>
  <c r="N1186" i="38"/>
  <c r="N1189" i="38"/>
  <c r="N1190" i="38"/>
  <c r="M1158" i="38"/>
  <c r="M1161" i="38"/>
  <c r="M1162" i="38"/>
  <c r="Q1158" i="38"/>
  <c r="L1186" i="38"/>
  <c r="L1189" i="38"/>
  <c r="L1190" i="38"/>
  <c r="G1186" i="38"/>
  <c r="G1189" i="38"/>
  <c r="G1190" i="38"/>
  <c r="J1340" i="38"/>
  <c r="D1186" i="38"/>
  <c r="D1189" i="38"/>
  <c r="D1190" i="38"/>
  <c r="K1186" i="38"/>
  <c r="K1189" i="38"/>
  <c r="K1190" i="38"/>
  <c r="M1186" i="38"/>
  <c r="M1189" i="38"/>
  <c r="M1190" i="38"/>
  <c r="I1158" i="38"/>
  <c r="I1161" i="38"/>
  <c r="I1162" i="38"/>
  <c r="G1158" i="38"/>
  <c r="G1161" i="38"/>
  <c r="G1162" i="38"/>
  <c r="P1186" i="38"/>
  <c r="P1189" i="38"/>
  <c r="P1190" i="38"/>
  <c r="N1394" i="38"/>
  <c r="P1394" i="38"/>
  <c r="M1394" i="38"/>
  <c r="F1394" i="38"/>
  <c r="G1394" i="38"/>
  <c r="G1340" i="38"/>
  <c r="H1394" i="38"/>
  <c r="D1394" i="38"/>
  <c r="N1340" i="38"/>
  <c r="I1394" i="38"/>
  <c r="F1340" i="38"/>
  <c r="O1394" i="38"/>
  <c r="E1340" i="38"/>
  <c r="D1340" i="38"/>
  <c r="D114" i="68"/>
  <c r="J1394" i="38"/>
  <c r="O1340" i="38"/>
  <c r="M1340" i="38"/>
  <c r="H1340" i="38"/>
  <c r="E1394" i="38"/>
  <c r="L1394" i="38"/>
  <c r="Q1394" i="38"/>
  <c r="D74" i="68"/>
  <c r="W31" i="53"/>
  <c r="Q1340" i="38"/>
  <c r="G62" i="56"/>
  <c r="G44" i="54"/>
  <c r="K48" i="54"/>
  <c r="G61" i="56"/>
  <c r="G65" i="56"/>
  <c r="G66" i="54"/>
  <c r="G53" i="54"/>
  <c r="G51" i="54"/>
  <c r="K48" i="56"/>
  <c r="G53" i="56"/>
  <c r="G51" i="56"/>
  <c r="G61" i="54"/>
  <c r="K62" i="54"/>
  <c r="K51" i="54"/>
  <c r="K51" i="56"/>
  <c r="K46" i="56"/>
  <c r="K53" i="54"/>
  <c r="G48" i="54"/>
  <c r="G57" i="54"/>
  <c r="G44" i="56"/>
  <c r="K65" i="56"/>
  <c r="K57" i="54"/>
  <c r="G46" i="56"/>
  <c r="K61" i="56"/>
  <c r="K46" i="54"/>
  <c r="K44" i="54"/>
  <c r="K44" i="56"/>
  <c r="K53" i="56"/>
  <c r="G48" i="56"/>
  <c r="G46" i="54"/>
  <c r="K61" i="54"/>
  <c r="K62" i="56"/>
  <c r="K66" i="54"/>
  <c r="G62" i="54"/>
  <c r="K1380" i="38"/>
  <c r="K1390" i="38"/>
  <c r="K1392" i="38"/>
  <c r="K1396" i="38"/>
  <c r="K1387" i="38"/>
  <c r="K1383" i="38"/>
  <c r="K64" i="56"/>
  <c r="G64" i="56"/>
  <c r="K64" i="54"/>
  <c r="K55" i="54"/>
  <c r="K55" i="56"/>
  <c r="G55" i="54"/>
  <c r="G55" i="56"/>
  <c r="G64" i="54"/>
  <c r="G45" i="56"/>
  <c r="G47" i="56"/>
  <c r="K47" i="56"/>
  <c r="K45" i="56"/>
  <c r="G47" i="54"/>
  <c r="K47" i="54"/>
  <c r="P1326" i="38"/>
  <c r="P1164" i="38"/>
  <c r="P1329" i="38"/>
  <c r="P1342" i="38"/>
  <c r="P1333" i="38"/>
  <c r="P1336" i="38"/>
  <c r="P1338" i="38"/>
  <c r="G45" i="54"/>
  <c r="I1164" i="38"/>
  <c r="I1326" i="38"/>
  <c r="K45" i="54"/>
  <c r="K49" i="56"/>
  <c r="G49" i="56"/>
  <c r="K57" i="56"/>
  <c r="G57" i="56"/>
  <c r="G56" i="54"/>
  <c r="K56" i="54"/>
  <c r="G63" i="56"/>
  <c r="K63" i="56"/>
  <c r="G49" i="54"/>
  <c r="K56" i="56"/>
  <c r="G56" i="56"/>
  <c r="K49" i="54"/>
  <c r="K63" i="54"/>
  <c r="G63" i="54"/>
  <c r="G50" i="56"/>
  <c r="K50" i="56"/>
  <c r="G50" i="54"/>
  <c r="K50" i="54"/>
  <c r="G58" i="54"/>
  <c r="K58" i="54"/>
  <c r="G60" i="54"/>
  <c r="K60" i="54"/>
  <c r="G59" i="54"/>
  <c r="K59" i="54"/>
  <c r="K58" i="56"/>
  <c r="G58" i="56"/>
  <c r="G60" i="56"/>
  <c r="K60" i="56"/>
  <c r="K59" i="56"/>
  <c r="G59" i="56"/>
  <c r="K52" i="54"/>
  <c r="G52" i="54"/>
  <c r="J1329" i="38"/>
  <c r="J1326" i="38"/>
  <c r="J1164" i="38"/>
  <c r="L1333" i="38"/>
  <c r="L1338" i="38"/>
  <c r="L1164" i="38"/>
  <c r="L1326" i="38"/>
  <c r="K52" i="56"/>
  <c r="L1329" i="38"/>
  <c r="L1336" i="38"/>
  <c r="G52" i="56"/>
  <c r="L1342" i="38"/>
  <c r="K1338" i="38"/>
  <c r="K1326" i="38"/>
  <c r="K1329" i="38"/>
  <c r="K1336" i="38"/>
  <c r="K1333" i="38"/>
  <c r="K1342" i="38"/>
  <c r="G65" i="54"/>
  <c r="K65" i="54"/>
  <c r="K54" i="54"/>
  <c r="G54" i="54"/>
  <c r="K66" i="56"/>
  <c r="G66" i="56"/>
  <c r="G54" i="56"/>
  <c r="K54" i="56"/>
  <c r="J1192" i="38"/>
  <c r="P1192" i="38"/>
  <c r="I1192" i="38"/>
  <c r="E1164" i="38"/>
  <c r="L1192" i="38"/>
  <c r="E1192" i="38"/>
  <c r="M1164" i="38"/>
  <c r="D1164" i="38"/>
  <c r="G1192" i="38"/>
  <c r="H1192" i="38"/>
  <c r="K1192" i="38"/>
  <c r="O1164" i="38"/>
  <c r="N1164" i="38"/>
  <c r="H1164" i="38"/>
  <c r="K1164" i="38"/>
  <c r="G1164" i="38"/>
  <c r="F1192" i="38"/>
  <c r="O1192" i="38"/>
  <c r="F1164" i="38"/>
  <c r="N1192" i="38"/>
  <c r="M1192" i="38"/>
  <c r="D1192" i="38"/>
  <c r="Q1192" i="38"/>
  <c r="Q1164" i="38"/>
  <c r="O1326" i="38"/>
  <c r="M1326" i="38"/>
  <c r="N1380" i="38"/>
  <c r="M1380" i="38"/>
  <c r="O1380" i="38"/>
  <c r="P1380" i="38"/>
  <c r="H1380" i="38"/>
  <c r="N1326" i="38"/>
  <c r="E1326" i="38"/>
  <c r="D1326" i="38"/>
  <c r="L1380" i="38"/>
  <c r="G1326" i="38"/>
  <c r="J1380" i="38"/>
  <c r="F1326" i="38"/>
  <c r="E1380" i="38"/>
  <c r="F1380" i="38"/>
  <c r="I1380" i="38"/>
  <c r="D1380" i="38"/>
  <c r="G1380" i="38"/>
  <c r="H1326" i="38"/>
  <c r="Q1326" i="38"/>
  <c r="Q1380" i="38"/>
  <c r="E1329" i="38"/>
  <c r="O1254" i="38"/>
  <c r="O1228" i="38"/>
  <c r="O1255" i="38"/>
  <c r="I1329" i="38"/>
  <c r="C69" i="68"/>
  <c r="S26" i="53"/>
  <c r="Q1389" i="38"/>
  <c r="D69" i="68"/>
  <c r="W26" i="53"/>
  <c r="J1383" i="38"/>
  <c r="N1329" i="38"/>
  <c r="O1329" i="38"/>
  <c r="Q1383" i="38"/>
  <c r="D63" i="68"/>
  <c r="W20" i="53"/>
  <c r="C63" i="68"/>
  <c r="S20" i="53"/>
  <c r="P1254" i="38"/>
  <c r="P1228" i="38"/>
  <c r="P1255" i="38"/>
  <c r="P1361" i="38"/>
  <c r="P1388" i="38"/>
  <c r="D1329" i="38"/>
  <c r="D103" i="68"/>
  <c r="C104" i="68"/>
  <c r="D1330" i="38"/>
  <c r="D104" i="68"/>
  <c r="E1383" i="38"/>
  <c r="N1254" i="38"/>
  <c r="N1228" i="38"/>
  <c r="N1255" i="38"/>
  <c r="G1254" i="38"/>
  <c r="G1228" i="38"/>
  <c r="G1255" i="38"/>
  <c r="I1383" i="38"/>
  <c r="E1278" i="38"/>
  <c r="F1278" i="38"/>
  <c r="Q1303" i="38"/>
  <c r="Q1330" i="38"/>
  <c r="H1278" i="38"/>
  <c r="J1278" i="38"/>
  <c r="N1278" i="38"/>
  <c r="K1278" i="38"/>
  <c r="G1278" i="38"/>
  <c r="M1278" i="38"/>
  <c r="P1278" i="38"/>
  <c r="D1278" i="38"/>
  <c r="L1278" i="38"/>
  <c r="Q1278" i="38"/>
  <c r="O1278" i="38"/>
  <c r="I1278" i="38"/>
  <c r="Q1357" i="38"/>
  <c r="G1383" i="38"/>
  <c r="J1254" i="38"/>
  <c r="J1306" i="38"/>
  <c r="J1333" i="38"/>
  <c r="J1228" i="38"/>
  <c r="J1255" i="38"/>
  <c r="H1254" i="38"/>
  <c r="H1228" i="38"/>
  <c r="H1255" i="38"/>
  <c r="M1329" i="38"/>
  <c r="H1329" i="38"/>
  <c r="F1383" i="38"/>
  <c r="K1228" i="38"/>
  <c r="H1383" i="38"/>
  <c r="G1329" i="38"/>
  <c r="Q1329" i="38"/>
  <c r="L1383" i="38"/>
  <c r="M1383" i="38"/>
  <c r="D1254" i="38"/>
  <c r="Q1227" i="38"/>
  <c r="D1228" i="38"/>
  <c r="N1383" i="38"/>
  <c r="L1254" i="38"/>
  <c r="L1228" i="38"/>
  <c r="L1255" i="38"/>
  <c r="L1361" i="38"/>
  <c r="L1388" i="38"/>
  <c r="E1254" i="38"/>
  <c r="E1228" i="38"/>
  <c r="E1255" i="38"/>
  <c r="I1254" i="38"/>
  <c r="I1306" i="38"/>
  <c r="I1228" i="38"/>
  <c r="I1255" i="38"/>
  <c r="F1254" i="38"/>
  <c r="F1228" i="38"/>
  <c r="F1255" i="38"/>
  <c r="M1254" i="38"/>
  <c r="M1228" i="38"/>
  <c r="M1255" i="38"/>
  <c r="P1383" i="38"/>
  <c r="D1383" i="38"/>
  <c r="O1383" i="38"/>
  <c r="F1329" i="38"/>
  <c r="D1303" i="41"/>
  <c r="D1409" i="41"/>
  <c r="D1231" i="41"/>
  <c r="Q1455" i="41"/>
  <c r="D189" i="68"/>
  <c r="X32" i="53"/>
  <c r="D1203" i="41"/>
  <c r="H1179" i="41"/>
  <c r="G1470" i="41"/>
  <c r="G1473" i="41"/>
  <c r="DH30" i="58"/>
  <c r="D1172" i="41"/>
  <c r="D1233" i="41"/>
  <c r="D1246" i="41"/>
  <c r="G1357" i="41"/>
  <c r="G1384" i="41"/>
  <c r="G1411" i="41"/>
  <c r="G1438" i="41"/>
  <c r="CU100" i="58"/>
  <c r="DH88" i="58"/>
  <c r="F1175" i="41"/>
  <c r="DM119" i="58"/>
  <c r="DH31" i="58"/>
  <c r="D1173" i="41"/>
  <c r="DM118" i="58"/>
  <c r="CU99" i="58"/>
  <c r="DH87" i="58"/>
  <c r="F1174" i="41"/>
  <c r="H1233" i="41"/>
  <c r="H1246" i="41"/>
  <c r="H1205" i="41"/>
  <c r="H1218" i="41"/>
  <c r="H1178" i="41"/>
  <c r="H1305" i="41"/>
  <c r="DH33" i="58"/>
  <c r="D1175" i="41"/>
  <c r="H1468" i="41"/>
  <c r="H1467" i="41"/>
  <c r="H1466" i="41"/>
  <c r="G1280" i="41"/>
  <c r="G1283" i="41"/>
  <c r="G1312" i="41"/>
  <c r="CU98" i="58"/>
  <c r="DH86" i="58"/>
  <c r="F1173" i="41"/>
  <c r="DM117" i="58"/>
  <c r="I1361" i="38"/>
  <c r="I1388" i="38"/>
  <c r="I1307" i="38"/>
  <c r="I1334" i="38"/>
  <c r="H1235" i="41"/>
  <c r="H1248" i="41"/>
  <c r="H1207" i="41"/>
  <c r="H1220" i="41"/>
  <c r="H1279" i="41"/>
  <c r="I1333" i="38"/>
  <c r="CU97" i="58"/>
  <c r="DH85" i="58"/>
  <c r="F1172" i="41"/>
  <c r="DM116" i="58"/>
  <c r="H1275" i="41"/>
  <c r="H1206" i="41"/>
  <c r="H1219" i="41"/>
  <c r="H1234" i="41"/>
  <c r="H1247" i="41"/>
  <c r="D1468" i="41"/>
  <c r="D1467" i="41"/>
  <c r="D1466" i="41"/>
  <c r="EG110" i="58"/>
  <c r="L1170" i="41"/>
  <c r="EC130" i="58"/>
  <c r="M1170" i="41"/>
  <c r="EC102" i="58"/>
  <c r="K1170" i="41"/>
  <c r="EC152" i="58"/>
  <c r="N1170" i="41"/>
  <c r="EC169" i="58"/>
  <c r="O1170" i="41"/>
  <c r="DH32" i="58"/>
  <c r="D1174" i="41"/>
  <c r="H1409" i="41"/>
  <c r="H1355" i="41"/>
  <c r="F1464" i="41"/>
  <c r="F1303" i="41"/>
  <c r="F1203" i="41"/>
  <c r="F1231" i="41"/>
  <c r="J1361" i="38"/>
  <c r="J1388" i="38"/>
  <c r="J1307" i="38"/>
  <c r="J1334" i="38"/>
  <c r="Q1161" i="38"/>
  <c r="Q1162" i="38"/>
  <c r="K1344" i="38"/>
  <c r="K1345" i="38"/>
  <c r="P1344" i="38"/>
  <c r="D91" i="68"/>
  <c r="W93" i="53"/>
  <c r="C64" i="68"/>
  <c r="S21" i="53"/>
  <c r="S19" i="53"/>
  <c r="Q1384" i="38"/>
  <c r="D64" i="68"/>
  <c r="W21" i="53"/>
  <c r="W19" i="53"/>
  <c r="E1306" i="38"/>
  <c r="E1360" i="38"/>
  <c r="E1387" i="38"/>
  <c r="L1360" i="38"/>
  <c r="L1387" i="38"/>
  <c r="J1360" i="38"/>
  <c r="J1387" i="38"/>
  <c r="G1361" i="38"/>
  <c r="G1388" i="38"/>
  <c r="G1307" i="38"/>
  <c r="G1334" i="38"/>
  <c r="P1360" i="38"/>
  <c r="P1387" i="38"/>
  <c r="D100" i="68"/>
  <c r="G1360" i="38"/>
  <c r="G1387" i="38"/>
  <c r="G1306" i="38"/>
  <c r="Q1228" i="38"/>
  <c r="D1255" i="38"/>
  <c r="N1361" i="38"/>
  <c r="N1388" i="38"/>
  <c r="N1307" i="38"/>
  <c r="N1334" i="38"/>
  <c r="K1398" i="38"/>
  <c r="K1399" i="38"/>
  <c r="O1307" i="38"/>
  <c r="O1334" i="38"/>
  <c r="O1361" i="38"/>
  <c r="O1388" i="38"/>
  <c r="E1361" i="38"/>
  <c r="E1388" i="38"/>
  <c r="E1307" i="38"/>
  <c r="E1334" i="38"/>
  <c r="E1230" i="38"/>
  <c r="G1230" i="38"/>
  <c r="I1230" i="38"/>
  <c r="H1230" i="38"/>
  <c r="D1230" i="38"/>
  <c r="M1230" i="38"/>
  <c r="P1230" i="38"/>
  <c r="O1230" i="38"/>
  <c r="J1230" i="38"/>
  <c r="F1230" i="38"/>
  <c r="L1230" i="38"/>
  <c r="K1230" i="38"/>
  <c r="N1230" i="38"/>
  <c r="N1306" i="38"/>
  <c r="N1333" i="38"/>
  <c r="N1360" i="38"/>
  <c r="N1387" i="38"/>
  <c r="O1306" i="38"/>
  <c r="O1333" i="38"/>
  <c r="O1360" i="38"/>
  <c r="O1387" i="38"/>
  <c r="D60" i="68"/>
  <c r="W17" i="53"/>
  <c r="W16" i="53"/>
  <c r="M1306" i="38"/>
  <c r="M1360" i="38"/>
  <c r="M1387" i="38"/>
  <c r="F1361" i="38"/>
  <c r="F1388" i="38"/>
  <c r="F1307" i="38"/>
  <c r="F1334" i="38"/>
  <c r="F1306" i="38"/>
  <c r="F1360" i="38"/>
  <c r="F1387" i="38"/>
  <c r="H1307" i="38"/>
  <c r="H1334" i="38"/>
  <c r="H1361" i="38"/>
  <c r="H1388" i="38"/>
  <c r="M1307" i="38"/>
  <c r="M1334" i="38"/>
  <c r="M1361" i="38"/>
  <c r="M1388" i="38"/>
  <c r="I1360" i="38"/>
  <c r="I1387" i="38"/>
  <c r="D1360" i="38"/>
  <c r="D1387" i="38"/>
  <c r="D1306" i="38"/>
  <c r="Q1254" i="38"/>
  <c r="H1306" i="38"/>
  <c r="H1360" i="38"/>
  <c r="H1387" i="38"/>
  <c r="L1344" i="38"/>
  <c r="L1345" i="38"/>
  <c r="D1355" i="41"/>
  <c r="C212" i="68"/>
  <c r="G1474" i="41"/>
  <c r="D1205" i="41"/>
  <c r="D1218" i="41"/>
  <c r="D1305" i="41"/>
  <c r="D1357" i="41"/>
  <c r="F1263" i="41"/>
  <c r="G1472" i="41"/>
  <c r="H1470" i="41"/>
  <c r="H1473" i="41"/>
  <c r="F1179" i="41"/>
  <c r="F1207" i="41"/>
  <c r="F1220" i="41"/>
  <c r="F1235" i="41"/>
  <c r="F1248" i="41"/>
  <c r="F1279" i="41"/>
  <c r="N1183" i="41"/>
  <c r="N1263" i="41"/>
  <c r="N1203" i="41"/>
  <c r="N1231" i="41"/>
  <c r="N1303" i="41"/>
  <c r="N1464" i="41"/>
  <c r="EC132" i="58"/>
  <c r="M1173" i="41"/>
  <c r="EG112" i="58"/>
  <c r="L1173" i="41"/>
  <c r="EC171" i="58"/>
  <c r="O1173" i="41"/>
  <c r="EC154" i="58"/>
  <c r="N1173" i="41"/>
  <c r="EC172" i="58"/>
  <c r="O1174" i="41"/>
  <c r="EC155" i="58"/>
  <c r="N1174" i="41"/>
  <c r="EG113" i="58"/>
  <c r="L1174" i="41"/>
  <c r="EC133" i="58"/>
  <c r="M1174" i="41"/>
  <c r="K1464" i="41"/>
  <c r="K1231" i="41"/>
  <c r="K1179" i="41"/>
  <c r="K1203" i="41"/>
  <c r="F183" i="47"/>
  <c r="K1183" i="41"/>
  <c r="K1303" i="41"/>
  <c r="E1183" i="41"/>
  <c r="H1183" i="41"/>
  <c r="J1263" i="41"/>
  <c r="J1183" i="41"/>
  <c r="D1183" i="41"/>
  <c r="G1263" i="41"/>
  <c r="D1263" i="41"/>
  <c r="P1263" i="41"/>
  <c r="E1263" i="41"/>
  <c r="I1263" i="41"/>
  <c r="Q1170" i="41"/>
  <c r="I1183" i="41"/>
  <c r="P1183" i="41"/>
  <c r="G1183" i="41"/>
  <c r="H1263" i="41"/>
  <c r="F1206" i="41"/>
  <c r="F1219" i="41"/>
  <c r="F1275" i="41"/>
  <c r="F1234" i="41"/>
  <c r="F1247" i="41"/>
  <c r="D1206" i="41"/>
  <c r="D1219" i="41"/>
  <c r="D1275" i="41"/>
  <c r="D1234" i="41"/>
  <c r="D1247" i="41"/>
  <c r="EC153" i="58"/>
  <c r="N1172" i="41"/>
  <c r="EG111" i="58"/>
  <c r="L1172" i="41"/>
  <c r="EC131" i="58"/>
  <c r="M1172" i="41"/>
  <c r="EC170" i="58"/>
  <c r="O1172" i="41"/>
  <c r="D1235" i="41"/>
  <c r="D1248" i="41"/>
  <c r="D1207" i="41"/>
  <c r="D1220" i="41"/>
  <c r="D1279" i="41"/>
  <c r="O1263" i="41"/>
  <c r="O1303" i="41"/>
  <c r="O1203" i="41"/>
  <c r="O1464" i="41"/>
  <c r="O1183" i="41"/>
  <c r="O1231" i="41"/>
  <c r="M1203" i="41"/>
  <c r="M1303" i="41"/>
  <c r="M1231" i="41"/>
  <c r="M1263" i="41"/>
  <c r="M1464" i="41"/>
  <c r="M1183" i="41"/>
  <c r="H1280" i="41"/>
  <c r="H1283" i="41"/>
  <c r="H1312" i="41"/>
  <c r="G1418" i="41"/>
  <c r="G1445" i="41"/>
  <c r="G1364" i="41"/>
  <c r="G1391" i="41"/>
  <c r="EC173" i="58"/>
  <c r="O1175" i="41"/>
  <c r="EC156" i="58"/>
  <c r="N1175" i="41"/>
  <c r="EG114" i="58"/>
  <c r="L1175" i="41"/>
  <c r="EC134" i="58"/>
  <c r="M1175" i="41"/>
  <c r="F1467" i="41"/>
  <c r="F1468" i="41"/>
  <c r="F1466" i="41"/>
  <c r="L1183" i="41"/>
  <c r="L1303" i="41"/>
  <c r="L1464" i="41"/>
  <c r="L1231" i="41"/>
  <c r="L1203" i="41"/>
  <c r="L1263" i="41"/>
  <c r="H1357" i="41"/>
  <c r="H1384" i="41"/>
  <c r="H1411" i="41"/>
  <c r="H1438" i="41"/>
  <c r="F1205" i="41"/>
  <c r="F1218" i="41"/>
  <c r="F1178" i="41"/>
  <c r="F1233" i="41"/>
  <c r="F1246" i="41"/>
  <c r="F1305" i="41"/>
  <c r="F1183" i="41"/>
  <c r="F1355" i="41"/>
  <c r="F1409" i="41"/>
  <c r="D1179" i="41"/>
  <c r="D1178" i="41"/>
  <c r="D1470" i="41"/>
  <c r="P1345" i="38"/>
  <c r="Q1163" i="38"/>
  <c r="D1333" i="38"/>
  <c r="C107" i="68"/>
  <c r="F1333" i="38"/>
  <c r="N1257" i="38"/>
  <c r="N1231" i="38"/>
  <c r="N1258" i="38"/>
  <c r="J1257" i="38"/>
  <c r="J1309" i="38"/>
  <c r="J1336" i="38"/>
  <c r="J1231" i="38"/>
  <c r="J1258" i="38"/>
  <c r="M1257" i="38"/>
  <c r="M1231" i="38"/>
  <c r="M1258" i="38"/>
  <c r="D1257" i="38"/>
  <c r="Q1230" i="38"/>
  <c r="D1231" i="38"/>
  <c r="D1258" i="38"/>
  <c r="E1257" i="38"/>
  <c r="E1231" i="38"/>
  <c r="E1258" i="38"/>
  <c r="D1307" i="38"/>
  <c r="D1361" i="38"/>
  <c r="D1388" i="38"/>
  <c r="Q1255" i="38"/>
  <c r="O1257" i="38"/>
  <c r="O1231" i="38"/>
  <c r="O1258" i="38"/>
  <c r="P1257" i="38"/>
  <c r="P1231" i="38"/>
  <c r="P1258" i="38"/>
  <c r="P1364" i="38"/>
  <c r="P1391" i="38"/>
  <c r="H1333" i="38"/>
  <c r="K1231" i="38"/>
  <c r="M1333" i="38"/>
  <c r="L1257" i="38"/>
  <c r="L1231" i="38"/>
  <c r="L1258" i="38"/>
  <c r="L1364" i="38"/>
  <c r="L1391" i="38"/>
  <c r="H1257" i="38"/>
  <c r="H1231" i="38"/>
  <c r="H1258" i="38"/>
  <c r="G1333" i="38"/>
  <c r="G1257" i="38"/>
  <c r="G1231" i="38"/>
  <c r="G1258" i="38"/>
  <c r="O1281" i="38"/>
  <c r="Q1281" i="38"/>
  <c r="J1281" i="38"/>
  <c r="N1281" i="38"/>
  <c r="Q1306" i="38"/>
  <c r="G1281" i="38"/>
  <c r="Q1360" i="38"/>
  <c r="M1281" i="38"/>
  <c r="I1281" i="38"/>
  <c r="K1281" i="38"/>
  <c r="F1281" i="38"/>
  <c r="E1281" i="38"/>
  <c r="H1281" i="38"/>
  <c r="P1281" i="38"/>
  <c r="D1281" i="38"/>
  <c r="L1281" i="38"/>
  <c r="F1257" i="38"/>
  <c r="F1231" i="38"/>
  <c r="F1258" i="38"/>
  <c r="I1257" i="38"/>
  <c r="I1309" i="38"/>
  <c r="I1231" i="38"/>
  <c r="I1258" i="38"/>
  <c r="E1333" i="38"/>
  <c r="D1411" i="41"/>
  <c r="D1438" i="41"/>
  <c r="H1472" i="41"/>
  <c r="H1474" i="41"/>
  <c r="Q1173" i="41"/>
  <c r="Q1234" i="41"/>
  <c r="Q1247" i="41"/>
  <c r="J1265" i="41"/>
  <c r="J1188" i="41"/>
  <c r="D1267" i="41"/>
  <c r="E1268" i="41"/>
  <c r="F1470" i="41"/>
  <c r="F1474" i="41"/>
  <c r="E1266" i="41"/>
  <c r="M1179" i="41"/>
  <c r="I1330" i="41"/>
  <c r="G1186" i="41"/>
  <c r="G1199" i="41"/>
  <c r="G1214" i="41"/>
  <c r="P1265" i="41"/>
  <c r="G1330" i="41"/>
  <c r="F1185" i="41"/>
  <c r="I1265" i="41"/>
  <c r="G1268" i="41"/>
  <c r="F1188" i="41"/>
  <c r="E1186" i="41"/>
  <c r="E1199" i="41"/>
  <c r="E1214" i="41"/>
  <c r="F1186" i="41"/>
  <c r="F1199" i="41"/>
  <c r="F1214" i="41"/>
  <c r="Q1174" i="41"/>
  <c r="Q1187" i="41"/>
  <c r="I1188" i="41"/>
  <c r="G1185" i="41"/>
  <c r="G1266" i="41"/>
  <c r="H1265" i="41"/>
  <c r="F1268" i="41"/>
  <c r="H1268" i="41"/>
  <c r="J1267" i="41"/>
  <c r="F1187" i="41"/>
  <c r="O1355" i="41"/>
  <c r="O1330" i="41"/>
  <c r="O1409" i="41"/>
  <c r="D1280" i="41"/>
  <c r="D1283" i="41"/>
  <c r="J1330" i="41"/>
  <c r="N1409" i="41"/>
  <c r="N1330" i="41"/>
  <c r="N1355" i="41"/>
  <c r="N1186" i="41"/>
  <c r="N1199" i="41"/>
  <c r="N1206" i="41"/>
  <c r="N1219" i="41"/>
  <c r="N1266" i="41"/>
  <c r="N1234" i="41"/>
  <c r="N1247" i="41"/>
  <c r="N1275" i="41"/>
  <c r="L1467" i="41"/>
  <c r="L1466" i="41"/>
  <c r="L1468" i="41"/>
  <c r="M1188" i="41"/>
  <c r="M1268" i="41"/>
  <c r="G1267" i="41"/>
  <c r="I1267" i="41"/>
  <c r="D1266" i="41"/>
  <c r="P1186" i="41"/>
  <c r="P1199" i="41"/>
  <c r="P1242" i="41"/>
  <c r="P1255" i="41"/>
  <c r="F1266" i="41"/>
  <c r="I1268" i="41"/>
  <c r="Q1175" i="41"/>
  <c r="O1275" i="41"/>
  <c r="O1186" i="41"/>
  <c r="O1199" i="41"/>
  <c r="O1206" i="41"/>
  <c r="O1219" i="41"/>
  <c r="O1266" i="41"/>
  <c r="O1234" i="41"/>
  <c r="O1247" i="41"/>
  <c r="F1265" i="41"/>
  <c r="L1330" i="41"/>
  <c r="L1409" i="41"/>
  <c r="L1268" i="41"/>
  <c r="L1188" i="41"/>
  <c r="O1179" i="41"/>
  <c r="G1187" i="41"/>
  <c r="O1233" i="41"/>
  <c r="O1246" i="41"/>
  <c r="O1305" i="41"/>
  <c r="O1178" i="41"/>
  <c r="O1205" i="41"/>
  <c r="O1218" i="41"/>
  <c r="O1185" i="41"/>
  <c r="O1265" i="41"/>
  <c r="J1266" i="41"/>
  <c r="P1266" i="41"/>
  <c r="Q1231" i="41"/>
  <c r="Q1183" i="41"/>
  <c r="Q1464" i="41"/>
  <c r="Q1203" i="41"/>
  <c r="K1467" i="41"/>
  <c r="K1468" i="41"/>
  <c r="K1466" i="41"/>
  <c r="J1268" i="41"/>
  <c r="D1268" i="41"/>
  <c r="L1266" i="41"/>
  <c r="L1275" i="41"/>
  <c r="L1206" i="41"/>
  <c r="L1219" i="41"/>
  <c r="L1234" i="41"/>
  <c r="L1247" i="41"/>
  <c r="L1186" i="41"/>
  <c r="L1199" i="41"/>
  <c r="L1242" i="41"/>
  <c r="L1255" i="41"/>
  <c r="H1266" i="41"/>
  <c r="H1186" i="41"/>
  <c r="H1199" i="41"/>
  <c r="D1472" i="41"/>
  <c r="D1473" i="41"/>
  <c r="D1474" i="41"/>
  <c r="D1384" i="41"/>
  <c r="D214" i="68"/>
  <c r="C214" i="68"/>
  <c r="L1279" i="41"/>
  <c r="L1235" i="41"/>
  <c r="L1248" i="41"/>
  <c r="L1267" i="41"/>
  <c r="L1207" i="41"/>
  <c r="L1220" i="41"/>
  <c r="L1187" i="41"/>
  <c r="N1267" i="41"/>
  <c r="N1235" i="41"/>
  <c r="N1248" i="41"/>
  <c r="N1279" i="41"/>
  <c r="N1187" i="41"/>
  <c r="N1207" i="41"/>
  <c r="N1220" i="41"/>
  <c r="F1267" i="41"/>
  <c r="F1280" i="41"/>
  <c r="F1283" i="41"/>
  <c r="F1312" i="41"/>
  <c r="N1188" i="41"/>
  <c r="N1268" i="41"/>
  <c r="M1178" i="41"/>
  <c r="M1265" i="41"/>
  <c r="M1233" i="41"/>
  <c r="M1246" i="41"/>
  <c r="M1185" i="41"/>
  <c r="M1305" i="41"/>
  <c r="M1205" i="41"/>
  <c r="M1218" i="41"/>
  <c r="I1186" i="41"/>
  <c r="I1199" i="41"/>
  <c r="J1186" i="41"/>
  <c r="J1199" i="41"/>
  <c r="M1206" i="41"/>
  <c r="M1219" i="41"/>
  <c r="M1234" i="41"/>
  <c r="M1247" i="41"/>
  <c r="M1266" i="41"/>
  <c r="M1186" i="41"/>
  <c r="M1199" i="41"/>
  <c r="M1275" i="41"/>
  <c r="E1185" i="41"/>
  <c r="I1364" i="38"/>
  <c r="I1391" i="38"/>
  <c r="I1310" i="38"/>
  <c r="I1337" i="38"/>
  <c r="F1357" i="41"/>
  <c r="F1384" i="41"/>
  <c r="F1411" i="41"/>
  <c r="F1438" i="41"/>
  <c r="H1188" i="41"/>
  <c r="O1188" i="41"/>
  <c r="O1268" i="41"/>
  <c r="M1468" i="41"/>
  <c r="M1467" i="41"/>
  <c r="M1466" i="41"/>
  <c r="K1187" i="41"/>
  <c r="E1187" i="41"/>
  <c r="L1205" i="41"/>
  <c r="L1305" i="41"/>
  <c r="L1185" i="41"/>
  <c r="L1178" i="41"/>
  <c r="L1265" i="41"/>
  <c r="L1233" i="41"/>
  <c r="L1246" i="41"/>
  <c r="J1185" i="41"/>
  <c r="G1265" i="41"/>
  <c r="K1185" i="41"/>
  <c r="D1265" i="41"/>
  <c r="K1186" i="41"/>
  <c r="K1199" i="41"/>
  <c r="I1266" i="41"/>
  <c r="P1185" i="41"/>
  <c r="K1188" i="41"/>
  <c r="E1188" i="41"/>
  <c r="H1187" i="41"/>
  <c r="E1265" i="41"/>
  <c r="Q1263" i="41"/>
  <c r="N1467" i="41"/>
  <c r="N1468" i="41"/>
  <c r="N1466" i="41"/>
  <c r="M1330" i="41"/>
  <c r="M1355" i="41"/>
  <c r="M1409" i="41"/>
  <c r="P1267" i="41"/>
  <c r="H1364" i="41"/>
  <c r="H1391" i="41"/>
  <c r="H1418" i="41"/>
  <c r="H1445" i="41"/>
  <c r="D1187" i="41"/>
  <c r="O1235" i="41"/>
  <c r="O1248" i="41"/>
  <c r="O1187" i="41"/>
  <c r="O1267" i="41"/>
  <c r="O1279" i="41"/>
  <c r="O1207" i="41"/>
  <c r="O1220" i="41"/>
  <c r="P1187" i="41"/>
  <c r="J1187" i="41"/>
  <c r="I1185" i="41"/>
  <c r="G1188" i="41"/>
  <c r="P1188" i="41"/>
  <c r="H1267" i="41"/>
  <c r="I1336" i="38"/>
  <c r="E1330" i="41"/>
  <c r="F1330" i="41"/>
  <c r="L1179" i="41"/>
  <c r="H1185" i="41"/>
  <c r="O1466" i="41"/>
  <c r="O1467" i="41"/>
  <c r="O1468" i="41"/>
  <c r="E1267" i="41"/>
  <c r="I1187" i="41"/>
  <c r="N1178" i="41"/>
  <c r="N1305" i="41"/>
  <c r="N1205" i="41"/>
  <c r="N1218" i="41"/>
  <c r="N1233" i="41"/>
  <c r="N1246" i="41"/>
  <c r="N1265" i="41"/>
  <c r="N1185" i="41"/>
  <c r="D1186" i="41"/>
  <c r="D1199" i="41"/>
  <c r="K1330" i="41"/>
  <c r="K1409" i="41"/>
  <c r="K1431" i="41"/>
  <c r="K1355" i="41"/>
  <c r="K1378" i="41"/>
  <c r="K1325" i="41"/>
  <c r="D1330" i="41"/>
  <c r="Q1303" i="41"/>
  <c r="H1330" i="41"/>
  <c r="P1330" i="41"/>
  <c r="M1207" i="41"/>
  <c r="M1220" i="41"/>
  <c r="M1187" i="41"/>
  <c r="M1279" i="41"/>
  <c r="M1235" i="41"/>
  <c r="M1248" i="41"/>
  <c r="M1267" i="41"/>
  <c r="D1188" i="41"/>
  <c r="P1268" i="41"/>
  <c r="N1179" i="41"/>
  <c r="Q1172" i="41"/>
  <c r="D1185" i="41"/>
  <c r="J1364" i="38"/>
  <c r="J1391" i="38"/>
  <c r="J1310" i="38"/>
  <c r="J1337" i="38"/>
  <c r="F1363" i="38"/>
  <c r="F1390" i="38"/>
  <c r="F1309" i="38"/>
  <c r="C108" i="68"/>
  <c r="D1334" i="38"/>
  <c r="D108" i="68"/>
  <c r="E1364" i="38"/>
  <c r="E1391" i="38"/>
  <c r="E1310" i="38"/>
  <c r="E1337" i="38"/>
  <c r="J1363" i="38"/>
  <c r="J1390" i="38"/>
  <c r="D107" i="68"/>
  <c r="G1364" i="38"/>
  <c r="G1391" i="38"/>
  <c r="G1310" i="38"/>
  <c r="G1337" i="38"/>
  <c r="E1363" i="38"/>
  <c r="E1390" i="38"/>
  <c r="E1309" i="38"/>
  <c r="L1363" i="38"/>
  <c r="L1390" i="38"/>
  <c r="Q1387" i="38"/>
  <c r="C67" i="68"/>
  <c r="S24" i="53"/>
  <c r="G1309" i="38"/>
  <c r="G1363" i="38"/>
  <c r="G1390" i="38"/>
  <c r="O1310" i="38"/>
  <c r="O1337" i="38"/>
  <c r="O1364" i="38"/>
  <c r="O1391" i="38"/>
  <c r="N1364" i="38"/>
  <c r="N1391" i="38"/>
  <c r="N1310" i="38"/>
  <c r="N1337" i="38"/>
  <c r="H1310" i="38"/>
  <c r="H1337" i="38"/>
  <c r="H1364" i="38"/>
  <c r="H1391" i="38"/>
  <c r="O1363" i="38"/>
  <c r="O1390" i="38"/>
  <c r="O1309" i="38"/>
  <c r="O1336" i="38"/>
  <c r="Q1258" i="38"/>
  <c r="D1310" i="38"/>
  <c r="D1364" i="38"/>
  <c r="D1391" i="38"/>
  <c r="N1309" i="38"/>
  <c r="N1336" i="38"/>
  <c r="N1363" i="38"/>
  <c r="N1390" i="38"/>
  <c r="I1363" i="38"/>
  <c r="I1390" i="38"/>
  <c r="Q1333" i="38"/>
  <c r="H1363" i="38"/>
  <c r="H1390" i="38"/>
  <c r="H1309" i="38"/>
  <c r="P1233" i="38"/>
  <c r="F1233" i="38"/>
  <c r="I1233" i="38"/>
  <c r="N1233" i="38"/>
  <c r="L1233" i="38"/>
  <c r="J1233" i="38"/>
  <c r="M1233" i="38"/>
  <c r="E1233" i="38"/>
  <c r="G1233" i="38"/>
  <c r="O1233" i="38"/>
  <c r="K1233" i="38"/>
  <c r="D1233" i="38"/>
  <c r="H1233" i="38"/>
  <c r="M1364" i="38"/>
  <c r="M1391" i="38"/>
  <c r="M1310" i="38"/>
  <c r="M1337" i="38"/>
  <c r="P1363" i="38"/>
  <c r="P1390" i="38"/>
  <c r="D1363" i="38"/>
  <c r="D1390" i="38"/>
  <c r="D1309" i="38"/>
  <c r="Q1257" i="38"/>
  <c r="M1309" i="38"/>
  <c r="M1363" i="38"/>
  <c r="M1390" i="38"/>
  <c r="F1310" i="38"/>
  <c r="F1337" i="38"/>
  <c r="F1364" i="38"/>
  <c r="F1391" i="38"/>
  <c r="M1282" i="38"/>
  <c r="E1282" i="38"/>
  <c r="O1282" i="38"/>
  <c r="F1282" i="38"/>
  <c r="G1282" i="38"/>
  <c r="K1282" i="38"/>
  <c r="N1282" i="38"/>
  <c r="P1282" i="38"/>
  <c r="J1282" i="38"/>
  <c r="H1282" i="38"/>
  <c r="L1282" i="38"/>
  <c r="Q1282" i="38"/>
  <c r="I1282" i="38"/>
  <c r="Q1307" i="38"/>
  <c r="Q1334" i="38"/>
  <c r="Q1361" i="38"/>
  <c r="D1282" i="38"/>
  <c r="Q1206" i="41"/>
  <c r="Q1219" i="41"/>
  <c r="Q1275" i="41"/>
  <c r="O1276" i="41"/>
  <c r="O1307" i="41"/>
  <c r="Q1186" i="41"/>
  <c r="Q1207" i="41"/>
  <c r="Q1220" i="41"/>
  <c r="Q1235" i="41"/>
  <c r="Q1248" i="41"/>
  <c r="G1242" i="41"/>
  <c r="L1212" i="41"/>
  <c r="M1470" i="41"/>
  <c r="M1472" i="41"/>
  <c r="F1472" i="41"/>
  <c r="F1473" i="41"/>
  <c r="J1191" i="41"/>
  <c r="D1270" i="41"/>
  <c r="K1470" i="41"/>
  <c r="K1474" i="41"/>
  <c r="J1242" i="41"/>
  <c r="J1214" i="41"/>
  <c r="E1242" i="41"/>
  <c r="M1191" i="41"/>
  <c r="L1470" i="41"/>
  <c r="L1473" i="41"/>
  <c r="F1190" i="41"/>
  <c r="D1190" i="41"/>
  <c r="I1190" i="41"/>
  <c r="Q1267" i="41"/>
  <c r="I1270" i="41"/>
  <c r="P1190" i="41"/>
  <c r="I1332" i="41"/>
  <c r="F1242" i="41"/>
  <c r="O1470" i="41"/>
  <c r="O1474" i="41"/>
  <c r="Q1266" i="41"/>
  <c r="N1470" i="41"/>
  <c r="M1280" i="41"/>
  <c r="M1283" i="41"/>
  <c r="M1312" i="41"/>
  <c r="N1332" i="41"/>
  <c r="N1411" i="41"/>
  <c r="N1438" i="41"/>
  <c r="N1357" i="41"/>
  <c r="N1384" i="41"/>
  <c r="F1418" i="41"/>
  <c r="F1445" i="41"/>
  <c r="F1364" i="41"/>
  <c r="F1391" i="41"/>
  <c r="O1271" i="41"/>
  <c r="O1191" i="41"/>
  <c r="P1271" i="41"/>
  <c r="M1214" i="41"/>
  <c r="M1242" i="41"/>
  <c r="E1270" i="41"/>
  <c r="H1191" i="41"/>
  <c r="Q1185" i="41"/>
  <c r="Q1205" i="41"/>
  <c r="Q1218" i="41"/>
  <c r="Q1178" i="41"/>
  <c r="Q1190" i="41"/>
  <c r="Q1233" i="41"/>
  <c r="Q1246" i="41"/>
  <c r="Q1179" i="41"/>
  <c r="Q1191" i="41"/>
  <c r="G1271" i="41"/>
  <c r="Q1199" i="41"/>
  <c r="D1214" i="41"/>
  <c r="D1242" i="41"/>
  <c r="F1270" i="41"/>
  <c r="H1271" i="41"/>
  <c r="H1190" i="41"/>
  <c r="F1271" i="41"/>
  <c r="H1270" i="41"/>
  <c r="M1270" i="41"/>
  <c r="M1190" i="41"/>
  <c r="G1270" i="41"/>
  <c r="N1280" i="41"/>
  <c r="N1283" i="41"/>
  <c r="N1312" i="41"/>
  <c r="L1280" i="41"/>
  <c r="L1283" i="41"/>
  <c r="L1312" i="41"/>
  <c r="L1418" i="41"/>
  <c r="L1445" i="41"/>
  <c r="Q1268" i="41"/>
  <c r="Q1466" i="41"/>
  <c r="Q1467" i="41"/>
  <c r="Q1468" i="41"/>
  <c r="O1190" i="41"/>
  <c r="O1270" i="41"/>
  <c r="D1271" i="41"/>
  <c r="J1271" i="41"/>
  <c r="M1271" i="41"/>
  <c r="M1357" i="41"/>
  <c r="M1384" i="41"/>
  <c r="M1332" i="41"/>
  <c r="M1411" i="41"/>
  <c r="G1191" i="41"/>
  <c r="N1270" i="41"/>
  <c r="N1190" i="41"/>
  <c r="I1191" i="41"/>
  <c r="K1190" i="41"/>
  <c r="E1191" i="41"/>
  <c r="N1271" i="41"/>
  <c r="N1191" i="41"/>
  <c r="L1270" i="41"/>
  <c r="L1190" i="41"/>
  <c r="J1190" i="41"/>
  <c r="Q1188" i="41"/>
  <c r="D1195" i="41"/>
  <c r="Q1409" i="41"/>
  <c r="C170" i="68"/>
  <c r="Q1330" i="41"/>
  <c r="Q1355" i="41"/>
  <c r="N1276" i="41"/>
  <c r="N1307" i="41"/>
  <c r="Q1265" i="41"/>
  <c r="L1411" i="41"/>
  <c r="L1438" i="41"/>
  <c r="L1332" i="41"/>
  <c r="D1332" i="41"/>
  <c r="G1332" i="41"/>
  <c r="J1332" i="41"/>
  <c r="E1332" i="41"/>
  <c r="Q1305" i="41"/>
  <c r="K1332" i="41"/>
  <c r="G1190" i="41"/>
  <c r="P1270" i="41"/>
  <c r="H1242" i="41"/>
  <c r="H1214" i="41"/>
  <c r="O1357" i="41"/>
  <c r="O1384" i="41"/>
  <c r="O1411" i="41"/>
  <c r="O1438" i="41"/>
  <c r="O1332" i="41"/>
  <c r="P1191" i="41"/>
  <c r="D1191" i="41"/>
  <c r="N1214" i="41"/>
  <c r="N1242" i="41"/>
  <c r="N1255" i="41"/>
  <c r="Q1279" i="41"/>
  <c r="P1332" i="41"/>
  <c r="F1191" i="41"/>
  <c r="L1271" i="41"/>
  <c r="L1191" i="41"/>
  <c r="F1332" i="41"/>
  <c r="O1214" i="41"/>
  <c r="O1242" i="41"/>
  <c r="O1255" i="41"/>
  <c r="K1242" i="41"/>
  <c r="K1214" i="41"/>
  <c r="I1271" i="41"/>
  <c r="O1280" i="41"/>
  <c r="O1283" i="41"/>
  <c r="O1312" i="41"/>
  <c r="L1211" i="41"/>
  <c r="L1218" i="41"/>
  <c r="I1242" i="41"/>
  <c r="I1214" i="41"/>
  <c r="J1270" i="41"/>
  <c r="E1190" i="41"/>
  <c r="H1332" i="41"/>
  <c r="E1271" i="41"/>
  <c r="K1191" i="41"/>
  <c r="D1312" i="41"/>
  <c r="M1259" i="38"/>
  <c r="M1234" i="38"/>
  <c r="M1260" i="38"/>
  <c r="M1237" i="38"/>
  <c r="I1284" i="38"/>
  <c r="K1284" i="38"/>
  <c r="Q1309" i="38"/>
  <c r="Q1336" i="38"/>
  <c r="P1284" i="38"/>
  <c r="L1284" i="38"/>
  <c r="H1284" i="38"/>
  <c r="O1284" i="38"/>
  <c r="F1284" i="38"/>
  <c r="N1284" i="38"/>
  <c r="Q1284" i="38"/>
  <c r="M1284" i="38"/>
  <c r="G1284" i="38"/>
  <c r="D1284" i="38"/>
  <c r="Q1363" i="38"/>
  <c r="E1284" i="38"/>
  <c r="J1284" i="38"/>
  <c r="H1259" i="38"/>
  <c r="H1234" i="38"/>
  <c r="H1260" i="38"/>
  <c r="H1237" i="38"/>
  <c r="J1259" i="38"/>
  <c r="J1234" i="38"/>
  <c r="J1260" i="38"/>
  <c r="J1237" i="38"/>
  <c r="E1336" i="38"/>
  <c r="P1259" i="38"/>
  <c r="P1365" i="38"/>
  <c r="P1392" i="38"/>
  <c r="P1234" i="38"/>
  <c r="P1260" i="38"/>
  <c r="P1366" i="38"/>
  <c r="P1393" i="38"/>
  <c r="P1237" i="38"/>
  <c r="C110" i="68"/>
  <c r="D1336" i="38"/>
  <c r="D1259" i="38"/>
  <c r="Q1233" i="38"/>
  <c r="D1235" i="38"/>
  <c r="D1234" i="38"/>
  <c r="D1237" i="38"/>
  <c r="L1259" i="38"/>
  <c r="L1365" i="38"/>
  <c r="L1392" i="38"/>
  <c r="L1234" i="38"/>
  <c r="L1260" i="38"/>
  <c r="L1366" i="38"/>
  <c r="L1393" i="38"/>
  <c r="L1237" i="38"/>
  <c r="K1234" i="38"/>
  <c r="K1237" i="38"/>
  <c r="N1259" i="38"/>
  <c r="N1234" i="38"/>
  <c r="N1260" i="38"/>
  <c r="N1237" i="38"/>
  <c r="H1336" i="38"/>
  <c r="C111" i="68"/>
  <c r="D1337" i="38"/>
  <c r="D111" i="68"/>
  <c r="G1336" i="38"/>
  <c r="O1259" i="38"/>
  <c r="O1234" i="38"/>
  <c r="O1260" i="38"/>
  <c r="O1237" i="38"/>
  <c r="I1259" i="38"/>
  <c r="I1234" i="38"/>
  <c r="I1260" i="38"/>
  <c r="I1237" i="38"/>
  <c r="N1285" i="38"/>
  <c r="J1285" i="38"/>
  <c r="Q1364" i="38"/>
  <c r="F1285" i="38"/>
  <c r="D1285" i="38"/>
  <c r="I1285" i="38"/>
  <c r="O1285" i="38"/>
  <c r="G1285" i="38"/>
  <c r="H1285" i="38"/>
  <c r="P1285" i="38"/>
  <c r="K1285" i="38"/>
  <c r="M1285" i="38"/>
  <c r="E1285" i="38"/>
  <c r="L1285" i="38"/>
  <c r="Q1310" i="38"/>
  <c r="Q1337" i="38"/>
  <c r="Q1285" i="38"/>
  <c r="F1336" i="38"/>
  <c r="E1259" i="38"/>
  <c r="E1234" i="38"/>
  <c r="E1260" i="38"/>
  <c r="E1237" i="38"/>
  <c r="Q1388" i="38"/>
  <c r="D68" i="68"/>
  <c r="W25" i="53"/>
  <c r="C68" i="68"/>
  <c r="S25" i="53"/>
  <c r="M1336" i="38"/>
  <c r="G1259" i="38"/>
  <c r="G1234" i="38"/>
  <c r="G1260" i="38"/>
  <c r="G1237" i="38"/>
  <c r="F1259" i="38"/>
  <c r="F1234" i="38"/>
  <c r="F1260" i="38"/>
  <c r="F1237" i="38"/>
  <c r="D67" i="68"/>
  <c r="W24" i="53"/>
  <c r="K1276" i="41"/>
  <c r="K1277" i="41"/>
  <c r="M1474" i="41"/>
  <c r="I1276" i="41"/>
  <c r="I1307" i="41"/>
  <c r="H1276" i="41"/>
  <c r="H1307" i="41"/>
  <c r="J1276" i="41"/>
  <c r="J1307" i="41"/>
  <c r="F1276" i="41"/>
  <c r="F1307" i="41"/>
  <c r="L1276" i="41"/>
  <c r="L1307" i="41"/>
  <c r="L1413" i="41"/>
  <c r="D1276" i="41"/>
  <c r="D1307" i="41"/>
  <c r="P1276" i="41"/>
  <c r="P1277" i="41"/>
  <c r="P1308" i="41"/>
  <c r="P1414" i="41"/>
  <c r="P1441" i="41"/>
  <c r="G1276" i="41"/>
  <c r="G1277" i="41"/>
  <c r="G1308" i="41"/>
  <c r="Q1276" i="41"/>
  <c r="Q1277" i="41"/>
  <c r="E1276" i="41"/>
  <c r="E1277" i="41"/>
  <c r="E1308" i="41"/>
  <c r="M1276" i="41"/>
  <c r="M1307" i="41"/>
  <c r="M1359" i="41"/>
  <c r="M1473" i="41"/>
  <c r="O1473" i="41"/>
  <c r="K1473" i="41"/>
  <c r="K1472" i="41"/>
  <c r="Q1470" i="41"/>
  <c r="Q1472" i="41"/>
  <c r="O1277" i="41"/>
  <c r="O1308" i="41"/>
  <c r="O1360" i="41"/>
  <c r="O1387" i="41"/>
  <c r="L1474" i="41"/>
  <c r="L1472" i="41"/>
  <c r="N1277" i="41"/>
  <c r="N1308" i="41"/>
  <c r="N1360" i="41"/>
  <c r="N1387" i="41"/>
  <c r="Q1280" i="41"/>
  <c r="Q1270" i="41"/>
  <c r="O1472" i="41"/>
  <c r="N1364" i="41"/>
  <c r="N1391" i="41"/>
  <c r="N1418" i="41"/>
  <c r="N1445" i="41"/>
  <c r="O1418" i="41"/>
  <c r="O1445" i="41"/>
  <c r="O1364" i="41"/>
  <c r="O1391" i="41"/>
  <c r="Q1332" i="41"/>
  <c r="Q1357" i="41"/>
  <c r="Q1384" i="41"/>
  <c r="Q1411" i="41"/>
  <c r="Q1242" i="41"/>
  <c r="Q1214" i="41"/>
  <c r="M1364" i="41"/>
  <c r="M1391" i="41"/>
  <c r="M1418" i="41"/>
  <c r="M1445" i="41"/>
  <c r="I1365" i="38"/>
  <c r="I1392" i="38"/>
  <c r="I1311" i="38"/>
  <c r="Q1283" i="41"/>
  <c r="O1334" i="41"/>
  <c r="O1413" i="41"/>
  <c r="O1359" i="41"/>
  <c r="Q1271" i="41"/>
  <c r="N1472" i="41"/>
  <c r="N1473" i="41"/>
  <c r="N1474" i="41"/>
  <c r="I1198" i="41"/>
  <c r="K1196" i="41"/>
  <c r="O1198" i="41"/>
  <c r="M1198" i="41"/>
  <c r="I1196" i="41"/>
  <c r="G1196" i="41"/>
  <c r="Q1198" i="41"/>
  <c r="J1198" i="41"/>
  <c r="H1196" i="41"/>
  <c r="H1198" i="41"/>
  <c r="P1198" i="41"/>
  <c r="E1196" i="41"/>
  <c r="L1198" i="41"/>
  <c r="D1196" i="41"/>
  <c r="G1198" i="41"/>
  <c r="D1198" i="41"/>
  <c r="F1196" i="41"/>
  <c r="E1198" i="41"/>
  <c r="F1198" i="41"/>
  <c r="J1196" i="41"/>
  <c r="N1198" i="41"/>
  <c r="K1198" i="41"/>
  <c r="P1196" i="41"/>
  <c r="N1196" i="41"/>
  <c r="O1196" i="41"/>
  <c r="M1196" i="41"/>
  <c r="L1196" i="41"/>
  <c r="I1366" i="38"/>
  <c r="I1393" i="38"/>
  <c r="I1312" i="38"/>
  <c r="I1339" i="38"/>
  <c r="Q1312" i="41"/>
  <c r="D1418" i="41"/>
  <c r="D1445" i="41"/>
  <c r="D1364" i="41"/>
  <c r="N1413" i="41"/>
  <c r="N1359" i="41"/>
  <c r="N1334" i="41"/>
  <c r="Q1196" i="41"/>
  <c r="J1365" i="38"/>
  <c r="J1392" i="38"/>
  <c r="J1311" i="38"/>
  <c r="J1338" i="38"/>
  <c r="J1366" i="38"/>
  <c r="J1393" i="38"/>
  <c r="J1312" i="38"/>
  <c r="J1339" i="38"/>
  <c r="F1236" i="38"/>
  <c r="F1263" i="38"/>
  <c r="H1236" i="38"/>
  <c r="H1263" i="38"/>
  <c r="O1236" i="38"/>
  <c r="O1263" i="38"/>
  <c r="L1236" i="38"/>
  <c r="L1263" i="38"/>
  <c r="N1236" i="38"/>
  <c r="N1263" i="38"/>
  <c r="J1236" i="38"/>
  <c r="J1263" i="38"/>
  <c r="J1315" i="38"/>
  <c r="Q1236" i="38"/>
  <c r="Q1263" i="38"/>
  <c r="E1236" i="38"/>
  <c r="E1263" i="38"/>
  <c r="P1236" i="38"/>
  <c r="P1263" i="38"/>
  <c r="I1236" i="38"/>
  <c r="I1263" i="38"/>
  <c r="I1315" i="38"/>
  <c r="I1342" i="38"/>
  <c r="C87" i="68"/>
  <c r="S88" i="53"/>
  <c r="D1236" i="38"/>
  <c r="D1263" i="38"/>
  <c r="G1236" i="38"/>
  <c r="G1263" i="38"/>
  <c r="D28" i="68"/>
  <c r="D87" i="68"/>
  <c r="W88" i="53"/>
  <c r="M1236" i="38"/>
  <c r="M1263" i="38"/>
  <c r="K1236" i="38"/>
  <c r="D1311" i="38"/>
  <c r="D1365" i="38"/>
  <c r="D1392" i="38"/>
  <c r="Q1259" i="38"/>
  <c r="M1366" i="38"/>
  <c r="M1393" i="38"/>
  <c r="M1312" i="38"/>
  <c r="M1339" i="38"/>
  <c r="D110" i="68"/>
  <c r="H1366" i="38"/>
  <c r="H1393" i="38"/>
  <c r="H1312" i="38"/>
  <c r="H1339" i="38"/>
  <c r="M1311" i="38"/>
  <c r="M1338" i="38"/>
  <c r="M1365" i="38"/>
  <c r="M1392" i="38"/>
  <c r="N1366" i="38"/>
  <c r="N1393" i="38"/>
  <c r="N1312" i="38"/>
  <c r="N1339" i="38"/>
  <c r="H1365" i="38"/>
  <c r="H1392" i="38"/>
  <c r="H1311" i="38"/>
  <c r="H1338" i="38"/>
  <c r="E1312" i="38"/>
  <c r="E1339" i="38"/>
  <c r="E1366" i="38"/>
  <c r="E1393" i="38"/>
  <c r="N1311" i="38"/>
  <c r="N1338" i="38"/>
  <c r="N1365" i="38"/>
  <c r="N1392" i="38"/>
  <c r="F1311" i="38"/>
  <c r="F1338" i="38"/>
  <c r="F1365" i="38"/>
  <c r="F1392" i="38"/>
  <c r="E1365" i="38"/>
  <c r="E1392" i="38"/>
  <c r="E1311" i="38"/>
  <c r="E1338" i="38"/>
  <c r="C71" i="68"/>
  <c r="S28" i="53"/>
  <c r="Q1391" i="38"/>
  <c r="D71" i="68"/>
  <c r="W28" i="53"/>
  <c r="G1312" i="38"/>
  <c r="G1339" i="38"/>
  <c r="G1366" i="38"/>
  <c r="G1393" i="38"/>
  <c r="O1312" i="38"/>
  <c r="O1339" i="38"/>
  <c r="O1366" i="38"/>
  <c r="O1393" i="38"/>
  <c r="Q1237" i="38"/>
  <c r="G1365" i="38"/>
  <c r="G1392" i="38"/>
  <c r="G1311" i="38"/>
  <c r="G1338" i="38"/>
  <c r="F1312" i="38"/>
  <c r="F1339" i="38"/>
  <c r="F1366" i="38"/>
  <c r="F1393" i="38"/>
  <c r="O1311" i="38"/>
  <c r="O1338" i="38"/>
  <c r="O1365" i="38"/>
  <c r="O1392" i="38"/>
  <c r="Q1234" i="38"/>
  <c r="D1260" i="38"/>
  <c r="Q1390" i="38"/>
  <c r="D70" i="68"/>
  <c r="W27" i="53"/>
  <c r="C70" i="68"/>
  <c r="S27" i="53"/>
  <c r="I1277" i="41"/>
  <c r="I1308" i="41"/>
  <c r="H1277" i="41"/>
  <c r="H1308" i="41"/>
  <c r="H1360" i="41"/>
  <c r="H1387" i="41"/>
  <c r="J1277" i="41"/>
  <c r="J1308" i="41"/>
  <c r="J1360" i="41"/>
  <c r="J1387" i="41"/>
  <c r="P1307" i="41"/>
  <c r="P1334" i="41"/>
  <c r="F1277" i="41"/>
  <c r="F1308" i="41"/>
  <c r="F1360" i="41"/>
  <c r="F1387" i="41"/>
  <c r="L1334" i="41"/>
  <c r="G1307" i="41"/>
  <c r="G1334" i="41"/>
  <c r="D1277" i="41"/>
  <c r="D1308" i="41"/>
  <c r="D1360" i="41"/>
  <c r="L1277" i="41"/>
  <c r="L1308" i="41"/>
  <c r="L1414" i="41"/>
  <c r="L1441" i="41"/>
  <c r="M1277" i="41"/>
  <c r="M1308" i="41"/>
  <c r="M1360" i="41"/>
  <c r="M1387" i="41"/>
  <c r="M1413" i="41"/>
  <c r="D1278" i="41"/>
  <c r="F1281" i="41"/>
  <c r="E1307" i="41"/>
  <c r="M1334" i="41"/>
  <c r="O1414" i="41"/>
  <c r="O1441" i="41"/>
  <c r="Q1473" i="41"/>
  <c r="Q1474" i="41"/>
  <c r="N1414" i="41"/>
  <c r="N1441" i="41"/>
  <c r="I1414" i="41"/>
  <c r="I1441" i="41"/>
  <c r="I1360" i="41"/>
  <c r="I1387" i="41"/>
  <c r="H1241" i="41"/>
  <c r="H1254" i="41"/>
  <c r="H1326" i="41"/>
  <c r="H1213" i="41"/>
  <c r="I1359" i="41"/>
  <c r="I1413" i="41"/>
  <c r="I1334" i="41"/>
  <c r="H1285" i="41"/>
  <c r="H1236" i="41"/>
  <c r="H1208" i="41"/>
  <c r="H1197" i="41"/>
  <c r="H1321" i="41"/>
  <c r="D1326" i="41"/>
  <c r="D1213" i="41"/>
  <c r="D1241" i="41"/>
  <c r="D1254" i="41"/>
  <c r="Q1236" i="41"/>
  <c r="Q1208" i="41"/>
  <c r="Q1197" i="41"/>
  <c r="Q1418" i="41"/>
  <c r="Q1364" i="41"/>
  <c r="Q1391" i="41"/>
  <c r="Q1339" i="41"/>
  <c r="P1197" i="41"/>
  <c r="P1237" i="41"/>
  <c r="P1250" i="41"/>
  <c r="P1236" i="41"/>
  <c r="P1321" i="41"/>
  <c r="P1427" i="41"/>
  <c r="P1285" i="41"/>
  <c r="G1241" i="41"/>
  <c r="G1254" i="41"/>
  <c r="G1326" i="41"/>
  <c r="G1213" i="41"/>
  <c r="Q1241" i="41"/>
  <c r="Q1254" i="41"/>
  <c r="Q1213" i="41"/>
  <c r="Q1326" i="41"/>
  <c r="D1413" i="41"/>
  <c r="D1359" i="41"/>
  <c r="C216" i="68"/>
  <c r="K1326" i="41"/>
  <c r="K1213" i="41"/>
  <c r="K1241" i="41"/>
  <c r="K1254" i="41"/>
  <c r="D1285" i="41"/>
  <c r="D1208" i="41"/>
  <c r="D1321" i="41"/>
  <c r="D1236" i="41"/>
  <c r="D1197" i="41"/>
  <c r="G1236" i="41"/>
  <c r="G1321" i="41"/>
  <c r="G1285" i="41"/>
  <c r="G1208" i="41"/>
  <c r="G1197" i="41"/>
  <c r="E1360" i="41"/>
  <c r="E1387" i="41"/>
  <c r="E1414" i="41"/>
  <c r="E1441" i="41"/>
  <c r="M1236" i="41"/>
  <c r="M1285" i="41"/>
  <c r="M1208" i="41"/>
  <c r="M1321" i="41"/>
  <c r="M1197" i="41"/>
  <c r="K1197" i="41"/>
  <c r="K1208" i="41"/>
  <c r="K1285" i="41"/>
  <c r="K1236" i="41"/>
  <c r="O1208" i="41"/>
  <c r="O1197" i="41"/>
  <c r="O1321" i="41"/>
  <c r="O1285" i="41"/>
  <c r="O1236" i="41"/>
  <c r="I1326" i="41"/>
  <c r="I1241" i="41"/>
  <c r="I1254" i="41"/>
  <c r="J1213" i="41"/>
  <c r="J1326" i="41"/>
  <c r="J1241" i="41"/>
  <c r="J1254" i="41"/>
  <c r="N1241" i="41"/>
  <c r="N1254" i="41"/>
  <c r="N1326" i="41"/>
  <c r="N1213" i="41"/>
  <c r="I1236" i="41"/>
  <c r="I1197" i="41"/>
  <c r="I1237" i="41"/>
  <c r="I1250" i="41"/>
  <c r="I1285" i="41"/>
  <c r="I1321" i="41"/>
  <c r="F1359" i="41"/>
  <c r="F1413" i="41"/>
  <c r="J1208" i="41"/>
  <c r="J1321" i="41"/>
  <c r="J1197" i="41"/>
  <c r="J1236" i="41"/>
  <c r="J1285" i="41"/>
  <c r="E1321" i="41"/>
  <c r="E1208" i="41"/>
  <c r="E1236" i="41"/>
  <c r="E1285" i="41"/>
  <c r="E1197" i="41"/>
  <c r="M1326" i="41"/>
  <c r="M1432" i="41"/>
  <c r="M1457" i="41"/>
  <c r="M1241" i="41"/>
  <c r="M1254" i="41"/>
  <c r="M1213" i="41"/>
  <c r="H1359" i="41"/>
  <c r="H1334" i="41"/>
  <c r="H1413" i="41"/>
  <c r="E1326" i="41"/>
  <c r="E1241" i="41"/>
  <c r="E1254" i="41"/>
  <c r="E1213" i="41"/>
  <c r="D1391" i="41"/>
  <c r="D221" i="68"/>
  <c r="C221" i="68"/>
  <c r="F1321" i="41"/>
  <c r="F1208" i="41"/>
  <c r="F1236" i="41"/>
  <c r="F1197" i="41"/>
  <c r="F1285" i="41"/>
  <c r="N1321" i="41"/>
  <c r="N1236" i="41"/>
  <c r="N1208" i="41"/>
  <c r="N1285" i="41"/>
  <c r="N1197" i="41"/>
  <c r="J1359" i="41"/>
  <c r="J1413" i="41"/>
  <c r="J1334" i="41"/>
  <c r="L1326" i="41"/>
  <c r="L1432" i="41"/>
  <c r="L1457" i="41"/>
  <c r="L1241" i="41"/>
  <c r="L1254" i="41"/>
  <c r="L1236" i="41"/>
  <c r="L1197" i="41"/>
  <c r="L1237" i="41"/>
  <c r="L1250" i="41"/>
  <c r="L1321" i="41"/>
  <c r="L1427" i="41"/>
  <c r="L1285" i="41"/>
  <c r="F1213" i="41"/>
  <c r="F1241" i="41"/>
  <c r="F1254" i="41"/>
  <c r="F1326" i="41"/>
  <c r="P1326" i="41"/>
  <c r="P1432" i="41"/>
  <c r="P1457" i="41"/>
  <c r="P1241" i="41"/>
  <c r="P1254" i="41"/>
  <c r="O1326" i="41"/>
  <c r="O1213" i="41"/>
  <c r="O1241" i="41"/>
  <c r="O1254" i="41"/>
  <c r="I1338" i="38"/>
  <c r="I1344" i="38"/>
  <c r="I1317" i="38"/>
  <c r="G1414" i="41"/>
  <c r="G1441" i="41"/>
  <c r="G1360" i="41"/>
  <c r="G1387" i="41"/>
  <c r="C172" i="68"/>
  <c r="T15" i="53"/>
  <c r="Q1438" i="41"/>
  <c r="D172" i="68"/>
  <c r="X15" i="53"/>
  <c r="J1317" i="38"/>
  <c r="J1342" i="38"/>
  <c r="J1344" i="38"/>
  <c r="D1338" i="38"/>
  <c r="C112" i="68"/>
  <c r="D45" i="68"/>
  <c r="C28" i="68"/>
  <c r="C26" i="68"/>
  <c r="C32" i="68"/>
  <c r="C23" i="68"/>
  <c r="C31" i="68"/>
  <c r="C22" i="68"/>
  <c r="C30" i="68"/>
  <c r="C29" i="68"/>
  <c r="C24" i="68"/>
  <c r="C25" i="68"/>
  <c r="C27" i="68"/>
  <c r="J1369" i="38"/>
  <c r="J1396" i="38"/>
  <c r="J1398" i="38"/>
  <c r="J1399" i="38"/>
  <c r="J1264" i="38"/>
  <c r="G1369" i="38"/>
  <c r="G1396" i="38"/>
  <c r="G1398" i="38"/>
  <c r="G1399" i="38"/>
  <c r="G1315" i="38"/>
  <c r="G1264" i="38"/>
  <c r="N1369" i="38"/>
  <c r="N1396" i="38"/>
  <c r="N1398" i="38"/>
  <c r="N1399" i="38"/>
  <c r="N1315" i="38"/>
  <c r="N1342" i="38"/>
  <c r="N1264" i="38"/>
  <c r="E1290" i="38"/>
  <c r="Q1290" i="38"/>
  <c r="D1369" i="38"/>
  <c r="D1396" i="38"/>
  <c r="J1290" i="38"/>
  <c r="I1290" i="38"/>
  <c r="D1290" i="38"/>
  <c r="L1290" i="38"/>
  <c r="N1290" i="38"/>
  <c r="F1290" i="38"/>
  <c r="K1290" i="38"/>
  <c r="O1290" i="38"/>
  <c r="M1290" i="38"/>
  <c r="D1315" i="38"/>
  <c r="G1290" i="38"/>
  <c r="H1290" i="38"/>
  <c r="P1290" i="38"/>
  <c r="D1264" i="38"/>
  <c r="L1369" i="38"/>
  <c r="L1396" i="38"/>
  <c r="L1398" i="38"/>
  <c r="L1399" i="38"/>
  <c r="L1264" i="38"/>
  <c r="Q1315" i="38"/>
  <c r="Q1369" i="38"/>
  <c r="O1315" i="38"/>
  <c r="O1342" i="38"/>
  <c r="O1369" i="38"/>
  <c r="O1396" i="38"/>
  <c r="O1398" i="38"/>
  <c r="O1399" i="38"/>
  <c r="O1264" i="38"/>
  <c r="I1369" i="38"/>
  <c r="I1396" i="38"/>
  <c r="I1398" i="38"/>
  <c r="I1399" i="38"/>
  <c r="I1264" i="38"/>
  <c r="H1369" i="38"/>
  <c r="H1396" i="38"/>
  <c r="H1398" i="38"/>
  <c r="H1399" i="38"/>
  <c r="H1315" i="38"/>
  <c r="H1264" i="38"/>
  <c r="P1369" i="38"/>
  <c r="P1396" i="38"/>
  <c r="P1398" i="38"/>
  <c r="P1399" i="38"/>
  <c r="P1264" i="38"/>
  <c r="F1315" i="38"/>
  <c r="F1369" i="38"/>
  <c r="F1396" i="38"/>
  <c r="F1398" i="38"/>
  <c r="F1399" i="38"/>
  <c r="F1264" i="38"/>
  <c r="D1312" i="38"/>
  <c r="D1366" i="38"/>
  <c r="D1393" i="38"/>
  <c r="Q1260" i="38"/>
  <c r="Q1264" i="38"/>
  <c r="F1286" i="38"/>
  <c r="K1286" i="38"/>
  <c r="Q1365" i="38"/>
  <c r="L1286" i="38"/>
  <c r="G1286" i="38"/>
  <c r="N1286" i="38"/>
  <c r="E1286" i="38"/>
  <c r="J1286" i="38"/>
  <c r="D1286" i="38"/>
  <c r="M1286" i="38"/>
  <c r="Q1311" i="38"/>
  <c r="Q1338" i="38"/>
  <c r="O1286" i="38"/>
  <c r="H1286" i="38"/>
  <c r="P1286" i="38"/>
  <c r="I1286" i="38"/>
  <c r="Q1286" i="38"/>
  <c r="M1369" i="38"/>
  <c r="M1396" i="38"/>
  <c r="M1398" i="38"/>
  <c r="M1399" i="38"/>
  <c r="M1315" i="38"/>
  <c r="M1264" i="38"/>
  <c r="E1369" i="38"/>
  <c r="E1396" i="38"/>
  <c r="E1398" i="38"/>
  <c r="E1399" i="38"/>
  <c r="E1315" i="38"/>
  <c r="E1264" i="38"/>
  <c r="H1414" i="41"/>
  <c r="H1441" i="41"/>
  <c r="J1414" i="41"/>
  <c r="J1441" i="41"/>
  <c r="P1413" i="41"/>
  <c r="G1413" i="41"/>
  <c r="G1359" i="41"/>
  <c r="F1414" i="41"/>
  <c r="F1441" i="41"/>
  <c r="D1414" i="41"/>
  <c r="D1441" i="41"/>
  <c r="D1334" i="41"/>
  <c r="E1359" i="41"/>
  <c r="E1413" i="41"/>
  <c r="J1281" i="41"/>
  <c r="J1282" i="41"/>
  <c r="J1311" i="41"/>
  <c r="O1281" i="41"/>
  <c r="O1310" i="41"/>
  <c r="N1281" i="41"/>
  <c r="N1310" i="41"/>
  <c r="M1414" i="41"/>
  <c r="M1441" i="41"/>
  <c r="P1281" i="41"/>
  <c r="P1310" i="41"/>
  <c r="Q1308" i="41"/>
  <c r="Q1335" i="41"/>
  <c r="L1281" i="41"/>
  <c r="L1282" i="41"/>
  <c r="L1311" i="41"/>
  <c r="L1417" i="41"/>
  <c r="L1444" i="41"/>
  <c r="Q1307" i="41"/>
  <c r="Q1334" i="41"/>
  <c r="M1281" i="41"/>
  <c r="M1310" i="41"/>
  <c r="H1281" i="41"/>
  <c r="H1310" i="41"/>
  <c r="F1334" i="41"/>
  <c r="E1334" i="41"/>
  <c r="I1281" i="41"/>
  <c r="I1310" i="41"/>
  <c r="G1281" i="41"/>
  <c r="G1310" i="41"/>
  <c r="K1281" i="41"/>
  <c r="K1282" i="41"/>
  <c r="E1281" i="41"/>
  <c r="E1282" i="41"/>
  <c r="E1311" i="41"/>
  <c r="D1281" i="41"/>
  <c r="D1282" i="41"/>
  <c r="J1237" i="41"/>
  <c r="J1250" i="41"/>
  <c r="J1209" i="41"/>
  <c r="J1212" i="41"/>
  <c r="J1427" i="41"/>
  <c r="J1373" i="41"/>
  <c r="O1293" i="41"/>
  <c r="O1286" i="41"/>
  <c r="O1316" i="41"/>
  <c r="O1287" i="41"/>
  <c r="O1290" i="41"/>
  <c r="D1287" i="41"/>
  <c r="D1290" i="41"/>
  <c r="D1293" i="41"/>
  <c r="D1286" i="41"/>
  <c r="Q1285" i="41"/>
  <c r="F1290" i="41"/>
  <c r="F1293" i="41"/>
  <c r="F1287" i="41"/>
  <c r="F1286" i="41"/>
  <c r="F1316" i="41"/>
  <c r="G1286" i="41"/>
  <c r="G1316" i="41"/>
  <c r="G1287" i="41"/>
  <c r="G1290" i="41"/>
  <c r="G1293" i="41"/>
  <c r="O1237" i="41"/>
  <c r="O1250" i="41"/>
  <c r="O1209" i="41"/>
  <c r="O1222" i="41"/>
  <c r="I1345" i="38"/>
  <c r="D84" i="68"/>
  <c r="W85" i="53"/>
  <c r="J1287" i="41"/>
  <c r="J1286" i="41"/>
  <c r="J1316" i="41"/>
  <c r="J1290" i="41"/>
  <c r="J1293" i="41"/>
  <c r="I1427" i="41"/>
  <c r="I1373" i="41"/>
  <c r="J1376" i="41"/>
  <c r="J1403" i="41"/>
  <c r="J1432" i="41"/>
  <c r="J1457" i="41"/>
  <c r="M1293" i="41"/>
  <c r="M1287" i="41"/>
  <c r="M1286" i="41"/>
  <c r="M1316" i="41"/>
  <c r="M1290" i="41"/>
  <c r="K1432" i="41"/>
  <c r="K1457" i="41"/>
  <c r="K1376" i="41"/>
  <c r="K1403" i="41"/>
  <c r="F1282" i="41"/>
  <c r="F1311" i="41"/>
  <c r="F1310" i="41"/>
  <c r="H1427" i="41"/>
  <c r="H1373" i="41"/>
  <c r="L1293" i="41"/>
  <c r="L1287" i="41"/>
  <c r="L1286" i="41"/>
  <c r="L1316" i="41"/>
  <c r="L1422" i="41"/>
  <c r="L1449" i="41"/>
  <c r="L1290" i="41"/>
  <c r="N1209" i="41"/>
  <c r="N1222" i="41"/>
  <c r="N1237" i="41"/>
  <c r="N1250" i="41"/>
  <c r="I1293" i="41"/>
  <c r="I1290" i="41"/>
  <c r="I1287" i="41"/>
  <c r="I1286" i="41"/>
  <c r="I1316" i="41"/>
  <c r="D1209" i="41"/>
  <c r="D1222" i="41"/>
  <c r="D1237" i="41"/>
  <c r="D1250" i="41"/>
  <c r="G1432" i="41"/>
  <c r="G1457" i="41"/>
  <c r="G1376" i="41"/>
  <c r="G1403" i="41"/>
  <c r="Q1445" i="41"/>
  <c r="D179" i="68"/>
  <c r="X22" i="53"/>
  <c r="C179" i="68"/>
  <c r="T22" i="53"/>
  <c r="H1209" i="41"/>
  <c r="H1222" i="41"/>
  <c r="H1237" i="41"/>
  <c r="H1250" i="41"/>
  <c r="H1432" i="41"/>
  <c r="H1457" i="41"/>
  <c r="H1376" i="41"/>
  <c r="H1403" i="41"/>
  <c r="N1427" i="41"/>
  <c r="N1373" i="41"/>
  <c r="N1376" i="41"/>
  <c r="N1403" i="41"/>
  <c r="N1432" i="41"/>
  <c r="N1457" i="41"/>
  <c r="P1240" i="41"/>
  <c r="P1239" i="41"/>
  <c r="M1427" i="41"/>
  <c r="M1373" i="41"/>
  <c r="C217" i="68"/>
  <c r="D1387" i="41"/>
  <c r="D217" i="68"/>
  <c r="E1373" i="41"/>
  <c r="E1427" i="41"/>
  <c r="G1427" i="41"/>
  <c r="G1373" i="41"/>
  <c r="N1287" i="41"/>
  <c r="N1293" i="41"/>
  <c r="N1290" i="41"/>
  <c r="N1286" i="41"/>
  <c r="N1316" i="41"/>
  <c r="F1427" i="41"/>
  <c r="F1373" i="41"/>
  <c r="E1376" i="41"/>
  <c r="E1403" i="41"/>
  <c r="E1432" i="41"/>
  <c r="E1457" i="41"/>
  <c r="K1290" i="41"/>
  <c r="K1287" i="41"/>
  <c r="K1293" i="41"/>
  <c r="K1286" i="41"/>
  <c r="O1432" i="41"/>
  <c r="O1457" i="41"/>
  <c r="O1376" i="41"/>
  <c r="O1403" i="41"/>
  <c r="E1237" i="41"/>
  <c r="E1250" i="41"/>
  <c r="E1209" i="41"/>
  <c r="E1222" i="41"/>
  <c r="I1239" i="41"/>
  <c r="I1240" i="41"/>
  <c r="I1376" i="41"/>
  <c r="I1403" i="41"/>
  <c r="I1432" i="41"/>
  <c r="I1457" i="41"/>
  <c r="D1427" i="41"/>
  <c r="D1373" i="41"/>
  <c r="C230" i="68"/>
  <c r="Q1321" i="41"/>
  <c r="P1287" i="41"/>
  <c r="P1286" i="41"/>
  <c r="P1316" i="41"/>
  <c r="P1422" i="41"/>
  <c r="P1449" i="41"/>
  <c r="P1290" i="41"/>
  <c r="P1293" i="41"/>
  <c r="M1209" i="41"/>
  <c r="M1222" i="41"/>
  <c r="M1237" i="41"/>
  <c r="M1250" i="41"/>
  <c r="Q1376" i="41"/>
  <c r="Q1403" i="41"/>
  <c r="Q1432" i="41"/>
  <c r="F1432" i="41"/>
  <c r="F1457" i="41"/>
  <c r="F1376" i="41"/>
  <c r="F1403" i="41"/>
  <c r="O1427" i="41"/>
  <c r="O1373" i="41"/>
  <c r="C84" i="68"/>
  <c r="S85" i="53"/>
  <c r="I1318" i="38"/>
  <c r="F1237" i="41"/>
  <c r="F1250" i="41"/>
  <c r="F1209" i="41"/>
  <c r="F1222" i="41"/>
  <c r="G1351" i="41"/>
  <c r="F1351" i="41"/>
  <c r="P1351" i="41"/>
  <c r="E1351" i="41"/>
  <c r="D1351" i="41"/>
  <c r="N1351" i="41"/>
  <c r="M1351" i="41"/>
  <c r="I1351" i="41"/>
  <c r="K1351" i="41"/>
  <c r="J1351" i="41"/>
  <c r="D1376" i="41"/>
  <c r="D1403" i="41"/>
  <c r="O1351" i="41"/>
  <c r="L1351" i="41"/>
  <c r="H1351" i="41"/>
  <c r="Q1351" i="41"/>
  <c r="D1432" i="41"/>
  <c r="D1457" i="41"/>
  <c r="Q1237" i="41"/>
  <c r="Q1250" i="41"/>
  <c r="Q1209" i="41"/>
  <c r="Q1222" i="41"/>
  <c r="L1239" i="41"/>
  <c r="L1240" i="41"/>
  <c r="E1286" i="41"/>
  <c r="E1316" i="41"/>
  <c r="E1293" i="41"/>
  <c r="E1290" i="41"/>
  <c r="E1287" i="41"/>
  <c r="K1209" i="41"/>
  <c r="K1212" i="41"/>
  <c r="K1237" i="41"/>
  <c r="K1250" i="41"/>
  <c r="G1209" i="41"/>
  <c r="G1222" i="41"/>
  <c r="G1237" i="41"/>
  <c r="G1250" i="41"/>
  <c r="H1286" i="41"/>
  <c r="H1316" i="41"/>
  <c r="H1287" i="41"/>
  <c r="H1293" i="41"/>
  <c r="H1290" i="41"/>
  <c r="D88" i="68"/>
  <c r="W90" i="53"/>
  <c r="J1345" i="38"/>
  <c r="C88" i="68"/>
  <c r="S90" i="53"/>
  <c r="J1318" i="38"/>
  <c r="Q1265" i="38"/>
  <c r="Q1371" i="38"/>
  <c r="Q1370" i="38"/>
  <c r="C77" i="68"/>
  <c r="J1265" i="38"/>
  <c r="J1371" i="38"/>
  <c r="J1370" i="38"/>
  <c r="I1370" i="38"/>
  <c r="I1265" i="38"/>
  <c r="I1371" i="38"/>
  <c r="Q1396" i="38"/>
  <c r="C76" i="68"/>
  <c r="S33" i="53"/>
  <c r="C116" i="68"/>
  <c r="D1342" i="38"/>
  <c r="D116" i="68"/>
  <c r="D1317" i="38"/>
  <c r="Q1392" i="38"/>
  <c r="D72" i="68"/>
  <c r="W29" i="53"/>
  <c r="C72" i="68"/>
  <c r="S29" i="53"/>
  <c r="F1342" i="38"/>
  <c r="F1344" i="38"/>
  <c r="F1317" i="38"/>
  <c r="Q1342" i="38"/>
  <c r="N1370" i="38"/>
  <c r="N1265" i="38"/>
  <c r="N1371" i="38"/>
  <c r="E1342" i="38"/>
  <c r="E1344" i="38"/>
  <c r="E1317" i="38"/>
  <c r="M1370" i="38"/>
  <c r="M1265" i="38"/>
  <c r="M1371" i="38"/>
  <c r="P1370" i="38"/>
  <c r="P1265" i="38"/>
  <c r="P1371" i="38"/>
  <c r="L1370" i="38"/>
  <c r="L1265" i="38"/>
  <c r="L1371" i="38"/>
  <c r="D1398" i="38"/>
  <c r="D1399" i="38"/>
  <c r="C113" i="68"/>
  <c r="D1339" i="38"/>
  <c r="D113" i="68"/>
  <c r="O1265" i="38"/>
  <c r="O1371" i="38"/>
  <c r="O1370" i="38"/>
  <c r="M1342" i="38"/>
  <c r="M1344" i="38"/>
  <c r="M1317" i="38"/>
  <c r="H1265" i="38"/>
  <c r="H1371" i="38"/>
  <c r="H1370" i="38"/>
  <c r="F1370" i="38"/>
  <c r="F1265" i="38"/>
  <c r="F1371" i="38"/>
  <c r="D1287" i="38"/>
  <c r="I1287" i="38"/>
  <c r="H1287" i="38"/>
  <c r="N1287" i="38"/>
  <c r="L1287" i="38"/>
  <c r="O1287" i="38"/>
  <c r="J1287" i="38"/>
  <c r="F1287" i="38"/>
  <c r="K1287" i="38"/>
  <c r="Q1287" i="38"/>
  <c r="G1287" i="38"/>
  <c r="P1287" i="38"/>
  <c r="Q1366" i="38"/>
  <c r="Q1312" i="38"/>
  <c r="Q1339" i="38"/>
  <c r="M1287" i="38"/>
  <c r="E1287" i="38"/>
  <c r="D1265" i="38"/>
  <c r="D1371" i="38"/>
  <c r="D1370" i="38"/>
  <c r="G1265" i="38"/>
  <c r="G1371" i="38"/>
  <c r="G1370" i="38"/>
  <c r="C45" i="68"/>
  <c r="C41" i="68"/>
  <c r="C49" i="68"/>
  <c r="C44" i="68"/>
  <c r="C42" i="68"/>
  <c r="C43" i="68"/>
  <c r="C40" i="68"/>
  <c r="C48" i="68"/>
  <c r="C46" i="68"/>
  <c r="C47" i="68"/>
  <c r="C39" i="68"/>
  <c r="C38" i="68"/>
  <c r="D112" i="68"/>
  <c r="H1342" i="38"/>
  <c r="H1344" i="38"/>
  <c r="H1317" i="38"/>
  <c r="E1265" i="38"/>
  <c r="E1371" i="38"/>
  <c r="E1370" i="38"/>
  <c r="G1342" i="38"/>
  <c r="G1344" i="38"/>
  <c r="G1317" i="38"/>
  <c r="M1282" i="41"/>
  <c r="M1311" i="41"/>
  <c r="M1417" i="41"/>
  <c r="M1444" i="41"/>
  <c r="L1310" i="41"/>
  <c r="L1416" i="41"/>
  <c r="Q1413" i="41"/>
  <c r="C174" i="68"/>
  <c r="T17" i="53"/>
  <c r="N1282" i="41"/>
  <c r="N1311" i="41"/>
  <c r="N1417" i="41"/>
  <c r="N1444" i="41"/>
  <c r="P1335" i="41"/>
  <c r="I1282" i="41"/>
  <c r="I1311" i="41"/>
  <c r="I1417" i="41"/>
  <c r="I1444" i="41"/>
  <c r="O1282" i="41"/>
  <c r="O1311" i="41"/>
  <c r="O1417" i="41"/>
  <c r="O1444" i="41"/>
  <c r="J1310" i="41"/>
  <c r="J1362" i="41"/>
  <c r="I1335" i="41"/>
  <c r="H1282" i="41"/>
  <c r="H1311" i="41"/>
  <c r="H1363" i="41"/>
  <c r="H1390" i="41"/>
  <c r="J1335" i="41"/>
  <c r="Q1414" i="41"/>
  <c r="C175" i="68"/>
  <c r="T18" i="53"/>
  <c r="P1282" i="41"/>
  <c r="P1311" i="41"/>
  <c r="P1417" i="41"/>
  <c r="P1444" i="41"/>
  <c r="L1335" i="41"/>
  <c r="D1335" i="41"/>
  <c r="E1335" i="41"/>
  <c r="H1335" i="41"/>
  <c r="G1335" i="41"/>
  <c r="Q1360" i="41"/>
  <c r="Q1387" i="41"/>
  <c r="K1335" i="41"/>
  <c r="O1335" i="41"/>
  <c r="G1282" i="41"/>
  <c r="G1311" i="41"/>
  <c r="G1363" i="41"/>
  <c r="G1390" i="41"/>
  <c r="H1211" i="41"/>
  <c r="F1335" i="41"/>
  <c r="N1335" i="41"/>
  <c r="M1335" i="41"/>
  <c r="Q1281" i="41"/>
  <c r="D1284" i="41"/>
  <c r="E1310" i="41"/>
  <c r="E1416" i="41"/>
  <c r="Q1359" i="41"/>
  <c r="J1240" i="41"/>
  <c r="J1239" i="41"/>
  <c r="J1211" i="41"/>
  <c r="D1310" i="41"/>
  <c r="D1362" i="41"/>
  <c r="N1211" i="41"/>
  <c r="D1240" i="41"/>
  <c r="Q1212" i="41"/>
  <c r="D1212" i="41"/>
  <c r="G1212" i="41"/>
  <c r="O1240" i="41"/>
  <c r="O1239" i="41"/>
  <c r="J1417" i="41"/>
  <c r="J1444" i="41"/>
  <c r="J1363" i="41"/>
  <c r="J1390" i="41"/>
  <c r="J1422" i="41"/>
  <c r="J1449" i="41"/>
  <c r="J1368" i="41"/>
  <c r="J1395" i="41"/>
  <c r="O1211" i="41"/>
  <c r="J1222" i="41"/>
  <c r="F232" i="47"/>
  <c r="G1211" i="41"/>
  <c r="Q1239" i="41"/>
  <c r="G1239" i="41"/>
  <c r="Q1240" i="41"/>
  <c r="G1240" i="41"/>
  <c r="N1240" i="41"/>
  <c r="D1239" i="41"/>
  <c r="E1240" i="41"/>
  <c r="Q1211" i="41"/>
  <c r="N1416" i="41"/>
  <c r="N1362" i="41"/>
  <c r="N1337" i="41"/>
  <c r="K1239" i="41"/>
  <c r="F1211" i="41"/>
  <c r="D1316" i="41"/>
  <c r="Q1286" i="41"/>
  <c r="K1211" i="41"/>
  <c r="F187" i="47"/>
  <c r="K1222" i="41"/>
  <c r="P1337" i="41"/>
  <c r="P1416" i="41"/>
  <c r="K1240" i="41"/>
  <c r="F1212" i="41"/>
  <c r="F1240" i="41"/>
  <c r="F1362" i="41"/>
  <c r="F1416" i="41"/>
  <c r="F1337" i="41"/>
  <c r="F1239" i="41"/>
  <c r="Q1290" i="41"/>
  <c r="O1337" i="41"/>
  <c r="O1362" i="41"/>
  <c r="O1416" i="41"/>
  <c r="N1239" i="41"/>
  <c r="F1363" i="41"/>
  <c r="F1390" i="41"/>
  <c r="F1417" i="41"/>
  <c r="F1444" i="41"/>
  <c r="F1422" i="41"/>
  <c r="F1449" i="41"/>
  <c r="F1368" i="41"/>
  <c r="F1395" i="41"/>
  <c r="Q1287" i="41"/>
  <c r="D1211" i="41"/>
  <c r="H1212" i="41"/>
  <c r="E1211" i="41"/>
  <c r="E1239" i="41"/>
  <c r="M1422" i="41"/>
  <c r="M1449" i="41"/>
  <c r="M1368" i="41"/>
  <c r="M1395" i="41"/>
  <c r="E1368" i="41"/>
  <c r="E1395" i="41"/>
  <c r="E1422" i="41"/>
  <c r="E1449" i="41"/>
  <c r="Q1293" i="41"/>
  <c r="G1368" i="41"/>
  <c r="G1395" i="41"/>
  <c r="G1422" i="41"/>
  <c r="G1449" i="41"/>
  <c r="H1422" i="41"/>
  <c r="H1449" i="41"/>
  <c r="H1368" i="41"/>
  <c r="H1395" i="41"/>
  <c r="E1417" i="41"/>
  <c r="E1444" i="41"/>
  <c r="E1363" i="41"/>
  <c r="E1390" i="41"/>
  <c r="H1337" i="41"/>
  <c r="H1416" i="41"/>
  <c r="H1362" i="41"/>
  <c r="E1212" i="41"/>
  <c r="D1311" i="41"/>
  <c r="M1211" i="41"/>
  <c r="H1239" i="41"/>
  <c r="M1240" i="41"/>
  <c r="O1422" i="41"/>
  <c r="O1449" i="41"/>
  <c r="O1368" i="41"/>
  <c r="O1395" i="41"/>
  <c r="I1362" i="41"/>
  <c r="I1416" i="41"/>
  <c r="I1337" i="41"/>
  <c r="M1416" i="41"/>
  <c r="M1362" i="41"/>
  <c r="M1337" i="41"/>
  <c r="Q1457" i="41"/>
  <c r="C193" i="68"/>
  <c r="I1422" i="41"/>
  <c r="I1449" i="41"/>
  <c r="I1368" i="41"/>
  <c r="I1395" i="41"/>
  <c r="Q1348" i="41"/>
  <c r="O1348" i="41"/>
  <c r="Q1427" i="41"/>
  <c r="Q1373" i="41"/>
  <c r="M1348" i="41"/>
  <c r="H1348" i="41"/>
  <c r="E1348" i="41"/>
  <c r="D1348" i="41"/>
  <c r="F1348" i="41"/>
  <c r="G1348" i="41"/>
  <c r="K1348" i="41"/>
  <c r="I1348" i="41"/>
  <c r="L1348" i="41"/>
  <c r="J1348" i="41"/>
  <c r="P1348" i="41"/>
  <c r="N1348" i="41"/>
  <c r="M1212" i="41"/>
  <c r="H1240" i="41"/>
  <c r="G1362" i="41"/>
  <c r="G1337" i="41"/>
  <c r="G1416" i="41"/>
  <c r="N1212" i="41"/>
  <c r="N1422" i="41"/>
  <c r="N1449" i="41"/>
  <c r="N1368" i="41"/>
  <c r="N1395" i="41"/>
  <c r="M1239" i="41"/>
  <c r="O1212" i="41"/>
  <c r="D86" i="68"/>
  <c r="W89" i="53"/>
  <c r="M1345" i="38"/>
  <c r="D1344" i="38"/>
  <c r="Q1393" i="38"/>
  <c r="D73" i="68"/>
  <c r="W30" i="53"/>
  <c r="W23" i="53"/>
  <c r="C73" i="68"/>
  <c r="S30" i="53"/>
  <c r="S23" i="53"/>
  <c r="S34" i="53"/>
  <c r="D76" i="68"/>
  <c r="W33" i="53"/>
  <c r="Q1317" i="38"/>
  <c r="Q1318" i="38"/>
  <c r="D81" i="68"/>
  <c r="W82" i="53"/>
  <c r="E1345" i="38"/>
  <c r="C83" i="68"/>
  <c r="S84" i="53"/>
  <c r="G1318" i="38"/>
  <c r="Q1344" i="38"/>
  <c r="F1318" i="38"/>
  <c r="C82" i="68"/>
  <c r="S83" i="53"/>
  <c r="G1345" i="38"/>
  <c r="D83" i="68"/>
  <c r="W84" i="53"/>
  <c r="F1345" i="38"/>
  <c r="D82" i="68"/>
  <c r="W83" i="53"/>
  <c r="M1318" i="38"/>
  <c r="C86" i="68"/>
  <c r="S89" i="53"/>
  <c r="C85" i="68"/>
  <c r="S87" i="53"/>
  <c r="H1318" i="38"/>
  <c r="D85" i="68"/>
  <c r="W87" i="53"/>
  <c r="H1345" i="38"/>
  <c r="E1318" i="38"/>
  <c r="C81" i="68"/>
  <c r="S82" i="53"/>
  <c r="C117" i="68"/>
  <c r="D1318" i="38"/>
  <c r="C80" i="68"/>
  <c r="C118" i="68"/>
  <c r="M1363" i="41"/>
  <c r="M1390" i="41"/>
  <c r="I1363" i="41"/>
  <c r="I1390" i="41"/>
  <c r="L1337" i="41"/>
  <c r="T16" i="53"/>
  <c r="N1363" i="41"/>
  <c r="N1390" i="41"/>
  <c r="J1416" i="41"/>
  <c r="J1337" i="41"/>
  <c r="O1363" i="41"/>
  <c r="O1390" i="41"/>
  <c r="H1417" i="41"/>
  <c r="H1444" i="41"/>
  <c r="E1288" i="41"/>
  <c r="E1289" i="41"/>
  <c r="E1315" i="41"/>
  <c r="E1362" i="41"/>
  <c r="Q1441" i="41"/>
  <c r="D175" i="68"/>
  <c r="X18" i="53"/>
  <c r="E1337" i="41"/>
  <c r="G1417" i="41"/>
  <c r="G1444" i="41"/>
  <c r="Q1310" i="41"/>
  <c r="Q1416" i="41"/>
  <c r="Q1282" i="41"/>
  <c r="Q1337" i="41"/>
  <c r="D1337" i="41"/>
  <c r="D1416" i="41"/>
  <c r="J1288" i="41"/>
  <c r="J1314" i="41"/>
  <c r="J1366" i="41"/>
  <c r="L1288" i="41"/>
  <c r="L1289" i="41"/>
  <c r="L1315" i="41"/>
  <c r="L1421" i="41"/>
  <c r="L1448" i="41"/>
  <c r="P1288" i="41"/>
  <c r="P1289" i="41"/>
  <c r="P1315" i="41"/>
  <c r="P1421" i="41"/>
  <c r="P1448" i="41"/>
  <c r="O1288" i="41"/>
  <c r="O1289" i="41"/>
  <c r="O1315" i="41"/>
  <c r="H252" i="47"/>
  <c r="I252" i="47"/>
  <c r="H256" i="47"/>
  <c r="I256" i="47"/>
  <c r="H261" i="47"/>
  <c r="H255" i="47"/>
  <c r="I255" i="47"/>
  <c r="H257" i="47"/>
  <c r="I257" i="47"/>
  <c r="H253" i="47"/>
  <c r="I253" i="47"/>
  <c r="H254" i="47"/>
  <c r="I254" i="47"/>
  <c r="H260" i="47"/>
  <c r="I260" i="47"/>
  <c r="H259" i="47"/>
  <c r="I259" i="47"/>
  <c r="H258" i="47"/>
  <c r="I258" i="47"/>
  <c r="D1288" i="41"/>
  <c r="D1314" i="41"/>
  <c r="M1288" i="41"/>
  <c r="M1314" i="41"/>
  <c r="H1288" i="41"/>
  <c r="H1314" i="41"/>
  <c r="N1288" i="41"/>
  <c r="N1314" i="41"/>
  <c r="N1366" i="41"/>
  <c r="F1288" i="41"/>
  <c r="F1289" i="41"/>
  <c r="F1315" i="41"/>
  <c r="G1288" i="41"/>
  <c r="G1314" i="41"/>
  <c r="I1288" i="41"/>
  <c r="I1289" i="41"/>
  <c r="I1315" i="41"/>
  <c r="K1288" i="41"/>
  <c r="K1289" i="41"/>
  <c r="H208" i="47"/>
  <c r="J208" i="47"/>
  <c r="H210" i="47"/>
  <c r="J210" i="47"/>
  <c r="H212" i="47"/>
  <c r="J212" i="47"/>
  <c r="H214" i="47"/>
  <c r="J214" i="47"/>
  <c r="H217" i="47"/>
  <c r="H213" i="47"/>
  <c r="J213" i="47"/>
  <c r="H209" i="47"/>
  <c r="J209" i="47"/>
  <c r="H215" i="47"/>
  <c r="J215" i="47"/>
  <c r="H216" i="47"/>
  <c r="J216" i="47"/>
  <c r="H211" i="47"/>
  <c r="J211" i="47"/>
  <c r="C188" i="68"/>
  <c r="T31" i="53"/>
  <c r="C219" i="68"/>
  <c r="D1422" i="41"/>
  <c r="D1449" i="41"/>
  <c r="Q1316" i="41"/>
  <c r="D1368" i="41"/>
  <c r="D1363" i="41"/>
  <c r="Q1311" i="41"/>
  <c r="D1417" i="41"/>
  <c r="D1444" i="41"/>
  <c r="Q1398" i="38"/>
  <c r="D77" i="68"/>
  <c r="D80" i="68"/>
  <c r="W81" i="53"/>
  <c r="D1345" i="38"/>
  <c r="D118" i="68"/>
  <c r="D117" i="68"/>
  <c r="D93" i="68"/>
  <c r="Q1345" i="38"/>
  <c r="W34" i="53"/>
  <c r="C93" i="68"/>
  <c r="S81" i="53"/>
  <c r="E1314" i="41"/>
  <c r="E1366" i="41"/>
  <c r="J1289" i="41"/>
  <c r="J1315" i="41"/>
  <c r="J1421" i="41"/>
  <c r="J1448" i="41"/>
  <c r="Q1362" i="41"/>
  <c r="J1420" i="41"/>
  <c r="O1314" i="41"/>
  <c r="O1420" i="41"/>
  <c r="N1289" i="41"/>
  <c r="N1315" i="41"/>
  <c r="N1367" i="41"/>
  <c r="N1394" i="41"/>
  <c r="F1314" i="41"/>
  <c r="F1420" i="41"/>
  <c r="L1314" i="41"/>
  <c r="L1420" i="41"/>
  <c r="N1420" i="41"/>
  <c r="I1314" i="41"/>
  <c r="I1420" i="41"/>
  <c r="D1289" i="41"/>
  <c r="D1315" i="41"/>
  <c r="H1289" i="41"/>
  <c r="H1315" i="41"/>
  <c r="H1367" i="41"/>
  <c r="H1394" i="41"/>
  <c r="H262" i="47"/>
  <c r="I262" i="47"/>
  <c r="I261" i="47"/>
  <c r="M1289" i="41"/>
  <c r="M1315" i="41"/>
  <c r="M1367" i="41"/>
  <c r="M1394" i="41"/>
  <c r="G1289" i="41"/>
  <c r="G1315" i="41"/>
  <c r="G1421" i="41"/>
  <c r="G1448" i="41"/>
  <c r="P1314" i="41"/>
  <c r="P1420" i="41"/>
  <c r="Q1288" i="41"/>
  <c r="M1291" i="41"/>
  <c r="G1420" i="41"/>
  <c r="G1366" i="41"/>
  <c r="C177" i="68"/>
  <c r="T20" i="53"/>
  <c r="Q1399" i="38"/>
  <c r="G1338" i="41"/>
  <c r="K1338" i="41"/>
  <c r="Q1417" i="41"/>
  <c r="H1338" i="41"/>
  <c r="I1338" i="41"/>
  <c r="D1338" i="41"/>
  <c r="Q1338" i="41"/>
  <c r="M1338" i="41"/>
  <c r="O1338" i="41"/>
  <c r="P1338" i="41"/>
  <c r="N1338" i="41"/>
  <c r="E1338" i="41"/>
  <c r="L1338" i="41"/>
  <c r="Q1363" i="41"/>
  <c r="Q1390" i="41"/>
  <c r="J1338" i="41"/>
  <c r="F1338" i="41"/>
  <c r="D1390" i="41"/>
  <c r="D220" i="68"/>
  <c r="C220" i="68"/>
  <c r="O1421" i="41"/>
  <c r="O1448" i="41"/>
  <c r="O1367" i="41"/>
  <c r="O1394" i="41"/>
  <c r="D1366" i="41"/>
  <c r="D1420" i="41"/>
  <c r="M1366" i="41"/>
  <c r="M1420" i="41"/>
  <c r="I1366" i="41"/>
  <c r="E1367" i="41"/>
  <c r="E1394" i="41"/>
  <c r="E1421" i="41"/>
  <c r="E1448" i="41"/>
  <c r="F1367" i="41"/>
  <c r="F1394" i="41"/>
  <c r="F1421" i="41"/>
  <c r="F1448" i="41"/>
  <c r="I1421" i="41"/>
  <c r="I1448" i="41"/>
  <c r="I1367" i="41"/>
  <c r="I1394" i="41"/>
  <c r="C225" i="68"/>
  <c r="D1395" i="41"/>
  <c r="D225" i="68"/>
  <c r="K1343" i="41"/>
  <c r="I1343" i="41"/>
  <c r="L1343" i="41"/>
  <c r="Q1422" i="41"/>
  <c r="M1343" i="41"/>
  <c r="N1343" i="41"/>
  <c r="F1343" i="41"/>
  <c r="Q1368" i="41"/>
  <c r="Q1395" i="41"/>
  <c r="D1343" i="41"/>
  <c r="E1343" i="41"/>
  <c r="H1343" i="41"/>
  <c r="J1343" i="41"/>
  <c r="O1343" i="41"/>
  <c r="Q1343" i="41"/>
  <c r="G1343" i="41"/>
  <c r="P1343" i="41"/>
  <c r="H1420" i="41"/>
  <c r="H1366" i="41"/>
  <c r="H218" i="47"/>
  <c r="J218" i="47"/>
  <c r="J217" i="47"/>
  <c r="O1366" i="41"/>
  <c r="E1420" i="41"/>
  <c r="E1447" i="41"/>
  <c r="J1367" i="41"/>
  <c r="J1394" i="41"/>
  <c r="J1447" i="41"/>
  <c r="N1421" i="41"/>
  <c r="N1448" i="41"/>
  <c r="F1366" i="41"/>
  <c r="F1393" i="41"/>
  <c r="H1421" i="41"/>
  <c r="H1448" i="41"/>
  <c r="D1291" i="41"/>
  <c r="D1317" i="41"/>
  <c r="G1367" i="41"/>
  <c r="G1394" i="41"/>
  <c r="G1291" i="41"/>
  <c r="G1292" i="41"/>
  <c r="G1318" i="41"/>
  <c r="H1291" i="41"/>
  <c r="H1317" i="41"/>
  <c r="N1291" i="41"/>
  <c r="N1292" i="41"/>
  <c r="N1318" i="41"/>
  <c r="Q1314" i="41"/>
  <c r="G1341" i="41"/>
  <c r="Q1291" i="41"/>
  <c r="L1294" i="41"/>
  <c r="L1319" i="41"/>
  <c r="L1425" i="41"/>
  <c r="L1452" i="41"/>
  <c r="Q1341" i="41"/>
  <c r="O1291" i="41"/>
  <c r="O1292" i="41"/>
  <c r="O1318" i="41"/>
  <c r="M1421" i="41"/>
  <c r="M1448" i="41"/>
  <c r="P1291" i="41"/>
  <c r="P1317" i="41"/>
  <c r="P1423" i="41"/>
  <c r="P1450" i="41"/>
  <c r="F1291" i="41"/>
  <c r="F1317" i="41"/>
  <c r="Q1289" i="41"/>
  <c r="I1291" i="41"/>
  <c r="I1292" i="41"/>
  <c r="I1318" i="41"/>
  <c r="K1291" i="41"/>
  <c r="K1292" i="41"/>
  <c r="J1291" i="41"/>
  <c r="J1292" i="41"/>
  <c r="J1318" i="41"/>
  <c r="L1291" i="41"/>
  <c r="L1292" i="41"/>
  <c r="L1318" i="41"/>
  <c r="L1424" i="41"/>
  <c r="L1451" i="41"/>
  <c r="E1291" i="41"/>
  <c r="E1292" i="41"/>
  <c r="E1318" i="41"/>
  <c r="K1454" i="41"/>
  <c r="L1221" i="41"/>
  <c r="Q1226" i="41"/>
  <c r="K1249" i="41"/>
  <c r="K1252" i="41"/>
  <c r="K1253" i="41"/>
  <c r="H1249" i="41"/>
  <c r="H1252" i="41"/>
  <c r="H1253" i="41"/>
  <c r="M1249" i="41"/>
  <c r="M1252" i="41"/>
  <c r="M1253" i="41"/>
  <c r="L1454" i="41"/>
  <c r="P1221" i="41"/>
  <c r="N1249" i="41"/>
  <c r="N1252" i="41"/>
  <c r="N1253" i="41"/>
  <c r="K1221" i="41"/>
  <c r="F1400" i="41"/>
  <c r="I1249" i="41"/>
  <c r="I1252" i="41"/>
  <c r="I1253" i="41"/>
  <c r="Q1249" i="41"/>
  <c r="Q1252" i="41"/>
  <c r="Q1253" i="41"/>
  <c r="M1454" i="41"/>
  <c r="I1221" i="41"/>
  <c r="K1400" i="41"/>
  <c r="F1226" i="41"/>
  <c r="O1226" i="41"/>
  <c r="G1221" i="41"/>
  <c r="J1400" i="41"/>
  <c r="J1226" i="41"/>
  <c r="P1249" i="41"/>
  <c r="P1252" i="41"/>
  <c r="P1253" i="41"/>
  <c r="K1226" i="41"/>
  <c r="H1454" i="41"/>
  <c r="L1400" i="41"/>
  <c r="G1226" i="41"/>
  <c r="D1221" i="41"/>
  <c r="O1221" i="41"/>
  <c r="P1400" i="41"/>
  <c r="J1221" i="41"/>
  <c r="P1454" i="41"/>
  <c r="Q1221" i="41"/>
  <c r="F1221" i="41"/>
  <c r="O1249" i="41"/>
  <c r="O1252" i="41"/>
  <c r="O1253" i="41"/>
  <c r="N1221" i="41"/>
  <c r="M1221" i="41"/>
  <c r="D1454" i="41"/>
  <c r="L1226" i="41"/>
  <c r="P1226" i="41"/>
  <c r="H1226" i="41"/>
  <c r="N1226" i="41"/>
  <c r="M1226" i="41"/>
  <c r="E1249" i="41"/>
  <c r="E1252" i="41"/>
  <c r="E1253" i="41"/>
  <c r="D1226" i="41"/>
  <c r="E1400" i="41"/>
  <c r="I1226" i="41"/>
  <c r="E1221" i="41"/>
  <c r="E1226" i="41"/>
  <c r="H1221" i="41"/>
  <c r="G1249" i="41"/>
  <c r="G1252" i="41"/>
  <c r="G1253" i="41"/>
  <c r="F1249" i="41"/>
  <c r="F1252" i="41"/>
  <c r="F1253" i="41"/>
  <c r="D1249" i="41"/>
  <c r="D1252" i="41"/>
  <c r="D1253" i="41"/>
  <c r="I1400" i="41"/>
  <c r="J1249" i="41"/>
  <c r="J1252" i="41"/>
  <c r="J1253" i="41"/>
  <c r="L1249" i="41"/>
  <c r="L1252" i="41"/>
  <c r="L1253" i="41"/>
  <c r="O1400" i="41"/>
  <c r="G1454" i="41"/>
  <c r="N1454" i="41"/>
  <c r="E1454" i="41"/>
  <c r="M1400" i="41"/>
  <c r="I1454" i="41"/>
  <c r="G1400" i="41"/>
  <c r="N1400" i="41"/>
  <c r="O1454" i="41"/>
  <c r="J1454" i="41"/>
  <c r="H1400" i="41"/>
  <c r="D1400" i="41"/>
  <c r="D230" i="68"/>
  <c r="F1454" i="41"/>
  <c r="Q1400" i="41"/>
  <c r="Q1454" i="41"/>
  <c r="D188" i="68"/>
  <c r="X31" i="53"/>
  <c r="H1393" i="41"/>
  <c r="F1447" i="41"/>
  <c r="Q1389" i="41"/>
  <c r="D1447" i="41"/>
  <c r="E1393" i="41"/>
  <c r="Q1443" i="41"/>
  <c r="D177" i="68"/>
  <c r="X20" i="53"/>
  <c r="H1447" i="41"/>
  <c r="I1447" i="41"/>
  <c r="M1292" i="41"/>
  <c r="M1318" i="41"/>
  <c r="M1317" i="41"/>
  <c r="M1447" i="41"/>
  <c r="O1447" i="41"/>
  <c r="N1447" i="41"/>
  <c r="M1393" i="41"/>
  <c r="O1393" i="41"/>
  <c r="C178" i="68"/>
  <c r="T21" i="53"/>
  <c r="T19" i="53"/>
  <c r="Q1444" i="41"/>
  <c r="D178" i="68"/>
  <c r="X21" i="53"/>
  <c r="Q1315" i="41"/>
  <c r="Q1342" i="41"/>
  <c r="D1367" i="41"/>
  <c r="D1421" i="41"/>
  <c r="D1448" i="41"/>
  <c r="C223" i="68"/>
  <c r="D1393" i="41"/>
  <c r="D223" i="68"/>
  <c r="C183" i="68"/>
  <c r="T26" i="53"/>
  <c r="Q1449" i="41"/>
  <c r="D183" i="68"/>
  <c r="X26" i="53"/>
  <c r="I1393" i="41"/>
  <c r="M1389" i="41"/>
  <c r="K1447" i="41"/>
  <c r="P1227" i="41"/>
  <c r="J1386" i="41"/>
  <c r="L1389" i="41"/>
  <c r="I1255" i="41"/>
  <c r="F1255" i="41"/>
  <c r="G1227" i="41"/>
  <c r="G1386" i="41"/>
  <c r="F1386" i="41"/>
  <c r="H1255" i="41"/>
  <c r="O1227" i="41"/>
  <c r="O1440" i="41"/>
  <c r="D1255" i="41"/>
  <c r="F1440" i="41"/>
  <c r="P1386" i="41"/>
  <c r="K1386" i="41"/>
  <c r="H1440" i="41"/>
  <c r="P1389" i="41"/>
  <c r="K1396" i="41"/>
  <c r="P1440" i="41"/>
  <c r="I1227" i="41"/>
  <c r="K1402" i="41"/>
  <c r="G1440" i="41"/>
  <c r="K1440" i="41"/>
  <c r="P1396" i="41"/>
  <c r="J1227" i="41"/>
  <c r="L1386" i="41"/>
  <c r="J1255" i="41"/>
  <c r="K1227" i="41"/>
  <c r="E1227" i="41"/>
  <c r="H1386" i="41"/>
  <c r="N1386" i="41"/>
  <c r="K1443" i="41"/>
  <c r="L1402" i="41"/>
  <c r="Q1255" i="41"/>
  <c r="D1440" i="41"/>
  <c r="P1402" i="41"/>
  <c r="K1393" i="41"/>
  <c r="H1227" i="41"/>
  <c r="E1440" i="41"/>
  <c r="K1450" i="41"/>
  <c r="L1398" i="41"/>
  <c r="G1255" i="41"/>
  <c r="J1440" i="41"/>
  <c r="F1227" i="41"/>
  <c r="L1440" i="41"/>
  <c r="L1227" i="41"/>
  <c r="M1227" i="41"/>
  <c r="D1386" i="41"/>
  <c r="D216" i="68"/>
  <c r="P1398" i="41"/>
  <c r="K1389" i="41"/>
  <c r="K1398" i="41"/>
  <c r="D1227" i="41"/>
  <c r="M1255" i="41"/>
  <c r="Q1227" i="41"/>
  <c r="M1386" i="41"/>
  <c r="M1440" i="41"/>
  <c r="L1396" i="41"/>
  <c r="O1386" i="41"/>
  <c r="I1386" i="41"/>
  <c r="E1255" i="41"/>
  <c r="E1386" i="41"/>
  <c r="K1452" i="41"/>
  <c r="L1393" i="41"/>
  <c r="K1255" i="41"/>
  <c r="I1440" i="41"/>
  <c r="K1456" i="41"/>
  <c r="P1393" i="41"/>
  <c r="N1227" i="41"/>
  <c r="N1440" i="41"/>
  <c r="Q1386" i="41"/>
  <c r="Q1440" i="41"/>
  <c r="D174" i="68"/>
  <c r="X17" i="53"/>
  <c r="X16" i="53"/>
  <c r="E1443" i="41"/>
  <c r="E1389" i="41"/>
  <c r="J1443" i="41"/>
  <c r="F1443" i="41"/>
  <c r="L1447" i="41"/>
  <c r="D1389" i="41"/>
  <c r="D219" i="68"/>
  <c r="G1443" i="41"/>
  <c r="N1443" i="41"/>
  <c r="F1389" i="41"/>
  <c r="N1393" i="41"/>
  <c r="P1443" i="41"/>
  <c r="I1389" i="41"/>
  <c r="O1389" i="41"/>
  <c r="G1389" i="41"/>
  <c r="G1447" i="41"/>
  <c r="N1389" i="41"/>
  <c r="L1443" i="41"/>
  <c r="I1443" i="41"/>
  <c r="J1389" i="41"/>
  <c r="O1443" i="41"/>
  <c r="M1443" i="41"/>
  <c r="H1389" i="41"/>
  <c r="G1393" i="41"/>
  <c r="H1443" i="41"/>
  <c r="J1393" i="41"/>
  <c r="D1443" i="41"/>
  <c r="P1447" i="41"/>
  <c r="L1317" i="41"/>
  <c r="L1423" i="41"/>
  <c r="L1450" i="41"/>
  <c r="D1292" i="41"/>
  <c r="D1318" i="41"/>
  <c r="D1370" i="41"/>
  <c r="O1317" i="41"/>
  <c r="O1423" i="41"/>
  <c r="O1450" i="41"/>
  <c r="E1317" i="41"/>
  <c r="E1369" i="41"/>
  <c r="G1317" i="41"/>
  <c r="G1423" i="41"/>
  <c r="G1450" i="41"/>
  <c r="H1292" i="41"/>
  <c r="H1318" i="41"/>
  <c r="H1424" i="41"/>
  <c r="H1451" i="41"/>
  <c r="P1341" i="41"/>
  <c r="E1341" i="41"/>
  <c r="D1341" i="41"/>
  <c r="L1341" i="41"/>
  <c r="J1341" i="41"/>
  <c r="M1341" i="41"/>
  <c r="F1292" i="41"/>
  <c r="F1318" i="41"/>
  <c r="F1370" i="41"/>
  <c r="F1397" i="41"/>
  <c r="N1317" i="41"/>
  <c r="N1369" i="41"/>
  <c r="N1396" i="41"/>
  <c r="Q1366" i="41"/>
  <c r="Q1393" i="41"/>
  <c r="G1294" i="41"/>
  <c r="G1319" i="41"/>
  <c r="G1371" i="41"/>
  <c r="G1398" i="41"/>
  <c r="E1294" i="41"/>
  <c r="E1319" i="41"/>
  <c r="Q1420" i="41"/>
  <c r="Q1447" i="41"/>
  <c r="D181" i="68"/>
  <c r="X24" i="53"/>
  <c r="F1294" i="41"/>
  <c r="F1295" i="41"/>
  <c r="F1320" i="41"/>
  <c r="O1341" i="41"/>
  <c r="I1341" i="41"/>
  <c r="H1341" i="41"/>
  <c r="H1294" i="41"/>
  <c r="H1319" i="41"/>
  <c r="H1371" i="41"/>
  <c r="H1398" i="41"/>
  <c r="J1294" i="41"/>
  <c r="J1295" i="41"/>
  <c r="J1320" i="41"/>
  <c r="F1341" i="41"/>
  <c r="N1341" i="41"/>
  <c r="M1294" i="41"/>
  <c r="M1295" i="41"/>
  <c r="M1320" i="41"/>
  <c r="O1294" i="41"/>
  <c r="O1319" i="41"/>
  <c r="K1341" i="41"/>
  <c r="I1294" i="41"/>
  <c r="I1295" i="41"/>
  <c r="I1320" i="41"/>
  <c r="J1317" i="41"/>
  <c r="J1423" i="41"/>
  <c r="J1450" i="41"/>
  <c r="P1294" i="41"/>
  <c r="P1295" i="41"/>
  <c r="P1320" i="41"/>
  <c r="P1426" i="41"/>
  <c r="P1453" i="41"/>
  <c r="D1294" i="41"/>
  <c r="L1295" i="41"/>
  <c r="L1320" i="41"/>
  <c r="L1426" i="41"/>
  <c r="L1453" i="41"/>
  <c r="X19" i="53"/>
  <c r="K1294" i="41"/>
  <c r="K1295" i="41"/>
  <c r="N1294" i="41"/>
  <c r="D1225" i="41"/>
  <c r="D1224" i="41"/>
  <c r="K1225" i="41"/>
  <c r="K1224" i="41"/>
  <c r="L1225" i="41"/>
  <c r="L1224" i="41"/>
  <c r="O1225" i="41"/>
  <c r="O1224" i="41"/>
  <c r="N1224" i="41"/>
  <c r="N1225" i="41"/>
  <c r="G1224" i="41"/>
  <c r="G1225" i="41"/>
  <c r="I1317" i="41"/>
  <c r="I1423" i="41"/>
  <c r="I1450" i="41"/>
  <c r="H1225" i="41"/>
  <c r="H1224" i="41"/>
  <c r="F1225" i="41"/>
  <c r="F1224" i="41"/>
  <c r="J1424" i="41"/>
  <c r="J1451" i="41"/>
  <c r="J1370" i="41"/>
  <c r="J1397" i="41"/>
  <c r="M1224" i="41"/>
  <c r="M1225" i="41"/>
  <c r="P1224" i="41"/>
  <c r="P1225" i="41"/>
  <c r="P1292" i="41"/>
  <c r="P1318" i="41"/>
  <c r="P1424" i="41"/>
  <c r="P1451" i="41"/>
  <c r="E1225" i="41"/>
  <c r="E1224" i="41"/>
  <c r="I1225" i="41"/>
  <c r="I1224" i="41"/>
  <c r="Q1224" i="41"/>
  <c r="Q1225" i="41"/>
  <c r="J1224" i="41"/>
  <c r="J1225" i="41"/>
  <c r="K1404" i="41"/>
  <c r="K1405" i="41"/>
  <c r="M1424" i="41"/>
  <c r="M1451" i="41"/>
  <c r="M1370" i="41"/>
  <c r="M1397" i="41"/>
  <c r="I1424" i="41"/>
  <c r="I1451" i="41"/>
  <c r="I1370" i="41"/>
  <c r="N1370" i="41"/>
  <c r="N1397" i="41"/>
  <c r="N1424" i="41"/>
  <c r="N1451" i="41"/>
  <c r="M1423" i="41"/>
  <c r="M1450" i="41"/>
  <c r="M1369" i="41"/>
  <c r="G1370" i="41"/>
  <c r="G1397" i="41"/>
  <c r="G1424" i="41"/>
  <c r="G1451" i="41"/>
  <c r="P1404" i="41"/>
  <c r="D1423" i="41"/>
  <c r="D1450" i="41"/>
  <c r="D1369" i="41"/>
  <c r="D1394" i="41"/>
  <c r="D224" i="68"/>
  <c r="C224" i="68"/>
  <c r="E1424" i="41"/>
  <c r="E1451" i="41"/>
  <c r="E1370" i="41"/>
  <c r="E1397" i="41"/>
  <c r="K1458" i="41"/>
  <c r="K1459" i="41"/>
  <c r="O1370" i="41"/>
  <c r="O1397" i="41"/>
  <c r="O1424" i="41"/>
  <c r="O1451" i="41"/>
  <c r="H1423" i="41"/>
  <c r="H1450" i="41"/>
  <c r="H1369" i="41"/>
  <c r="H1396" i="41"/>
  <c r="L1404" i="41"/>
  <c r="L1405" i="41"/>
  <c r="F1342" i="41"/>
  <c r="L1342" i="41"/>
  <c r="I1342" i="41"/>
  <c r="O1342" i="41"/>
  <c r="Q1367" i="41"/>
  <c r="Q1394" i="41"/>
  <c r="Q1421" i="41"/>
  <c r="E1342" i="41"/>
  <c r="J1342" i="41"/>
  <c r="D1342" i="41"/>
  <c r="P1342" i="41"/>
  <c r="G1342" i="41"/>
  <c r="N1342" i="41"/>
  <c r="K1342" i="41"/>
  <c r="H1342" i="41"/>
  <c r="M1342" i="41"/>
  <c r="F1369" i="41"/>
  <c r="F1396" i="41"/>
  <c r="F1423" i="41"/>
  <c r="F1450" i="41"/>
  <c r="I1369" i="41"/>
  <c r="I1396" i="41"/>
  <c r="D1424" i="41"/>
  <c r="D1451" i="41"/>
  <c r="O1369" i="41"/>
  <c r="O1396" i="41"/>
  <c r="G1369" i="41"/>
  <c r="G1396" i="41"/>
  <c r="E1423" i="41"/>
  <c r="E1450" i="41"/>
  <c r="H1370" i="41"/>
  <c r="H1397" i="41"/>
  <c r="J1369" i="41"/>
  <c r="J1396" i="41"/>
  <c r="G1425" i="41"/>
  <c r="G1452" i="41"/>
  <c r="H1425" i="41"/>
  <c r="H1452" i="41"/>
  <c r="J1319" i="41"/>
  <c r="J1371" i="41"/>
  <c r="F1319" i="41"/>
  <c r="F1425" i="41"/>
  <c r="F1452" i="41"/>
  <c r="M1319" i="41"/>
  <c r="M1425" i="41"/>
  <c r="M1452" i="41"/>
  <c r="C181" i="68"/>
  <c r="T24" i="53"/>
  <c r="N1423" i="41"/>
  <c r="N1450" i="41"/>
  <c r="F1424" i="41"/>
  <c r="F1451" i="41"/>
  <c r="Q1317" i="41"/>
  <c r="Q1344" i="41"/>
  <c r="I1426" i="41"/>
  <c r="I1453" i="41"/>
  <c r="I1372" i="41"/>
  <c r="I1399" i="41"/>
  <c r="E1295" i="41"/>
  <c r="E1320" i="41"/>
  <c r="G1295" i="41"/>
  <c r="G1320" i="41"/>
  <c r="G1372" i="41"/>
  <c r="G1399" i="41"/>
  <c r="P1319" i="41"/>
  <c r="P1425" i="41"/>
  <c r="P1452" i="41"/>
  <c r="H1295" i="41"/>
  <c r="H1320" i="41"/>
  <c r="H1372" i="41"/>
  <c r="H1399" i="41"/>
  <c r="I1319" i="41"/>
  <c r="O1295" i="41"/>
  <c r="O1320" i="41"/>
  <c r="O1426" i="41"/>
  <c r="O1453" i="41"/>
  <c r="N1319" i="41"/>
  <c r="N1295" i="41"/>
  <c r="N1320" i="41"/>
  <c r="Q1294" i="41"/>
  <c r="D1296" i="41"/>
  <c r="D1297" i="41"/>
  <c r="D1323" i="41"/>
  <c r="Q1318" i="41"/>
  <c r="D1345" i="41"/>
  <c r="D1319" i="41"/>
  <c r="D1295" i="41"/>
  <c r="D1320" i="41"/>
  <c r="J1426" i="41"/>
  <c r="J1453" i="41"/>
  <c r="J1372" i="41"/>
  <c r="J1399" i="41"/>
  <c r="F1426" i="41"/>
  <c r="F1453" i="41"/>
  <c r="F1372" i="41"/>
  <c r="F1399" i="41"/>
  <c r="E1371" i="41"/>
  <c r="E1398" i="41"/>
  <c r="E1425" i="41"/>
  <c r="E1452" i="41"/>
  <c r="D1396" i="41"/>
  <c r="D226" i="68"/>
  <c r="C226" i="68"/>
  <c r="I1397" i="41"/>
  <c r="E1396" i="41"/>
  <c r="C182" i="68"/>
  <c r="T25" i="53"/>
  <c r="Q1448" i="41"/>
  <c r="D182" i="68"/>
  <c r="X25" i="53"/>
  <c r="O1425" i="41"/>
  <c r="O1452" i="41"/>
  <c r="O1371" i="41"/>
  <c r="O1398" i="41"/>
  <c r="M1396" i="41"/>
  <c r="M1426" i="41"/>
  <c r="M1453" i="41"/>
  <c r="M1372" i="41"/>
  <c r="M1399" i="41"/>
  <c r="P1405" i="41"/>
  <c r="D207" i="68"/>
  <c r="X93" i="53"/>
  <c r="D1397" i="41"/>
  <c r="D227" i="68"/>
  <c r="C227" i="68"/>
  <c r="F1371" i="41"/>
  <c r="F1398" i="41"/>
  <c r="J1425" i="41"/>
  <c r="J1452" i="41"/>
  <c r="M1371" i="41"/>
  <c r="M1398" i="41"/>
  <c r="E1344" i="41"/>
  <c r="N1344" i="41"/>
  <c r="G1344" i="41"/>
  <c r="L1344" i="41"/>
  <c r="Q1423" i="41"/>
  <c r="C184" i="68"/>
  <c r="T27" i="53"/>
  <c r="J1344" i="41"/>
  <c r="I1297" i="41"/>
  <c r="I1323" i="41"/>
  <c r="I1375" i="41"/>
  <c r="I1402" i="41"/>
  <c r="O1344" i="41"/>
  <c r="K1344" i="41"/>
  <c r="H1344" i="41"/>
  <c r="G1377" i="41"/>
  <c r="C199" i="68"/>
  <c r="T84" i="53"/>
  <c r="L1297" i="41"/>
  <c r="L1323" i="41"/>
  <c r="L1324" i="41"/>
  <c r="L1325" i="41"/>
  <c r="G1426" i="41"/>
  <c r="G1453" i="41"/>
  <c r="M1344" i="41"/>
  <c r="F1344" i="41"/>
  <c r="D142" i="68"/>
  <c r="C138" i="68"/>
  <c r="M1297" i="41"/>
  <c r="M1323" i="41"/>
  <c r="M1324" i="41"/>
  <c r="M1325" i="41"/>
  <c r="P1344" i="41"/>
  <c r="Q1369" i="41"/>
  <c r="Q1396" i="41"/>
  <c r="J1345" i="41"/>
  <c r="H1297" i="41"/>
  <c r="H1323" i="41"/>
  <c r="H1429" i="41"/>
  <c r="D1344" i="41"/>
  <c r="I1344" i="41"/>
  <c r="I1425" i="41"/>
  <c r="I1452" i="41"/>
  <c r="I1371" i="41"/>
  <c r="Q1346" i="41"/>
  <c r="H1426" i="41"/>
  <c r="H1453" i="41"/>
  <c r="O1372" i="41"/>
  <c r="O1399" i="41"/>
  <c r="O1297" i="41"/>
  <c r="O1323" i="41"/>
  <c r="O1375" i="41"/>
  <c r="O1402" i="41"/>
  <c r="N1297" i="41"/>
  <c r="N1323" i="41"/>
  <c r="N1375" i="41"/>
  <c r="N1402" i="41"/>
  <c r="E1297" i="41"/>
  <c r="E1323" i="41"/>
  <c r="E1324" i="41"/>
  <c r="E1325" i="41"/>
  <c r="G1297" i="41"/>
  <c r="G1323" i="41"/>
  <c r="G1429" i="41"/>
  <c r="Q1424" i="41"/>
  <c r="C185" i="68"/>
  <c r="T28" i="53"/>
  <c r="G1345" i="41"/>
  <c r="J1297" i="41"/>
  <c r="J1323" i="41"/>
  <c r="J1429" i="41"/>
  <c r="P1297" i="41"/>
  <c r="P1323" i="41"/>
  <c r="P1324" i="41"/>
  <c r="P1325" i="41"/>
  <c r="P1345" i="41"/>
  <c r="F1297" i="41"/>
  <c r="F1323" i="41"/>
  <c r="F1324" i="41"/>
  <c r="F1325" i="41"/>
  <c r="Q1297" i="41"/>
  <c r="Q1370" i="41"/>
  <c r="Q1397" i="41"/>
  <c r="O1345" i="41"/>
  <c r="Q1345" i="41"/>
  <c r="K1297" i="41"/>
  <c r="C203" i="68"/>
  <c r="T88" i="53"/>
  <c r="E1345" i="41"/>
  <c r="D203" i="68"/>
  <c r="X88" i="53"/>
  <c r="H1345" i="41"/>
  <c r="K1345" i="41"/>
  <c r="D1372" i="41"/>
  <c r="D1426" i="41"/>
  <c r="D1453" i="41"/>
  <c r="F1345" i="41"/>
  <c r="M1345" i="41"/>
  <c r="N1345" i="41"/>
  <c r="L1345" i="41"/>
  <c r="N1372" i="41"/>
  <c r="N1399" i="41"/>
  <c r="N1426" i="41"/>
  <c r="N1453" i="41"/>
  <c r="D1425" i="41"/>
  <c r="D1452" i="41"/>
  <c r="D1371" i="41"/>
  <c r="Q1319" i="41"/>
  <c r="P1346" i="41"/>
  <c r="Q1295" i="41"/>
  <c r="I1345" i="41"/>
  <c r="N1425" i="41"/>
  <c r="N1452" i="41"/>
  <c r="N1371" i="41"/>
  <c r="H1377" i="41"/>
  <c r="J1398" i="41"/>
  <c r="J1377" i="41"/>
  <c r="D1375" i="41"/>
  <c r="D1402" i="41"/>
  <c r="D1429" i="41"/>
  <c r="D1324" i="41"/>
  <c r="D1325" i="41"/>
  <c r="E1426" i="41"/>
  <c r="E1372" i="41"/>
  <c r="E1399" i="41"/>
  <c r="Q1320" i="41"/>
  <c r="F1377" i="41"/>
  <c r="C198" i="68"/>
  <c r="T83" i="53"/>
  <c r="M1377" i="41"/>
  <c r="M1378" i="41"/>
  <c r="C140" i="68"/>
  <c r="J1375" i="41"/>
  <c r="J1402" i="41"/>
  <c r="J1404" i="41"/>
  <c r="J1405" i="41"/>
  <c r="I1429" i="41"/>
  <c r="I1456" i="41"/>
  <c r="I1458" i="41"/>
  <c r="I1459" i="41"/>
  <c r="I1324" i="41"/>
  <c r="I1325" i="41"/>
  <c r="H1375" i="41"/>
  <c r="H1402" i="41"/>
  <c r="H1404" i="41"/>
  <c r="D201" i="68"/>
  <c r="X87" i="53"/>
  <c r="Q1450" i="41"/>
  <c r="D184" i="68"/>
  <c r="X27" i="53"/>
  <c r="K1346" i="41"/>
  <c r="L1429" i="41"/>
  <c r="L1456" i="41"/>
  <c r="L1458" i="41"/>
  <c r="L1459" i="41"/>
  <c r="Q1451" i="41"/>
  <c r="D185" i="68"/>
  <c r="X28" i="53"/>
  <c r="O1377" i="41"/>
  <c r="O1378" i="41"/>
  <c r="G1378" i="41"/>
  <c r="O1404" i="41"/>
  <c r="O1405" i="41"/>
  <c r="D159" i="68"/>
  <c r="C162" i="68"/>
  <c r="G1375" i="41"/>
  <c r="G1402" i="41"/>
  <c r="G1404" i="41"/>
  <c r="G1405" i="41"/>
  <c r="H1324" i="41"/>
  <c r="H1325" i="41"/>
  <c r="N1324" i="41"/>
  <c r="N1325" i="41"/>
  <c r="O1324" i="41"/>
  <c r="O1325" i="41"/>
  <c r="C144" i="68"/>
  <c r="C137" i="68"/>
  <c r="C142" i="68"/>
  <c r="O1429" i="41"/>
  <c r="O1456" i="41"/>
  <c r="O1458" i="41"/>
  <c r="O1459" i="41"/>
  <c r="C136" i="68"/>
  <c r="M1429" i="41"/>
  <c r="M1456" i="41"/>
  <c r="M1458" i="41"/>
  <c r="M1459" i="41"/>
  <c r="C139" i="68"/>
  <c r="C141" i="68"/>
  <c r="E1429" i="41"/>
  <c r="E1456" i="41"/>
  <c r="C143" i="68"/>
  <c r="M1375" i="41"/>
  <c r="M1402" i="41"/>
  <c r="M1404" i="41"/>
  <c r="D202" i="68"/>
  <c r="X89" i="53"/>
  <c r="C145" i="68"/>
  <c r="F1375" i="41"/>
  <c r="F1402" i="41"/>
  <c r="F1404" i="41"/>
  <c r="F1405" i="41"/>
  <c r="G1324" i="41"/>
  <c r="G1325" i="41"/>
  <c r="C146" i="68"/>
  <c r="N1429" i="41"/>
  <c r="N1456" i="41"/>
  <c r="N1458" i="41"/>
  <c r="N1459" i="41"/>
  <c r="F1429" i="41"/>
  <c r="F1456" i="41"/>
  <c r="F1458" i="41"/>
  <c r="F1459" i="41"/>
  <c r="E1375" i="41"/>
  <c r="E1402" i="41"/>
  <c r="E1404" i="41"/>
  <c r="I1398" i="41"/>
  <c r="I1404" i="41"/>
  <c r="D200" i="68"/>
  <c r="X86" i="53"/>
  <c r="I1377" i="41"/>
  <c r="Q1371" i="41"/>
  <c r="Q1398" i="41"/>
  <c r="F1346" i="41"/>
  <c r="D1346" i="41"/>
  <c r="P1429" i="41"/>
  <c r="P1456" i="41"/>
  <c r="P1458" i="41"/>
  <c r="P1459" i="41"/>
  <c r="Q1323" i="41"/>
  <c r="L1350" i="41"/>
  <c r="N1346" i="41"/>
  <c r="J1346" i="41"/>
  <c r="J1324" i="41"/>
  <c r="J1325" i="41"/>
  <c r="G1346" i="41"/>
  <c r="Q1350" i="41"/>
  <c r="O1346" i="41"/>
  <c r="H1346" i="41"/>
  <c r="I1346" i="41"/>
  <c r="L1346" i="41"/>
  <c r="N1398" i="41"/>
  <c r="N1404" i="41"/>
  <c r="N1377" i="41"/>
  <c r="M1346" i="41"/>
  <c r="Q1425" i="41"/>
  <c r="Q1452" i="41"/>
  <c r="D186" i="68"/>
  <c r="X29" i="53"/>
  <c r="D1398" i="41"/>
  <c r="D228" i="68"/>
  <c r="C228" i="68"/>
  <c r="D1377" i="41"/>
  <c r="E1346" i="41"/>
  <c r="D1399" i="41"/>
  <c r="D229" i="68"/>
  <c r="C229" i="68"/>
  <c r="C204" i="68"/>
  <c r="T90" i="53"/>
  <c r="J1378" i="41"/>
  <c r="H1378" i="41"/>
  <c r="C201" i="68"/>
  <c r="T87" i="53"/>
  <c r="G1456" i="41"/>
  <c r="G1458" i="41"/>
  <c r="G1459" i="41"/>
  <c r="G1430" i="41"/>
  <c r="G1431" i="41"/>
  <c r="D1456" i="41"/>
  <c r="D1458" i="41"/>
  <c r="D1459" i="41"/>
  <c r="D1430" i="41"/>
  <c r="D1431" i="41"/>
  <c r="H1456" i="41"/>
  <c r="H1458" i="41"/>
  <c r="H1459" i="41"/>
  <c r="H1430" i="41"/>
  <c r="H1431" i="41"/>
  <c r="E1453" i="41"/>
  <c r="E1377" i="41"/>
  <c r="J1430" i="41"/>
  <c r="J1431" i="41"/>
  <c r="J1456" i="41"/>
  <c r="J1458" i="41"/>
  <c r="J1459" i="41"/>
  <c r="Q1426" i="41"/>
  <c r="M1347" i="41"/>
  <c r="G1347" i="41"/>
  <c r="Q1372" i="41"/>
  <c r="L1347" i="41"/>
  <c r="J1347" i="41"/>
  <c r="F1347" i="41"/>
  <c r="D1347" i="41"/>
  <c r="E1347" i="41"/>
  <c r="P1347" i="41"/>
  <c r="Q1347" i="41"/>
  <c r="N1347" i="41"/>
  <c r="I1347" i="41"/>
  <c r="O1347" i="41"/>
  <c r="K1347" i="41"/>
  <c r="H1347" i="41"/>
  <c r="C202" i="68"/>
  <c r="T89" i="53"/>
  <c r="F1378" i="41"/>
  <c r="N1430" i="41"/>
  <c r="N1431" i="41"/>
  <c r="I1430" i="41"/>
  <c r="I1431" i="41"/>
  <c r="H1405" i="41"/>
  <c r="L1430" i="41"/>
  <c r="L1431" i="41"/>
  <c r="M1430" i="41"/>
  <c r="M1431" i="41"/>
  <c r="C206" i="68"/>
  <c r="T92" i="53"/>
  <c r="C160" i="68"/>
  <c r="C157" i="68"/>
  <c r="E1430" i="41"/>
  <c r="E1431" i="41"/>
  <c r="D206" i="68"/>
  <c r="X92" i="53"/>
  <c r="D199" i="68"/>
  <c r="X84" i="53"/>
  <c r="P1430" i="41"/>
  <c r="P1431" i="41"/>
  <c r="C156" i="68"/>
  <c r="C163" i="68"/>
  <c r="E1458" i="41"/>
  <c r="E1459" i="41"/>
  <c r="C153" i="68"/>
  <c r="C158" i="68"/>
  <c r="C154" i="68"/>
  <c r="C159" i="68"/>
  <c r="C155" i="68"/>
  <c r="O1430" i="41"/>
  <c r="O1431" i="41"/>
  <c r="C152" i="68"/>
  <c r="C161" i="68"/>
  <c r="C186" i="68"/>
  <c r="T29" i="53"/>
  <c r="D1350" i="41"/>
  <c r="D198" i="68"/>
  <c r="X83" i="53"/>
  <c r="I1405" i="41"/>
  <c r="M1350" i="41"/>
  <c r="M1405" i="41"/>
  <c r="I1350" i="41"/>
  <c r="F1430" i="41"/>
  <c r="F1431" i="41"/>
  <c r="N1350" i="41"/>
  <c r="Q1429" i="41"/>
  <c r="Q1456" i="41"/>
  <c r="D190" i="68"/>
  <c r="X33" i="53"/>
  <c r="I1378" i="41"/>
  <c r="C200" i="68"/>
  <c r="T86" i="53"/>
  <c r="Q1324" i="41"/>
  <c r="Q1325" i="41"/>
  <c r="Q1375" i="41"/>
  <c r="Q1402" i="41"/>
  <c r="J1350" i="41"/>
  <c r="G1350" i="41"/>
  <c r="D205" i="68"/>
  <c r="X91" i="53"/>
  <c r="N1405" i="41"/>
  <c r="K1350" i="41"/>
  <c r="P1350" i="41"/>
  <c r="D204" i="68"/>
  <c r="X90" i="53"/>
  <c r="F1350" i="41"/>
  <c r="O1350" i="41"/>
  <c r="H1350" i="41"/>
  <c r="E1350" i="41"/>
  <c r="C205" i="68"/>
  <c r="T91" i="53"/>
  <c r="N1378" i="41"/>
  <c r="D1404" i="41"/>
  <c r="D1378" i="41"/>
  <c r="C234" i="68"/>
  <c r="C233" i="68"/>
  <c r="C196" i="68"/>
  <c r="T81" i="53"/>
  <c r="Q1377" i="41"/>
  <c r="Q1378" i="41"/>
  <c r="Q1399" i="41"/>
  <c r="D197" i="68"/>
  <c r="X82" i="53"/>
  <c r="E1405" i="41"/>
  <c r="C187" i="68"/>
  <c r="T30" i="53"/>
  <c r="Q1453" i="41"/>
  <c r="C197" i="68"/>
  <c r="T82" i="53"/>
  <c r="E1378" i="41"/>
  <c r="C190" i="68"/>
  <c r="T33" i="53"/>
  <c r="T23" i="53"/>
  <c r="Q1404" i="41"/>
  <c r="Q1405" i="41"/>
  <c r="Q1430" i="41"/>
  <c r="C191" i="68"/>
  <c r="D196" i="68"/>
  <c r="X81" i="53"/>
  <c r="D233" i="68"/>
  <c r="D1405" i="41"/>
  <c r="D234" i="68"/>
  <c r="D187" i="68"/>
  <c r="X30" i="53"/>
  <c r="X23" i="53"/>
  <c r="X34" i="53"/>
  <c r="Q1458" i="41"/>
  <c r="T34" i="53"/>
  <c r="Q1431" i="41"/>
  <c r="C192" i="68"/>
  <c r="D191" i="68"/>
  <c r="Q1459" i="4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Jessica Abella</author>
  </authors>
  <commentList>
    <comment ref="AA135" authorId="0" shapeId="0" xr:uid="{00000000-0006-0000-0900-000001000000}">
      <text>
        <r>
          <rPr>
            <b/>
            <sz val="9"/>
            <color indexed="81"/>
            <rFont val="Tahoma"/>
            <family val="2"/>
          </rPr>
          <t>Conditional allocation on AL 289 Cell</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Jessica Abella</author>
    <author>John Guo</author>
  </authors>
  <commentList>
    <comment ref="H135" authorId="0" shapeId="0" xr:uid="{00000000-0006-0000-0A00-000001000000}">
      <text>
        <r>
          <rPr>
            <sz val="9"/>
            <color indexed="81"/>
            <rFont val="Tahoma"/>
            <family val="2"/>
          </rPr>
          <t>First assumption is 15.7. 
Some feedstock may have &gt; H2 content . Then, it is assumed an increase of 0.05% on feedstock H2 content (i.e., a  product with minimun increase in H2 content).
The impact on hydrogen consumption is not significant.</t>
        </r>
      </text>
    </comment>
    <comment ref="D143" authorId="0" shapeId="0" xr:uid="{00000000-0006-0000-0A00-000002000000}">
      <text>
        <r>
          <rPr>
            <sz val="9"/>
            <color indexed="81"/>
            <rFont val="Tahoma"/>
            <family val="2"/>
          </rPr>
          <t>In general:
- The desulfurization reaction consumes 100–150 SCFB/wt% change
(17–25 Nm3/m3/wt% change); typically 135 SCFB/wt% change
- The denitrogenation reaction consumes 200–350
SCFB/wt% change (34–59 Nm3/m3/wt% change). Typically 300 SCFB/wt% change
-Typically, the heat released in hydrotreating
is about 0.02◦F/SCFB H2 consumed (0.002◦C/Nm3/m3H2)
Source: Chapter 8. Hydrotreating. Handbook of Petroleum and Processing</t>
        </r>
      </text>
    </comment>
    <comment ref="G263" authorId="0" shapeId="0" xr:uid="{00000000-0006-0000-0A00-000003000000}">
      <text>
        <r>
          <rPr>
            <sz val="9"/>
            <color indexed="81"/>
            <rFont val="Tahoma"/>
            <family val="2"/>
          </rPr>
          <t>First assumption is 13.8. 
Some feedstock may have &gt; H2 content . Then, it is assumed an increase of 0.05% on feedstock H2 content (i.e., a  product with minimun increase in H2 content).
The impact on hydrogen consumption is not significant.</t>
        </r>
      </text>
    </comment>
    <comment ref="D271" authorId="0" shapeId="0" xr:uid="{00000000-0006-0000-0A00-000004000000}">
      <text>
        <r>
          <rPr>
            <sz val="9"/>
            <color indexed="81"/>
            <rFont val="Tahoma"/>
            <family val="2"/>
          </rPr>
          <t>In general, the desulfurization reaction consumes 100–150 SCFB/wt% change
(17–25 Nm3/m3/wt% change) and the denitrogenation reaction consumes 200–350
SCFB/wt% change (34–59 Nm3/m3/wt% change). Typically, the heat released in hydrotreating
is about 0.02◦F/SCFB H2 consumed (0.002◦C/Nm3/m3H2)
Source: Chapter 8. Hydrotreating. Handbook of Petroleum and Processing</t>
        </r>
      </text>
    </comment>
    <comment ref="D327" authorId="0" shapeId="0" xr:uid="{00000000-0006-0000-0A00-000005000000}">
      <text>
        <r>
          <rPr>
            <sz val="9"/>
            <color indexed="81"/>
            <rFont val="Tahoma"/>
            <family val="2"/>
          </rPr>
          <t>First assumption is 13.8. 
Some feedstock may have &gt; H2 content . Then, it is assumed an increase of 0.05% on feedstock H2 content (i.e., a  product with minimun increase in H2 content)</t>
        </r>
      </text>
    </comment>
    <comment ref="D333" authorId="0" shapeId="0" xr:uid="{00000000-0006-0000-0A00-000006000000}">
      <text>
        <r>
          <rPr>
            <sz val="9"/>
            <color indexed="81"/>
            <rFont val="Tahoma"/>
            <family val="2"/>
          </rPr>
          <t>In general, the desulphurization reaction consumes 100–150 SCFB/wt% change
(17–25 Nm3/m3/wt% change) and the denitrogenation reaction consumes 200–350
SCFB/wt% change (34–59 Nm3/m3/wt% change). Typically, the heat released in hydrotreating
is about 0.02◦F/SCFB H2 consumed (0.002◦C/Nm3/m3H2)
Source: Chapter 8. Hydrotreating. Handbook of Petroleum and Processing</t>
        </r>
      </text>
    </comment>
    <comment ref="I361" authorId="0" shapeId="0" xr:uid="{00000000-0006-0000-0A00-000007000000}">
      <text>
        <r>
          <rPr>
            <sz val="9"/>
            <color indexed="81"/>
            <rFont val="Tahoma"/>
            <family val="2"/>
          </rPr>
          <t>- Typically the reactor is operated to have a conversion efficiency of 40-50%, meaning that 40-50% of the reactor product has a boiling point below 400F (205ºC).
- A second stage reactor can be used to tranform the botoms and increase efficiency to 50-70%</t>
        </r>
      </text>
    </comment>
    <comment ref="D391" authorId="0" shapeId="0" xr:uid="{00000000-0006-0000-0A00-000008000000}">
      <text>
        <r>
          <rPr>
            <sz val="9"/>
            <color indexed="81"/>
            <rFont val="Tahoma"/>
            <family val="2"/>
          </rPr>
          <t>This calculation assumes that fuel gas production from hydrotreating reactions are included in  this % of cracking.</t>
        </r>
      </text>
    </comment>
    <comment ref="J391" authorId="0" shapeId="0" xr:uid="{00000000-0006-0000-0A00-000009000000}">
      <text>
        <r>
          <rPr>
            <sz val="9"/>
            <color indexed="81"/>
            <rFont val="Tahoma"/>
            <family val="2"/>
          </rPr>
          <t>This calculation is using Hydrocracking correlations from Gary et al, 2007</t>
        </r>
      </text>
    </comment>
    <comment ref="J400" authorId="0" shapeId="0" xr:uid="{00000000-0006-0000-0A00-00000A000000}">
      <text>
        <r>
          <rPr>
            <sz val="9"/>
            <color indexed="81"/>
            <rFont val="Tahoma"/>
            <family val="2"/>
          </rPr>
          <t>In general, the desulphurization reaction consumes 100–150 SCFB/wt% change
(17–25 Nm3/m3/wt% change) and the denitrogenation reaction consumes 200–350
SCFB/wt% change (34–59 Nm3/m3/wt% change). Typically, the heat released in hydrotreating
is about 0.02◦F/SCFB H2 consumed (0.002◦C/Nm3/m3H2)
Source: Chapter 8. Hydrotreating. Handbook of Petroleum and Processing</t>
        </r>
      </text>
    </comment>
    <comment ref="D407" authorId="0" shapeId="0" xr:uid="{00000000-0006-0000-0A00-00000B000000}">
      <text>
        <r>
          <rPr>
            <sz val="9"/>
            <color indexed="81"/>
            <rFont val="Tahoma"/>
            <family val="2"/>
          </rPr>
          <t>In general, the desulphurization reaction consumes 100–150 SCFB/wt% change
(17–25 Nm3/m3/wt% change) and the denitrogenation reaction consumes 200–350
SCFB/wt% change (34–59 Nm3/m3/wt% change). Typically, the heat released in hydrotreating
is about 0.02◦F/SCFB H2 consumed (0.002◦C/Nm3/m3H2)
Source: Chapter 8. Hydrotreating. Handbook of Petroleum and Processing</t>
        </r>
      </text>
    </comment>
    <comment ref="J651" authorId="0" shapeId="0" xr:uid="{00000000-0006-0000-0A00-00000C000000}">
      <text>
        <r>
          <rPr>
            <sz val="9"/>
            <color indexed="81"/>
            <rFont val="Tahoma"/>
            <family val="2"/>
          </rPr>
          <t xml:space="preserve">First assumption is 12.5. This hydrogen content shows to have positive effects on FCC process.
Some feedstock may have &gt; H2 content. 
The impact on hydrogen consumption due to this assumption in total model estimates is not significant </t>
        </r>
      </text>
    </comment>
    <comment ref="D678" authorId="0" shapeId="0" xr:uid="{00000000-0006-0000-0A00-00000D000000}">
      <text>
        <r>
          <rPr>
            <sz val="9"/>
            <color indexed="81"/>
            <rFont val="Tahoma"/>
            <family val="2"/>
          </rPr>
          <t>In general:
- The desulfurization reaction consumes 100–150 SCFB/wt% change
(17–25 Nm3/m3/wt% change); typically 135 SCFB/wt% change
- The denitrogenation reaction consumes 200–350
SCFB/wt% change (34–59 Nm3/m3/wt% change). Typically 300 SCFB/wt% change
-Typically, the heat released in hydrotreating
is about 0.02◦F/SCFB H2 consumed (0.002◦C/Nm3/m3H2)
Source: Chapter 8. Hydrotreating. Handbook of Petroleum and Processing</t>
        </r>
      </text>
    </comment>
    <comment ref="C693" authorId="0" shapeId="0" xr:uid="{00000000-0006-0000-0A00-00000E000000}">
      <text>
        <r>
          <rPr>
            <b/>
            <sz val="9"/>
            <color indexed="81"/>
            <rFont val="Tahoma"/>
            <family val="2"/>
          </rPr>
          <t>"</t>
        </r>
        <r>
          <rPr>
            <sz val="9"/>
            <color indexed="81"/>
            <rFont val="Tahoma"/>
            <family val="2"/>
          </rPr>
          <t>During the process, coke is deposited on the catalysts. The used catalyst is continuously regenerated for reuse, by burning off the coke to either a mixture of carbon monoxide (CO) and carbon dioxide (CO2) or completely to CO2. 
If burned off to a CO/CO2-mixture, the CO is combusted to CO2 in a separate CO-burning waste heat recovery boiler to produce steam. 
Fluid catalytic crackers are net energy users, due to the energy needed to preheat the feed stream. However, modern FCC designs also produce steam and  ower  if power recovery turbines are installed) as by-products. The power recovery turbines can also be used to compress the air for the cracker. The recovery turbine is installed prior to the CO or waste heat boiler, if the FCC works at pressures higher than 15 psig (Gary and Handwerk, 1994)".
Source: Worrell and Galitsky, 2005</t>
        </r>
      </text>
    </comment>
    <comment ref="F927" authorId="0" shapeId="0" xr:uid="{00000000-0006-0000-0A00-00000F000000}">
      <text>
        <r>
          <rPr>
            <sz val="9"/>
            <color indexed="81"/>
            <rFont val="Tahoma"/>
            <family val="2"/>
          </rPr>
          <t>First assumption is 15.70.
Some feedstock may have &gt; H2 content . Then, it is assumed an increase of 0.05% on feedstock H2 content (i.e., a  product with minimun increase in H2 content
The impact on hydrogen consumption is not significant.</t>
        </r>
      </text>
    </comment>
    <comment ref="D935" authorId="0" shapeId="0" xr:uid="{00000000-0006-0000-0A00-000010000000}">
      <text>
        <r>
          <rPr>
            <sz val="9"/>
            <color indexed="81"/>
            <rFont val="Tahoma"/>
            <family val="2"/>
          </rPr>
          <t>In general:
- The desulfurization reaction consumes 100–150 SCFB/wt% change
(17–25 Nm3/m3/wt% change); typically 135 SCFB/wt% change
- The denitrogenation reaction consumes 200–350
SCFB/wt% change (34–59 Nm3/m3/wt% change). Typically 300 SCFB/wt% change
-Typically, the heat released in hydrotreating
is about 0.02◦F/SCFB H2 consumed (0.002◦C/Nm3/m3H2)
Source: Chapter 8. Hydrotreating. Handbook of Petroleum and Processing</t>
        </r>
      </text>
    </comment>
    <comment ref="P976" authorId="0" shapeId="0" xr:uid="{00000000-0006-0000-0A00-000011000000}">
      <text>
        <r>
          <rPr>
            <b/>
            <sz val="9"/>
            <color indexed="81"/>
            <rFont val="Tahoma"/>
            <family val="2"/>
          </rPr>
          <t>Jessica Abella:</t>
        </r>
        <r>
          <rPr>
            <sz val="9"/>
            <color indexed="81"/>
            <rFont val="Tahoma"/>
            <family val="2"/>
          </rPr>
          <t xml:space="preserve">
Used to reduce sulfur content of stack gases to less than 1500 ppm.
Flue gas desulfurization aims to reduce sulfur oxides emissions from the satck gases of the refinery as well.  It reduces to 150-1500 ppm range, for pollution control. The process is particularly useful for refineries and power plants burning high-sulfur  heavy fuel oil
</t>
        </r>
      </text>
    </comment>
    <comment ref="M990" authorId="0" shapeId="0" xr:uid="{00000000-0006-0000-0A00-000012000000}">
      <text>
        <r>
          <rPr>
            <sz val="9"/>
            <color indexed="81"/>
            <rFont val="Tahoma"/>
            <family val="2"/>
          </rPr>
          <t>Value is 81.14 for dilbit</t>
        </r>
      </text>
    </comment>
    <comment ref="H1006" authorId="0" shapeId="0" xr:uid="{00000000-0006-0000-0A00-000013000000}">
      <text>
        <r>
          <rPr>
            <sz val="9"/>
            <color indexed="81"/>
            <rFont val="Tahoma"/>
            <family val="2"/>
          </rPr>
          <t>Conversion Claus Reaction 70%.
It depends on the number of catalytic stages in the unit.
An average Claus plant with 3 catalytic gases may recover approximately 95-97% of the sulphur contained in the acid gas fed to the unit (source: Refining Processes Handbook, p.223).
However, the table with sulfur recovery unit yields provide a value of 0.8478  (source: Refining Processes Handbook, p.225).</t>
        </r>
      </text>
    </comment>
    <comment ref="M1098" authorId="0" shapeId="0" xr:uid="{00000000-0006-0000-0A00-000014000000}">
      <text>
        <r>
          <rPr>
            <sz val="9"/>
            <color indexed="81"/>
            <rFont val="Tahoma"/>
            <family val="2"/>
          </rPr>
          <t>Unit is kg per day</t>
        </r>
      </text>
    </comment>
    <comment ref="D1419" authorId="1" shapeId="0" xr:uid="{00000000-0006-0000-0A00-000015000000}">
      <text>
        <r>
          <rPr>
            <b/>
            <sz val="9"/>
            <color indexed="81"/>
            <rFont val="Tahoma"/>
            <family val="2"/>
          </rPr>
          <t>This includes only the carbon-rich portion of the off-gas stream.</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Jessica Abella</author>
    <author>John Guo</author>
  </authors>
  <commentList>
    <comment ref="H124" authorId="0" shapeId="0" xr:uid="{00000000-0006-0000-0E00-000001000000}">
      <text>
        <r>
          <rPr>
            <sz val="9"/>
            <color indexed="81"/>
            <rFont val="Tahoma"/>
            <family val="2"/>
          </rPr>
          <t xml:space="preserve">First assumption is 15.7. 
Some feedstock may have &gt; H2 content . Then, it is assumed an increase of 0.05% on feedstock H2 content (i.e., a  product withminimun increase in H2 content
The impact on hydrogen consumption is not significant </t>
        </r>
      </text>
    </comment>
    <comment ref="P1035" authorId="0" shapeId="0" xr:uid="{00000000-0006-0000-0E00-000002000000}">
      <text>
        <r>
          <rPr>
            <b/>
            <sz val="9"/>
            <color indexed="81"/>
            <rFont val="Tahoma"/>
            <family val="2"/>
          </rPr>
          <t>Jessica Abella:</t>
        </r>
        <r>
          <rPr>
            <sz val="9"/>
            <color indexed="81"/>
            <rFont val="Tahoma"/>
            <family val="2"/>
          </rPr>
          <t xml:space="preserve">
Used to reduce sulfur content of stack gases to less than 1500 ppm.
Flue gas desulfurization aims to reduce sulfur oxides emissions from the satck gases of the refinery as well.  It reduces to 150-1500 ppm range, for pollution control. The process is particularly useful for refineries and power plants burning high-sulfur  heavy fuel oil
</t>
        </r>
      </text>
    </comment>
    <comment ref="M1165" authorId="0" shapeId="0" xr:uid="{00000000-0006-0000-0E00-000003000000}">
      <text>
        <r>
          <rPr>
            <b/>
            <sz val="9"/>
            <color indexed="81"/>
            <rFont val="Tahoma"/>
            <family val="2"/>
          </rPr>
          <t>Jessica Abella:</t>
        </r>
        <r>
          <rPr>
            <sz val="9"/>
            <color indexed="81"/>
            <rFont val="Tahoma"/>
            <family val="2"/>
          </rPr>
          <t xml:space="preserve">
kg per day</t>
        </r>
      </text>
    </comment>
    <comment ref="D1480" authorId="1" shapeId="0" xr:uid="{00000000-0006-0000-0E00-000004000000}">
      <text>
        <r>
          <rPr>
            <b/>
            <sz val="9"/>
            <color indexed="81"/>
            <rFont val="Tahoma"/>
            <family val="2"/>
          </rPr>
          <t>This includes only the carbon-rich portion of the off-gas stream.</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Jessica Abella</author>
    <author>John Guo</author>
  </authors>
  <commentList>
    <comment ref="C222" authorId="0" shapeId="0" xr:uid="{00000000-0006-0000-1100-000001000000}">
      <text>
        <r>
          <rPr>
            <b/>
            <i/>
            <sz val="9"/>
            <color indexed="81"/>
            <rFont val="Tahoma"/>
            <family val="2"/>
          </rPr>
          <t>.Worrell and Galitsky, 2005</t>
        </r>
        <r>
          <rPr>
            <sz val="9"/>
            <color indexed="81"/>
            <rFont val="Tahoma"/>
            <family val="2"/>
          </rPr>
          <t xml:space="preserve">
"During the process, coke is deposited on the catalysts. The used catalyst is continuously regenerated for reuse, by burning off the coke to either a mixture of carbon monoxide (CO) and carbon dioxide (CO2) or completely to CO2. 
If burned off to a CO/CO2-mixture, the CO is combusted to CO2 in a separate CO-burning waste heat recovery boiler to produce steam. 
Fluid catalytic crackers are net energy users, due to the energy needed to preheat the feed stream. However, modern FCC designs also produce steam and  ower  if power recovery turbines are installed) as by-products. The power recovery turbines can also be used to compress the air for the cracker. The recovery turbine is installed prior to the CO or waste heat boiler, if the FCC works at pressures higher than 15 psig (Gary and Handwerk, 1994)".</t>
        </r>
      </text>
    </comment>
    <comment ref="K230" authorId="0" shapeId="0" xr:uid="{00000000-0006-0000-1100-000002000000}">
      <text>
        <r>
          <rPr>
            <sz val="9"/>
            <color indexed="81"/>
            <rFont val="Tahoma"/>
            <family val="2"/>
          </rPr>
          <t xml:space="preserve">Assuming FCC regenerator  flue gases embodied energy is used to supply electricity  (using turboexpander) and steam process requirements (using waste heat boilers). </t>
        </r>
      </text>
    </comment>
    <comment ref="L230" authorId="0" shapeId="0" xr:uid="{00000000-0006-0000-1100-000003000000}">
      <text>
        <r>
          <rPr>
            <sz val="9"/>
            <color indexed="81"/>
            <rFont val="Tahoma"/>
            <family val="2"/>
          </rPr>
          <t>Steam production thorught CO/waste heat boiler. It does not included energy recovery with turboexpander</t>
        </r>
      </text>
    </comment>
    <comment ref="N230" authorId="0" shapeId="0" xr:uid="{00000000-0006-0000-1100-000004000000}">
      <text>
        <r>
          <rPr>
            <sz val="9"/>
            <color indexed="81"/>
            <rFont val="Tahoma"/>
            <family val="2"/>
          </rPr>
          <t>Steam production thorught CO/waste heat boiler. It does not included energy recovery with turboexpander</t>
        </r>
      </text>
    </comment>
    <comment ref="K232" authorId="0" shapeId="0" xr:uid="{00000000-0006-0000-1100-000005000000}">
      <text>
        <r>
          <rPr>
            <sz val="9"/>
            <color indexed="81"/>
            <rFont val="Tahoma"/>
            <family val="2"/>
          </rPr>
          <t xml:space="preserve">Assuming FCC regenerator  flue gases embodied energy is used to supply electricity  (using turboexpander) and steam process requirements (using waste heat boilers). </t>
        </r>
      </text>
    </comment>
    <comment ref="L254" authorId="0" shapeId="0" xr:uid="{00000000-0006-0000-1100-000006000000}">
      <text>
        <r>
          <rPr>
            <sz val="9"/>
            <color indexed="81"/>
            <rFont val="Tahoma"/>
            <family val="2"/>
          </rPr>
          <t>Steam and process heat</t>
        </r>
      </text>
    </comment>
    <comment ref="O371" authorId="1" shapeId="0" xr:uid="{00000000-0006-0000-1100-000007000000}">
      <text>
        <r>
          <rPr>
            <sz val="9"/>
            <color indexed="81"/>
            <rFont val="Tahoma"/>
            <family val="2"/>
          </rPr>
          <t xml:space="preserve">This is for the carbon-rich C1-C5, sulfur free stream. Assuming H2 and N2 concentrations are negligible.
</t>
        </r>
      </text>
    </comment>
    <comment ref="O388" authorId="1" shapeId="0" xr:uid="{00000000-0006-0000-1100-000008000000}">
      <text>
        <r>
          <rPr>
            <sz val="9"/>
            <color indexed="81"/>
            <rFont val="Tahoma"/>
            <family val="2"/>
          </rPr>
          <t xml:space="preserve">This is for the carbon-rich C1-C5, sulfur free stream. Assuming H2 and N2 concentrations are negligible.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Jessica Abella</author>
  </authors>
  <commentList>
    <comment ref="D235" authorId="0" shapeId="0" xr:uid="{00000000-0006-0000-1400-000001000000}">
      <text>
        <r>
          <rPr>
            <b/>
            <sz val="9"/>
            <color indexed="81"/>
            <rFont val="Tahoma"/>
            <family val="2"/>
          </rPr>
          <t>Jessica Abella:</t>
        </r>
        <r>
          <rPr>
            <sz val="9"/>
            <color indexed="81"/>
            <rFont val="Tahoma"/>
            <family val="2"/>
          </rPr>
          <t xml:space="preserve">
Modify this based on GREET Comparison for Refinery Stage</t>
        </r>
      </text>
    </comment>
    <comment ref="F269" authorId="0" shapeId="0" xr:uid="{00000000-0006-0000-1400-000002000000}">
      <text>
        <r>
          <rPr>
            <b/>
            <sz val="9"/>
            <color indexed="81"/>
            <rFont val="Tahoma"/>
            <family val="2"/>
          </rPr>
          <t>Jessica Abella:</t>
        </r>
        <r>
          <rPr>
            <sz val="9"/>
            <color indexed="81"/>
            <rFont val="Tahoma"/>
            <family val="2"/>
          </rPr>
          <t xml:space="preserve">
Assume cooling water is 40 times the refinery feed rate (in liters or gallons). Refinery feed rate is crude oil feed rate to atmospheric distillation column</t>
        </r>
      </text>
    </comment>
    <comment ref="G269" authorId="0" shapeId="0" xr:uid="{00000000-0006-0000-1400-000003000000}">
      <text>
        <r>
          <rPr>
            <b/>
            <sz val="9"/>
            <color indexed="81"/>
            <rFont val="Tahoma"/>
            <family val="2"/>
          </rPr>
          <t>Jessica Abella:</t>
        </r>
        <r>
          <rPr>
            <sz val="9"/>
            <color indexed="81"/>
            <rFont val="Tahoma"/>
            <family val="2"/>
          </rPr>
          <t xml:space="preserve">
Assume waste water is 0.95 times the refinery feed rate (in liters or gallons). Refinery feed rate is crude oil feed rate to atmospheric distillation column</t>
        </r>
      </text>
    </comment>
  </commentList>
</comments>
</file>

<file path=xl/sharedStrings.xml><?xml version="1.0" encoding="utf-8"?>
<sst xmlns="http://schemas.openxmlformats.org/spreadsheetml/2006/main" count="14778" uniqueCount="2131">
  <si>
    <t>Blowdown Systems</t>
  </si>
  <si>
    <t>Uncontrolled</t>
  </si>
  <si>
    <t>No considered in this version</t>
  </si>
  <si>
    <t>Vapor recovery system</t>
  </si>
  <si>
    <t>VOC (less than 1% of the total hydrocarbons is methane)</t>
  </si>
  <si>
    <t xml:space="preserve">Nox </t>
  </si>
  <si>
    <t>EPA AP 42 Emission Factors</t>
  </si>
  <si>
    <t>Oil/Water separators</t>
  </si>
  <si>
    <t>Controlled</t>
  </si>
  <si>
    <t>kg/10 E03 L Refinery Feed</t>
  </si>
  <si>
    <t>kg/10E06  L waste water</t>
  </si>
  <si>
    <t>kg/10E06  L cooling water</t>
  </si>
  <si>
    <t>g CO2e / bbl of Crude</t>
  </si>
  <si>
    <t>g CO2e / MJ of Crude</t>
  </si>
  <si>
    <t>g CO2e / MJ of Product</t>
  </si>
  <si>
    <t xml:space="preserve">Refinery Processes </t>
  </si>
  <si>
    <t>Refinery Processes +Feedstock</t>
  </si>
  <si>
    <t>Feedstock (10 E03 L= 1 m3)</t>
  </si>
  <si>
    <t>kg CO2e /d</t>
  </si>
  <si>
    <t>Sulfur (emissions per kg of sulfur)</t>
  </si>
  <si>
    <t>Total Steam Coking Refinery</t>
  </si>
  <si>
    <t>Hydrorefinery Energy Balance</t>
  </si>
  <si>
    <t>Total Steam Hydrorefinery</t>
  </si>
  <si>
    <t>Total SMR Hydrogen 
Coking Refinery</t>
  </si>
  <si>
    <t>Total SMR Hydrogen 
Hydrorefinery</t>
  </si>
  <si>
    <t xml:space="preserve">Coking Refinery </t>
  </si>
  <si>
    <t xml:space="preserve">Hydrorefinery </t>
  </si>
  <si>
    <t>Residum</t>
  </si>
  <si>
    <t>Light Ends</t>
  </si>
  <si>
    <t>Functional unit: Day</t>
  </si>
  <si>
    <t>CH Resid</t>
  </si>
  <si>
    <t>Total included Feedstock</t>
  </si>
  <si>
    <t xml:space="preserve">Total Refinery Processes </t>
  </si>
  <si>
    <t xml:space="preserve">EP </t>
  </si>
  <si>
    <t>Energy consumption by process from Hydrorefinery_Process Energy sheet</t>
  </si>
  <si>
    <t>Ep for process units that produce fuel gas may be increased because of energy demand for gas treatment and sulfur recovery processes</t>
  </si>
  <si>
    <t>MJ/Kg</t>
  </si>
  <si>
    <t>Heating Value of Crude</t>
  </si>
  <si>
    <t>f(d)=</t>
  </si>
  <si>
    <t>H=</t>
  </si>
  <si>
    <t>Technical Data Book- Petroleum Refining</t>
  </si>
  <si>
    <t>American Petroleum Institute - Refining Dept</t>
  </si>
  <si>
    <t>Chapter 14</t>
  </si>
  <si>
    <t>Net Heat of Combustion eq. 14A1.3-3</t>
  </si>
  <si>
    <t>LHV 25C and 1 atm</t>
  </si>
  <si>
    <t>Equation results may be corrected for water present in the fuel or impurities significantly different from the reference</t>
  </si>
  <si>
    <t>H= a+b*(f(d))-c*(f(d))^2+d*(f(d))^3  kJ/kg</t>
  </si>
  <si>
    <t>Claus Recovery Efficiency</t>
  </si>
  <si>
    <t>Wm*</t>
  </si>
  <si>
    <t>Weight in mass basis accounting for all output streams</t>
  </si>
  <si>
    <t>Wmx</t>
  </si>
  <si>
    <t>Weight in mass bassis accounting for x stream (e.g. G= off gases, H=Reformer Hydrogen, C= Coke)</t>
  </si>
  <si>
    <t>Weight in mass basis accounting for the selected streams for allocation</t>
  </si>
  <si>
    <t>grams per MJ of Hydrogen</t>
  </si>
  <si>
    <t>EIA reports a emission factor of 60.85 grams per MJ (64.20 Kg CO2 per mmBtu) and  Environment Canada reports an emission factor of 49.68 without units</t>
  </si>
  <si>
    <t>Process Energy Shares</t>
  </si>
  <si>
    <t>(MJ/d)</t>
  </si>
  <si>
    <t>Total Refinery</t>
  </si>
  <si>
    <t>Sulfur removed</t>
  </si>
  <si>
    <t>Kg/day</t>
  </si>
  <si>
    <t xml:space="preserve">Sulphur displaced to gas </t>
  </si>
  <si>
    <t>S distribution in Liquids wt%</t>
  </si>
  <si>
    <t>S wt% on each liquid</t>
  </si>
  <si>
    <t>S distribution (kg of S)</t>
  </si>
  <si>
    <t>Sulfur in feed</t>
  </si>
  <si>
    <t>Hydrogen in H2S</t>
  </si>
  <si>
    <t>H in HC gas</t>
  </si>
  <si>
    <t>H2 requirement for gas (CH+H2S)</t>
  </si>
  <si>
    <t>Hydrogen for sulfur removal (make H2S)</t>
  </si>
  <si>
    <t>H distribution in Liquids wt%</t>
  </si>
  <si>
    <t>H2 distribution (kg of H)</t>
  </si>
  <si>
    <t>Improve H2 content in HC Residum  Liquid products</t>
  </si>
  <si>
    <t xml:space="preserve">Calculation of Product Qualities </t>
  </si>
  <si>
    <t>S liquid contribution  
kg S per 100 Kg of Liquids Products</t>
  </si>
  <si>
    <t>H2 liquid contribution  
kg H2 per 100 Kg of Liquids Products</t>
  </si>
  <si>
    <t>Swing cuts</t>
  </si>
  <si>
    <t>Modifications on Total HC Liquids because of swing cuts</t>
  </si>
  <si>
    <t xml:space="preserve">Heat content of Boiler Steam: </t>
  </si>
  <si>
    <t>Total Fuel Gases</t>
  </si>
  <si>
    <t>Verification</t>
  </si>
  <si>
    <t>Mass Verification</t>
  </si>
  <si>
    <t>Total Reformer Hydrogen Emissions</t>
  </si>
  <si>
    <t>Products Energy Output (MJ/d)</t>
  </si>
  <si>
    <t>http://www.ec.gc.ca/soer-ree/English/Indicators/Issues/Climate/Tech_Sup/ccsup01_e.cfm</t>
  </si>
  <si>
    <t xml:space="preserve">[2,a] North American Natural Gas upstream emissions factors correspond to GREET selection #1 on Input!C128 </t>
  </si>
  <si>
    <t>Natural Gas as a Processing Fuel (produced in North America)[2,a,b&amp;c]</t>
  </si>
  <si>
    <t>Utility/Industrial Boiler (&gt;100 mmBtu/hr input)[3]</t>
  </si>
  <si>
    <t>Small Industrial Boiler (10-100 mmBtu/hr input)[3]</t>
  </si>
  <si>
    <t>Fuel Gas</t>
  </si>
  <si>
    <t>Reformer Hydrogen</t>
  </si>
  <si>
    <t>Natural Gas</t>
  </si>
  <si>
    <t>GREET Emissions Factors</t>
  </si>
  <si>
    <t>MJ H2</t>
  </si>
  <si>
    <t>MJ Gas/ MJ H2</t>
  </si>
  <si>
    <t>MJ Steam/ MJ H2</t>
  </si>
  <si>
    <t>Process Fuel Consumption</t>
  </si>
  <si>
    <t>SMR Make up</t>
  </si>
  <si>
    <t>Fuel gas for steam</t>
  </si>
  <si>
    <t>Power for steam</t>
  </si>
  <si>
    <t>MJ Power/ MJ H2</t>
  </si>
  <si>
    <t>MJ Power/ MJ steam</t>
  </si>
  <si>
    <t>MJ Power/ kg steam</t>
  </si>
  <si>
    <t>Carbon and Sulfur Ratios of Pollutants</t>
  </si>
  <si>
    <t>Carbon ratio of VOC</t>
  </si>
  <si>
    <t>Carbon ration of CO</t>
  </si>
  <si>
    <t>Carbon ratio of CH4</t>
  </si>
  <si>
    <t>Natural Gas as a Processing Fuel (produced in North America)[2]</t>
  </si>
  <si>
    <t>grams per mmBtu of fuel burned</t>
  </si>
  <si>
    <t xml:space="preserve">grams per mmBtu of fuel </t>
  </si>
  <si>
    <t>C ratio</t>
  </si>
  <si>
    <t>(% by wt)</t>
  </si>
  <si>
    <t>Sulfur ratio of SO2</t>
  </si>
  <si>
    <t>Carbon ratio of CO2</t>
  </si>
  <si>
    <t>Grams per mmBtu of Electricity Available at User Sites (wall outlets)</t>
  </si>
  <si>
    <t>NO2</t>
  </si>
  <si>
    <t>-</t>
  </si>
  <si>
    <t>Fuel-Cycle Emissions of Electric Generation</t>
  </si>
  <si>
    <t>Fuel Cycle Emissions of Natural Gas production and Natural Gas combustion</t>
  </si>
  <si>
    <t>Coking Refinery Energy Balance</t>
  </si>
  <si>
    <t xml:space="preserve">grams per MJ of fuel </t>
  </si>
  <si>
    <t>grams per MJ of fuel burned</t>
  </si>
  <si>
    <t>Grams per MJ of Electricity Available at User Sites (wall outlets)</t>
  </si>
  <si>
    <t>NG Upstream Emissions</t>
  </si>
  <si>
    <t>NG Combustion Emissions</t>
  </si>
  <si>
    <t>Combustion Small Industrial Boiler</t>
  </si>
  <si>
    <t>Combustion Industrial Boiler&gt;100 MMBtu/HR</t>
  </si>
  <si>
    <t>Grams per MJ of Steam</t>
  </si>
  <si>
    <t>NG Emissions</t>
  </si>
  <si>
    <t>Power Emissions</t>
  </si>
  <si>
    <t>Steam Emissions</t>
  </si>
  <si>
    <t>Grams per MJ of Hydrogen</t>
  </si>
  <si>
    <t>GHGs CO2e</t>
  </si>
  <si>
    <t>Crude Emissions</t>
  </si>
  <si>
    <t>Power</t>
  </si>
  <si>
    <t>Gas Emissions</t>
  </si>
  <si>
    <t>Hydrogen Emissions</t>
  </si>
  <si>
    <t>MJ/bbl</t>
  </si>
  <si>
    <t>Emissions of Reformer Hydrogen if Energy Allocated on it</t>
  </si>
  <si>
    <t>MJ / MJ Reformer Hydrogen</t>
  </si>
  <si>
    <t>Total steam</t>
  </si>
  <si>
    <t>Sulfur Recovery</t>
  </si>
  <si>
    <t>% into sulfur</t>
  </si>
  <si>
    <t>Sulfur</t>
  </si>
  <si>
    <t>Stack Gases</t>
  </si>
  <si>
    <t>Treated gas after incineration</t>
  </si>
  <si>
    <t>MJ/day</t>
  </si>
  <si>
    <t>S kg/d</t>
  </si>
  <si>
    <t>H2S kg/d</t>
  </si>
  <si>
    <t>Sulfur Recovery Unit Yield</t>
  </si>
  <si>
    <t>Claus Tail Gas Treatment Unit Yields</t>
  </si>
  <si>
    <t>Treated staked gas</t>
  </si>
  <si>
    <t>wt Fraction of feed</t>
  </si>
  <si>
    <t xml:space="preserve">Claus Tail Gas Treatment </t>
  </si>
  <si>
    <t>kWh/Ton Sulfur produced</t>
  </si>
  <si>
    <t>Steam requirement</t>
  </si>
  <si>
    <t>Total Sulfur production</t>
  </si>
  <si>
    <t>Treated Gases to incinerator</t>
  </si>
  <si>
    <t>Fuel Gas treatment, Sulfur Recovery and Pollution control</t>
  </si>
  <si>
    <t>Clean Fuel Gas</t>
  </si>
  <si>
    <t>Energy Shares</t>
  </si>
  <si>
    <t>Feedstock</t>
  </si>
  <si>
    <t>Verification Total</t>
  </si>
  <si>
    <t xml:space="preserve">H2 </t>
  </si>
  <si>
    <t>Total Energy included Feedstock</t>
  </si>
  <si>
    <t>Total Process fuels</t>
  </si>
  <si>
    <t>Total included feedstock</t>
  </si>
  <si>
    <t>Electrical Base Load Correction for refinery (a + b * total unit kwh)</t>
  </si>
  <si>
    <t>Net Process Energy Requierements including:</t>
  </si>
  <si>
    <t xml:space="preserve">Hydrogen consumption plus </t>
  </si>
  <si>
    <t>losses</t>
  </si>
  <si>
    <t>Process Unit</t>
  </si>
  <si>
    <t>Process Energy Inputs and Outputs</t>
  </si>
  <si>
    <t>Isomerization Unit</t>
  </si>
  <si>
    <t>Refining Processes Handbook p.302</t>
  </si>
  <si>
    <t>Table 10-8</t>
  </si>
  <si>
    <t>Utility Consumption for Steam Boilers per Tonne HP (900 psig) steam</t>
  </si>
  <si>
    <t>Fuel</t>
  </si>
  <si>
    <t>mmBtu</t>
  </si>
  <si>
    <t xml:space="preserve">Utility </t>
  </si>
  <si>
    <t>Consumption</t>
  </si>
  <si>
    <t>kWhr</t>
  </si>
  <si>
    <t>Other Facilities</t>
  </si>
  <si>
    <t>kWh/Ton steam</t>
  </si>
  <si>
    <t>VOC</t>
  </si>
  <si>
    <t>CO</t>
  </si>
  <si>
    <t>NOx</t>
  </si>
  <si>
    <t>PM10</t>
  </si>
  <si>
    <t>PM2.5</t>
  </si>
  <si>
    <t>SOx</t>
  </si>
  <si>
    <t>N2O</t>
  </si>
  <si>
    <t>Utility/Industrial Boiler (&gt;100 mmBtu/hr input)</t>
  </si>
  <si>
    <t>Small Industrial Boiler (10-100 mmBtu/hr input)</t>
  </si>
  <si>
    <t>CO2 (w/ C in VOC &amp; CO)</t>
  </si>
  <si>
    <t>Steam requirement (metric)</t>
  </si>
  <si>
    <t>kg steam/kg steam produced</t>
  </si>
  <si>
    <t>mmBtu/Ton steam produced</t>
  </si>
  <si>
    <t>MJ/kg steam produced</t>
  </si>
  <si>
    <t>Steam requirement including steam generation</t>
  </si>
  <si>
    <t>mmBTU gas/Ton HP (900) psig steam</t>
  </si>
  <si>
    <t>MJ gas/kg steam</t>
  </si>
  <si>
    <t>MJ gas/MJ steam</t>
  </si>
  <si>
    <t>Process Energy</t>
  </si>
  <si>
    <t>Hydrogen Production</t>
  </si>
  <si>
    <t>Steam boiler efficiency</t>
  </si>
  <si>
    <t>Megajoule (MJ)</t>
  </si>
  <si>
    <t>Kilowatt hour (KwH)</t>
  </si>
  <si>
    <t>Power Consumption</t>
  </si>
  <si>
    <t>Total Steam requirement</t>
  </si>
  <si>
    <t>Total Hydrogen requirement</t>
  </si>
  <si>
    <t>MJ/TON STEAM</t>
  </si>
  <si>
    <t>MMBTU/TON</t>
  </si>
  <si>
    <t>or kJ /kg</t>
  </si>
  <si>
    <t>Assumptions</t>
  </si>
  <si>
    <t>HHV Intermediate products</t>
  </si>
  <si>
    <t>Q=a-b*d^2 cal/g</t>
  </si>
  <si>
    <t>Speight 1991 referenced by Wang, 2004</t>
  </si>
  <si>
    <t>Method to estimate LHV and HHV as a fuction of the density</t>
  </si>
  <si>
    <t>Lower and Higher Heating Values of Hydrogen and Fuels</t>
  </si>
  <si>
    <t>Heating Values of Steam</t>
  </si>
  <si>
    <t>cal/g</t>
  </si>
  <si>
    <t>Calorific Value  (cal/g)</t>
  </si>
  <si>
    <t>Steam Generation</t>
  </si>
  <si>
    <t xml:space="preserve">MJ/kg </t>
  </si>
  <si>
    <t>Fuel Gas Input</t>
  </si>
  <si>
    <t>Gas</t>
  </si>
  <si>
    <t>Ep</t>
  </si>
  <si>
    <t>hp</t>
  </si>
  <si>
    <t>Wm</t>
  </si>
  <si>
    <t>Verification Wm</t>
  </si>
  <si>
    <t>Straight Run Naphtha</t>
  </si>
  <si>
    <t>Straight Run Kerosene</t>
  </si>
  <si>
    <t>Straight Run  Diesel</t>
  </si>
  <si>
    <t xml:space="preserve">Coker Fractionator </t>
  </si>
  <si>
    <t xml:space="preserve"> KPIs</t>
  </si>
  <si>
    <t>Catalyst Coke</t>
  </si>
  <si>
    <t>Ammonia Scrubbing</t>
  </si>
  <si>
    <t xml:space="preserve">Sulphur removed </t>
  </si>
  <si>
    <t>Treated flue gas with less than</t>
  </si>
  <si>
    <t>ppm</t>
  </si>
  <si>
    <t>Acid Gas</t>
  </si>
  <si>
    <t>GREET Transportation Fuel Cycle Analysis Model, GREET 1.8b, developed by Argonne National Laboratory, Argonne, IL, released September 5, 2008. http://www.transportation.anl.gov/modeling_simulation/GREET/index.html</t>
  </si>
  <si>
    <t>Process Energy Production</t>
  </si>
  <si>
    <t>Coker KPIs</t>
  </si>
  <si>
    <t>Modifications on Total Coker Liquids because of swing cuts</t>
  </si>
  <si>
    <t>CGO Flow Split to downstream proccesses</t>
  </si>
  <si>
    <t>MJ/m3 [4]</t>
  </si>
  <si>
    <t>Carbon Dioxide</t>
  </si>
  <si>
    <t>Gaseous Fuels at standard conditions at 0°C (273.15 K,32oF) and 1 atm (14.7 psi).</t>
  </si>
  <si>
    <t>Btu/short ton [2]</t>
  </si>
  <si>
    <t>Yield Assumptions</t>
  </si>
  <si>
    <t>Products calculation</t>
  </si>
  <si>
    <t>Total FCC Products (Basis)</t>
  </si>
  <si>
    <t>Modification to the FCC Products because of swing cuts</t>
  </si>
  <si>
    <t>Nm^3/d</t>
  </si>
  <si>
    <t>SCF H2/d</t>
  </si>
  <si>
    <t>SCF H2/feed bbl</t>
  </si>
  <si>
    <t>Nm^3 H2/feed m^3</t>
  </si>
  <si>
    <t>Losses</t>
  </si>
  <si>
    <t>CH4</t>
  </si>
  <si>
    <t>H2</t>
  </si>
  <si>
    <t xml:space="preserve">Energy content: </t>
  </si>
  <si>
    <t>Vol. %</t>
  </si>
  <si>
    <t xml:space="preserve">Weight </t>
  </si>
  <si>
    <t>Crude</t>
  </si>
  <si>
    <t>Btu/ft3 [2]</t>
  </si>
  <si>
    <t>Btu/lb [3]</t>
  </si>
  <si>
    <t>MJ/kg [4]</t>
  </si>
  <si>
    <t>grams/ft3</t>
  </si>
  <si>
    <t>Btu/gal [2]</t>
  </si>
  <si>
    <t>grams/gal</t>
  </si>
  <si>
    <t>Conventional gasoline</t>
  </si>
  <si>
    <t>Low-sulfur diesel</t>
  </si>
  <si>
    <t>Residual oil</t>
  </si>
  <si>
    <t>Solid Fuels</t>
  </si>
  <si>
    <t>Btu/ton [2]</t>
  </si>
  <si>
    <t>Btu/lb [5]</t>
  </si>
  <si>
    <t>Petroleum coke</t>
  </si>
  <si>
    <t xml:space="preserve">[2] Btu =  British thermal unit. </t>
  </si>
  <si>
    <t>[3] The heating values for gaseous fuels in units of Btu/lb are calculated based on the heating values in units of Btu/ft3 and the corresponding fuel density values. The heating values for liquid fuels in units of Btu/lb are calculated based on heating values in units of Btu/gal and the corresponding fuel density values.</t>
  </si>
  <si>
    <t>[4] The heating values in units of MJ/kg, are converted from the heating values in units of Btu/lb.</t>
  </si>
  <si>
    <t>[5] For solid fuels, the heating values in units of Btu/lb are converted from the heating values in units of Btu/ton.</t>
  </si>
  <si>
    <t>Watt</t>
  </si>
  <si>
    <t>Megajoules per day (MJ/d)</t>
  </si>
  <si>
    <t>Original assay</t>
  </si>
  <si>
    <t>Swing Cuts</t>
  </si>
  <si>
    <t>Distribution of Swing cuts</t>
  </si>
  <si>
    <t>Modifications on assays because of swing cuts</t>
  </si>
  <si>
    <t>Volume Flow 
bbl/d</t>
  </si>
  <si>
    <t>Mass Flow 
kg/d</t>
  </si>
  <si>
    <t>Note: no modifications because of Swing cut</t>
  </si>
  <si>
    <t xml:space="preserve"> Verification mass balance</t>
  </si>
  <si>
    <t>% of feed</t>
  </si>
  <si>
    <t>Vol Flow bbl/d</t>
  </si>
  <si>
    <t>Mass Flow kg/d</t>
  </si>
  <si>
    <t>Calculate Density kg/m^3</t>
  </si>
  <si>
    <t>Original Assay</t>
  </si>
  <si>
    <t>Distribution of swing cuts</t>
  </si>
  <si>
    <t>cubic meters (m3)</t>
  </si>
  <si>
    <t>cubic feet (ft3)</t>
  </si>
  <si>
    <t>c</t>
  </si>
  <si>
    <t>Normal cubic meters (Nm3)</t>
  </si>
  <si>
    <t>U.S. gallons (gal)</t>
  </si>
  <si>
    <t>British thermal units (Btu)</t>
  </si>
  <si>
    <t>ab</t>
  </si>
  <si>
    <t>joules (J)</t>
  </si>
  <si>
    <t>Notes:  Most metric units belong to the International System of Units (SI), and the liter and metric ton are acceptable for use with the SI units.</t>
  </si>
  <si>
    <t>joules per second (J/s)</t>
  </si>
  <si>
    <t>Megawatt (W)</t>
  </si>
  <si>
    <t>Process Energy Consumption</t>
  </si>
  <si>
    <t>Water Density 4C (60F)</t>
  </si>
  <si>
    <t>Kg/m3</t>
  </si>
  <si>
    <t xml:space="preserve">Water Density 20C </t>
  </si>
  <si>
    <t>LHV</t>
  </si>
  <si>
    <t>HHV</t>
  </si>
  <si>
    <t>Natural gas</t>
  </si>
  <si>
    <t>GREET 1_8c0</t>
  </si>
  <si>
    <t>Selected</t>
  </si>
  <si>
    <t>Equivalent</t>
  </si>
  <si>
    <t>(One Thousand)</t>
  </si>
  <si>
    <t>(One Million)</t>
  </si>
  <si>
    <t>(One Billion)</t>
  </si>
  <si>
    <t>(One Trillion)</t>
  </si>
  <si>
    <t>SI Prefixes</t>
  </si>
  <si>
    <t>Multiplication factor</t>
  </si>
  <si>
    <t>SI unit</t>
  </si>
  <si>
    <t>Kilo</t>
  </si>
  <si>
    <t>Mega</t>
  </si>
  <si>
    <t>Source: Modify from Energy Information Administration, Office of Coal, Nuclear, Electric and Alternate Fuels, Electric Power Division.</t>
  </si>
  <si>
    <t>Giga</t>
  </si>
  <si>
    <t>Metric Conversion</t>
  </si>
  <si>
    <t>Type of Unit</t>
  </si>
  <si>
    <t>Times</t>
  </si>
  <si>
    <t>Conversion Factor</t>
  </si>
  <si>
    <t>Equals</t>
  </si>
  <si>
    <t>Metric Unit</t>
  </si>
  <si>
    <t>short tons (2,000 lb)</t>
  </si>
  <si>
    <t>x</t>
  </si>
  <si>
    <t>=</t>
  </si>
  <si>
    <t>metric tons (t)</t>
  </si>
  <si>
    <t>pounds (lb)</t>
  </si>
  <si>
    <t>a</t>
  </si>
  <si>
    <t>kilograms (kg)</t>
  </si>
  <si>
    <t>barrels of oil (bbl)</t>
  </si>
  <si>
    <t>Feed cracked to gas</t>
  </si>
  <si>
    <t>S in feed cracked to gas</t>
  </si>
  <si>
    <t>H in feed cracked to gas</t>
  </si>
  <si>
    <t>H mass % in hydrocarbon gas (sulphur-free)</t>
  </si>
  <si>
    <t>C in feed cracked to gas</t>
  </si>
  <si>
    <t>HC gas flow</t>
  </si>
  <si>
    <t>H2S Gas Flow</t>
  </si>
  <si>
    <t>HC Naphtha Gas</t>
  </si>
  <si>
    <t>Gas Oil Product</t>
  </si>
  <si>
    <t>HC Diesel</t>
  </si>
  <si>
    <t>HC Resid</t>
  </si>
  <si>
    <t>HC Gas Oil Split</t>
  </si>
  <si>
    <t>HC Gas Oil To Gas Oil HC</t>
  </si>
  <si>
    <t>HC Gas Oil to FCC</t>
  </si>
  <si>
    <t>HC Gas Oil Flow Fraction to Gas Oil Hydrocracker</t>
  </si>
  <si>
    <t>HC Gas Oil Flow Fraction to FCC</t>
  </si>
  <si>
    <t>Resid Hydrocracker</t>
  </si>
  <si>
    <t>Naphtha + Diesel + Gas Oil specific reboil duty</t>
  </si>
  <si>
    <t>Naphtha + Diesel + Gas Oil reboiler duty</t>
  </si>
  <si>
    <t>Kerosene Production</t>
  </si>
  <si>
    <t>Total Gas Flow</t>
  </si>
  <si>
    <t>NHT Fuel Gas</t>
  </si>
  <si>
    <t>KHT Fuel Gas</t>
  </si>
  <si>
    <t>DHT Fuel Gas</t>
  </si>
  <si>
    <t>CNHT Fuel Gas</t>
  </si>
  <si>
    <t>FCC FHT Fuel Gas</t>
  </si>
  <si>
    <t>Reformer Fuel Gas</t>
  </si>
  <si>
    <t>Isom Fuel Gas</t>
  </si>
  <si>
    <t>RHC Fuel Gas</t>
  </si>
  <si>
    <t>HC NHT Fuel Gas</t>
  </si>
  <si>
    <t>FCC Fuel Gas</t>
  </si>
  <si>
    <t>Total Mass Flow</t>
  </si>
  <si>
    <t>H mass % in hydrocarbon gas</t>
  </si>
  <si>
    <t>Sulphur displaced to gas by hydrogen</t>
  </si>
  <si>
    <t>Gas H wt%</t>
  </si>
  <si>
    <t>Gas S wt%</t>
  </si>
  <si>
    <t>Gas yield</t>
  </si>
  <si>
    <t>Hydrogen required to displace sulphur</t>
  </si>
  <si>
    <t>Hydrogen required to make H2S</t>
  </si>
  <si>
    <t>Carbon displaced to gas by hydrogen</t>
  </si>
  <si>
    <t>Hydrogen for carbon displacement</t>
  </si>
  <si>
    <t>H2S Gas flow</t>
  </si>
  <si>
    <t>HC Gas flow</t>
  </si>
  <si>
    <t>Hydrogen In</t>
  </si>
  <si>
    <t>Hydrogen Balance</t>
  </si>
  <si>
    <t>SMR Makeup</t>
  </si>
  <si>
    <t>scf/d</t>
  </si>
  <si>
    <t>Reformer supply</t>
  </si>
  <si>
    <t>Hydrogen from SMR</t>
  </si>
  <si>
    <t>Electricity</t>
  </si>
  <si>
    <t>Chemical consumption total</t>
  </si>
  <si>
    <t>CO2</t>
  </si>
  <si>
    <t>AGO Flow Fraction to Gas Oil Hydrocracker</t>
  </si>
  <si>
    <t>AGO Flow Fraction to FCC</t>
  </si>
  <si>
    <t>LVGO Flow Split</t>
  </si>
  <si>
    <t>LVGO To Gas Oil HC</t>
  </si>
  <si>
    <t>LVGO to FCC</t>
  </si>
  <si>
    <t>HVGO Flow Split</t>
  </si>
  <si>
    <t>HVGO Feed</t>
  </si>
  <si>
    <t>HVGO To Gas Oil HC</t>
  </si>
  <si>
    <t>HVGO to FCC</t>
  </si>
  <si>
    <t>CGO Feed</t>
  </si>
  <si>
    <t>CGO To Gas Oil HC</t>
  </si>
  <si>
    <t>CGO to FCC</t>
  </si>
  <si>
    <t/>
  </si>
  <si>
    <t>AGO From Atm Tower Swing</t>
  </si>
  <si>
    <t>LVGO Product (with AGO Swing)</t>
  </si>
  <si>
    <t>LVGO Flow Fraction to Gas Oil Hydrocracker</t>
  </si>
  <si>
    <t>LVGO Flow Fraction to FCC</t>
  </si>
  <si>
    <t>HVGO Flow Fraction to Gas Oil Hydrocracker</t>
  </si>
  <si>
    <t>HVGO Flow Fraction to FCC</t>
  </si>
  <si>
    <t>Coker Naphtha + Coker Gas Oil Swing</t>
  </si>
  <si>
    <t>Coker Naphtha Product</t>
  </si>
  <si>
    <t>Coker Gas Oil Product</t>
  </si>
  <si>
    <t>AGO To FCC</t>
  </si>
  <si>
    <t>FCC Light Cycle Oil</t>
  </si>
  <si>
    <t>FCC Gasoline + FCC LCO Swing</t>
  </si>
  <si>
    <t>FCC Gasoline Product</t>
  </si>
  <si>
    <t>FCC Slurry Oil</t>
  </si>
  <si>
    <t>FCC LCO + FCC Slurry Oil Swing</t>
  </si>
  <si>
    <t>FCC LCO Product</t>
  </si>
  <si>
    <t>FCC Slurry Oil Product</t>
  </si>
  <si>
    <t>Total Feed to FCC HT</t>
  </si>
  <si>
    <t>Hydrotreated Naphtha</t>
  </si>
  <si>
    <t>Gas Oil Hydrocracker Feed</t>
  </si>
  <si>
    <t>Gasoline Production</t>
  </si>
  <si>
    <t>Diesel Production</t>
  </si>
  <si>
    <t>Value</t>
  </si>
  <si>
    <t>Contribution</t>
  </si>
  <si>
    <t>Furnace Product</t>
  </si>
  <si>
    <t>450C Outlet Temp</t>
  </si>
  <si>
    <t>Hydrocracked Resid</t>
  </si>
  <si>
    <t>Gas Oil</t>
  </si>
  <si>
    <t>Hydrocracked resid</t>
  </si>
  <si>
    <t>Total Liquids</t>
  </si>
  <si>
    <t>Total Gas + Liq</t>
  </si>
  <si>
    <t>Liq Density</t>
  </si>
  <si>
    <t>HC Gas, Hydrogen-free basis</t>
  </si>
  <si>
    <t>Density kg/m^3</t>
  </si>
  <si>
    <t>Vol % of liq products</t>
  </si>
  <si>
    <t>Naphtha-Diesel Swing</t>
  </si>
  <si>
    <t>Diesel-Gas Oil Swing</t>
  </si>
  <si>
    <t>Naphtha Product</t>
  </si>
  <si>
    <t>Diesel Product</t>
  </si>
  <si>
    <t>MJ/kg</t>
  </si>
  <si>
    <t>FCC Main Frac</t>
  </si>
  <si>
    <t>Gasoline Blending</t>
  </si>
  <si>
    <t>Steam-Methane Reformer</t>
  </si>
  <si>
    <t>Specific Power consumption</t>
  </si>
  <si>
    <t>Total Power Consumption</t>
  </si>
  <si>
    <t>Kero Hydrotreater</t>
  </si>
  <si>
    <t>Kero Merox Unit</t>
  </si>
  <si>
    <t>Total Steam</t>
  </si>
  <si>
    <t>kJ/kg</t>
  </si>
  <si>
    <t>Coke combustion Power</t>
  </si>
  <si>
    <t>Hydrogen required</t>
  </si>
  <si>
    <t>scf/scf</t>
  </si>
  <si>
    <t>Swing Cut Calcs</t>
  </si>
  <si>
    <t>Mass Dev</t>
  </si>
  <si>
    <t>Total Dev</t>
  </si>
  <si>
    <t>S Dev</t>
  </si>
  <si>
    <t>H Dev</t>
  </si>
  <si>
    <t>LVGO Swing</t>
  </si>
  <si>
    <t>HVGO Swing</t>
  </si>
  <si>
    <t>LVGO-HVGO Swing</t>
  </si>
  <si>
    <t>HVGO Product</t>
  </si>
  <si>
    <t>AGO Flow Split</t>
  </si>
  <si>
    <t>AGO To Gas Oil HC</t>
  </si>
  <si>
    <t>AGO to FCC</t>
  </si>
  <si>
    <t>MCF/d</t>
  </si>
  <si>
    <t>Coker</t>
  </si>
  <si>
    <t>Alky Furnace Specific Duty</t>
  </si>
  <si>
    <t>Total Feed</t>
  </si>
  <si>
    <t>Hydrogen consumption</t>
  </si>
  <si>
    <t>Specific Hydrogen Consumption</t>
  </si>
  <si>
    <t>SCF</t>
  </si>
  <si>
    <t>Hydrotreated FCC Feed</t>
  </si>
  <si>
    <t>Kero Feed</t>
  </si>
  <si>
    <t>HT Kero Product</t>
  </si>
  <si>
    <t>FCC Gasoline</t>
  </si>
  <si>
    <t>kg/scf</t>
  </si>
  <si>
    <t>MMSCF/d</t>
  </si>
  <si>
    <t>Steam</t>
  </si>
  <si>
    <t>LD</t>
  </si>
  <si>
    <t>HD</t>
  </si>
  <si>
    <t>Gas Oil HC Fuel Gas</t>
  </si>
  <si>
    <t>ULSD</t>
  </si>
  <si>
    <t>C4</t>
  </si>
  <si>
    <t>LPG C4</t>
  </si>
  <si>
    <t>FCC C4</t>
  </si>
  <si>
    <t>Hydrocracker C4s</t>
  </si>
  <si>
    <t>Condenser cooling</t>
  </si>
  <si>
    <t>Kero Specific Steam</t>
  </si>
  <si>
    <t>lb/bbl</t>
  </si>
  <si>
    <t>Kero Total Stripping Steam</t>
  </si>
  <si>
    <t>Diesel Specific Steam</t>
  </si>
  <si>
    <t>Diesel Total Stripping Steam</t>
  </si>
  <si>
    <t>AGO Specific Steam</t>
  </si>
  <si>
    <t>AGO Total Stripping Steam</t>
  </si>
  <si>
    <t>ATM Resid Specific Steam</t>
  </si>
  <si>
    <t>Vac Resid Stripping Steam</t>
  </si>
  <si>
    <t>Dynamic Offset</t>
  </si>
  <si>
    <t>Final Offset</t>
  </si>
  <si>
    <t>Carbon wt% in Reformate</t>
  </si>
  <si>
    <t>Mass Balance</t>
  </si>
  <si>
    <t>Reformate mass flow</t>
  </si>
  <si>
    <t>Reformer Hydrogen mass flow</t>
  </si>
  <si>
    <t>Reformer Hydrogen volume flow</t>
  </si>
  <si>
    <t>SCF/d</t>
  </si>
  <si>
    <t>Reformer specific hydrogen production</t>
  </si>
  <si>
    <t>SCF/feed bbl</t>
  </si>
  <si>
    <t>m^3/feed m^3</t>
  </si>
  <si>
    <t>Reformer H2</t>
  </si>
  <si>
    <t>iC5</t>
  </si>
  <si>
    <t>Isom Gas Yield</t>
  </si>
  <si>
    <t>C5s</t>
  </si>
  <si>
    <t>Blended Gasoline</t>
  </si>
  <si>
    <t>Fuel Oil</t>
  </si>
  <si>
    <t>Jet-A/AVTUR</t>
  </si>
  <si>
    <t>MJ/d</t>
  </si>
  <si>
    <t>HGO + VGO Stripping Steam</t>
  </si>
  <si>
    <t>Desalter</t>
  </si>
  <si>
    <t>Atm Tower Furnace</t>
  </si>
  <si>
    <t>FCC Gasoline reboiler duty</t>
  </si>
  <si>
    <t>Unit</t>
  </si>
  <si>
    <t>Atm Tower</t>
  </si>
  <si>
    <t>Vac Tower</t>
  </si>
  <si>
    <t>Kerosene</t>
  </si>
  <si>
    <t>FCC</t>
  </si>
  <si>
    <t>Naphtha Hydrotreater</t>
  </si>
  <si>
    <t>Vac Tower Furnace</t>
  </si>
  <si>
    <t>Gas Oil Hydrocracker</t>
  </si>
  <si>
    <t>Gas Oil Hydrocracker Fractionator</t>
  </si>
  <si>
    <t>Coker Furnace</t>
  </si>
  <si>
    <t>FCC Feed Hydrotreater</t>
  </si>
  <si>
    <t>Alkylation Unit</t>
  </si>
  <si>
    <t>Reformer</t>
  </si>
  <si>
    <t>Isomerisation Unit</t>
  </si>
  <si>
    <t>Hydrogen</t>
  </si>
  <si>
    <t>Total Gas requirement</t>
  </si>
  <si>
    <t>Coker Furnace Product</t>
  </si>
  <si>
    <t>MCR</t>
  </si>
  <si>
    <t>Coker Naphtha Yield</t>
  </si>
  <si>
    <t>Gas Oil Yield</t>
  </si>
  <si>
    <t>Coke Yield</t>
  </si>
  <si>
    <t>Gas C4- Yield</t>
  </si>
  <si>
    <t>Coker Naphtha mass flow</t>
  </si>
  <si>
    <t>Gas mass flow</t>
  </si>
  <si>
    <t>Gas Oil mass flow</t>
  </si>
  <si>
    <t>Coke mass flow</t>
  </si>
  <si>
    <t>Coker Naphtha density</t>
  </si>
  <si>
    <t>Gas Oil density</t>
  </si>
  <si>
    <t>Total Liquid volume flow</t>
  </si>
  <si>
    <t>Total Liquid mass flow</t>
  </si>
  <si>
    <t>Total Liquid density</t>
  </si>
  <si>
    <t>Coker Naphtha</t>
  </si>
  <si>
    <t>Gas Oil volume flow</t>
  </si>
  <si>
    <t>Coker Gas Oil</t>
  </si>
  <si>
    <t>Total Coker Liquids</t>
  </si>
  <si>
    <t>Coker Gas</t>
  </si>
  <si>
    <t>AGO Feed</t>
  </si>
  <si>
    <t>LVGO Feed</t>
  </si>
  <si>
    <t>Coker Gas Oil Feed</t>
  </si>
  <si>
    <t>bpd</t>
  </si>
  <si>
    <t>API</t>
  </si>
  <si>
    <t>Property</t>
  </si>
  <si>
    <t>Stream</t>
  </si>
  <si>
    <t>Feed</t>
  </si>
  <si>
    <t>Vol %</t>
  </si>
  <si>
    <t>Naphtha</t>
  </si>
  <si>
    <t>Diesel</t>
  </si>
  <si>
    <t>AGO</t>
  </si>
  <si>
    <t>LVGO</t>
  </si>
  <si>
    <t>HVGO</t>
  </si>
  <si>
    <t>VR</t>
  </si>
  <si>
    <t>S</t>
  </si>
  <si>
    <t>wt%</t>
  </si>
  <si>
    <t>Density</t>
  </si>
  <si>
    <t>kg/m^3</t>
  </si>
  <si>
    <t>Vol Flow</t>
  </si>
  <si>
    <t>tpd</t>
  </si>
  <si>
    <t>Steam rate</t>
  </si>
  <si>
    <t>MSCF/d</t>
  </si>
  <si>
    <t>Slurry Oil Yield</t>
  </si>
  <si>
    <t>Slurry Oil mass flow</t>
  </si>
  <si>
    <t>Slurry Oil Density</t>
  </si>
  <si>
    <t>Slurry Oil volume flow</t>
  </si>
  <si>
    <t>Coke yield</t>
  </si>
  <si>
    <t>gas</t>
  </si>
  <si>
    <t>Gasoline</t>
  </si>
  <si>
    <t>Mass Yield</t>
  </si>
  <si>
    <t>FCC Yields, feed basis</t>
  </si>
  <si>
    <t>Volume</t>
  </si>
  <si>
    <t>Volume Yield</t>
  </si>
  <si>
    <t>n/a</t>
  </si>
  <si>
    <t>Total</t>
  </si>
  <si>
    <t>Feed Volume</t>
  </si>
  <si>
    <t>Volume % Yield</t>
  </si>
  <si>
    <t>Vol Expansion</t>
  </si>
  <si>
    <t>wt %</t>
  </si>
  <si>
    <t>Total FCC Liquids</t>
  </si>
  <si>
    <t>FCC Coke</t>
  </si>
  <si>
    <t>FCC LCO</t>
  </si>
  <si>
    <t>HT Naphtha Product</t>
  </si>
  <si>
    <t>ATM Resid</t>
  </si>
  <si>
    <t>Full Crude</t>
  </si>
  <si>
    <t>AR</t>
  </si>
  <si>
    <t>Alkylate</t>
  </si>
  <si>
    <t>kJ/m^3</t>
  </si>
  <si>
    <t>Reformate</t>
  </si>
  <si>
    <t>Reformer Fuel Gas Yield</t>
  </si>
  <si>
    <t>Reformer Hydrogen Yield</t>
  </si>
  <si>
    <t>Carbon in feed</t>
  </si>
  <si>
    <t>Carbon in Fuel Gas</t>
  </si>
  <si>
    <t>Carbon wt% in feed</t>
  </si>
  <si>
    <t>Carbon wt% in Fuel Gas</t>
  </si>
  <si>
    <t>Carbon in Reformate</t>
  </si>
  <si>
    <t>Mass Flow</t>
  </si>
  <si>
    <t>H</t>
  </si>
  <si>
    <t>kg/d</t>
  </si>
  <si>
    <t>Units</t>
  </si>
  <si>
    <t>KPIs</t>
  </si>
  <si>
    <t>Desalter Specific Power</t>
  </si>
  <si>
    <t>Desalter Power Consumption</t>
  </si>
  <si>
    <t>kWh/d</t>
  </si>
  <si>
    <t>m^3/d</t>
  </si>
  <si>
    <t>kWh/m^3</t>
  </si>
  <si>
    <t>MJ/m^3</t>
  </si>
  <si>
    <t>Furnace Duty</t>
  </si>
  <si>
    <t>MW</t>
  </si>
  <si>
    <t>%</t>
  </si>
  <si>
    <t>Gas requirement (metric)</t>
  </si>
  <si>
    <t>Gas requirement (imp)</t>
  </si>
  <si>
    <t>m^3/m^3</t>
  </si>
  <si>
    <t>scf/bbl</t>
  </si>
  <si>
    <t>LCO</t>
  </si>
  <si>
    <t>Slurry Oil</t>
  </si>
  <si>
    <t>FCC Gas Yield</t>
  </si>
  <si>
    <t>C4/C5 Yield</t>
  </si>
  <si>
    <t>C4/C5 mass flow</t>
  </si>
  <si>
    <t>C4/C5 density</t>
  </si>
  <si>
    <t>C4/C5 volume flow</t>
  </si>
  <si>
    <t>FCC Gasoline Yield</t>
  </si>
  <si>
    <t>FCC Gasoline mass flow</t>
  </si>
  <si>
    <t>FCC Gasoline Density</t>
  </si>
  <si>
    <t>FCC Gasoline volume flow</t>
  </si>
  <si>
    <t>LCO Yield</t>
  </si>
  <si>
    <t>LCO mass flow</t>
  </si>
  <si>
    <t>LCO Density</t>
  </si>
  <si>
    <t>LCO volume flow</t>
  </si>
  <si>
    <t>Vac Resid</t>
  </si>
  <si>
    <t>Coke</t>
  </si>
  <si>
    <t>Gas Oil Hydrocracker Yields</t>
  </si>
  <si>
    <t>Light Dist</t>
  </si>
  <si>
    <t>Heavy Dist</t>
  </si>
  <si>
    <t>LGO</t>
  </si>
  <si>
    <t>HGO</t>
  </si>
  <si>
    <t>VGO</t>
  </si>
  <si>
    <t>Mass %</t>
  </si>
  <si>
    <t>H wt%</t>
  </si>
  <si>
    <t>S wt%</t>
  </si>
  <si>
    <t>Mass</t>
  </si>
  <si>
    <t>kWh/bbl</t>
  </si>
  <si>
    <t>Density Contrib</t>
  </si>
  <si>
    <t>H wt% in liquids:</t>
  </si>
  <si>
    <t>S wt% in liquids:</t>
  </si>
  <si>
    <t>HC Product Liquids</t>
  </si>
  <si>
    <t>SCF/bbl</t>
  </si>
  <si>
    <t>Coker Gas Oil Stripping Steam</t>
  </si>
  <si>
    <t>Coker Gas Oil Total Stripping Steam</t>
  </si>
  <si>
    <t>FCC Gasoline specific reboil duty</t>
  </si>
  <si>
    <t>LCO Stripping Steam</t>
  </si>
  <si>
    <t>LCO Total Stripping Steam</t>
  </si>
  <si>
    <t>Elemental mass balance and energy consumption calculations</t>
  </si>
  <si>
    <t>Product slates:  volume and energy</t>
  </si>
  <si>
    <t>lb/gal</t>
  </si>
  <si>
    <t>Cutoff Temp [°C]</t>
  </si>
  <si>
    <t>Coal-Fired Power Plant 100%[1]</t>
  </si>
  <si>
    <t>NG-Fired Power Plant</t>
  </si>
  <si>
    <t>Coal-Fired Power Plant 100%</t>
  </si>
  <si>
    <t>Active in the model</t>
  </si>
  <si>
    <t>Fuel-Cycle Energy Use and Emissions of Electric Generation: Grams per mmBtu or MJ of Electricity Available at User Sites (wall outlets)</t>
  </si>
  <si>
    <t>NG-Fired Power Plant[2]</t>
  </si>
  <si>
    <t>[1] Fuel Cycle GREET1_8c_0 Values are on Electric!S89:899. Specific values for other energy sources are in the same GREET sheet</t>
  </si>
  <si>
    <t>[2] Fuel Cycle GREET1_8c_0 Values are on Electric!O89:899. Specific values for other energy sources are in the same GREET sheet</t>
  </si>
  <si>
    <t>[2,b] GREET1_8c_0 values are on NG!B129:B139. GREET model uses other emission factors for H2 Production. However, that Hydrogen is not to be used at the refinery</t>
  </si>
  <si>
    <t>[2,c] NG upstream emission factors are being calculated using GREET1_8c_0 refinery emissions for petroleum_fuels that are used in NG recovery, processing, transmission and distribution.</t>
  </si>
  <si>
    <t>[3] GREET1_8c_0 values are on EF!B6:B14,EF!C6:C14</t>
  </si>
  <si>
    <t>Coke burned is assumed to proceed completely to CO2</t>
  </si>
  <si>
    <t>Coke burn-off means the coke remove from the surface of a catalyst by combustion during catalyst regeneration. Coker burn off also means the coke combusted in fluid coker unit</t>
  </si>
  <si>
    <t>Emissions of Coke burn off: FCC</t>
  </si>
  <si>
    <t>Source: API Compendium 2004.</t>
  </si>
  <si>
    <t>Gaseous hydrogen [b,1]</t>
  </si>
  <si>
    <t>[b,1] Hydrogen density NTP (normal temperature and pressure) = 20°C (68°F) and 1 atm</t>
  </si>
  <si>
    <t>Petroleum Coke  [c,1]</t>
  </si>
  <si>
    <t>Sources:</t>
  </si>
  <si>
    <t>[c,1] North American Combustion Handbook, Volume I: Combustion Fuels, Stoichiometry, Heat transfer, Fluid Flow, Third Edition, 1986. Reference in table 3.5 of API Compendium 2004. To convert from HHV to LHV, the assumed conversion for gaseous fuels is LHV = (0.9) × (HHV); for solids or liquids the assumed conversion is LHV = (0.95) × (HHV).</t>
  </si>
  <si>
    <t>Fraction of carbon in coke burned</t>
  </si>
  <si>
    <t>grams per MJ of coke burned</t>
  </si>
  <si>
    <t>API Compendium 2004: 
Coke Burn rate approach</t>
  </si>
  <si>
    <t>Coke burn off</t>
  </si>
  <si>
    <t>Slurry Oil {HGO}</t>
  </si>
  <si>
    <t>Lower Heating Value [1]</t>
  </si>
  <si>
    <t>Higher Heating Value[1]</t>
  </si>
  <si>
    <t>lb/bbl feed</t>
  </si>
  <si>
    <t>lb/bbl Kero</t>
  </si>
  <si>
    <t>lb/bbl Diesel</t>
  </si>
  <si>
    <t>lb/bbl AGO</t>
  </si>
  <si>
    <t>lb/bbl AR</t>
  </si>
  <si>
    <t>Furnace</t>
  </si>
  <si>
    <t>Tower</t>
  </si>
  <si>
    <t>Vacuum Distillation</t>
  </si>
  <si>
    <t>lb/bbl resid</t>
  </si>
  <si>
    <t>Hydrogen make up</t>
  </si>
  <si>
    <t>400-800</t>
  </si>
  <si>
    <t>150-400</t>
  </si>
  <si>
    <t>100-150</t>
  </si>
  <si>
    <t>Kerosene Merox Unit</t>
  </si>
  <si>
    <t>Fractionator</t>
  </si>
  <si>
    <t>N.A.</t>
  </si>
  <si>
    <t>Delayed Coking</t>
  </si>
  <si>
    <t>lb/bbl coker gas oil</t>
  </si>
  <si>
    <t>kWh/bbl total coker liquids</t>
  </si>
  <si>
    <t xml:space="preserve">kWh/bbl </t>
  </si>
  <si>
    <t>Steam Methane Reformer</t>
  </si>
  <si>
    <t>kWh/scf</t>
  </si>
  <si>
    <t>Sulfur in HC Product Liquids</t>
  </si>
  <si>
    <t>Density of Water at 60 °F</t>
  </si>
  <si>
    <t>g/cc</t>
  </si>
  <si>
    <t>1bpd</t>
  </si>
  <si>
    <t>Increase API</t>
  </si>
  <si>
    <t>Maple correlations for API</t>
  </si>
  <si>
    <t>Light Naphtha</t>
  </si>
  <si>
    <t>Heavy Naphtha</t>
  </si>
  <si>
    <t>LCGO</t>
  </si>
  <si>
    <t>HCGO</t>
  </si>
  <si>
    <t>Nitrogen %</t>
  </si>
  <si>
    <t>Sulfur in HT FCC Feed</t>
  </si>
  <si>
    <t>FCC Fuel Gas=</t>
  </si>
  <si>
    <t>kg S per 100 Kg of Liquids Products</t>
  </si>
  <si>
    <t>Gary p.171</t>
  </si>
  <si>
    <t>wt%C3 and Lighthers=1.0+0.09*LV% C5-180F</t>
  </si>
  <si>
    <t>LV% C5-180F</t>
  </si>
  <si>
    <t>Fig. 7.3</t>
  </si>
  <si>
    <t>H2 consumption w/out S -N 1500-2750 scf/bbl feed</t>
  </si>
  <si>
    <t>Includes API 20-35</t>
  </si>
  <si>
    <t>Kw 12.1 and 10.9</t>
  </si>
  <si>
    <t>H2 requirement for gas (HC+H2S)</t>
  </si>
  <si>
    <t>kg H2 per 100 Kg of Liquids Products</t>
  </si>
  <si>
    <t>H2 wt%</t>
  </si>
  <si>
    <t>Specific Steam consumption</t>
  </si>
  <si>
    <t>Total Steam consumption</t>
  </si>
  <si>
    <t>SMR Efficiency</t>
  </si>
  <si>
    <t>CO2 Emissions calculation approach based on feedstock rate and carbon content</t>
  </si>
  <si>
    <t>Energy efficiency</t>
  </si>
  <si>
    <t>kg/scf H2</t>
  </si>
  <si>
    <t>Kwh/d</t>
  </si>
  <si>
    <t>Kg steam per SCF of H2</t>
  </si>
  <si>
    <t>Kg steam per SCF H2</t>
  </si>
  <si>
    <t>Specific power per SCF H2</t>
  </si>
  <si>
    <t>Total Power</t>
  </si>
  <si>
    <t>Grams per MJ of H2</t>
  </si>
  <si>
    <t>Gasoline S wt%</t>
  </si>
  <si>
    <t>Gasoline H2 wt%</t>
  </si>
  <si>
    <t>H2 in liquid products because of carbon displacement to gas HDS</t>
  </si>
  <si>
    <t>H2 to meet the liquid product hydrogen specification</t>
  </si>
  <si>
    <t>H2 Consumption</t>
  </si>
  <si>
    <t>Coker Hydrotreated Naphtha</t>
  </si>
  <si>
    <t>HC Hydrotreated Naphtha</t>
  </si>
  <si>
    <t>Hydrogen from Reformer</t>
  </si>
  <si>
    <t>Hydrogen From SMR</t>
  </si>
  <si>
    <t>Prioritization: For a process level allocation and product allocation it is necessary to identify where are the refinery fuel gas may be used</t>
  </si>
  <si>
    <t>Allocation of Hydrogen from Catalytic Reformer</t>
  </si>
  <si>
    <t xml:space="preserve">Sulphur </t>
  </si>
  <si>
    <t xml:space="preserve">Nitrogen </t>
  </si>
  <si>
    <t>mass ppm</t>
  </si>
  <si>
    <t xml:space="preserve">API gravity </t>
  </si>
  <si>
    <t>Characterization Factor</t>
  </si>
  <si>
    <t xml:space="preserve">Tb(50%) weight basis </t>
  </si>
  <si>
    <t xml:space="preserve"> [°C]</t>
  </si>
  <si>
    <t xml:space="preserve">Kw (Approximate) </t>
  </si>
  <si>
    <t>N mass_ppm</t>
  </si>
  <si>
    <t>Kw approximated</t>
  </si>
  <si>
    <t>wt%C3 and Lighthers</t>
  </si>
  <si>
    <r>
      <t>LV% iC</t>
    </r>
    <r>
      <rPr>
        <vertAlign val="subscript"/>
        <sz val="11"/>
        <color theme="1"/>
        <rFont val="Calibri"/>
        <family val="2"/>
        <scheme val="minor"/>
      </rPr>
      <t>4</t>
    </r>
  </si>
  <si>
    <r>
      <t>LV% nC</t>
    </r>
    <r>
      <rPr>
        <vertAlign val="subscript"/>
        <sz val="11"/>
        <color theme="1"/>
        <rFont val="Calibri"/>
        <family val="2"/>
        <scheme val="minor"/>
      </rPr>
      <t>4</t>
    </r>
  </si>
  <si>
    <t>Approximated Hydrogen Requiered</t>
  </si>
  <si>
    <t>scf/bbl feed</t>
  </si>
  <si>
    <t>Average Mid boiling points</t>
  </si>
  <si>
    <r>
      <t xml:space="preserve">Kw </t>
    </r>
    <r>
      <rPr>
        <vertAlign val="subscript"/>
        <sz val="11"/>
        <color theme="1"/>
        <rFont val="Calibri"/>
        <family val="2"/>
        <scheme val="minor"/>
      </rPr>
      <t>PRODUCTS</t>
    </r>
  </si>
  <si>
    <t>Hydrogen Content</t>
  </si>
  <si>
    <r>
      <t xml:space="preserve">Kw </t>
    </r>
    <r>
      <rPr>
        <vertAlign val="subscript"/>
        <sz val="11"/>
        <color theme="1"/>
        <rFont val="Calibri"/>
        <family val="2"/>
        <scheme val="minor"/>
      </rPr>
      <t>FEED</t>
    </r>
  </si>
  <si>
    <r>
      <t xml:space="preserve">X=Kw </t>
    </r>
    <r>
      <rPr>
        <vertAlign val="subscript"/>
        <sz val="11"/>
        <color theme="1"/>
        <rFont val="Calibri"/>
        <family val="2"/>
        <scheme val="minor"/>
      </rPr>
      <t>PRODUCTS</t>
    </r>
  </si>
  <si>
    <t>Xa</t>
  </si>
  <si>
    <t>Ya</t>
  </si>
  <si>
    <t>Xb</t>
  </si>
  <si>
    <t>Yb</t>
  </si>
  <si>
    <t>xa</t>
  </si>
  <si>
    <t>xb</t>
  </si>
  <si>
    <t>ya</t>
  </si>
  <si>
    <t>yb</t>
  </si>
  <si>
    <r>
      <t>X</t>
    </r>
    <r>
      <rPr>
        <vertAlign val="subscript"/>
        <sz val="11"/>
        <color theme="1"/>
        <rFont val="Calibri"/>
        <family val="2"/>
        <scheme val="minor"/>
      </rPr>
      <t>1</t>
    </r>
  </si>
  <si>
    <r>
      <t>Y</t>
    </r>
    <r>
      <rPr>
        <vertAlign val="subscript"/>
        <sz val="11"/>
        <color theme="1"/>
        <rFont val="Calibri"/>
        <family val="2"/>
        <scheme val="minor"/>
      </rPr>
      <t>1</t>
    </r>
  </si>
  <si>
    <t>Kw</t>
  </si>
  <si>
    <t>Approximated hydrogen Required</t>
  </si>
  <si>
    <r>
      <t>X</t>
    </r>
    <r>
      <rPr>
        <vertAlign val="subscript"/>
        <sz val="11"/>
        <color theme="1"/>
        <rFont val="Calibri"/>
        <family val="2"/>
        <scheme val="minor"/>
      </rPr>
      <t>2</t>
    </r>
  </si>
  <si>
    <r>
      <t>Y</t>
    </r>
    <r>
      <rPr>
        <vertAlign val="subscript"/>
        <sz val="11"/>
        <color theme="1"/>
        <rFont val="Calibri"/>
        <family val="2"/>
        <scheme val="minor"/>
      </rPr>
      <t>2</t>
    </r>
  </si>
  <si>
    <t>Characterization Factor of Products</t>
  </si>
  <si>
    <t>Hydrogen Content of Hydrocarbons</t>
  </si>
  <si>
    <t>Kw criteria to select correlation</t>
  </si>
  <si>
    <r>
      <t>X</t>
    </r>
    <r>
      <rPr>
        <vertAlign val="subscript"/>
        <sz val="11"/>
        <rFont val="Calibri"/>
        <family val="2"/>
        <scheme val="minor"/>
      </rPr>
      <t>1</t>
    </r>
  </si>
  <si>
    <r>
      <t>Y</t>
    </r>
    <r>
      <rPr>
        <vertAlign val="subscript"/>
        <sz val="11"/>
        <rFont val="Calibri"/>
        <family val="2"/>
        <scheme val="minor"/>
      </rPr>
      <t>1</t>
    </r>
  </si>
  <si>
    <r>
      <t>X</t>
    </r>
    <r>
      <rPr>
        <vertAlign val="subscript"/>
        <sz val="11"/>
        <color theme="1"/>
        <rFont val="Calibri"/>
        <family val="2"/>
        <scheme val="minor"/>
      </rPr>
      <t>3</t>
    </r>
  </si>
  <si>
    <t>Average midboiling points</t>
  </si>
  <si>
    <r>
      <t>Y</t>
    </r>
    <r>
      <rPr>
        <vertAlign val="subscript"/>
        <sz val="11"/>
        <color theme="1"/>
        <rFont val="Calibri"/>
        <family val="2"/>
        <scheme val="minor"/>
      </rPr>
      <t>3</t>
    </r>
  </si>
  <si>
    <t>Kw products</t>
  </si>
  <si>
    <r>
      <t>X</t>
    </r>
    <r>
      <rPr>
        <vertAlign val="subscript"/>
        <sz val="11"/>
        <color theme="1"/>
        <rFont val="Calibri"/>
        <family val="2"/>
        <scheme val="minor"/>
      </rPr>
      <t>4</t>
    </r>
  </si>
  <si>
    <r>
      <t>Y</t>
    </r>
    <r>
      <rPr>
        <vertAlign val="subscript"/>
        <sz val="11"/>
        <color theme="1"/>
        <rFont val="Calibri"/>
        <family val="2"/>
        <scheme val="minor"/>
      </rPr>
      <t>4</t>
    </r>
  </si>
  <si>
    <t>Midboiling points</t>
  </si>
  <si>
    <r>
      <t>X</t>
    </r>
    <r>
      <rPr>
        <vertAlign val="subscript"/>
        <sz val="11"/>
        <color theme="1"/>
        <rFont val="Calibri"/>
        <family val="2"/>
        <scheme val="minor"/>
      </rPr>
      <t>4a</t>
    </r>
  </si>
  <si>
    <r>
      <t>Y</t>
    </r>
    <r>
      <rPr>
        <vertAlign val="subscript"/>
        <sz val="11"/>
        <color theme="1"/>
        <rFont val="Calibri"/>
        <family val="2"/>
        <scheme val="minor"/>
      </rPr>
      <t>4a</t>
    </r>
  </si>
  <si>
    <r>
      <t>X</t>
    </r>
    <r>
      <rPr>
        <vertAlign val="subscript"/>
        <sz val="11"/>
        <color theme="1"/>
        <rFont val="Calibri"/>
        <family val="2"/>
        <scheme val="minor"/>
      </rPr>
      <t>4b</t>
    </r>
  </si>
  <si>
    <r>
      <t>Y</t>
    </r>
    <r>
      <rPr>
        <vertAlign val="subscript"/>
        <sz val="11"/>
        <color theme="1"/>
        <rFont val="Calibri"/>
        <family val="2"/>
        <scheme val="minor"/>
      </rPr>
      <t>4b</t>
    </r>
  </si>
  <si>
    <t>Correlation Results</t>
  </si>
  <si>
    <t>Inputs from Calculation spreadsheet</t>
  </si>
  <si>
    <t>Source:  Figure 7.5 (Gary, 2007)</t>
  </si>
  <si>
    <t>Source:  Figure 7.6 (Gary, 2007)</t>
  </si>
  <si>
    <t>Source:  Figure 7.4 (Gary, 2007)</t>
  </si>
  <si>
    <t>kg/day</t>
  </si>
  <si>
    <t>m3/day</t>
  </si>
  <si>
    <t>kg/day Feed</t>
  </si>
  <si>
    <t>LPG (C3 &amp; C4)</t>
  </si>
  <si>
    <t>kg/m3</t>
  </si>
  <si>
    <t>Total Cycle gas oil</t>
  </si>
  <si>
    <t>Conversion, Vol%</t>
  </si>
  <si>
    <t>Active Kw</t>
  </si>
  <si>
    <t>Active API Feed</t>
  </si>
  <si>
    <t>Vol expansion</t>
  </si>
  <si>
    <t>Zeolita</t>
  </si>
  <si>
    <t>Catalyst</t>
  </si>
  <si>
    <r>
      <t>X</t>
    </r>
    <r>
      <rPr>
        <vertAlign val="subscript"/>
        <sz val="11"/>
        <color theme="1"/>
        <rFont val="Calibri"/>
        <family val="2"/>
        <scheme val="minor"/>
      </rPr>
      <t>5</t>
    </r>
  </si>
  <si>
    <r>
      <t>X</t>
    </r>
    <r>
      <rPr>
        <vertAlign val="subscript"/>
        <sz val="11"/>
        <color theme="1"/>
        <rFont val="Calibri"/>
        <family val="2"/>
        <scheme val="minor"/>
      </rPr>
      <t>6</t>
    </r>
  </si>
  <si>
    <r>
      <t>X</t>
    </r>
    <r>
      <rPr>
        <vertAlign val="subscript"/>
        <sz val="11"/>
        <color theme="1"/>
        <rFont val="Calibri"/>
        <family val="2"/>
        <scheme val="minor"/>
      </rPr>
      <t>7</t>
    </r>
  </si>
  <si>
    <r>
      <t>X</t>
    </r>
    <r>
      <rPr>
        <vertAlign val="subscript"/>
        <sz val="11"/>
        <color theme="1"/>
        <rFont val="Calibri"/>
        <family val="2"/>
        <scheme val="minor"/>
      </rPr>
      <t>8</t>
    </r>
  </si>
  <si>
    <t>Wt%Coke</t>
  </si>
  <si>
    <r>
      <t>Y</t>
    </r>
    <r>
      <rPr>
        <vertAlign val="subscript"/>
        <sz val="11"/>
        <color theme="1"/>
        <rFont val="Calibri"/>
        <family val="2"/>
        <scheme val="minor"/>
      </rPr>
      <t>5</t>
    </r>
  </si>
  <si>
    <t>C5+</t>
  </si>
  <si>
    <r>
      <t>Y</t>
    </r>
    <r>
      <rPr>
        <vertAlign val="subscript"/>
        <sz val="11"/>
        <color theme="1"/>
        <rFont val="Calibri"/>
        <family val="2"/>
        <scheme val="minor"/>
      </rPr>
      <t>6</t>
    </r>
  </si>
  <si>
    <r>
      <t>Y</t>
    </r>
    <r>
      <rPr>
        <vertAlign val="subscript"/>
        <sz val="11"/>
        <color theme="1"/>
        <rFont val="Calibri"/>
        <family val="2"/>
        <scheme val="minor"/>
      </rPr>
      <t>7</t>
    </r>
  </si>
  <si>
    <r>
      <t>Y</t>
    </r>
    <r>
      <rPr>
        <vertAlign val="subscript"/>
        <sz val="11"/>
        <color theme="1"/>
        <rFont val="Calibri"/>
        <family val="2"/>
        <scheme val="minor"/>
      </rPr>
      <t>8</t>
    </r>
  </si>
  <si>
    <t>Product Density lb/gal</t>
  </si>
  <si>
    <t>HeavyCycle Gas Oil</t>
  </si>
  <si>
    <t>Total Cycle Gas Oil</t>
  </si>
  <si>
    <t xml:space="preserve">Gasoline </t>
  </si>
  <si>
    <t>API Feed</t>
  </si>
  <si>
    <t>m^3/d Feed</t>
  </si>
  <si>
    <t>Source:  Figure 6.18 (Gary, 2007)</t>
  </si>
  <si>
    <t>Source:  Figure 6.19 (Gary, 2007)</t>
  </si>
  <si>
    <t>Source:  Figure 6.20 (Gary, 2007)</t>
  </si>
  <si>
    <t>Source:  Figure 6.23(Gary, 2007)</t>
  </si>
  <si>
    <t>Source:  Figure 6.24 (Gary, 2007)</t>
  </si>
  <si>
    <t>Source:  Figure 6.27 (Gary, 2007)</t>
  </si>
  <si>
    <t>C3 and Lighthers</t>
  </si>
  <si>
    <r>
      <t>iC</t>
    </r>
    <r>
      <rPr>
        <b/>
        <vertAlign val="subscript"/>
        <sz val="11"/>
        <color theme="1"/>
        <rFont val="Calibri"/>
        <family val="2"/>
        <scheme val="minor"/>
      </rPr>
      <t xml:space="preserve">4 </t>
    </r>
    <r>
      <rPr>
        <b/>
        <sz val="11"/>
        <color theme="1"/>
        <rFont val="Calibri"/>
        <family val="2"/>
        <scheme val="minor"/>
      </rPr>
      <t>&amp; nC</t>
    </r>
    <r>
      <rPr>
        <b/>
        <vertAlign val="subscript"/>
        <sz val="11"/>
        <color theme="1"/>
        <rFont val="Calibri"/>
        <family val="2"/>
        <scheme val="minor"/>
      </rPr>
      <t>4</t>
    </r>
  </si>
  <si>
    <t>Hydrogen in HC gas</t>
  </si>
  <si>
    <t>Hydrogen in Liquid Products</t>
  </si>
  <si>
    <t>Hydrogen in Hydrocracker Feed</t>
  </si>
  <si>
    <t>Hydrogen to meet liquid product's specification</t>
  </si>
  <si>
    <t>Total Hydrogen Consumed</t>
  </si>
  <si>
    <t>scf per bbl feed</t>
  </si>
  <si>
    <t>H2 in Solution (Losses)</t>
  </si>
  <si>
    <t>Gas Oil Hydrocracker Products</t>
  </si>
  <si>
    <t>Severity</t>
  </si>
  <si>
    <t>Hydrogen Consumption</t>
  </si>
  <si>
    <t>H2S</t>
  </si>
  <si>
    <t>Gary Method</t>
  </si>
  <si>
    <t>MEG Method</t>
  </si>
  <si>
    <t>Total Hydrogen consumed</t>
  </si>
  <si>
    <t>Diesel +Fuel Oil</t>
  </si>
  <si>
    <t>HC Diesel specific reboil duty</t>
  </si>
  <si>
    <t>HC Diesel reboiler duty</t>
  </si>
  <si>
    <t>Fuel Oil Stripping Steam</t>
  </si>
  <si>
    <t>Fuel Oil Total Stripping Steam</t>
  </si>
  <si>
    <t>Defined by mass balance</t>
  </si>
  <si>
    <t>Diesel+Fuel Oil</t>
  </si>
  <si>
    <t>Nitrogen</t>
  </si>
  <si>
    <t>FCC Yield Assumptions</t>
  </si>
  <si>
    <t>Sulfur Distribution</t>
  </si>
  <si>
    <t>wt% of Feed Sulfur</t>
  </si>
  <si>
    <t>S 
(wt%)</t>
  </si>
  <si>
    <t>H2 liquid contribution  
kg S per 100 Kg of Liquids Products</t>
  </si>
  <si>
    <t>H2 distribution in Liquids wt%</t>
  </si>
  <si>
    <t>H2 distribution (kg of H2)</t>
  </si>
  <si>
    <t>H2
(wt%)</t>
  </si>
  <si>
    <t>Coking Refinery</t>
  </si>
  <si>
    <t>HydroRefinery</t>
  </si>
  <si>
    <t>Hydro Refinery</t>
  </si>
  <si>
    <t>Hydrorefinery</t>
  </si>
  <si>
    <t>H2 wt% in liquids:</t>
  </si>
  <si>
    <t>TGO</t>
  </si>
  <si>
    <t>To Slurry Oil</t>
  </si>
  <si>
    <t>Nm3/m3/wt% change</t>
  </si>
  <si>
    <t>Hydrogen Consumed for denitrogenation reaction</t>
  </si>
  <si>
    <t>RHC  Liquids Product</t>
  </si>
  <si>
    <t>Nitrogen wt ppm</t>
  </si>
  <si>
    <t>wt ppm</t>
  </si>
  <si>
    <t>Source</t>
  </si>
  <si>
    <t xml:space="preserve">Hydrotreating_Coker Naphtha </t>
  </si>
  <si>
    <t>Yield Calculation Method</t>
  </si>
  <si>
    <t>Coking Refinery Hydrogen make up</t>
  </si>
  <si>
    <t>HC Refinery Hydrogen make up</t>
  </si>
  <si>
    <t>(Default)</t>
  </si>
  <si>
    <t>LPG, C3+C4</t>
  </si>
  <si>
    <t>Heating Fuel</t>
  </si>
  <si>
    <t>kWh/scf H2</t>
  </si>
  <si>
    <t>PSA off-gas</t>
  </si>
  <si>
    <t>PSA OFF GAS or Chemical Reaction Emissions</t>
  </si>
  <si>
    <t>PSA Off Gas or Chemical Reaction</t>
  </si>
  <si>
    <t>Fraction of carbon in Natural Gas used for chemical reaction</t>
  </si>
  <si>
    <t>Hydrotreating</t>
  </si>
  <si>
    <t>Crude Unit</t>
  </si>
  <si>
    <t xml:space="preserve">Hydrogen consumption: </t>
  </si>
  <si>
    <t>Naphtha + Diesel + Gas Oil fuel demand</t>
  </si>
  <si>
    <t xml:space="preserve">scf/bbl </t>
  </si>
  <si>
    <t xml:space="preserve">Total Fuel </t>
  </si>
  <si>
    <t>Mscf/d</t>
  </si>
  <si>
    <t>Reactor</t>
  </si>
  <si>
    <t>lb/bbl fuel oil</t>
  </si>
  <si>
    <t>kWh/bbl fractionator feed</t>
  </si>
  <si>
    <t xml:space="preserve">lb/bbl </t>
  </si>
  <si>
    <t>lb/bbl at 900 Psig</t>
  </si>
  <si>
    <t>Diesel H2 Content Objective</t>
  </si>
  <si>
    <t>Diesel Sulphur Content</t>
  </si>
  <si>
    <t>Diesel Hydrogen Content</t>
  </si>
  <si>
    <t>Diesel Density</t>
  </si>
  <si>
    <t>Diesel Nitrogen Content</t>
  </si>
  <si>
    <t>Diesel Blending</t>
  </si>
  <si>
    <t>Hydrotreated Diesel</t>
  </si>
  <si>
    <t>Blended ULSD</t>
  </si>
  <si>
    <t xml:space="preserve">HC Gasoline </t>
  </si>
  <si>
    <t>N</t>
  </si>
  <si>
    <t>ppm wt</t>
  </si>
  <si>
    <t>HT Diesel</t>
  </si>
  <si>
    <t>Diesel Hydrotreater and Blending</t>
  </si>
  <si>
    <t>Diesel Sulphur Content Objective</t>
  </si>
  <si>
    <t>Gasoline Sulphur Content Objective</t>
  </si>
  <si>
    <t>Hydrotreater Feed</t>
  </si>
  <si>
    <t>LSR &amp; HSR Naphtha</t>
  </si>
  <si>
    <t>kWh/bbl total HC liquids</t>
  </si>
  <si>
    <t>Inlet Temperature</t>
  </si>
  <si>
    <t>Outlet Temperature</t>
  </si>
  <si>
    <t>Oulet Tempeture</t>
  </si>
  <si>
    <t>Petroleum Fraction Enthalpy</t>
  </si>
  <si>
    <t>Kj/kg</t>
  </si>
  <si>
    <t>LSR</t>
  </si>
  <si>
    <t>SMR</t>
  </si>
  <si>
    <t>Coker Furnace/Resid Hydrocracker Furnace</t>
  </si>
  <si>
    <t>Coker Fractionator / Resid Hydrocracker  Fractionator</t>
  </si>
  <si>
    <t xml:space="preserve">Gas Oil Hydrocracker </t>
  </si>
  <si>
    <t>Vac Tower  and Furnace</t>
  </si>
  <si>
    <t>Gas Oil Hydrocracker and Fractionator</t>
  </si>
  <si>
    <t>FCC and Main Fractionator</t>
  </si>
  <si>
    <t>Included Hydroskimming Configuration</t>
  </si>
  <si>
    <t>Hydroskimming (Basic Configuration)</t>
  </si>
  <si>
    <t>Medium and Deep Conversion</t>
  </si>
  <si>
    <t>Deep Conversion</t>
  </si>
  <si>
    <t>Hydroskimming Refinery</t>
  </si>
  <si>
    <t>oAPI</t>
  </si>
  <si>
    <t>RFG</t>
  </si>
  <si>
    <t>Allocation without use of refinery byproducts (Reformer Hydrogen and RFG)</t>
  </si>
  <si>
    <t xml:space="preserve">Allocation of Energy supply from Refinery byproducts (Reformer Hydrogen and RFG) to the Products </t>
  </si>
  <si>
    <t>Total RFG production MJ/d</t>
  </si>
  <si>
    <t>RFG to be allocated to SMR</t>
  </si>
  <si>
    <t>Excess of RFG</t>
  </si>
  <si>
    <t>Allocation of Energy supply from Refinery fuel gas (RFG)</t>
  </si>
  <si>
    <t>RFG MJ/d</t>
  </si>
  <si>
    <t>Surplus of Hydrogen</t>
  </si>
  <si>
    <t>Surplus of Hydrogen from reformer</t>
  </si>
  <si>
    <t>Refinery Flue Gas</t>
  </si>
  <si>
    <t>Allocation Surplus of RFG</t>
  </si>
  <si>
    <t>Light Ends (RFG)</t>
  </si>
  <si>
    <t>Amine Treatment (Acid Gas Removal)</t>
  </si>
  <si>
    <t>Eliminate</t>
  </si>
  <si>
    <t>kWh/ton coke</t>
  </si>
  <si>
    <t>kWh/kg coke</t>
  </si>
  <si>
    <t>kWh/Ton coke</t>
  </si>
  <si>
    <t>Coke combustion energy</t>
  </si>
  <si>
    <t>kg/bbl feed</t>
  </si>
  <si>
    <t>kg/bbl</t>
  </si>
  <si>
    <t>Amine Circulation rate</t>
  </si>
  <si>
    <t>Handbook of Petroleum Processing Chapter 10</t>
  </si>
  <si>
    <t>Acid Gas, kmol/d</t>
  </si>
  <si>
    <t>H2S absorbed in the amine</t>
  </si>
  <si>
    <t xml:space="preserve">Amine ratio </t>
  </si>
  <si>
    <t>moles amine/ mole H2S</t>
  </si>
  <si>
    <t>Moles amine circulating</t>
  </si>
  <si>
    <t>kmol/d</t>
  </si>
  <si>
    <t>Amine solution</t>
  </si>
  <si>
    <t>wt</t>
  </si>
  <si>
    <t>Amine solution circulation rate</t>
  </si>
  <si>
    <t>lb/gal MEA</t>
  </si>
  <si>
    <t>lb/gal Water</t>
  </si>
  <si>
    <t>m3/d</t>
  </si>
  <si>
    <t>kWh/ m3 amine sln circulation</t>
  </si>
  <si>
    <t>MJ/ m3 amine sln circulation</t>
  </si>
  <si>
    <t>Total Fuel</t>
  </si>
  <si>
    <t>Claus Sulfur recovery</t>
  </si>
  <si>
    <t>MJ/Ton of Sulfur</t>
  </si>
  <si>
    <t>kWh/Ton of Sulfur</t>
  </si>
  <si>
    <t>kg/Ton Sulfur</t>
  </si>
  <si>
    <t>250 psia:1200 Btu/lb</t>
  </si>
  <si>
    <t>MJ/Ton steam</t>
  </si>
  <si>
    <t>C wt%</t>
  </si>
  <si>
    <t>Mass Basis</t>
  </si>
  <si>
    <t>Energy Basis</t>
  </si>
  <si>
    <t>Market Value Basis</t>
  </si>
  <si>
    <t>Process Level Allocation</t>
  </si>
  <si>
    <t>Active</t>
  </si>
  <si>
    <t>Price</t>
  </si>
  <si>
    <t>$/bbl</t>
  </si>
  <si>
    <t>Heat</t>
  </si>
  <si>
    <t>RFG to be allocated after fuel gas use in heat requirement of main processes</t>
  </si>
  <si>
    <t>Heat requirement of main Processes</t>
  </si>
  <si>
    <t>Steam requirement of main processes</t>
  </si>
  <si>
    <t>Hydrogen via SMR</t>
  </si>
  <si>
    <t>RFG, heat SMR</t>
  </si>
  <si>
    <t>Natural Gas, Heat SMR</t>
  </si>
  <si>
    <t>Heat, SMR</t>
  </si>
  <si>
    <t>Feedstock, SMR</t>
  </si>
  <si>
    <t>Steam Heat,SMR</t>
  </si>
  <si>
    <t>Steam Heat</t>
  </si>
  <si>
    <t>Steam Electricity</t>
  </si>
  <si>
    <t>GHG Emissions without use of refinery Heat (RFG)</t>
  </si>
  <si>
    <t>Steam RFG</t>
  </si>
  <si>
    <t>Steam Natural Gas</t>
  </si>
  <si>
    <t>RFG, Feed SMR</t>
  </si>
  <si>
    <t>Natural Gas, Feed SMR</t>
  </si>
  <si>
    <t>MJ / MJ RFG</t>
  </si>
  <si>
    <t>Upstream RFG Emissions</t>
  </si>
  <si>
    <t>Combustion RFG Emissions [4]</t>
  </si>
  <si>
    <t>Grams per  MJ RFG</t>
  </si>
  <si>
    <t xml:space="preserve">[4] It changes with the RFG composition. So far, It is assumed to be similar to that of natural gas combustion. The total value upstream and combustion is 62.81 grams per MJ. </t>
  </si>
  <si>
    <t>Allocation of Hydrogen from Naphtha Catalytic Reformer</t>
  </si>
  <si>
    <t>Allocation without use of refinery byproducts (Naphtha Catalytic Reformer Hydrogen and RFG)</t>
  </si>
  <si>
    <t>Refinery Heat</t>
  </si>
  <si>
    <t>GHG Emissions: No use of refinery Heat (RFG)</t>
  </si>
  <si>
    <t>RFG to be allocated after Heat use in main processes</t>
  </si>
  <si>
    <t>Combustion Heat</t>
  </si>
  <si>
    <t>FCC Cat. Regeneration</t>
  </si>
  <si>
    <t>Steam Heat, SMR</t>
  </si>
  <si>
    <t>Hydrogen via CNR</t>
  </si>
  <si>
    <t xml:space="preserve">Allocation </t>
  </si>
  <si>
    <t>Hydrogen Content Basis</t>
  </si>
  <si>
    <t>DHc</t>
  </si>
  <si>
    <t>Min</t>
  </si>
  <si>
    <t>Max</t>
  </si>
  <si>
    <t>Sweet Vacuum Gas Oil</t>
  </si>
  <si>
    <t>Vacuum Resid</t>
  </si>
  <si>
    <t>Pentanes</t>
  </si>
  <si>
    <t>Offspec Distillate Sp. Gr 0.82</t>
  </si>
  <si>
    <t>Isobutane</t>
  </si>
  <si>
    <t>$/kg</t>
  </si>
  <si>
    <t>W</t>
  </si>
  <si>
    <t>W*</t>
  </si>
  <si>
    <t>WC</t>
  </si>
  <si>
    <t>Weight (Wm  in mass basis) accounting for all output streams</t>
  </si>
  <si>
    <t>Weight accounting for the selected streams for allocation</t>
  </si>
  <si>
    <t>Weight accounting for x stream (e.g. G= off gases, H=Reformer Hydrogen, C= Coke)</t>
  </si>
  <si>
    <t>Wx</t>
  </si>
  <si>
    <t>Energy consumption by process from Cokerrefinery_Process Energy sheet</t>
  </si>
  <si>
    <t>Allocation to Gasoline, Kerosene, and Diesel products can be affected by alternative allocation of Energy and Emissions to</t>
  </si>
  <si>
    <t xml:space="preserve">Average </t>
  </si>
  <si>
    <t>RFG CO2 emissions</t>
  </si>
  <si>
    <t>Carbon kg/d</t>
  </si>
  <si>
    <t>CO2 kg/d</t>
  </si>
  <si>
    <t xml:space="preserve">kg CO2/kg RFG </t>
  </si>
  <si>
    <t>Jet Fuel A</t>
  </si>
  <si>
    <t>Conv Gasoline</t>
  </si>
  <si>
    <t>Used for  HC Gasoline</t>
  </si>
  <si>
    <t>Used for HC Diesel and HT Diesel</t>
  </si>
  <si>
    <t>Reformer feed naphtha Sp Gr. range 0.734 to 0.823</t>
  </si>
  <si>
    <t>Residual oil Sp Gr. Range 0.794 to 1.014</t>
  </si>
  <si>
    <t>Used also for Resid and Coke Naphtha</t>
  </si>
  <si>
    <t>Offspec Distillate Sp. Gr 0.86. Used also for Resid HC Diesel</t>
  </si>
  <si>
    <t>Sour Vacuum Gas Oil. Uased also for Coker Gas Oil and Resid HC Gas Oil</t>
  </si>
  <si>
    <t>Assay #</t>
  </si>
  <si>
    <t>RFG Carbon Content</t>
  </si>
  <si>
    <t>HC Residum Refinery</t>
  </si>
  <si>
    <t>wt% Feed</t>
  </si>
  <si>
    <t>HC Gas yield</t>
  </si>
  <si>
    <t>Verification mass balance</t>
  </si>
  <si>
    <t>Balance of RFG</t>
  </si>
  <si>
    <t>Constants for use in Calculations</t>
  </si>
  <si>
    <t>Emissions of Steam Production (Natural Gas use for all purposes)</t>
  </si>
  <si>
    <t>Emissions of Hydrogen Production via SMR (Natural Gas Use for all Purposes)</t>
  </si>
  <si>
    <t>[1] GREET1_8c_0 values are the same for both coke and coal Combustion</t>
  </si>
  <si>
    <t>n.a.</t>
  </si>
  <si>
    <t>bbl.day</t>
  </si>
  <si>
    <t>Default</t>
  </si>
  <si>
    <t>Average</t>
  </si>
  <si>
    <t>Median</t>
  </si>
  <si>
    <t>Mode</t>
  </si>
  <si>
    <t>Process Unit Capacity</t>
  </si>
  <si>
    <t>Atmospheric Crude Distillation</t>
  </si>
  <si>
    <t>Calc</t>
  </si>
  <si>
    <t>Steam Consuption</t>
  </si>
  <si>
    <t>Ref: Gary et al</t>
  </si>
  <si>
    <t>no available</t>
  </si>
  <si>
    <t>Hydrotreating_Resid-Hydrocracker  Naphtha</t>
  </si>
  <si>
    <t>100-300</t>
  </si>
  <si>
    <t>Steam Consumption</t>
  </si>
  <si>
    <t>30-40</t>
  </si>
  <si>
    <t>140-350</t>
  </si>
  <si>
    <t>20-30</t>
  </si>
  <si>
    <t>500-700</t>
  </si>
  <si>
    <t>10-20</t>
  </si>
  <si>
    <t>Approximation:</t>
  </si>
  <si>
    <t>Approximation based on Gary et al. data</t>
  </si>
  <si>
    <t>Alky Steam</t>
  </si>
  <si>
    <t>Calculation using utility factor from Gary et al:  1200 BTU of fuel/lb steam</t>
  </si>
  <si>
    <t>Fixed Yield Method</t>
  </si>
  <si>
    <t>Mechanical losses</t>
  </si>
  <si>
    <t>Fixed Process</t>
  </si>
  <si>
    <t>bpsd</t>
  </si>
  <si>
    <t>MMCFD</t>
  </si>
  <si>
    <t>n.a</t>
  </si>
  <si>
    <t>Ton CO2eq/d</t>
  </si>
  <si>
    <t>Net Natural Gas Requirement</t>
  </si>
  <si>
    <t>Offsets</t>
  </si>
  <si>
    <t>Steam Production</t>
  </si>
  <si>
    <t>Burden</t>
  </si>
  <si>
    <t>Mechanical Losses</t>
  </si>
  <si>
    <t>Default Process Energy Requirements</t>
  </si>
  <si>
    <t>Steam+Heat</t>
  </si>
  <si>
    <t>See references for gas oil hydrocracking</t>
  </si>
  <si>
    <t>Fluid Catalytic Cracking FCC</t>
  </si>
  <si>
    <t>FCC Process Unit</t>
  </si>
  <si>
    <t>Alkylation Process Unit</t>
  </si>
  <si>
    <t xml:space="preserve">Fixed Process Units Capacities </t>
  </si>
  <si>
    <t>Float Case: Crude Oil GHG Burden</t>
  </si>
  <si>
    <t>Power Requirement</t>
  </si>
  <si>
    <t>GREET values [1]</t>
  </si>
  <si>
    <t xml:space="preserve">grams per mmBtu of fuel burned </t>
  </si>
  <si>
    <t>CO2 from chemical transformation</t>
  </si>
  <si>
    <t>Ratio Process Units Capacities</t>
  </si>
  <si>
    <t>Gasoline  Hydrotreating to Atm Unit</t>
  </si>
  <si>
    <t>Kerosene Hydrotreater to Amt Unit</t>
  </si>
  <si>
    <t>Diesel Hydrotreater to Amt Unit</t>
  </si>
  <si>
    <t>Vacuum Tower to Atm Unit</t>
  </si>
  <si>
    <t>FCC to Atm Unit</t>
  </si>
  <si>
    <t>NCR to Atms Unit</t>
  </si>
  <si>
    <t>Isomerization to Atm Unit</t>
  </si>
  <si>
    <t>Isomerization to NCR</t>
  </si>
  <si>
    <t>MODE</t>
  </si>
  <si>
    <t>Apply in the model</t>
  </si>
  <si>
    <t>SRN</t>
  </si>
  <si>
    <t>LSRN</t>
  </si>
  <si>
    <t>KEROSENE</t>
  </si>
  <si>
    <t>LVGO /(LVGO+HVGO)</t>
  </si>
  <si>
    <t>VGO: Balance AGO (AGO mass balance ATM Distillation)</t>
  </si>
  <si>
    <t>Electricity (Steam &amp;/or Power), SMR</t>
  </si>
  <si>
    <t>BRG</t>
  </si>
  <si>
    <t>RFG as product instead of process fuel</t>
  </si>
  <si>
    <t>Product Slate (Mass Flow Rates)</t>
  </si>
  <si>
    <t>Residue Hydrocracker Residue</t>
  </si>
  <si>
    <t>CL</t>
  </si>
  <si>
    <t>Assay#</t>
  </si>
  <si>
    <t>Conv,So,L</t>
  </si>
  <si>
    <t>ANS</t>
  </si>
  <si>
    <t>MWS</t>
  </si>
  <si>
    <t>BL</t>
  </si>
  <si>
    <t>Conv,Sw,L1</t>
  </si>
  <si>
    <t>Authors:</t>
  </si>
  <si>
    <t>What is PRELIM?</t>
  </si>
  <si>
    <t>Brief Description of Worksheets</t>
  </si>
  <si>
    <t>Variables currently used</t>
  </si>
  <si>
    <t>Objective 2: Specific Product slate  (bbl %)</t>
  </si>
  <si>
    <t>G/D ratio</t>
  </si>
  <si>
    <t xml:space="preserve">Objective 1: Gasoline and Diesel production ratio </t>
  </si>
  <si>
    <t>Product</t>
  </si>
  <si>
    <t>Process</t>
  </si>
  <si>
    <t>B- Assign share to:</t>
  </si>
  <si>
    <t>A- Define shares between gasoline and diesel</t>
  </si>
  <si>
    <t xml:space="preserve">Coker / Resid Hydrocracker </t>
  </si>
  <si>
    <t>Source: Petroleum Refining  Thecnology and Economics</t>
  </si>
  <si>
    <t>#</t>
  </si>
  <si>
    <t>Please do not modify</t>
  </si>
  <si>
    <t>Static offset</t>
  </si>
  <si>
    <t>Current Selection</t>
  </si>
  <si>
    <t>CRUDE SELECTOR</t>
  </si>
  <si>
    <t>AVAILABLE CRUDES</t>
  </si>
  <si>
    <t>% by volume</t>
  </si>
  <si>
    <r>
      <rPr>
        <vertAlign val="superscript"/>
        <sz val="10"/>
        <rFont val="Calibri"/>
        <family val="2"/>
        <scheme val="minor"/>
      </rPr>
      <t>O</t>
    </r>
    <r>
      <rPr>
        <sz val="10"/>
        <rFont val="Calibri"/>
        <family val="2"/>
        <scheme val="minor"/>
      </rPr>
      <t>K</t>
    </r>
  </si>
  <si>
    <t>D Entalphy MJ</t>
  </si>
  <si>
    <t>Base Flow bbl/d</t>
  </si>
  <si>
    <t>Base Flow kg/d</t>
  </si>
  <si>
    <t>Base Density kg/m^3</t>
  </si>
  <si>
    <t>Total Flow</t>
  </si>
  <si>
    <t>Naphtha Swing</t>
  </si>
  <si>
    <t>Naphtha-Kero Swing</t>
  </si>
  <si>
    <t>Kero Swing</t>
  </si>
  <si>
    <t>Kero-Diesel Swing</t>
  </si>
  <si>
    <t>Diesel Swing</t>
  </si>
  <si>
    <t>Diesel-AGO Swing</t>
  </si>
  <si>
    <t>AGO Swing</t>
  </si>
  <si>
    <t>Swing Reduction</t>
  </si>
  <si>
    <t>% To Light</t>
  </si>
  <si>
    <t>% To Heavy</t>
  </si>
  <si>
    <t>Swing-reduced vol flow</t>
  </si>
  <si>
    <t>Vol To Light</t>
  </si>
  <si>
    <t>Vol To Heavy</t>
  </si>
  <si>
    <t>Swing-reduced mass flow</t>
  </si>
  <si>
    <t>Mass to Light</t>
  </si>
  <si>
    <t>Mass To Heavy</t>
  </si>
  <si>
    <t>Kero Product</t>
  </si>
  <si>
    <t>AGO Product</t>
  </si>
  <si>
    <r>
      <t xml:space="preserve">AGO </t>
    </r>
    <r>
      <rPr>
        <b/>
        <vertAlign val="subscript"/>
        <sz val="10"/>
        <rFont val="Calibri"/>
        <family val="2"/>
        <scheme val="minor"/>
      </rPr>
      <t>SWING</t>
    </r>
  </si>
  <si>
    <r>
      <t>C</t>
    </r>
    <r>
      <rPr>
        <b/>
        <vertAlign val="subscript"/>
        <sz val="11"/>
        <color theme="1"/>
        <rFont val="Calibri"/>
        <family val="2"/>
        <scheme val="minor"/>
      </rPr>
      <t>5</t>
    </r>
    <r>
      <rPr>
        <b/>
        <sz val="10"/>
        <rFont val="Calibri"/>
        <family val="2"/>
        <scheme val="minor"/>
      </rPr>
      <t>-180</t>
    </r>
    <r>
      <rPr>
        <b/>
        <vertAlign val="superscript"/>
        <sz val="11"/>
        <color theme="1"/>
        <rFont val="Calibri"/>
        <family val="2"/>
        <scheme val="minor"/>
      </rPr>
      <t>o</t>
    </r>
    <r>
      <rPr>
        <b/>
        <sz val="10"/>
        <rFont val="Calibri"/>
        <family val="2"/>
        <scheme val="minor"/>
      </rPr>
      <t xml:space="preserve"> F Naphtha</t>
    </r>
  </si>
  <si>
    <r>
      <t>180</t>
    </r>
    <r>
      <rPr>
        <b/>
        <vertAlign val="superscript"/>
        <sz val="11"/>
        <color theme="1"/>
        <rFont val="Calibri"/>
        <family val="2"/>
        <scheme val="minor"/>
      </rPr>
      <t>o</t>
    </r>
    <r>
      <rPr>
        <b/>
        <sz val="10"/>
        <rFont val="Calibri"/>
        <family val="2"/>
        <scheme val="minor"/>
      </rPr>
      <t xml:space="preserve"> -400</t>
    </r>
    <r>
      <rPr>
        <b/>
        <vertAlign val="superscript"/>
        <sz val="11"/>
        <color theme="1"/>
        <rFont val="Calibri"/>
        <family val="2"/>
        <scheme val="minor"/>
      </rPr>
      <t>o</t>
    </r>
    <r>
      <rPr>
        <b/>
        <sz val="10"/>
        <rFont val="Calibri"/>
        <family val="2"/>
        <scheme val="minor"/>
      </rPr>
      <t xml:space="preserve"> F Naphtha</t>
    </r>
  </si>
  <si>
    <r>
      <t>400+</t>
    </r>
    <r>
      <rPr>
        <b/>
        <vertAlign val="superscript"/>
        <sz val="11"/>
        <color theme="1"/>
        <rFont val="Calibri"/>
        <family val="2"/>
        <scheme val="minor"/>
      </rPr>
      <t>o</t>
    </r>
    <r>
      <rPr>
        <b/>
        <sz val="10"/>
        <rFont val="Calibri"/>
        <family val="2"/>
        <scheme val="minor"/>
      </rPr>
      <t xml:space="preserve"> F Streams </t>
    </r>
  </si>
  <si>
    <t>D Entalphy kj/kg</t>
  </si>
  <si>
    <t>f(d)=(a'/(b'*d+c'))-d'</t>
  </si>
  <si>
    <t>*d= density in kg per cubic decimeter</t>
  </si>
  <si>
    <t xml:space="preserve">*d= </t>
  </si>
  <si>
    <r>
      <t>Linear interpolation between two data points (</t>
    </r>
    <r>
      <rPr>
        <i/>
        <sz val="10"/>
        <color rgb="FF000000"/>
        <rFont val="Calibri"/>
        <family val="2"/>
        <scheme val="minor"/>
      </rPr>
      <t>x</t>
    </r>
    <r>
      <rPr>
        <i/>
        <vertAlign val="subscript"/>
        <sz val="10"/>
        <color rgb="FF000000"/>
        <rFont val="Calibri"/>
        <family val="2"/>
        <scheme val="minor"/>
      </rPr>
      <t>a</t>
    </r>
    <r>
      <rPr>
        <sz val="10"/>
        <color rgb="FF000000"/>
        <rFont val="Calibri"/>
        <family val="2"/>
        <scheme val="minor"/>
      </rPr>
      <t>,</t>
    </r>
    <r>
      <rPr>
        <i/>
        <sz val="10"/>
        <color rgb="FF000000"/>
        <rFont val="Calibri"/>
        <family val="2"/>
        <scheme val="minor"/>
      </rPr>
      <t>y</t>
    </r>
    <r>
      <rPr>
        <i/>
        <vertAlign val="subscript"/>
        <sz val="10"/>
        <color rgb="FF000000"/>
        <rFont val="Calibri"/>
        <family val="2"/>
        <scheme val="minor"/>
      </rPr>
      <t>a</t>
    </r>
    <r>
      <rPr>
        <sz val="10"/>
        <color rgb="FF000000"/>
        <rFont val="Calibri"/>
        <family val="2"/>
        <scheme val="minor"/>
      </rPr>
      <t>) and (</t>
    </r>
    <r>
      <rPr>
        <i/>
        <sz val="10"/>
        <color rgb="FF000000"/>
        <rFont val="Calibri"/>
        <family val="2"/>
        <scheme val="minor"/>
      </rPr>
      <t>x</t>
    </r>
    <r>
      <rPr>
        <i/>
        <vertAlign val="subscript"/>
        <sz val="10"/>
        <color rgb="FF000000"/>
        <rFont val="Calibri"/>
        <family val="2"/>
        <scheme val="minor"/>
      </rPr>
      <t>b</t>
    </r>
    <r>
      <rPr>
        <sz val="10"/>
        <color rgb="FF000000"/>
        <rFont val="Calibri"/>
        <family val="2"/>
        <scheme val="minor"/>
      </rPr>
      <t>,</t>
    </r>
    <r>
      <rPr>
        <i/>
        <sz val="10"/>
        <color rgb="FF000000"/>
        <rFont val="Calibri"/>
        <family val="2"/>
        <scheme val="minor"/>
      </rPr>
      <t>y</t>
    </r>
    <r>
      <rPr>
        <i/>
        <vertAlign val="subscript"/>
        <sz val="10"/>
        <color rgb="FF000000"/>
        <rFont val="Calibri"/>
        <family val="2"/>
        <scheme val="minor"/>
      </rPr>
      <t>b</t>
    </r>
    <r>
      <rPr>
        <sz val="10"/>
        <color rgb="FF000000"/>
        <rFont val="Calibri"/>
        <family val="2"/>
        <scheme val="minor"/>
      </rPr>
      <t>) is used:</t>
    </r>
  </si>
  <si>
    <r>
      <rPr>
        <vertAlign val="superscript"/>
        <sz val="11"/>
        <color theme="1"/>
        <rFont val="Calibri"/>
        <family val="2"/>
        <scheme val="minor"/>
      </rPr>
      <t>o</t>
    </r>
    <r>
      <rPr>
        <sz val="10"/>
        <rFont val="Calibri"/>
        <family val="2"/>
        <scheme val="minor"/>
      </rPr>
      <t>API</t>
    </r>
    <r>
      <rPr>
        <vertAlign val="subscript"/>
        <sz val="11"/>
        <color theme="1"/>
        <rFont val="Calibri"/>
        <family val="2"/>
        <scheme val="minor"/>
      </rPr>
      <t xml:space="preserve"> feed</t>
    </r>
  </si>
  <si>
    <r>
      <t>Vol% C</t>
    </r>
    <r>
      <rPr>
        <vertAlign val="subscript"/>
        <sz val="11"/>
        <color theme="1"/>
        <rFont val="Calibri"/>
        <family val="2"/>
        <scheme val="minor"/>
      </rPr>
      <t>5</t>
    </r>
    <r>
      <rPr>
        <sz val="10"/>
        <rFont val="Calibri"/>
        <family val="2"/>
        <scheme val="minor"/>
      </rPr>
      <t>-180</t>
    </r>
    <r>
      <rPr>
        <vertAlign val="superscript"/>
        <sz val="11"/>
        <color theme="1"/>
        <rFont val="Calibri"/>
        <family val="2"/>
        <scheme val="minor"/>
      </rPr>
      <t>o</t>
    </r>
    <r>
      <rPr>
        <sz val="10"/>
        <rFont val="Calibri"/>
        <family val="2"/>
        <scheme val="minor"/>
      </rPr>
      <t xml:space="preserve"> F Naphtha</t>
    </r>
  </si>
  <si>
    <r>
      <t>Vol% yield 180</t>
    </r>
    <r>
      <rPr>
        <vertAlign val="superscript"/>
        <sz val="11"/>
        <color theme="1"/>
        <rFont val="Calibri"/>
        <family val="2"/>
        <scheme val="minor"/>
      </rPr>
      <t>o</t>
    </r>
    <r>
      <rPr>
        <sz val="10"/>
        <rFont val="Calibri"/>
        <family val="2"/>
        <scheme val="minor"/>
      </rPr>
      <t xml:space="preserve"> -400</t>
    </r>
    <r>
      <rPr>
        <vertAlign val="superscript"/>
        <sz val="11"/>
        <color theme="1"/>
        <rFont val="Calibri"/>
        <family val="2"/>
        <scheme val="minor"/>
      </rPr>
      <t>o</t>
    </r>
    <r>
      <rPr>
        <sz val="10"/>
        <rFont val="Calibri"/>
        <family val="2"/>
        <scheme val="minor"/>
      </rPr>
      <t xml:space="preserve"> F Naphtha</t>
    </r>
  </si>
  <si>
    <r>
      <t>400+</t>
    </r>
    <r>
      <rPr>
        <vertAlign val="superscript"/>
        <sz val="11"/>
        <color theme="1"/>
        <rFont val="Calibri"/>
        <family val="2"/>
        <scheme val="minor"/>
      </rPr>
      <t>o</t>
    </r>
    <r>
      <rPr>
        <sz val="10"/>
        <rFont val="Calibri"/>
        <family val="2"/>
        <scheme val="minor"/>
      </rPr>
      <t xml:space="preserve"> F Streams</t>
    </r>
  </si>
  <si>
    <r>
      <t>C</t>
    </r>
    <r>
      <rPr>
        <vertAlign val="subscript"/>
        <sz val="11"/>
        <color theme="1"/>
        <rFont val="Calibri"/>
        <family val="2"/>
        <scheme val="minor"/>
      </rPr>
      <t>5</t>
    </r>
    <r>
      <rPr>
        <sz val="10"/>
        <rFont val="Calibri"/>
        <family val="2"/>
        <scheme val="minor"/>
      </rPr>
      <t>-180</t>
    </r>
    <r>
      <rPr>
        <vertAlign val="superscript"/>
        <sz val="11"/>
        <color theme="1"/>
        <rFont val="Calibri"/>
        <family val="2"/>
        <scheme val="minor"/>
      </rPr>
      <t>o</t>
    </r>
    <r>
      <rPr>
        <sz val="10"/>
        <rFont val="Calibri"/>
        <family val="2"/>
        <scheme val="minor"/>
      </rPr>
      <t xml:space="preserve"> F Naphtha</t>
    </r>
  </si>
  <si>
    <r>
      <rPr>
        <b/>
        <vertAlign val="superscript"/>
        <sz val="11"/>
        <color rgb="FFFF0000"/>
        <rFont val="Calibri"/>
        <family val="2"/>
        <scheme val="minor"/>
      </rPr>
      <t>o</t>
    </r>
    <r>
      <rPr>
        <b/>
        <sz val="10"/>
        <color rgb="FFFF0000"/>
        <rFont val="Calibri"/>
        <family val="2"/>
        <scheme val="minor"/>
      </rPr>
      <t xml:space="preserve"> F </t>
    </r>
  </si>
  <si>
    <r>
      <t>180</t>
    </r>
    <r>
      <rPr>
        <vertAlign val="superscript"/>
        <sz val="11"/>
        <color theme="1"/>
        <rFont val="Calibri"/>
        <family val="2"/>
        <scheme val="minor"/>
      </rPr>
      <t>o</t>
    </r>
    <r>
      <rPr>
        <sz val="10"/>
        <rFont val="Calibri"/>
        <family val="2"/>
        <scheme val="minor"/>
      </rPr>
      <t xml:space="preserve"> -400</t>
    </r>
    <r>
      <rPr>
        <vertAlign val="superscript"/>
        <sz val="11"/>
        <color theme="1"/>
        <rFont val="Calibri"/>
        <family val="2"/>
        <scheme val="minor"/>
      </rPr>
      <t>o</t>
    </r>
    <r>
      <rPr>
        <sz val="10"/>
        <rFont val="Calibri"/>
        <family val="2"/>
        <scheme val="minor"/>
      </rPr>
      <t xml:space="preserve"> F Naphtha</t>
    </r>
  </si>
  <si>
    <r>
      <t>Vol% C</t>
    </r>
    <r>
      <rPr>
        <b/>
        <vertAlign val="subscript"/>
        <sz val="11"/>
        <rFont val="Calibri"/>
        <family val="2"/>
        <scheme val="minor"/>
      </rPr>
      <t>5</t>
    </r>
    <r>
      <rPr>
        <b/>
        <sz val="10"/>
        <rFont val="Calibri"/>
        <family val="2"/>
        <scheme val="minor"/>
      </rPr>
      <t>-180</t>
    </r>
    <r>
      <rPr>
        <b/>
        <vertAlign val="superscript"/>
        <sz val="11"/>
        <rFont val="Calibri"/>
        <family val="2"/>
        <scheme val="minor"/>
      </rPr>
      <t>o</t>
    </r>
    <r>
      <rPr>
        <b/>
        <sz val="10"/>
        <rFont val="Calibri"/>
        <family val="2"/>
        <scheme val="minor"/>
      </rPr>
      <t xml:space="preserve"> F Naphtha</t>
    </r>
  </si>
  <si>
    <r>
      <t>Vol% yield 180</t>
    </r>
    <r>
      <rPr>
        <b/>
        <vertAlign val="superscript"/>
        <sz val="11"/>
        <color theme="1"/>
        <rFont val="Calibri"/>
        <family val="2"/>
        <scheme val="minor"/>
      </rPr>
      <t>o</t>
    </r>
    <r>
      <rPr>
        <b/>
        <sz val="10"/>
        <rFont val="Calibri"/>
        <family val="2"/>
        <scheme val="minor"/>
      </rPr>
      <t xml:space="preserve"> -400</t>
    </r>
    <r>
      <rPr>
        <b/>
        <vertAlign val="superscript"/>
        <sz val="11"/>
        <color theme="1"/>
        <rFont val="Calibri"/>
        <family val="2"/>
        <scheme val="minor"/>
      </rPr>
      <t>o</t>
    </r>
    <r>
      <rPr>
        <b/>
        <sz val="10"/>
        <rFont val="Calibri"/>
        <family val="2"/>
        <scheme val="minor"/>
      </rPr>
      <t xml:space="preserve"> F Naphtha</t>
    </r>
  </si>
  <si>
    <r>
      <t>Y= H</t>
    </r>
    <r>
      <rPr>
        <vertAlign val="subscript"/>
        <sz val="11"/>
        <color theme="1"/>
        <rFont val="Calibri"/>
        <family val="2"/>
        <scheme val="minor"/>
      </rPr>
      <t>2</t>
    </r>
    <r>
      <rPr>
        <sz val="10"/>
        <rFont val="Calibri"/>
        <family val="2"/>
        <scheme val="minor"/>
      </rPr>
      <t xml:space="preserve"> content wt%</t>
    </r>
  </si>
  <si>
    <r>
      <rPr>
        <vertAlign val="superscript"/>
        <sz val="11"/>
        <color theme="1"/>
        <rFont val="Calibri"/>
        <family val="2"/>
        <scheme val="minor"/>
      </rPr>
      <t>O</t>
    </r>
    <r>
      <rPr>
        <sz val="10"/>
        <rFont val="Calibri"/>
        <family val="2"/>
        <scheme val="minor"/>
      </rPr>
      <t>F</t>
    </r>
  </si>
  <si>
    <r>
      <t>H</t>
    </r>
    <r>
      <rPr>
        <vertAlign val="subscript"/>
        <sz val="11"/>
        <color theme="1"/>
        <rFont val="Calibri"/>
        <family val="2"/>
        <scheme val="minor"/>
      </rPr>
      <t>2</t>
    </r>
    <r>
      <rPr>
        <sz val="10"/>
        <rFont val="Calibri"/>
        <family val="2"/>
        <scheme val="minor"/>
      </rPr>
      <t xml:space="preserve"> content wt%</t>
    </r>
  </si>
  <si>
    <r>
      <t>C</t>
    </r>
    <r>
      <rPr>
        <vertAlign val="subscript"/>
        <sz val="10"/>
        <color theme="1"/>
        <rFont val="Calibri"/>
        <family val="2"/>
        <scheme val="minor"/>
      </rPr>
      <t>5</t>
    </r>
    <r>
      <rPr>
        <vertAlign val="superscript"/>
        <sz val="11"/>
        <color theme="1"/>
        <rFont val="Calibri"/>
        <family val="2"/>
        <scheme val="minor"/>
      </rPr>
      <t>+</t>
    </r>
    <r>
      <rPr>
        <sz val="10"/>
        <rFont val="Calibri"/>
        <family val="2"/>
        <scheme val="minor"/>
      </rPr>
      <t xml:space="preserve"> Gasoline, Vol%</t>
    </r>
  </si>
  <si>
    <r>
      <t>H</t>
    </r>
    <r>
      <rPr>
        <vertAlign val="subscript"/>
        <sz val="10"/>
        <rFont val="Calibri"/>
        <family val="2"/>
        <scheme val="minor"/>
      </rPr>
      <t>2</t>
    </r>
    <r>
      <rPr>
        <sz val="10"/>
        <rFont val="Calibri"/>
        <family val="2"/>
        <scheme val="minor"/>
      </rPr>
      <t xml:space="preserve"> Hydrotreated Napthta</t>
    </r>
  </si>
  <si>
    <r>
      <t>H</t>
    </r>
    <r>
      <rPr>
        <vertAlign val="subscript"/>
        <sz val="10"/>
        <rFont val="Calibri"/>
        <family val="2"/>
        <scheme val="minor"/>
      </rPr>
      <t>2</t>
    </r>
    <r>
      <rPr>
        <sz val="10"/>
        <rFont val="Calibri"/>
        <family val="2"/>
        <scheme val="minor"/>
      </rPr>
      <t xml:space="preserve"> mass % in hydrocarbon gas</t>
    </r>
  </si>
  <si>
    <r>
      <t>H</t>
    </r>
    <r>
      <rPr>
        <vertAlign val="subscript"/>
        <sz val="10"/>
        <rFont val="Calibri"/>
        <family val="2"/>
        <scheme val="minor"/>
      </rPr>
      <t>2</t>
    </r>
    <r>
      <rPr>
        <sz val="10"/>
        <rFont val="Calibri"/>
        <family val="2"/>
        <scheme val="minor"/>
      </rPr>
      <t xml:space="preserve"> Hydrotreated Kerosene</t>
    </r>
  </si>
  <si>
    <r>
      <t>H</t>
    </r>
    <r>
      <rPr>
        <vertAlign val="subscript"/>
        <sz val="10"/>
        <rFont val="Calibri"/>
        <family val="2"/>
        <scheme val="minor"/>
      </rPr>
      <t>2</t>
    </r>
    <r>
      <rPr>
        <sz val="10"/>
        <rFont val="Calibri"/>
        <family val="2"/>
        <scheme val="minor"/>
      </rPr>
      <t xml:space="preserve"> Hydrotreated Diesel</t>
    </r>
  </si>
  <si>
    <r>
      <t>MJ steam/(MJ steam+MJHeat Fuel)= 2.040E-08(MJ steam+MJHeat Fuel)</t>
    </r>
    <r>
      <rPr>
        <vertAlign val="superscript"/>
        <sz val="10"/>
        <rFont val="Calibri"/>
        <family val="2"/>
        <scheme val="minor"/>
      </rPr>
      <t>2</t>
    </r>
    <r>
      <rPr>
        <sz val="10"/>
        <rFont val="Calibri"/>
        <family val="2"/>
        <scheme val="minor"/>
      </rPr>
      <t xml:space="preserve"> - 1.26E-04(MJ steam+MJHeat Fuel) + 4.81 0E-01</t>
    </r>
  </si>
  <si>
    <t>Unit-of-Measure Equivalents </t>
  </si>
  <si>
    <t>Constant</t>
  </si>
  <si>
    <t>Total assays</t>
  </si>
  <si>
    <t>RFG supplemented with NG</t>
  </si>
  <si>
    <t>Only NG</t>
  </si>
  <si>
    <t>Custom Assay</t>
  </si>
  <si>
    <t>Custom Blend</t>
  </si>
  <si>
    <t>Heat (RFG)</t>
  </si>
  <si>
    <t>Heat (Natural Gas)</t>
  </si>
  <si>
    <t>Steam (RFG)</t>
  </si>
  <si>
    <t>Steam (Natural Gas)</t>
  </si>
  <si>
    <t>Steam (Electricity)</t>
  </si>
  <si>
    <t>Calculation worksheets</t>
  </si>
  <si>
    <t>Input custom assay</t>
  </si>
  <si>
    <t>Refinery configuration</t>
  </si>
  <si>
    <t>1- Refinery configuration</t>
  </si>
  <si>
    <t>A- Process unit configuration</t>
  </si>
  <si>
    <t>Coker / Resid Hydrocracker Furnace</t>
  </si>
  <si>
    <t>Coker / Resid Hydrocracker Fractionator</t>
  </si>
  <si>
    <t>Fuel Gas treatment, Sulfur Reco. &amp; Pollution control</t>
  </si>
  <si>
    <t>Process unit configuration</t>
  </si>
  <si>
    <t>Electricity source</t>
  </si>
  <si>
    <t>Allocation method</t>
  </si>
  <si>
    <t>Allocation products</t>
  </si>
  <si>
    <t>Process unit</t>
  </si>
  <si>
    <t>Pick a crude assay</t>
  </si>
  <si>
    <t>Mass Ratios</t>
  </si>
  <si>
    <t>All assays available in the model are listed in the worksheet with their properties.</t>
  </si>
  <si>
    <t>This worksheet is about the capacity sizing</t>
  </si>
  <si>
    <t>Input</t>
  </si>
  <si>
    <t>Output</t>
  </si>
  <si>
    <t>Process Life Cycle GHG Emissions</t>
  </si>
  <si>
    <t>Clicking this button leads you to the "Result Single Assay" worksheet where you will find detailed results for the current assay</t>
  </si>
  <si>
    <t>Select the technology used to generate electricity for the refinery. Note: more generation options will be added in the next version of the model, including technology mixes.</t>
  </si>
  <si>
    <t>Pick a crude assay, display its properties and explore main results in the side panel</t>
  </si>
  <si>
    <t>Run the model for the current assay and explore detailed results</t>
  </si>
  <si>
    <t>Run the model for all assays in inventory and explore detailed results</t>
  </si>
  <si>
    <t>Modify basic options, including:</t>
  </si>
  <si>
    <t>Set an objective of gasoline / diesel ratio (in development)</t>
  </si>
  <si>
    <t>Set an objective of product slate ratio (in development)</t>
  </si>
  <si>
    <t xml:space="preserve">Results for all assays </t>
  </si>
  <si>
    <t>Nigeria Agbami_Chevron</t>
  </si>
  <si>
    <t>Nigeria Pennington_Chevron</t>
  </si>
  <si>
    <t>Brazil Frade_Chevron</t>
  </si>
  <si>
    <t>Nigera Bonga_Exxon</t>
  </si>
  <si>
    <t>Kuwait Ratawi_Chevron</t>
  </si>
  <si>
    <t>Brazil Lula_BG Group</t>
  </si>
  <si>
    <r>
      <t>H</t>
    </r>
    <r>
      <rPr>
        <b/>
        <vertAlign val="subscript"/>
        <sz val="10"/>
        <rFont val="Calibri"/>
        <family val="2"/>
        <scheme val="minor"/>
      </rPr>
      <t>L</t>
    </r>
    <r>
      <rPr>
        <b/>
        <sz val="10"/>
        <rFont val="Calibri"/>
        <family val="2"/>
        <scheme val="minor"/>
      </rPr>
      <t xml:space="preserve"> = [0.03181T + 0.00001791Kw</t>
    </r>
    <r>
      <rPr>
        <b/>
        <vertAlign val="superscript"/>
        <sz val="10"/>
        <rFont val="Calibri"/>
        <family val="2"/>
        <scheme val="minor"/>
      </rPr>
      <t>4.693</t>
    </r>
    <r>
      <rPr>
        <b/>
        <sz val="10"/>
        <rFont val="Calibri"/>
        <family val="2"/>
        <scheme val="minor"/>
      </rPr>
      <t>]</t>
    </r>
    <r>
      <rPr>
        <b/>
        <vertAlign val="superscript"/>
        <sz val="10"/>
        <rFont val="Calibri"/>
        <family val="2"/>
        <scheme val="minor"/>
      </rPr>
      <t>2.2916</t>
    </r>
  </si>
  <si>
    <t>Atmospheric tower</t>
  </si>
  <si>
    <t>Stream processing</t>
  </si>
  <si>
    <t>Vacuum tower furnace</t>
  </si>
  <si>
    <t>Vacuum tower</t>
  </si>
  <si>
    <t>Swing Cut</t>
  </si>
  <si>
    <t>Atmospheric Tower Furnace</t>
  </si>
  <si>
    <t>System-level calculations for coking refinery</t>
  </si>
  <si>
    <t>Process unit level calculations for coking refinery</t>
  </si>
  <si>
    <t>Selected allocation products</t>
  </si>
  <si>
    <t>Energy Consumption</t>
  </si>
  <si>
    <r>
      <t>H</t>
    </r>
    <r>
      <rPr>
        <b/>
        <vertAlign val="subscript"/>
        <sz val="10"/>
        <rFont val="Calibri"/>
        <family val="2"/>
        <scheme val="minor"/>
      </rPr>
      <t>L</t>
    </r>
    <r>
      <rPr>
        <b/>
        <sz val="10"/>
        <rFont val="Calibri"/>
        <family val="2"/>
        <scheme val="minor"/>
      </rPr>
      <t xml:space="preserve">  (kJ/kg)</t>
    </r>
  </si>
  <si>
    <t>Oulet Temperature</t>
  </si>
  <si>
    <t>Atmospheric Tower</t>
  </si>
  <si>
    <t>Vacuum Tower</t>
  </si>
  <si>
    <t>Do not modify these values since they can affect swing cut results</t>
  </si>
  <si>
    <t>Stream Processing</t>
  </si>
  <si>
    <t>Source: Gary et al. p.202</t>
  </si>
  <si>
    <r>
      <t>H in feed (H</t>
    </r>
    <r>
      <rPr>
        <b/>
        <vertAlign val="subscript"/>
        <sz val="10"/>
        <color theme="1"/>
        <rFont val="Calibri"/>
        <family val="2"/>
        <scheme val="minor"/>
      </rPr>
      <t>Liq</t>
    </r>
    <r>
      <rPr>
        <b/>
        <vertAlign val="superscript"/>
        <sz val="10"/>
        <color theme="1"/>
        <rFont val="Calibri"/>
        <family val="2"/>
        <scheme val="minor"/>
      </rPr>
      <t>0</t>
    </r>
    <r>
      <rPr>
        <b/>
        <sz val="10"/>
        <color theme="1"/>
        <rFont val="Calibri"/>
        <family val="2"/>
        <scheme val="minor"/>
      </rPr>
      <t>)</t>
    </r>
  </si>
  <si>
    <r>
      <t>Carbon in hydrotreated liquid (C</t>
    </r>
    <r>
      <rPr>
        <b/>
        <vertAlign val="subscript"/>
        <sz val="10"/>
        <color theme="1"/>
        <rFont val="Calibri"/>
        <family val="2"/>
        <scheme val="minor"/>
      </rPr>
      <t>Liq</t>
    </r>
    <r>
      <rPr>
        <b/>
        <vertAlign val="superscript"/>
        <sz val="10"/>
        <color theme="1"/>
        <rFont val="Calibri"/>
        <family val="2"/>
        <scheme val="minor"/>
      </rPr>
      <t>1</t>
    </r>
    <r>
      <rPr>
        <b/>
        <sz val="10"/>
        <color theme="1"/>
        <rFont val="Calibri"/>
        <family val="2"/>
        <scheme val="minor"/>
      </rPr>
      <t>)</t>
    </r>
  </si>
  <si>
    <r>
      <t>Carbon displaced to gas by hydrogen (C</t>
    </r>
    <r>
      <rPr>
        <b/>
        <vertAlign val="subscript"/>
        <sz val="10"/>
        <color theme="1"/>
        <rFont val="Calibri"/>
        <family val="2"/>
        <scheme val="minor"/>
      </rPr>
      <t>Gas</t>
    </r>
    <r>
      <rPr>
        <b/>
        <vertAlign val="superscript"/>
        <sz val="10"/>
        <color theme="1"/>
        <rFont val="Calibri"/>
        <family val="2"/>
        <scheme val="minor"/>
      </rPr>
      <t>1</t>
    </r>
    <r>
      <rPr>
        <b/>
        <sz val="10"/>
        <color theme="1"/>
        <rFont val="Calibri"/>
        <family val="2"/>
        <scheme val="minor"/>
      </rPr>
      <t>)</t>
    </r>
  </si>
  <si>
    <r>
      <t>Hydrogen for Carbon displacement (H</t>
    </r>
    <r>
      <rPr>
        <b/>
        <vertAlign val="subscript"/>
        <sz val="10"/>
        <color theme="1"/>
        <rFont val="Calibri"/>
        <family val="2"/>
        <scheme val="minor"/>
      </rPr>
      <t>Gas</t>
    </r>
    <r>
      <rPr>
        <b/>
        <vertAlign val="superscript"/>
        <sz val="10"/>
        <color theme="1"/>
        <rFont val="Calibri"/>
        <family val="2"/>
        <scheme val="minor"/>
      </rPr>
      <t>1</t>
    </r>
    <r>
      <rPr>
        <b/>
        <sz val="10"/>
        <color theme="1"/>
        <rFont val="Calibri"/>
        <family val="2"/>
        <scheme val="minor"/>
      </rPr>
      <t>)</t>
    </r>
  </si>
  <si>
    <t>Energy Production</t>
  </si>
  <si>
    <t>H in feed (HLiq0)</t>
  </si>
  <si>
    <t>Carbon in hydrotreated liquid (CLiq1)</t>
  </si>
  <si>
    <t>Carbon displaced to gas by hydrogen (CGas1)</t>
  </si>
  <si>
    <t>Hydrogen for Carbon displacement (HGas1)</t>
  </si>
  <si>
    <t>The Petroleum Refinery Life Cycle Inventory Model (PRELIM) is an Excel-based model that estimates energy use and greenhouse gas (GHG) emissions associated with petroleum refining. Results are presented by product type based on crude oil assay's properties, simulteanously in two types of refineries: coking and hydro. It includes a library of 41 crude oil assays from around the world.</t>
  </si>
  <si>
    <t>How to use PRELIM</t>
  </si>
  <si>
    <t>2- Select a crude assay from the assay inventory</t>
  </si>
  <si>
    <t>3- Select options related to the refinery configuration, method of allocation and source for electricity generation</t>
  </si>
  <si>
    <t>4- Run the model (for selected crude or all assays in inventory)</t>
  </si>
  <si>
    <t>Input and output worksheets</t>
  </si>
  <si>
    <t>Modify advanced options</t>
  </si>
  <si>
    <t>Results for selected crude including both refinery configurations:</t>
  </si>
  <si>
    <t>Total refinery energy and GHG emissions by source on a volume of crude basis</t>
  </si>
  <si>
    <t>Total refinery energy and GHG emissions by source on an energy content of crude basis</t>
  </si>
  <si>
    <t>Product energy and GHG emissions per MJ of product</t>
  </si>
  <si>
    <t>Flowcharts presenting configuration, volume and energy flows through each process unit, allocation of feedstock and fuel energy, and emissions burden calculations</t>
  </si>
  <si>
    <t>Constants and conversions worksheets</t>
  </si>
  <si>
    <t>Correlations and their sources used in calculations throughout the model</t>
  </si>
  <si>
    <t>Energy conversion formulas, units conversion formulas, data sources and calculations</t>
  </si>
  <si>
    <t xml:space="preserve">Emission factors and their sources used to calculate GHG emissions from energy consumption data </t>
  </si>
  <si>
    <t>Energy use</t>
  </si>
  <si>
    <t>Greenhouse gas emissions</t>
  </si>
  <si>
    <t>More inputs</t>
  </si>
  <si>
    <t>Additional inputs and options</t>
  </si>
  <si>
    <t>Display detailed results</t>
  </si>
  <si>
    <t>More options</t>
  </si>
  <si>
    <t>Even more inputs and options</t>
  </si>
  <si>
    <t>Sulphur</t>
  </si>
  <si>
    <t>Product slate</t>
  </si>
  <si>
    <t>Units conversion</t>
  </si>
  <si>
    <t>Energy conversion</t>
  </si>
  <si>
    <t>Crude blender</t>
  </si>
  <si>
    <t>Active configuration</t>
  </si>
  <si>
    <t>Process units available in the three configurations</t>
  </si>
  <si>
    <t>Jet A / AVTUR</t>
  </si>
  <si>
    <t>Kerosene Hydrotreater</t>
  </si>
  <si>
    <t>Source: Gary et al. p. 107. Table 5.9</t>
  </si>
  <si>
    <t>KPIs: Yields based on MCR</t>
  </si>
  <si>
    <t>Swing Cut Calculations</t>
  </si>
  <si>
    <t>Swing Cut Calculation</t>
  </si>
  <si>
    <t>Products calculations</t>
  </si>
  <si>
    <t>Source: Handbook of Petroleum Processing Chapter 10</t>
  </si>
  <si>
    <t>Source: Data from Refining Processes Handbook Chapter 8 p.221 to 241</t>
  </si>
  <si>
    <t>Coker and Coker Fractionator</t>
  </si>
  <si>
    <t>Vacuum Tower Furnace</t>
  </si>
  <si>
    <t>Configuration</t>
  </si>
  <si>
    <t>2- Allocation method</t>
  </si>
  <si>
    <t>3- Allocation products</t>
  </si>
  <si>
    <t>4- Heating value</t>
  </si>
  <si>
    <t>Process unit level calculations for hydrocracking refinery</t>
  </si>
  <si>
    <t>System level calculations for hydrocracking refinery</t>
  </si>
  <si>
    <t>Selected Assay</t>
  </si>
  <si>
    <t>Crude Oil Assay Inventory</t>
  </si>
  <si>
    <t>B- Naphtha catalytic reformer options</t>
  </si>
  <si>
    <t>Coker naphtha Hydrotreater</t>
  </si>
  <si>
    <t>SR Naphtha + Heavy Naphtha</t>
  </si>
  <si>
    <t>Coker Naphtha Hydrotreater</t>
  </si>
  <si>
    <t>Coker Naphtha volume flow</t>
  </si>
  <si>
    <t>HC Naphtha Hydrotreater</t>
  </si>
  <si>
    <t>Naphtha Catalytic Reformer</t>
  </si>
  <si>
    <t>Naphtha catalytic reformer options</t>
  </si>
  <si>
    <t>Basic input</t>
  </si>
  <si>
    <t>Straight Run Diesel</t>
  </si>
  <si>
    <t>Kerosene Specific Steam</t>
  </si>
  <si>
    <t>Kerosene Total Stripping Steam</t>
  </si>
  <si>
    <r>
      <t>H in feed (H</t>
    </r>
    <r>
      <rPr>
        <b/>
        <vertAlign val="subscript"/>
        <sz val="10"/>
        <rFont val="Calibri"/>
        <family val="2"/>
        <scheme val="minor"/>
      </rPr>
      <t>Liq</t>
    </r>
    <r>
      <rPr>
        <b/>
        <vertAlign val="superscript"/>
        <sz val="10"/>
        <rFont val="Calibri"/>
        <family val="2"/>
        <scheme val="minor"/>
      </rPr>
      <t>0</t>
    </r>
    <r>
      <rPr>
        <b/>
        <sz val="10"/>
        <rFont val="Calibri"/>
        <family val="2"/>
        <scheme val="minor"/>
      </rPr>
      <t>)</t>
    </r>
  </si>
  <si>
    <r>
      <t>Carbon in hydrotreated liquid (C</t>
    </r>
    <r>
      <rPr>
        <b/>
        <vertAlign val="subscript"/>
        <sz val="10"/>
        <rFont val="Calibri"/>
        <family val="2"/>
        <scheme val="minor"/>
      </rPr>
      <t>Liq</t>
    </r>
    <r>
      <rPr>
        <b/>
        <vertAlign val="superscript"/>
        <sz val="10"/>
        <rFont val="Calibri"/>
        <family val="2"/>
        <scheme val="minor"/>
      </rPr>
      <t>1</t>
    </r>
    <r>
      <rPr>
        <b/>
        <sz val="10"/>
        <rFont val="Calibri"/>
        <family val="2"/>
        <scheme val="minor"/>
      </rPr>
      <t>)</t>
    </r>
  </si>
  <si>
    <t>Source: Maple</t>
  </si>
  <si>
    <t xml:space="preserve">Catalytic naphtha reformer </t>
  </si>
  <si>
    <r>
      <t>Carbon displaced to gas by hydrogen (C</t>
    </r>
    <r>
      <rPr>
        <b/>
        <vertAlign val="subscript"/>
        <sz val="10"/>
        <rFont val="Calibri"/>
        <family val="2"/>
        <scheme val="minor"/>
      </rPr>
      <t>Gas</t>
    </r>
    <r>
      <rPr>
        <b/>
        <vertAlign val="superscript"/>
        <sz val="10"/>
        <rFont val="Calibri"/>
        <family val="2"/>
        <scheme val="minor"/>
      </rPr>
      <t>1</t>
    </r>
    <r>
      <rPr>
        <b/>
        <sz val="10"/>
        <rFont val="Calibri"/>
        <family val="2"/>
        <scheme val="minor"/>
      </rPr>
      <t>)</t>
    </r>
  </si>
  <si>
    <r>
      <t>Hydrogen for Carbon displacement (H</t>
    </r>
    <r>
      <rPr>
        <b/>
        <vertAlign val="subscript"/>
        <sz val="10"/>
        <rFont val="Calibri"/>
        <family val="2"/>
        <scheme val="minor"/>
      </rPr>
      <t>Gas</t>
    </r>
    <r>
      <rPr>
        <b/>
        <vertAlign val="superscript"/>
        <sz val="10"/>
        <rFont val="Calibri"/>
        <family val="2"/>
        <scheme val="minor"/>
      </rPr>
      <t>1</t>
    </r>
    <r>
      <rPr>
        <b/>
        <sz val="10"/>
        <rFont val="Calibri"/>
        <family val="2"/>
        <scheme val="minor"/>
      </rPr>
      <t>)</t>
    </r>
  </si>
  <si>
    <t>Hydrogen required to saturate after Desulphurization</t>
  </si>
  <si>
    <t>Hydrogen Consumed for Desulphurization reaction</t>
  </si>
  <si>
    <t xml:space="preserve">Desulphurization </t>
  </si>
  <si>
    <t>Liquid Products after desulphurization &amp; before meet H2 content of liquid specification</t>
  </si>
  <si>
    <t>H in liquid products before desulphurization</t>
  </si>
  <si>
    <t>H2 in liquid products after desulphurization &amp; before meet H2 content specification</t>
  </si>
  <si>
    <t>Hydrogen Consumed for desulphurization reaction</t>
  </si>
  <si>
    <t>Liquid Products before desulphurization</t>
  </si>
  <si>
    <t>Hydrogen required to saturate after desulphurization</t>
  </si>
  <si>
    <t>VGO Hydrodesulphurization</t>
  </si>
  <si>
    <t>Liquid Products after desulphurization</t>
  </si>
  <si>
    <t>H in liquid products after desulphurization</t>
  </si>
  <si>
    <t>There are non combustion emissions associated  with this process unit because of the use of steam ejectors to allow vacuum conditions (EPA)</t>
  </si>
  <si>
    <t>Source: Gary et al.</t>
  </si>
  <si>
    <r>
      <t xml:space="preserve">Note: 500 </t>
    </r>
    <r>
      <rPr>
        <sz val="10"/>
        <rFont val="Calibri"/>
        <family val="2"/>
      </rPr>
      <t>°</t>
    </r>
    <r>
      <rPr>
        <sz val="10"/>
        <rFont val="Calibri"/>
        <family val="2"/>
        <scheme val="minor"/>
      </rPr>
      <t>C outlet temperature</t>
    </r>
  </si>
  <si>
    <t>Sulphur %</t>
  </si>
  <si>
    <t>Basis: Sulphur and Nitrogen in Feed to Coker</t>
  </si>
  <si>
    <t>Sulphur and Nitrogen Distribution for Delayed Coking</t>
  </si>
  <si>
    <t>MJ/d (Functional unit: Day)</t>
  </si>
  <si>
    <t>MJ/MJ (Functional Unit: MJ of Product)</t>
  </si>
  <si>
    <t>MJ/bbl (Functional Unit: bbl of Crude)</t>
  </si>
  <si>
    <t>GHG Emissions accounting for energy in the refinery byproducts  (g CO2e / MJ of Product)</t>
  </si>
  <si>
    <t>GHG Emissions accounting for energy in the refinery byproducts (g CO2e / bbl Crude)</t>
  </si>
  <si>
    <t>NCR HYDROGEN PRODUCTION MJ/d</t>
  </si>
  <si>
    <t>SURPLUS OF HYDROGEN</t>
  </si>
  <si>
    <t>Crude Assays</t>
  </si>
  <si>
    <t>H Balance</t>
  </si>
  <si>
    <t>mass balance</t>
  </si>
  <si>
    <t>Hydro refinery</t>
  </si>
  <si>
    <t>Gary Method (Coking Refinery)</t>
  </si>
  <si>
    <t>Gary Method (Hydro Refinery)</t>
  </si>
  <si>
    <t>.</t>
  </si>
  <si>
    <t>Refinery Fuel Gas</t>
  </si>
  <si>
    <r>
      <rPr>
        <vertAlign val="superscript"/>
        <sz val="11"/>
        <rFont val="Calibri"/>
        <family val="2"/>
        <scheme val="minor"/>
      </rPr>
      <t>o</t>
    </r>
    <r>
      <rPr>
        <sz val="11"/>
        <rFont val="Calibri"/>
        <family val="2"/>
        <scheme val="minor"/>
      </rPr>
      <t>C</t>
    </r>
  </si>
  <si>
    <r>
      <t>CO</t>
    </r>
    <r>
      <rPr>
        <vertAlign val="subscript"/>
        <sz val="11"/>
        <rFont val="Calibri"/>
        <family val="2"/>
        <scheme val="minor"/>
      </rPr>
      <t>2</t>
    </r>
    <r>
      <rPr>
        <sz val="11"/>
        <rFont val="Calibri"/>
        <family val="2"/>
        <scheme val="minor"/>
      </rPr>
      <t>g/scf H2</t>
    </r>
  </si>
  <si>
    <t>Fluid Catalytic Cracking Feed Hydrotreater</t>
  </si>
  <si>
    <t>Fluid Catalytic Cracker</t>
  </si>
  <si>
    <t>Prices ($US/bbl)</t>
  </si>
  <si>
    <t>Active value can be overriden by the user. Product prices obtained from historical North American data of Platts, and CMAI, www.platts.com, and www.cmaiglobal.com</t>
  </si>
  <si>
    <t>Notes</t>
  </si>
  <si>
    <t>Active heating value</t>
  </si>
  <si>
    <t>SR Naphtha</t>
  </si>
  <si>
    <t>Energy allocated to refinery products (MJ/MJ Product)</t>
  </si>
  <si>
    <t>Diesel Hydrotreater</t>
  </si>
  <si>
    <t>Lower Heating Values (LHV)</t>
  </si>
  <si>
    <t>Higher Heating Values (HHV)</t>
  </si>
  <si>
    <t>Claus Sulphur recovery</t>
  </si>
  <si>
    <t>Total Sulphur production</t>
  </si>
  <si>
    <t>Sulphur Production Contribution</t>
  </si>
  <si>
    <t>Sulphur Recovery</t>
  </si>
  <si>
    <t>Sulphur Recovery Unit Yield</t>
  </si>
  <si>
    <t>% into Sulphur</t>
  </si>
  <si>
    <t>MJ/Ton of Sulphur</t>
  </si>
  <si>
    <t>kWh/Ton of Sulphur</t>
  </si>
  <si>
    <t>kg/Ton Sulphur</t>
  </si>
  <si>
    <t>kWh/Ton Sulphur produced</t>
  </si>
  <si>
    <t>Sulphur in feed</t>
  </si>
  <si>
    <t>Sulphur removed</t>
  </si>
  <si>
    <t>Sulphur in HC Product Liquids</t>
  </si>
  <si>
    <t>Hydrogen for Sulphur removal (make H2S)</t>
  </si>
  <si>
    <t>Sulphur in HT FCC Feed</t>
  </si>
  <si>
    <t>ATM Residue Specific Steam</t>
  </si>
  <si>
    <t>ATM Residue Total Stripping Steam</t>
  </si>
  <si>
    <t>AGO-ATM Residue Swing</t>
  </si>
  <si>
    <t>ATM Residue to Heavy Fuel Oil</t>
  </si>
  <si>
    <t>ATM Residue Stream Cuts to Vac Tower</t>
  </si>
  <si>
    <t>Vac Residue Stripping Steam</t>
  </si>
  <si>
    <t>Vac Residue Total Stripping Steam</t>
  </si>
  <si>
    <t>HVGO-Vac Residue Swing</t>
  </si>
  <si>
    <t>Vac Residue Swing</t>
  </si>
  <si>
    <t>Vac Residue Product</t>
  </si>
  <si>
    <t>Vac Residue Product to Heavy fuel oil</t>
  </si>
  <si>
    <t>Vac Residue Stream Cuts to downstream proccesses</t>
  </si>
  <si>
    <t>Vac Residue to Heavy Fuel Oil</t>
  </si>
  <si>
    <t>ATM Residue Stream Cuts</t>
  </si>
  <si>
    <t>Residue Hydrocracker Furnace</t>
  </si>
  <si>
    <t xml:space="preserve">Residue Hydrocracker </t>
  </si>
  <si>
    <t>Residue HC Naphtha</t>
  </si>
  <si>
    <t>Residue HC Diesel</t>
  </si>
  <si>
    <t>Residue Gas Oils</t>
  </si>
  <si>
    <t>Residue Hydrocracker Yields and initial assumptions for product qualities</t>
  </si>
  <si>
    <t>Residue Hydrocracker Fractionator</t>
  </si>
  <si>
    <t>Residue HC Gas Oil</t>
  </si>
  <si>
    <t>Residue HC Resid</t>
  </si>
  <si>
    <t>Residue Stripping Steam</t>
  </si>
  <si>
    <t>Residue Total Stripping Steam</t>
  </si>
  <si>
    <t>Residue HC Gas</t>
  </si>
  <si>
    <t>Residue Hydrocracker</t>
  </si>
  <si>
    <t>Vac Residue</t>
  </si>
  <si>
    <t>Energy use (MJ/bbl Crude)</t>
  </si>
  <si>
    <t>Dilbit</t>
  </si>
  <si>
    <t>SCO,Sw,L</t>
  </si>
  <si>
    <t>Seal Heavy_Crude Monitor</t>
  </si>
  <si>
    <t>Suncor Synthetic A_Crude Monitor</t>
  </si>
  <si>
    <t>OSA</t>
  </si>
  <si>
    <t>Syncrude Synthetic_Crude Monitor</t>
  </si>
  <si>
    <t>SYN, SSB</t>
  </si>
  <si>
    <t>Total Refinery Processes</t>
  </si>
  <si>
    <t>Surplus Refinery Fuel Gas (RFG)</t>
  </si>
  <si>
    <t>Surplus RFG</t>
  </si>
  <si>
    <t xml:space="preserve">Surplus NCR H2 </t>
  </si>
  <si>
    <t>Surplus NCR H2</t>
  </si>
  <si>
    <t>Coking refinery</t>
  </si>
  <si>
    <t>Hydrocracking refinery</t>
  </si>
  <si>
    <t>Detailed results for the coking refinery</t>
  </si>
  <si>
    <t>Detailed results for the hydrocracking refinery</t>
  </si>
  <si>
    <r>
      <t>kg CO</t>
    </r>
    <r>
      <rPr>
        <vertAlign val="subscript"/>
        <sz val="11"/>
        <rFont val="Calibri"/>
        <family val="2"/>
        <scheme val="minor"/>
      </rPr>
      <t>2eq</t>
    </r>
    <r>
      <rPr>
        <b/>
        <sz val="11"/>
        <rFont val="Calibri"/>
        <family val="2"/>
        <scheme val="minor"/>
      </rPr>
      <t>/bbl crude</t>
    </r>
  </si>
  <si>
    <t>Current configuration</t>
  </si>
  <si>
    <t>Current configuration:</t>
  </si>
  <si>
    <t>Energy use and greenhouse gas emissions</t>
  </si>
  <si>
    <t>Per bbl of crude</t>
  </si>
  <si>
    <t>Per energy content of refinery product</t>
  </si>
  <si>
    <r>
      <t>g CO</t>
    </r>
    <r>
      <rPr>
        <vertAlign val="subscript"/>
        <sz val="11"/>
        <rFont val="Calibri"/>
        <family val="2"/>
        <scheme val="minor"/>
      </rPr>
      <t>2eq</t>
    </r>
    <r>
      <rPr>
        <b/>
        <sz val="11"/>
        <rFont val="Calibri"/>
        <family val="2"/>
        <scheme val="minor"/>
      </rPr>
      <t>/MJ product</t>
    </r>
  </si>
  <si>
    <t>MJ/MJ product</t>
  </si>
  <si>
    <t>MJ/bbl crude</t>
  </si>
  <si>
    <t>CO2eq footprint</t>
  </si>
  <si>
    <t>Allocation to gasoline</t>
  </si>
  <si>
    <t xml:space="preserve">Total refinery processes </t>
  </si>
  <si>
    <t>Functional unit</t>
  </si>
  <si>
    <t>Refinery CO2 emissions: using hydrogen from naphtha catalytic reforming and RFG</t>
  </si>
  <si>
    <t>Product slate (mass flow rates)</t>
  </si>
  <si>
    <r>
      <t>CO</t>
    </r>
    <r>
      <rPr>
        <b/>
        <vertAlign val="subscript"/>
        <sz val="11"/>
        <color theme="0"/>
        <rFont val="Calibri"/>
        <family val="2"/>
        <scheme val="minor"/>
      </rPr>
      <t>2eq</t>
    </r>
    <r>
      <rPr>
        <b/>
        <sz val="11"/>
        <color theme="0"/>
        <rFont val="Calibri"/>
        <family val="2"/>
        <scheme val="minor"/>
      </rPr>
      <t xml:space="preserve"> footprint</t>
    </r>
  </si>
  <si>
    <t>Crude assay</t>
  </si>
  <si>
    <t>Results for the hydrocracking refinery</t>
  </si>
  <si>
    <t>GHG emissions (kg CO2eq/bbl crude)</t>
  </si>
  <si>
    <t>Volume flow</t>
  </si>
  <si>
    <t>Mass flow</t>
  </si>
  <si>
    <t>Characterization factor</t>
  </si>
  <si>
    <t>Full crude</t>
  </si>
  <si>
    <t xml:space="preserve">Coker/Resid Hydrocracker </t>
  </si>
  <si>
    <t>Fluid Catalytic Cracker Main Fractionator</t>
  </si>
  <si>
    <t>H mass % in hydrocarbon gas (sulphur free)</t>
  </si>
  <si>
    <t>Fuel gas treatment and sulphur recovery</t>
  </si>
  <si>
    <r>
      <t>H in feed (H</t>
    </r>
    <r>
      <rPr>
        <vertAlign val="subscript"/>
        <sz val="10"/>
        <color theme="1"/>
        <rFont val="Calibri"/>
        <family val="2"/>
        <scheme val="minor"/>
      </rPr>
      <t>Liq</t>
    </r>
    <r>
      <rPr>
        <vertAlign val="superscript"/>
        <sz val="10"/>
        <color theme="1"/>
        <rFont val="Calibri"/>
        <family val="2"/>
        <scheme val="minor"/>
      </rPr>
      <t>0</t>
    </r>
    <r>
      <rPr>
        <sz val="10"/>
        <color theme="1"/>
        <rFont val="Calibri"/>
        <family val="2"/>
        <scheme val="minor"/>
      </rPr>
      <t>)</t>
    </r>
  </si>
  <si>
    <r>
      <t>Carbon in hydrotreated liquid (C</t>
    </r>
    <r>
      <rPr>
        <vertAlign val="subscript"/>
        <sz val="10"/>
        <color theme="1"/>
        <rFont val="Calibri"/>
        <family val="2"/>
        <scheme val="minor"/>
      </rPr>
      <t>Liq</t>
    </r>
    <r>
      <rPr>
        <vertAlign val="superscript"/>
        <sz val="10"/>
        <color theme="1"/>
        <rFont val="Calibri"/>
        <family val="2"/>
        <scheme val="minor"/>
      </rPr>
      <t>1</t>
    </r>
    <r>
      <rPr>
        <sz val="10"/>
        <color theme="1"/>
        <rFont val="Calibri"/>
        <family val="2"/>
        <scheme val="minor"/>
      </rPr>
      <t>)</t>
    </r>
  </si>
  <si>
    <r>
      <t>Carbon displaced to gas by hydrogen (C</t>
    </r>
    <r>
      <rPr>
        <vertAlign val="subscript"/>
        <sz val="10"/>
        <color theme="1"/>
        <rFont val="Calibri"/>
        <family val="2"/>
        <scheme val="minor"/>
      </rPr>
      <t>Gas</t>
    </r>
    <r>
      <rPr>
        <vertAlign val="superscript"/>
        <sz val="10"/>
        <color theme="1"/>
        <rFont val="Calibri"/>
        <family val="2"/>
        <scheme val="minor"/>
      </rPr>
      <t>1</t>
    </r>
    <r>
      <rPr>
        <sz val="10"/>
        <color theme="1"/>
        <rFont val="Calibri"/>
        <family val="2"/>
        <scheme val="minor"/>
      </rPr>
      <t>)</t>
    </r>
  </si>
  <si>
    <r>
      <t>Hydrogen for Carbon displacement (H</t>
    </r>
    <r>
      <rPr>
        <vertAlign val="subscript"/>
        <sz val="10"/>
        <color theme="1"/>
        <rFont val="Calibri"/>
        <family val="2"/>
        <scheme val="minor"/>
      </rPr>
      <t>Gas</t>
    </r>
    <r>
      <rPr>
        <vertAlign val="superscript"/>
        <sz val="10"/>
        <color theme="1"/>
        <rFont val="Calibri"/>
        <family val="2"/>
        <scheme val="minor"/>
      </rPr>
      <t>1</t>
    </r>
    <r>
      <rPr>
        <sz val="10"/>
        <color theme="1"/>
        <rFont val="Calibri"/>
        <family val="2"/>
        <scheme val="minor"/>
      </rPr>
      <t>)</t>
    </r>
  </si>
  <si>
    <t>Refinery gas is used as fuel in the refinery operations to generate heat (furnaces), steam (boilers), or power (gas turbines), while some of the refinery gas may be flared. Parts of the refinery gas may also be used to blend with LPG or for hydrogen production. Hydrogen is used in different processes in the refinery to remove sulfur (e.g., hydrotreating) and to convert to lighter products (e.g., hydrocracking).</t>
  </si>
  <si>
    <t>p.240-241 Refining Processes Handbook, Worrell and Galitsky, 2005</t>
  </si>
  <si>
    <t>Flow rate</t>
  </si>
  <si>
    <t>EXPERT INPUT</t>
  </si>
  <si>
    <t>Main input</t>
  </si>
  <si>
    <t>Gasoline, kerosene and ULSD allocation is comprised  in all configurations of the model and cannot be unset.</t>
  </si>
  <si>
    <t>Do not override the values here. You can modify the allocation method on the 'Main Input and Output' worksheet (option 3)</t>
  </si>
  <si>
    <t>Do not override the active value. You can modify the allocation method on the 'Main Input and Output' worksheet (option 2)</t>
  </si>
  <si>
    <t>Do not override the active value. You can modify the allocation method on the 'Main Input and Output' worksheet (option 1B)</t>
  </si>
  <si>
    <t>1- Open the 'Main Input &amp; Output' tab</t>
  </si>
  <si>
    <t>The table below displays the blend's properties. If you want to run this blend in the model or a comparison, you need to go back to the 'Main Input &amp; Output' worksheet and select 'Use Custom Blend'.</t>
  </si>
  <si>
    <t>You can customize this assay in the 'Expert Input' tab</t>
  </si>
  <si>
    <t>There are four options to run crudes through PRELIM: 1. Select a crude oil assay from the assay inventory (select from drop down box to left - see main results to the right); 2. Run all assays in the assay inventory (click "All assays in inventory" blue button below); 3. Input a new assay (click "Input custom assay" blue button below 4. Blend multiple crudes from the assay inventory (click "create crude blend" blue button below).</t>
  </si>
  <si>
    <t>Crude assay properties</t>
  </si>
  <si>
    <t>Select a crude oil assay from the assay inventory. The properties of the selected assay are displayed below. The assay  properties and model results are instantaneously updated when a new assay in selected from this list. Main results are presented to the right of this worksheet.</t>
  </si>
  <si>
    <t>The options below allow you to define the refinery configuration, the allocation method, the produced products as well as the heating value used in the refinery. While a specific refinery configuration can be set for each of the two refineries (coking and hydrocracking), other options apply to both refinery types to allow comparison.</t>
  </si>
  <si>
    <t>If the functional unit of choice is "per MJ of final product" then allocation is required. Four allocation methods are available: mass basis, energy basis, or market value basis. The allocation is conducted on a process unit level.</t>
  </si>
  <si>
    <t>Select the heating value used in all calculations: Lower Heating Value (LHV) or Higher Heating Value (HHV)</t>
  </si>
  <si>
    <r>
      <t xml:space="preserve">The crude blender allows the user to mix up to 10 crude oil assays. Note: blending is currently made on a </t>
    </r>
    <r>
      <rPr>
        <i/>
        <sz val="11"/>
        <rFont val="Calibri"/>
        <family val="2"/>
        <scheme val="minor"/>
      </rPr>
      <t>mass</t>
    </r>
    <r>
      <rPr>
        <sz val="11"/>
        <rFont val="Calibri"/>
        <family val="2"/>
        <scheme val="minor"/>
      </rPr>
      <t xml:space="preserve"> basis.</t>
    </r>
  </si>
  <si>
    <t xml:space="preserve"> To create the blend, click on "Create Blend" button below. Be sure to check that the sum of the crude's mass ratios is 100% to prevent errors.</t>
  </si>
  <si>
    <t>"Input and Output Worksheets" (red tabs) contain most of the information you need to run the model, select options and explore detailed results. Other worksheets provide additional information, data, assumptions and calculations.</t>
  </si>
  <si>
    <t>Important note: PRELIM simultaneously calculates energy and emissions for two different refinery types: a coking refinery and a hydrocracking refinery.</t>
  </si>
  <si>
    <t>This worksheet should be accessed only after running the model for all assays in the inventory by clicking on the "all assays in inventory" on the "Main Input &amp; Output" worksheet.</t>
  </si>
  <si>
    <t>h</t>
  </si>
  <si>
    <t>Emissions with and without accounting for use of energy from co-products: i.e., RFG and catalytic H2</t>
  </si>
  <si>
    <t>Select which final products have emissions allocated to them. If no energy is allocated to RFG and sulfur, energy and emissions for gas treatment and sulfur recovery are allocated to each unit that produce the off gas based on the contribution to total sulfur production.</t>
  </si>
  <si>
    <t>RFG Production</t>
  </si>
  <si>
    <t>RFG Requirement</t>
  </si>
  <si>
    <t>RFG Offsets NG Upstream</t>
  </si>
  <si>
    <t>If no energy is allocated to RFG and sulfur, energy and emissions for gas treatment and sulfur recovery are allocated to each unit that produce the off gas based on contribution to total sulfur production</t>
  </si>
  <si>
    <t>RFG (in refineries)</t>
  </si>
  <si>
    <t>Results for the Coking Refinery</t>
  </si>
  <si>
    <t>Coking Refinery Controls</t>
  </si>
  <si>
    <t>Case selection</t>
  </si>
  <si>
    <t xml:space="preserve">Specified/target product slates </t>
  </si>
  <si>
    <t>Independent Variables</t>
  </si>
  <si>
    <t>New Values</t>
  </si>
  <si>
    <t>Default Values</t>
  </si>
  <si>
    <t>Constraints</t>
  </si>
  <si>
    <t>Low Limit</t>
  </si>
  <si>
    <t>High Limit</t>
  </si>
  <si>
    <t>Starting Point</t>
  </si>
  <si>
    <t>Float Refinery Scenarios</t>
  </si>
  <si>
    <t>Production Objectives</t>
  </si>
  <si>
    <t>Naphtha Swing Cut</t>
  </si>
  <si>
    <t>% by volume</t>
    <phoneticPr fontId="20" type="noConversion"/>
  </si>
  <si>
    <t>Kero Swing Cut</t>
  </si>
  <si>
    <t>Diesel Swing Cut</t>
  </si>
  <si>
    <t>AGO Swing Cut</t>
  </si>
  <si>
    <t>Naphtha-Kero Swing Blend</t>
  </si>
  <si>
    <t>% to Light stream</t>
  </si>
  <si>
    <t>Kero-Diesel Swing Blend</t>
  </si>
  <si>
    <t>Diesel-AGO Swing Blend</t>
  </si>
  <si>
    <t>AGO-ATM Resid Swing Blend</t>
  </si>
  <si>
    <t>LVGO Swing Cut</t>
  </si>
  <si>
    <t>HVGO Swing Cut</t>
  </si>
  <si>
    <t>Vac Resid Swing Cut</t>
  </si>
  <si>
    <t>LVGO-HVGO Swing Blend</t>
  </si>
  <si>
    <t>HVGO-Vac Resid Swing Blend</t>
  </si>
  <si>
    <t>LD+HD+LGO Swing Cut</t>
  </si>
  <si>
    <t>HGO+VGO Swing Cut</t>
  </si>
  <si>
    <t>LD+HD+LGO-HGO+VGO Swing Blend</t>
  </si>
  <si>
    <t>LD+HD+LGO-HGO+VGO Swing Cut</t>
  </si>
  <si>
    <t>Coker Fractionator</t>
  </si>
  <si>
    <t>Coker Naphtha Swing Cut</t>
  </si>
  <si>
    <t>Coker Gas Oil Swing Cut</t>
  </si>
  <si>
    <t>Coker Naphtha - Coker Gas Oil Swing Blend</t>
  </si>
  <si>
    <t>Coker Naphtha + Coker Gas Oil Swing Blend</t>
  </si>
  <si>
    <t>FCC Main Fractionator</t>
  </si>
  <si>
    <t>FCC Gasoline Swing Cut</t>
  </si>
  <si>
    <t>FCC Light Cycle Oil Swing Cut</t>
  </si>
  <si>
    <t>Slurry Oil Swing Cut</t>
  </si>
  <si>
    <t>FCC Gasoline - FCC LCO Swing Blend</t>
  </si>
  <si>
    <t>FCC Gasoline + FCC LCO Swing Blend</t>
  </si>
  <si>
    <t>FCC LCO + Slurry Oil Swing Blend</t>
  </si>
  <si>
    <t>% to HC, balance to FCC</t>
  </si>
  <si>
    <t>Coker Gas Oil Flow Split</t>
  </si>
  <si>
    <t>CGO Flow Fraction to Gas Oil Hydrocracker</t>
  </si>
  <si>
    <t>Equipment Constraints</t>
  </si>
  <si>
    <t>FCC Feed Rate</t>
  </si>
  <si>
    <t>bbl/d</t>
  </si>
  <si>
    <t>Gas Oil Hydrocracker Feed Rate</t>
  </si>
  <si>
    <t>Objective 1</t>
  </si>
  <si>
    <t>Description</t>
  </si>
  <si>
    <t>Ratio</t>
  </si>
  <si>
    <t>Ratio Basis</t>
  </si>
  <si>
    <t>Energy (MJ )</t>
  </si>
  <si>
    <t>Vol (bbl)</t>
  </si>
  <si>
    <t>Ratios</t>
  </si>
  <si>
    <t>Min or Max Objective value 1</t>
  </si>
  <si>
    <t>Objective 2</t>
  </si>
  <si>
    <t>Target</t>
  </si>
  <si>
    <t>Actual</t>
  </si>
  <si>
    <t>Error Squared</t>
  </si>
  <si>
    <t>(bbl/d)^2</t>
  </si>
  <si>
    <t>Light Ends (Still Gas)</t>
  </si>
  <si>
    <t>Min Objective values 2</t>
  </si>
  <si>
    <t>Resid Hydrocracker Fractionator</t>
  </si>
  <si>
    <t>HC Naphtha Swing Cut</t>
  </si>
  <si>
    <t>HC Diesel Swing Cut</t>
  </si>
  <si>
    <t>HC Gas Oil Swing Cut</t>
  </si>
  <si>
    <t>HC Naphtha - Diesel Swing Blend</t>
  </si>
  <si>
    <t>HC Diesel - Gas Oil Swing Blend</t>
  </si>
  <si>
    <t>Weight</t>
  </si>
  <si>
    <t>Still Gas</t>
  </si>
  <si>
    <t>Process energy adjustment factors:</t>
  </si>
  <si>
    <t>Refinery level (Integration of processes to account for export and import of steam and RFG; see offsets)</t>
  </si>
  <si>
    <t>400+ F of diesel</t>
  </si>
  <si>
    <t>400+ F of fuel oil</t>
  </si>
  <si>
    <t>S. Parkash (2003), Worrell and Galitsky (2005)</t>
  </si>
  <si>
    <t>NCR hydrogen production MJ/d</t>
  </si>
  <si>
    <t>Surplus of hydrogen</t>
  </si>
  <si>
    <t>Vac. overhead</t>
  </si>
  <si>
    <t>Vac. Overhead</t>
  </si>
  <si>
    <t>Note: Blended Gasoline, Jet-A/AVTUR, and ULSD are automatically included as these products are the primary products of the refineries modelled in PRELIM.</t>
  </si>
  <si>
    <t>Greenhouse gas emissions allocated to refinery products (g CO2eq/MJ Product)</t>
  </si>
  <si>
    <t>Pressing the "All Assays in Inventory" button will run a macro that can take up to 2 minutes on some computers – note that saving the file prior processing may fasten the process. You will be automatically redirected you to the "Results All Assays" worksheet at the end of the process.</t>
  </si>
  <si>
    <t>Coking refinery:</t>
  </si>
  <si>
    <t>Hydrocracking refinery:</t>
  </si>
  <si>
    <t>Active refinery configuration</t>
  </si>
  <si>
    <t>A negative hydrogen value indicates a surplus of hydrogen.</t>
  </si>
  <si>
    <t>PRELIM automatically proposes a default refinery configuration based on the crude assay quality (see PRELIM's documentation for details). Default values can be overridden in cells E61 and F61.</t>
  </si>
  <si>
    <t>Do not override the active refinery configuration here. You can modify the refinery configuration on the 'Main Input &amp; Output' worksheet.</t>
  </si>
  <si>
    <t>Current choice in the dropdown menu</t>
  </si>
  <si>
    <t>Hydroskimming Configuration (0)</t>
  </si>
  <si>
    <t>Medium Conversion: FCC (1)</t>
  </si>
  <si>
    <t>Medium Conversion: GO-HC (2)</t>
  </si>
  <si>
    <t>Medium Conversion: FCC &amp; GO-HC (3)</t>
  </si>
  <si>
    <t>Deep Conversion: FCC (7)</t>
  </si>
  <si>
    <t>Deep Conversion: GO-HC (8)</t>
  </si>
  <si>
    <t>Medium Conversion:  FCC (1)</t>
  </si>
  <si>
    <t>Deep Conversion: FCC (4)</t>
  </si>
  <si>
    <t>Deep Conversion: GO-HC (5)</t>
  </si>
  <si>
    <t>bbl product per day</t>
  </si>
  <si>
    <t>Energy use is onsite, GHG emissions are from a lifecycle perspective (i.e. upstream emissions for natural gas and electricity are taken into account).</t>
  </si>
  <si>
    <t>Currently the model uses assay information and does not limit the capacity of the process units. If fixed process units capacity option is chosen, then the capacity of the process units will be restricted to those input in the constants worksheet.</t>
  </si>
  <si>
    <t>Select the naphtha catalytic reformer feed options: SR naphtha or SR Naphtha + Heavy naphtha. This option only applies if a deep conversion configuration is active.</t>
  </si>
  <si>
    <t>Deep Conversion: FCC &amp; GO-HC (6)</t>
  </si>
  <si>
    <t>Deep Conversion: FCC &amp; GO-HC (9)</t>
  </si>
  <si>
    <t>H2 Hydrotreated Diesel</t>
  </si>
  <si>
    <t>H2 mass % in hydrocarbon gas</t>
  </si>
  <si>
    <t>Coking Refinery Outputs from Correlations</t>
  </si>
  <si>
    <t>Inputs (from hydro refinery Calcs</t>
  </si>
  <si>
    <t>Hydro Refinery Outputs from Correlations</t>
  </si>
  <si>
    <t>Inputs (from Coking Refinery Calcs)</t>
  </si>
  <si>
    <t>Process Correlations</t>
  </si>
  <si>
    <t>The point (x,y) is find ifor each parameter (i). So (xi,yi) is used to identified the different set of data</t>
  </si>
  <si>
    <t>Hydrocracking Process</t>
  </si>
  <si>
    <t>Hydrocracking database active in the model</t>
  </si>
  <si>
    <t>Hydrocracking correlations: focus to maximize gasoline production</t>
  </si>
  <si>
    <t>Vol% C5-180o F Naphtha as fuction of API and Kw of the feedstock and approximated hydrogen consumption</t>
  </si>
  <si>
    <t>Fluid catalytic cracking process (FCC)</t>
  </si>
  <si>
    <t>Coking refinery outputs from correlations</t>
  </si>
  <si>
    <t>Inputs (from Hydro Refinery Calcs)</t>
  </si>
  <si>
    <t>FCC Correlations using Zeolita Catalyst</t>
  </si>
  <si>
    <t>C5+ Gasoline, Vol%</t>
  </si>
  <si>
    <t>LPG (C3&amp;C4) Liquid Vol %</t>
  </si>
  <si>
    <t>Wt% Fuel Gas (C2 and Ligher)</t>
  </si>
  <si>
    <t>FCC data base active in the model: volume expansion</t>
  </si>
  <si>
    <t>FCC data base active in the model: densities</t>
  </si>
  <si>
    <t>Constants</t>
  </si>
  <si>
    <t>Energy and unit conversions</t>
  </si>
  <si>
    <t>Emission factors</t>
  </si>
  <si>
    <r>
      <t>CO</t>
    </r>
    <r>
      <rPr>
        <vertAlign val="subscript"/>
        <sz val="9"/>
        <rFont val="Calibri"/>
        <family val="2"/>
      </rPr>
      <t>2</t>
    </r>
    <r>
      <rPr>
        <sz val="10"/>
        <rFont val="Calibri"/>
        <family val="2"/>
      </rPr>
      <t>g/MJH2</t>
    </r>
  </si>
  <si>
    <r>
      <t xml:space="preserve">g </t>
    </r>
    <r>
      <rPr>
        <sz val="7"/>
        <rFont val="Calibri"/>
        <family val="2"/>
      </rPr>
      <t>C02</t>
    </r>
    <r>
      <rPr>
        <sz val="10"/>
        <rFont val="Calibri"/>
        <family val="2"/>
      </rPr>
      <t>/ MJ NG</t>
    </r>
  </si>
  <si>
    <r>
      <t xml:space="preserve">kg </t>
    </r>
    <r>
      <rPr>
        <sz val="7"/>
        <rFont val="Calibri"/>
        <family val="2"/>
      </rPr>
      <t>C02</t>
    </r>
    <r>
      <rPr>
        <sz val="10"/>
        <rFont val="Calibri"/>
        <family val="2"/>
      </rPr>
      <t>/ MJ RFG</t>
    </r>
  </si>
  <si>
    <r>
      <t xml:space="preserve">g </t>
    </r>
    <r>
      <rPr>
        <sz val="7"/>
        <rFont val="Calibri"/>
        <family val="2"/>
      </rPr>
      <t>C02</t>
    </r>
    <r>
      <rPr>
        <sz val="10"/>
        <rFont val="Calibri"/>
        <family val="2"/>
      </rPr>
      <t>/ MJ RFG</t>
    </r>
  </si>
  <si>
    <t>Crude Oil Assay Inventory and Assay Selected</t>
  </si>
  <si>
    <t>Process Flow Diagram for the Hydrocracking Refinery</t>
  </si>
  <si>
    <t>Process Flow Diagram for the Coking Refinery</t>
  </si>
  <si>
    <t xml:space="preserve">All crude oil assays have been transformed from their original format to fit the PRELIM format. The naming convention for crudes is COUNTRY FIELD_SOURCE COMPANY. </t>
  </si>
  <si>
    <t>These crude oil assays have been selected in attempt of comprehensiveness in terms of representing a range of possible energy requirements. However they are not exhaustive.</t>
  </si>
  <si>
    <t xml:space="preserve">A default refinery configuration is assigned for each crude oil assay, using API gravity and sulphur content of the whole crude as the criteria. Figure 4 in PRELIM's documentation illustrates how PRELIM determines the most suitable configuration to process the crude among configurations 1, 3, 6, or 9. </t>
  </si>
  <si>
    <t>Joules per gram (J/g) or kilojoules per kilogram (kJ/kg)</t>
  </si>
  <si>
    <r>
      <rPr>
        <b/>
        <sz val="10"/>
        <color theme="3" tint="0.39997558519241921"/>
        <rFont val="Calibri"/>
        <family val="2"/>
      </rPr>
      <t>DHc</t>
    </r>
  </si>
  <si>
    <r>
      <t>W</t>
    </r>
    <r>
      <rPr>
        <b/>
        <sz val="9"/>
        <color rgb="FFFF0000"/>
        <rFont val="Calibri"/>
        <family val="2"/>
      </rPr>
      <t>R</t>
    </r>
  </si>
  <si>
    <r>
      <rPr>
        <b/>
        <sz val="10"/>
        <color rgb="FFFF0000"/>
        <rFont val="Calibri"/>
        <family val="2"/>
      </rPr>
      <t>DHc</t>
    </r>
  </si>
  <si>
    <r>
      <t>W</t>
    </r>
    <r>
      <rPr>
        <b/>
        <sz val="9"/>
        <color rgb="FFFF0000"/>
        <rFont val="Calibri"/>
        <family val="2"/>
      </rPr>
      <t>H</t>
    </r>
  </si>
  <si>
    <r>
      <t>W</t>
    </r>
    <r>
      <rPr>
        <b/>
        <sz val="9"/>
        <color rgb="FFFF0000"/>
        <rFont val="Calibri"/>
        <family val="2"/>
      </rPr>
      <t>G</t>
    </r>
  </si>
  <si>
    <r>
      <t>W</t>
    </r>
    <r>
      <rPr>
        <sz val="9"/>
        <color rgb="FFFF0000"/>
        <rFont val="Calibri"/>
        <family val="2"/>
      </rPr>
      <t>L</t>
    </r>
  </si>
  <si>
    <r>
      <t>W</t>
    </r>
    <r>
      <rPr>
        <b/>
        <sz val="9"/>
        <color rgb="FFFF0000"/>
        <rFont val="Calibri"/>
        <family val="2"/>
      </rPr>
      <t>L</t>
    </r>
  </si>
  <si>
    <r>
      <t xml:space="preserve">[1] The </t>
    </r>
    <r>
      <rPr>
        <b/>
        <sz val="10"/>
        <color indexed="8"/>
        <rFont val="Calibri"/>
        <family val="2"/>
      </rPr>
      <t>lower heating value</t>
    </r>
    <r>
      <rPr>
        <sz val="10"/>
        <color indexed="8"/>
        <rFont val="Calibri"/>
        <family val="2"/>
      </rPr>
      <t xml:space="preserve"> (also known as net calorific value) of a fuel is defined as the amount of heat released by combusting a specified quantity (initially at 25°C) and returning the temperature of the combustion products to 150°C, which assumes the latent heat of vaporization of water in the reaction products is not recovered.</t>
    </r>
  </si>
  <si>
    <r>
      <rPr>
        <sz val="11"/>
        <color theme="7" tint="0.79998168889431442"/>
        <rFont val="Calibri"/>
        <family val="2"/>
      </rPr>
      <t xml:space="preserve">n </t>
    </r>
    <r>
      <rPr>
        <sz val="11"/>
        <rFont val="Calibri"/>
        <family val="2"/>
      </rPr>
      <t>Mass</t>
    </r>
  </si>
  <si>
    <r>
      <t xml:space="preserve">a </t>
    </r>
    <r>
      <rPr>
        <sz val="9"/>
        <color indexed="8"/>
        <rFont val="Calibri"/>
        <family val="2"/>
      </rPr>
      <t>Exact conversion. Also equivalent between Million of British thermal units (MMBtu) and MegaJoules (MJ)</t>
    </r>
  </si>
  <si>
    <r>
      <t xml:space="preserve">b </t>
    </r>
    <r>
      <rPr>
        <sz val="9"/>
        <color indexed="8"/>
        <rFont val="Calibri"/>
        <family val="2"/>
      </rPr>
      <t>The Btu used in this table is the International Table Btu adopted by the Fifth International Conference on Properties of Steam, London, 1956.</t>
    </r>
  </si>
  <si>
    <r>
      <rPr>
        <sz val="11"/>
        <color theme="7" tint="0.79998168889431442"/>
        <rFont val="Calibri"/>
        <family val="2"/>
      </rPr>
      <t xml:space="preserve">n </t>
    </r>
    <r>
      <rPr>
        <sz val="11"/>
        <rFont val="Calibri"/>
        <family val="2"/>
      </rPr>
      <t>Volume</t>
    </r>
  </si>
  <si>
    <r>
      <t xml:space="preserve">c </t>
    </r>
    <r>
      <rPr>
        <sz val="9"/>
        <color theme="1"/>
        <rFont val="Calibri"/>
        <family val="2"/>
      </rPr>
      <t>A standard cubic foot (SCF)is a cubic foot of volume at 60oF (15.6</t>
    </r>
    <r>
      <rPr>
        <vertAlign val="superscript"/>
        <sz val="9"/>
        <color theme="1"/>
        <rFont val="Calibri"/>
        <family val="2"/>
      </rPr>
      <t>o</t>
    </r>
    <r>
      <rPr>
        <sz val="9"/>
        <color theme="1"/>
        <rFont val="Calibri"/>
        <family val="2"/>
      </rPr>
      <t>C) and 14.7 psi (1 atm). Normal cubic meter is the metric expression of volume at standard conditions at 0°C (273.15 K,32oF) and 1 atm (14.7 psi). Source: NIST Chemistry WebBook. http://webbook.nist.gov/cgi/fluid.cgi?ID=C1333740&amp;Action=Page</t>
    </r>
  </si>
  <si>
    <r>
      <t>Sources: General Services Administration, Federal Standard 376B, </t>
    </r>
    <r>
      <rPr>
        <i/>
        <sz val="9"/>
        <color indexed="8"/>
        <rFont val="Calibri"/>
        <family val="2"/>
      </rPr>
      <t>Preferred Metric Units for General Use by the Federal Government</t>
    </r>
    <r>
      <rPr>
        <sz val="9"/>
        <color indexed="8"/>
        <rFont val="Calibri"/>
        <family val="2"/>
      </rPr>
      <t> (Washington, DC, January 27, 1993), pp. 9-11, 13, and 16. National Institute of Standards and Technology, Special Publications 330, 811, and 814. American National Standards Institute/Institute of Electrical and Electronic Engineers, SVIEEE Std 268-1992, pp. 28 and 29.</t>
    </r>
  </si>
  <si>
    <r>
      <rPr>
        <sz val="11"/>
        <color theme="7" tint="0.79998168889431442"/>
        <rFont val="Calibri"/>
        <family val="2"/>
      </rPr>
      <t xml:space="preserve">n </t>
    </r>
    <r>
      <rPr>
        <sz val="11"/>
        <rFont val="Calibri"/>
        <family val="2"/>
      </rPr>
      <t>Energy</t>
    </r>
  </si>
  <si>
    <r>
      <rPr>
        <sz val="11"/>
        <color theme="7" tint="0.79998168889431442"/>
        <rFont val="Calibri"/>
        <family val="2"/>
      </rPr>
      <t xml:space="preserve">n </t>
    </r>
    <r>
      <rPr>
        <sz val="11"/>
        <rFont val="Calibri"/>
        <family val="2"/>
      </rPr>
      <t>Derive Unit</t>
    </r>
  </si>
  <si>
    <r>
      <rPr>
        <sz val="11"/>
        <color theme="7" tint="0.79998168889431442"/>
        <rFont val="Calibri"/>
        <family val="2"/>
      </rPr>
      <t xml:space="preserve">n </t>
    </r>
    <r>
      <rPr>
        <sz val="11"/>
        <rFont val="Calibri"/>
        <family val="2"/>
      </rPr>
      <t>Kilo (k)</t>
    </r>
  </si>
  <si>
    <r>
      <rPr>
        <sz val="11"/>
        <color theme="7" tint="0.79998168889431442"/>
        <rFont val="Calibri"/>
        <family val="2"/>
      </rPr>
      <t xml:space="preserve">n </t>
    </r>
    <r>
      <rPr>
        <sz val="11"/>
        <rFont val="Calibri"/>
        <family val="2"/>
      </rPr>
      <t>Mega (M)</t>
    </r>
  </si>
  <si>
    <r>
      <rPr>
        <sz val="11"/>
        <color theme="7" tint="0.79998168889431442"/>
        <rFont val="Calibri"/>
        <family val="2"/>
      </rPr>
      <t xml:space="preserve">n </t>
    </r>
    <r>
      <rPr>
        <sz val="11"/>
        <rFont val="Calibri"/>
        <family val="2"/>
      </rPr>
      <t>Giga (G)</t>
    </r>
  </si>
  <si>
    <r>
      <rPr>
        <sz val="11"/>
        <color theme="7" tint="0.79998168889431442"/>
        <rFont val="Calibri"/>
        <family val="2"/>
      </rPr>
      <t xml:space="preserve">n </t>
    </r>
    <r>
      <rPr>
        <sz val="11"/>
        <rFont val="Calibri"/>
        <family val="2"/>
      </rPr>
      <t>Terawatt (T)</t>
    </r>
  </si>
  <si>
    <t>Assumption: Water density at 20C. It agrees with assumptions madeto determine crude oil fraction hydrogen content of the assay inventory.</t>
  </si>
  <si>
    <t xml:space="preserve">Method to Estimate Lower and Higher Heating Values of Crudes, Intermediate Streams, and Products </t>
  </si>
  <si>
    <t>Hydrocracking Refinery Energy Balance</t>
  </si>
  <si>
    <t>20 years</t>
  </si>
  <si>
    <t>100 years</t>
  </si>
  <si>
    <t>2007 IPCC AR4</t>
  </si>
  <si>
    <t>Global Warming Potentials Values and Lifetimes</t>
  </si>
  <si>
    <t>2007 IPCC AR4 (20 years)</t>
  </si>
  <si>
    <t>2013 IPCC AR5 (20 years)</t>
  </si>
  <si>
    <t>Active GWP configuration</t>
  </si>
  <si>
    <t>Active Global Warming Potentials of Greenhouse Gases</t>
  </si>
  <si>
    <t xml:space="preserve">Hydrocracking Refinery </t>
  </si>
  <si>
    <r>
      <t>www.eia.doe.gov/oiaf/1605/excel/Fuel%20</t>
    </r>
    <r>
      <rPr>
        <b/>
        <sz val="10"/>
        <rFont val="Calibri"/>
        <family val="2"/>
      </rPr>
      <t>Emission</t>
    </r>
    <r>
      <rPr>
        <sz val="10"/>
        <rFont val="Calibri"/>
        <family val="2"/>
      </rPr>
      <t>%20</t>
    </r>
    <r>
      <rPr>
        <b/>
        <sz val="10"/>
        <rFont val="Calibri"/>
        <family val="2"/>
      </rPr>
      <t>Factors</t>
    </r>
    <r>
      <rPr>
        <sz val="10"/>
        <rFont val="Calibri"/>
        <family val="2"/>
      </rPr>
      <t>.xls</t>
    </r>
  </si>
  <si>
    <t>Non-combustion and Fugitive Emissions</t>
  </si>
  <si>
    <t>Product slate (percentage)</t>
  </si>
  <si>
    <t>Product slate (bbl of product per day)</t>
  </si>
  <si>
    <t>Energy consumption and GHG emissions by unit of final product</t>
  </si>
  <si>
    <t>5- Global warming potential values</t>
  </si>
  <si>
    <t>Select the global warming potential values and lifetime from AR4 or AR5</t>
  </si>
  <si>
    <t>Cooling Towers</t>
  </si>
  <si>
    <r>
      <t>Hydrotreated Liquid (</t>
    </r>
    <r>
      <rPr>
        <b/>
        <vertAlign val="subscript"/>
        <sz val="10"/>
        <color theme="1"/>
        <rFont val="Calibri"/>
        <family val="2"/>
        <scheme val="minor"/>
      </rPr>
      <t>Liq</t>
    </r>
    <r>
      <rPr>
        <b/>
        <vertAlign val="superscript"/>
        <sz val="10"/>
        <color theme="1"/>
        <rFont val="Calibri"/>
        <family val="2"/>
        <scheme val="minor"/>
      </rPr>
      <t>1</t>
    </r>
    <r>
      <rPr>
        <b/>
        <sz val="10"/>
        <color theme="1"/>
        <rFont val="Calibri"/>
        <family val="2"/>
        <scheme val="minor"/>
      </rPr>
      <t>)</t>
    </r>
  </si>
  <si>
    <r>
      <t>Hydrotreated Liquid (</t>
    </r>
    <r>
      <rPr>
        <b/>
        <vertAlign val="subscript"/>
        <sz val="10"/>
        <rFont val="Calibri"/>
        <family val="2"/>
        <scheme val="minor"/>
      </rPr>
      <t>Liq</t>
    </r>
    <r>
      <rPr>
        <b/>
        <vertAlign val="superscript"/>
        <sz val="10"/>
        <rFont val="Calibri"/>
        <family val="2"/>
        <scheme val="minor"/>
      </rPr>
      <t>1</t>
    </r>
    <r>
      <rPr>
        <b/>
        <sz val="10"/>
        <rFont val="Calibri"/>
        <family val="2"/>
        <scheme val="minor"/>
      </rPr>
      <t>)</t>
    </r>
  </si>
  <si>
    <r>
      <t>Hydrotreated Liquid (</t>
    </r>
    <r>
      <rPr>
        <vertAlign val="subscript"/>
        <sz val="10"/>
        <color theme="1"/>
        <rFont val="Calibri"/>
        <family val="2"/>
        <scheme val="minor"/>
      </rPr>
      <t>Liq</t>
    </r>
    <r>
      <rPr>
        <vertAlign val="superscript"/>
        <sz val="10"/>
        <color theme="1"/>
        <rFont val="Calibri"/>
        <family val="2"/>
        <scheme val="minor"/>
      </rPr>
      <t>1</t>
    </r>
    <r>
      <rPr>
        <sz val="10"/>
        <color theme="1"/>
        <rFont val="Calibri"/>
        <family val="2"/>
        <scheme val="minor"/>
      </rPr>
      <t>)</t>
    </r>
  </si>
  <si>
    <t>Hydrotreated Liquid (Liq1)</t>
  </si>
  <si>
    <t>To run this custom assay in the model: 1) fill the blue fields in the above table with your custom assay's properties (volume flow and API gravity will be automatically calculated); 2) select 'Use Custom Assay' in the dropdown menu in the 'Main Input &amp; Output' worksheet</t>
  </si>
  <si>
    <r>
      <t xml:space="preserve">This option allows the user to use fixed process units capacities.                                                                   </t>
    </r>
    <r>
      <rPr>
        <sz val="11"/>
        <color rgb="FFFF0000"/>
        <rFont val="Calibri"/>
        <family val="2"/>
        <scheme val="minor"/>
      </rPr>
      <t>FEATURE IN DEVELOPMENT</t>
    </r>
  </si>
  <si>
    <t>Crude name:</t>
  </si>
  <si>
    <t>Canada Hibernia_Exxon</t>
  </si>
  <si>
    <t>The table below details the process units existing in each configuration.</t>
  </si>
  <si>
    <t>Source: Figure 7.3 (Gary, 2007)</t>
  </si>
  <si>
    <t>Relationship between Vol% C5-180o F Naphtha and 180o F -400oFNaphtha as fuction ofKw of the feedstock</t>
  </si>
  <si>
    <r>
      <t>Wt% Fuel Gas (C</t>
    </r>
    <r>
      <rPr>
        <vertAlign val="subscript"/>
        <sz val="11"/>
        <color theme="0"/>
        <rFont val="Calibri"/>
        <family val="2"/>
        <scheme val="minor"/>
      </rPr>
      <t>2</t>
    </r>
    <r>
      <rPr>
        <sz val="10"/>
        <color theme="0"/>
        <rFont val="Calibri"/>
        <family val="2"/>
        <scheme val="minor"/>
      </rPr>
      <t xml:space="preserve"> and Ligher)</t>
    </r>
  </si>
  <si>
    <r>
      <t>LPG (C</t>
    </r>
    <r>
      <rPr>
        <sz val="10"/>
        <color theme="0"/>
        <rFont val="Calibri"/>
        <family val="2"/>
        <scheme val="minor"/>
      </rPr>
      <t>3&amp;C4) Liquid Vol %</t>
    </r>
  </si>
  <si>
    <r>
      <t>C</t>
    </r>
    <r>
      <rPr>
        <vertAlign val="subscript"/>
        <sz val="10"/>
        <color theme="0"/>
        <rFont val="Calibri"/>
        <family val="2"/>
        <scheme val="minor"/>
      </rPr>
      <t>5</t>
    </r>
    <r>
      <rPr>
        <vertAlign val="superscript"/>
        <sz val="11"/>
        <color theme="0"/>
        <rFont val="Calibri"/>
        <family val="2"/>
        <scheme val="minor"/>
      </rPr>
      <t>+</t>
    </r>
    <r>
      <rPr>
        <sz val="10"/>
        <color theme="0"/>
        <rFont val="Calibri"/>
        <family val="2"/>
        <scheme val="minor"/>
      </rPr>
      <t xml:space="preserve"> Gasoline, Vol%</t>
    </r>
  </si>
  <si>
    <t>Medium conversion FCC refineries</t>
  </si>
  <si>
    <t>Average US 2007 Profile (ref: Gary et al)</t>
  </si>
  <si>
    <t>Alternative data to simulate/calculate process energy requirements (Ref: Maple)</t>
  </si>
  <si>
    <t>GHG Emissions without use of refinery Heat (RFG) (g CO2e / MJ of Product)</t>
  </si>
  <si>
    <t>Functional Unit: bbl of Crude (MJ/bbl)</t>
  </si>
  <si>
    <t>Allocation accounting for use of Refinery Heat</t>
  </si>
  <si>
    <t>MJ/bbl (Functional Unit: MJ of Crude)</t>
  </si>
  <si>
    <r>
      <rPr>
        <b/>
        <sz val="12"/>
        <rFont val="Calibri"/>
        <family val="2"/>
      </rPr>
      <t>Jessica P. Abella,</t>
    </r>
    <r>
      <rPr>
        <sz val="12"/>
        <rFont val="Calibri"/>
        <family val="2"/>
      </rPr>
      <t xml:space="preserve"> Masters Candidate, MSc (2009-2012) Department of Chemical and Petroleum Engineering, University of Calgary</t>
    </r>
  </si>
  <si>
    <r>
      <rPr>
        <b/>
        <sz val="12"/>
        <rFont val="Calibri"/>
        <family val="2"/>
      </rPr>
      <t>Dr. Joule A. Bergerson,</t>
    </r>
    <r>
      <rPr>
        <sz val="12"/>
        <rFont val="Calibri"/>
        <family val="2"/>
      </rPr>
      <t xml:space="preserve"> Assistant Professor, Department of Chemical and Petroleum Engineering, University of Calgary</t>
    </r>
  </si>
  <si>
    <t>These worksheets gather data that are used by macros for advanced features from the Expert Input tab</t>
  </si>
  <si>
    <t>Hydro Refinery Controls</t>
  </si>
  <si>
    <t>Global warming potential values</t>
  </si>
  <si>
    <t>Main results for the current assay</t>
  </si>
  <si>
    <t>Acknowledgement</t>
  </si>
  <si>
    <t>The development and improvement of PRELIM has benefitted from significant technical and financial support.</t>
  </si>
  <si>
    <t>PRELIM authors would also like to acknowledge funding support for the development of the model from Natural Resources Canada, Alberta Innovates-Energy and Environment Solutions, Oil Sands Industry Consortium, the Institute for Sustainable Energy, Economy, and Environment, and the Carnegie Endowment for International Peace.</t>
  </si>
  <si>
    <t>Copyright statement</t>
  </si>
  <si>
    <t>All rights reserved.</t>
  </si>
  <si>
    <t>* retain the above copyright notice</t>
  </si>
  <si>
    <t>* require that the source and executable with any modifications be made publicly available under these same terms and conditions and</t>
  </si>
  <si>
    <t>* include this entire Agreement with any redistribution</t>
  </si>
  <si>
    <t>* be sent to: Dr. Joule A. Bergerson, Department of Chemical and Petroleum Engineering, University of Calgary, jbergers@ucalgary.ca</t>
  </si>
  <si>
    <t>Petroleum refinery steam: 750 psi (5171.06775 kPa) pressure and 1050 F (565.55C or 838.7055 K) temperature (Haynes, 1976, p.14)</t>
  </si>
  <si>
    <t>Catalytic Naphtha Reformer</t>
  </si>
  <si>
    <t>AGO-ATM Residue Swing Blend</t>
  </si>
  <si>
    <t>Vac Residue Swing Cut</t>
  </si>
  <si>
    <t>HVGO-Vac Residue Swing Blend</t>
  </si>
  <si>
    <t>Additional hydrogen to meet the liquid product hydrogen specification</t>
  </si>
  <si>
    <t>Total hydrogen consumed</t>
  </si>
  <si>
    <t>Hydrotreating_Diesel_Hydro refinery</t>
  </si>
  <si>
    <t>Hydrotreating_Diesel_Coking refinery</t>
  </si>
  <si>
    <t xml:space="preserve">Hydrotreating_FCC Feed_Coking refinery  </t>
  </si>
  <si>
    <t xml:space="preserve">Hydrotreating_FCC Feed_Hydro refinery  </t>
  </si>
  <si>
    <t xml:space="preserve">Copyright © 2015 Dr. Joule A. Bergerson </t>
  </si>
  <si>
    <t>The Petroleum Refinery Life Cycle Inventory Model (PRELIM) and operating manuals are being provided free of charge. PRELIM may be downloaded, modified and redistributed freely under the following terms and conditions:</t>
  </si>
  <si>
    <t>Redistributions of any of the following: PRELIM's source code, executables, and any other materials provided must</t>
  </si>
  <si>
    <t>Neither the name of the University of Calgary nor the names of the authors may be used to endorse or promote products derived from PRELIM without specific prior written permission.</t>
  </si>
  <si>
    <t>PRELIM is being provided “AS IS” and With All Faults. Users acknowledge that the authors will not provide any maintenance or support for PRELIM.</t>
  </si>
  <si>
    <t>The authors of PRELIM make no representations and extend no warranties of any kind, either express or implied.</t>
  </si>
  <si>
    <t>The authors of PRELIM disclaim any express or implied warranty of merchantability, or fitness for a particular purpose, of non-infringement, or arising out of any course of dealing.</t>
  </si>
  <si>
    <t>The authors of PRELIM are not liable for any special, consequential, lost profits, expectation, punitive or other indirect damages in connection with any claim arising out of or related to the use of PRELIM whether grounded in tort (including negligence), strict liability, contract, or otherwise; and,</t>
  </si>
  <si>
    <t>Users will indemnify, hold harmless and defend the authors of PRELIM against any claim of any kind arising out of or related to the exercise of any rights in this Agreement.</t>
  </si>
  <si>
    <t>Petroleum Refinery Life Cycle Inventory Model (PRELIM)</t>
  </si>
  <si>
    <t>PRELIM authors would like to acknowledge technical support, feedback, error corrections, and other useful suggestions from the following individuals: Damien Hocking Damien Hocking, Prakash Karpe, Heather MacLean, Jennifer McKellar, and Diana Pacheco, Nicolas Choquette-Levy, Deborah Gordon, Adam Brandt, Jonathan Koomey and Benjamin Israel. Any errors and shortcomings remain ours alone.</t>
  </si>
  <si>
    <t>High</t>
  </si>
  <si>
    <t>Low</t>
  </si>
  <si>
    <t>FCC HT</t>
  </si>
  <si>
    <t>Diesel HT</t>
  </si>
  <si>
    <t>Kero HT</t>
  </si>
  <si>
    <t>Naphtha HT</t>
  </si>
  <si>
    <t>Pad l</t>
  </si>
  <si>
    <t>Pad r</t>
  </si>
  <si>
    <t>Gap</t>
  </si>
  <si>
    <t>Initial low</t>
  </si>
  <si>
    <t>C- FCC hydrotreater options</t>
  </si>
  <si>
    <t>D- Electricity source</t>
  </si>
  <si>
    <t>FCC hydrotreater options</t>
  </si>
  <si>
    <t>Disabled</t>
  </si>
  <si>
    <t>Select the FCC feed hydrotreater: This hydrotreater can be disabled using this option. This option only applies if a medium or deep conversion configuration with FCC unit is active.</t>
  </si>
  <si>
    <t>Enabled</t>
  </si>
  <si>
    <t>Objective 3</t>
  </si>
  <si>
    <t>Desired share in the product slate, %</t>
  </si>
  <si>
    <t>Objective 3: Fixed  gasoline share in product slate</t>
  </si>
  <si>
    <t>Share in product slate, %</t>
  </si>
  <si>
    <t>Results for:</t>
  </si>
  <si>
    <t>Hydrotreater H content sensitivity analysis</t>
  </si>
  <si>
    <t>AGO Flow Fraction to Gas Oil Hydrocracker (3,6)</t>
  </si>
  <si>
    <t>AGO Flow Fraction to Gas Oil Hydrocracker (0,1,2,4,5)</t>
  </si>
  <si>
    <t>AGO Flow Split (3,6)</t>
  </si>
  <si>
    <t>LVGO Flow Split (3,6)</t>
  </si>
  <si>
    <t xml:space="preserve">AGO Flow Split </t>
  </si>
  <si>
    <t>HVGO Flow Split (3,6)</t>
  </si>
  <si>
    <t>Coker Gas Oil Flow Split (3,6)</t>
  </si>
  <si>
    <t>Resid Hydrocracker Fractionator (3,6)</t>
  </si>
  <si>
    <t>HC Naphtha HT</t>
  </si>
  <si>
    <t xml:space="preserve">Coker naphtha HT </t>
  </si>
  <si>
    <t>hydrogen</t>
  </si>
  <si>
    <t>C2H4</t>
  </si>
  <si>
    <t>C2H6</t>
  </si>
  <si>
    <t>C3H6</t>
  </si>
  <si>
    <t>C3H8</t>
  </si>
  <si>
    <t>C4H8</t>
  </si>
  <si>
    <t>iC4</t>
  </si>
  <si>
    <t>nC4</t>
  </si>
  <si>
    <t>JZH</t>
  </si>
  <si>
    <t>Gary</t>
  </si>
  <si>
    <t>Kerosene HT</t>
  </si>
  <si>
    <t>Gas Oil HC</t>
  </si>
  <si>
    <t>Coker Naphtha HT</t>
  </si>
  <si>
    <t>FCC Feed HT</t>
  </si>
  <si>
    <t>Mass Flow (kg/d)</t>
  </si>
  <si>
    <t>Off-gas Mass Flow (kg/d)</t>
  </si>
  <si>
    <t>Properties:</t>
  </si>
  <si>
    <t>Density (kg/m3) at 20C, 1atm</t>
  </si>
  <si>
    <t>Hydrogen wt%</t>
  </si>
  <si>
    <t>Production (kg/d)</t>
  </si>
  <si>
    <t>Petrochemical Feedstock (PF)</t>
  </si>
  <si>
    <t>Liquefied Natural Gas (LPG)</t>
  </si>
  <si>
    <t>Component Mass Flow (kg/d)</t>
  </si>
  <si>
    <t>Process Unit LPG</t>
  </si>
  <si>
    <t>Density (kg/m3)</t>
  </si>
  <si>
    <t>Allocation</t>
  </si>
  <si>
    <t>LPG</t>
  </si>
  <si>
    <t>HHV (MJ/kg)</t>
  </si>
  <si>
    <t>LHV (MJ/kg)</t>
  </si>
  <si>
    <t>Energy (MJ)</t>
  </si>
  <si>
    <t>Allocation Method:</t>
  </si>
  <si>
    <t>Molecular Breakdown</t>
  </si>
  <si>
    <t>Asphalt Production</t>
  </si>
  <si>
    <t>Percent default asphalt production</t>
  </si>
  <si>
    <t>Percent current asphalt production</t>
  </si>
  <si>
    <t>Asphalt Properties</t>
  </si>
  <si>
    <t>Asphalt Produced based on correlation (kg/d)</t>
  </si>
  <si>
    <t>Maximum asphalt production (kg/d)</t>
  </si>
  <si>
    <t xml:space="preserve"> </t>
  </si>
  <si>
    <t>Product 1</t>
  </si>
  <si>
    <t>Product 2</t>
  </si>
  <si>
    <t>Product 3</t>
  </si>
  <si>
    <t>Product 4</t>
  </si>
  <si>
    <t>Product 5</t>
  </si>
  <si>
    <t>Total Allocation</t>
  </si>
  <si>
    <t>Intermediate and Final Product Allocation</t>
  </si>
  <si>
    <t>Product Name</t>
  </si>
  <si>
    <t>Upstream Process Unit</t>
  </si>
  <si>
    <t>Desalter Output</t>
  </si>
  <si>
    <t>Allocation:</t>
  </si>
  <si>
    <t>From Previous Intermediate</t>
  </si>
  <si>
    <t>From Upstream Process Unit</t>
  </si>
  <si>
    <t>Atmospheric Furnace Output</t>
  </si>
  <si>
    <t>Allocation fraction:</t>
  </si>
  <si>
    <t>Classifcation:</t>
  </si>
  <si>
    <t>Production (MJ/d)</t>
  </si>
  <si>
    <t>Process Unit PF</t>
  </si>
  <si>
    <t>Off-Gas Product Analysis</t>
  </si>
  <si>
    <t>Petrochemical Feedstocks</t>
  </si>
  <si>
    <t>Total Energy Content (MJ)</t>
  </si>
  <si>
    <t>Allocation Amount</t>
  </si>
  <si>
    <t>Allocation Fraction</t>
  </si>
  <si>
    <t>Average global price, http://www.globalpetrolprices.com/lpg_prices/</t>
  </si>
  <si>
    <t>http://www.platts.com/news-feature/2015/petrochemicals/pgpi/index</t>
  </si>
  <si>
    <t>Petrochemical Feedstocks ($/kg)</t>
  </si>
  <si>
    <t>Tb(50%) weight basis</t>
  </si>
  <si>
    <t>Nigeria Escravos_Chevron</t>
  </si>
  <si>
    <t>Production (bbl/d)</t>
  </si>
  <si>
    <t>Overall</t>
  </si>
  <si>
    <t>Value ($/d)</t>
  </si>
  <si>
    <t>LPG production</t>
  </si>
  <si>
    <t>Petrochemical Feedstock</t>
  </si>
  <si>
    <t>New W</t>
  </si>
  <si>
    <t>Off-Gas Products and Allocation</t>
  </si>
  <si>
    <t>Residue HC</t>
  </si>
  <si>
    <t>Molecular Breakdown of Off-Gas Streams: Coking Refinery</t>
  </si>
  <si>
    <t>Molecular Breakdown of Off-Gas Streams: Hydrocracking Refinery</t>
  </si>
  <si>
    <t>RHC Naphtha HT</t>
  </si>
  <si>
    <t>6- Asphalt Production</t>
  </si>
  <si>
    <t>Minimize Asphalt Production (0%)</t>
  </si>
  <si>
    <t>Maximize Asphalt Production (100%)</t>
  </si>
  <si>
    <t>Asphalt</t>
  </si>
  <si>
    <t>Actual asphalt produced (kg/d)</t>
  </si>
  <si>
    <t>Actual asphalt produced (m3/d)</t>
  </si>
  <si>
    <t>Actual asphalt produced (bbl/d)</t>
  </si>
  <si>
    <t>Individual Process Unit Off-Gas Product Allocation</t>
  </si>
  <si>
    <t>Liquified Petroleum Gas (LPG)</t>
  </si>
  <si>
    <t>Weights</t>
  </si>
  <si>
    <t>Advanced features (Beta version)</t>
  </si>
  <si>
    <t>Sources: Gary, J. H. (2001). Petroleum Refining: Technology and Economics., Baukal, C. E. (2013). The John Zink Handworthy Combustion Handbook – Fundamentals Vol. 1.</t>
  </si>
  <si>
    <t>Prioritization: For a process level allocation and product allocation it is necessary to identify where the refinery fuel gas may be used</t>
  </si>
  <si>
    <t>Maximum asphalt production is equal to 15% of the vacuum tower input</t>
  </si>
  <si>
    <t>These calculations are relevant to the vacuum tower, but are temporarily being stored here.</t>
  </si>
  <si>
    <t>Coke ($/mt)</t>
  </si>
  <si>
    <t>US Gulf petcoke spot price markets with 6%-6.5% sulfur at a range of $55.50-$59.50/mt</t>
  </si>
  <si>
    <t>Offgas</t>
  </si>
  <si>
    <t>Emissions of refinery fuel gas if energy allocated on it with (natural gas use for all purposes)</t>
  </si>
  <si>
    <t>Recycled RFG</t>
  </si>
  <si>
    <t>Clean Fuel Gas (recycled)</t>
  </si>
  <si>
    <t>RFG (recycle)</t>
  </si>
  <si>
    <t>Total RFG production MJ/d (recycled)</t>
  </si>
  <si>
    <t>Energy Shares not including Recycled RFG</t>
  </si>
  <si>
    <t>RFG (recycled)</t>
  </si>
  <si>
    <t>Catalyst Coke Emissions</t>
  </si>
  <si>
    <t>LPG Properties</t>
  </si>
  <si>
    <t>Energy Content</t>
  </si>
  <si>
    <t>Total mass produced</t>
  </si>
  <si>
    <t>Total volume produced</t>
  </si>
  <si>
    <t>Low Carbon Power</t>
  </si>
  <si>
    <t xml:space="preserve">2007 IPCC AR4 (100 years) </t>
  </si>
  <si>
    <t>2013 IPCC AR5 (100 years) [default]</t>
  </si>
  <si>
    <t>Liquid Heavy Ends</t>
  </si>
  <si>
    <t>HVGO (Liquid Heavy Ends)</t>
  </si>
  <si>
    <t>Liquid Heavy Ends or Precursor of Heavy Oil</t>
  </si>
  <si>
    <t>Liquid Heavy Ends Precursor of Heavy Oil</t>
  </si>
  <si>
    <t>LPG Composition</t>
  </si>
  <si>
    <t>Volume %</t>
  </si>
  <si>
    <t>Propane (C3H8)</t>
  </si>
  <si>
    <t>n-Butane (nC4)</t>
  </si>
  <si>
    <t>i-Butane (iC4)</t>
  </si>
  <si>
    <t>Actual Production (kg/d)</t>
  </si>
  <si>
    <t>Base Production (kg/d)</t>
  </si>
  <si>
    <t>OFF (0%)</t>
  </si>
  <si>
    <t>ON (100%)</t>
  </si>
  <si>
    <t>7- Offgas Product Production</t>
  </si>
  <si>
    <t>Actual Hydrogen wt%</t>
  </si>
  <si>
    <t>Base Hydrogen wt%</t>
  </si>
  <si>
    <t>Base Offgas LPG Allocation Amount</t>
  </si>
  <si>
    <t>Base Offgas PF Allocation Amount</t>
  </si>
  <si>
    <t>Changes:  PRELIM V1.0 to PRELIM V1.1</t>
  </si>
  <si>
    <t>Model Changes</t>
  </si>
  <si>
    <t>The following features were added to the model:</t>
  </si>
  <si>
    <t xml:space="preserve">This feature allows for demonstration of the effect of changes in these assumptions on the total refinery GHG emissions. </t>
  </si>
  <si>
    <t>Previous version of the model assumed the electricty to the refinery was provided by a coal-fire power plant. The new version of the model assumes a natural gas power plant by default.</t>
  </si>
  <si>
    <t>Previous version of the model used 2007 IPCC AR4 (100 years) Global Warming Potentials (GWPs) by default. The new version uses 2013 IPCC AR5 (100 years) GWPs by default.</t>
  </si>
  <si>
    <t>FCC feed hydrotreater option</t>
  </si>
  <si>
    <t>Capability to switch the FCC feed hydrotreater on and off in the model has been added.</t>
  </si>
  <si>
    <t>Asphalt production</t>
  </si>
  <si>
    <t>A new feature was added to the model that allows accounting for production of LPG and petrochemical feedstock in the model.</t>
  </si>
  <si>
    <t>Up to 15% of the buttom products of the vacuum distillation column can be specified by the user to be converted to asphalt.</t>
  </si>
  <si>
    <t>Changes in the default options used by the model</t>
  </si>
  <si>
    <t xml:space="preserve">Petrochemical feedstock is considered to consist of ethane, ethene, propene, and butene. </t>
  </si>
  <si>
    <t>Production of LPG and petrochemical feedstock and allocation of energy and GHG emissions to these products</t>
  </si>
  <si>
    <t xml:space="preserve">A new feature was added to the model that allows accounting for production of asphalt and allocation of energy and GHG emissions to it in the medium and deep conversion refinery configurations. </t>
  </si>
  <si>
    <t>Low carbon power source</t>
  </si>
  <si>
    <t>In addition to coal-fired and NG-fired power plants in the previous version of the model, a low carbon power source had been added to the electricity source options in the model.</t>
  </si>
  <si>
    <t xml:space="preserve">Bunker C is now called heavy liquid ends in the model. </t>
  </si>
  <si>
    <t>Bunker C volume being incorrectly presented in the hydrocracking refinery results due to a broken excel link problem. The error has been fixed and correct values are reported for Bunker C in the hydrcracking refinery results.</t>
  </si>
  <si>
    <t>Hydrogen content of gasoline in the coking refinery resutls was being incorrectly presented in the coking refinery results. The error has been fixed and the correct value is now being presented on the results spreadsheet.</t>
  </si>
  <si>
    <t>SCF NG per SCF H2 produced</t>
  </si>
  <si>
    <t xml:space="preserve">NG Feedstock </t>
  </si>
  <si>
    <t>SCF NG per SCF H2, fuel</t>
  </si>
  <si>
    <t>NG for heating</t>
  </si>
  <si>
    <t>Total NG</t>
  </si>
  <si>
    <t>scf NG/scf H2</t>
  </si>
  <si>
    <t>Hydrotreated Straight Run Naphtha</t>
  </si>
  <si>
    <t>2013 IPCC AR5 (no climate-carbon feedback)</t>
  </si>
  <si>
    <t>2013 IPCC AR5 (with climate-carbon feedback)</t>
  </si>
  <si>
    <t>2013 IPCC AR5 (100 years, with CCF)</t>
  </si>
  <si>
    <t>Eagle Ford Ultralight_Platts</t>
  </si>
  <si>
    <t>Volume (m3/d)</t>
  </si>
  <si>
    <t>Clean Fuel Gas (Base)</t>
  </si>
  <si>
    <t>Density (g/ft3)</t>
  </si>
  <si>
    <t>Coking RFG Dynamic Calculations</t>
  </si>
  <si>
    <t>Hydro RFG Dynamic Calculations</t>
  </si>
  <si>
    <t>Christina Lake_Crude Monitor</t>
  </si>
  <si>
    <t>Forties Blend_BP</t>
  </si>
  <si>
    <r>
      <t xml:space="preserve">This feature allows the user to define an objective of gasoline and diesel production ratio. </t>
    </r>
    <r>
      <rPr>
        <sz val="11"/>
        <color rgb="FFFF0000"/>
        <rFont val="Calibri"/>
        <family val="2"/>
        <scheme val="minor"/>
      </rPr>
      <t>FEATURE IN DEVELOPMENT</t>
    </r>
  </si>
  <si>
    <r>
      <t xml:space="preserve">This feature allows the user to define an objective in terms of product slate as a percentage of the barrel.                                                                                           </t>
    </r>
    <r>
      <rPr>
        <sz val="11"/>
        <color rgb="FFFF0000"/>
        <rFont val="Calibri"/>
        <family val="2"/>
        <scheme val="minor"/>
      </rPr>
      <t>FEATURE IN DEVELOPMENT</t>
    </r>
  </si>
  <si>
    <t>Algerian Condensate_BP</t>
  </si>
  <si>
    <t>Brazil Polvo_BP</t>
  </si>
  <si>
    <t>Brent_BP</t>
  </si>
  <si>
    <t>Ekofisk_BP</t>
  </si>
  <si>
    <t>Indonesia Tangguh_BP</t>
  </si>
  <si>
    <t>Iraq Basra_BP</t>
  </si>
  <si>
    <t>Mars USA-Gulf of Mexico_BP</t>
  </si>
  <si>
    <t>Norway North Sea Skarv_BP</t>
  </si>
  <si>
    <t xml:space="preserve">Thunderhorse_BP </t>
  </si>
  <si>
    <t>UAE DAS Blend_BP</t>
  </si>
  <si>
    <t>UAE Murban_BP</t>
  </si>
  <si>
    <t>Margham Light_Ceric Emir</t>
  </si>
  <si>
    <t>Angola Kuito_Chevron</t>
  </si>
  <si>
    <t>Azeri Light_Chevron</t>
  </si>
  <si>
    <t>Bonny Light_Chevron</t>
  </si>
  <si>
    <t>Brent_Chevron</t>
  </si>
  <si>
    <t>Offshore</t>
  </si>
  <si>
    <t>Chevron</t>
  </si>
  <si>
    <t>Canada Hibernia_Chevron</t>
  </si>
  <si>
    <t>China Bozhong_Chevron</t>
  </si>
  <si>
    <t>Cossack_Chevron</t>
  </si>
  <si>
    <t xml:space="preserve">Ekofisk_Chevron </t>
  </si>
  <si>
    <t xml:space="preserve">Forties_Chevron </t>
  </si>
  <si>
    <t>Indonesia Duri_Chevron</t>
  </si>
  <si>
    <t>Kuwait Eocene_Chevron</t>
  </si>
  <si>
    <t>Nanhai Light_Chevron</t>
  </si>
  <si>
    <t>Qin Huang Dao_Chevron</t>
  </si>
  <si>
    <t>Sumatran Light (Minas)_Chevron</t>
  </si>
  <si>
    <t>Tengiz_Chevron</t>
  </si>
  <si>
    <t>Basrah Medium_COA</t>
  </si>
  <si>
    <t>Cusiana_COA</t>
  </si>
  <si>
    <t>Dukhan_Qatar_COA</t>
  </si>
  <si>
    <t>East Texas Sweet_COA</t>
  </si>
  <si>
    <t>Fateh_COA</t>
  </si>
  <si>
    <t>Iran Ardeshir_COA</t>
  </si>
  <si>
    <t>Iranian Heavy_COA</t>
  </si>
  <si>
    <t>Olmeca_COA</t>
  </si>
  <si>
    <t>Siberian Light_COA</t>
  </si>
  <si>
    <t>Venezuela Leona_COA</t>
  </si>
  <si>
    <t>Wyoming Sweet_COA</t>
  </si>
  <si>
    <t>Albian Heavy Synthetic_Crude Monitor</t>
  </si>
  <si>
    <t>SCO,So,H</t>
  </si>
  <si>
    <t>AHS</t>
  </si>
  <si>
    <t>Albian Residual Blend_Crude Monitor</t>
  </si>
  <si>
    <t>Synbit</t>
  </si>
  <si>
    <t>ARB</t>
  </si>
  <si>
    <t>Bow River North_Crude Monitor</t>
  </si>
  <si>
    <t>Conv,So,M</t>
  </si>
  <si>
    <t>BR, BRN</t>
  </si>
  <si>
    <t>Cold Lake_Crude Monitor</t>
  </si>
  <si>
    <t>High Sour Edmonton_Crude Monitor</t>
  </si>
  <si>
    <t>SHE</t>
  </si>
  <si>
    <t>Husky Synthetic Blend_Crude Monitor</t>
  </si>
  <si>
    <t>HSB</t>
  </si>
  <si>
    <t>Lloyd Blend_Crude Monitor</t>
  </si>
  <si>
    <t>Conv,So,H</t>
  </si>
  <si>
    <t>LLB</t>
  </si>
  <si>
    <t>Lloyd Kerrobert_Crude Monitor</t>
  </si>
  <si>
    <t>LLK</t>
  </si>
  <si>
    <t>Midale_Crude Monitor</t>
  </si>
  <si>
    <t>MSM, M</t>
  </si>
  <si>
    <t>Light Sour Blend_Crude Monitor</t>
  </si>
  <si>
    <t>SH</t>
  </si>
  <si>
    <t>Smiley-Coleville_Crude Monitor</t>
  </si>
  <si>
    <t>SC</t>
  </si>
  <si>
    <t>Suncor Synthetic H_Crude Monitor</t>
  </si>
  <si>
    <t>OSH</t>
  </si>
  <si>
    <t>Synbit Blend_Crude Monitor</t>
  </si>
  <si>
    <t>SYB</t>
  </si>
  <si>
    <t>Wabasca Heavy_Crude Monitor</t>
  </si>
  <si>
    <t>WH</t>
  </si>
  <si>
    <t>LRS</t>
  </si>
  <si>
    <t>Western Canadian Blend_Crude Monitor</t>
  </si>
  <si>
    <t>WCB</t>
  </si>
  <si>
    <t>Western Canadian Select_Crude Monitor</t>
  </si>
  <si>
    <t>WCS</t>
  </si>
  <si>
    <t>Angola Girassol_Exxon</t>
  </si>
  <si>
    <t>Alaskan North Slope_Exxon</t>
  </si>
  <si>
    <t xml:space="preserve">Azeri light_Exxon </t>
  </si>
  <si>
    <t>Brent_Exxon</t>
  </si>
  <si>
    <t>Nigera Erha_Exxon</t>
  </si>
  <si>
    <t>Nigera Quaib_Exxon</t>
  </si>
  <si>
    <t>Russia Sokol_Exxon</t>
  </si>
  <si>
    <t>Thunderhorse_Exxon</t>
  </si>
  <si>
    <t>Belridge_Knovel</t>
  </si>
  <si>
    <t>Hamaca Venezuela_Knovel</t>
  </si>
  <si>
    <t>Midway-Sunset_Knovel</t>
  </si>
  <si>
    <t>Wilmington CA_Knovel</t>
  </si>
  <si>
    <t>Basrah Heavy_O&amp;G</t>
  </si>
  <si>
    <t>Burgan (Wafra)_O&amp;G</t>
  </si>
  <si>
    <t>Kirkuk_O&amp;G</t>
  </si>
  <si>
    <t>Marine Qatar_O&amp;G</t>
  </si>
  <si>
    <t>Merey_O&amp;G</t>
  </si>
  <si>
    <t>Angola Cabinda_Stratiev</t>
  </si>
  <si>
    <t>Arab Light_Stratiev</t>
  </si>
  <si>
    <t>Arab Medium_Stratiev</t>
  </si>
  <si>
    <t>Arab Heavy_Stratiev</t>
  </si>
  <si>
    <t>Colombia Cano Limon_Stratiev</t>
  </si>
  <si>
    <t>Congo Emeraude_Stratiev</t>
  </si>
  <si>
    <t>Ecuador Oriente_Stratiev</t>
  </si>
  <si>
    <t>Isthmus_Stratiev</t>
  </si>
  <si>
    <t>Kuwait Export_Stratiev</t>
  </si>
  <si>
    <t>Louisiana light sweet_Stratiev</t>
  </si>
  <si>
    <t>MAYA_Stratiev</t>
  </si>
  <si>
    <t>Russian Export Blend_Stratiev</t>
  </si>
  <si>
    <t>Venezuela Tia Juana_Stratiev</t>
  </si>
  <si>
    <t>West texas intermediate_Stratiev</t>
  </si>
  <si>
    <t>West texas sour_Stratiev</t>
  </si>
  <si>
    <t>Angola Girassol_Statoil</t>
  </si>
  <si>
    <t>Azeri Light_Statoil</t>
  </si>
  <si>
    <t>Ekofisk_Statoil</t>
  </si>
  <si>
    <t xml:space="preserve">Canada Hibernia_Statoil </t>
  </si>
  <si>
    <t xml:space="preserve">Forties_Statoil </t>
  </si>
  <si>
    <t>Nigeria Agbami_Statoil</t>
  </si>
  <si>
    <t>North Sea Dansk Blend_Statoil</t>
  </si>
  <si>
    <t>Bakken_Various Sources</t>
  </si>
  <si>
    <t>Snohvit Condensate_Statoil</t>
  </si>
  <si>
    <t>Norway Oseberg_Statoil</t>
  </si>
  <si>
    <t>India Bombay_COA</t>
  </si>
  <si>
    <t>Libya Es Sider_COA</t>
  </si>
  <si>
    <t>LPG is considered to consist of propane, n-butane, and i-butane.</t>
  </si>
  <si>
    <t>Feature to allow conducting sensitivity analyses on the hydrotreater output hydrogen content assumptions in the hydrogne global mass balance method. (Note that this is a Beta version and will be finalized in the next version)</t>
  </si>
  <si>
    <r>
      <t xml:space="preserve">The dropdown menus above allow the user to select a configuration for each of the refineries. The first option is a default value that is automatically determined by PRELIM.
</t>
    </r>
    <r>
      <rPr>
        <b/>
        <sz val="11"/>
        <color rgb="FFFF0000"/>
        <rFont val="Calibri"/>
        <family val="2"/>
        <scheme val="minor"/>
      </rPr>
      <t xml:space="preserve">Note: </t>
    </r>
    <r>
      <rPr>
        <sz val="11"/>
        <rFont val="Calibri"/>
        <family val="2"/>
        <scheme val="minor"/>
      </rPr>
      <t xml:space="preserve">Hydroskimming, medium and deep conversion refinery configurations can be chosen for coking and hydro refineries in PRELIM. The only distinction is that the deep conversion configurations for coking refinery include a coker unit, while the deep conversion configurations in hydro refinery include a residual hydrocracker at the same location as the coker in the coking refinery. Hydroskimming and medium conversion configurations are exactly the same for the two refineries. This allows the user compare the results of the model in two cases. </t>
    </r>
  </si>
  <si>
    <t>The blending tool available on the "Expert Input" spreadsheet was modified to give more accurate results.</t>
  </si>
  <si>
    <t>Version 1.1 (September 2016)</t>
  </si>
  <si>
    <r>
      <rPr>
        <b/>
        <sz val="12"/>
        <rFont val="Calibri"/>
        <family val="2"/>
      </rPr>
      <t xml:space="preserve">Kavan Motazedi, </t>
    </r>
    <r>
      <rPr>
        <sz val="12"/>
        <rFont val="Calibri"/>
        <family val="2"/>
      </rPr>
      <t>PhD Candidate, Department of Chemical and Petroleum Engineering, University of Calgary</t>
    </r>
  </si>
  <si>
    <r>
      <rPr>
        <b/>
        <sz val="12"/>
        <rFont val="Calibri"/>
        <family val="2"/>
      </rPr>
      <t xml:space="preserve">John Guo, </t>
    </r>
    <r>
      <rPr>
        <sz val="12"/>
        <rFont val="Calibri"/>
        <family val="2"/>
      </rPr>
      <t>MSc Candidate, Department of Chemical and Petroleum Engineering, University of Calgary</t>
    </r>
  </si>
  <si>
    <t>SSP</t>
  </si>
  <si>
    <t>SCO, Sw, L</t>
  </si>
  <si>
    <t>Syncrude Sweet Premium_Crude Monitor</t>
  </si>
  <si>
    <t>Hydrotreating_Naphtha Coking refinery</t>
  </si>
  <si>
    <t>Hydrotreating_Naphtha Hydro refinery</t>
  </si>
  <si>
    <t>Hydrotreating_Kerosene Coking refinery</t>
  </si>
  <si>
    <t>Hydrotreating_Kerosene Hydro refinery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</si>
</sst>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2">
    <numFmt numFmtId="41" formatCode="_-* #,##0_-;\-* #,##0_-;_-* &quot;-&quot;_-;_-@_-"/>
    <numFmt numFmtId="43" formatCode="_-* #,##0.00_-;\-* #,##0.00_-;_-* &quot;-&quot;??_-;_-@_-"/>
    <numFmt numFmtId="164" formatCode="_(* #,##0_);_(* \(#,##0\);_(* &quot;-&quot;_);_(@_)"/>
    <numFmt numFmtId="165" formatCode="_(* #,##0.00_);_(* \(#,##0.00\);_(* &quot;-&quot;??_);_(@_)"/>
    <numFmt numFmtId="166" formatCode="0.00000"/>
    <numFmt numFmtId="167" formatCode="0.0000"/>
    <numFmt numFmtId="168" formatCode="0.000"/>
    <numFmt numFmtId="169" formatCode="0.0"/>
    <numFmt numFmtId="170" formatCode="_(* #,##0_);_(* \(#,##0\);_(* &quot;-&quot;??_);_(@_)"/>
    <numFmt numFmtId="171" formatCode="_-* #,##0.00000_-;\-* #,##0.00000_-;_-* &quot;-&quot;??_-;_-@_-"/>
    <numFmt numFmtId="172" formatCode="&quot;a=&quot;General"/>
    <numFmt numFmtId="173" formatCode="&quot;b=&quot;General"/>
    <numFmt numFmtId="174" formatCode="&quot;LHV=&quot;0.0%"/>
    <numFmt numFmtId="175" formatCode="_-* #,##0.000_-;\-* #,##0.000_-;_-* &quot;-&quot;??_-;_-@_-"/>
    <numFmt numFmtId="176" formatCode="_-* #,##0.0000_-;\-* #,##0.0000_-;_-* &quot;-&quot;??_-;_-@_-"/>
    <numFmt numFmtId="177" formatCode="0_)"/>
    <numFmt numFmtId="178" formatCode="_-* #,##0.000_-;\-* #,##0.000_-;_-* &quot;-&quot;???_-;_-@_-"/>
    <numFmt numFmtId="179" formatCode="0.0%"/>
    <numFmt numFmtId="180" formatCode="_-* #,##0.00_-;\-* #,##0.00_-;_-* &quot;-&quot;_-;_-@_-"/>
    <numFmt numFmtId="181" formatCode="0.000E+00"/>
    <numFmt numFmtId="182" formatCode="&quot;c=&quot;General"/>
    <numFmt numFmtId="183" formatCode="&quot;d=&quot;General"/>
    <numFmt numFmtId="184" formatCode="&quot;a'=&quot;General"/>
    <numFmt numFmtId="185" formatCode="&quot;b'=&quot;General"/>
    <numFmt numFmtId="186" formatCode="&quot;c'=&quot;General"/>
    <numFmt numFmtId="187" formatCode="&quot;d'=&quot;General"/>
    <numFmt numFmtId="188" formatCode="_-* #,##0_-;\-* #,##0_-;_-* &quot;-&quot;??_-;_-@_-"/>
    <numFmt numFmtId="189" formatCode="_-* #,##0.0000_-;\-* #,##0.0000_-;_-* &quot;-&quot;????_-;_-@_-"/>
    <numFmt numFmtId="190" formatCode="_-* #,##0.0000_-;\-* #,##0.0000_-;_-* &quot;-&quot;_-;_-@_-"/>
    <numFmt numFmtId="191" formatCode="_-* #,##0.000000_-;\-* #,##0.000000_-;_-* &quot;-&quot;??_-;_-@_-"/>
    <numFmt numFmtId="192" formatCode="0\ &quot;+&quot;"/>
    <numFmt numFmtId="193" formatCode="0.00\ &quot;MJ/kg&quot;"/>
    <numFmt numFmtId="194" formatCode="_-* #,##0.0_-;\-* #,##0.0_-;_-* &quot;-&quot;_-;_-@_-"/>
    <numFmt numFmtId="195" formatCode="0.00\ &quot;+&quot;"/>
    <numFmt numFmtId="196" formatCode="_-* #,##0.0_-;\-* #,##0.0_-;_-* &quot;-&quot;??_-;_-@_-"/>
    <numFmt numFmtId="197" formatCode="_-* #,##0.000_-;\-* #,##0.000_-;_-* &quot;-&quot;_-;_-@_-"/>
    <numFmt numFmtId="198" formatCode="0.00&quot;&lt;&quot;"/>
    <numFmt numFmtId="199" formatCode="&quot;Kw&gt;&quot;0.00"/>
    <numFmt numFmtId="200" formatCode="0.00&quot;&gt;&quot;"/>
    <numFmt numFmtId="201" formatCode="&quot;Kw&lt;&quot;0.00"/>
    <numFmt numFmtId="202" formatCode="&quot;Kw=&quot;0.00"/>
    <numFmt numFmtId="203" formatCode="General\ &quot;if KW&lt;&quot;"/>
    <numFmt numFmtId="204" formatCode="&quot;&lt; or &gt;&quot;\ General\ "/>
    <numFmt numFmtId="205" formatCode="_-* #,##0.00000000_-;\-* #,##0.00000000_-;_-* &quot;-&quot;??_-;_-@_-"/>
    <numFmt numFmtId="206" formatCode="_-* #,##0.0000000_-;\-* #,##0.0000000_-;_-* &quot;-&quot;??_-;_-@_-"/>
    <numFmt numFmtId="207" formatCode="#,##0_ ;\-#,##0\ "/>
    <numFmt numFmtId="208" formatCode="#,##0.00_ ;\-#,##0.00\ "/>
    <numFmt numFmtId="209" formatCode="#,##0.0_ ;\-#,##0.0\ "/>
    <numFmt numFmtId="210" formatCode="_-* #,##0.00_-;\-* #,##0.00_-;_-* &quot;-&quot;???_-;_-@_-"/>
    <numFmt numFmtId="211" formatCode="_-* #,##0_-;\-* #,##0_-;_-* &quot;-&quot;???_-;_-@_-"/>
    <numFmt numFmtId="212" formatCode="_-* #,##0.00000000000000000_-;\-* #,##0.00000000000000000_-;_-* &quot;-&quot;??_-;_-@_-"/>
    <numFmt numFmtId="213" formatCode="#,##0.0000"/>
    <numFmt numFmtId="214" formatCode="#,##0.000"/>
    <numFmt numFmtId="215" formatCode="0.00000000000000"/>
    <numFmt numFmtId="216" formatCode="0.000000"/>
    <numFmt numFmtId="217" formatCode="0.00;\-0.00;;@"/>
    <numFmt numFmtId="218" formatCode="0.0000000000"/>
    <numFmt numFmtId="219" formatCode="_(* #,##0.00000000_);_(* \(#,##0.00000000\);_(* &quot;-&quot;??_);_(@_)"/>
    <numFmt numFmtId="220" formatCode="_(* #,##0.00000000000000000_);_(* \(#,##0.00000000000000000\);_(* &quot;-&quot;??_);_(@_)"/>
    <numFmt numFmtId="221" formatCode="0.000000000"/>
    <numFmt numFmtId="222" formatCode="_(* #,##0.00_);_(* \(#,##0.00\);_(* &quot;-&quot;_);_(@_)"/>
    <numFmt numFmtId="223" formatCode="_(* #,##0.000_);_(* \(#,##0.000\);_(* &quot;-&quot;_);_(@_)"/>
  </numFmts>
  <fonts count="25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sz val="8"/>
      <name val="Arial"/>
      <family val="2"/>
    </font>
    <font>
      <sz val="8"/>
      <name val="Verdana"/>
      <family val="2"/>
    </font>
    <font>
      <sz val="10"/>
      <name val="Arial"/>
      <family val="2"/>
    </font>
    <font>
      <sz val="8"/>
      <name val="Arial"/>
      <family val="2"/>
    </font>
    <font>
      <sz val="9"/>
      <color indexed="81"/>
      <name val="Tahoma"/>
      <family val="2"/>
    </font>
    <font>
      <b/>
      <sz val="9"/>
      <color indexed="81"/>
      <name val="Tahoma"/>
      <family val="2"/>
    </font>
    <font>
      <b/>
      <sz val="11"/>
      <color theme="1"/>
      <name val="Calibri"/>
      <family val="2"/>
      <scheme val="minor"/>
    </font>
    <font>
      <sz val="9"/>
      <name val="Arial"/>
      <family val="2"/>
    </font>
    <font>
      <b/>
      <sz val="11"/>
      <name val="Calibri"/>
      <family val="2"/>
      <scheme val="minor"/>
    </font>
    <font>
      <sz val="11"/>
      <name val="Calibri"/>
      <family val="2"/>
      <scheme val="minor"/>
    </font>
    <font>
      <sz val="10"/>
      <name val="Helv"/>
      <family val="2"/>
    </font>
    <font>
      <sz val="11"/>
      <color rgb="FFFF0000"/>
      <name val="Calibri"/>
      <family val="2"/>
      <scheme val="minor"/>
    </font>
    <font>
      <b/>
      <sz val="11"/>
      <color rgb="FFFF0000"/>
      <name val="Calibri"/>
      <family val="2"/>
      <scheme val="minor"/>
    </font>
    <font>
      <sz val="10"/>
      <color indexed="8"/>
      <name val="MS Sans Serif"/>
      <family val="2"/>
    </font>
    <font>
      <vertAlign val="superscript"/>
      <sz val="11"/>
      <color theme="1"/>
      <name val="Calibri"/>
      <family val="2"/>
      <scheme val="minor"/>
    </font>
    <font>
      <vertAlign val="subscript"/>
      <sz val="11"/>
      <color theme="1"/>
      <name val="Calibri"/>
      <family val="2"/>
      <scheme val="minor"/>
    </font>
    <font>
      <b/>
      <vertAlign val="subscript"/>
      <sz val="11"/>
      <color theme="1"/>
      <name val="Calibri"/>
      <family val="2"/>
      <scheme val="minor"/>
    </font>
    <font>
      <b/>
      <vertAlign val="superscript"/>
      <sz val="11"/>
      <color theme="1"/>
      <name val="Calibri"/>
      <family val="2"/>
      <scheme val="minor"/>
    </font>
    <font>
      <vertAlign val="subscript"/>
      <sz val="11"/>
      <name val="Calibri"/>
      <family val="2"/>
      <scheme val="minor"/>
    </font>
    <font>
      <b/>
      <vertAlign val="subscript"/>
      <sz val="11"/>
      <name val="Calibri"/>
      <family val="2"/>
      <scheme val="minor"/>
    </font>
    <font>
      <b/>
      <vertAlign val="superscript"/>
      <sz val="11"/>
      <name val="Calibri"/>
      <family val="2"/>
      <scheme val="minor"/>
    </font>
    <font>
      <vertAlign val="subscript"/>
      <sz val="10"/>
      <color theme="1"/>
      <name val="Calibri"/>
      <family val="2"/>
      <scheme val="minor"/>
    </font>
    <font>
      <sz val="10"/>
      <color theme="1"/>
      <name val="Calibri"/>
      <family val="2"/>
      <scheme val="minor"/>
    </font>
    <font>
      <b/>
      <sz val="11"/>
      <color theme="4"/>
      <name val="Calibri"/>
      <family val="2"/>
      <scheme val="minor"/>
    </font>
    <font>
      <b/>
      <vertAlign val="superscript"/>
      <sz val="11"/>
      <color rgb="FFFF0000"/>
      <name val="Calibri"/>
      <family val="2"/>
      <scheme val="minor"/>
    </font>
    <font>
      <sz val="10"/>
      <name val="Trebuchet MS"/>
      <family val="2"/>
    </font>
    <font>
      <b/>
      <sz val="11"/>
      <color rgb="FFFA7D00"/>
      <name val="Calibri"/>
      <family val="2"/>
      <scheme val="minor"/>
    </font>
    <font>
      <b/>
      <sz val="11"/>
      <color theme="0"/>
      <name val="Calibri"/>
      <family val="2"/>
      <scheme val="minor"/>
    </font>
    <font>
      <sz val="8"/>
      <color rgb="FF0000FF"/>
      <name val="Arial"/>
      <family val="2"/>
    </font>
    <font>
      <b/>
      <i/>
      <sz val="9"/>
      <color indexed="81"/>
      <name val="Tahoma"/>
      <family val="2"/>
    </font>
    <font>
      <sz val="11"/>
      <color theme="4"/>
      <name val="Calibri"/>
      <family val="2"/>
      <scheme val="minor"/>
    </font>
    <font>
      <u/>
      <sz val="15.95"/>
      <color theme="10"/>
      <name val="Calibri"/>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4"/>
      <name val="Arial"/>
      <family val="2"/>
    </font>
    <font>
      <sz val="10"/>
      <name val="Calibri"/>
      <family val="2"/>
      <scheme val="minor"/>
    </font>
    <font>
      <b/>
      <sz val="16"/>
      <color theme="0"/>
      <name val="Calibri"/>
      <family val="2"/>
      <scheme val="minor"/>
    </font>
    <font>
      <sz val="10"/>
      <color theme="0"/>
      <name val="Calibri"/>
      <family val="2"/>
      <scheme val="minor"/>
    </font>
    <font>
      <sz val="12"/>
      <name val="Calibri"/>
      <family val="2"/>
      <scheme val="minor"/>
    </font>
    <font>
      <b/>
      <sz val="12"/>
      <color theme="1"/>
      <name val="Calibri"/>
      <family val="2"/>
      <scheme val="minor"/>
    </font>
    <font>
      <b/>
      <sz val="10"/>
      <color theme="1"/>
      <name val="Calibri"/>
      <family val="2"/>
      <scheme val="minor"/>
    </font>
    <font>
      <b/>
      <sz val="13"/>
      <color rgb="FFFFFFFF"/>
      <name val="Calibri"/>
      <family val="2"/>
    </font>
    <font>
      <b/>
      <sz val="10"/>
      <color indexed="9"/>
      <name val="Calibri"/>
      <family val="2"/>
      <scheme val="minor"/>
    </font>
    <font>
      <sz val="10"/>
      <color rgb="FFFF0000"/>
      <name val="Calibri"/>
      <family val="2"/>
      <scheme val="minor"/>
    </font>
    <font>
      <i/>
      <sz val="10"/>
      <name val="Calibri"/>
      <family val="2"/>
      <scheme val="minor"/>
    </font>
    <font>
      <b/>
      <sz val="10"/>
      <color rgb="FF0000FF"/>
      <name val="Calibri"/>
      <family val="2"/>
      <scheme val="minor"/>
    </font>
    <font>
      <sz val="10"/>
      <color rgb="FF0000FF"/>
      <name val="Calibri"/>
      <family val="2"/>
      <scheme val="minor"/>
    </font>
    <font>
      <b/>
      <sz val="10"/>
      <color theme="0" tint="-0.249977111117893"/>
      <name val="Calibri"/>
      <family val="2"/>
      <scheme val="minor"/>
    </font>
    <font>
      <b/>
      <sz val="10"/>
      <name val="Calibri"/>
      <family val="2"/>
      <scheme val="minor"/>
    </font>
    <font>
      <b/>
      <sz val="10"/>
      <color rgb="FFFF0000"/>
      <name val="Calibri"/>
      <family val="2"/>
      <scheme val="minor"/>
    </font>
    <font>
      <b/>
      <sz val="10"/>
      <color indexed="10"/>
      <name val="Calibri"/>
      <family val="2"/>
      <scheme val="minor"/>
    </font>
    <font>
      <sz val="10"/>
      <color theme="0" tint="-0.14999847407452621"/>
      <name val="Calibri"/>
      <family val="2"/>
      <scheme val="minor"/>
    </font>
    <font>
      <b/>
      <sz val="10"/>
      <color indexed="12"/>
      <name val="Calibri"/>
      <family val="2"/>
      <scheme val="minor"/>
    </font>
    <font>
      <b/>
      <sz val="10"/>
      <color theme="3" tint="0.39997558519241921"/>
      <name val="Calibri"/>
      <family val="2"/>
      <scheme val="minor"/>
    </font>
    <font>
      <sz val="10"/>
      <color theme="3" tint="0.39997558519241921"/>
      <name val="Calibri"/>
      <family val="2"/>
      <scheme val="minor"/>
    </font>
    <font>
      <b/>
      <sz val="12"/>
      <name val="Calibri"/>
      <family val="2"/>
      <scheme val="minor"/>
    </font>
    <font>
      <b/>
      <sz val="14"/>
      <color theme="0"/>
      <name val="Calibri"/>
      <family val="2"/>
      <scheme val="minor"/>
    </font>
    <font>
      <sz val="16"/>
      <color theme="0"/>
      <name val="Calibri"/>
      <family val="2"/>
      <scheme val="minor"/>
    </font>
    <font>
      <b/>
      <i/>
      <sz val="10"/>
      <name val="Calibri"/>
      <family val="2"/>
      <scheme val="minor"/>
    </font>
    <font>
      <sz val="16"/>
      <name val="Calibri"/>
      <family val="2"/>
      <scheme val="minor"/>
    </font>
    <font>
      <b/>
      <sz val="10"/>
      <color theme="0"/>
      <name val="Calibri"/>
      <family val="2"/>
      <scheme val="minor"/>
    </font>
    <font>
      <b/>
      <sz val="26"/>
      <color theme="0"/>
      <name val="Calibri"/>
      <family val="2"/>
      <scheme val="minor"/>
    </font>
    <font>
      <b/>
      <sz val="18"/>
      <color theme="0"/>
      <name val="Calibri"/>
      <family val="2"/>
      <scheme val="minor"/>
    </font>
    <font>
      <b/>
      <sz val="14"/>
      <name val="Calibri"/>
      <family val="2"/>
      <scheme val="minor"/>
    </font>
    <font>
      <b/>
      <sz val="12"/>
      <color theme="0"/>
      <name val="Calibri"/>
      <family val="2"/>
      <scheme val="minor"/>
    </font>
    <font>
      <b/>
      <i/>
      <sz val="12"/>
      <color theme="0"/>
      <name val="Calibri"/>
      <family val="2"/>
      <scheme val="minor"/>
    </font>
    <font>
      <b/>
      <sz val="11"/>
      <color indexed="12"/>
      <name val="Calibri"/>
      <family val="2"/>
      <scheme val="minor"/>
    </font>
    <font>
      <b/>
      <sz val="20"/>
      <color rgb="FFFFFFFF"/>
      <name val="Calibri"/>
      <family val="2"/>
    </font>
    <font>
      <b/>
      <sz val="10"/>
      <color rgb="FF0070C0"/>
      <name val="Calibri"/>
      <family val="2"/>
      <scheme val="minor"/>
    </font>
    <font>
      <b/>
      <sz val="8"/>
      <color rgb="FF0070C0"/>
      <name val="Calibri"/>
      <family val="2"/>
      <scheme val="minor"/>
    </font>
    <font>
      <vertAlign val="subscript"/>
      <sz val="10"/>
      <name val="Calibri"/>
      <family val="2"/>
      <scheme val="minor"/>
    </font>
    <font>
      <vertAlign val="superscript"/>
      <sz val="10"/>
      <name val="Calibri"/>
      <family val="2"/>
      <scheme val="minor"/>
    </font>
    <font>
      <sz val="10"/>
      <color theme="0" tint="-0.34998626667073579"/>
      <name val="Calibri"/>
      <family val="2"/>
      <scheme val="minor"/>
    </font>
    <font>
      <b/>
      <vertAlign val="subscript"/>
      <sz val="10"/>
      <name val="Calibri"/>
      <family val="2"/>
      <scheme val="minor"/>
    </font>
    <font>
      <sz val="10"/>
      <color indexed="9"/>
      <name val="Calibri"/>
      <family val="2"/>
      <scheme val="minor"/>
    </font>
    <font>
      <sz val="10"/>
      <color theme="3" tint="0.59999389629810485"/>
      <name val="Calibri"/>
      <family val="2"/>
      <scheme val="minor"/>
    </font>
    <font>
      <sz val="10"/>
      <color rgb="FF000000"/>
      <name val="Calibri"/>
      <family val="2"/>
      <scheme val="minor"/>
    </font>
    <font>
      <b/>
      <sz val="24"/>
      <color rgb="FF0070C0"/>
      <name val="Calibri"/>
      <family val="2"/>
      <scheme val="minor"/>
    </font>
    <font>
      <sz val="10"/>
      <color rgb="FF0070C0"/>
      <name val="Calibri"/>
      <family val="2"/>
      <scheme val="minor"/>
    </font>
    <font>
      <sz val="11"/>
      <color indexed="62"/>
      <name val="Calibri"/>
      <family val="2"/>
      <scheme val="minor"/>
    </font>
    <font>
      <b/>
      <sz val="10"/>
      <color rgb="FFFFFF00"/>
      <name val="Calibri"/>
      <family val="2"/>
      <scheme val="minor"/>
    </font>
    <font>
      <sz val="8"/>
      <name val="Calibri"/>
      <family val="2"/>
      <scheme val="minor"/>
    </font>
    <font>
      <sz val="9"/>
      <name val="Calibri"/>
      <family val="2"/>
      <scheme val="minor"/>
    </font>
    <font>
      <i/>
      <sz val="10"/>
      <color rgb="FF000000"/>
      <name val="Calibri"/>
      <family val="2"/>
      <scheme val="minor"/>
    </font>
    <font>
      <i/>
      <vertAlign val="subscript"/>
      <sz val="10"/>
      <color rgb="FF000000"/>
      <name val="Calibri"/>
      <family val="2"/>
      <scheme val="minor"/>
    </font>
    <font>
      <sz val="10"/>
      <color theme="0" tint="-0.499984740745262"/>
      <name val="Calibri"/>
      <family val="2"/>
      <scheme val="minor"/>
    </font>
    <font>
      <sz val="10"/>
      <color theme="1" tint="0.499984740745262"/>
      <name val="Calibri"/>
      <family val="2"/>
      <scheme val="minor"/>
    </font>
    <font>
      <vertAlign val="superscript"/>
      <sz val="11"/>
      <name val="Calibri"/>
      <family val="2"/>
      <scheme val="minor"/>
    </font>
    <font>
      <b/>
      <sz val="20"/>
      <color theme="0"/>
      <name val="Calibri"/>
      <family val="2"/>
      <scheme val="minor"/>
    </font>
    <font>
      <sz val="10"/>
      <color theme="9" tint="-0.249977111117893"/>
      <name val="Calibri"/>
      <family val="2"/>
      <scheme val="minor"/>
    </font>
    <font>
      <b/>
      <sz val="11"/>
      <color theme="0" tint="-0.34998626667073579"/>
      <name val="Calibri"/>
      <family val="2"/>
      <scheme val="minor"/>
    </font>
    <font>
      <sz val="14"/>
      <color theme="0"/>
      <name val="Calibri"/>
      <family val="2"/>
      <scheme val="minor"/>
    </font>
    <font>
      <sz val="11"/>
      <color theme="0" tint="-0.34998626667073579"/>
      <name val="Calibri"/>
      <family val="2"/>
      <scheme val="minor"/>
    </font>
    <font>
      <i/>
      <sz val="11"/>
      <name val="Calibri"/>
      <family val="2"/>
      <scheme val="minor"/>
    </font>
    <font>
      <i/>
      <sz val="11"/>
      <color theme="1" tint="0.249977111117893"/>
      <name val="Calibri"/>
      <family val="2"/>
      <scheme val="minor"/>
    </font>
    <font>
      <sz val="20"/>
      <color theme="0"/>
      <name val="Calibri"/>
      <family val="2"/>
      <scheme val="minor"/>
    </font>
    <font>
      <sz val="12"/>
      <color theme="0"/>
      <name val="Calibri"/>
      <family val="2"/>
      <scheme val="minor"/>
    </font>
    <font>
      <sz val="18"/>
      <name val="Calibri"/>
      <family val="2"/>
      <scheme val="minor"/>
    </font>
    <font>
      <b/>
      <vertAlign val="superscript"/>
      <sz val="10"/>
      <name val="Calibri"/>
      <family val="2"/>
      <scheme val="minor"/>
    </font>
    <font>
      <sz val="11"/>
      <color theme="0"/>
      <name val="Calibri"/>
      <family val="2"/>
      <scheme val="minor"/>
    </font>
    <font>
      <sz val="10"/>
      <color indexed="9"/>
      <name val="Calibri"/>
      <family val="2"/>
    </font>
    <font>
      <b/>
      <vertAlign val="subscript"/>
      <sz val="10"/>
      <color theme="1"/>
      <name val="Calibri"/>
      <family val="2"/>
      <scheme val="minor"/>
    </font>
    <font>
      <b/>
      <vertAlign val="superscript"/>
      <sz val="10"/>
      <color theme="1"/>
      <name val="Calibri"/>
      <family val="2"/>
      <scheme val="minor"/>
    </font>
    <font>
      <b/>
      <sz val="10"/>
      <color indexed="9"/>
      <name val="Arial"/>
      <family val="2"/>
    </font>
    <font>
      <sz val="24"/>
      <color theme="0"/>
      <name val="Calibri"/>
      <family val="2"/>
      <scheme val="minor"/>
    </font>
    <font>
      <sz val="10"/>
      <name val="Calibri"/>
      <family val="2"/>
    </font>
    <font>
      <sz val="10"/>
      <color rgb="FF00B050"/>
      <name val="Arial"/>
      <family val="2"/>
    </font>
    <font>
      <sz val="26"/>
      <color theme="0"/>
      <name val="Calibri"/>
      <family val="2"/>
      <scheme val="minor"/>
    </font>
    <font>
      <b/>
      <sz val="11"/>
      <color indexed="9"/>
      <name val="Calibri"/>
      <family val="2"/>
      <scheme val="minor"/>
    </font>
    <font>
      <b/>
      <sz val="11"/>
      <color rgb="FF0000FF"/>
      <name val="Calibri"/>
      <family val="2"/>
      <scheme val="minor"/>
    </font>
    <font>
      <sz val="11"/>
      <color rgb="FF00B0F0"/>
      <name val="Calibri"/>
      <family val="2"/>
      <scheme val="minor"/>
    </font>
    <font>
      <sz val="11"/>
      <color theme="0" tint="-0.499984740745262"/>
      <name val="Calibri"/>
      <family val="2"/>
      <scheme val="minor"/>
    </font>
    <font>
      <sz val="11"/>
      <color theme="1" tint="0.499984740745262"/>
      <name val="Calibri"/>
      <family val="2"/>
      <scheme val="minor"/>
    </font>
    <font>
      <b/>
      <sz val="11"/>
      <color theme="1" tint="0.499984740745262"/>
      <name val="Calibri"/>
      <family val="2"/>
      <scheme val="minor"/>
    </font>
    <font>
      <b/>
      <sz val="11"/>
      <color theme="0" tint="-0.499984740745262"/>
      <name val="Calibri"/>
      <family val="2"/>
      <scheme val="minor"/>
    </font>
    <font>
      <b/>
      <sz val="11"/>
      <color theme="1" tint="0.34998626667073579"/>
      <name val="Calibri"/>
      <family val="2"/>
      <scheme val="minor"/>
    </font>
    <font>
      <b/>
      <i/>
      <sz val="11"/>
      <name val="Calibri"/>
      <family val="2"/>
      <scheme val="minor"/>
    </font>
    <font>
      <b/>
      <sz val="11"/>
      <color rgb="FFFF8825"/>
      <name val="Calibri"/>
      <family val="2"/>
      <scheme val="minor"/>
    </font>
    <font>
      <b/>
      <vertAlign val="subscript"/>
      <sz val="11"/>
      <color theme="0"/>
      <name val="Calibri"/>
      <family val="2"/>
      <scheme val="minor"/>
    </font>
    <font>
      <b/>
      <sz val="11"/>
      <color rgb="FF7030A0"/>
      <name val="Calibri"/>
      <family val="2"/>
      <scheme val="minor"/>
    </font>
    <font>
      <vertAlign val="superscript"/>
      <sz val="10"/>
      <color theme="1"/>
      <name val="Calibri"/>
      <family val="2"/>
      <scheme val="minor"/>
    </font>
    <font>
      <sz val="26"/>
      <color theme="1"/>
      <name val="Calibri"/>
      <family val="2"/>
      <scheme val="minor"/>
    </font>
    <font>
      <sz val="8"/>
      <color rgb="FF000000"/>
      <name val="Segoe UI"/>
      <family val="2"/>
    </font>
    <font>
      <u/>
      <sz val="10"/>
      <color theme="11"/>
      <name val="Arial"/>
      <family val="2"/>
    </font>
    <font>
      <b/>
      <sz val="11"/>
      <name val="Calibri"/>
      <family val="2"/>
    </font>
    <font>
      <sz val="14"/>
      <name val="Calibri"/>
      <family val="2"/>
    </font>
    <font>
      <sz val="14"/>
      <color theme="0"/>
      <name val="Calibri"/>
      <family val="2"/>
    </font>
    <font>
      <sz val="22"/>
      <color theme="0"/>
      <name val="Calibri"/>
      <family val="2"/>
      <scheme val="minor"/>
    </font>
    <font>
      <sz val="26"/>
      <color theme="0"/>
      <name val="Calibri"/>
      <family val="2"/>
    </font>
    <font>
      <b/>
      <sz val="10"/>
      <color theme="0"/>
      <name val="Calibri"/>
      <family val="2"/>
    </font>
    <font>
      <b/>
      <sz val="8"/>
      <name val="Calibri"/>
      <family val="2"/>
    </font>
    <font>
      <b/>
      <sz val="10"/>
      <name val="Calibri"/>
      <family val="2"/>
    </font>
    <font>
      <sz val="10"/>
      <color rgb="FF0000FF"/>
      <name val="Calibri"/>
      <family val="2"/>
    </font>
    <font>
      <sz val="10"/>
      <color rgb="FFFF0000"/>
      <name val="Calibri"/>
      <family val="2"/>
    </font>
    <font>
      <sz val="8"/>
      <name val="Calibri"/>
      <family val="2"/>
    </font>
    <font>
      <sz val="9"/>
      <name val="Calibri"/>
      <family val="2"/>
    </font>
    <font>
      <vertAlign val="subscript"/>
      <sz val="9"/>
      <name val="Calibri"/>
      <family val="2"/>
    </font>
    <font>
      <sz val="7"/>
      <name val="Calibri"/>
      <family val="2"/>
    </font>
    <font>
      <sz val="12"/>
      <color indexed="8"/>
      <name val="Calibri"/>
      <family val="2"/>
    </font>
    <font>
      <b/>
      <sz val="10"/>
      <color rgb="FFFF0000"/>
      <name val="Calibri"/>
      <family val="2"/>
    </font>
    <font>
      <sz val="10"/>
      <color theme="0"/>
      <name val="Calibri"/>
      <family val="2"/>
    </font>
    <font>
      <sz val="24"/>
      <color theme="0"/>
      <name val="Calibri"/>
      <family val="2"/>
    </font>
    <font>
      <i/>
      <sz val="10"/>
      <name val="Calibri"/>
      <family val="2"/>
    </font>
    <font>
      <b/>
      <sz val="11"/>
      <color theme="0"/>
      <name val="Calibri"/>
      <family val="2"/>
    </font>
    <font>
      <b/>
      <sz val="12"/>
      <color theme="0"/>
      <name val="Calibri"/>
      <family val="2"/>
    </font>
    <font>
      <sz val="11"/>
      <color theme="0"/>
      <name val="Calibri"/>
      <family val="2"/>
    </font>
    <font>
      <sz val="11"/>
      <name val="Calibri"/>
      <family val="2"/>
    </font>
    <font>
      <sz val="12"/>
      <name val="Calibri"/>
      <family val="2"/>
    </font>
    <font>
      <b/>
      <sz val="10"/>
      <color indexed="39"/>
      <name val="Calibri"/>
      <family val="2"/>
    </font>
    <font>
      <b/>
      <sz val="10"/>
      <color indexed="10"/>
      <name val="Calibri"/>
      <family val="2"/>
    </font>
    <font>
      <b/>
      <sz val="10"/>
      <color indexed="12"/>
      <name val="Calibri"/>
      <family val="2"/>
    </font>
    <font>
      <b/>
      <i/>
      <sz val="10"/>
      <name val="Calibri"/>
      <family val="2"/>
    </font>
    <font>
      <i/>
      <sz val="11"/>
      <name val="Calibri"/>
      <family val="2"/>
    </font>
    <font>
      <b/>
      <sz val="10"/>
      <color theme="3" tint="0.39997558519241921"/>
      <name val="Calibri"/>
      <family val="2"/>
    </font>
    <font>
      <sz val="10"/>
      <color theme="3" tint="0.39997558519241921"/>
      <name val="Calibri"/>
      <family val="2"/>
    </font>
    <font>
      <b/>
      <sz val="9"/>
      <color rgb="FFFF0000"/>
      <name val="Calibri"/>
      <family val="2"/>
    </font>
    <font>
      <b/>
      <sz val="11"/>
      <color indexed="12"/>
      <name val="Calibri"/>
      <family val="2"/>
    </font>
    <font>
      <sz val="5"/>
      <name val="Calibri"/>
      <family val="2"/>
    </font>
    <font>
      <sz val="10"/>
      <color indexed="10"/>
      <name val="Calibri"/>
      <family val="2"/>
    </font>
    <font>
      <sz val="9"/>
      <color rgb="FFFF0000"/>
      <name val="Calibri"/>
      <family val="2"/>
    </font>
    <font>
      <b/>
      <sz val="5"/>
      <name val="Calibri"/>
      <family val="2"/>
    </font>
    <font>
      <sz val="20"/>
      <name val="Calibri"/>
      <family val="2"/>
    </font>
    <font>
      <b/>
      <sz val="20"/>
      <color indexed="10"/>
      <name val="Calibri"/>
      <family val="2"/>
    </font>
    <font>
      <b/>
      <sz val="16"/>
      <name val="Calibri"/>
      <family val="2"/>
    </font>
    <font>
      <sz val="16"/>
      <color theme="0"/>
      <name val="Calibri"/>
      <family val="2"/>
    </font>
    <font>
      <sz val="10"/>
      <color indexed="12"/>
      <name val="Calibri"/>
      <family val="2"/>
    </font>
    <font>
      <sz val="10"/>
      <color rgb="FF222222"/>
      <name val="Calibri"/>
      <family val="2"/>
    </font>
    <font>
      <sz val="20"/>
      <color theme="0"/>
      <name val="Calibri"/>
      <family val="2"/>
    </font>
    <font>
      <b/>
      <sz val="9"/>
      <name val="Calibri"/>
      <family val="2"/>
    </font>
    <font>
      <sz val="10"/>
      <color indexed="8"/>
      <name val="Calibri"/>
      <family val="2"/>
    </font>
    <font>
      <b/>
      <sz val="10"/>
      <color indexed="8"/>
      <name val="Calibri"/>
      <family val="2"/>
    </font>
    <font>
      <u/>
      <sz val="10"/>
      <name val="Calibri"/>
      <family val="2"/>
    </font>
    <font>
      <b/>
      <sz val="14"/>
      <color theme="0"/>
      <name val="Calibri"/>
      <family val="2"/>
    </font>
    <font>
      <b/>
      <sz val="14"/>
      <name val="Calibri"/>
      <family val="2"/>
    </font>
    <font>
      <b/>
      <sz val="12"/>
      <name val="Calibri"/>
      <family val="2"/>
    </font>
    <font>
      <sz val="11"/>
      <color theme="7" tint="0.79998168889431442"/>
      <name val="Calibri"/>
      <family val="2"/>
    </font>
    <font>
      <b/>
      <sz val="11"/>
      <color theme="1"/>
      <name val="Calibri"/>
      <family val="2"/>
    </font>
    <font>
      <sz val="9"/>
      <color indexed="8"/>
      <name val="Calibri"/>
      <family val="2"/>
    </font>
    <font>
      <vertAlign val="superscript"/>
      <sz val="11"/>
      <name val="Calibri"/>
      <family val="2"/>
    </font>
    <font>
      <sz val="9"/>
      <color theme="1"/>
      <name val="Calibri"/>
      <family val="2"/>
    </font>
    <font>
      <vertAlign val="superscript"/>
      <sz val="9"/>
      <color theme="1"/>
      <name val="Calibri"/>
      <family val="2"/>
    </font>
    <font>
      <i/>
      <sz val="9"/>
      <color indexed="8"/>
      <name val="Calibri"/>
      <family val="2"/>
    </font>
    <font>
      <sz val="11"/>
      <color theme="1"/>
      <name val="Calibri"/>
      <family val="2"/>
    </font>
    <font>
      <sz val="12"/>
      <color theme="0"/>
      <name val="Calibri"/>
      <family val="2"/>
    </font>
    <font>
      <b/>
      <sz val="8"/>
      <color theme="0"/>
      <name val="Calibri"/>
      <family val="2"/>
    </font>
    <font>
      <sz val="9"/>
      <color theme="0"/>
      <name val="Calibri"/>
      <family val="2"/>
    </font>
    <font>
      <sz val="10"/>
      <color rgb="FFFF0000"/>
      <name val="Arial"/>
      <family val="2"/>
    </font>
    <font>
      <vertAlign val="subscript"/>
      <sz val="11"/>
      <color theme="0"/>
      <name val="Calibri"/>
      <family val="2"/>
      <scheme val="minor"/>
    </font>
    <font>
      <vertAlign val="subscript"/>
      <sz val="10"/>
      <color theme="0"/>
      <name val="Calibri"/>
      <family val="2"/>
      <scheme val="minor"/>
    </font>
    <font>
      <vertAlign val="superscript"/>
      <sz val="11"/>
      <color theme="0"/>
      <name val="Calibri"/>
      <family val="2"/>
      <scheme val="minor"/>
    </font>
    <font>
      <sz val="10"/>
      <color theme="1"/>
      <name val="Calibri"/>
      <family val="2"/>
    </font>
    <font>
      <sz val="22"/>
      <color theme="0"/>
      <name val="Calibri"/>
      <family val="2"/>
    </font>
    <font>
      <sz val="18"/>
      <color theme="0"/>
      <name val="Calibri"/>
      <family val="2"/>
      <scheme val="minor"/>
    </font>
    <font>
      <sz val="13"/>
      <name val="Calibri"/>
      <family val="2"/>
    </font>
    <font>
      <b/>
      <sz val="16"/>
      <color theme="0"/>
      <name val="Calibri"/>
      <family val="2"/>
    </font>
    <font>
      <b/>
      <sz val="10"/>
      <color theme="1"/>
      <name val="Calibri"/>
      <family val="2"/>
    </font>
    <font>
      <b/>
      <sz val="12"/>
      <color theme="1"/>
      <name val="Calibri"/>
      <family val="2"/>
    </font>
    <font>
      <i/>
      <sz val="12"/>
      <name val="Calibri"/>
      <family val="2"/>
    </font>
    <font>
      <sz val="12"/>
      <color theme="1" tint="0.499984740745262"/>
      <name val="Calibri"/>
      <family val="2"/>
    </font>
    <font>
      <b/>
      <sz val="9"/>
      <name val="Calibri"/>
      <family val="2"/>
      <scheme val="minor"/>
    </font>
    <font>
      <b/>
      <sz val="10"/>
      <name val="Arial"/>
      <family val="2"/>
    </font>
    <font>
      <b/>
      <sz val="20"/>
      <color rgb="FFFF0000"/>
      <name val="Calibri"/>
      <family val="2"/>
      <scheme val="minor"/>
    </font>
    <font>
      <sz val="10"/>
      <color rgb="FF7030A0"/>
      <name val="Arial"/>
      <family val="2"/>
    </font>
    <font>
      <sz val="10"/>
      <color rgb="FF000000"/>
      <name val="Arial"/>
      <family val="2"/>
    </font>
    <font>
      <b/>
      <sz val="10"/>
      <color rgb="FFC00000"/>
      <name val="Calibri"/>
      <family val="2"/>
    </font>
    <font>
      <b/>
      <sz val="10"/>
      <color rgb="FF0000FF"/>
      <name val="Calibri"/>
      <family val="2"/>
    </font>
    <font>
      <u/>
      <sz val="10"/>
      <name val="Arial"/>
      <family val="2"/>
    </font>
    <font>
      <b/>
      <sz val="10"/>
      <color theme="0"/>
      <name val="Arial"/>
      <family val="2"/>
    </font>
    <font>
      <sz val="20"/>
      <name val="Calibri"/>
      <family val="2"/>
      <scheme val="minor"/>
    </font>
    <font>
      <u/>
      <sz val="10"/>
      <name val="Calibri"/>
      <family val="2"/>
      <scheme val="minor"/>
    </font>
    <font>
      <sz val="11"/>
      <color rgb="FF0000FF"/>
      <name val="Calibri"/>
      <family val="2"/>
    </font>
    <font>
      <b/>
      <sz val="12"/>
      <color theme="5"/>
      <name val="Helvetica"/>
    </font>
    <font>
      <b/>
      <sz val="16"/>
      <color theme="0"/>
      <name val="Arial"/>
      <family val="2"/>
    </font>
    <font>
      <b/>
      <sz val="10"/>
      <color theme="0" tint="-0.14999847407452621"/>
      <name val="Calibri"/>
      <family val="2"/>
      <scheme val="minor"/>
    </font>
  </fonts>
  <fills count="67">
    <fill>
      <patternFill patternType="none"/>
    </fill>
    <fill>
      <patternFill patternType="gray125"/>
    </fill>
    <fill>
      <patternFill patternType="solid">
        <fgColor rgb="FFFF0000"/>
        <bgColor indexed="64"/>
      </patternFill>
    </fill>
    <fill>
      <patternFill patternType="solid">
        <fgColor theme="0"/>
        <bgColor indexed="64"/>
      </patternFill>
    </fill>
    <fill>
      <patternFill patternType="solid">
        <fgColor rgb="FFDBDBDB"/>
        <bgColor indexed="64"/>
      </patternFill>
    </fill>
    <fill>
      <patternFill patternType="solid">
        <fgColor theme="0"/>
        <bgColor indexed="9"/>
      </patternFill>
    </fill>
    <fill>
      <patternFill patternType="solid">
        <fgColor theme="4" tint="0.79998168889431442"/>
        <bgColor indexed="64"/>
      </patternFill>
    </fill>
    <fill>
      <patternFill patternType="solid">
        <fgColor indexed="9"/>
        <bgColor indexed="64"/>
      </patternFill>
    </fill>
    <fill>
      <patternFill patternType="solid">
        <fgColor theme="3" tint="-0.49998474074526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6" tint="0.79998168889431442"/>
        <bgColor indexed="64"/>
      </patternFill>
    </fill>
    <fill>
      <patternFill patternType="solid">
        <fgColor rgb="FFF2F2F2"/>
      </patternFill>
    </fill>
    <fill>
      <patternFill patternType="solid">
        <fgColor rgb="FFA5A5A5"/>
      </patternFill>
    </fill>
    <fill>
      <gradientFill degree="90">
        <stop position="0">
          <color theme="0"/>
        </stop>
        <stop position="0.5">
          <color rgb="FFFF0000"/>
        </stop>
        <stop position="1">
          <color theme="0"/>
        </stop>
      </gradientFill>
    </fill>
    <fill>
      <patternFill patternType="solid">
        <fgColor theme="0"/>
        <bgColor auto="1"/>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bgColor rgb="FF000000"/>
      </patternFill>
    </fill>
    <fill>
      <patternFill patternType="solid">
        <fgColor theme="1" tint="0.14999847407452621"/>
        <bgColor indexed="64"/>
      </patternFill>
    </fill>
    <fill>
      <patternFill patternType="solid">
        <fgColor theme="1" tint="0.249977111117893"/>
        <bgColor indexed="64"/>
      </patternFill>
    </fill>
    <fill>
      <patternFill patternType="solid">
        <fgColor rgb="FFFFFFAB"/>
        <bgColor indexed="64"/>
      </patternFill>
    </fill>
    <fill>
      <patternFill patternType="solid">
        <fgColor theme="1"/>
        <bgColor indexed="64"/>
      </patternFill>
    </fill>
    <fill>
      <patternFill patternType="solid">
        <fgColor theme="1" tint="0.34998626667073579"/>
        <bgColor indexed="64"/>
      </patternFill>
    </fill>
    <fill>
      <patternFill patternType="solid">
        <fgColor theme="2"/>
        <bgColor indexed="64"/>
      </patternFill>
    </fill>
    <fill>
      <patternFill patternType="solid">
        <fgColor theme="4" tint="-0.249977111117893"/>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rgb="FFB00000"/>
        <bgColor indexed="64"/>
      </patternFill>
    </fill>
    <fill>
      <patternFill patternType="solid">
        <fgColor rgb="FFC00000"/>
        <bgColor indexed="64"/>
      </patternFill>
    </fill>
    <fill>
      <patternFill patternType="solid">
        <fgColor theme="1" tint="4.9989318521683403E-2"/>
        <bgColor indexed="64"/>
      </patternFill>
    </fill>
    <fill>
      <patternFill patternType="solid">
        <fgColor theme="5" tint="0.79998168889431442"/>
        <bgColor indexed="64"/>
      </patternFill>
    </fill>
    <fill>
      <patternFill patternType="solid">
        <fgColor theme="9" tint="-0.249977111117893"/>
        <bgColor indexed="64"/>
      </patternFill>
    </fill>
    <fill>
      <patternFill patternType="solid">
        <fgColor theme="3"/>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rgb="FFE22A26"/>
        <bgColor indexed="64"/>
      </patternFill>
    </fill>
    <fill>
      <patternFill patternType="solid">
        <fgColor rgb="FFF79797"/>
        <bgColor indexed="64"/>
      </patternFill>
    </fill>
    <fill>
      <patternFill patternType="solid">
        <fgColor rgb="FFFEDFDA"/>
        <bgColor indexed="64"/>
      </patternFill>
    </fill>
    <fill>
      <patternFill patternType="solid">
        <fgColor rgb="FFFF0000"/>
      </patternFill>
    </fill>
    <fill>
      <patternFill patternType="solid">
        <fgColor theme="8" tint="0.79998168889431442"/>
        <bgColor indexed="64"/>
      </patternFill>
    </fill>
    <fill>
      <patternFill patternType="solid">
        <fgColor rgb="FFFFFFFF"/>
        <bgColor rgb="FF000000"/>
      </patternFill>
    </fill>
    <fill>
      <patternFill patternType="solid">
        <fgColor rgb="FF008000"/>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rgb="FFEDE8DD"/>
      </patternFill>
    </fill>
  </fills>
  <borders count="155">
    <border>
      <left/>
      <right/>
      <top/>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theme="0"/>
      </left>
      <right style="thin">
        <color theme="0"/>
      </right>
      <top style="thin">
        <color theme="0"/>
      </top>
      <bottom style="thin">
        <color theme="0"/>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right style="medium">
        <color auto="1"/>
      </right>
      <top style="medium">
        <color auto="1"/>
      </top>
      <bottom style="medium">
        <color auto="1"/>
      </bottom>
      <diagonal/>
    </border>
    <border>
      <left style="hair">
        <color auto="1"/>
      </left>
      <right style="hair">
        <color auto="1"/>
      </right>
      <top style="hair">
        <color auto="1"/>
      </top>
      <bottom style="hair">
        <color auto="1"/>
      </bottom>
      <diagonal/>
    </border>
    <border>
      <left style="thin">
        <color theme="0"/>
      </left>
      <right style="thin">
        <color theme="0"/>
      </right>
      <top style="thin">
        <color theme="0"/>
      </top>
      <bottom/>
      <diagonal/>
    </border>
    <border>
      <left style="dotted">
        <color rgb="FFFF0000"/>
      </left>
      <right/>
      <top style="dotted">
        <color rgb="FFFF0000"/>
      </top>
      <bottom/>
      <diagonal/>
    </border>
    <border>
      <left/>
      <right style="dotted">
        <color rgb="FFFF0000"/>
      </right>
      <top style="dotted">
        <color rgb="FFFF0000"/>
      </top>
      <bottom/>
      <diagonal/>
    </border>
    <border>
      <left style="dotted">
        <color rgb="FFFF0000"/>
      </left>
      <right/>
      <top/>
      <bottom/>
      <diagonal/>
    </border>
    <border>
      <left/>
      <right style="dotted">
        <color rgb="FFFF0000"/>
      </right>
      <top/>
      <bottom/>
      <diagonal/>
    </border>
    <border>
      <left style="dotted">
        <color rgb="FFFF0000"/>
      </left>
      <right/>
      <top/>
      <bottom style="dotted">
        <color rgb="FFFF0000"/>
      </bottom>
      <diagonal/>
    </border>
    <border>
      <left/>
      <right style="dotted">
        <color rgb="FFFF0000"/>
      </right>
      <top/>
      <bottom style="dotted">
        <color rgb="FFFF0000"/>
      </bottom>
      <diagonal/>
    </border>
    <border>
      <left style="medium">
        <color auto="1"/>
      </left>
      <right/>
      <top style="medium">
        <color auto="1"/>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medium">
        <color auto="1"/>
      </left>
      <right style="medium">
        <color auto="1"/>
      </right>
      <top style="medium">
        <color auto="1"/>
      </top>
      <bottom style="medium">
        <color auto="1"/>
      </bottom>
      <diagonal/>
    </border>
    <border>
      <left style="thin">
        <color theme="0"/>
      </left>
      <right/>
      <top/>
      <bottom/>
      <diagonal/>
    </border>
    <border>
      <left style="thin">
        <color rgb="FF0070C0"/>
      </left>
      <right style="thin">
        <color auto="1"/>
      </right>
      <top style="thin">
        <color auto="1"/>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rgb="FFFF8825"/>
      </left>
      <right style="thin">
        <color rgb="FFFF8825"/>
      </right>
      <top style="thin">
        <color rgb="FFFF8825"/>
      </top>
      <bottom/>
      <diagonal/>
    </border>
    <border>
      <left style="thin">
        <color rgb="FFFF8825"/>
      </left>
      <right style="thin">
        <color rgb="FFFF8825"/>
      </right>
      <top/>
      <bottom/>
      <diagonal/>
    </border>
    <border>
      <left style="thin">
        <color rgb="FFFF8825"/>
      </left>
      <right style="thin">
        <color rgb="FFFF8825"/>
      </right>
      <top/>
      <bottom style="thin">
        <color rgb="FFFF8825"/>
      </bottom>
      <diagonal/>
    </border>
    <border>
      <left/>
      <right style="thin">
        <color rgb="FFFF8825"/>
      </right>
      <top/>
      <bottom/>
      <diagonal/>
    </border>
    <border>
      <left/>
      <right style="thin">
        <color rgb="FFC00000"/>
      </right>
      <top style="thin">
        <color rgb="FFC00000"/>
      </top>
      <bottom/>
      <diagonal/>
    </border>
    <border>
      <left style="thin">
        <color rgb="FFC00000"/>
      </left>
      <right/>
      <top/>
      <bottom style="thin">
        <color rgb="FFC00000"/>
      </bottom>
      <diagonal/>
    </border>
    <border>
      <left/>
      <right style="thin">
        <color rgb="FFC00000"/>
      </right>
      <top/>
      <bottom style="thin">
        <color rgb="FFC00000"/>
      </bottom>
      <diagonal/>
    </border>
    <border>
      <left style="medium">
        <color rgb="FFC00000"/>
      </left>
      <right/>
      <top style="medium">
        <color rgb="FFC00000"/>
      </top>
      <bottom/>
      <diagonal/>
    </border>
    <border>
      <left/>
      <right/>
      <top style="medium">
        <color rgb="FFC00000"/>
      </top>
      <bottom/>
      <diagonal/>
    </border>
    <border>
      <left/>
      <right style="medium">
        <color rgb="FFC00000"/>
      </right>
      <top style="medium">
        <color rgb="FFC00000"/>
      </top>
      <bottom/>
      <diagonal/>
    </border>
    <border>
      <left style="medium">
        <color rgb="FFC00000"/>
      </left>
      <right/>
      <top/>
      <bottom/>
      <diagonal/>
    </border>
    <border>
      <left/>
      <right style="medium">
        <color rgb="FFC00000"/>
      </right>
      <top/>
      <bottom/>
      <diagonal/>
    </border>
    <border>
      <left style="medium">
        <color rgb="FFC00000"/>
      </left>
      <right/>
      <top/>
      <bottom style="medium">
        <color rgb="FFC00000"/>
      </bottom>
      <diagonal/>
    </border>
    <border>
      <left/>
      <right/>
      <top/>
      <bottom style="medium">
        <color rgb="FFC00000"/>
      </bottom>
      <diagonal/>
    </border>
    <border>
      <left/>
      <right style="medium">
        <color rgb="FFC00000"/>
      </right>
      <top/>
      <bottom style="medium">
        <color rgb="FFC00000"/>
      </bottom>
      <diagonal/>
    </border>
    <border>
      <left/>
      <right/>
      <top style="thin">
        <color rgb="FFC00000"/>
      </top>
      <bottom/>
      <diagonal/>
    </border>
    <border>
      <left/>
      <right style="thin">
        <color rgb="FFC00000"/>
      </right>
      <top/>
      <bottom/>
      <diagonal/>
    </border>
    <border>
      <left style="thin">
        <color rgb="FFC00000"/>
      </left>
      <right/>
      <top/>
      <bottom/>
      <diagonal/>
    </border>
    <border>
      <left/>
      <right/>
      <top/>
      <bottom style="thin">
        <color rgb="FFC00000"/>
      </bottom>
      <diagonal/>
    </border>
    <border>
      <left style="thick">
        <color theme="9" tint="-0.249977111117893"/>
      </left>
      <right/>
      <top/>
      <bottom/>
      <diagonal/>
    </border>
    <border>
      <left style="thin">
        <color rgb="FFC00000"/>
      </left>
      <right/>
      <top style="thin">
        <color rgb="FFC00000"/>
      </top>
      <bottom/>
      <diagonal/>
    </border>
    <border>
      <left style="thin">
        <color theme="3"/>
      </left>
      <right/>
      <top style="thin">
        <color theme="3"/>
      </top>
      <bottom/>
      <diagonal/>
    </border>
    <border>
      <left/>
      <right/>
      <top style="thin">
        <color theme="3"/>
      </top>
      <bottom/>
      <diagonal/>
    </border>
    <border>
      <left/>
      <right style="thin">
        <color theme="3"/>
      </right>
      <top style="thin">
        <color theme="3"/>
      </top>
      <bottom/>
      <diagonal/>
    </border>
    <border>
      <left style="thin">
        <color theme="3"/>
      </left>
      <right/>
      <top/>
      <bottom/>
      <diagonal/>
    </border>
    <border>
      <left/>
      <right style="thin">
        <color theme="3"/>
      </right>
      <top/>
      <bottom/>
      <diagonal/>
    </border>
    <border>
      <left style="thin">
        <color theme="3"/>
      </left>
      <right/>
      <top/>
      <bottom style="thin">
        <color theme="3"/>
      </bottom>
      <diagonal/>
    </border>
    <border>
      <left/>
      <right/>
      <top/>
      <bottom style="thin">
        <color theme="3"/>
      </bottom>
      <diagonal/>
    </border>
    <border>
      <left/>
      <right style="thin">
        <color theme="3"/>
      </right>
      <top/>
      <bottom style="thin">
        <color theme="3"/>
      </bottom>
      <diagonal/>
    </border>
    <border>
      <left style="thin">
        <color theme="1" tint="0.499984740745262"/>
      </left>
      <right/>
      <top style="thin">
        <color theme="1" tint="0.499984740745262"/>
      </top>
      <bottom/>
      <diagonal/>
    </border>
    <border>
      <left/>
      <right style="thin">
        <color theme="1" tint="0.499984740745262"/>
      </right>
      <top style="thin">
        <color theme="1" tint="0.499984740745262"/>
      </top>
      <bottom/>
      <diagonal/>
    </border>
    <border>
      <left/>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rgb="FF00B050"/>
      </left>
      <right/>
      <top style="thin">
        <color rgb="FF00B050"/>
      </top>
      <bottom/>
      <diagonal/>
    </border>
    <border>
      <left/>
      <right/>
      <top style="thin">
        <color rgb="FF00B050"/>
      </top>
      <bottom/>
      <diagonal/>
    </border>
    <border>
      <left/>
      <right style="thin">
        <color rgb="FF00B050"/>
      </right>
      <top style="thin">
        <color rgb="FF00B050"/>
      </top>
      <bottom/>
      <diagonal/>
    </border>
    <border>
      <left style="thin">
        <color rgb="FF00B050"/>
      </left>
      <right/>
      <top/>
      <bottom/>
      <diagonal/>
    </border>
    <border>
      <left/>
      <right style="thin">
        <color rgb="FF00B050"/>
      </right>
      <top/>
      <bottom/>
      <diagonal/>
    </border>
    <border>
      <left style="thin">
        <color rgb="FF00B050"/>
      </left>
      <right/>
      <top/>
      <bottom style="thin">
        <color rgb="FF00B050"/>
      </bottom>
      <diagonal/>
    </border>
    <border>
      <left/>
      <right/>
      <top/>
      <bottom style="thin">
        <color rgb="FF00B050"/>
      </bottom>
      <diagonal/>
    </border>
    <border>
      <left/>
      <right style="thin">
        <color rgb="FF00B050"/>
      </right>
      <top/>
      <bottom style="thin">
        <color rgb="FF00B050"/>
      </bottom>
      <diagonal/>
    </border>
    <border>
      <left/>
      <right style="thin">
        <color rgb="FFFF0000"/>
      </right>
      <top style="thin">
        <color rgb="FFFF0000"/>
      </top>
      <bottom/>
      <diagonal/>
    </border>
    <border>
      <left/>
      <right style="thin">
        <color rgb="FFFF0000"/>
      </right>
      <top/>
      <bottom style="thin">
        <color rgb="FFFF0000"/>
      </bottom>
      <diagonal/>
    </border>
    <border>
      <left style="thin">
        <color theme="0"/>
      </left>
      <right style="thin">
        <color theme="1" tint="0.499984740745262"/>
      </right>
      <top style="thin">
        <color theme="0"/>
      </top>
      <bottom style="thin">
        <color theme="0"/>
      </bottom>
      <diagonal/>
    </border>
    <border>
      <left style="thin">
        <color theme="0"/>
      </left>
      <right style="thin">
        <color theme="0"/>
      </right>
      <top style="thin">
        <color theme="0"/>
      </top>
      <bottom style="thin">
        <color theme="1" tint="0.499984740745262"/>
      </bottom>
      <diagonal/>
    </border>
    <border>
      <left style="thin">
        <color theme="0"/>
      </left>
      <right style="thin">
        <color theme="0"/>
      </right>
      <top style="thin">
        <color theme="1" tint="0.499984740745262"/>
      </top>
      <bottom style="thin">
        <color theme="0"/>
      </bottom>
      <diagonal/>
    </border>
    <border>
      <left style="medium">
        <color auto="1"/>
      </left>
      <right style="thick">
        <color theme="0" tint="-0.14999847407452621"/>
      </right>
      <top/>
      <bottom/>
      <diagonal/>
    </border>
    <border>
      <left style="thick">
        <color theme="0" tint="-0.14999847407452621"/>
      </left>
      <right/>
      <top/>
      <bottom/>
      <diagonal/>
    </border>
    <border>
      <left style="thin">
        <color theme="1" tint="0.249977111117893"/>
      </left>
      <right/>
      <top style="thin">
        <color theme="1" tint="0.249977111117893"/>
      </top>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style="thin">
        <color theme="1" tint="0.249977111117893"/>
      </right>
      <top/>
      <bottom style="thin">
        <color theme="1" tint="0.249977111117893"/>
      </bottom>
      <diagonal/>
    </border>
    <border>
      <left/>
      <right/>
      <top style="thin">
        <color theme="1" tint="0.249977111117893"/>
      </top>
      <bottom/>
      <diagonal/>
    </border>
    <border>
      <left style="thin">
        <color theme="1" tint="0.249977111117893"/>
      </left>
      <right/>
      <top/>
      <bottom/>
      <diagonal/>
    </border>
    <border>
      <left/>
      <right style="thin">
        <color theme="1" tint="0.249977111117893"/>
      </right>
      <top/>
      <bottom/>
      <diagonal/>
    </border>
    <border>
      <left/>
      <right/>
      <top/>
      <bottom style="thin">
        <color theme="1" tint="0.249977111117893"/>
      </bottom>
      <diagonal/>
    </border>
    <border>
      <left/>
      <right/>
      <top/>
      <bottom style="thick">
        <color theme="3" tint="0.39997558519241921"/>
      </bottom>
      <diagonal/>
    </border>
    <border>
      <left/>
      <right/>
      <top style="medium">
        <color auto="1"/>
      </top>
      <bottom style="medium">
        <color auto="1"/>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34998626667073579"/>
      </left>
      <right/>
      <top style="thin">
        <color theme="1" tint="0.34998626667073579"/>
      </top>
      <bottom/>
      <diagonal/>
    </border>
    <border>
      <left/>
      <right/>
      <top style="thin">
        <color theme="1" tint="0.34998626667073579"/>
      </top>
      <bottom/>
      <diagonal/>
    </border>
    <border>
      <left/>
      <right style="thin">
        <color theme="1" tint="0.34998626667073579"/>
      </right>
      <top style="thin">
        <color theme="1" tint="0.34998626667073579"/>
      </top>
      <bottom/>
      <diagonal/>
    </border>
    <border>
      <left style="thin">
        <color theme="1" tint="0.34998626667073579"/>
      </left>
      <right/>
      <top/>
      <bottom/>
      <diagonal/>
    </border>
    <border>
      <left/>
      <right style="thin">
        <color theme="1" tint="0.34998626667073579"/>
      </right>
      <top/>
      <bottom/>
      <diagonal/>
    </border>
    <border>
      <left style="thin">
        <color theme="1" tint="0.34998626667073579"/>
      </left>
      <right/>
      <top/>
      <bottom style="thin">
        <color theme="1" tint="0.34998626667073579"/>
      </bottom>
      <diagonal/>
    </border>
    <border>
      <left/>
      <right/>
      <top/>
      <bottom style="thin">
        <color theme="1" tint="0.34998626667073579"/>
      </bottom>
      <diagonal/>
    </border>
    <border>
      <left/>
      <right style="thin">
        <color theme="1" tint="0.34998626667073579"/>
      </right>
      <top/>
      <bottom style="thin">
        <color theme="1" tint="0.34998626667073579"/>
      </bottom>
      <diagonal/>
    </border>
    <border>
      <left style="thin">
        <color theme="0"/>
      </left>
      <right style="thin">
        <color theme="0"/>
      </right>
      <top style="thin">
        <color theme="0"/>
      </top>
      <bottom style="thin">
        <color theme="1" tint="0.34998626667073579"/>
      </bottom>
      <diagonal/>
    </border>
    <border>
      <left style="thin">
        <color theme="0"/>
      </left>
      <right style="thin">
        <color theme="1" tint="0.34998626667073579"/>
      </right>
      <top style="thin">
        <color theme="0"/>
      </top>
      <bottom style="thin">
        <color theme="0"/>
      </bottom>
      <diagonal/>
    </border>
    <border>
      <left style="thin">
        <color theme="0"/>
      </left>
      <right style="thin">
        <color theme="1" tint="0.34998626667073579"/>
      </right>
      <top style="thin">
        <color theme="0"/>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style="thin">
        <color theme="1" tint="0.34998626667073579"/>
      </left>
      <right/>
      <top/>
      <bottom style="thin">
        <color auto="1"/>
      </bottom>
      <diagonal/>
    </border>
    <border>
      <left/>
      <right style="thin">
        <color theme="1" tint="0.34998626667073579"/>
      </right>
      <top/>
      <bottom style="thin">
        <color auto="1"/>
      </bottom>
      <diagonal/>
    </border>
    <border>
      <left style="thin">
        <color theme="1" tint="0.34998626667073579"/>
      </left>
      <right/>
      <top style="thin">
        <color auto="1"/>
      </top>
      <bottom/>
      <diagonal/>
    </border>
    <border>
      <left/>
      <right style="thin">
        <color theme="1" tint="0.34998626667073579"/>
      </right>
      <top style="thin">
        <color auto="1"/>
      </top>
      <bottom/>
      <diagonal/>
    </border>
    <border>
      <left style="medium">
        <color theme="1" tint="0.249977111117893"/>
      </left>
      <right/>
      <top style="medium">
        <color theme="1" tint="0.249977111117893"/>
      </top>
      <bottom/>
      <diagonal/>
    </border>
    <border>
      <left/>
      <right/>
      <top style="medium">
        <color theme="1" tint="0.249977111117893"/>
      </top>
      <bottom/>
      <diagonal/>
    </border>
    <border>
      <left/>
      <right style="medium">
        <color theme="1" tint="0.249977111117893"/>
      </right>
      <top style="medium">
        <color theme="1" tint="0.249977111117893"/>
      </top>
      <bottom/>
      <diagonal/>
    </border>
    <border>
      <left style="medium">
        <color theme="1" tint="0.249977111117893"/>
      </left>
      <right/>
      <top/>
      <bottom/>
      <diagonal/>
    </border>
    <border>
      <left/>
      <right style="medium">
        <color theme="1" tint="0.249977111117893"/>
      </right>
      <top/>
      <bottom/>
      <diagonal/>
    </border>
    <border>
      <left style="medium">
        <color theme="1" tint="0.249977111117893"/>
      </left>
      <right style="medium">
        <color theme="1" tint="0.249977111117893"/>
      </right>
      <top style="medium">
        <color theme="1" tint="0.249977111117893"/>
      </top>
      <bottom/>
      <diagonal/>
    </border>
    <border>
      <left style="medium">
        <color theme="1" tint="0.249977111117893"/>
      </left>
      <right style="medium">
        <color theme="1" tint="0.249977111117893"/>
      </right>
      <top/>
      <bottom/>
      <diagonal/>
    </border>
    <border>
      <left/>
      <right/>
      <top style="thin">
        <color theme="1" tint="0.499984740745262"/>
      </top>
      <bottom style="thin">
        <color theme="1" tint="0.499984740745262"/>
      </bottom>
      <diagonal/>
    </border>
    <border>
      <left style="thin">
        <color theme="0"/>
      </left>
      <right style="thin">
        <color theme="1" tint="0.499984740745262"/>
      </right>
      <top style="thin">
        <color theme="0"/>
      </top>
      <bottom style="thin">
        <color theme="1" tint="0.499984740745262"/>
      </bottom>
      <diagonal/>
    </border>
    <border>
      <left style="thin">
        <color theme="0"/>
      </left>
      <right style="thin">
        <color theme="0"/>
      </right>
      <top/>
      <bottom style="thin">
        <color theme="1" tint="0.499984740745262"/>
      </bottom>
      <diagonal/>
    </border>
    <border>
      <left style="thin">
        <color theme="0"/>
      </left>
      <right style="thin">
        <color theme="0"/>
      </right>
      <top style="thin">
        <color auto="1"/>
      </top>
      <bottom style="thin">
        <color theme="0"/>
      </bottom>
      <diagonal/>
    </border>
    <border>
      <left style="medium">
        <color theme="1" tint="0.249977111117893"/>
      </left>
      <right/>
      <top/>
      <bottom style="thin">
        <color auto="1"/>
      </bottom>
      <diagonal/>
    </border>
    <border>
      <left/>
      <right style="medium">
        <color theme="1" tint="0.249977111117893"/>
      </right>
      <top/>
      <bottom style="thin">
        <color auto="1"/>
      </bottom>
      <diagonal/>
    </border>
    <border>
      <left style="thin">
        <color rgb="FF0070C0"/>
      </left>
      <right/>
      <top style="thin">
        <color rgb="FF0070C0"/>
      </top>
      <bottom/>
      <diagonal/>
    </border>
    <border>
      <left/>
      <right style="thin">
        <color rgb="FF0070C0"/>
      </right>
      <top style="thin">
        <color rgb="FF0070C0"/>
      </top>
      <bottom/>
      <diagonal/>
    </border>
    <border>
      <left style="thin">
        <color theme="0"/>
      </left>
      <right style="thin">
        <color auto="1"/>
      </right>
      <top style="thin">
        <color theme="0"/>
      </top>
      <bottom style="thin">
        <color theme="0"/>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theme="1" tint="0.249977111117893"/>
      </left>
      <right style="medium">
        <color theme="1" tint="0.249977111117893"/>
      </right>
      <top/>
      <bottom style="medium">
        <color indexed="64"/>
      </bottom>
      <diagonal/>
    </border>
    <border>
      <left style="thin">
        <color theme="0"/>
      </left>
      <right/>
      <top style="thin">
        <color theme="0"/>
      </top>
      <bottom style="thin">
        <color theme="0"/>
      </bottom>
      <diagonal/>
    </border>
    <border>
      <left style="medium">
        <color theme="1" tint="0.249977111117893"/>
      </left>
      <right/>
      <top/>
      <bottom style="medium">
        <color auto="1"/>
      </bottom>
      <diagonal/>
    </border>
    <border>
      <left/>
      <right style="medium">
        <color theme="1" tint="0.249977111117893"/>
      </right>
      <top/>
      <bottom style="medium">
        <color auto="1"/>
      </bottom>
      <diagonal/>
    </border>
    <border>
      <left style="medium">
        <color indexed="64"/>
      </left>
      <right/>
      <top style="medium">
        <color indexed="64"/>
      </top>
      <bottom style="medium">
        <color indexed="64"/>
      </bottom>
      <diagonal/>
    </border>
    <border>
      <left/>
      <right/>
      <top/>
      <bottom style="medium">
        <color indexed="30"/>
      </bottom>
      <diagonal/>
    </border>
    <border>
      <left/>
      <right/>
      <top/>
      <bottom style="medium">
        <color indexed="30"/>
      </bottom>
      <diagonal/>
    </border>
  </borders>
  <cellStyleXfs count="3885">
    <xf numFmtId="0" fontId="0" fillId="0" borderId="0"/>
    <xf numFmtId="0" fontId="22" fillId="0" borderId="0" applyNumberFormat="0" applyFill="0" applyBorder="0" applyAlignment="0" applyProtection="0">
      <alignment vertical="top"/>
      <protection locked="0"/>
    </xf>
    <xf numFmtId="9" fontId="21" fillId="0" borderId="0" applyFont="0" applyFill="0" applyBorder="0" applyAlignment="0" applyProtection="0"/>
    <xf numFmtId="0" fontId="25" fillId="0" borderId="0"/>
    <xf numFmtId="0" fontId="25" fillId="0" borderId="0"/>
    <xf numFmtId="0" fontId="25" fillId="0" borderId="0"/>
    <xf numFmtId="0" fontId="25" fillId="0" borderId="0"/>
    <xf numFmtId="165" fontId="25" fillId="0" borderId="0" applyFont="0" applyFill="0" applyBorder="0" applyAlignment="0" applyProtection="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0" fontId="25" fillId="0" borderId="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9" fontId="25" fillId="0" borderId="0" applyFont="0" applyFill="0" applyBorder="0" applyAlignment="0" applyProtection="0"/>
    <xf numFmtId="0" fontId="25" fillId="0" borderId="0"/>
    <xf numFmtId="0" fontId="25" fillId="0" borderId="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9" fontId="25" fillId="0" borderId="0" applyFont="0" applyFill="0" applyBorder="0" applyAlignment="0" applyProtection="0"/>
    <xf numFmtId="0" fontId="25" fillId="0" borderId="0"/>
    <xf numFmtId="0" fontId="25" fillId="0" borderId="0"/>
    <xf numFmtId="9" fontId="25" fillId="0" borderId="0" applyFont="0" applyFill="0" applyBorder="0" applyAlignment="0" applyProtection="0"/>
    <xf numFmtId="0" fontId="25" fillId="0" borderId="0"/>
    <xf numFmtId="0" fontId="25" fillId="0" borderId="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0" fontId="25" fillId="0" borderId="0"/>
    <xf numFmtId="9" fontId="25" fillId="0" borderId="0" applyFont="0" applyFill="0" applyBorder="0" applyAlignment="0" applyProtection="0"/>
    <xf numFmtId="0" fontId="25" fillId="0" borderId="0"/>
    <xf numFmtId="0" fontId="25" fillId="0" borderId="0"/>
    <xf numFmtId="9" fontId="25"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21"/>
    <xf numFmtId="177" fontId="33" fillId="0" borderId="0"/>
    <xf numFmtId="11" fontId="33" fillId="0" borderId="0" applyFont="0" applyFill="0" applyBorder="0" applyAlignment="0" applyProtection="0"/>
    <xf numFmtId="0" fontId="21" fillId="0" borderId="21"/>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165"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165"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165"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165"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165"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165"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165"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165"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0" fontId="20" fillId="0" borderId="0"/>
    <xf numFmtId="0" fontId="21" fillId="0" borderId="0"/>
    <xf numFmtId="0" fontId="36" fillId="0" borderId="0"/>
    <xf numFmtId="0" fontId="21" fillId="0" borderId="0"/>
    <xf numFmtId="0" fontId="21" fillId="0" borderId="0"/>
    <xf numFmtId="0" fontId="21" fillId="0" borderId="0"/>
    <xf numFmtId="165"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165" fontId="21" fillId="0" borderId="0" applyFont="0" applyFill="0" applyBorder="0" applyAlignment="0" applyProtection="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165"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165"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0" fontId="21" fillId="0" borderId="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0" fontId="21" fillId="0" borderId="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19"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9" fontId="21" fillId="0" borderId="0" applyFont="0" applyFill="0" applyBorder="0" applyAlignment="0" applyProtection="0"/>
    <xf numFmtId="0" fontId="19"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18" fillId="0" borderId="0"/>
    <xf numFmtId="0" fontId="17" fillId="0" borderId="0"/>
    <xf numFmtId="0" fontId="17" fillId="0" borderId="0"/>
    <xf numFmtId="0" fontId="17" fillId="0" borderId="0"/>
    <xf numFmtId="0" fontId="17" fillId="0" borderId="0"/>
    <xf numFmtId="0" fontId="17" fillId="0" borderId="0"/>
    <xf numFmtId="0" fontId="17" fillId="0" borderId="0"/>
    <xf numFmtId="9" fontId="17" fillId="0" borderId="0" applyFont="0" applyFill="0" applyBorder="0" applyAlignment="0" applyProtection="0"/>
    <xf numFmtId="0" fontId="21" fillId="0" borderId="0"/>
    <xf numFmtId="9" fontId="17"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21" fillId="0" borderId="0"/>
    <xf numFmtId="0" fontId="17" fillId="0" borderId="0"/>
    <xf numFmtId="0" fontId="49" fillId="13" borderId="30" applyNumberFormat="0" applyAlignment="0" applyProtection="0"/>
    <xf numFmtId="0" fontId="50" fillId="14" borderId="31" applyNumberFormat="0" applyAlignment="0" applyProtection="0"/>
    <xf numFmtId="0" fontId="16" fillId="0" borderId="0"/>
    <xf numFmtId="0" fontId="15" fillId="0" borderId="0"/>
    <xf numFmtId="9" fontId="15" fillId="0" borderId="0" applyFont="0" applyFill="0" applyBorder="0" applyAlignment="0" applyProtection="0"/>
    <xf numFmtId="9" fontId="21"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30" fillId="0" borderId="0"/>
    <xf numFmtId="0" fontId="30" fillId="0" borderId="0"/>
    <xf numFmtId="165" fontId="51" fillId="5" borderId="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9" fontId="14" fillId="0" borderId="0" applyFont="0" applyFill="0" applyBorder="0" applyAlignment="0" applyProtection="0"/>
    <xf numFmtId="9"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9"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9" fontId="14" fillId="0" borderId="0" applyFont="0" applyFill="0" applyBorder="0" applyAlignment="0" applyProtection="0"/>
    <xf numFmtId="9"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3" fillId="0" borderId="0"/>
    <xf numFmtId="0" fontId="54" fillId="0" borderId="0" applyNumberFormat="0" applyFill="0" applyBorder="0" applyAlignment="0" applyProtection="0">
      <alignment vertical="top"/>
      <protection locked="0"/>
    </xf>
    <xf numFmtId="0" fontId="21" fillId="0" borderId="0"/>
    <xf numFmtId="0" fontId="22" fillId="0" borderId="0" applyNumberFormat="0" applyFill="0" applyBorder="0" applyAlignment="0" applyProtection="0">
      <alignment vertical="top"/>
      <protection locked="0"/>
    </xf>
    <xf numFmtId="9" fontId="21"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9" fontId="12" fillId="0" borderId="0" applyFont="0" applyFill="0" applyBorder="0" applyAlignment="0" applyProtection="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9" fontId="12" fillId="0" borderId="0" applyFont="0" applyFill="0" applyBorder="0" applyAlignment="0" applyProtection="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9" fontId="12" fillId="0" borderId="0" applyFont="0" applyFill="0" applyBorder="0" applyAlignment="0" applyProtection="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9" fontId="12" fillId="0" borderId="0" applyFont="0" applyFill="0" applyBorder="0" applyAlignment="0" applyProtection="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55" fillId="17" borderId="0" applyNumberFormat="0" applyBorder="0" applyAlignment="0" applyProtection="0"/>
    <xf numFmtId="0" fontId="55" fillId="18" borderId="0" applyNumberFormat="0" applyBorder="0" applyAlignment="0" applyProtection="0"/>
    <xf numFmtId="0" fontId="55" fillId="19" borderId="0" applyNumberFormat="0" applyBorder="0" applyAlignment="0" applyProtection="0"/>
    <xf numFmtId="0" fontId="55" fillId="20" borderId="0" applyNumberFormat="0" applyBorder="0" applyAlignment="0" applyProtection="0"/>
    <xf numFmtId="0" fontId="55" fillId="21" borderId="0" applyNumberFormat="0" applyBorder="0" applyAlignment="0" applyProtection="0"/>
    <xf numFmtId="0" fontId="55" fillId="22" borderId="0" applyNumberFormat="0" applyBorder="0" applyAlignment="0" applyProtection="0"/>
    <xf numFmtId="0" fontId="55" fillId="23" borderId="0" applyNumberFormat="0" applyBorder="0" applyAlignment="0" applyProtection="0"/>
    <xf numFmtId="0" fontId="55" fillId="24" borderId="0" applyNumberFormat="0" applyBorder="0" applyAlignment="0" applyProtection="0"/>
    <xf numFmtId="0" fontId="55" fillId="25" borderId="0" applyNumberFormat="0" applyBorder="0" applyAlignment="0" applyProtection="0"/>
    <xf numFmtId="0" fontId="55" fillId="20" borderId="0" applyNumberFormat="0" applyBorder="0" applyAlignment="0" applyProtection="0"/>
    <xf numFmtId="0" fontId="55" fillId="23" borderId="0" applyNumberFormat="0" applyBorder="0" applyAlignment="0" applyProtection="0"/>
    <xf numFmtId="0" fontId="55" fillId="26" borderId="0" applyNumberFormat="0" applyBorder="0" applyAlignment="0" applyProtection="0"/>
    <xf numFmtId="0" fontId="56" fillId="27" borderId="0" applyNumberFormat="0" applyBorder="0" applyAlignment="0" applyProtection="0"/>
    <xf numFmtId="0" fontId="56" fillId="24" borderId="0" applyNumberFormat="0" applyBorder="0" applyAlignment="0" applyProtection="0"/>
    <xf numFmtId="0" fontId="56" fillId="25" borderId="0" applyNumberFormat="0" applyBorder="0" applyAlignment="0" applyProtection="0"/>
    <xf numFmtId="0" fontId="56" fillId="28" borderId="0" applyNumberFormat="0" applyBorder="0" applyAlignment="0" applyProtection="0"/>
    <xf numFmtId="0" fontId="56" fillId="29" borderId="0" applyNumberFormat="0" applyBorder="0" applyAlignment="0" applyProtection="0"/>
    <xf numFmtId="0" fontId="138" fillId="30" borderId="0" applyNumberFormat="0" applyBorder="0" applyAlignment="0" applyProtection="0"/>
    <xf numFmtId="0" fontId="56" fillId="31" borderId="0" applyNumberFormat="0" applyBorder="0" applyAlignment="0" applyProtection="0"/>
    <xf numFmtId="0" fontId="56" fillId="32" borderId="0" applyNumberFormat="0" applyBorder="0" applyAlignment="0" applyProtection="0"/>
    <xf numFmtId="0" fontId="56" fillId="33" borderId="0" applyNumberFormat="0" applyBorder="0" applyAlignment="0" applyProtection="0"/>
    <xf numFmtId="0" fontId="56" fillId="28" borderId="0" applyNumberFormat="0" applyBorder="0" applyAlignment="0" applyProtection="0"/>
    <xf numFmtId="0" fontId="56" fillId="29" borderId="0" applyNumberFormat="0" applyBorder="0" applyAlignment="0" applyProtection="0"/>
    <xf numFmtId="0" fontId="56" fillId="34" borderId="0" applyNumberFormat="0" applyBorder="0" applyAlignment="0" applyProtection="0"/>
    <xf numFmtId="0" fontId="57" fillId="18" borderId="0" applyNumberFormat="0" applyBorder="0" applyAlignment="0" applyProtection="0"/>
    <xf numFmtId="0" fontId="58" fillId="35" borderId="35" applyNumberFormat="0" applyAlignment="0" applyProtection="0"/>
    <xf numFmtId="0" fontId="59" fillId="36" borderId="36" applyNumberFormat="0" applyAlignment="0" applyProtection="0"/>
    <xf numFmtId="0" fontId="60" fillId="0" borderId="0" applyNumberFormat="0" applyFill="0" applyBorder="0" applyAlignment="0" applyProtection="0"/>
    <xf numFmtId="0" fontId="61" fillId="19" borderId="0" applyNumberFormat="0" applyBorder="0" applyAlignment="0" applyProtection="0"/>
    <xf numFmtId="0" fontId="62" fillId="0" borderId="37" applyNumberFormat="0" applyFill="0" applyAlignment="0" applyProtection="0"/>
    <xf numFmtId="0" fontId="63" fillId="0" borderId="38" applyNumberFormat="0" applyFill="0" applyAlignment="0" applyProtection="0"/>
    <xf numFmtId="0" fontId="64" fillId="0" borderId="39" applyNumberFormat="0" applyFill="0" applyAlignment="0" applyProtection="0"/>
    <xf numFmtId="0" fontId="64" fillId="0" borderId="0" applyNumberFormat="0" applyFill="0" applyBorder="0" applyAlignment="0" applyProtection="0"/>
    <xf numFmtId="0" fontId="65" fillId="22" borderId="35" applyNumberFormat="0" applyAlignment="0" applyProtection="0"/>
    <xf numFmtId="0" fontId="66" fillId="0" borderId="40" applyNumberFormat="0" applyFill="0" applyAlignment="0" applyProtection="0"/>
    <xf numFmtId="0" fontId="67" fillId="37" borderId="0" applyNumberFormat="0" applyBorder="0" applyAlignment="0" applyProtection="0"/>
    <xf numFmtId="0" fontId="21" fillId="38" borderId="41" applyNumberFormat="0" applyFont="0" applyAlignment="0" applyProtection="0"/>
    <xf numFmtId="0" fontId="68" fillId="35" borderId="42" applyNumberFormat="0" applyAlignment="0" applyProtection="0"/>
    <xf numFmtId="0" fontId="69" fillId="0" borderId="0" applyNumberFormat="0" applyFill="0" applyBorder="0" applyAlignment="0" applyProtection="0"/>
    <xf numFmtId="0" fontId="70" fillId="0" borderId="43" applyNumberFormat="0" applyFill="0" applyAlignment="0" applyProtection="0"/>
    <xf numFmtId="0" fontId="71" fillId="0" borderId="0" applyNumberForma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9" fontId="11" fillId="0" borderId="0" applyFont="0" applyFill="0" applyBorder="0" applyAlignment="0" applyProtection="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9" fontId="11" fillId="0" borderId="0" applyFont="0" applyFill="0" applyBorder="0" applyAlignment="0" applyProtection="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9" fontId="11" fillId="0" borderId="0" applyFont="0" applyFill="0" applyBorder="0" applyAlignment="0" applyProtection="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9" fontId="11" fillId="0" borderId="0" applyFont="0" applyFill="0" applyBorder="0" applyAlignment="0" applyProtection="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9" fontId="11" fillId="0" borderId="0" applyFont="0" applyFill="0" applyBorder="0" applyAlignment="0" applyProtection="0"/>
    <xf numFmtId="0" fontId="10" fillId="0" borderId="0"/>
    <xf numFmtId="0" fontId="10" fillId="0" borderId="0"/>
    <xf numFmtId="0" fontId="10" fillId="0" borderId="0"/>
    <xf numFmtId="0" fontId="74" fillId="41" borderId="0">
      <alignment horizontal="left" vertical="center" indent="1"/>
    </xf>
    <xf numFmtId="169" fontId="80" fillId="53" borderId="15">
      <alignment horizontal="center" vertical="center"/>
    </xf>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6" fillId="0" borderId="0"/>
    <xf numFmtId="0" fontId="249" fillId="66" borderId="7"/>
    <xf numFmtId="0" fontId="2" fillId="0" borderId="0"/>
    <xf numFmtId="0" fontId="1" fillId="0" borderId="0"/>
    <xf numFmtId="0" fontId="1" fillId="0" borderId="0"/>
    <xf numFmtId="0" fontId="1" fillId="0" borderId="0"/>
    <xf numFmtId="0" fontId="21" fillId="0" borderId="0"/>
    <xf numFmtId="0" fontId="64" fillId="0" borderId="154" applyNumberFormat="0" applyFill="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4" fillId="0" borderId="153" applyNumberFormat="0" applyFill="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cellStyleXfs>
  <cellXfs count="2562">
    <xf numFmtId="0" fontId="0" fillId="0" borderId="0" xfId="0"/>
    <xf numFmtId="0" fontId="32" fillId="3" borderId="0" xfId="0" applyFont="1" applyFill="1"/>
    <xf numFmtId="0" fontId="32" fillId="3" borderId="0" xfId="0" applyNumberFormat="1" applyFont="1" applyFill="1"/>
    <xf numFmtId="0" fontId="31" fillId="3" borderId="0" xfId="0" applyNumberFormat="1" applyFont="1" applyFill="1"/>
    <xf numFmtId="164" fontId="32" fillId="3" borderId="0" xfId="0" applyNumberFormat="1" applyFont="1" applyFill="1" applyBorder="1"/>
    <xf numFmtId="2" fontId="32" fillId="3" borderId="0" xfId="0" applyNumberFormat="1" applyFont="1" applyFill="1" applyBorder="1"/>
    <xf numFmtId="0" fontId="31" fillId="3" borderId="0" xfId="0" applyFont="1" applyFill="1"/>
    <xf numFmtId="2" fontId="35" fillId="3" borderId="0" xfId="0" applyNumberFormat="1" applyFont="1" applyFill="1" applyBorder="1"/>
    <xf numFmtId="0" fontId="34" fillId="3" borderId="0" xfId="0" applyFont="1" applyFill="1" applyBorder="1" applyAlignment="1">
      <alignment horizontal="center"/>
    </xf>
    <xf numFmtId="164" fontId="32" fillId="3" borderId="0" xfId="0" applyNumberFormat="1" applyFont="1" applyFill="1"/>
    <xf numFmtId="169" fontId="32" fillId="3" borderId="0" xfId="0" applyNumberFormat="1" applyFont="1" applyFill="1"/>
    <xf numFmtId="165" fontId="32" fillId="3" borderId="0" xfId="0" applyNumberFormat="1" applyFont="1" applyFill="1" applyBorder="1"/>
    <xf numFmtId="0" fontId="31" fillId="3" borderId="0" xfId="0" applyNumberFormat="1" applyFont="1" applyFill="1" applyAlignment="1">
      <alignment horizontal="center"/>
    </xf>
    <xf numFmtId="0" fontId="32" fillId="3" borderId="0" xfId="0" applyFont="1" applyFill="1" applyAlignment="1">
      <alignment horizontal="center"/>
    </xf>
    <xf numFmtId="0" fontId="73" fillId="3" borderId="0" xfId="0" applyFont="1" applyFill="1"/>
    <xf numFmtId="0" fontId="73" fillId="3" borderId="13" xfId="0" applyFont="1" applyFill="1" applyBorder="1"/>
    <xf numFmtId="0" fontId="73" fillId="3" borderId="0" xfId="0" applyFont="1" applyFill="1" applyBorder="1"/>
    <xf numFmtId="0" fontId="73" fillId="3" borderId="14" xfId="0" applyFont="1" applyFill="1" applyBorder="1"/>
    <xf numFmtId="0" fontId="73" fillId="3" borderId="0" xfId="0" applyFont="1" applyFill="1" applyAlignment="1">
      <alignment horizontal="left" vertical="center" indent="1"/>
    </xf>
    <xf numFmtId="0" fontId="73" fillId="3" borderId="0" xfId="0" applyFont="1" applyFill="1" applyAlignment="1">
      <alignment vertical="center"/>
    </xf>
    <xf numFmtId="0" fontId="73" fillId="3" borderId="13" xfId="0" applyFont="1" applyFill="1" applyBorder="1" applyAlignment="1">
      <alignment vertical="center"/>
    </xf>
    <xf numFmtId="0" fontId="73" fillId="3" borderId="14" xfId="0" applyFont="1" applyFill="1" applyBorder="1" applyAlignment="1">
      <alignment vertical="center"/>
    </xf>
    <xf numFmtId="0" fontId="32" fillId="3" borderId="0" xfId="0" applyFont="1" applyFill="1" applyAlignment="1">
      <alignment vertical="center"/>
    </xf>
    <xf numFmtId="0" fontId="31" fillId="3" borderId="0" xfId="0" applyFont="1" applyFill="1" applyBorder="1" applyAlignment="1">
      <alignment horizontal="right" vertical="center" indent="1"/>
    </xf>
    <xf numFmtId="0" fontId="73" fillId="3" borderId="45" xfId="0" applyFont="1" applyFill="1" applyBorder="1"/>
    <xf numFmtId="0" fontId="73" fillId="3" borderId="47" xfId="0" applyFont="1" applyFill="1" applyBorder="1"/>
    <xf numFmtId="165" fontId="80" fillId="3" borderId="0" xfId="0" applyNumberFormat="1" applyFont="1" applyFill="1" applyBorder="1" applyAlignment="1">
      <alignment horizontal="center"/>
    </xf>
    <xf numFmtId="0" fontId="83" fillId="3" borderId="0" xfId="0" applyFont="1" applyFill="1"/>
    <xf numFmtId="0" fontId="85" fillId="3" borderId="0" xfId="0" applyFont="1" applyFill="1"/>
    <xf numFmtId="0" fontId="86" fillId="3" borderId="0" xfId="0" applyFont="1" applyFill="1"/>
    <xf numFmtId="0" fontId="73" fillId="3" borderId="0" xfId="0" applyFont="1" applyFill="1" applyAlignment="1">
      <alignment horizontal="center" vertical="top" wrapText="1"/>
    </xf>
    <xf numFmtId="0" fontId="73" fillId="3" borderId="0" xfId="0" applyFont="1" applyFill="1" applyBorder="1" applyAlignment="1">
      <alignment vertical="center"/>
    </xf>
    <xf numFmtId="1" fontId="73" fillId="3" borderId="0" xfId="0" applyNumberFormat="1" applyFont="1" applyFill="1" applyBorder="1" applyAlignment="1">
      <alignment horizontal="center" vertical="center"/>
    </xf>
    <xf numFmtId="192" fontId="73" fillId="3" borderId="0" xfId="0" applyNumberFormat="1" applyFont="1" applyFill="1" applyBorder="1" applyAlignment="1">
      <alignment horizontal="center" vertical="center"/>
    </xf>
    <xf numFmtId="0" fontId="73" fillId="3" borderId="0" xfId="0" applyFont="1" applyFill="1" applyAlignment="1">
      <alignment vertical="top" wrapText="1"/>
    </xf>
    <xf numFmtId="165" fontId="73" fillId="3" borderId="0" xfId="0" applyNumberFormat="1" applyFont="1" applyFill="1" applyBorder="1"/>
    <xf numFmtId="0" fontId="90" fillId="3" borderId="0" xfId="216" applyFont="1" applyFill="1" applyBorder="1" applyAlignment="1">
      <alignment horizontal="left"/>
    </xf>
    <xf numFmtId="1" fontId="73" fillId="3" borderId="0" xfId="0" applyNumberFormat="1" applyFont="1" applyFill="1"/>
    <xf numFmtId="0" fontId="32" fillId="3" borderId="14" xfId="0" applyFont="1" applyFill="1" applyBorder="1" applyAlignment="1">
      <alignment vertical="center"/>
    </xf>
    <xf numFmtId="165" fontId="80" fillId="3" borderId="0" xfId="0" applyNumberFormat="1" applyFont="1" applyFill="1" applyBorder="1" applyAlignment="1"/>
    <xf numFmtId="49" fontId="73" fillId="3" borderId="0" xfId="0" applyNumberFormat="1" applyFont="1" applyFill="1" applyBorder="1" applyAlignment="1">
      <alignment vertical="center" wrapText="1"/>
    </xf>
    <xf numFmtId="0" fontId="86" fillId="3" borderId="0" xfId="0" applyNumberFormat="1" applyFont="1" applyFill="1" applyBorder="1" applyAlignment="1">
      <alignment horizontal="center" vertical="center"/>
    </xf>
    <xf numFmtId="0" fontId="73" fillId="3" borderId="0" xfId="0" applyFont="1" applyFill="1" applyBorder="1" applyAlignment="1">
      <alignment horizontal="center" vertical="center"/>
    </xf>
    <xf numFmtId="165" fontId="73" fillId="3" borderId="0" xfId="0" applyNumberFormat="1" applyFont="1" applyFill="1" applyBorder="1" applyAlignment="1">
      <alignment horizontal="center"/>
    </xf>
    <xf numFmtId="0" fontId="73" fillId="3" borderId="0" xfId="0" applyFont="1" applyFill="1" applyBorder="1" applyAlignment="1">
      <alignment horizontal="center" vertical="center" wrapText="1"/>
    </xf>
    <xf numFmtId="0" fontId="86" fillId="3" borderId="0" xfId="0" applyFont="1" applyFill="1" applyBorder="1" applyAlignment="1">
      <alignment horizontal="center" vertical="center" wrapText="1"/>
    </xf>
    <xf numFmtId="1" fontId="86" fillId="3" borderId="0" xfId="0" applyNumberFormat="1" applyFont="1" applyFill="1" applyBorder="1" applyAlignment="1">
      <alignment horizontal="center" vertical="center" wrapText="1"/>
    </xf>
    <xf numFmtId="192" fontId="86" fillId="3" borderId="0" xfId="0" applyNumberFormat="1" applyFont="1" applyFill="1" applyBorder="1" applyAlignment="1">
      <alignment horizontal="center" vertical="center" wrapText="1"/>
    </xf>
    <xf numFmtId="0" fontId="86" fillId="9" borderId="0" xfId="0" applyNumberFormat="1" applyFont="1" applyFill="1" applyBorder="1" applyAlignment="1">
      <alignment horizontal="center" vertical="center" wrapText="1"/>
    </xf>
    <xf numFmtId="207" fontId="48" fillId="3" borderId="0" xfId="0" applyNumberFormat="1" applyFont="1" applyFill="1" applyBorder="1" applyAlignment="1">
      <alignment horizontal="center" vertical="center"/>
    </xf>
    <xf numFmtId="0" fontId="73" fillId="3" borderId="7" xfId="0" applyFont="1" applyFill="1" applyBorder="1"/>
    <xf numFmtId="0" fontId="95" fillId="0" borderId="0" xfId="0" applyFont="1" applyFill="1" applyBorder="1" applyAlignment="1">
      <alignment vertical="center"/>
    </xf>
    <xf numFmtId="188" fontId="73" fillId="3" borderId="0" xfId="0" applyNumberFormat="1" applyFont="1" applyFill="1"/>
    <xf numFmtId="188" fontId="84" fillId="3" borderId="0" xfId="0" applyNumberFormat="1" applyFont="1" applyFill="1" applyBorder="1"/>
    <xf numFmtId="188" fontId="73" fillId="3" borderId="0" xfId="0" applyNumberFormat="1" applyFont="1" applyFill="1" applyBorder="1"/>
    <xf numFmtId="169" fontId="73" fillId="3" borderId="0" xfId="0" applyNumberFormat="1" applyFont="1" applyFill="1"/>
    <xf numFmtId="0" fontId="96" fillId="3" borderId="0" xfId="0" applyFont="1" applyFill="1"/>
    <xf numFmtId="2" fontId="73" fillId="3" borderId="0" xfId="0" applyNumberFormat="1" applyFont="1" applyFill="1" applyBorder="1"/>
    <xf numFmtId="0" fontId="31" fillId="39" borderId="0" xfId="2842" applyNumberFormat="1" applyFont="1" applyFill="1" applyBorder="1" applyAlignment="1">
      <alignment horizontal="center"/>
    </xf>
    <xf numFmtId="0" fontId="31" fillId="39" borderId="0" xfId="2842" applyNumberFormat="1" applyFont="1" applyFill="1" applyBorder="1"/>
    <xf numFmtId="2" fontId="32" fillId="39" borderId="0" xfId="2842" applyNumberFormat="1" applyFont="1" applyFill="1" applyBorder="1"/>
    <xf numFmtId="192" fontId="73" fillId="39" borderId="0" xfId="1521" applyNumberFormat="1" applyFont="1" applyFill="1" applyBorder="1" applyAlignment="1">
      <alignment horizontal="center"/>
    </xf>
    <xf numFmtId="164" fontId="32" fillId="39" borderId="0" xfId="2842" applyNumberFormat="1" applyFont="1" applyFill="1" applyBorder="1"/>
    <xf numFmtId="169" fontId="32" fillId="39" borderId="0" xfId="2842" applyNumberFormat="1" applyFont="1" applyFill="1" applyBorder="1"/>
    <xf numFmtId="1" fontId="32" fillId="39" borderId="0" xfId="2842" applyNumberFormat="1" applyFont="1" applyFill="1" applyBorder="1"/>
    <xf numFmtId="192" fontId="73" fillId="3" borderId="0" xfId="1521" applyNumberFormat="1" applyFont="1" applyFill="1" applyBorder="1" applyAlignment="1">
      <alignment horizontal="center"/>
    </xf>
    <xf numFmtId="0" fontId="73" fillId="3" borderId="6" xfId="0" applyFont="1" applyFill="1" applyBorder="1"/>
    <xf numFmtId="0" fontId="73" fillId="3" borderId="0" xfId="0" applyFont="1" applyFill="1" applyAlignment="1">
      <alignment horizontal="center" vertical="center"/>
    </xf>
    <xf numFmtId="0" fontId="89" fillId="3" borderId="0" xfId="0" applyFont="1" applyFill="1" applyBorder="1" applyAlignment="1">
      <alignment horizontal="center" vertical="center"/>
    </xf>
    <xf numFmtId="0" fontId="73" fillId="3" borderId="0" xfId="0" applyFont="1" applyFill="1" applyBorder="1" applyAlignment="1">
      <alignment horizontal="left" vertical="center" indent="1"/>
    </xf>
    <xf numFmtId="0" fontId="31" fillId="9" borderId="0" xfId="0" applyFont="1" applyFill="1" applyBorder="1" applyAlignment="1">
      <alignment horizontal="left" vertical="center" indent="1"/>
    </xf>
    <xf numFmtId="0" fontId="31" fillId="3" borderId="0" xfId="0" applyFont="1" applyFill="1" applyBorder="1" applyAlignment="1">
      <alignment horizontal="left" vertical="center" indent="1"/>
    </xf>
    <xf numFmtId="0" fontId="86" fillId="3" borderId="0" xfId="0" applyFont="1" applyFill="1" applyBorder="1" applyAlignment="1">
      <alignment vertical="center"/>
    </xf>
    <xf numFmtId="0" fontId="86" fillId="3" borderId="0" xfId="0" applyFont="1" applyFill="1" applyBorder="1"/>
    <xf numFmtId="0" fontId="73" fillId="3" borderId="0" xfId="0" applyFont="1" applyFill="1" applyBorder="1" applyAlignment="1">
      <alignment horizontal="left" indent="1"/>
    </xf>
    <xf numFmtId="164" fontId="73" fillId="3" borderId="0" xfId="0" applyNumberFormat="1" applyFont="1" applyFill="1" applyBorder="1"/>
    <xf numFmtId="0" fontId="32" fillId="3" borderId="0" xfId="0" applyFont="1" applyFill="1" applyBorder="1" applyAlignment="1">
      <alignment horizontal="center"/>
    </xf>
    <xf numFmtId="0" fontId="73" fillId="3" borderId="4" xfId="0" applyFont="1" applyFill="1" applyBorder="1"/>
    <xf numFmtId="188" fontId="84" fillId="3" borderId="14" xfId="0" applyNumberFormat="1" applyFont="1" applyFill="1" applyBorder="1"/>
    <xf numFmtId="165" fontId="73" fillId="3" borderId="14" xfId="0" applyNumberFormat="1" applyFont="1" applyFill="1" applyBorder="1"/>
    <xf numFmtId="0" fontId="32" fillId="3" borderId="14" xfId="0" applyFont="1" applyFill="1" applyBorder="1"/>
    <xf numFmtId="0" fontId="31" fillId="3" borderId="14" xfId="0" applyNumberFormat="1" applyFont="1" applyFill="1" applyBorder="1"/>
    <xf numFmtId="164" fontId="32" fillId="3" borderId="14" xfId="0" applyNumberFormat="1" applyFont="1" applyFill="1" applyBorder="1"/>
    <xf numFmtId="2" fontId="32" fillId="3" borderId="14" xfId="0" applyNumberFormat="1" applyFont="1" applyFill="1" applyBorder="1"/>
    <xf numFmtId="169" fontId="32" fillId="3" borderId="14" xfId="0" applyNumberFormat="1" applyFont="1" applyFill="1" applyBorder="1"/>
    <xf numFmtId="0" fontId="31" fillId="39" borderId="14" xfId="2842" applyNumberFormat="1" applyFont="1" applyFill="1" applyBorder="1" applyAlignment="1">
      <alignment horizontal="center"/>
    </xf>
    <xf numFmtId="192" fontId="73" fillId="39" borderId="14" xfId="1521" applyNumberFormat="1" applyFont="1" applyFill="1" applyBorder="1" applyAlignment="1">
      <alignment horizontal="center"/>
    </xf>
    <xf numFmtId="0" fontId="31" fillId="39" borderId="14" xfId="2842" applyNumberFormat="1" applyFont="1" applyFill="1" applyBorder="1"/>
    <xf numFmtId="164" fontId="32" fillId="39" borderId="14" xfId="2842" applyNumberFormat="1" applyFont="1" applyFill="1" applyBorder="1"/>
    <xf numFmtId="2" fontId="32" fillId="39" borderId="14" xfId="2842" applyNumberFormat="1" applyFont="1" applyFill="1" applyBorder="1"/>
    <xf numFmtId="169" fontId="32" fillId="39" borderId="14" xfId="2842" applyNumberFormat="1" applyFont="1" applyFill="1" applyBorder="1"/>
    <xf numFmtId="1" fontId="32" fillId="39" borderId="14" xfId="2842" applyNumberFormat="1" applyFont="1" applyFill="1" applyBorder="1"/>
    <xf numFmtId="0" fontId="31" fillId="3" borderId="14" xfId="0" applyNumberFormat="1" applyFont="1" applyFill="1" applyBorder="1" applyAlignment="1">
      <alignment horizontal="center"/>
    </xf>
    <xf numFmtId="192" fontId="73" fillId="3" borderId="14" xfId="1521" applyNumberFormat="1" applyFont="1" applyFill="1" applyBorder="1" applyAlignment="1">
      <alignment horizontal="center"/>
    </xf>
    <xf numFmtId="165" fontId="32" fillId="3" borderId="14" xfId="0" applyNumberFormat="1" applyFont="1" applyFill="1" applyBorder="1"/>
    <xf numFmtId="0" fontId="73" fillId="3" borderId="46" xfId="0" applyFont="1" applyFill="1" applyBorder="1"/>
    <xf numFmtId="0" fontId="32" fillId="3" borderId="13" xfId="0" applyFont="1" applyFill="1" applyBorder="1"/>
    <xf numFmtId="0" fontId="35" fillId="3" borderId="14" xfId="0" applyNumberFormat="1" applyFont="1" applyFill="1" applyBorder="1" applyAlignment="1">
      <alignment horizontal="center"/>
    </xf>
    <xf numFmtId="0" fontId="35" fillId="3" borderId="0" xfId="0" applyNumberFormat="1" applyFont="1" applyFill="1" applyBorder="1" applyAlignment="1">
      <alignment horizontal="center"/>
    </xf>
    <xf numFmtId="0" fontId="31" fillId="9" borderId="0" xfId="0" applyNumberFormat="1" applyFont="1" applyFill="1" applyBorder="1" applyAlignment="1">
      <alignment horizontal="center" vertical="center"/>
    </xf>
    <xf numFmtId="0" fontId="31" fillId="9" borderId="4" xfId="0" applyNumberFormat="1" applyFont="1" applyFill="1" applyBorder="1" applyAlignment="1">
      <alignment horizontal="center" vertical="center"/>
    </xf>
    <xf numFmtId="0" fontId="73" fillId="44" borderId="1" xfId="0" applyFont="1" applyFill="1" applyBorder="1" applyAlignment="1">
      <alignment vertical="center"/>
    </xf>
    <xf numFmtId="0" fontId="73" fillId="44" borderId="3" xfId="0" applyFont="1" applyFill="1" applyBorder="1" applyAlignment="1">
      <alignment vertical="center"/>
    </xf>
    <xf numFmtId="0" fontId="32" fillId="3" borderId="4" xfId="0" applyNumberFormat="1" applyFont="1" applyFill="1" applyBorder="1" applyAlignment="1">
      <alignment horizontal="center" vertical="center" wrapText="1"/>
    </xf>
    <xf numFmtId="0" fontId="31" fillId="3" borderId="0" xfId="0" applyNumberFormat="1" applyFont="1" applyFill="1" applyBorder="1" applyAlignment="1">
      <alignment horizontal="center" vertical="center" wrapText="1"/>
    </xf>
    <xf numFmtId="0" fontId="31" fillId="3" borderId="5" xfId="0" applyNumberFormat="1" applyFont="1" applyFill="1" applyBorder="1" applyAlignment="1">
      <alignment horizontal="center" vertical="center" wrapText="1"/>
    </xf>
    <xf numFmtId="0" fontId="83" fillId="3" borderId="14" xfId="0" applyNumberFormat="1" applyFont="1" applyFill="1" applyBorder="1" applyAlignment="1">
      <alignment horizontal="center" vertical="center" wrapText="1"/>
    </xf>
    <xf numFmtId="0" fontId="83" fillId="3" borderId="0" xfId="0" applyNumberFormat="1" applyFont="1" applyFill="1" applyBorder="1" applyAlignment="1">
      <alignment horizontal="center" vertical="center" wrapText="1"/>
    </xf>
    <xf numFmtId="0" fontId="100" fillId="44" borderId="2" xfId="0" applyFont="1" applyFill="1" applyBorder="1" applyAlignment="1">
      <alignment horizontal="left" vertical="center" indent="2"/>
    </xf>
    <xf numFmtId="0" fontId="31" fillId="3" borderId="4" xfId="0" applyNumberFormat="1" applyFont="1" applyFill="1" applyBorder="1" applyAlignment="1">
      <alignment horizontal="center" vertical="center"/>
    </xf>
    <xf numFmtId="0" fontId="31" fillId="3" borderId="0" xfId="0" applyNumberFormat="1" applyFont="1" applyFill="1" applyBorder="1" applyAlignment="1">
      <alignment horizontal="center" vertical="center"/>
    </xf>
    <xf numFmtId="195" fontId="31" fillId="3" borderId="0" xfId="0" applyNumberFormat="1" applyFont="1" applyFill="1" applyBorder="1" applyAlignment="1">
      <alignment horizontal="center" vertical="center"/>
    </xf>
    <xf numFmtId="195" fontId="31" fillId="3" borderId="5" xfId="0" applyNumberFormat="1" applyFont="1" applyFill="1" applyBorder="1" applyAlignment="1">
      <alignment horizontal="center" vertical="center"/>
    </xf>
    <xf numFmtId="195" fontId="83" fillId="3" borderId="14" xfId="0" applyNumberFormat="1" applyFont="1" applyFill="1" applyBorder="1" applyAlignment="1">
      <alignment vertical="center"/>
    </xf>
    <xf numFmtId="195" fontId="83" fillId="3" borderId="0" xfId="0" applyNumberFormat="1" applyFont="1" applyFill="1" applyBorder="1" applyAlignment="1">
      <alignment vertical="center"/>
    </xf>
    <xf numFmtId="0" fontId="32" fillId="3" borderId="5" xfId="0" applyFont="1" applyFill="1" applyBorder="1" applyAlignment="1">
      <alignment horizontal="center" vertical="center"/>
    </xf>
    <xf numFmtId="0" fontId="32" fillId="44" borderId="1" xfId="0" applyFont="1" applyFill="1" applyBorder="1" applyAlignment="1">
      <alignment horizontal="center" vertical="center"/>
    </xf>
    <xf numFmtId="164" fontId="32" fillId="44" borderId="1" xfId="0" applyNumberFormat="1" applyFont="1" applyFill="1" applyBorder="1" applyAlignment="1">
      <alignment horizontal="center" vertical="center"/>
    </xf>
    <xf numFmtId="0" fontId="32" fillId="44" borderId="3" xfId="0" applyFont="1" applyFill="1" applyBorder="1" applyAlignment="1">
      <alignment horizontal="center" vertical="center"/>
    </xf>
    <xf numFmtId="0" fontId="32" fillId="3" borderId="4" xfId="0" applyNumberFormat="1" applyFont="1" applyFill="1" applyBorder="1" applyAlignment="1">
      <alignment horizontal="center" vertical="center"/>
    </xf>
    <xf numFmtId="0" fontId="32" fillId="3" borderId="0" xfId="0" applyNumberFormat="1" applyFont="1" applyFill="1" applyBorder="1" applyAlignment="1">
      <alignment horizontal="center" vertical="center"/>
    </xf>
    <xf numFmtId="164" fontId="32" fillId="3" borderId="0" xfId="0" applyNumberFormat="1" applyFont="1" applyFill="1" applyBorder="1" applyAlignment="1">
      <alignment horizontal="center" vertical="center"/>
    </xf>
    <xf numFmtId="0" fontId="32" fillId="3" borderId="4" xfId="0" applyFont="1" applyFill="1" applyBorder="1" applyAlignment="1">
      <alignment horizontal="center" vertical="center"/>
    </xf>
    <xf numFmtId="0" fontId="31" fillId="39" borderId="0" xfId="2842" applyNumberFormat="1" applyFont="1" applyFill="1" applyBorder="1" applyAlignment="1">
      <alignment horizontal="center" vertical="center"/>
    </xf>
    <xf numFmtId="0" fontId="31" fillId="39" borderId="5" xfId="2842" applyNumberFormat="1" applyFont="1" applyFill="1" applyBorder="1" applyAlignment="1">
      <alignment horizontal="center" vertical="center"/>
    </xf>
    <xf numFmtId="2" fontId="32" fillId="39" borderId="0" xfId="2842" applyNumberFormat="1" applyFont="1" applyFill="1" applyBorder="1" applyAlignment="1">
      <alignment horizontal="center" vertical="center"/>
    </xf>
    <xf numFmtId="192" fontId="32" fillId="39" borderId="0" xfId="1521" applyNumberFormat="1" applyFont="1" applyFill="1" applyBorder="1" applyAlignment="1">
      <alignment horizontal="center" vertical="center"/>
    </xf>
    <xf numFmtId="192" fontId="32" fillId="39" borderId="5" xfId="1521" applyNumberFormat="1" applyFont="1" applyFill="1" applyBorder="1" applyAlignment="1">
      <alignment horizontal="center" vertical="center"/>
    </xf>
    <xf numFmtId="0" fontId="32" fillId="39" borderId="0" xfId="2842" applyNumberFormat="1" applyFont="1" applyFill="1" applyBorder="1" applyAlignment="1">
      <alignment horizontal="center" vertical="center"/>
    </xf>
    <xf numFmtId="164" fontId="32" fillId="39" borderId="0" xfId="2842" applyNumberFormat="1" applyFont="1" applyFill="1" applyBorder="1" applyAlignment="1">
      <alignment horizontal="center" vertical="center"/>
    </xf>
    <xf numFmtId="164" fontId="32" fillId="39" borderId="5" xfId="2842" applyNumberFormat="1" applyFont="1" applyFill="1" applyBorder="1" applyAlignment="1">
      <alignment horizontal="center" vertical="center"/>
    </xf>
    <xf numFmtId="2" fontId="32" fillId="39" borderId="5" xfId="2842" applyNumberFormat="1" applyFont="1" applyFill="1" applyBorder="1" applyAlignment="1">
      <alignment horizontal="center" vertical="center"/>
    </xf>
    <xf numFmtId="169" fontId="32" fillId="39" borderId="0" xfId="2842" applyNumberFormat="1" applyFont="1" applyFill="1" applyBorder="1" applyAlignment="1">
      <alignment horizontal="center" vertical="center"/>
    </xf>
    <xf numFmtId="169" fontId="32" fillId="39" borderId="5" xfId="2842" applyNumberFormat="1" applyFont="1" applyFill="1" applyBorder="1" applyAlignment="1">
      <alignment horizontal="center" vertical="center"/>
    </xf>
    <xf numFmtId="1" fontId="32" fillId="39" borderId="0" xfId="2842" applyNumberFormat="1" applyFont="1" applyFill="1" applyBorder="1" applyAlignment="1">
      <alignment horizontal="center" vertical="center"/>
    </xf>
    <xf numFmtId="1" fontId="32" fillId="39" borderId="5" xfId="2842" applyNumberFormat="1" applyFont="1" applyFill="1" applyBorder="1" applyAlignment="1">
      <alignment horizontal="center" vertical="center"/>
    </xf>
    <xf numFmtId="0" fontId="32" fillId="3" borderId="6" xfId="0" applyFont="1" applyFill="1" applyBorder="1" applyAlignment="1">
      <alignment horizontal="center" vertical="center"/>
    </xf>
    <xf numFmtId="0" fontId="32" fillId="3" borderId="7" xfId="0" applyNumberFormat="1" applyFont="1" applyFill="1" applyBorder="1" applyAlignment="1">
      <alignment horizontal="center" vertical="center"/>
    </xf>
    <xf numFmtId="0" fontId="86" fillId="3" borderId="13" xfId="0" applyFont="1" applyFill="1" applyBorder="1"/>
    <xf numFmtId="0" fontId="31" fillId="3" borderId="14" xfId="0" applyFont="1" applyFill="1" applyBorder="1"/>
    <xf numFmtId="0" fontId="31" fillId="39" borderId="0" xfId="2842" applyNumberFormat="1" applyFont="1" applyFill="1" applyBorder="1" applyAlignment="1">
      <alignment horizontal="center" vertical="center" wrapText="1"/>
    </xf>
    <xf numFmtId="10" fontId="32" fillId="3" borderId="0" xfId="0" applyNumberFormat="1" applyFont="1" applyFill="1" applyBorder="1" applyAlignment="1">
      <alignment horizontal="center"/>
    </xf>
    <xf numFmtId="10" fontId="32" fillId="3" borderId="0" xfId="0" applyNumberFormat="1" applyFont="1" applyFill="1" applyBorder="1" applyAlignment="1">
      <alignment horizontal="center" vertical="center"/>
    </xf>
    <xf numFmtId="188" fontId="32" fillId="3" borderId="0" xfId="0" applyNumberFormat="1" applyFont="1" applyFill="1" applyBorder="1" applyAlignment="1">
      <alignment horizontal="center" vertical="center"/>
    </xf>
    <xf numFmtId="188" fontId="32" fillId="3" borderId="5" xfId="0" applyNumberFormat="1" applyFont="1" applyFill="1" applyBorder="1" applyAlignment="1">
      <alignment horizontal="center" vertical="center"/>
    </xf>
    <xf numFmtId="165" fontId="32" fillId="3" borderId="0" xfId="0" applyNumberFormat="1" applyFont="1" applyFill="1" applyBorder="1" applyAlignment="1">
      <alignment horizontal="center" vertical="center"/>
    </xf>
    <xf numFmtId="165" fontId="32" fillId="3" borderId="5" xfId="0" applyNumberFormat="1" applyFont="1" applyFill="1" applyBorder="1" applyAlignment="1">
      <alignment horizontal="center" vertical="center"/>
    </xf>
    <xf numFmtId="165" fontId="32" fillId="3" borderId="7" xfId="0" applyNumberFormat="1" applyFont="1" applyFill="1" applyBorder="1" applyAlignment="1">
      <alignment horizontal="center" vertical="center"/>
    </xf>
    <xf numFmtId="165" fontId="32" fillId="3" borderId="8" xfId="0" applyNumberFormat="1" applyFont="1" applyFill="1" applyBorder="1" applyAlignment="1">
      <alignment horizontal="center" vertical="center"/>
    </xf>
    <xf numFmtId="0" fontId="102" fillId="41" borderId="0" xfId="0" applyFont="1" applyFill="1" applyBorder="1" applyAlignment="1">
      <alignment horizontal="center" vertical="center"/>
    </xf>
    <xf numFmtId="0" fontId="93" fillId="9" borderId="0" xfId="0" applyFont="1" applyFill="1" applyBorder="1" applyAlignment="1">
      <alignment horizontal="left" vertical="center" indent="1"/>
    </xf>
    <xf numFmtId="0" fontId="93" fillId="9" borderId="0" xfId="0" applyFont="1" applyFill="1" applyBorder="1" applyAlignment="1">
      <alignment vertical="center"/>
    </xf>
    <xf numFmtId="0" fontId="93" fillId="9" borderId="0" xfId="0" applyFont="1" applyFill="1" applyBorder="1" applyAlignment="1">
      <alignment horizontal="center" vertical="center"/>
    </xf>
    <xf numFmtId="0" fontId="96" fillId="3" borderId="0" xfId="0" applyFont="1" applyFill="1" applyBorder="1"/>
    <xf numFmtId="0" fontId="102" fillId="41" borderId="0" xfId="0" applyFont="1" applyFill="1" applyBorder="1" applyAlignment="1">
      <alignment horizontal="right" vertical="center"/>
    </xf>
    <xf numFmtId="0" fontId="32" fillId="3" borderId="0" xfId="0" applyNumberFormat="1" applyFont="1" applyFill="1" applyAlignment="1">
      <alignment horizontal="left" indent="1"/>
    </xf>
    <xf numFmtId="0" fontId="104" fillId="3" borderId="0" xfId="0" applyNumberFormat="1" applyFont="1" applyFill="1" applyAlignment="1">
      <alignment horizontal="center"/>
    </xf>
    <xf numFmtId="0" fontId="105" fillId="0" borderId="0" xfId="0" applyFont="1" applyAlignment="1">
      <alignment horizontal="center"/>
    </xf>
    <xf numFmtId="0" fontId="73" fillId="3" borderId="0" xfId="0" applyFont="1" applyFill="1" applyBorder="1" applyAlignment="1">
      <alignment horizontal="left"/>
    </xf>
    <xf numFmtId="0" fontId="73" fillId="3" borderId="2" xfId="0" applyFont="1" applyFill="1" applyBorder="1"/>
    <xf numFmtId="0" fontId="73" fillId="3" borderId="3" xfId="0" applyFont="1" applyFill="1" applyBorder="1"/>
    <xf numFmtId="0" fontId="86" fillId="3" borderId="0" xfId="0" applyFont="1" applyFill="1" applyBorder="1" applyAlignment="1">
      <alignment vertical="top"/>
    </xf>
    <xf numFmtId="0" fontId="73" fillId="3" borderId="0" xfId="0" applyFont="1" applyFill="1" applyBorder="1" applyAlignment="1">
      <alignment horizontal="center" vertical="top" wrapText="1"/>
    </xf>
    <xf numFmtId="0" fontId="73" fillId="3" borderId="0" xfId="0" applyFont="1" applyFill="1" applyAlignment="1">
      <alignment horizontal="left" indent="1"/>
    </xf>
    <xf numFmtId="0" fontId="73" fillId="3" borderId="1" xfId="0" applyFont="1" applyFill="1" applyBorder="1"/>
    <xf numFmtId="0" fontId="73" fillId="3" borderId="2" xfId="0" applyFont="1" applyFill="1" applyBorder="1" applyAlignment="1">
      <alignment horizontal="center"/>
    </xf>
    <xf numFmtId="169" fontId="73" fillId="3" borderId="6" xfId="0" applyNumberFormat="1" applyFont="1" applyFill="1" applyBorder="1" applyAlignment="1">
      <alignment horizontal="center"/>
    </xf>
    <xf numFmtId="169" fontId="73" fillId="3" borderId="8" xfId="0" applyNumberFormat="1" applyFont="1" applyFill="1" applyBorder="1" applyAlignment="1">
      <alignment horizontal="center"/>
    </xf>
    <xf numFmtId="169" fontId="73" fillId="3" borderId="0" xfId="0" applyNumberFormat="1" applyFont="1" applyFill="1" applyBorder="1" applyAlignment="1">
      <alignment horizontal="center"/>
    </xf>
    <xf numFmtId="169" fontId="73" fillId="3" borderId="5" xfId="0" applyNumberFormat="1" applyFont="1" applyFill="1" applyBorder="1" applyAlignment="1">
      <alignment horizontal="center"/>
    </xf>
    <xf numFmtId="169" fontId="73" fillId="3" borderId="7" xfId="0" applyNumberFormat="1" applyFont="1" applyFill="1" applyBorder="1" applyAlignment="1">
      <alignment horizontal="center"/>
    </xf>
    <xf numFmtId="0" fontId="73" fillId="3" borderId="0" xfId="0" applyFont="1" applyFill="1" applyBorder="1" applyAlignment="1">
      <alignment vertical="top" wrapText="1"/>
    </xf>
    <xf numFmtId="0" fontId="73" fillId="0" borderId="0" xfId="0" applyFont="1" applyBorder="1"/>
    <xf numFmtId="0" fontId="32" fillId="3" borderId="5" xfId="0" applyNumberFormat="1" applyFont="1" applyFill="1" applyBorder="1" applyAlignment="1">
      <alignment horizontal="center" vertical="center"/>
    </xf>
    <xf numFmtId="165" fontId="86" fillId="3" borderId="0" xfId="0" applyNumberFormat="1" applyFont="1" applyFill="1" applyBorder="1" applyAlignment="1">
      <alignment horizontal="center" vertical="center"/>
    </xf>
    <xf numFmtId="0" fontId="102" fillId="47" borderId="0" xfId="0" applyFont="1" applyFill="1" applyBorder="1" applyAlignment="1">
      <alignment horizontal="center" vertical="center"/>
    </xf>
    <xf numFmtId="0" fontId="102" fillId="47" borderId="0" xfId="0" applyFont="1" applyFill="1" applyBorder="1" applyAlignment="1">
      <alignment horizontal="right" vertical="center"/>
    </xf>
    <xf numFmtId="0" fontId="87" fillId="3" borderId="13" xfId="0" applyNumberFormat="1" applyFont="1" applyFill="1" applyBorder="1"/>
    <xf numFmtId="0" fontId="73" fillId="3" borderId="13" xfId="0" applyFont="1" applyFill="1" applyBorder="1" applyAlignment="1">
      <alignment horizontal="center" vertical="top" wrapText="1"/>
    </xf>
    <xf numFmtId="0" fontId="73" fillId="3" borderId="14" xfId="0" applyFont="1" applyFill="1" applyBorder="1" applyAlignment="1">
      <alignment horizontal="center" vertical="top" wrapText="1"/>
    </xf>
    <xf numFmtId="0" fontId="73" fillId="3" borderId="13" xfId="0" applyFont="1" applyFill="1" applyBorder="1" applyAlignment="1">
      <alignment vertical="top" wrapText="1"/>
    </xf>
    <xf numFmtId="0" fontId="73" fillId="3" borderId="14" xfId="0" applyFont="1" applyFill="1" applyBorder="1" applyAlignment="1">
      <alignment vertical="top" wrapText="1"/>
    </xf>
    <xf numFmtId="0" fontId="73" fillId="3" borderId="13" xfId="0" applyFont="1" applyFill="1" applyBorder="1" applyAlignment="1">
      <alignment horizontal="center" vertical="center"/>
    </xf>
    <xf numFmtId="0" fontId="73" fillId="3" borderId="14" xfId="0" applyFont="1" applyFill="1" applyBorder="1" applyAlignment="1">
      <alignment horizontal="center" vertical="center"/>
    </xf>
    <xf numFmtId="0" fontId="0" fillId="3" borderId="0" xfId="0" applyFill="1"/>
    <xf numFmtId="0" fontId="73" fillId="3" borderId="58" xfId="0" applyFont="1" applyFill="1" applyBorder="1" applyAlignment="1">
      <alignment vertical="center"/>
    </xf>
    <xf numFmtId="0" fontId="73" fillId="3" borderId="59" xfId="0" applyFont="1" applyFill="1" applyBorder="1" applyAlignment="1">
      <alignment vertical="center"/>
    </xf>
    <xf numFmtId="0" fontId="73" fillId="3" borderId="58" xfId="0" applyFont="1" applyFill="1" applyBorder="1"/>
    <xf numFmtId="0" fontId="73" fillId="3" borderId="59" xfId="0" applyFont="1" applyFill="1" applyBorder="1"/>
    <xf numFmtId="0" fontId="87" fillId="3" borderId="58" xfId="0" applyNumberFormat="1" applyFont="1" applyFill="1" applyBorder="1"/>
    <xf numFmtId="0" fontId="73" fillId="3" borderId="58" xfId="0" applyFont="1" applyFill="1" applyBorder="1" applyAlignment="1">
      <alignment horizontal="center" vertical="top" wrapText="1"/>
    </xf>
    <xf numFmtId="0" fontId="73" fillId="3" borderId="59" xfId="0" applyFont="1" applyFill="1" applyBorder="1" applyAlignment="1">
      <alignment horizontal="center" vertical="top" wrapText="1"/>
    </xf>
    <xf numFmtId="0" fontId="73" fillId="3" borderId="58" xfId="0" applyFont="1" applyFill="1" applyBorder="1" applyAlignment="1">
      <alignment vertical="top" wrapText="1"/>
    </xf>
    <xf numFmtId="0" fontId="73" fillId="3" borderId="59" xfId="0" applyFont="1" applyFill="1" applyBorder="1" applyAlignment="1">
      <alignment vertical="top" wrapText="1"/>
    </xf>
    <xf numFmtId="0" fontId="73" fillId="3" borderId="58" xfId="0" applyFont="1" applyFill="1" applyBorder="1" applyAlignment="1">
      <alignment horizontal="center" vertical="center"/>
    </xf>
    <xf numFmtId="0" fontId="73" fillId="3" borderId="59" xfId="0" applyFont="1" applyFill="1" applyBorder="1" applyAlignment="1">
      <alignment horizontal="center" vertical="center"/>
    </xf>
    <xf numFmtId="0" fontId="73" fillId="3" borderId="60" xfId="0" applyFont="1" applyFill="1" applyBorder="1"/>
    <xf numFmtId="0" fontId="73" fillId="3" borderId="61" xfId="0" applyFont="1" applyFill="1" applyBorder="1"/>
    <xf numFmtId="0" fontId="73" fillId="3" borderId="62" xfId="0" applyFont="1" applyFill="1" applyBorder="1"/>
    <xf numFmtId="0" fontId="73" fillId="3" borderId="53" xfId="0" applyFont="1" applyFill="1" applyBorder="1"/>
    <xf numFmtId="0" fontId="73" fillId="3" borderId="66" xfId="0" applyFont="1" applyFill="1" applyBorder="1"/>
    <xf numFmtId="0" fontId="73" fillId="3" borderId="54" xfId="0" applyFont="1" applyFill="1" applyBorder="1"/>
    <xf numFmtId="192" fontId="86" fillId="3" borderId="64" xfId="0" applyNumberFormat="1" applyFont="1" applyFill="1" applyBorder="1" applyAlignment="1">
      <alignment horizontal="center" vertical="center" wrapText="1"/>
    </xf>
    <xf numFmtId="0" fontId="86" fillId="9" borderId="64" xfId="0" applyNumberFormat="1" applyFont="1" applyFill="1" applyBorder="1" applyAlignment="1">
      <alignment horizontal="center" vertical="center" wrapText="1"/>
    </xf>
    <xf numFmtId="0" fontId="86" fillId="3" borderId="65" xfId="0" applyNumberFormat="1" applyFont="1" applyFill="1" applyBorder="1" applyAlignment="1">
      <alignment horizontal="right" vertical="center"/>
    </xf>
    <xf numFmtId="0" fontId="86" fillId="9" borderId="65" xfId="0" applyNumberFormat="1" applyFont="1" applyFill="1" applyBorder="1" applyAlignment="1">
      <alignment horizontal="right" vertical="center" wrapText="1"/>
    </xf>
    <xf numFmtId="0" fontId="86" fillId="3" borderId="65" xfId="0" applyNumberFormat="1" applyFont="1" applyFill="1" applyBorder="1" applyAlignment="1">
      <alignment horizontal="right" vertical="center" wrapText="1"/>
    </xf>
    <xf numFmtId="0" fontId="73" fillId="3" borderId="66" xfId="0" applyFont="1" applyFill="1" applyBorder="1" applyAlignment="1">
      <alignment horizontal="center" vertical="center"/>
    </xf>
    <xf numFmtId="0" fontId="74" fillId="0" borderId="0" xfId="0" applyFont="1" applyFill="1" applyBorder="1" applyAlignment="1">
      <alignment horizontal="left" vertical="center"/>
    </xf>
    <xf numFmtId="0" fontId="31" fillId="9" borderId="0" xfId="0" applyFont="1" applyFill="1" applyBorder="1" applyAlignment="1">
      <alignment horizontal="center" vertical="center"/>
    </xf>
    <xf numFmtId="0" fontId="32" fillId="3" borderId="0" xfId="0" applyFont="1" applyFill="1" applyBorder="1" applyAlignment="1">
      <alignment horizontal="center" vertical="center"/>
    </xf>
    <xf numFmtId="0" fontId="88" fillId="3" borderId="65" xfId="0" applyNumberFormat="1" applyFont="1" applyFill="1" applyBorder="1" applyAlignment="1">
      <alignment horizontal="center" vertical="center" wrapText="1"/>
    </xf>
    <xf numFmtId="0" fontId="73" fillId="3" borderId="53" xfId="0" applyFont="1" applyFill="1" applyBorder="1" applyAlignment="1">
      <alignment horizontal="center" vertical="center"/>
    </xf>
    <xf numFmtId="0" fontId="86" fillId="3" borderId="65" xfId="219" applyFont="1" applyFill="1" applyBorder="1" applyAlignment="1">
      <alignment horizontal="right" vertical="center" wrapText="1"/>
    </xf>
    <xf numFmtId="0" fontId="50" fillId="50" borderId="4" xfId="0" applyFont="1" applyFill="1" applyBorder="1" applyAlignment="1">
      <alignment horizontal="center" vertical="center"/>
    </xf>
    <xf numFmtId="0" fontId="50" fillId="50" borderId="0" xfId="0" applyNumberFormat="1" applyFont="1" applyFill="1" applyBorder="1" applyAlignment="1">
      <alignment horizontal="center" vertical="center"/>
    </xf>
    <xf numFmtId="0" fontId="50" fillId="50" borderId="5" xfId="0" applyNumberFormat="1" applyFont="1" applyFill="1" applyBorder="1" applyAlignment="1">
      <alignment horizontal="center" vertical="center"/>
    </xf>
    <xf numFmtId="0" fontId="73" fillId="3" borderId="65" xfId="0" applyFont="1" applyFill="1" applyBorder="1"/>
    <xf numFmtId="0" fontId="73" fillId="3" borderId="64" xfId="0" applyFont="1" applyFill="1" applyBorder="1"/>
    <xf numFmtId="0" fontId="32" fillId="3" borderId="65" xfId="0" applyFont="1" applyFill="1" applyBorder="1" applyAlignment="1">
      <alignment horizontal="center"/>
    </xf>
    <xf numFmtId="0" fontId="74" fillId="0" borderId="63" xfId="0" applyFont="1" applyFill="1" applyBorder="1" applyAlignment="1">
      <alignment horizontal="left" vertical="center"/>
    </xf>
    <xf numFmtId="0" fontId="73" fillId="3" borderId="63" xfId="0" applyFont="1" applyFill="1" applyBorder="1"/>
    <xf numFmtId="0" fontId="73" fillId="3" borderId="52" xfId="0" applyFont="1" applyFill="1" applyBorder="1"/>
    <xf numFmtId="0" fontId="31" fillId="9" borderId="0" xfId="0" applyFont="1" applyFill="1" applyBorder="1" applyAlignment="1">
      <alignment horizontal="right" vertical="center" indent="1"/>
    </xf>
    <xf numFmtId="10" fontId="31" fillId="9" borderId="0" xfId="0" applyNumberFormat="1" applyFont="1" applyFill="1" applyBorder="1" applyAlignment="1">
      <alignment horizontal="center" vertical="center"/>
    </xf>
    <xf numFmtId="0" fontId="50" fillId="50" borderId="0" xfId="0" applyFont="1" applyFill="1" applyBorder="1" applyAlignment="1">
      <alignment horizontal="center" vertical="center"/>
    </xf>
    <xf numFmtId="0" fontId="50" fillId="50" borderId="0" xfId="0" applyFont="1" applyFill="1" applyBorder="1" applyAlignment="1">
      <alignment horizontal="left" vertical="center"/>
    </xf>
    <xf numFmtId="0" fontId="31" fillId="9" borderId="0" xfId="0" applyFont="1" applyFill="1" applyBorder="1" applyAlignment="1">
      <alignment vertical="center"/>
    </xf>
    <xf numFmtId="0" fontId="32" fillId="3" borderId="0" xfId="0" applyFont="1" applyFill="1" applyBorder="1" applyAlignment="1">
      <alignment vertical="center"/>
    </xf>
    <xf numFmtId="0" fontId="31" fillId="3" borderId="0" xfId="0" applyFont="1" applyFill="1" applyBorder="1" applyAlignment="1">
      <alignment horizontal="center" vertical="center"/>
    </xf>
    <xf numFmtId="165" fontId="86" fillId="3" borderId="65" xfId="0" applyNumberFormat="1" applyFont="1" applyFill="1" applyBorder="1" applyAlignment="1">
      <alignment horizontal="right" vertical="center"/>
    </xf>
    <xf numFmtId="0" fontId="73" fillId="3" borderId="0" xfId="0" applyNumberFormat="1" applyFont="1" applyFill="1" applyBorder="1" applyAlignment="1">
      <alignment vertical="center" wrapText="1"/>
    </xf>
    <xf numFmtId="0" fontId="128" fillId="3" borderId="0" xfId="0" applyFont="1" applyFill="1" applyBorder="1" applyAlignment="1">
      <alignment horizontal="left" vertical="center" indent="1"/>
    </xf>
    <xf numFmtId="0" fontId="110" fillId="3" borderId="0" xfId="0" applyFont="1" applyFill="1" applyBorder="1" applyAlignment="1">
      <alignment horizontal="center" vertical="center"/>
    </xf>
    <xf numFmtId="0" fontId="50" fillId="9" borderId="0" xfId="0" applyFont="1" applyFill="1" applyBorder="1" applyAlignment="1">
      <alignment horizontal="left" vertical="center" indent="1"/>
    </xf>
    <xf numFmtId="10" fontId="31" fillId="3" borderId="0" xfId="0" applyNumberFormat="1" applyFont="1" applyFill="1" applyBorder="1" applyAlignment="1">
      <alignment horizontal="center" vertical="center"/>
    </xf>
    <xf numFmtId="165" fontId="86" fillId="9" borderId="0" xfId="0" applyNumberFormat="1" applyFont="1" applyFill="1" applyBorder="1" applyAlignment="1">
      <alignment horizontal="center" vertical="center"/>
    </xf>
    <xf numFmtId="3" fontId="86" fillId="3" borderId="0" xfId="0" applyNumberFormat="1" applyFont="1" applyFill="1" applyBorder="1" applyAlignment="1">
      <alignment horizontal="center" vertical="center"/>
    </xf>
    <xf numFmtId="0" fontId="88" fillId="9" borderId="65" xfId="0" applyNumberFormat="1" applyFont="1" applyFill="1" applyBorder="1" applyAlignment="1">
      <alignment horizontal="center" vertical="center" wrapText="1"/>
    </xf>
    <xf numFmtId="3" fontId="86" fillId="3" borderId="64" xfId="0" applyNumberFormat="1" applyFont="1" applyFill="1" applyBorder="1" applyAlignment="1">
      <alignment horizontal="center" vertical="center"/>
    </xf>
    <xf numFmtId="165" fontId="86" fillId="9" borderId="64" xfId="0" applyNumberFormat="1" applyFont="1" applyFill="1" applyBorder="1" applyAlignment="1">
      <alignment horizontal="center" vertical="center"/>
    </xf>
    <xf numFmtId="49" fontId="32" fillId="3" borderId="0" xfId="0" applyNumberFormat="1" applyFont="1" applyFill="1" applyBorder="1" applyAlignment="1">
      <alignment horizontal="left" vertical="center" wrapText="1" indent="1"/>
    </xf>
    <xf numFmtId="0" fontId="32" fillId="9" borderId="65" xfId="0" applyFont="1" applyFill="1" applyBorder="1" applyAlignment="1">
      <alignment horizontal="center" vertical="center"/>
    </xf>
    <xf numFmtId="0" fontId="72" fillId="3" borderId="63" xfId="0" applyFont="1" applyFill="1" applyBorder="1" applyAlignment="1">
      <alignment vertical="center"/>
    </xf>
    <xf numFmtId="0" fontId="72" fillId="3" borderId="52" xfId="0" applyFont="1" applyFill="1" applyBorder="1" applyAlignment="1">
      <alignment vertical="center"/>
    </xf>
    <xf numFmtId="0" fontId="94" fillId="3" borderId="58" xfId="0" applyFont="1" applyFill="1" applyBorder="1" applyAlignment="1">
      <alignment horizontal="left" vertical="center" indent="1"/>
    </xf>
    <xf numFmtId="0" fontId="94" fillId="3" borderId="0" xfId="0" applyFont="1" applyFill="1" applyBorder="1" applyAlignment="1">
      <alignment horizontal="left" vertical="center" indent="1"/>
    </xf>
    <xf numFmtId="0" fontId="110" fillId="3" borderId="0" xfId="0" applyFont="1" applyFill="1" applyBorder="1" applyAlignment="1">
      <alignment vertical="center"/>
    </xf>
    <xf numFmtId="0" fontId="130" fillId="3" borderId="0" xfId="0" applyFont="1" applyFill="1" applyBorder="1" applyAlignment="1">
      <alignment horizontal="right" vertical="center"/>
    </xf>
    <xf numFmtId="0" fontId="130" fillId="3" borderId="0" xfId="0" applyFont="1" applyFill="1" applyBorder="1" applyAlignment="1">
      <alignment horizontal="center" vertical="center"/>
    </xf>
    <xf numFmtId="0" fontId="130" fillId="3" borderId="0" xfId="0" applyFont="1" applyFill="1" applyBorder="1" applyAlignment="1">
      <alignment horizontal="center" vertical="center" wrapText="1"/>
    </xf>
    <xf numFmtId="165" fontId="73" fillId="3" borderId="0" xfId="0" applyNumberFormat="1" applyFont="1" applyFill="1" applyBorder="1" applyAlignment="1">
      <alignment vertical="center"/>
    </xf>
    <xf numFmtId="0" fontId="73" fillId="3" borderId="0" xfId="0" applyFont="1" applyFill="1" applyBorder="1" applyAlignment="1">
      <alignment vertical="center" wrapText="1"/>
    </xf>
    <xf numFmtId="0" fontId="86" fillId="3" borderId="0" xfId="216" applyFont="1" applyFill="1" applyBorder="1" applyAlignment="1">
      <alignment horizontal="center" vertical="center" wrapText="1"/>
    </xf>
    <xf numFmtId="0" fontId="86" fillId="3" borderId="0" xfId="0" applyFont="1" applyFill="1" applyBorder="1" applyAlignment="1">
      <alignment horizontal="left" indent="1"/>
    </xf>
    <xf numFmtId="0" fontId="127" fillId="3" borderId="0" xfId="0" applyFont="1" applyFill="1" applyBorder="1"/>
    <xf numFmtId="0" fontId="120" fillId="3" borderId="0" xfId="0" applyFont="1" applyFill="1" applyBorder="1"/>
    <xf numFmtId="164" fontId="73" fillId="3" borderId="0" xfId="0" applyNumberFormat="1" applyFont="1" applyFill="1" applyBorder="1" applyAlignment="1">
      <alignment vertical="center"/>
    </xf>
    <xf numFmtId="164" fontId="73" fillId="3" borderId="14" xfId="0" applyNumberFormat="1" applyFont="1" applyFill="1" applyBorder="1" applyAlignment="1">
      <alignment vertical="center"/>
    </xf>
    <xf numFmtId="164" fontId="86" fillId="3" borderId="14" xfId="0" applyNumberFormat="1" applyFont="1" applyFill="1" applyBorder="1" applyAlignment="1">
      <alignment vertical="center"/>
    </xf>
    <xf numFmtId="164" fontId="86" fillId="3" borderId="0" xfId="0" applyNumberFormat="1" applyFont="1" applyFill="1" applyBorder="1" applyAlignment="1">
      <alignment vertical="center"/>
    </xf>
    <xf numFmtId="164" fontId="73" fillId="3" borderId="14" xfId="0" applyNumberFormat="1" applyFont="1" applyFill="1" applyBorder="1" applyAlignment="1">
      <alignment horizontal="center" vertical="center"/>
    </xf>
    <xf numFmtId="164" fontId="86" fillId="3" borderId="0" xfId="0" applyNumberFormat="1" applyFont="1" applyFill="1" applyBorder="1" applyAlignment="1">
      <alignment horizontal="center" vertical="center" wrapText="1"/>
    </xf>
    <xf numFmtId="164" fontId="86" fillId="3" borderId="14" xfId="0" applyNumberFormat="1" applyFont="1" applyFill="1" applyBorder="1" applyAlignment="1">
      <alignment horizontal="center" vertical="center" wrapText="1"/>
    </xf>
    <xf numFmtId="164" fontId="73" fillId="9" borderId="4" xfId="0" applyNumberFormat="1" applyFont="1" applyFill="1" applyBorder="1" applyAlignment="1">
      <alignment horizontal="center" vertical="center"/>
    </xf>
    <xf numFmtId="164" fontId="73" fillId="9" borderId="5" xfId="0" applyNumberFormat="1" applyFont="1" applyFill="1" applyBorder="1" applyAlignment="1">
      <alignment horizontal="center" vertical="center"/>
    </xf>
    <xf numFmtId="164" fontId="86" fillId="9" borderId="6" xfId="0" applyNumberFormat="1" applyFont="1" applyFill="1" applyBorder="1" applyAlignment="1">
      <alignment vertical="center"/>
    </xf>
    <xf numFmtId="164" fontId="86" fillId="9" borderId="8" xfId="0" applyNumberFormat="1" applyFont="1" applyFill="1" applyBorder="1" applyAlignment="1">
      <alignment vertical="center"/>
    </xf>
    <xf numFmtId="164" fontId="73" fillId="3" borderId="0" xfId="0" applyNumberFormat="1" applyFont="1" applyFill="1" applyBorder="1" applyAlignment="1">
      <alignment horizontal="left" vertical="center" indent="1"/>
    </xf>
    <xf numFmtId="164" fontId="73" fillId="9" borderId="0" xfId="0" applyNumberFormat="1" applyFont="1" applyFill="1" applyBorder="1" applyAlignment="1">
      <alignment horizontal="center" vertical="center"/>
    </xf>
    <xf numFmtId="164" fontId="73" fillId="9" borderId="4" xfId="0" applyNumberFormat="1" applyFont="1" applyFill="1" applyBorder="1" applyAlignment="1">
      <alignment vertical="center"/>
    </xf>
    <xf numFmtId="164" fontId="73" fillId="9" borderId="0" xfId="0" applyNumberFormat="1" applyFont="1" applyFill="1" applyBorder="1" applyAlignment="1">
      <alignment vertical="center"/>
    </xf>
    <xf numFmtId="164" fontId="73" fillId="9" borderId="5" xfId="0" applyNumberFormat="1" applyFont="1" applyFill="1" applyBorder="1" applyAlignment="1">
      <alignment vertical="center"/>
    </xf>
    <xf numFmtId="0" fontId="86" fillId="9" borderId="6" xfId="0" applyFont="1" applyFill="1" applyBorder="1" applyAlignment="1">
      <alignment vertical="center"/>
    </xf>
    <xf numFmtId="0" fontId="86" fillId="9" borderId="8" xfId="0" applyFont="1" applyFill="1" applyBorder="1" applyAlignment="1">
      <alignment vertical="center"/>
    </xf>
    <xf numFmtId="194" fontId="86" fillId="9" borderId="6" xfId="0" applyNumberFormat="1" applyFont="1" applyFill="1" applyBorder="1" applyAlignment="1">
      <alignment vertical="center"/>
    </xf>
    <xf numFmtId="194" fontId="86" fillId="9" borderId="7" xfId="0" applyNumberFormat="1" applyFont="1" applyFill="1" applyBorder="1" applyAlignment="1">
      <alignment vertical="center"/>
    </xf>
    <xf numFmtId="194" fontId="86" fillId="9" borderId="8" xfId="0" applyNumberFormat="1" applyFont="1" applyFill="1" applyBorder="1" applyAlignment="1">
      <alignment vertical="center"/>
    </xf>
    <xf numFmtId="164" fontId="86" fillId="9" borderId="7" xfId="0" applyNumberFormat="1" applyFont="1" applyFill="1" applyBorder="1" applyAlignment="1">
      <alignment vertical="center"/>
    </xf>
    <xf numFmtId="0" fontId="86" fillId="3" borderId="14" xfId="0" applyFont="1" applyFill="1" applyBorder="1" applyAlignment="1">
      <alignment vertical="center"/>
    </xf>
    <xf numFmtId="0" fontId="73" fillId="9" borderId="4" xfId="0" applyFont="1" applyFill="1" applyBorder="1" applyAlignment="1">
      <alignment horizontal="center" vertical="center"/>
    </xf>
    <xf numFmtId="165" fontId="73" fillId="9" borderId="5" xfId="0" applyNumberFormat="1" applyFont="1" applyFill="1" applyBorder="1" applyAlignment="1">
      <alignment horizontal="center" vertical="center"/>
    </xf>
    <xf numFmtId="194" fontId="73" fillId="3" borderId="4" xfId="0" applyNumberFormat="1" applyFont="1" applyFill="1" applyBorder="1" applyAlignment="1">
      <alignment horizontal="center" vertical="center"/>
    </xf>
    <xf numFmtId="194" fontId="73" fillId="3" borderId="0" xfId="0" applyNumberFormat="1" applyFont="1" applyFill="1" applyBorder="1" applyAlignment="1">
      <alignment horizontal="center" vertical="center"/>
    </xf>
    <xf numFmtId="194" fontId="73" fillId="3" borderId="5" xfId="0" applyNumberFormat="1" applyFont="1" applyFill="1" applyBorder="1" applyAlignment="1">
      <alignment horizontal="center" vertical="center"/>
    </xf>
    <xf numFmtId="180" fontId="81" fillId="3" borderId="0" xfId="0" applyNumberFormat="1" applyFont="1" applyFill="1" applyBorder="1" applyAlignment="1">
      <alignment vertical="center"/>
    </xf>
    <xf numFmtId="49" fontId="32" fillId="3" borderId="0" xfId="0" applyNumberFormat="1" applyFont="1" applyFill="1" applyBorder="1" applyAlignment="1">
      <alignment vertical="center" wrapText="1"/>
    </xf>
    <xf numFmtId="0" fontId="76" fillId="52" borderId="13" xfId="0" applyFont="1" applyFill="1" applyBorder="1"/>
    <xf numFmtId="0" fontId="76" fillId="52" borderId="0" xfId="0" applyFont="1" applyFill="1" applyBorder="1" applyAlignment="1">
      <alignment horizontal="center" wrapText="1"/>
    </xf>
    <xf numFmtId="0" fontId="76" fillId="52" borderId="0" xfId="0" applyFont="1" applyFill="1" applyBorder="1" applyAlignment="1">
      <alignment horizontal="right" wrapText="1"/>
    </xf>
    <xf numFmtId="0" fontId="76" fillId="52" borderId="0" xfId="0" applyFont="1" applyFill="1" applyBorder="1" applyAlignment="1" applyProtection="1">
      <alignment horizontal="center"/>
      <protection hidden="1"/>
    </xf>
    <xf numFmtId="0" fontId="76" fillId="52" borderId="14" xfId="0" applyFont="1" applyFill="1" applyBorder="1"/>
    <xf numFmtId="0" fontId="102" fillId="52" borderId="0" xfId="0" applyFont="1" applyFill="1" applyBorder="1" applyAlignment="1">
      <alignment horizontal="center"/>
    </xf>
    <xf numFmtId="0" fontId="76" fillId="52" borderId="0" xfId="0" applyFont="1" applyFill="1" applyBorder="1" applyAlignment="1">
      <alignment horizontal="right"/>
    </xf>
    <xf numFmtId="0" fontId="76" fillId="52" borderId="0" xfId="0" applyFont="1" applyFill="1" applyBorder="1" applyAlignment="1"/>
    <xf numFmtId="0" fontId="76" fillId="52" borderId="0" xfId="0" quotePrefix="1" applyFont="1" applyFill="1" applyBorder="1" applyAlignment="1" applyProtection="1">
      <alignment horizontal="center"/>
      <protection hidden="1"/>
    </xf>
    <xf numFmtId="0" fontId="76" fillId="52" borderId="45" xfId="0" applyFont="1" applyFill="1" applyBorder="1"/>
    <xf numFmtId="0" fontId="76" fillId="52" borderId="46" xfId="0" applyFont="1" applyFill="1" applyBorder="1"/>
    <xf numFmtId="0" fontId="76" fillId="52" borderId="46" xfId="0" applyFont="1" applyFill="1" applyBorder="1" applyAlignment="1">
      <alignment vertical="center" wrapText="1"/>
    </xf>
    <xf numFmtId="0" fontId="76" fillId="52" borderId="46" xfId="0" quotePrefix="1" applyFont="1" applyFill="1" applyBorder="1" applyProtection="1">
      <protection hidden="1"/>
    </xf>
    <xf numFmtId="0" fontId="76" fillId="52" borderId="47" xfId="0" applyFont="1" applyFill="1" applyBorder="1"/>
    <xf numFmtId="0" fontId="86" fillId="3" borderId="0" xfId="0" applyFont="1" applyFill="1" applyBorder="1" applyAlignment="1">
      <alignment horizontal="center" vertical="center"/>
    </xf>
    <xf numFmtId="0" fontId="31" fillId="3" borderId="0" xfId="0" applyFont="1" applyFill="1" applyBorder="1"/>
    <xf numFmtId="169" fontId="0" fillId="3" borderId="0" xfId="0" applyNumberFormat="1" applyFill="1" applyBorder="1" applyAlignment="1">
      <alignment vertical="top"/>
    </xf>
    <xf numFmtId="2" fontId="141" fillId="2" borderId="15" xfId="0" applyNumberFormat="1" applyFont="1" applyFill="1" applyBorder="1" applyAlignment="1">
      <alignment vertical="top"/>
    </xf>
    <xf numFmtId="0" fontId="126" fillId="3" borderId="0" xfId="0" applyFont="1" applyFill="1" applyBorder="1" applyAlignment="1">
      <alignment vertical="center"/>
    </xf>
    <xf numFmtId="0" fontId="132" fillId="3" borderId="0" xfId="0" applyFont="1" applyFill="1" applyBorder="1" applyAlignment="1">
      <alignment horizontal="center" vertical="center"/>
    </xf>
    <xf numFmtId="0" fontId="74" fillId="3" borderId="0" xfId="3199" applyFont="1" applyFill="1" applyBorder="1" applyAlignment="1">
      <alignment horizontal="left" vertical="center" indent="1"/>
    </xf>
    <xf numFmtId="0" fontId="88" fillId="3" borderId="105" xfId="0" applyNumberFormat="1" applyFont="1" applyFill="1" applyBorder="1" applyAlignment="1">
      <alignment horizontal="right" vertical="center" wrapText="1"/>
    </xf>
    <xf numFmtId="192" fontId="86" fillId="3" borderId="106" xfId="0" applyNumberFormat="1" applyFont="1" applyFill="1" applyBorder="1" applyAlignment="1">
      <alignment horizontal="center" vertical="center" wrapText="1"/>
    </xf>
    <xf numFmtId="0" fontId="86" fillId="3" borderId="105" xfId="0" applyNumberFormat="1" applyFont="1" applyFill="1" applyBorder="1" applyAlignment="1">
      <alignment horizontal="right" vertical="center"/>
    </xf>
    <xf numFmtId="192" fontId="73" fillId="3" borderId="106" xfId="0" applyNumberFormat="1" applyFont="1" applyFill="1" applyBorder="1" applyAlignment="1">
      <alignment horizontal="center" vertical="center"/>
    </xf>
    <xf numFmtId="0" fontId="86" fillId="9" borderId="105" xfId="0" applyNumberFormat="1" applyFont="1" applyFill="1" applyBorder="1" applyAlignment="1">
      <alignment horizontal="right" vertical="center" wrapText="1"/>
    </xf>
    <xf numFmtId="0" fontId="86" fillId="9" borderId="106" xfId="0" applyNumberFormat="1" applyFont="1" applyFill="1" applyBorder="1" applyAlignment="1">
      <alignment horizontal="center" vertical="center" wrapText="1"/>
    </xf>
    <xf numFmtId="0" fontId="142" fillId="3" borderId="13" xfId="0" applyFont="1" applyFill="1" applyBorder="1" applyAlignment="1">
      <alignment horizontal="center" vertical="center"/>
    </xf>
    <xf numFmtId="0" fontId="142" fillId="3" borderId="0" xfId="0" applyFont="1" applyFill="1" applyBorder="1" applyAlignment="1">
      <alignment horizontal="center" vertical="center"/>
    </xf>
    <xf numFmtId="0" fontId="142" fillId="3" borderId="14" xfId="0" applyFont="1" applyFill="1" applyBorder="1" applyAlignment="1">
      <alignment horizontal="center" vertical="center"/>
    </xf>
    <xf numFmtId="0" fontId="32" fillId="3" borderId="0" xfId="0" applyNumberFormat="1" applyFont="1" applyFill="1" applyBorder="1" applyAlignment="1">
      <alignment vertical="center" wrapText="1"/>
    </xf>
    <xf numFmtId="0" fontId="86" fillId="3" borderId="102" xfId="219" applyFont="1" applyFill="1" applyBorder="1" applyAlignment="1">
      <alignment horizontal="right" vertical="center"/>
    </xf>
    <xf numFmtId="0" fontId="86" fillId="3" borderId="107" xfId="0" applyFont="1" applyFill="1" applyBorder="1" applyAlignment="1">
      <alignment horizontal="center" vertical="center"/>
    </xf>
    <xf numFmtId="0" fontId="126" fillId="3" borderId="0" xfId="3199" applyFont="1" applyFill="1" applyBorder="1" applyAlignment="1">
      <alignment vertical="center"/>
    </xf>
    <xf numFmtId="0" fontId="32" fillId="3" borderId="0" xfId="0" applyNumberFormat="1" applyFont="1" applyFill="1" applyBorder="1" applyAlignment="1">
      <alignment horizontal="left" vertical="center" wrapText="1" indent="1"/>
    </xf>
    <xf numFmtId="0" fontId="126" fillId="3" borderId="13" xfId="3199" applyFont="1" applyFill="1" applyBorder="1" applyAlignment="1">
      <alignment horizontal="left" vertical="center" indent="1"/>
    </xf>
    <xf numFmtId="0" fontId="73" fillId="3" borderId="108" xfId="0" applyFont="1" applyFill="1" applyBorder="1" applyAlignment="1">
      <alignment vertical="center"/>
    </xf>
    <xf numFmtId="213" fontId="73" fillId="3" borderId="0" xfId="0" applyNumberFormat="1" applyFont="1" applyFill="1" applyBorder="1" applyAlignment="1">
      <alignment horizontal="center" vertical="center"/>
    </xf>
    <xf numFmtId="0" fontId="86" fillId="3" borderId="0" xfId="0" applyFont="1" applyFill="1" applyBorder="1" applyAlignment="1">
      <alignment horizontal="left" vertical="center" indent="1"/>
    </xf>
    <xf numFmtId="213" fontId="86" fillId="3" borderId="0" xfId="0" applyNumberFormat="1" applyFont="1" applyFill="1" applyBorder="1" applyAlignment="1">
      <alignment horizontal="center" vertical="center"/>
    </xf>
    <xf numFmtId="0" fontId="73" fillId="3" borderId="0" xfId="0" applyFont="1" applyFill="1" applyBorder="1" applyAlignment="1">
      <alignment horizontal="left" vertical="center" indent="3"/>
    </xf>
    <xf numFmtId="0" fontId="86" fillId="9" borderId="0" xfId="0" applyFont="1" applyFill="1" applyBorder="1" applyAlignment="1">
      <alignment vertical="center"/>
    </xf>
    <xf numFmtId="0" fontId="0" fillId="3" borderId="0" xfId="0" applyFill="1" applyBorder="1"/>
    <xf numFmtId="0" fontId="98" fillId="53" borderId="0" xfId="0" applyFont="1" applyFill="1" applyBorder="1" applyAlignment="1">
      <alignment horizontal="left" vertical="center" indent="1"/>
    </xf>
    <xf numFmtId="0" fontId="75" fillId="53" borderId="0" xfId="0" applyFont="1" applyFill="1" applyBorder="1" applyAlignment="1">
      <alignment horizontal="center" vertical="center"/>
    </xf>
    <xf numFmtId="0" fontId="98" fillId="53" borderId="0" xfId="0" applyFont="1" applyFill="1" applyBorder="1" applyAlignment="1">
      <alignment horizontal="left" vertical="center"/>
    </xf>
    <xf numFmtId="4" fontId="73" fillId="9" borderId="83" xfId="0" applyNumberFormat="1" applyFont="1" applyFill="1" applyBorder="1" applyAlignment="1">
      <alignment horizontal="center" vertical="center"/>
    </xf>
    <xf numFmtId="4" fontId="73" fillId="3" borderId="83" xfId="0" applyNumberFormat="1" applyFont="1" applyFill="1" applyBorder="1" applyAlignment="1">
      <alignment horizontal="center" vertical="center"/>
    </xf>
    <xf numFmtId="4" fontId="86" fillId="3" borderId="83" xfId="0" applyNumberFormat="1" applyFont="1" applyFill="1" applyBorder="1" applyAlignment="1">
      <alignment horizontal="center" vertical="center"/>
    </xf>
    <xf numFmtId="4" fontId="86" fillId="9" borderId="83" xfId="0" applyNumberFormat="1" applyFont="1" applyFill="1" applyBorder="1" applyAlignment="1">
      <alignment horizontal="center" vertical="center"/>
    </xf>
    <xf numFmtId="4" fontId="73" fillId="3" borderId="81" xfId="0" applyNumberFormat="1" applyFont="1" applyFill="1" applyBorder="1" applyAlignment="1">
      <alignment horizontal="center" vertical="center"/>
    </xf>
    <xf numFmtId="4" fontId="73" fillId="3" borderId="84" xfId="0" applyNumberFormat="1" applyFont="1" applyFill="1" applyBorder="1" applyAlignment="1">
      <alignment horizontal="center" vertical="center"/>
    </xf>
    <xf numFmtId="4" fontId="73" fillId="3" borderId="116" xfId="0" applyNumberFormat="1" applyFont="1" applyFill="1" applyBorder="1" applyAlignment="1">
      <alignment horizontal="center" vertical="center"/>
    </xf>
    <xf numFmtId="4" fontId="73" fillId="3" borderId="115" xfId="0" applyNumberFormat="1" applyFont="1" applyFill="1" applyBorder="1" applyAlignment="1">
      <alignment horizontal="center" vertical="center"/>
    </xf>
    <xf numFmtId="4" fontId="73" fillId="3" borderId="0" xfId="0" applyNumberFormat="1" applyFont="1" applyFill="1" applyAlignment="1">
      <alignment horizontal="center" vertical="center"/>
    </xf>
    <xf numFmtId="4" fontId="73" fillId="0" borderId="0" xfId="0" applyNumberFormat="1" applyFont="1" applyAlignment="1">
      <alignment horizontal="center" vertical="center"/>
    </xf>
    <xf numFmtId="4" fontId="75" fillId="43" borderId="29" xfId="0" applyNumberFormat="1" applyFont="1" applyFill="1" applyBorder="1" applyAlignment="1">
      <alignment horizontal="center" vertical="center"/>
    </xf>
    <xf numFmtId="4" fontId="75" fillId="43" borderId="44" xfId="0" applyNumberFormat="1" applyFont="1" applyFill="1" applyBorder="1" applyAlignment="1">
      <alignment horizontal="center" vertical="center"/>
    </xf>
    <xf numFmtId="4" fontId="73" fillId="3" borderId="13" xfId="0" applyNumberFormat="1" applyFont="1" applyFill="1" applyBorder="1" applyAlignment="1">
      <alignment horizontal="center" vertical="center"/>
    </xf>
    <xf numFmtId="4" fontId="73" fillId="3" borderId="14" xfId="0" applyNumberFormat="1" applyFont="1" applyFill="1" applyBorder="1" applyAlignment="1">
      <alignment horizontal="center" vertical="center"/>
    </xf>
    <xf numFmtId="4" fontId="75" fillId="44" borderId="13" xfId="0" applyNumberFormat="1" applyFont="1" applyFill="1" applyBorder="1" applyAlignment="1">
      <alignment horizontal="center" vertical="center"/>
    </xf>
    <xf numFmtId="4" fontId="133" fillId="44" borderId="0" xfId="0" applyNumberFormat="1" applyFont="1" applyFill="1" applyBorder="1" applyAlignment="1">
      <alignment horizontal="center" vertical="center"/>
    </xf>
    <xf numFmtId="4" fontId="75" fillId="3" borderId="13" xfId="0" applyNumberFormat="1" applyFont="1" applyFill="1" applyBorder="1" applyAlignment="1">
      <alignment horizontal="center" vertical="center"/>
    </xf>
    <xf numFmtId="4" fontId="98" fillId="47" borderId="0" xfId="0" applyNumberFormat="1" applyFont="1" applyFill="1" applyBorder="1" applyAlignment="1">
      <alignment horizontal="center" vertical="center"/>
    </xf>
    <xf numFmtId="4" fontId="86" fillId="3" borderId="79" xfId="0" applyNumberFormat="1" applyFont="1" applyFill="1" applyBorder="1" applyAlignment="1">
      <alignment horizontal="center" vertical="center"/>
    </xf>
    <xf numFmtId="4" fontId="86" fillId="3" borderId="78" xfId="0" applyNumberFormat="1" applyFont="1" applyFill="1" applyBorder="1" applyAlignment="1">
      <alignment horizontal="center" vertical="center"/>
    </xf>
    <xf numFmtId="4" fontId="86" fillId="0" borderId="77" xfId="0" applyNumberFormat="1" applyFont="1" applyBorder="1" applyAlignment="1">
      <alignment horizontal="center" vertical="center"/>
    </xf>
    <xf numFmtId="4" fontId="96" fillId="3" borderId="79" xfId="0" applyNumberFormat="1" applyFont="1" applyFill="1" applyBorder="1" applyAlignment="1">
      <alignment horizontal="center" vertical="center"/>
    </xf>
    <xf numFmtId="4" fontId="86" fillId="3" borderId="80" xfId="0" applyNumberFormat="1" applyFont="1" applyFill="1" applyBorder="1" applyAlignment="1">
      <alignment horizontal="center" vertical="center"/>
    </xf>
    <xf numFmtId="4" fontId="86" fillId="3" borderId="79" xfId="0" applyNumberFormat="1" applyFont="1" applyFill="1" applyBorder="1" applyAlignment="1">
      <alignment horizontal="center" vertical="center" wrapText="1"/>
    </xf>
    <xf numFmtId="4" fontId="86" fillId="3" borderId="78" xfId="0" applyNumberFormat="1" applyFont="1" applyFill="1" applyBorder="1" applyAlignment="1">
      <alignment horizontal="center" vertical="center" wrapText="1"/>
    </xf>
    <xf numFmtId="4" fontId="73" fillId="3" borderId="0" xfId="0" applyNumberFormat="1" applyFont="1" applyFill="1" applyBorder="1" applyAlignment="1">
      <alignment horizontal="center" vertical="center" wrapText="1"/>
    </xf>
    <xf numFmtId="4" fontId="110" fillId="3" borderId="0" xfId="0" applyNumberFormat="1" applyFont="1" applyFill="1" applyBorder="1" applyAlignment="1">
      <alignment horizontal="center" vertical="center"/>
    </xf>
    <xf numFmtId="4" fontId="98" fillId="3" borderId="0" xfId="0" applyNumberFormat="1" applyFont="1" applyFill="1" applyBorder="1" applyAlignment="1">
      <alignment horizontal="center" vertical="center"/>
    </xf>
    <xf numFmtId="4" fontId="80" fillId="3" borderId="0" xfId="0" applyNumberFormat="1" applyFont="1" applyFill="1" applyBorder="1" applyAlignment="1">
      <alignment horizontal="center" vertical="center"/>
    </xf>
    <xf numFmtId="4" fontId="107" fillId="3" borderId="0" xfId="0" applyNumberFormat="1" applyFont="1" applyFill="1" applyBorder="1" applyAlignment="1">
      <alignment horizontal="center" vertical="center"/>
    </xf>
    <xf numFmtId="4" fontId="106" fillId="3" borderId="0" xfId="0" applyNumberFormat="1" applyFont="1" applyFill="1" applyBorder="1" applyAlignment="1">
      <alignment horizontal="center" vertical="center"/>
    </xf>
    <xf numFmtId="4" fontId="86" fillId="9" borderId="0" xfId="0" applyNumberFormat="1" applyFont="1" applyFill="1" applyBorder="1" applyAlignment="1">
      <alignment horizontal="center" vertical="center"/>
    </xf>
    <xf numFmtId="4" fontId="86" fillId="9" borderId="81" xfId="0" applyNumberFormat="1" applyFont="1" applyFill="1" applyBorder="1" applyAlignment="1">
      <alignment horizontal="center" vertical="center"/>
    </xf>
    <xf numFmtId="4" fontId="86" fillId="9" borderId="82" xfId="0" applyNumberFormat="1" applyFont="1" applyFill="1" applyBorder="1" applyAlignment="1">
      <alignment horizontal="center" vertical="center"/>
    </xf>
    <xf numFmtId="4" fontId="86" fillId="9" borderId="84" xfId="0" applyNumberFormat="1" applyFont="1" applyFill="1" applyBorder="1" applyAlignment="1">
      <alignment horizontal="center" vertical="center"/>
    </xf>
    <xf numFmtId="4" fontId="73" fillId="3" borderId="79" xfId="0" applyNumberFormat="1" applyFont="1" applyFill="1" applyBorder="1" applyAlignment="1">
      <alignment horizontal="center" vertical="center"/>
    </xf>
    <xf numFmtId="4" fontId="73" fillId="3" borderId="78" xfId="0" applyNumberFormat="1" applyFont="1" applyFill="1" applyBorder="1" applyAlignment="1">
      <alignment horizontal="center" vertical="center"/>
    </xf>
    <xf numFmtId="4" fontId="73" fillId="3" borderId="0" xfId="3090" applyNumberFormat="1" applyFont="1" applyFill="1" applyBorder="1" applyAlignment="1">
      <alignment horizontal="center" vertical="center"/>
    </xf>
    <xf numFmtId="4" fontId="73" fillId="3" borderId="81" xfId="0" applyNumberFormat="1" applyFont="1" applyFill="1" applyBorder="1" applyAlignment="1">
      <alignment horizontal="center" vertical="center" wrapText="1"/>
    </xf>
    <xf numFmtId="4" fontId="86" fillId="3" borderId="79" xfId="11" applyNumberFormat="1" applyFont="1" applyFill="1" applyBorder="1" applyAlignment="1">
      <alignment horizontal="center" vertical="center" wrapText="1"/>
    </xf>
    <xf numFmtId="4" fontId="86" fillId="3" borderId="79" xfId="11" applyNumberFormat="1" applyFont="1" applyFill="1" applyBorder="1" applyAlignment="1">
      <alignment horizontal="center" vertical="center"/>
    </xf>
    <xf numFmtId="4" fontId="86" fillId="3" borderId="78" xfId="11" applyNumberFormat="1" applyFont="1" applyFill="1" applyBorder="1" applyAlignment="1">
      <alignment horizontal="center" vertical="center"/>
    </xf>
    <xf numFmtId="4" fontId="82" fillId="3" borderId="0" xfId="0" applyNumberFormat="1" applyFont="1" applyFill="1" applyBorder="1" applyAlignment="1">
      <alignment horizontal="center" vertical="center"/>
    </xf>
    <xf numFmtId="4" fontId="73" fillId="9" borderId="79" xfId="0" applyNumberFormat="1" applyFont="1" applyFill="1" applyBorder="1" applyAlignment="1">
      <alignment horizontal="center" vertical="center"/>
    </xf>
    <xf numFmtId="4" fontId="73" fillId="9" borderId="78" xfId="0" applyNumberFormat="1" applyFont="1" applyFill="1" applyBorder="1" applyAlignment="1">
      <alignment horizontal="center" vertical="center"/>
    </xf>
    <xf numFmtId="4" fontId="73" fillId="9" borderId="0" xfId="0" applyNumberFormat="1" applyFont="1" applyFill="1" applyBorder="1" applyAlignment="1">
      <alignment horizontal="center" vertical="center"/>
    </xf>
    <xf numFmtId="4" fontId="73" fillId="9" borderId="81" xfId="0" applyNumberFormat="1" applyFont="1" applyFill="1" applyBorder="1" applyAlignment="1">
      <alignment horizontal="center" vertical="center"/>
    </xf>
    <xf numFmtId="4" fontId="81" fillId="3" borderId="0" xfId="0" applyNumberFormat="1" applyFont="1" applyFill="1" applyBorder="1" applyAlignment="1">
      <alignment horizontal="center" vertical="center"/>
    </xf>
    <xf numFmtId="4" fontId="86" fillId="3" borderId="112" xfId="0" applyNumberFormat="1" applyFont="1" applyFill="1" applyBorder="1" applyAlignment="1">
      <alignment horizontal="center" vertical="center"/>
    </xf>
    <xf numFmtId="4" fontId="86" fillId="3" borderId="113" xfId="0" applyNumberFormat="1" applyFont="1" applyFill="1" applyBorder="1" applyAlignment="1">
      <alignment horizontal="center" vertical="center"/>
    </xf>
    <xf numFmtId="4" fontId="86" fillId="3" borderId="114" xfId="0" applyNumberFormat="1" applyFont="1" applyFill="1" applyBorder="1" applyAlignment="1">
      <alignment horizontal="center" vertical="center"/>
    </xf>
    <xf numFmtId="4" fontId="32" fillId="3" borderId="0" xfId="0" applyNumberFormat="1" applyFont="1" applyFill="1" applyBorder="1" applyAlignment="1">
      <alignment horizontal="center" vertical="center" wrapText="1"/>
    </xf>
    <xf numFmtId="4" fontId="73" fillId="9" borderId="84" xfId="0" applyNumberFormat="1" applyFont="1" applyFill="1" applyBorder="1" applyAlignment="1">
      <alignment horizontal="center" vertical="center"/>
    </xf>
    <xf numFmtId="4" fontId="80" fillId="2" borderId="15" xfId="0" applyNumberFormat="1" applyFont="1" applyFill="1" applyBorder="1" applyAlignment="1">
      <alignment horizontal="center" vertical="center"/>
    </xf>
    <xf numFmtId="4" fontId="113" fillId="3" borderId="0" xfId="0" applyNumberFormat="1" applyFont="1" applyFill="1" applyBorder="1" applyAlignment="1">
      <alignment horizontal="center" vertical="center"/>
    </xf>
    <xf numFmtId="4" fontId="86" fillId="3" borderId="0" xfId="0" applyNumberFormat="1" applyFont="1" applyFill="1" applyBorder="1" applyAlignment="1">
      <alignment horizontal="center" vertical="center" wrapText="1"/>
    </xf>
    <xf numFmtId="4" fontId="32" fillId="3" borderId="83" xfId="0" applyNumberFormat="1" applyFont="1" applyFill="1" applyBorder="1" applyAlignment="1">
      <alignment horizontal="center" vertical="center"/>
    </xf>
    <xf numFmtId="4" fontId="32" fillId="3" borderId="84" xfId="0" applyNumberFormat="1" applyFont="1" applyFill="1" applyBorder="1" applyAlignment="1">
      <alignment horizontal="center" vertical="center"/>
    </xf>
    <xf numFmtId="4" fontId="32" fillId="3" borderId="0" xfId="0" applyNumberFormat="1" applyFont="1" applyFill="1" applyBorder="1" applyAlignment="1">
      <alignment horizontal="center" vertical="center"/>
    </xf>
    <xf numFmtId="4" fontId="115" fillId="3" borderId="0" xfId="0" applyNumberFormat="1" applyFont="1" applyFill="1" applyBorder="1" applyAlignment="1">
      <alignment horizontal="center" vertical="center"/>
    </xf>
    <xf numFmtId="4" fontId="116" fillId="3" borderId="0" xfId="0" applyNumberFormat="1" applyFont="1" applyFill="1" applyBorder="1" applyAlignment="1">
      <alignment horizontal="center" vertical="center"/>
    </xf>
    <xf numFmtId="4" fontId="73" fillId="3" borderId="15" xfId="0" applyNumberFormat="1" applyFont="1" applyFill="1" applyBorder="1" applyAlignment="1">
      <alignment horizontal="center" vertical="center"/>
    </xf>
    <xf numFmtId="4" fontId="73" fillId="3" borderId="14" xfId="0" applyNumberFormat="1" applyFont="1" applyFill="1" applyBorder="1" applyAlignment="1">
      <alignment horizontal="center" vertical="center" wrapText="1"/>
    </xf>
    <xf numFmtId="4" fontId="86" fillId="3" borderId="13" xfId="0" applyNumberFormat="1" applyFont="1" applyFill="1" applyBorder="1" applyAlignment="1">
      <alignment horizontal="center" vertical="center"/>
    </xf>
    <xf numFmtId="4" fontId="73" fillId="3" borderId="83" xfId="0" applyNumberFormat="1" applyFont="1" applyFill="1" applyBorder="1" applyAlignment="1">
      <alignment horizontal="center" vertical="center" wrapText="1"/>
    </xf>
    <xf numFmtId="4" fontId="73" fillId="3" borderId="84" xfId="0" applyNumberFormat="1" applyFont="1" applyFill="1" applyBorder="1" applyAlignment="1">
      <alignment horizontal="center" vertical="center" wrapText="1"/>
    </xf>
    <xf numFmtId="4" fontId="86" fillId="3" borderId="116" xfId="0" applyNumberFormat="1" applyFont="1" applyFill="1" applyBorder="1" applyAlignment="1">
      <alignment horizontal="center" vertical="center"/>
    </xf>
    <xf numFmtId="4" fontId="86" fillId="3" borderId="118" xfId="0" applyNumberFormat="1" applyFont="1" applyFill="1" applyBorder="1" applyAlignment="1">
      <alignment horizontal="center" vertical="center"/>
    </xf>
    <xf numFmtId="4" fontId="86" fillId="3" borderId="119" xfId="0" applyNumberFormat="1" applyFont="1" applyFill="1" applyBorder="1" applyAlignment="1">
      <alignment horizontal="center" vertical="center"/>
    </xf>
    <xf numFmtId="4" fontId="86" fillId="3" borderId="113" xfId="0" applyNumberFormat="1" applyFont="1" applyFill="1" applyBorder="1" applyAlignment="1">
      <alignment horizontal="center" vertical="center" wrapText="1"/>
    </xf>
    <xf numFmtId="4" fontId="86" fillId="3" borderId="114" xfId="0" applyNumberFormat="1" applyFont="1" applyFill="1" applyBorder="1" applyAlignment="1">
      <alignment horizontal="center" vertical="center" wrapText="1"/>
    </xf>
    <xf numFmtId="4" fontId="86" fillId="3" borderId="113" xfId="11" applyNumberFormat="1" applyFont="1" applyFill="1" applyBorder="1" applyAlignment="1">
      <alignment horizontal="center" vertical="center" wrapText="1"/>
    </xf>
    <xf numFmtId="4" fontId="86" fillId="3" borderId="113" xfId="11" applyNumberFormat="1" applyFont="1" applyFill="1" applyBorder="1" applyAlignment="1">
      <alignment horizontal="center" vertical="center"/>
    </xf>
    <xf numFmtId="4" fontId="86" fillId="3" borderId="114" xfId="11" applyNumberFormat="1" applyFont="1" applyFill="1" applyBorder="1" applyAlignment="1">
      <alignment horizontal="center" vertical="center"/>
    </xf>
    <xf numFmtId="4" fontId="73" fillId="3" borderId="117" xfId="0" applyNumberFormat="1" applyFont="1" applyFill="1" applyBorder="1" applyAlignment="1">
      <alignment horizontal="center" vertical="center"/>
    </xf>
    <xf numFmtId="4" fontId="86" fillId="9" borderId="118" xfId="0" applyNumberFormat="1" applyFont="1" applyFill="1" applyBorder="1" applyAlignment="1">
      <alignment horizontal="center" vertical="center"/>
    </xf>
    <xf numFmtId="4" fontId="86" fillId="9" borderId="119" xfId="0" applyNumberFormat="1" applyFont="1" applyFill="1" applyBorder="1" applyAlignment="1">
      <alignment horizontal="center" vertical="center"/>
    </xf>
    <xf numFmtId="4" fontId="80" fillId="2" borderId="0" xfId="0" applyNumberFormat="1" applyFont="1" applyFill="1" applyBorder="1" applyAlignment="1">
      <alignment horizontal="center" vertical="center"/>
    </xf>
    <xf numFmtId="4" fontId="73" fillId="44" borderId="0" xfId="0" applyNumberFormat="1" applyFont="1" applyFill="1" applyBorder="1" applyAlignment="1">
      <alignment horizontal="center" vertical="center"/>
    </xf>
    <xf numFmtId="4" fontId="117" fillId="3" borderId="0" xfId="0" applyNumberFormat="1" applyFont="1" applyFill="1" applyBorder="1" applyAlignment="1">
      <alignment horizontal="center" vertical="center"/>
    </xf>
    <xf numFmtId="4" fontId="86" fillId="3" borderId="84" xfId="0" applyNumberFormat="1" applyFont="1" applyFill="1" applyBorder="1" applyAlignment="1">
      <alignment horizontal="center" vertical="center"/>
    </xf>
    <xf numFmtId="4" fontId="73" fillId="3" borderId="0" xfId="2" applyNumberFormat="1" applyFont="1" applyFill="1" applyBorder="1" applyAlignment="1">
      <alignment horizontal="center" vertical="center"/>
    </xf>
    <xf numFmtId="4" fontId="86" fillId="3" borderId="81" xfId="0" applyNumberFormat="1" applyFont="1" applyFill="1" applyBorder="1" applyAlignment="1">
      <alignment horizontal="center" vertical="center" wrapText="1"/>
    </xf>
    <xf numFmtId="4" fontId="97" fillId="3" borderId="79" xfId="0" applyNumberFormat="1" applyFont="1" applyFill="1" applyBorder="1" applyAlignment="1">
      <alignment horizontal="center" vertical="center"/>
    </xf>
    <xf numFmtId="4" fontId="73" fillId="9" borderId="116" xfId="0" applyNumberFormat="1" applyFont="1" applyFill="1" applyBorder="1" applyAlignment="1">
      <alignment horizontal="center" vertical="center"/>
    </xf>
    <xf numFmtId="4" fontId="73" fillId="9" borderId="118" xfId="0" applyNumberFormat="1" applyFont="1" applyFill="1" applyBorder="1" applyAlignment="1">
      <alignment horizontal="center" vertical="center"/>
    </xf>
    <xf numFmtId="4" fontId="73" fillId="9" borderId="119" xfId="0" applyNumberFormat="1" applyFont="1" applyFill="1" applyBorder="1" applyAlignment="1">
      <alignment horizontal="center" vertical="center"/>
    </xf>
    <xf numFmtId="4" fontId="80" fillId="3" borderId="15" xfId="0" applyNumberFormat="1" applyFont="1" applyFill="1" applyBorder="1" applyAlignment="1">
      <alignment horizontal="center" vertical="center"/>
    </xf>
    <xf numFmtId="4" fontId="73" fillId="3" borderId="109" xfId="0" applyNumberFormat="1" applyFont="1" applyFill="1" applyBorder="1" applyAlignment="1">
      <alignment horizontal="center" vertical="center"/>
    </xf>
    <xf numFmtId="4" fontId="73" fillId="3" borderId="20" xfId="0" applyNumberFormat="1" applyFont="1" applyFill="1" applyBorder="1" applyAlignment="1">
      <alignment horizontal="center" vertical="center"/>
    </xf>
    <xf numFmtId="4" fontId="73" fillId="3" borderId="20" xfId="2" applyNumberFormat="1" applyFont="1" applyFill="1" applyBorder="1" applyAlignment="1">
      <alignment horizontal="center" vertical="center"/>
    </xf>
    <xf numFmtId="4" fontId="73" fillId="40" borderId="13" xfId="0" applyNumberFormat="1" applyFont="1" applyFill="1" applyBorder="1" applyAlignment="1">
      <alignment horizontal="center" vertical="center"/>
    </xf>
    <xf numFmtId="4" fontId="118" fillId="40" borderId="0" xfId="0" applyNumberFormat="1" applyFont="1" applyFill="1" applyBorder="1" applyAlignment="1">
      <alignment horizontal="center" vertical="center"/>
    </xf>
    <xf numFmtId="4" fontId="73" fillId="0" borderId="0" xfId="0" applyNumberFormat="1" applyFont="1" applyBorder="1" applyAlignment="1">
      <alignment horizontal="center" vertical="center"/>
    </xf>
    <xf numFmtId="4" fontId="73" fillId="3" borderId="1" xfId="0" applyNumberFormat="1" applyFont="1" applyFill="1" applyBorder="1" applyAlignment="1">
      <alignment horizontal="center" vertical="center"/>
    </xf>
    <xf numFmtId="4" fontId="73" fillId="3" borderId="3" xfId="0" applyNumberFormat="1" applyFont="1" applyFill="1" applyBorder="1" applyAlignment="1">
      <alignment horizontal="center" vertical="center"/>
    </xf>
    <xf numFmtId="4" fontId="73" fillId="3" borderId="5" xfId="0" applyNumberFormat="1" applyFont="1" applyFill="1" applyBorder="1" applyAlignment="1">
      <alignment horizontal="center" vertical="center"/>
    </xf>
    <xf numFmtId="4" fontId="73" fillId="3" borderId="8" xfId="0" applyNumberFormat="1" applyFont="1" applyFill="1" applyBorder="1" applyAlignment="1">
      <alignment horizontal="center" vertical="center"/>
    </xf>
    <xf numFmtId="4" fontId="73" fillId="44" borderId="13" xfId="0" applyNumberFormat="1" applyFont="1" applyFill="1" applyBorder="1" applyAlignment="1">
      <alignment horizontal="center" vertical="center"/>
    </xf>
    <xf numFmtId="4" fontId="73" fillId="3" borderId="111" xfId="2" applyNumberFormat="1" applyFont="1" applyFill="1" applyBorder="1" applyAlignment="1">
      <alignment horizontal="center" vertical="center"/>
    </xf>
    <xf numFmtId="4" fontId="73" fillId="3" borderId="45" xfId="0" applyNumberFormat="1" applyFont="1" applyFill="1" applyBorder="1" applyAlignment="1">
      <alignment horizontal="center" vertical="center"/>
    </xf>
    <xf numFmtId="4" fontId="73" fillId="3" borderId="46" xfId="0" applyNumberFormat="1" applyFont="1" applyFill="1" applyBorder="1" applyAlignment="1">
      <alignment horizontal="center" vertical="center"/>
    </xf>
    <xf numFmtId="4" fontId="73" fillId="3" borderId="47" xfId="0" applyNumberFormat="1" applyFont="1" applyFill="1" applyBorder="1" applyAlignment="1">
      <alignment horizontal="center" vertical="center"/>
    </xf>
    <xf numFmtId="4" fontId="73" fillId="3" borderId="0" xfId="0" applyNumberFormat="1" applyFont="1" applyFill="1" applyAlignment="1">
      <alignment horizontal="left" vertical="center"/>
    </xf>
    <xf numFmtId="4" fontId="73" fillId="3" borderId="0" xfId="0" applyNumberFormat="1" applyFont="1" applyFill="1" applyBorder="1" applyAlignment="1">
      <alignment horizontal="left" vertical="center"/>
    </xf>
    <xf numFmtId="4" fontId="133" fillId="44" borderId="0" xfId="0" applyNumberFormat="1" applyFont="1" applyFill="1" applyBorder="1" applyAlignment="1">
      <alignment horizontal="left" vertical="center"/>
    </xf>
    <xf numFmtId="4" fontId="133" fillId="3" borderId="0" xfId="0" applyNumberFormat="1" applyFont="1" applyFill="1" applyBorder="1" applyAlignment="1">
      <alignment horizontal="left" vertical="center"/>
    </xf>
    <xf numFmtId="4" fontId="98" fillId="47" borderId="0" xfId="0" applyNumberFormat="1" applyFont="1" applyFill="1" applyBorder="1" applyAlignment="1">
      <alignment horizontal="left" vertical="center"/>
    </xf>
    <xf numFmtId="4" fontId="86" fillId="3" borderId="77" xfId="0" applyNumberFormat="1" applyFont="1" applyFill="1" applyBorder="1" applyAlignment="1">
      <alignment horizontal="left" vertical="center"/>
    </xf>
    <xf numFmtId="4" fontId="86" fillId="3" borderId="80" xfId="0" applyNumberFormat="1" applyFont="1" applyFill="1" applyBorder="1" applyAlignment="1">
      <alignment horizontal="left" vertical="center"/>
    </xf>
    <xf numFmtId="4" fontId="86" fillId="3" borderId="82" xfId="0" applyNumberFormat="1" applyFont="1" applyFill="1" applyBorder="1" applyAlignment="1">
      <alignment horizontal="left" vertical="center"/>
    </xf>
    <xf numFmtId="4" fontId="86" fillId="3" borderId="0" xfId="0" applyNumberFormat="1" applyFont="1" applyFill="1" applyBorder="1" applyAlignment="1">
      <alignment horizontal="left" vertical="center"/>
    </xf>
    <xf numFmtId="4" fontId="86" fillId="3" borderId="77" xfId="0" applyNumberFormat="1" applyFont="1" applyFill="1" applyBorder="1" applyAlignment="1">
      <alignment horizontal="left" vertical="center" wrapText="1"/>
    </xf>
    <xf numFmtId="4" fontId="86" fillId="3" borderId="82" xfId="0" applyNumberFormat="1" applyFont="1" applyFill="1" applyBorder="1" applyAlignment="1">
      <alignment horizontal="left" vertical="center" wrapText="1"/>
    </xf>
    <xf numFmtId="4" fontId="73" fillId="3" borderId="0" xfId="0" applyNumberFormat="1" applyFont="1" applyFill="1" applyBorder="1" applyAlignment="1">
      <alignment horizontal="left" vertical="center" wrapText="1"/>
    </xf>
    <xf numFmtId="4" fontId="96" fillId="3" borderId="0" xfId="0" applyNumberFormat="1" applyFont="1" applyFill="1" applyBorder="1" applyAlignment="1">
      <alignment horizontal="left" vertical="center"/>
    </xf>
    <xf numFmtId="4" fontId="73" fillId="0" borderId="77" xfId="0" applyNumberFormat="1" applyFont="1" applyBorder="1" applyAlignment="1">
      <alignment horizontal="left" vertical="center"/>
    </xf>
    <xf numFmtId="4" fontId="86" fillId="9" borderId="80" xfId="0" applyNumberFormat="1" applyFont="1" applyFill="1" applyBorder="1" applyAlignment="1">
      <alignment horizontal="left" vertical="center"/>
    </xf>
    <xf numFmtId="4" fontId="86" fillId="9" borderId="82" xfId="0" applyNumberFormat="1" applyFont="1" applyFill="1" applyBorder="1" applyAlignment="1">
      <alignment horizontal="left" vertical="center"/>
    </xf>
    <xf numFmtId="4" fontId="73" fillId="3" borderId="82" xfId="0" applyNumberFormat="1" applyFont="1" applyFill="1" applyBorder="1" applyAlignment="1">
      <alignment horizontal="left" vertical="center"/>
    </xf>
    <xf numFmtId="4" fontId="73" fillId="3" borderId="80" xfId="0" applyNumberFormat="1" applyFont="1" applyFill="1" applyBorder="1" applyAlignment="1">
      <alignment horizontal="left" vertical="center"/>
    </xf>
    <xf numFmtId="4" fontId="73" fillId="3" borderId="77" xfId="0" applyNumberFormat="1" applyFont="1" applyFill="1" applyBorder="1" applyAlignment="1">
      <alignment horizontal="left" vertical="center"/>
    </xf>
    <xf numFmtId="4" fontId="73" fillId="3" borderId="82" xfId="0" applyNumberFormat="1" applyFont="1" applyFill="1" applyBorder="1" applyAlignment="1">
      <alignment horizontal="left" vertical="center" wrapText="1"/>
    </xf>
    <xf numFmtId="4" fontId="78" fillId="3" borderId="80" xfId="0" applyNumberFormat="1" applyFont="1" applyFill="1" applyBorder="1" applyAlignment="1">
      <alignment horizontal="left" vertical="center"/>
    </xf>
    <xf numFmtId="4" fontId="78" fillId="3" borderId="82" xfId="0" applyNumberFormat="1" applyFont="1" applyFill="1" applyBorder="1" applyAlignment="1">
      <alignment horizontal="left" vertical="center"/>
    </xf>
    <xf numFmtId="4" fontId="86" fillId="9" borderId="77" xfId="0" applyNumberFormat="1" applyFont="1" applyFill="1" applyBorder="1" applyAlignment="1">
      <alignment horizontal="left" vertical="center"/>
    </xf>
    <xf numFmtId="4" fontId="86" fillId="3" borderId="80" xfId="0" applyNumberFormat="1" applyFont="1" applyFill="1" applyBorder="1" applyAlignment="1">
      <alignment horizontal="left" vertical="center" wrapText="1"/>
    </xf>
    <xf numFmtId="4" fontId="86" fillId="0" borderId="112" xfId="0" applyNumberFormat="1" applyFont="1" applyBorder="1" applyAlignment="1">
      <alignment horizontal="left" vertical="center"/>
    </xf>
    <xf numFmtId="4" fontId="86" fillId="3" borderId="115" xfId="0" applyNumberFormat="1" applyFont="1" applyFill="1" applyBorder="1" applyAlignment="1">
      <alignment horizontal="left" vertical="center"/>
    </xf>
    <xf numFmtId="4" fontId="86" fillId="3" borderId="117" xfId="0" applyNumberFormat="1" applyFont="1" applyFill="1" applyBorder="1" applyAlignment="1">
      <alignment horizontal="left" vertical="center"/>
    </xf>
    <xf numFmtId="4" fontId="73" fillId="3" borderId="112" xfId="0" applyNumberFormat="1" applyFont="1" applyFill="1" applyBorder="1" applyAlignment="1">
      <alignment horizontal="left" vertical="center"/>
    </xf>
    <xf numFmtId="4" fontId="86" fillId="3" borderId="112" xfId="0" applyNumberFormat="1" applyFont="1" applyFill="1" applyBorder="1" applyAlignment="1">
      <alignment horizontal="left" vertical="center" wrapText="1"/>
    </xf>
    <xf numFmtId="4" fontId="73" fillId="3" borderId="115" xfId="0" applyNumberFormat="1" applyFont="1" applyFill="1" applyBorder="1" applyAlignment="1">
      <alignment horizontal="left" vertical="center"/>
    </xf>
    <xf numFmtId="4" fontId="73" fillId="3" borderId="117" xfId="0" applyNumberFormat="1" applyFont="1" applyFill="1" applyBorder="1" applyAlignment="1">
      <alignment horizontal="left" vertical="center"/>
    </xf>
    <xf numFmtId="4" fontId="86" fillId="3" borderId="112" xfId="0" applyNumberFormat="1" applyFont="1" applyFill="1" applyBorder="1" applyAlignment="1">
      <alignment horizontal="left" vertical="center"/>
    </xf>
    <xf numFmtId="4" fontId="73" fillId="0" borderId="112" xfId="0" applyNumberFormat="1" applyFont="1" applyBorder="1" applyAlignment="1">
      <alignment horizontal="left" vertical="center"/>
    </xf>
    <xf numFmtId="4" fontId="86" fillId="9" borderId="117" xfId="0" applyNumberFormat="1" applyFont="1" applyFill="1" applyBorder="1" applyAlignment="1">
      <alignment horizontal="left" vertical="center"/>
    </xf>
    <xf numFmtId="4" fontId="96" fillId="3" borderId="77" xfId="0" applyNumberFormat="1" applyFont="1" applyFill="1" applyBorder="1" applyAlignment="1">
      <alignment horizontal="left" vertical="center"/>
    </xf>
    <xf numFmtId="4" fontId="86" fillId="9" borderId="115" xfId="0" applyNumberFormat="1" applyFont="1" applyFill="1" applyBorder="1" applyAlignment="1">
      <alignment horizontal="left" vertical="center"/>
    </xf>
    <xf numFmtId="4" fontId="99" fillId="40" borderId="0" xfId="0" applyNumberFormat="1" applyFont="1" applyFill="1" applyBorder="1" applyAlignment="1">
      <alignment horizontal="left" vertical="center"/>
    </xf>
    <xf numFmtId="4" fontId="73" fillId="3" borderId="4" xfId="0" applyNumberFormat="1" applyFont="1" applyFill="1" applyBorder="1" applyAlignment="1">
      <alignment horizontal="left" vertical="center"/>
    </xf>
    <xf numFmtId="4" fontId="98" fillId="47" borderId="110" xfId="0" applyNumberFormat="1" applyFont="1" applyFill="1" applyBorder="1" applyAlignment="1">
      <alignment horizontal="left" vertical="center"/>
    </xf>
    <xf numFmtId="4" fontId="73" fillId="3" borderId="46" xfId="0" applyNumberFormat="1" applyFont="1" applyFill="1" applyBorder="1" applyAlignment="1">
      <alignment horizontal="left" vertical="center"/>
    </xf>
    <xf numFmtId="4" fontId="86" fillId="0" borderId="77" xfId="0" applyNumberFormat="1" applyFont="1" applyBorder="1" applyAlignment="1">
      <alignment horizontal="left" vertical="center"/>
    </xf>
    <xf numFmtId="4" fontId="86" fillId="3" borderId="0" xfId="0" applyNumberFormat="1" applyFont="1" applyFill="1" applyAlignment="1">
      <alignment horizontal="left" vertical="center"/>
    </xf>
    <xf numFmtId="4" fontId="90" fillId="3" borderId="0" xfId="0" applyNumberFormat="1" applyFont="1" applyFill="1" applyBorder="1" applyAlignment="1">
      <alignment horizontal="left" vertical="center"/>
    </xf>
    <xf numFmtId="4" fontId="86" fillId="9" borderId="116" xfId="0" applyNumberFormat="1" applyFont="1" applyFill="1" applyBorder="1" applyAlignment="1">
      <alignment horizontal="center" vertical="center"/>
    </xf>
    <xf numFmtId="4" fontId="86" fillId="3" borderId="0" xfId="0" applyNumberFormat="1" applyFont="1" applyFill="1" applyBorder="1" applyAlignment="1">
      <alignment vertical="center"/>
    </xf>
    <xf numFmtId="4" fontId="45" fillId="3" borderId="81" xfId="0" applyNumberFormat="1" applyFont="1" applyFill="1" applyBorder="1" applyAlignment="1">
      <alignment horizontal="center" vertical="center"/>
    </xf>
    <xf numFmtId="4" fontId="96" fillId="3" borderId="0" xfId="0" applyNumberFormat="1" applyFont="1" applyFill="1" applyBorder="1" applyAlignment="1">
      <alignment horizontal="center" vertical="center" wrapText="1"/>
    </xf>
    <xf numFmtId="4" fontId="73" fillId="9" borderId="115" xfId="0" applyNumberFormat="1" applyFont="1" applyFill="1" applyBorder="1" applyAlignment="1">
      <alignment horizontal="left" vertical="center"/>
    </xf>
    <xf numFmtId="4" fontId="86" fillId="3" borderId="115" xfId="1304" applyNumberFormat="1" applyFont="1" applyFill="1" applyBorder="1" applyAlignment="1">
      <alignment horizontal="left" vertical="center"/>
    </xf>
    <xf numFmtId="4" fontId="86" fillId="3" borderId="0" xfId="1304" applyNumberFormat="1" applyFont="1" applyFill="1" applyBorder="1" applyAlignment="1">
      <alignment horizontal="center" vertical="center"/>
    </xf>
    <xf numFmtId="4" fontId="86" fillId="3" borderId="116" xfId="1304" applyNumberFormat="1" applyFont="1" applyFill="1" applyBorder="1" applyAlignment="1">
      <alignment horizontal="center" vertical="center"/>
    </xf>
    <xf numFmtId="4" fontId="78" fillId="3" borderId="115" xfId="0" applyNumberFormat="1" applyFont="1" applyFill="1" applyBorder="1" applyAlignment="1">
      <alignment horizontal="left" vertical="center"/>
    </xf>
    <xf numFmtId="4" fontId="87" fillId="3" borderId="115" xfId="0" applyNumberFormat="1" applyFont="1" applyFill="1" applyBorder="1" applyAlignment="1">
      <alignment horizontal="left" vertical="center"/>
    </xf>
    <xf numFmtId="4" fontId="78" fillId="9" borderId="117" xfId="0" applyNumberFormat="1" applyFont="1" applyFill="1" applyBorder="1" applyAlignment="1">
      <alignment horizontal="left" vertical="center"/>
    </xf>
    <xf numFmtId="4" fontId="78" fillId="9" borderId="120" xfId="0" applyNumberFormat="1" applyFont="1" applyFill="1" applyBorder="1" applyAlignment="1">
      <alignment horizontal="center" vertical="center"/>
    </xf>
    <xf numFmtId="4" fontId="78" fillId="9" borderId="122" xfId="0" applyNumberFormat="1" applyFont="1" applyFill="1" applyBorder="1" applyAlignment="1">
      <alignment horizontal="center" vertical="center"/>
    </xf>
    <xf numFmtId="4" fontId="86" fillId="3" borderId="113" xfId="10" applyNumberFormat="1" applyFont="1" applyFill="1" applyBorder="1" applyAlignment="1">
      <alignment horizontal="center" vertical="center" wrapText="1"/>
    </xf>
    <xf numFmtId="4" fontId="86" fillId="3" borderId="113" xfId="10" applyNumberFormat="1" applyFont="1" applyFill="1" applyBorder="1" applyAlignment="1">
      <alignment horizontal="center" vertical="center"/>
    </xf>
    <xf numFmtId="4" fontId="73" fillId="3" borderId="118" xfId="3090" applyNumberFormat="1" applyFont="1" applyFill="1" applyBorder="1" applyAlignment="1">
      <alignment horizontal="center" vertical="center"/>
    </xf>
    <xf numFmtId="4" fontId="86" fillId="3" borderId="1" xfId="0" applyNumberFormat="1" applyFont="1" applyFill="1" applyBorder="1" applyAlignment="1">
      <alignment horizontal="center" vertical="center"/>
    </xf>
    <xf numFmtId="4" fontId="86" fillId="3" borderId="3" xfId="0" applyNumberFormat="1" applyFont="1" applyFill="1" applyBorder="1" applyAlignment="1">
      <alignment horizontal="center" vertical="center"/>
    </xf>
    <xf numFmtId="4" fontId="90" fillId="3" borderId="0" xfId="0" applyNumberFormat="1" applyFont="1" applyFill="1" applyBorder="1" applyAlignment="1">
      <alignment horizontal="center" vertical="center"/>
    </xf>
    <xf numFmtId="4" fontId="88" fillId="3" borderId="0" xfId="219" applyNumberFormat="1" applyFont="1" applyFill="1" applyBorder="1" applyAlignment="1">
      <alignment horizontal="center" vertical="center"/>
    </xf>
    <xf numFmtId="4" fontId="88" fillId="3" borderId="0" xfId="0" applyNumberFormat="1" applyFont="1" applyFill="1" applyBorder="1" applyAlignment="1">
      <alignment horizontal="center" vertical="center"/>
    </xf>
    <xf numFmtId="4" fontId="88" fillId="3" borderId="0" xfId="219" applyNumberFormat="1" applyFont="1" applyFill="1" applyBorder="1" applyAlignment="1">
      <alignment horizontal="left" vertical="center"/>
    </xf>
    <xf numFmtId="4" fontId="73" fillId="3" borderId="0" xfId="221" applyNumberFormat="1" applyFont="1" applyFill="1" applyBorder="1" applyAlignment="1">
      <alignment horizontal="center" vertical="center"/>
    </xf>
    <xf numFmtId="4" fontId="86" fillId="3" borderId="123" xfId="0" applyNumberFormat="1" applyFont="1" applyFill="1" applyBorder="1" applyAlignment="1">
      <alignment horizontal="left" vertical="center"/>
    </xf>
    <xf numFmtId="4" fontId="73" fillId="3" borderId="124" xfId="0" applyNumberFormat="1" applyFont="1" applyFill="1" applyBorder="1" applyAlignment="1">
      <alignment horizontal="center" vertical="center"/>
    </xf>
    <xf numFmtId="4" fontId="73" fillId="3" borderId="125" xfId="0" applyNumberFormat="1" applyFont="1" applyFill="1" applyBorder="1" applyAlignment="1">
      <alignment horizontal="left" vertical="center"/>
    </xf>
    <xf numFmtId="4" fontId="73" fillId="3" borderId="126" xfId="0" applyNumberFormat="1" applyFont="1" applyFill="1" applyBorder="1" applyAlignment="1">
      <alignment horizontal="center" vertical="center"/>
    </xf>
    <xf numFmtId="4" fontId="73" fillId="3" borderId="127" xfId="0" applyNumberFormat="1" applyFont="1" applyFill="1" applyBorder="1" applyAlignment="1">
      <alignment horizontal="left" vertical="center"/>
    </xf>
    <xf numFmtId="4" fontId="73" fillId="3" borderId="128" xfId="2" applyNumberFormat="1" applyFont="1" applyFill="1" applyBorder="1" applyAlignment="1">
      <alignment horizontal="center" vertical="center"/>
    </xf>
    <xf numFmtId="4" fontId="98" fillId="40" borderId="0" xfId="0" applyNumberFormat="1" applyFont="1" applyFill="1" applyBorder="1" applyAlignment="1">
      <alignment horizontal="center" vertical="center"/>
    </xf>
    <xf numFmtId="4" fontId="98" fillId="40" borderId="0" xfId="0" applyNumberFormat="1" applyFont="1" applyFill="1" applyBorder="1" applyAlignment="1">
      <alignment horizontal="left" vertical="center"/>
    </xf>
    <xf numFmtId="4" fontId="98" fillId="40" borderId="0" xfId="219" applyNumberFormat="1" applyFont="1" applyFill="1" applyBorder="1" applyAlignment="1">
      <alignment horizontal="center" vertical="center"/>
    </xf>
    <xf numFmtId="0" fontId="133" fillId="3" borderId="0" xfId="0" applyFont="1" applyFill="1" applyBorder="1" applyAlignment="1">
      <alignment vertical="center" wrapText="1"/>
    </xf>
    <xf numFmtId="4" fontId="86" fillId="3" borderId="0" xfId="219" applyNumberFormat="1" applyFont="1" applyFill="1" applyBorder="1" applyAlignment="1">
      <alignment horizontal="center" vertical="center"/>
    </xf>
    <xf numFmtId="4" fontId="98" fillId="3" borderId="0" xfId="0" applyNumberFormat="1" applyFont="1" applyFill="1" applyBorder="1" applyAlignment="1">
      <alignment horizontal="center" vertical="center" wrapText="1"/>
    </xf>
    <xf numFmtId="4" fontId="45" fillId="3" borderId="113" xfId="0" applyNumberFormat="1" applyFont="1" applyFill="1" applyBorder="1" applyAlignment="1">
      <alignment horizontal="center" vertical="center"/>
    </xf>
    <xf numFmtId="4" fontId="45" fillId="3" borderId="113" xfId="0" applyNumberFormat="1" applyFont="1" applyFill="1" applyBorder="1" applyAlignment="1">
      <alignment horizontal="left" vertical="center"/>
    </xf>
    <xf numFmtId="4" fontId="45" fillId="3" borderId="114" xfId="0" applyNumberFormat="1" applyFont="1" applyFill="1" applyBorder="1" applyAlignment="1">
      <alignment horizontal="center" vertical="center"/>
    </xf>
    <xf numFmtId="4" fontId="45" fillId="3" borderId="115" xfId="0" applyNumberFormat="1" applyFont="1" applyFill="1" applyBorder="1" applyAlignment="1">
      <alignment horizontal="left" vertical="center"/>
    </xf>
    <xf numFmtId="4" fontId="45" fillId="3" borderId="0" xfId="0" applyNumberFormat="1" applyFont="1" applyFill="1" applyBorder="1" applyAlignment="1">
      <alignment horizontal="center" vertical="center"/>
    </xf>
    <xf numFmtId="4" fontId="45" fillId="3" borderId="0" xfId="0" applyNumberFormat="1" applyFont="1" applyFill="1" applyBorder="1" applyAlignment="1">
      <alignment horizontal="left" vertical="center"/>
    </xf>
    <xf numFmtId="4" fontId="45" fillId="3" borderId="116" xfId="0" applyNumberFormat="1" applyFont="1" applyFill="1" applyBorder="1" applyAlignment="1">
      <alignment horizontal="center" vertical="center"/>
    </xf>
    <xf numFmtId="4" fontId="45" fillId="3" borderId="117" xfId="0" applyNumberFormat="1" applyFont="1" applyFill="1" applyBorder="1" applyAlignment="1">
      <alignment horizontal="left" vertical="center"/>
    </xf>
    <xf numFmtId="4" fontId="45" fillId="3" borderId="118" xfId="221" applyNumberFormat="1" applyFont="1" applyFill="1" applyBorder="1" applyAlignment="1">
      <alignment horizontal="center" vertical="center"/>
    </xf>
    <xf numFmtId="4" fontId="45" fillId="3" borderId="118" xfId="221" applyNumberFormat="1" applyFont="1" applyFill="1" applyBorder="1" applyAlignment="1">
      <alignment horizontal="left" vertical="center"/>
    </xf>
    <xf numFmtId="4" fontId="45" fillId="3" borderId="119" xfId="221" applyNumberFormat="1" applyFont="1" applyFill="1" applyBorder="1" applyAlignment="1">
      <alignment horizontal="center" vertical="center"/>
    </xf>
    <xf numFmtId="4" fontId="78" fillId="9" borderId="112" xfId="0" applyNumberFormat="1" applyFont="1" applyFill="1" applyBorder="1" applyAlignment="1">
      <alignment horizontal="left" vertical="center"/>
    </xf>
    <xf numFmtId="4" fontId="45" fillId="9" borderId="113" xfId="0" applyNumberFormat="1" applyFont="1" applyFill="1" applyBorder="1" applyAlignment="1">
      <alignment horizontal="center" vertical="center"/>
    </xf>
    <xf numFmtId="4" fontId="45" fillId="9" borderId="113" xfId="0" applyNumberFormat="1" applyFont="1" applyFill="1" applyBorder="1" applyAlignment="1">
      <alignment horizontal="left" vertical="center"/>
    </xf>
    <xf numFmtId="4" fontId="45" fillId="9" borderId="114" xfId="0" applyNumberFormat="1" applyFont="1" applyFill="1" applyBorder="1" applyAlignment="1">
      <alignment horizontal="center" vertical="center"/>
    </xf>
    <xf numFmtId="4" fontId="78" fillId="9" borderId="115" xfId="0" applyNumberFormat="1" applyFont="1" applyFill="1" applyBorder="1" applyAlignment="1">
      <alignment horizontal="left" vertical="center"/>
    </xf>
    <xf numFmtId="4" fontId="45" fillId="9" borderId="0" xfId="0" applyNumberFormat="1" applyFont="1" applyFill="1" applyBorder="1" applyAlignment="1">
      <alignment horizontal="center" vertical="center"/>
    </xf>
    <xf numFmtId="4" fontId="45" fillId="9" borderId="0" xfId="0" applyNumberFormat="1" applyFont="1" applyFill="1" applyBorder="1" applyAlignment="1">
      <alignment horizontal="left" vertical="center"/>
    </xf>
    <xf numFmtId="4" fontId="45" fillId="9" borderId="116" xfId="0" applyNumberFormat="1" applyFont="1" applyFill="1" applyBorder="1" applyAlignment="1">
      <alignment horizontal="center" vertical="center"/>
    </xf>
    <xf numFmtId="4" fontId="45" fillId="3" borderId="0" xfId="2" applyNumberFormat="1" applyFont="1" applyFill="1" applyBorder="1" applyAlignment="1">
      <alignment horizontal="center" vertical="center"/>
    </xf>
    <xf numFmtId="4" fontId="45" fillId="3" borderId="0" xfId="2" applyNumberFormat="1" applyFont="1" applyFill="1" applyBorder="1" applyAlignment="1">
      <alignment horizontal="left" vertical="center"/>
    </xf>
    <xf numFmtId="4" fontId="45" fillId="3" borderId="116" xfId="2" applyNumberFormat="1" applyFont="1" applyFill="1" applyBorder="1" applyAlignment="1">
      <alignment horizontal="center" vertical="center"/>
    </xf>
    <xf numFmtId="4" fontId="78" fillId="3" borderId="117" xfId="0" applyNumberFormat="1" applyFont="1" applyFill="1" applyBorder="1" applyAlignment="1">
      <alignment horizontal="left" vertical="center"/>
    </xf>
    <xf numFmtId="4" fontId="45" fillId="9" borderId="0" xfId="2" applyNumberFormat="1" applyFont="1" applyFill="1" applyBorder="1" applyAlignment="1">
      <alignment horizontal="center" vertical="center"/>
    </xf>
    <xf numFmtId="4" fontId="45" fillId="9" borderId="0" xfId="2" applyNumberFormat="1" applyFont="1" applyFill="1" applyBorder="1" applyAlignment="1">
      <alignment horizontal="left" vertical="center"/>
    </xf>
    <xf numFmtId="4" fontId="45" fillId="9" borderId="116" xfId="2" applyNumberFormat="1" applyFont="1" applyFill="1" applyBorder="1" applyAlignment="1">
      <alignment horizontal="center" vertical="center"/>
    </xf>
    <xf numFmtId="4" fontId="78" fillId="9" borderId="0" xfId="2" applyNumberFormat="1" applyFont="1" applyFill="1" applyBorder="1" applyAlignment="1">
      <alignment horizontal="center" vertical="center"/>
    </xf>
    <xf numFmtId="4" fontId="78" fillId="9" borderId="116" xfId="2" applyNumberFormat="1" applyFont="1" applyFill="1" applyBorder="1" applyAlignment="1">
      <alignment horizontal="center" vertical="center"/>
    </xf>
    <xf numFmtId="4" fontId="78" fillId="9" borderId="118" xfId="2" applyNumberFormat="1" applyFont="1" applyFill="1" applyBorder="1" applyAlignment="1">
      <alignment horizontal="center" vertical="center"/>
    </xf>
    <xf numFmtId="4" fontId="78" fillId="9" borderId="119" xfId="2" applyNumberFormat="1" applyFont="1" applyFill="1" applyBorder="1" applyAlignment="1">
      <alignment horizontal="center" vertical="center"/>
    </xf>
    <xf numFmtId="4" fontId="73" fillId="3" borderId="118" xfId="0" applyNumberFormat="1" applyFont="1" applyFill="1" applyBorder="1" applyAlignment="1">
      <alignment horizontal="left" vertical="center"/>
    </xf>
    <xf numFmtId="4" fontId="45" fillId="3" borderId="0" xfId="221" applyNumberFormat="1" applyFont="1" applyFill="1" applyBorder="1" applyAlignment="1">
      <alignment horizontal="center" vertical="center"/>
    </xf>
    <xf numFmtId="4" fontId="45" fillId="3" borderId="0" xfId="221" applyNumberFormat="1" applyFont="1" applyFill="1" applyBorder="1" applyAlignment="1">
      <alignment horizontal="left" vertical="center"/>
    </xf>
    <xf numFmtId="4" fontId="45" fillId="3" borderId="116" xfId="221" applyNumberFormat="1" applyFont="1" applyFill="1" applyBorder="1" applyAlignment="1">
      <alignment horizontal="center" vertical="center"/>
    </xf>
    <xf numFmtId="4" fontId="45" fillId="3" borderId="118" xfId="0" applyNumberFormat="1" applyFont="1" applyFill="1" applyBorder="1" applyAlignment="1">
      <alignment horizontal="center" vertical="center"/>
    </xf>
    <xf numFmtId="4" fontId="45" fillId="3" borderId="118" xfId="0" applyNumberFormat="1" applyFont="1" applyFill="1" applyBorder="1" applyAlignment="1">
      <alignment horizontal="left" vertical="center"/>
    </xf>
    <xf numFmtId="4" fontId="45" fillId="3" borderId="119" xfId="0" applyNumberFormat="1" applyFont="1" applyFill="1" applyBorder="1" applyAlignment="1">
      <alignment horizontal="center" vertical="center"/>
    </xf>
    <xf numFmtId="4" fontId="78" fillId="3" borderId="0" xfId="0" applyNumberFormat="1" applyFont="1" applyFill="1" applyBorder="1" applyAlignment="1">
      <alignment horizontal="center" vertical="center"/>
    </xf>
    <xf numFmtId="4" fontId="78" fillId="3" borderId="0" xfId="0" applyNumberFormat="1" applyFont="1" applyFill="1" applyBorder="1" applyAlignment="1">
      <alignment horizontal="left" vertical="center"/>
    </xf>
    <xf numFmtId="4" fontId="78" fillId="3" borderId="116" xfId="0" applyNumberFormat="1" applyFont="1" applyFill="1" applyBorder="1" applyAlignment="1">
      <alignment horizontal="center" vertical="center"/>
    </xf>
    <xf numFmtId="4" fontId="78" fillId="9" borderId="0" xfId="0" applyNumberFormat="1" applyFont="1" applyFill="1" applyBorder="1" applyAlignment="1">
      <alignment horizontal="center" vertical="center"/>
    </xf>
    <xf numFmtId="4" fontId="78" fillId="9" borderId="0" xfId="0" applyNumberFormat="1" applyFont="1" applyFill="1" applyBorder="1" applyAlignment="1">
      <alignment horizontal="left" vertical="center"/>
    </xf>
    <xf numFmtId="4" fontId="78" fillId="9" borderId="116" xfId="0" applyNumberFormat="1" applyFont="1" applyFill="1" applyBorder="1" applyAlignment="1">
      <alignment horizontal="center" vertical="center"/>
    </xf>
    <xf numFmtId="4" fontId="78" fillId="9" borderId="0" xfId="221" applyNumberFormat="1" applyFont="1" applyFill="1" applyBorder="1" applyAlignment="1">
      <alignment horizontal="center" vertical="center"/>
    </xf>
    <xf numFmtId="4" fontId="78" fillId="9" borderId="0" xfId="221" applyNumberFormat="1" applyFont="1" applyFill="1" applyBorder="1" applyAlignment="1">
      <alignment horizontal="left" vertical="center"/>
    </xf>
    <xf numFmtId="4" fontId="78" fillId="9" borderId="116" xfId="221" applyNumberFormat="1" applyFont="1" applyFill="1" applyBorder="1" applyAlignment="1">
      <alignment horizontal="center" vertical="center"/>
    </xf>
    <xf numFmtId="4" fontId="45" fillId="3" borderId="113" xfId="221" applyNumberFormat="1" applyFont="1" applyFill="1" applyBorder="1" applyAlignment="1">
      <alignment horizontal="center" vertical="center"/>
    </xf>
    <xf numFmtId="4" fontId="45" fillId="9" borderId="113" xfId="221" applyNumberFormat="1" applyFont="1" applyFill="1" applyBorder="1" applyAlignment="1">
      <alignment horizontal="center" vertical="center"/>
    </xf>
    <xf numFmtId="4" fontId="45" fillId="3" borderId="112" xfId="0" applyNumberFormat="1" applyFont="1" applyFill="1" applyBorder="1" applyAlignment="1">
      <alignment horizontal="left" vertical="center"/>
    </xf>
    <xf numFmtId="4" fontId="45" fillId="3" borderId="114" xfId="221" applyNumberFormat="1" applyFont="1" applyFill="1" applyBorder="1" applyAlignment="1">
      <alignment horizontal="center" vertical="center"/>
    </xf>
    <xf numFmtId="4" fontId="78" fillId="3" borderId="118" xfId="0" applyNumberFormat="1" applyFont="1" applyFill="1" applyBorder="1" applyAlignment="1">
      <alignment horizontal="center" vertical="center"/>
    </xf>
    <xf numFmtId="4" fontId="78" fillId="3" borderId="118" xfId="0" applyNumberFormat="1" applyFont="1" applyFill="1" applyBorder="1" applyAlignment="1">
      <alignment horizontal="left" vertical="center"/>
    </xf>
    <xf numFmtId="4" fontId="78" fillId="3" borderId="119" xfId="0" applyNumberFormat="1" applyFont="1" applyFill="1" applyBorder="1" applyAlignment="1">
      <alignment horizontal="center" vertical="center"/>
    </xf>
    <xf numFmtId="4" fontId="78" fillId="9" borderId="118" xfId="0" applyNumberFormat="1" applyFont="1" applyFill="1" applyBorder="1" applyAlignment="1">
      <alignment horizontal="center" vertical="center"/>
    </xf>
    <xf numFmtId="4" fontId="78" fillId="9" borderId="118" xfId="0" applyNumberFormat="1" applyFont="1" applyFill="1" applyBorder="1" applyAlignment="1">
      <alignment horizontal="left" vertical="center"/>
    </xf>
    <xf numFmtId="4" fontId="78" fillId="9" borderId="119" xfId="0" applyNumberFormat="1" applyFont="1" applyFill="1" applyBorder="1" applyAlignment="1">
      <alignment horizontal="center" vertical="center"/>
    </xf>
    <xf numFmtId="4" fontId="45" fillId="9" borderId="118" xfId="0" applyNumberFormat="1" applyFont="1" applyFill="1" applyBorder="1" applyAlignment="1">
      <alignment horizontal="center" vertical="center"/>
    </xf>
    <xf numFmtId="4" fontId="45" fillId="9" borderId="118" xfId="0" applyNumberFormat="1" applyFont="1" applyFill="1" applyBorder="1" applyAlignment="1">
      <alignment horizontal="left" vertical="center"/>
    </xf>
    <xf numFmtId="4" fontId="45" fillId="9" borderId="119" xfId="0" applyNumberFormat="1" applyFont="1" applyFill="1" applyBorder="1" applyAlignment="1">
      <alignment horizontal="center" vertical="center"/>
    </xf>
    <xf numFmtId="2" fontId="21" fillId="3" borderId="0" xfId="0" applyNumberFormat="1" applyFont="1" applyFill="1" applyBorder="1" applyAlignment="1">
      <alignment vertical="top"/>
    </xf>
    <xf numFmtId="4" fontId="95" fillId="51" borderId="29" xfId="0" applyNumberFormat="1" applyFont="1" applyFill="1" applyBorder="1" applyAlignment="1">
      <alignment horizontal="center" vertical="center"/>
    </xf>
    <xf numFmtId="4" fontId="95" fillId="51" borderId="44" xfId="0" applyNumberFormat="1" applyFont="1" applyFill="1" applyBorder="1" applyAlignment="1">
      <alignment horizontal="center" vertical="center"/>
    </xf>
    <xf numFmtId="4" fontId="95" fillId="51" borderId="12" xfId="0" applyNumberFormat="1" applyFont="1" applyFill="1" applyBorder="1" applyAlignment="1">
      <alignment horizontal="center" vertical="center"/>
    </xf>
    <xf numFmtId="4" fontId="133" fillId="41" borderId="13" xfId="0" applyNumberFormat="1" applyFont="1" applyFill="1" applyBorder="1" applyAlignment="1">
      <alignment horizontal="center" vertical="center"/>
    </xf>
    <xf numFmtId="4" fontId="73" fillId="3" borderId="4" xfId="0" applyNumberFormat="1" applyFont="1" applyFill="1" applyBorder="1" applyAlignment="1">
      <alignment horizontal="center" vertical="center"/>
    </xf>
    <xf numFmtId="4" fontId="112" fillId="2" borderId="0" xfId="0" applyNumberFormat="1" applyFont="1" applyFill="1" applyBorder="1" applyAlignment="1">
      <alignment horizontal="center" vertical="center"/>
    </xf>
    <xf numFmtId="4" fontId="86" fillId="3" borderId="9" xfId="0" applyNumberFormat="1" applyFont="1" applyFill="1" applyBorder="1" applyAlignment="1">
      <alignment horizontal="center" vertical="center" wrapText="1"/>
    </xf>
    <xf numFmtId="4" fontId="86" fillId="3" borderId="10" xfId="0" applyNumberFormat="1" applyFont="1" applyFill="1" applyBorder="1" applyAlignment="1">
      <alignment horizontal="center" vertical="center" wrapText="1"/>
    </xf>
    <xf numFmtId="4" fontId="86" fillId="3" borderId="19" xfId="0" applyNumberFormat="1" applyFont="1" applyFill="1" applyBorder="1" applyAlignment="1">
      <alignment horizontal="center" vertical="center" wrapText="1"/>
    </xf>
    <xf numFmtId="4" fontId="86" fillId="3" borderId="11" xfId="0" applyNumberFormat="1" applyFont="1" applyFill="1" applyBorder="1" applyAlignment="1">
      <alignment horizontal="center" vertical="center" wrapText="1"/>
    </xf>
    <xf numFmtId="4" fontId="73" fillId="3" borderId="2" xfId="0" applyNumberFormat="1" applyFont="1" applyFill="1" applyBorder="1" applyAlignment="1">
      <alignment horizontal="center" vertical="center"/>
    </xf>
    <xf numFmtId="4" fontId="73" fillId="3" borderId="18" xfId="0" applyNumberFormat="1" applyFont="1" applyFill="1" applyBorder="1" applyAlignment="1">
      <alignment horizontal="center" vertical="center"/>
    </xf>
    <xf numFmtId="4" fontId="73" fillId="3" borderId="17" xfId="0" applyNumberFormat="1" applyFont="1" applyFill="1" applyBorder="1" applyAlignment="1">
      <alignment horizontal="center" vertical="center"/>
    </xf>
    <xf numFmtId="4" fontId="73" fillId="3" borderId="6" xfId="0" applyNumberFormat="1" applyFont="1" applyFill="1" applyBorder="1" applyAlignment="1">
      <alignment horizontal="center" vertical="center"/>
    </xf>
    <xf numFmtId="4" fontId="73" fillId="3" borderId="16" xfId="0" applyNumberFormat="1" applyFont="1" applyFill="1" applyBorder="1" applyAlignment="1">
      <alignment horizontal="center" vertical="center"/>
    </xf>
    <xf numFmtId="4" fontId="98" fillId="2" borderId="93" xfId="0" applyNumberFormat="1" applyFont="1" applyFill="1" applyBorder="1" applyAlignment="1">
      <alignment horizontal="center" vertical="center"/>
    </xf>
    <xf numFmtId="4" fontId="86" fillId="3" borderId="94" xfId="0" applyNumberFormat="1" applyFont="1" applyFill="1" applyBorder="1" applyAlignment="1">
      <alignment horizontal="center" vertical="center"/>
    </xf>
    <xf numFmtId="4" fontId="98" fillId="2" borderId="15" xfId="0" applyNumberFormat="1" applyFont="1" applyFill="1" applyBorder="1" applyAlignment="1">
      <alignment horizontal="center" vertical="center"/>
    </xf>
    <xf numFmtId="4" fontId="112" fillId="2" borderId="15" xfId="0" applyNumberFormat="1" applyFont="1" applyFill="1" applyBorder="1" applyAlignment="1">
      <alignment horizontal="center" vertical="center"/>
    </xf>
    <xf numFmtId="4" fontId="86" fillId="3" borderId="15" xfId="0" applyNumberFormat="1" applyFont="1" applyFill="1" applyBorder="1" applyAlignment="1">
      <alignment horizontal="center" vertical="center"/>
    </xf>
    <xf numFmtId="4" fontId="80" fillId="2" borderId="15" xfId="2294" applyNumberFormat="1" applyFont="1" applyFill="1" applyBorder="1" applyAlignment="1">
      <alignment horizontal="center" vertical="center"/>
    </xf>
    <xf numFmtId="4" fontId="75" fillId="2" borderId="0" xfId="0" applyNumberFormat="1" applyFont="1" applyFill="1" applyBorder="1" applyAlignment="1">
      <alignment horizontal="center" vertical="center"/>
    </xf>
    <xf numFmtId="4" fontId="91" fillId="3" borderId="0" xfId="0" applyNumberFormat="1" applyFont="1" applyFill="1" applyBorder="1" applyAlignment="1">
      <alignment horizontal="center" vertical="center"/>
    </xf>
    <xf numFmtId="4" fontId="91" fillId="3" borderId="0" xfId="2" applyNumberFormat="1" applyFont="1" applyFill="1" applyBorder="1" applyAlignment="1">
      <alignment horizontal="center" vertical="center"/>
    </xf>
    <xf numFmtId="4" fontId="73" fillId="8" borderId="0" xfId="0" applyNumberFormat="1" applyFont="1" applyFill="1" applyBorder="1" applyAlignment="1">
      <alignment horizontal="center" vertical="center"/>
    </xf>
    <xf numFmtId="4" fontId="73" fillId="8" borderId="14" xfId="0" applyNumberFormat="1" applyFont="1" applyFill="1" applyBorder="1" applyAlignment="1">
      <alignment horizontal="center" vertical="center"/>
    </xf>
    <xf numFmtId="4" fontId="73" fillId="3" borderId="0" xfId="1520" applyNumberFormat="1" applyFont="1" applyFill="1" applyBorder="1" applyAlignment="1">
      <alignment horizontal="center" vertical="center"/>
    </xf>
    <xf numFmtId="4" fontId="73" fillId="0" borderId="0" xfId="1520" applyNumberFormat="1" applyFont="1" applyBorder="1" applyAlignment="1">
      <alignment horizontal="center" vertical="center"/>
    </xf>
    <xf numFmtId="4" fontId="135" fillId="3" borderId="0" xfId="0" applyNumberFormat="1" applyFont="1" applyFill="1" applyBorder="1" applyAlignment="1">
      <alignment horizontal="left" vertical="center"/>
    </xf>
    <xf numFmtId="4" fontId="133" fillId="41" borderId="0" xfId="0" applyNumberFormat="1" applyFont="1" applyFill="1" applyBorder="1" applyAlignment="1">
      <alignment horizontal="left" vertical="center"/>
    </xf>
    <xf numFmtId="4" fontId="73" fillId="3" borderId="0" xfId="1520" applyNumberFormat="1" applyFont="1" applyFill="1" applyBorder="1" applyAlignment="1">
      <alignment horizontal="left" vertical="center"/>
    </xf>
    <xf numFmtId="4" fontId="95" fillId="51" borderId="13" xfId="0" applyNumberFormat="1" applyFont="1" applyFill="1" applyBorder="1" applyAlignment="1">
      <alignment horizontal="center" vertical="center"/>
    </xf>
    <xf numFmtId="4" fontId="95" fillId="51" borderId="0" xfId="0" applyNumberFormat="1" applyFont="1" applyFill="1" applyBorder="1" applyAlignment="1">
      <alignment horizontal="center" vertical="center"/>
    </xf>
    <xf numFmtId="4" fontId="95" fillId="51" borderId="14" xfId="0" applyNumberFormat="1" applyFont="1" applyFill="1" applyBorder="1" applyAlignment="1">
      <alignment horizontal="center" vertical="center"/>
    </xf>
    <xf numFmtId="4" fontId="32" fillId="3" borderId="0" xfId="0" applyNumberFormat="1" applyFont="1" applyFill="1"/>
    <xf numFmtId="4" fontId="32" fillId="3" borderId="0" xfId="0" applyNumberFormat="1" applyFont="1" applyFill="1" applyAlignment="1">
      <alignment horizontal="center"/>
    </xf>
    <xf numFmtId="4" fontId="31" fillId="3" borderId="0" xfId="0" applyNumberFormat="1" applyFont="1" applyFill="1" applyBorder="1" applyAlignment="1">
      <alignment horizontal="center" vertical="center"/>
    </xf>
    <xf numFmtId="4" fontId="32" fillId="3" borderId="5" xfId="0" applyNumberFormat="1" applyFont="1" applyFill="1" applyBorder="1" applyAlignment="1">
      <alignment horizontal="center" vertical="center"/>
    </xf>
    <xf numFmtId="4" fontId="32" fillId="3" borderId="7" xfId="0" applyNumberFormat="1" applyFont="1" applyFill="1" applyBorder="1" applyAlignment="1">
      <alignment horizontal="center" vertical="center"/>
    </xf>
    <xf numFmtId="4" fontId="32" fillId="3" borderId="8" xfId="0" applyNumberFormat="1" applyFont="1" applyFill="1" applyBorder="1" applyAlignment="1">
      <alignment horizontal="center" vertical="center"/>
    </xf>
    <xf numFmtId="4" fontId="31" fillId="3" borderId="5" xfId="0" applyNumberFormat="1" applyFont="1" applyFill="1" applyBorder="1" applyAlignment="1">
      <alignment horizontal="center" vertical="center"/>
    </xf>
    <xf numFmtId="4" fontId="31" fillId="3" borderId="0" xfId="0" applyNumberFormat="1" applyFont="1" applyFill="1" applyBorder="1" applyAlignment="1">
      <alignment horizontal="center" vertical="top"/>
    </xf>
    <xf numFmtId="4" fontId="32" fillId="3" borderId="0" xfId="0" applyNumberFormat="1" applyFont="1" applyFill="1" applyBorder="1"/>
    <xf numFmtId="4" fontId="75" fillId="40" borderId="2" xfId="0" applyNumberFormat="1" applyFont="1" applyFill="1" applyBorder="1" applyAlignment="1">
      <alignment horizontal="center" vertical="center"/>
    </xf>
    <xf numFmtId="4" fontId="98" fillId="40" borderId="1" xfId="0" applyNumberFormat="1" applyFont="1" applyFill="1" applyBorder="1" applyAlignment="1">
      <alignment horizontal="center" vertical="center"/>
    </xf>
    <xf numFmtId="4" fontId="94" fillId="40" borderId="1" xfId="0" applyNumberFormat="1" applyFont="1" applyFill="1" applyBorder="1" applyAlignment="1">
      <alignment horizontal="center" vertical="center"/>
    </xf>
    <xf numFmtId="4" fontId="94" fillId="40" borderId="3" xfId="0" applyNumberFormat="1" applyFont="1" applyFill="1" applyBorder="1" applyAlignment="1">
      <alignment horizontal="center" vertical="center"/>
    </xf>
    <xf numFmtId="4" fontId="73" fillId="3" borderId="0" xfId="0" applyNumberFormat="1" applyFont="1" applyFill="1"/>
    <xf numFmtId="4" fontId="93" fillId="9" borderId="4" xfId="0" applyNumberFormat="1" applyFont="1" applyFill="1" applyBorder="1" applyAlignment="1">
      <alignment horizontal="left" vertical="center" indent="1"/>
    </xf>
    <xf numFmtId="4" fontId="93" fillId="9" borderId="0" xfId="0" applyNumberFormat="1" applyFont="1" applyFill="1" applyBorder="1" applyAlignment="1">
      <alignment horizontal="left" vertical="center" indent="1"/>
    </xf>
    <xf numFmtId="4" fontId="93" fillId="9" borderId="0" xfId="0" applyNumberFormat="1" applyFont="1" applyFill="1" applyBorder="1" applyAlignment="1">
      <alignment horizontal="center" vertical="center"/>
    </xf>
    <xf numFmtId="4" fontId="93" fillId="9" borderId="5" xfId="0" applyNumberFormat="1" applyFont="1" applyFill="1" applyBorder="1" applyAlignment="1">
      <alignment horizontal="center" vertical="center"/>
    </xf>
    <xf numFmtId="4" fontId="73" fillId="3" borderId="4" xfId="0" applyNumberFormat="1" applyFont="1" applyFill="1" applyBorder="1"/>
    <xf numFmtId="4" fontId="73" fillId="3" borderId="0" xfId="0" applyNumberFormat="1" applyFont="1" applyFill="1" applyBorder="1"/>
    <xf numFmtId="4" fontId="101" fillId="3" borderId="0" xfId="0" applyNumberFormat="1" applyFont="1" applyFill="1" applyBorder="1"/>
    <xf numFmtId="4" fontId="86" fillId="3" borderId="0" xfId="0" applyNumberFormat="1" applyFont="1" applyFill="1" applyBorder="1"/>
    <xf numFmtId="4" fontId="86" fillId="3" borderId="0" xfId="0" applyNumberFormat="1" applyFont="1" applyFill="1" applyBorder="1" applyAlignment="1">
      <alignment vertical="top"/>
    </xf>
    <xf numFmtId="4" fontId="73" fillId="3" borderId="0" xfId="0" applyNumberFormat="1" applyFont="1" applyFill="1" applyBorder="1" applyAlignment="1">
      <alignment vertical="top"/>
    </xf>
    <xf numFmtId="4" fontId="73" fillId="3" borderId="0" xfId="0" applyNumberFormat="1" applyFont="1" applyFill="1" applyBorder="1" applyAlignment="1"/>
    <xf numFmtId="4" fontId="80" fillId="3" borderId="0" xfId="0" applyNumberFormat="1" applyFont="1" applyFill="1" applyBorder="1" applyAlignment="1">
      <alignment vertical="top"/>
    </xf>
    <xf numFmtId="4" fontId="73" fillId="3" borderId="0" xfId="0" applyNumberFormat="1" applyFont="1" applyFill="1" applyBorder="1" applyAlignment="1">
      <alignment horizontal="right"/>
    </xf>
    <xf numFmtId="4" fontId="73" fillId="3" borderId="0" xfId="1964" applyNumberFormat="1" applyFont="1" applyFill="1" applyBorder="1" applyAlignment="1">
      <alignment vertical="top"/>
    </xf>
    <xf numFmtId="4" fontId="73" fillId="3" borderId="15" xfId="0" applyNumberFormat="1" applyFont="1" applyFill="1" applyBorder="1"/>
    <xf numFmtId="4" fontId="73" fillId="3" borderId="15" xfId="0" applyNumberFormat="1" applyFont="1" applyFill="1" applyBorder="1" applyAlignment="1">
      <alignment horizontal="left" indent="8"/>
    </xf>
    <xf numFmtId="4" fontId="124" fillId="3" borderId="0" xfId="0" applyNumberFormat="1" applyFont="1" applyFill="1" applyBorder="1"/>
    <xf numFmtId="4" fontId="81" fillId="3" borderId="0" xfId="0" applyNumberFormat="1" applyFont="1" applyFill="1" applyBorder="1"/>
    <xf numFmtId="4" fontId="73" fillId="3" borderId="22" xfId="0" applyNumberFormat="1" applyFont="1" applyFill="1" applyBorder="1"/>
    <xf numFmtId="4" fontId="123" fillId="3" borderId="0" xfId="0" applyNumberFormat="1" applyFont="1" applyFill="1" applyBorder="1" applyAlignment="1">
      <alignment vertical="top"/>
    </xf>
    <xf numFmtId="4" fontId="87" fillId="3" borderId="0" xfId="0" applyNumberFormat="1" applyFont="1" applyFill="1" applyBorder="1" applyAlignment="1">
      <alignment vertical="top"/>
    </xf>
    <xf numFmtId="4" fontId="86" fillId="3" borderId="4" xfId="0" applyNumberFormat="1" applyFont="1" applyFill="1" applyBorder="1" applyAlignment="1">
      <alignment vertical="top"/>
    </xf>
    <xf numFmtId="4" fontId="81" fillId="3" borderId="15" xfId="0" applyNumberFormat="1" applyFont="1" applyFill="1" applyBorder="1"/>
    <xf numFmtId="4" fontId="73" fillId="3" borderId="0" xfId="0" applyNumberFormat="1" applyFont="1" applyFill="1" applyBorder="1" applyAlignment="1">
      <alignment horizontal="left" indent="3"/>
    </xf>
    <xf numFmtId="4" fontId="80" fillId="2" borderId="0" xfId="0" applyNumberFormat="1" applyFont="1" applyFill="1" applyBorder="1" applyAlignment="1">
      <alignment vertical="top"/>
    </xf>
    <xf numFmtId="4" fontId="124" fillId="3" borderId="0" xfId="0" applyNumberFormat="1" applyFont="1" applyFill="1" applyBorder="1" applyAlignment="1">
      <alignment horizontal="left" indent="3"/>
    </xf>
    <xf numFmtId="4" fontId="73" fillId="3" borderId="0" xfId="0" applyNumberFormat="1" applyFont="1" applyFill="1" applyBorder="1" applyAlignment="1">
      <alignment horizontal="left" vertical="top" indent="2"/>
    </xf>
    <xf numFmtId="4" fontId="73" fillId="3" borderId="0" xfId="0" applyNumberFormat="1" applyFont="1" applyFill="1" applyBorder="1" applyAlignment="1">
      <alignment horizontal="left" indent="2"/>
    </xf>
    <xf numFmtId="4" fontId="86" fillId="3" borderId="0" xfId="0" applyNumberFormat="1" applyFont="1" applyFill="1" applyBorder="1" applyAlignment="1">
      <alignment horizontal="left" vertical="top"/>
    </xf>
    <xf numFmtId="4" fontId="86" fillId="3" borderId="15" xfId="0" applyNumberFormat="1" applyFont="1" applyFill="1" applyBorder="1" applyAlignment="1">
      <alignment horizontal="right"/>
    </xf>
    <xf numFmtId="4" fontId="73" fillId="3" borderId="0" xfId="0" applyNumberFormat="1" applyFont="1" applyFill="1" applyBorder="1" applyAlignment="1">
      <alignment horizontal="center"/>
    </xf>
    <xf numFmtId="4" fontId="123" fillId="3" borderId="0" xfId="0" applyNumberFormat="1" applyFont="1" applyFill="1" applyBorder="1"/>
    <xf numFmtId="4" fontId="73" fillId="3" borderId="6" xfId="0" applyNumberFormat="1" applyFont="1" applyFill="1" applyBorder="1"/>
    <xf numFmtId="4" fontId="73" fillId="3" borderId="7" xfId="0" applyNumberFormat="1" applyFont="1" applyFill="1" applyBorder="1"/>
    <xf numFmtId="4" fontId="92" fillId="3" borderId="0" xfId="0" applyNumberFormat="1" applyFont="1" applyFill="1" applyBorder="1"/>
    <xf numFmtId="4" fontId="50" fillId="2" borderId="0" xfId="0" applyNumberFormat="1" applyFont="1" applyFill="1" applyBorder="1" applyAlignment="1">
      <alignment horizontal="center" vertical="center"/>
    </xf>
    <xf numFmtId="4" fontId="146" fillId="2" borderId="0" xfId="0" applyNumberFormat="1" applyFont="1" applyFill="1" applyBorder="1" applyAlignment="1">
      <alignment horizontal="center" vertical="center"/>
    </xf>
    <xf numFmtId="4" fontId="32" fillId="3" borderId="0" xfId="0" quotePrefix="1" applyNumberFormat="1" applyFont="1" applyFill="1" applyBorder="1" applyAlignment="1">
      <alignment horizontal="center" vertical="center"/>
    </xf>
    <xf numFmtId="4" fontId="147" fillId="3" borderId="0" xfId="0" applyNumberFormat="1" applyFont="1" applyFill="1" applyBorder="1" applyAlignment="1">
      <alignment horizontal="center" vertical="center"/>
    </xf>
    <xf numFmtId="4" fontId="31" fillId="9" borderId="0" xfId="0" applyNumberFormat="1" applyFont="1" applyFill="1" applyBorder="1" applyAlignment="1">
      <alignment horizontal="center" vertical="center"/>
    </xf>
    <xf numFmtId="4" fontId="31" fillId="9" borderId="5" xfId="0" applyNumberFormat="1" applyFont="1" applyFill="1" applyBorder="1" applyAlignment="1">
      <alignment horizontal="center" vertical="center"/>
    </xf>
    <xf numFmtId="4" fontId="149" fillId="3" borderId="0" xfId="0" applyNumberFormat="1" applyFont="1" applyFill="1" applyBorder="1" applyAlignment="1">
      <alignment horizontal="center" vertical="center"/>
    </xf>
    <xf numFmtId="4" fontId="137" fillId="3" borderId="0" xfId="0" applyNumberFormat="1" applyFont="1" applyFill="1" applyBorder="1" applyAlignment="1">
      <alignment horizontal="center" vertical="center"/>
    </xf>
    <xf numFmtId="4" fontId="150" fillId="3" borderId="0" xfId="0" applyNumberFormat="1" applyFont="1" applyFill="1" applyBorder="1" applyAlignment="1">
      <alignment horizontal="center" vertical="center"/>
    </xf>
    <xf numFmtId="4" fontId="151" fillId="3" borderId="0" xfId="0" applyNumberFormat="1" applyFont="1" applyFill="1" applyBorder="1" applyAlignment="1">
      <alignment horizontal="center" vertical="center"/>
    </xf>
    <xf numFmtId="4" fontId="34" fillId="3" borderId="0" xfId="0" applyNumberFormat="1" applyFont="1" applyFill="1" applyBorder="1" applyAlignment="1">
      <alignment horizontal="center" vertical="center"/>
    </xf>
    <xf numFmtId="4" fontId="148" fillId="3" borderId="0" xfId="0" applyNumberFormat="1" applyFont="1" applyFill="1" applyBorder="1" applyAlignment="1">
      <alignment horizontal="center" vertical="center"/>
    </xf>
    <xf numFmtId="4" fontId="152" fillId="3" borderId="0" xfId="0" applyNumberFormat="1" applyFont="1" applyFill="1" applyBorder="1" applyAlignment="1">
      <alignment horizontal="center" vertical="center"/>
    </xf>
    <xf numFmtId="4" fontId="32" fillId="16" borderId="0" xfId="0" applyNumberFormat="1" applyFont="1" applyFill="1" applyBorder="1" applyAlignment="1">
      <alignment horizontal="center" vertical="center"/>
    </xf>
    <xf numFmtId="4" fontId="146" fillId="15" borderId="0" xfId="0" applyNumberFormat="1" applyFont="1" applyFill="1" applyBorder="1" applyAlignment="1">
      <alignment horizontal="center" vertical="center"/>
    </xf>
    <xf numFmtId="4" fontId="146" fillId="2" borderId="0" xfId="2" applyNumberFormat="1" applyFont="1" applyFill="1" applyBorder="1" applyAlignment="1">
      <alignment horizontal="center" vertical="center"/>
    </xf>
    <xf numFmtId="4" fontId="152" fillId="3" borderId="0" xfId="2" applyNumberFormat="1" applyFont="1" applyFill="1" applyBorder="1" applyAlignment="1">
      <alignment horizontal="center" vertical="center"/>
    </xf>
    <xf numFmtId="4" fontId="50" fillId="2" borderId="15" xfId="0" applyNumberFormat="1" applyFont="1" applyFill="1" applyBorder="1" applyAlignment="1">
      <alignment horizontal="center" vertical="center"/>
    </xf>
    <xf numFmtId="4" fontId="96" fillId="3" borderId="0" xfId="0" applyNumberFormat="1" applyFont="1" applyFill="1" applyBorder="1" applyAlignment="1">
      <alignment vertical="top"/>
    </xf>
    <xf numFmtId="4" fontId="154" fillId="3" borderId="0" xfId="0" applyNumberFormat="1" applyFont="1" applyFill="1" applyBorder="1" applyAlignment="1">
      <alignment horizontal="center" vertical="center"/>
    </xf>
    <xf numFmtId="4" fontId="86" fillId="3" borderId="2" xfId="0" applyNumberFormat="1" applyFont="1" applyFill="1" applyBorder="1"/>
    <xf numFmtId="4" fontId="86" fillId="3" borderId="1" xfId="0" applyNumberFormat="1" applyFont="1" applyFill="1" applyBorder="1" applyAlignment="1">
      <alignment vertical="top"/>
    </xf>
    <xf numFmtId="4" fontId="73" fillId="3" borderId="1" xfId="0" applyNumberFormat="1" applyFont="1" applyFill="1" applyBorder="1"/>
    <xf numFmtId="4" fontId="31" fillId="3" borderId="1" xfId="0" applyNumberFormat="1" applyFont="1" applyFill="1" applyBorder="1" applyAlignment="1">
      <alignment horizontal="center" vertical="center"/>
    </xf>
    <xf numFmtId="4" fontId="32" fillId="0" borderId="1" xfId="0" applyNumberFormat="1" applyFont="1" applyBorder="1" applyAlignment="1">
      <alignment horizontal="center" vertical="center"/>
    </xf>
    <xf numFmtId="4" fontId="32" fillId="3" borderId="1" xfId="0" applyNumberFormat="1" applyFont="1" applyFill="1" applyBorder="1" applyAlignment="1">
      <alignment horizontal="center" vertical="center"/>
    </xf>
    <xf numFmtId="4" fontId="32" fillId="3" borderId="3" xfId="0" applyNumberFormat="1" applyFont="1" applyFill="1" applyBorder="1" applyAlignment="1">
      <alignment horizontal="center" vertical="center"/>
    </xf>
    <xf numFmtId="4" fontId="86" fillId="3" borderId="2" xfId="0" applyNumberFormat="1" applyFont="1" applyFill="1" applyBorder="1" applyAlignment="1">
      <alignment vertical="top"/>
    </xf>
    <xf numFmtId="4" fontId="80" fillId="2" borderId="15" xfId="0" applyNumberFormat="1" applyFont="1" applyFill="1" applyBorder="1" applyAlignment="1">
      <alignment vertical="top"/>
    </xf>
    <xf numFmtId="4" fontId="146" fillId="2" borderId="15" xfId="0" applyNumberFormat="1" applyFont="1" applyFill="1" applyBorder="1" applyAlignment="1">
      <alignment horizontal="center" vertical="center"/>
    </xf>
    <xf numFmtId="4" fontId="86" fillId="3" borderId="6" xfId="0" applyNumberFormat="1" applyFont="1" applyFill="1" applyBorder="1" applyAlignment="1">
      <alignment vertical="top"/>
    </xf>
    <xf numFmtId="4" fontId="73" fillId="3" borderId="7" xfId="0" applyNumberFormat="1" applyFont="1" applyFill="1" applyBorder="1" applyAlignment="1">
      <alignment horizontal="left" indent="3"/>
    </xf>
    <xf numFmtId="208" fontId="73" fillId="3" borderId="64" xfId="0" applyNumberFormat="1" applyFont="1" applyFill="1" applyBorder="1" applyAlignment="1">
      <alignment horizontal="center" vertical="center"/>
    </xf>
    <xf numFmtId="4" fontId="73" fillId="3" borderId="66" xfId="0" applyNumberFormat="1" applyFont="1" applyFill="1" applyBorder="1" applyAlignment="1">
      <alignment horizontal="center" vertical="center"/>
    </xf>
    <xf numFmtId="4" fontId="73" fillId="3" borderId="54" xfId="0" applyNumberFormat="1" applyFont="1" applyFill="1" applyBorder="1" applyAlignment="1">
      <alignment horizontal="center" vertical="center"/>
    </xf>
    <xf numFmtId="208" fontId="73" fillId="3" borderId="107" xfId="0" applyNumberFormat="1" applyFont="1" applyFill="1" applyBorder="1" applyAlignment="1">
      <alignment horizontal="center" vertical="center"/>
    </xf>
    <xf numFmtId="208" fontId="73" fillId="3" borderId="103" xfId="0" applyNumberFormat="1" applyFont="1" applyFill="1" applyBorder="1" applyAlignment="1">
      <alignment horizontal="center" vertical="center"/>
    </xf>
    <xf numFmtId="4" fontId="50" fillId="3" borderId="0" xfId="2839" applyNumberFormat="1" applyFont="1" applyFill="1" applyBorder="1" applyAlignment="1">
      <alignment horizontal="center" vertical="center"/>
    </xf>
    <xf numFmtId="9" fontId="73" fillId="3" borderId="15" xfId="218" applyNumberFormat="1" applyFont="1" applyFill="1" applyBorder="1" applyAlignment="1">
      <alignment horizontal="center" vertical="center"/>
    </xf>
    <xf numFmtId="197" fontId="73" fillId="3" borderId="0" xfId="0" applyNumberFormat="1" applyFont="1" applyFill="1" applyBorder="1" applyAlignment="1">
      <alignment horizontal="center" vertical="center"/>
    </xf>
    <xf numFmtId="4" fontId="145" fillId="43" borderId="29" xfId="0" applyNumberFormat="1" applyFont="1" applyFill="1" applyBorder="1" applyAlignment="1">
      <alignment horizontal="center" vertical="center"/>
    </xf>
    <xf numFmtId="4" fontId="73" fillId="0" borderId="0" xfId="0" applyNumberFormat="1" applyFont="1" applyBorder="1" applyAlignment="1">
      <alignment horizontal="left" vertical="center"/>
    </xf>
    <xf numFmtId="4" fontId="133" fillId="41" borderId="13" xfId="0" applyNumberFormat="1" applyFont="1" applyFill="1" applyBorder="1" applyAlignment="1">
      <alignment horizontal="left" vertical="center"/>
    </xf>
    <xf numFmtId="4" fontId="73" fillId="43" borderId="1" xfId="0" applyNumberFormat="1" applyFont="1" applyFill="1" applyBorder="1"/>
    <xf numFmtId="4" fontId="73" fillId="43" borderId="1" xfId="0" applyNumberFormat="1" applyFont="1" applyFill="1" applyBorder="1" applyAlignment="1">
      <alignment horizontal="center"/>
    </xf>
    <xf numFmtId="4" fontId="73" fillId="43" borderId="3" xfId="0" applyNumberFormat="1" applyFont="1" applyFill="1" applyBorder="1"/>
    <xf numFmtId="4" fontId="133" fillId="43" borderId="2" xfId="0" applyNumberFormat="1" applyFont="1" applyFill="1" applyBorder="1" applyAlignment="1">
      <alignment horizontal="left" indent="1"/>
    </xf>
    <xf numFmtId="4" fontId="32" fillId="3" borderId="4" xfId="0" applyNumberFormat="1" applyFont="1" applyFill="1" applyBorder="1"/>
    <xf numFmtId="4" fontId="32" fillId="3" borderId="0" xfId="0" applyNumberFormat="1" applyFont="1" applyFill="1" applyBorder="1" applyAlignment="1">
      <alignment horizontal="center"/>
    </xf>
    <xf numFmtId="4" fontId="32" fillId="3" borderId="5" xfId="0" applyNumberFormat="1" applyFont="1" applyFill="1" applyBorder="1"/>
    <xf numFmtId="4" fontId="31" fillId="9" borderId="4" xfId="0" applyNumberFormat="1" applyFont="1" applyFill="1" applyBorder="1" applyAlignment="1">
      <alignment horizontal="left" vertical="center" indent="3"/>
    </xf>
    <xf numFmtId="165" fontId="31" fillId="9" borderId="0" xfId="0" applyNumberFormat="1" applyFont="1" applyFill="1" applyBorder="1" applyAlignment="1">
      <alignment horizontal="center"/>
    </xf>
    <xf numFmtId="165" fontId="31" fillId="9" borderId="0" xfId="0" applyNumberFormat="1" applyFont="1" applyFill="1" applyBorder="1" applyAlignment="1">
      <alignment horizontal="center" vertical="center"/>
    </xf>
    <xf numFmtId="165" fontId="31" fillId="9" borderId="0" xfId="0" applyNumberFormat="1" applyFont="1" applyFill="1" applyBorder="1" applyAlignment="1">
      <alignment horizontal="left" vertical="center"/>
    </xf>
    <xf numFmtId="4" fontId="31" fillId="9" borderId="0" xfId="0" applyNumberFormat="1" applyFont="1" applyFill="1" applyBorder="1" applyAlignment="1">
      <alignment horizontal="center"/>
    </xf>
    <xf numFmtId="4" fontId="31" fillId="9" borderId="5" xfId="0" applyNumberFormat="1" applyFont="1" applyFill="1" applyBorder="1" applyAlignment="1">
      <alignment horizontal="center"/>
    </xf>
    <xf numFmtId="165" fontId="29" fillId="3" borderId="4" xfId="0" applyNumberFormat="1" applyFont="1" applyFill="1" applyBorder="1" applyAlignment="1">
      <alignment horizontal="left" indent="1"/>
    </xf>
    <xf numFmtId="4" fontId="137" fillId="2" borderId="0" xfId="0" applyNumberFormat="1" applyFont="1" applyFill="1" applyBorder="1" applyAlignment="1">
      <alignment horizontal="center" vertical="center"/>
    </xf>
    <xf numFmtId="4" fontId="32" fillId="3" borderId="0" xfId="0" applyNumberFormat="1" applyFont="1" applyFill="1" applyBorder="1" applyAlignment="1">
      <alignment vertical="top"/>
    </xf>
    <xf numFmtId="4" fontId="137" fillId="2" borderId="0" xfId="0" applyNumberFormat="1" applyFont="1" applyFill="1" applyBorder="1" applyAlignment="1">
      <alignment horizontal="center"/>
    </xf>
    <xf numFmtId="165" fontId="34" fillId="3" borderId="0" xfId="0" applyNumberFormat="1" applyFont="1" applyFill="1" applyBorder="1"/>
    <xf numFmtId="4" fontId="86" fillId="3" borderId="0" xfId="0" applyNumberFormat="1" applyFont="1" applyFill="1" applyBorder="1" applyAlignment="1">
      <alignment horizontal="center" vertical="center"/>
    </xf>
    <xf numFmtId="4" fontId="73" fillId="3" borderId="0" xfId="0" applyNumberFormat="1" applyFont="1" applyFill="1" applyBorder="1" applyAlignment="1">
      <alignment horizontal="center" vertical="center"/>
    </xf>
    <xf numFmtId="165" fontId="9" fillId="3" borderId="0" xfId="0" applyNumberFormat="1" applyFont="1" applyFill="1" applyBorder="1"/>
    <xf numFmtId="4" fontId="106" fillId="3" borderId="0" xfId="0" applyNumberFormat="1" applyFont="1" applyFill="1" applyBorder="1" applyAlignment="1">
      <alignment horizontal="center" vertical="center" wrapText="1"/>
    </xf>
    <xf numFmtId="4" fontId="86" fillId="3" borderId="2" xfId="0" applyNumberFormat="1" applyFont="1" applyFill="1" applyBorder="1" applyAlignment="1">
      <alignment horizontal="center" vertical="center"/>
    </xf>
    <xf numFmtId="4" fontId="86" fillId="3" borderId="18" xfId="0" applyNumberFormat="1" applyFont="1" applyFill="1" applyBorder="1" applyAlignment="1">
      <alignment horizontal="center" vertical="center"/>
    </xf>
    <xf numFmtId="4" fontId="75" fillId="3" borderId="0" xfId="0" applyNumberFormat="1" applyFont="1" applyFill="1" applyBorder="1" applyAlignment="1">
      <alignment horizontal="center" vertical="center"/>
    </xf>
    <xf numFmtId="4" fontId="75" fillId="3" borderId="83" xfId="0" applyNumberFormat="1" applyFont="1" applyFill="1" applyBorder="1" applyAlignment="1">
      <alignment horizontal="center" vertical="center"/>
    </xf>
    <xf numFmtId="2" fontId="86" fillId="3" borderId="0" xfId="0" applyNumberFormat="1" applyFont="1" applyFill="1" applyBorder="1" applyAlignment="1">
      <alignment horizontal="center" vertical="center"/>
    </xf>
    <xf numFmtId="2" fontId="73" fillId="3" borderId="0" xfId="0" applyNumberFormat="1" applyFont="1" applyFill="1" applyBorder="1" applyAlignment="1">
      <alignment horizontal="center" vertical="center"/>
    </xf>
    <xf numFmtId="2" fontId="86" fillId="9" borderId="0" xfId="0" applyNumberFormat="1" applyFont="1" applyFill="1" applyBorder="1" applyAlignment="1">
      <alignment horizontal="center" vertical="center"/>
    </xf>
    <xf numFmtId="4" fontId="78" fillId="9" borderId="0" xfId="0" applyNumberFormat="1" applyFont="1" applyFill="1" applyBorder="1" applyAlignment="1">
      <alignment horizontal="center"/>
    </xf>
    <xf numFmtId="10" fontId="0" fillId="3" borderId="0" xfId="2" applyNumberFormat="1" applyFont="1" applyFill="1" applyBorder="1" applyAlignment="1">
      <alignment horizontal="center"/>
    </xf>
    <xf numFmtId="0" fontId="0" fillId="3" borderId="0" xfId="0" applyFill="1" applyBorder="1" applyAlignment="1">
      <alignment horizontal="center"/>
    </xf>
    <xf numFmtId="4" fontId="45" fillId="9" borderId="104" xfId="0" applyNumberFormat="1" applyFont="1" applyFill="1" applyBorder="1" applyAlignment="1">
      <alignment horizontal="center"/>
    </xf>
    <xf numFmtId="4" fontId="45" fillId="9" borderId="101" xfId="0" applyNumberFormat="1" applyFont="1" applyFill="1" applyBorder="1" applyAlignment="1">
      <alignment horizontal="center"/>
    </xf>
    <xf numFmtId="10" fontId="0" fillId="3" borderId="106" xfId="2" applyNumberFormat="1" applyFont="1" applyFill="1" applyBorder="1" applyAlignment="1">
      <alignment horizontal="center"/>
    </xf>
    <xf numFmtId="4" fontId="78" fillId="9" borderId="106" xfId="0" applyNumberFormat="1" applyFont="1" applyFill="1" applyBorder="1" applyAlignment="1">
      <alignment horizontal="center"/>
    </xf>
    <xf numFmtId="4" fontId="45" fillId="3" borderId="107" xfId="2" applyNumberFormat="1" applyFont="1" applyFill="1" applyBorder="1" applyAlignment="1">
      <alignment horizontal="center"/>
    </xf>
    <xf numFmtId="4" fontId="45" fillId="3" borderId="103" xfId="2" applyNumberFormat="1" applyFont="1" applyFill="1" applyBorder="1" applyAlignment="1">
      <alignment horizontal="center"/>
    </xf>
    <xf numFmtId="165" fontId="31" fillId="3" borderId="0" xfId="51" applyNumberFormat="1" applyFont="1" applyFill="1" applyBorder="1" applyAlignment="1">
      <alignment horizontal="center" vertical="center"/>
    </xf>
    <xf numFmtId="0" fontId="104" fillId="3" borderId="0" xfId="0" applyNumberFormat="1" applyFont="1" applyFill="1" applyBorder="1" applyAlignment="1">
      <alignment horizontal="center" vertical="center"/>
    </xf>
    <xf numFmtId="165" fontId="155" fillId="3" borderId="0" xfId="51" applyNumberFormat="1" applyFont="1" applyFill="1" applyBorder="1" applyAlignment="1">
      <alignment horizontal="center" vertical="center"/>
    </xf>
    <xf numFmtId="0" fontId="32" fillId="3" borderId="0" xfId="181" applyFont="1" applyFill="1" applyBorder="1" applyAlignment="1">
      <alignment horizontal="center" vertical="center" wrapText="1"/>
    </xf>
    <xf numFmtId="10" fontId="32" fillId="3" borderId="0" xfId="2" applyNumberFormat="1" applyFont="1" applyFill="1" applyBorder="1" applyAlignment="1">
      <alignment horizontal="center" vertical="center"/>
    </xf>
    <xf numFmtId="207" fontId="32" fillId="3" borderId="0" xfId="0" applyNumberFormat="1" applyFont="1" applyFill="1" applyBorder="1" applyAlignment="1">
      <alignment horizontal="center" vertical="center"/>
    </xf>
    <xf numFmtId="10" fontId="31" fillId="6" borderId="0" xfId="0" applyNumberFormat="1" applyFont="1" applyFill="1" applyBorder="1" applyAlignment="1">
      <alignment horizontal="center" vertical="center"/>
    </xf>
    <xf numFmtId="4" fontId="31" fillId="6" borderId="0" xfId="0" applyNumberFormat="1" applyFont="1" applyFill="1" applyBorder="1" applyAlignment="1">
      <alignment horizontal="center" vertical="center"/>
    </xf>
    <xf numFmtId="1" fontId="32" fillId="3" borderId="0" xfId="0" applyNumberFormat="1" applyFont="1" applyFill="1" applyBorder="1" applyAlignment="1">
      <alignment horizontal="center" vertical="center"/>
    </xf>
    <xf numFmtId="209" fontId="32" fillId="3" borderId="0" xfId="0" applyNumberFormat="1" applyFont="1" applyFill="1" applyBorder="1" applyAlignment="1">
      <alignment horizontal="center" vertical="center"/>
    </xf>
    <xf numFmtId="4" fontId="50" fillId="3" borderId="0" xfId="0" applyNumberFormat="1" applyFont="1" applyFill="1" applyBorder="1" applyAlignment="1">
      <alignment horizontal="center" vertical="center"/>
    </xf>
    <xf numFmtId="0" fontId="104" fillId="3" borderId="0" xfId="0" applyFont="1" applyFill="1" applyBorder="1" applyAlignment="1">
      <alignment horizontal="center" vertical="center"/>
    </xf>
    <xf numFmtId="175" fontId="32" fillId="3" borderId="0" xfId="0" applyNumberFormat="1" applyFont="1" applyFill="1" applyBorder="1" applyAlignment="1">
      <alignment horizontal="center" vertical="center"/>
    </xf>
    <xf numFmtId="165" fontId="50" fillId="56" borderId="0" xfId="0" applyNumberFormat="1" applyFont="1" applyFill="1" applyBorder="1" applyAlignment="1">
      <alignment horizontal="center" vertical="center"/>
    </xf>
    <xf numFmtId="4" fontId="29" fillId="10" borderId="0" xfId="2839" applyNumberFormat="1" applyFont="1" applyFill="1" applyBorder="1" applyAlignment="1">
      <alignment horizontal="center" vertical="center"/>
    </xf>
    <xf numFmtId="4" fontId="31" fillId="6" borderId="0" xfId="0" applyNumberFormat="1" applyFont="1" applyFill="1" applyBorder="1" applyAlignment="1">
      <alignment horizontal="center" vertical="center" wrapText="1"/>
    </xf>
    <xf numFmtId="4" fontId="31" fillId="10" borderId="0" xfId="2839" applyNumberFormat="1" applyFont="1" applyFill="1" applyBorder="1" applyAlignment="1">
      <alignment horizontal="center" vertical="center"/>
    </xf>
    <xf numFmtId="10" fontId="31" fillId="59" borderId="0" xfId="0" applyNumberFormat="1" applyFont="1" applyFill="1" applyBorder="1" applyAlignment="1">
      <alignment horizontal="center" vertical="center"/>
    </xf>
    <xf numFmtId="0" fontId="31" fillId="59" borderId="0" xfId="0" applyFont="1" applyFill="1" applyBorder="1" applyAlignment="1">
      <alignment horizontal="center" vertical="center"/>
    </xf>
    <xf numFmtId="10" fontId="32" fillId="59" borderId="0" xfId="0" applyNumberFormat="1" applyFont="1" applyFill="1" applyBorder="1" applyAlignment="1">
      <alignment horizontal="center" vertical="center"/>
    </xf>
    <xf numFmtId="165" fontId="50" fillId="58" borderId="0" xfId="0" applyNumberFormat="1" applyFont="1" applyFill="1" applyBorder="1" applyAlignment="1">
      <alignment horizontal="center" vertical="center"/>
    </xf>
    <xf numFmtId="4" fontId="31" fillId="59" borderId="0" xfId="0" applyNumberFormat="1" applyFont="1" applyFill="1" applyBorder="1" applyAlignment="1">
      <alignment horizontal="center" vertical="center"/>
    </xf>
    <xf numFmtId="0" fontId="32" fillId="3" borderId="0" xfId="0" applyNumberFormat="1" applyFont="1" applyFill="1" applyBorder="1" applyAlignment="1">
      <alignment horizontal="left" vertical="center" indent="1"/>
    </xf>
    <xf numFmtId="0" fontId="104" fillId="3" borderId="132" xfId="0" applyNumberFormat="1" applyFont="1" applyFill="1" applyBorder="1" applyAlignment="1">
      <alignment horizontal="center" vertical="center"/>
    </xf>
    <xf numFmtId="165" fontId="31" fillId="3" borderId="133" xfId="51" applyNumberFormat="1" applyFont="1" applyFill="1" applyBorder="1" applyAlignment="1">
      <alignment horizontal="center" vertical="center"/>
    </xf>
    <xf numFmtId="0" fontId="32" fillId="3" borderId="132" xfId="0" applyNumberFormat="1" applyFont="1" applyFill="1" applyBorder="1" applyAlignment="1">
      <alignment horizontal="left" vertical="center" indent="1"/>
    </xf>
    <xf numFmtId="208" fontId="32" fillId="3" borderId="133" xfId="0" applyNumberFormat="1" applyFont="1" applyFill="1" applyBorder="1" applyAlignment="1">
      <alignment horizontal="center" vertical="center"/>
    </xf>
    <xf numFmtId="208" fontId="31" fillId="6" borderId="133" xfId="51" applyNumberFormat="1" applyFont="1" applyFill="1" applyBorder="1" applyAlignment="1">
      <alignment horizontal="center" vertical="center"/>
    </xf>
    <xf numFmtId="0" fontId="32" fillId="3" borderId="132" xfId="181" applyNumberFormat="1" applyFont="1" applyFill="1" applyBorder="1" applyAlignment="1">
      <alignment horizontal="left" vertical="center" wrapText="1" indent="1"/>
    </xf>
    <xf numFmtId="0" fontId="32" fillId="3" borderId="132" xfId="0" applyNumberFormat="1" applyFont="1" applyFill="1" applyBorder="1" applyAlignment="1">
      <alignment horizontal="left" vertical="center" indent="2"/>
    </xf>
    <xf numFmtId="0" fontId="31" fillId="6" borderId="132" xfId="0" applyNumberFormat="1" applyFont="1" applyFill="1" applyBorder="1" applyAlignment="1">
      <alignment horizontal="center" vertical="center"/>
    </xf>
    <xf numFmtId="0" fontId="32" fillId="3" borderId="132" xfId="181" applyNumberFormat="1" applyFont="1" applyFill="1" applyBorder="1" applyAlignment="1">
      <alignment horizontal="left" vertical="center" indent="1"/>
    </xf>
    <xf numFmtId="208" fontId="32" fillId="3" borderId="133" xfId="51" applyNumberFormat="1" applyFont="1" applyFill="1" applyBorder="1" applyAlignment="1">
      <alignment horizontal="center" vertical="center"/>
    </xf>
    <xf numFmtId="207" fontId="8" fillId="3" borderId="133" xfId="0" applyNumberFormat="1" applyFont="1" applyFill="1" applyBorder="1" applyAlignment="1">
      <alignment horizontal="center" vertical="center"/>
    </xf>
    <xf numFmtId="165" fontId="50" fillId="56" borderId="133" xfId="0" applyNumberFormat="1" applyFont="1" applyFill="1" applyBorder="1" applyAlignment="1">
      <alignment horizontal="center" vertical="center"/>
    </xf>
    <xf numFmtId="0" fontId="31" fillId="6" borderId="132" xfId="0" applyNumberFormat="1" applyFont="1" applyFill="1" applyBorder="1" applyAlignment="1">
      <alignment horizontal="center" vertical="center" wrapText="1"/>
    </xf>
    <xf numFmtId="0" fontId="31" fillId="6" borderId="133" xfId="0" applyFont="1" applyFill="1" applyBorder="1" applyAlignment="1">
      <alignment horizontal="center" vertical="center" wrapText="1"/>
    </xf>
    <xf numFmtId="0" fontId="29" fillId="3" borderId="132" xfId="0" applyNumberFormat="1" applyFont="1" applyFill="1" applyBorder="1" applyAlignment="1">
      <alignment horizontal="left" vertical="center" indent="1"/>
    </xf>
    <xf numFmtId="4" fontId="32" fillId="3" borderId="133" xfId="0" applyNumberFormat="1" applyFont="1" applyFill="1" applyBorder="1" applyAlignment="1">
      <alignment horizontal="center" vertical="center"/>
    </xf>
    <xf numFmtId="0" fontId="8" fillId="3" borderId="132" xfId="0" applyNumberFormat="1" applyFont="1" applyFill="1" applyBorder="1" applyAlignment="1">
      <alignment horizontal="left" vertical="center" indent="1"/>
    </xf>
    <xf numFmtId="0" fontId="32" fillId="3" borderId="132" xfId="0" applyNumberFormat="1" applyFont="1" applyFill="1" applyBorder="1" applyAlignment="1">
      <alignment horizontal="left" vertical="center" indent="3"/>
    </xf>
    <xf numFmtId="0" fontId="31" fillId="10" borderId="132" xfId="0" applyNumberFormat="1" applyFont="1" applyFill="1" applyBorder="1" applyAlignment="1">
      <alignment horizontal="left" vertical="center" indent="1"/>
    </xf>
    <xf numFmtId="4" fontId="29" fillId="10" borderId="133" xfId="2839" applyNumberFormat="1" applyFont="1" applyFill="1" applyBorder="1" applyAlignment="1">
      <alignment horizontal="center" vertical="center"/>
    </xf>
    <xf numFmtId="0" fontId="31" fillId="6" borderId="133" xfId="0" applyFont="1" applyFill="1" applyBorder="1" applyAlignment="1">
      <alignment horizontal="center" vertical="center"/>
    </xf>
    <xf numFmtId="0" fontId="29" fillId="10" borderId="132" xfId="0" applyNumberFormat="1" applyFont="1" applyFill="1" applyBorder="1" applyAlignment="1">
      <alignment horizontal="left" vertical="center" indent="1"/>
    </xf>
    <xf numFmtId="0" fontId="50" fillId="3" borderId="132" xfId="0" applyNumberFormat="1" applyFont="1" applyFill="1" applyBorder="1" applyAlignment="1">
      <alignment horizontal="center" vertical="center"/>
    </xf>
    <xf numFmtId="4" fontId="50" fillId="3" borderId="133" xfId="2839" applyNumberFormat="1" applyFont="1" applyFill="1" applyBorder="1" applyAlignment="1">
      <alignment horizontal="center" vertical="center"/>
    </xf>
    <xf numFmtId="4" fontId="31" fillId="10" borderId="133" xfId="2839" applyNumberFormat="1" applyFont="1" applyFill="1" applyBorder="1" applyAlignment="1">
      <alignment horizontal="center" vertical="center"/>
    </xf>
    <xf numFmtId="4" fontId="50" fillId="3" borderId="133" xfId="0" applyNumberFormat="1" applyFont="1" applyFill="1" applyBorder="1" applyAlignment="1">
      <alignment horizontal="center" vertical="center"/>
    </xf>
    <xf numFmtId="0" fontId="31" fillId="59" borderId="132" xfId="181" applyNumberFormat="1" applyFont="1" applyFill="1" applyBorder="1" applyAlignment="1">
      <alignment horizontal="left" vertical="center" indent="1"/>
    </xf>
    <xf numFmtId="4" fontId="31" fillId="59" borderId="133" xfId="51" applyNumberFormat="1" applyFont="1" applyFill="1" applyBorder="1" applyAlignment="1">
      <alignment horizontal="center" vertical="center"/>
    </xf>
    <xf numFmtId="0" fontId="31" fillId="59" borderId="132" xfId="0" applyNumberFormat="1" applyFont="1" applyFill="1" applyBorder="1" applyAlignment="1">
      <alignment horizontal="left" vertical="center" indent="1"/>
    </xf>
    <xf numFmtId="165" fontId="50" fillId="58" borderId="133" xfId="0" applyNumberFormat="1" applyFont="1" applyFill="1" applyBorder="1" applyAlignment="1">
      <alignment horizontal="center" vertical="center"/>
    </xf>
    <xf numFmtId="0" fontId="31" fillId="59" borderId="132" xfId="0" applyNumberFormat="1" applyFont="1" applyFill="1" applyBorder="1" applyAlignment="1">
      <alignment horizontal="center" vertical="center" wrapText="1"/>
    </xf>
    <xf numFmtId="0" fontId="31" fillId="59" borderId="133" xfId="0" applyFont="1" applyFill="1" applyBorder="1" applyAlignment="1">
      <alignment horizontal="center" vertical="center"/>
    </xf>
    <xf numFmtId="0" fontId="31" fillId="3" borderId="132" xfId="0" applyNumberFormat="1" applyFont="1" applyFill="1" applyBorder="1" applyAlignment="1">
      <alignment horizontal="left" vertical="center" indent="1"/>
    </xf>
    <xf numFmtId="4" fontId="157" fillId="3" borderId="133" xfId="0" applyNumberFormat="1" applyFont="1" applyFill="1" applyBorder="1" applyAlignment="1">
      <alignment horizontal="center" vertical="center"/>
    </xf>
    <xf numFmtId="0" fontId="137" fillId="3" borderId="132" xfId="0" applyNumberFormat="1" applyFont="1" applyFill="1" applyBorder="1" applyAlignment="1">
      <alignment horizontal="left" vertical="center"/>
    </xf>
    <xf numFmtId="4" fontId="137" fillId="3" borderId="133" xfId="0" applyNumberFormat="1" applyFont="1" applyFill="1" applyBorder="1" applyAlignment="1">
      <alignment horizontal="center" vertical="center"/>
    </xf>
    <xf numFmtId="0" fontId="31" fillId="3" borderId="132" xfId="51" applyNumberFormat="1" applyFont="1" applyFill="1" applyBorder="1" applyAlignment="1">
      <alignment horizontal="left" vertical="center"/>
    </xf>
    <xf numFmtId="4" fontId="31" fillId="59" borderId="133" xfId="0" applyNumberFormat="1" applyFont="1" applyFill="1" applyBorder="1" applyAlignment="1">
      <alignment horizontal="center" vertical="center"/>
    </xf>
    <xf numFmtId="0" fontId="32" fillId="3" borderId="132" xfId="0" applyNumberFormat="1" applyFont="1" applyFill="1" applyBorder="1" applyAlignment="1">
      <alignment horizontal="left" vertical="center"/>
    </xf>
    <xf numFmtId="165" fontId="50" fillId="56" borderId="132" xfId="0" applyNumberFormat="1" applyFont="1" applyFill="1" applyBorder="1" applyAlignment="1">
      <alignment horizontal="center" vertical="center"/>
    </xf>
    <xf numFmtId="165" fontId="50" fillId="58" borderId="132" xfId="0" applyNumberFormat="1" applyFont="1" applyFill="1" applyBorder="1" applyAlignment="1">
      <alignment horizontal="center" vertical="center"/>
    </xf>
    <xf numFmtId="0" fontId="104" fillId="3" borderId="135" xfId="0" applyNumberFormat="1" applyFont="1" applyFill="1" applyBorder="1" applyAlignment="1">
      <alignment horizontal="center" vertical="center"/>
    </xf>
    <xf numFmtId="0" fontId="94" fillId="55" borderId="135" xfId="216" applyNumberFormat="1" applyFont="1" applyFill="1" applyBorder="1" applyAlignment="1">
      <alignment horizontal="center" vertical="center"/>
    </xf>
    <xf numFmtId="0" fontId="94" fillId="46" borderId="135" xfId="0" applyNumberFormat="1" applyFont="1" applyFill="1" applyBorder="1" applyAlignment="1">
      <alignment horizontal="center" vertical="center" wrapText="1"/>
    </xf>
    <xf numFmtId="0" fontId="32" fillId="3" borderId="135" xfId="0" applyNumberFormat="1" applyFont="1" applyFill="1" applyBorder="1" applyAlignment="1">
      <alignment horizontal="left" vertical="center" indent="1"/>
    </xf>
    <xf numFmtId="0" fontId="31" fillId="6" borderId="135" xfId="181" applyNumberFormat="1" applyFont="1" applyFill="1" applyBorder="1" applyAlignment="1">
      <alignment horizontal="center" vertical="center"/>
    </xf>
    <xf numFmtId="0" fontId="32" fillId="3" borderId="135" xfId="181" applyNumberFormat="1" applyFont="1" applyFill="1" applyBorder="1" applyAlignment="1">
      <alignment horizontal="left" vertical="center" wrapText="1" indent="1"/>
    </xf>
    <xf numFmtId="0" fontId="32" fillId="3" borderId="135" xfId="0" applyNumberFormat="1" applyFont="1" applyFill="1" applyBorder="1" applyAlignment="1">
      <alignment horizontal="left" vertical="center" indent="2"/>
    </xf>
    <xf numFmtId="0" fontId="31" fillId="6" borderId="135" xfId="0" applyNumberFormat="1" applyFont="1" applyFill="1" applyBorder="1" applyAlignment="1">
      <alignment horizontal="center" vertical="center"/>
    </xf>
    <xf numFmtId="0" fontId="32" fillId="3" borderId="135" xfId="181" applyNumberFormat="1" applyFont="1" applyFill="1" applyBorder="1" applyAlignment="1">
      <alignment horizontal="left" vertical="center" indent="1"/>
    </xf>
    <xf numFmtId="0" fontId="8" fillId="10" borderId="135" xfId="219" applyFont="1" applyFill="1" applyBorder="1" applyAlignment="1">
      <alignment horizontal="center" vertical="center" wrapText="1"/>
    </xf>
    <xf numFmtId="165" fontId="50" fillId="56" borderId="135" xfId="0" applyNumberFormat="1" applyFont="1" applyFill="1" applyBorder="1" applyAlignment="1">
      <alignment horizontal="center" vertical="center"/>
    </xf>
    <xf numFmtId="0" fontId="31" fillId="6" borderId="135" xfId="0" applyNumberFormat="1" applyFont="1" applyFill="1" applyBorder="1" applyAlignment="1">
      <alignment horizontal="center" vertical="center" wrapText="1"/>
    </xf>
    <xf numFmtId="0" fontId="29" fillId="3" borderId="135" xfId="0" applyNumberFormat="1" applyFont="1" applyFill="1" applyBorder="1" applyAlignment="1">
      <alignment horizontal="left" vertical="center" indent="1"/>
    </xf>
    <xf numFmtId="0" fontId="8" fillId="3" borderId="135" xfId="0" applyNumberFormat="1" applyFont="1" applyFill="1" applyBorder="1" applyAlignment="1">
      <alignment horizontal="left" vertical="center" indent="1"/>
    </xf>
    <xf numFmtId="0" fontId="32" fillId="3" borderId="135" xfId="0" applyNumberFormat="1" applyFont="1" applyFill="1" applyBorder="1" applyAlignment="1">
      <alignment horizontal="left" vertical="center" indent="3"/>
    </xf>
    <xf numFmtId="0" fontId="31" fillId="10" borderId="135" xfId="0" applyNumberFormat="1" applyFont="1" applyFill="1" applyBorder="1" applyAlignment="1">
      <alignment horizontal="left" vertical="center" indent="1"/>
    </xf>
    <xf numFmtId="0" fontId="29" fillId="10" borderId="135" xfId="0" applyNumberFormat="1" applyFont="1" applyFill="1" applyBorder="1" applyAlignment="1">
      <alignment horizontal="left" vertical="center" indent="1"/>
    </xf>
    <xf numFmtId="0" fontId="50" fillId="3" borderId="135" xfId="0" applyNumberFormat="1" applyFont="1" applyFill="1" applyBorder="1" applyAlignment="1">
      <alignment horizontal="center" vertical="center"/>
    </xf>
    <xf numFmtId="0" fontId="31" fillId="3" borderId="135" xfId="0" applyNumberFormat="1" applyFont="1" applyFill="1" applyBorder="1" applyAlignment="1">
      <alignment horizontal="left" vertical="center" indent="1"/>
    </xf>
    <xf numFmtId="0" fontId="94" fillId="50" borderId="135" xfId="216" applyNumberFormat="1" applyFont="1" applyFill="1" applyBorder="1" applyAlignment="1">
      <alignment horizontal="center" vertical="center"/>
    </xf>
    <xf numFmtId="0" fontId="94" fillId="57" borderId="135" xfId="216" applyNumberFormat="1" applyFont="1" applyFill="1" applyBorder="1" applyAlignment="1">
      <alignment horizontal="center" vertical="center"/>
    </xf>
    <xf numFmtId="0" fontId="31" fillId="59" borderId="135" xfId="181" applyNumberFormat="1" applyFont="1" applyFill="1" applyBorder="1" applyAlignment="1">
      <alignment horizontal="left" vertical="center" indent="1"/>
    </xf>
    <xf numFmtId="0" fontId="31" fillId="59" borderId="135" xfId="0" applyNumberFormat="1" applyFont="1" applyFill="1" applyBorder="1" applyAlignment="1">
      <alignment horizontal="left" vertical="center" indent="1"/>
    </xf>
    <xf numFmtId="0" fontId="94" fillId="50" borderId="135" xfId="219" applyFont="1" applyFill="1" applyBorder="1" applyAlignment="1">
      <alignment horizontal="center" vertical="center" wrapText="1"/>
    </xf>
    <xf numFmtId="165" fontId="50" fillId="58" borderId="135" xfId="0" applyNumberFormat="1" applyFont="1" applyFill="1" applyBorder="1" applyAlignment="1">
      <alignment horizontal="center" vertical="center"/>
    </xf>
    <xf numFmtId="0" fontId="31" fillId="59" borderId="135" xfId="0" applyNumberFormat="1" applyFont="1" applyFill="1" applyBorder="1" applyAlignment="1">
      <alignment horizontal="center" vertical="center" wrapText="1"/>
    </xf>
    <xf numFmtId="0" fontId="137" fillId="3" borderId="135" xfId="0" applyNumberFormat="1" applyFont="1" applyFill="1" applyBorder="1" applyAlignment="1">
      <alignment horizontal="left" vertical="center"/>
    </xf>
    <xf numFmtId="0" fontId="31" fillId="3" borderId="135" xfId="51" applyNumberFormat="1" applyFont="1" applyFill="1" applyBorder="1" applyAlignment="1">
      <alignment horizontal="left" vertical="center"/>
    </xf>
    <xf numFmtId="0" fontId="32" fillId="3" borderId="135" xfId="0" applyNumberFormat="1" applyFont="1" applyFill="1" applyBorder="1" applyAlignment="1">
      <alignment horizontal="left" vertical="center"/>
    </xf>
    <xf numFmtId="207" fontId="73" fillId="3" borderId="4" xfId="0" applyNumberFormat="1" applyFont="1" applyFill="1" applyBorder="1" applyAlignment="1">
      <alignment horizontal="center" vertical="center"/>
    </xf>
    <xf numFmtId="207" fontId="73" fillId="3" borderId="5" xfId="0" applyNumberFormat="1" applyFont="1" applyFill="1" applyBorder="1" applyAlignment="1">
      <alignment horizontal="center" vertical="center"/>
    </xf>
    <xf numFmtId="207" fontId="86" fillId="9" borderId="6" xfId="0" applyNumberFormat="1" applyFont="1" applyFill="1" applyBorder="1" applyAlignment="1">
      <alignment horizontal="center" vertical="center"/>
    </xf>
    <xf numFmtId="207" fontId="86" fillId="9" borderId="8" xfId="0" applyNumberFormat="1" applyFont="1" applyFill="1" applyBorder="1" applyAlignment="1">
      <alignment horizontal="center" vertical="center"/>
    </xf>
    <xf numFmtId="3" fontId="73" fillId="3" borderId="4" xfId="0" applyNumberFormat="1" applyFont="1" applyFill="1" applyBorder="1" applyAlignment="1">
      <alignment horizontal="center" vertical="center"/>
    </xf>
    <xf numFmtId="3" fontId="73" fillId="3" borderId="5" xfId="0" applyNumberFormat="1" applyFont="1" applyFill="1" applyBorder="1" applyAlignment="1">
      <alignment horizontal="center" vertical="center"/>
    </xf>
    <xf numFmtId="3" fontId="86" fillId="9" borderId="6" xfId="0" applyNumberFormat="1" applyFont="1" applyFill="1" applyBorder="1" applyAlignment="1">
      <alignment horizontal="center" vertical="center"/>
    </xf>
    <xf numFmtId="3" fontId="86" fillId="9" borderId="8" xfId="0" applyNumberFormat="1" applyFont="1" applyFill="1" applyBorder="1" applyAlignment="1">
      <alignment horizontal="center" vertical="center"/>
    </xf>
    <xf numFmtId="4" fontId="86" fillId="3" borderId="0" xfId="0" applyNumberFormat="1" applyFont="1" applyFill="1" applyBorder="1" applyAlignment="1">
      <alignment horizontal="center" vertical="center"/>
    </xf>
    <xf numFmtId="4" fontId="86" fillId="3" borderId="81" xfId="0" applyNumberFormat="1" applyFont="1" applyFill="1" applyBorder="1" applyAlignment="1">
      <alignment horizontal="center" vertical="center"/>
    </xf>
    <xf numFmtId="4" fontId="73" fillId="3" borderId="7" xfId="0" applyNumberFormat="1" applyFont="1" applyFill="1" applyBorder="1" applyAlignment="1">
      <alignment horizontal="center" vertical="center"/>
    </xf>
    <xf numFmtId="4" fontId="73" fillId="3" borderId="0" xfId="0" applyNumberFormat="1" applyFont="1" applyFill="1" applyBorder="1" applyAlignment="1">
      <alignment horizontal="center" vertical="center"/>
    </xf>
    <xf numFmtId="4" fontId="98" fillId="48" borderId="0" xfId="0" applyNumberFormat="1" applyFont="1" applyFill="1" applyBorder="1" applyAlignment="1">
      <alignment horizontal="left" vertical="center"/>
    </xf>
    <xf numFmtId="4" fontId="86" fillId="3" borderId="79" xfId="662" applyNumberFormat="1" applyFont="1" applyFill="1" applyBorder="1" applyAlignment="1">
      <alignment horizontal="center" vertical="center"/>
    </xf>
    <xf numFmtId="4" fontId="86" fillId="3" borderId="78" xfId="662" applyNumberFormat="1" applyFont="1" applyFill="1" applyBorder="1" applyAlignment="1">
      <alignment horizontal="center" vertical="center"/>
    </xf>
    <xf numFmtId="4" fontId="86" fillId="3" borderId="80" xfId="662" applyNumberFormat="1" applyFont="1" applyFill="1" applyBorder="1" applyAlignment="1">
      <alignment horizontal="left" vertical="center"/>
    </xf>
    <xf numFmtId="4" fontId="73" fillId="3" borderId="81" xfId="662" applyNumberFormat="1" applyFont="1" applyFill="1" applyBorder="1" applyAlignment="1">
      <alignment horizontal="center" vertical="center"/>
    </xf>
    <xf numFmtId="4" fontId="86" fillId="3" borderId="79" xfId="872" applyNumberFormat="1" applyFont="1" applyFill="1" applyBorder="1" applyAlignment="1">
      <alignment horizontal="center" vertical="center"/>
    </xf>
    <xf numFmtId="4" fontId="86" fillId="3" borderId="78" xfId="872" applyNumberFormat="1" applyFont="1" applyFill="1" applyBorder="1" applyAlignment="1">
      <alignment horizontal="center" vertical="center"/>
    </xf>
    <xf numFmtId="4" fontId="93" fillId="3" borderId="79" xfId="0" applyNumberFormat="1" applyFont="1" applyFill="1" applyBorder="1" applyAlignment="1">
      <alignment horizontal="center" vertical="center" wrapText="1"/>
    </xf>
    <xf numFmtId="4" fontId="86" fillId="3" borderId="79" xfId="10" applyNumberFormat="1" applyFont="1" applyFill="1" applyBorder="1" applyAlignment="1">
      <alignment horizontal="center" vertical="center" wrapText="1"/>
    </xf>
    <xf numFmtId="4" fontId="86" fillId="3" borderId="79" xfId="10" applyNumberFormat="1" applyFont="1" applyFill="1" applyBorder="1" applyAlignment="1">
      <alignment horizontal="center" vertical="center"/>
    </xf>
    <xf numFmtId="4" fontId="76" fillId="3" borderId="79" xfId="0" applyNumberFormat="1" applyFont="1" applyFill="1" applyBorder="1" applyAlignment="1">
      <alignment horizontal="center" vertical="center" wrapText="1"/>
    </xf>
    <xf numFmtId="4" fontId="80" fillId="2" borderId="79" xfId="0" applyNumberFormat="1" applyFont="1" applyFill="1" applyBorder="1" applyAlignment="1">
      <alignment horizontal="center" vertical="center"/>
    </xf>
    <xf numFmtId="4" fontId="73" fillId="0" borderId="77" xfId="0" applyNumberFormat="1" applyFont="1" applyBorder="1" applyAlignment="1">
      <alignment horizontal="center" vertical="center"/>
    </xf>
    <xf numFmtId="4" fontId="73" fillId="3" borderId="80" xfId="0" applyNumberFormat="1" applyFont="1" applyFill="1" applyBorder="1" applyAlignment="1">
      <alignment horizontal="center" vertical="center"/>
    </xf>
    <xf numFmtId="4" fontId="73" fillId="3" borderId="82" xfId="0" applyNumberFormat="1" applyFont="1" applyFill="1" applyBorder="1" applyAlignment="1">
      <alignment horizontal="center" vertical="center"/>
    </xf>
    <xf numFmtId="4" fontId="80" fillId="2" borderId="96" xfId="0" applyNumberFormat="1" applyFont="1" applyFill="1" applyBorder="1" applyAlignment="1">
      <alignment horizontal="center" vertical="center"/>
    </xf>
    <xf numFmtId="4" fontId="73" fillId="3" borderId="81" xfId="2" applyNumberFormat="1" applyFont="1" applyFill="1" applyBorder="1" applyAlignment="1">
      <alignment horizontal="center" vertical="center"/>
    </xf>
    <xf numFmtId="4" fontId="73" fillId="3" borderId="77" xfId="0" applyNumberFormat="1" applyFont="1" applyFill="1" applyBorder="1" applyAlignment="1">
      <alignment horizontal="center" vertical="center"/>
    </xf>
    <xf numFmtId="4" fontId="80" fillId="2" borderId="95" xfId="0" applyNumberFormat="1" applyFont="1" applyFill="1" applyBorder="1" applyAlignment="1">
      <alignment horizontal="center" vertical="center"/>
    </xf>
    <xf numFmtId="4" fontId="80" fillId="2" borderId="97" xfId="0" applyNumberFormat="1" applyFont="1" applyFill="1" applyBorder="1" applyAlignment="1">
      <alignment horizontal="center" vertical="center"/>
    </xf>
    <xf numFmtId="4" fontId="113" fillId="3" borderId="80" xfId="0" applyNumberFormat="1" applyFont="1" applyFill="1" applyBorder="1" applyAlignment="1">
      <alignment horizontal="left" vertical="center"/>
    </xf>
    <xf numFmtId="4" fontId="73" fillId="9" borderId="80" xfId="0" applyNumberFormat="1" applyFont="1" applyFill="1" applyBorder="1" applyAlignment="1">
      <alignment horizontal="left" vertical="center"/>
    </xf>
    <xf numFmtId="4" fontId="73" fillId="3" borderId="110" xfId="0" applyNumberFormat="1" applyFont="1" applyFill="1" applyBorder="1" applyAlignment="1">
      <alignment horizontal="center" vertical="center"/>
    </xf>
    <xf numFmtId="4" fontId="73" fillId="3" borderId="111" xfId="0" applyNumberFormat="1" applyFont="1" applyFill="1" applyBorder="1" applyAlignment="1">
      <alignment horizontal="center" vertical="center"/>
    </xf>
    <xf numFmtId="4" fontId="112" fillId="2" borderId="96" xfId="0" applyNumberFormat="1" applyFont="1" applyFill="1" applyBorder="1" applyAlignment="1">
      <alignment horizontal="center" vertical="center"/>
    </xf>
    <xf numFmtId="4" fontId="112" fillId="2" borderId="137" xfId="0" applyNumberFormat="1" applyFont="1" applyFill="1" applyBorder="1" applyAlignment="1">
      <alignment horizontal="center" vertical="center"/>
    </xf>
    <xf numFmtId="4" fontId="75" fillId="2" borderId="81" xfId="0" applyNumberFormat="1" applyFont="1" applyFill="1" applyBorder="1" applyAlignment="1">
      <alignment horizontal="center" vertical="center"/>
    </xf>
    <xf numFmtId="4" fontId="88" fillId="3" borderId="77" xfId="0" applyNumberFormat="1" applyFont="1" applyFill="1" applyBorder="1" applyAlignment="1">
      <alignment horizontal="left" vertical="center"/>
    </xf>
    <xf numFmtId="4" fontId="87" fillId="3" borderId="80" xfId="0" applyNumberFormat="1" applyFont="1" applyFill="1" applyBorder="1" applyAlignment="1">
      <alignment horizontal="left" vertical="center"/>
    </xf>
    <xf numFmtId="4" fontId="75" fillId="3" borderId="82" xfId="0" applyNumberFormat="1" applyFont="1" applyFill="1" applyBorder="1" applyAlignment="1">
      <alignment horizontal="left" vertical="center"/>
    </xf>
    <xf numFmtId="4" fontId="73" fillId="3" borderId="110" xfId="0" applyNumberFormat="1" applyFont="1" applyFill="1" applyBorder="1" applyAlignment="1">
      <alignment horizontal="left" vertical="center"/>
    </xf>
    <xf numFmtId="4" fontId="80" fillId="2" borderId="81" xfId="0" applyNumberFormat="1" applyFont="1" applyFill="1" applyBorder="1" applyAlignment="1">
      <alignment horizontal="center" vertical="center"/>
    </xf>
    <xf numFmtId="4" fontId="86" fillId="3" borderId="0" xfId="11" applyNumberFormat="1" applyFont="1" applyFill="1" applyBorder="1" applyAlignment="1">
      <alignment horizontal="center" vertical="center" wrapText="1"/>
    </xf>
    <xf numFmtId="4" fontId="86" fillId="3" borderId="0" xfId="11" applyNumberFormat="1" applyFont="1" applyFill="1" applyBorder="1" applyAlignment="1">
      <alignment horizontal="center" vertical="center"/>
    </xf>
    <xf numFmtId="4" fontId="86" fillId="3" borderId="81" xfId="11" applyNumberFormat="1" applyFont="1" applyFill="1" applyBorder="1" applyAlignment="1">
      <alignment horizontal="center" vertical="center"/>
    </xf>
    <xf numFmtId="4" fontId="73" fillId="3" borderId="0" xfId="1304" applyNumberFormat="1" applyFont="1" applyFill="1" applyBorder="1" applyAlignment="1">
      <alignment horizontal="center" vertical="center"/>
    </xf>
    <xf numFmtId="4" fontId="73" fillId="3" borderId="80" xfId="1304" applyNumberFormat="1" applyFont="1" applyFill="1" applyBorder="1" applyAlignment="1">
      <alignment horizontal="left" vertical="center"/>
    </xf>
    <xf numFmtId="4" fontId="73" fillId="3" borderId="81" xfId="1304" applyNumberFormat="1" applyFont="1" applyFill="1" applyBorder="1" applyAlignment="1">
      <alignment horizontal="center" vertical="center"/>
    </xf>
    <xf numFmtId="4" fontId="45" fillId="3" borderId="80" xfId="0" applyNumberFormat="1" applyFont="1" applyFill="1" applyBorder="1" applyAlignment="1">
      <alignment horizontal="left" vertical="center"/>
    </xf>
    <xf numFmtId="4" fontId="98" fillId="2" borderId="0" xfId="0" applyNumberFormat="1" applyFont="1" applyFill="1" applyBorder="1" applyAlignment="1">
      <alignment horizontal="center" vertical="center"/>
    </xf>
    <xf numFmtId="4" fontId="80" fillId="11" borderId="111" xfId="0" applyNumberFormat="1" applyFont="1" applyFill="1" applyBorder="1" applyAlignment="1">
      <alignment horizontal="center" vertical="center"/>
    </xf>
    <xf numFmtId="4" fontId="80" fillId="2" borderId="138" xfId="0" applyNumberFormat="1" applyFont="1" applyFill="1" applyBorder="1" applyAlignment="1">
      <alignment horizontal="center" vertical="center"/>
    </xf>
    <xf numFmtId="4" fontId="73" fillId="3" borderId="84" xfId="2" applyNumberFormat="1" applyFont="1" applyFill="1" applyBorder="1" applyAlignment="1">
      <alignment horizontal="center" vertical="center"/>
    </xf>
    <xf numFmtId="4" fontId="73" fillId="3" borderId="110" xfId="1520" applyNumberFormat="1" applyFont="1" applyFill="1" applyBorder="1" applyAlignment="1">
      <alignment horizontal="left" vertical="center"/>
    </xf>
    <xf numFmtId="4" fontId="73" fillId="3" borderId="136" xfId="0" applyNumberFormat="1" applyFont="1" applyFill="1" applyBorder="1" applyAlignment="1">
      <alignment horizontal="center" vertical="center"/>
    </xf>
    <xf numFmtId="4" fontId="73" fillId="3" borderId="111" xfId="1520" applyNumberFormat="1" applyFont="1" applyFill="1" applyBorder="1" applyAlignment="1">
      <alignment horizontal="center" vertical="center"/>
    </xf>
    <xf numFmtId="4" fontId="73" fillId="3" borderId="136" xfId="2" applyNumberFormat="1" applyFont="1" applyFill="1" applyBorder="1" applyAlignment="1">
      <alignment horizontal="center" vertical="center"/>
    </xf>
    <xf numFmtId="4" fontId="159" fillId="43" borderId="44" xfId="0" applyNumberFormat="1" applyFont="1" applyFill="1" applyBorder="1" applyAlignment="1">
      <alignment horizontal="center" vertical="center"/>
    </xf>
    <xf numFmtId="4" fontId="159" fillId="43" borderId="12" xfId="0" applyNumberFormat="1" applyFont="1" applyFill="1" applyBorder="1" applyAlignment="1">
      <alignment horizontal="center" vertical="center"/>
    </xf>
    <xf numFmtId="4" fontId="45" fillId="3" borderId="14" xfId="0" applyNumberFormat="1" applyFont="1" applyFill="1" applyBorder="1" applyAlignment="1">
      <alignment horizontal="center" vertical="center"/>
    </xf>
    <xf numFmtId="4" fontId="78" fillId="3" borderId="0" xfId="219" applyNumberFormat="1" applyFont="1" applyFill="1" applyBorder="1" applyAlignment="1">
      <alignment horizontal="center" vertical="center"/>
    </xf>
    <xf numFmtId="4" fontId="78" fillId="3" borderId="0" xfId="219" applyNumberFormat="1" applyFont="1" applyFill="1" applyBorder="1" applyAlignment="1">
      <alignment horizontal="left" vertical="center"/>
    </xf>
    <xf numFmtId="4" fontId="45" fillId="3" borderId="136" xfId="0" applyNumberFormat="1" applyFont="1" applyFill="1" applyBorder="1" applyAlignment="1">
      <alignment horizontal="center" vertical="center"/>
    </xf>
    <xf numFmtId="4" fontId="78" fillId="3" borderId="136" xfId="0" applyNumberFormat="1" applyFont="1" applyFill="1" applyBorder="1" applyAlignment="1">
      <alignment horizontal="center" vertical="center"/>
    </xf>
    <xf numFmtId="4" fontId="78" fillId="3" borderId="136" xfId="219" applyNumberFormat="1" applyFont="1" applyFill="1" applyBorder="1" applyAlignment="1">
      <alignment horizontal="center" vertical="center"/>
    </xf>
    <xf numFmtId="4" fontId="45" fillId="3" borderId="111" xfId="0" applyNumberFormat="1" applyFont="1" applyFill="1" applyBorder="1" applyAlignment="1">
      <alignment horizontal="center" vertical="center"/>
    </xf>
    <xf numFmtId="4" fontId="75" fillId="44" borderId="0" xfId="0" applyNumberFormat="1" applyFont="1" applyFill="1" applyBorder="1" applyAlignment="1">
      <alignment horizontal="center" vertical="center"/>
    </xf>
    <xf numFmtId="4" fontId="75" fillId="44" borderId="0" xfId="219" applyNumberFormat="1" applyFont="1" applyFill="1" applyBorder="1" applyAlignment="1">
      <alignment horizontal="center" vertical="center"/>
    </xf>
    <xf numFmtId="4" fontId="75" fillId="44" borderId="110" xfId="0" applyNumberFormat="1" applyFont="1" applyFill="1" applyBorder="1" applyAlignment="1">
      <alignment horizontal="left" vertical="center"/>
    </xf>
    <xf numFmtId="4" fontId="45" fillId="3" borderId="79" xfId="0" applyNumberFormat="1" applyFont="1" applyFill="1" applyBorder="1" applyAlignment="1">
      <alignment horizontal="center" vertical="center"/>
    </xf>
    <xf numFmtId="4" fontId="45" fillId="3" borderId="78" xfId="0" applyNumberFormat="1" applyFont="1" applyFill="1" applyBorder="1" applyAlignment="1">
      <alignment horizontal="center" vertical="center"/>
    </xf>
    <xf numFmtId="4" fontId="45" fillId="3" borderId="82" xfId="0" applyNumberFormat="1" applyFont="1" applyFill="1" applyBorder="1" applyAlignment="1">
      <alignment horizontal="left" vertical="center"/>
    </xf>
    <xf numFmtId="4" fontId="45" fillId="3" borderId="83" xfId="221" applyNumberFormat="1" applyFont="1" applyFill="1" applyBorder="1" applyAlignment="1">
      <alignment horizontal="center" vertical="center"/>
    </xf>
    <xf numFmtId="4" fontId="45" fillId="3" borderId="84" xfId="221" applyNumberFormat="1" applyFont="1" applyFill="1" applyBorder="1" applyAlignment="1">
      <alignment horizontal="center" vertical="center"/>
    </xf>
    <xf numFmtId="4" fontId="45" fillId="3" borderId="84" xfId="0" applyNumberFormat="1" applyFont="1" applyFill="1" applyBorder="1" applyAlignment="1">
      <alignment horizontal="center" vertical="center"/>
    </xf>
    <xf numFmtId="4" fontId="45" fillId="3" borderId="77" xfId="0" applyNumberFormat="1" applyFont="1" applyFill="1" applyBorder="1" applyAlignment="1">
      <alignment horizontal="left" vertical="center"/>
    </xf>
    <xf numFmtId="4" fontId="45" fillId="3" borderId="83" xfId="0" applyNumberFormat="1" applyFont="1" applyFill="1" applyBorder="1" applyAlignment="1">
      <alignment horizontal="center" vertical="center"/>
    </xf>
    <xf numFmtId="4" fontId="45" fillId="3" borderId="81" xfId="221" applyNumberFormat="1" applyFont="1" applyFill="1" applyBorder="1" applyAlignment="1">
      <alignment horizontal="center" vertical="center"/>
    </xf>
    <xf numFmtId="4" fontId="45" fillId="3" borderId="79" xfId="221" applyNumberFormat="1" applyFont="1" applyFill="1" applyBorder="1" applyAlignment="1">
      <alignment horizontal="center" vertical="center"/>
    </xf>
    <xf numFmtId="3" fontId="73" fillId="3" borderId="13" xfId="0" applyNumberFormat="1" applyFont="1" applyFill="1" applyBorder="1" applyAlignment="1">
      <alignment horizontal="center" vertical="center"/>
    </xf>
    <xf numFmtId="4" fontId="112" fillId="60" borderId="0" xfId="3090" applyNumberFormat="1" applyFont="1" applyFill="1" applyBorder="1" applyAlignment="1">
      <alignment horizontal="center" vertical="center"/>
    </xf>
    <xf numFmtId="4" fontId="112" fillId="60" borderId="15" xfId="3090" applyNumberFormat="1" applyFont="1" applyFill="1" applyBorder="1" applyAlignment="1">
      <alignment horizontal="center" vertical="center"/>
    </xf>
    <xf numFmtId="4" fontId="112" fillId="60" borderId="120" xfId="3090" applyNumberFormat="1" applyFont="1" applyFill="1" applyBorder="1" applyAlignment="1">
      <alignment horizontal="center" vertical="center"/>
    </xf>
    <xf numFmtId="4" fontId="112" fillId="60" borderId="97" xfId="3090" applyNumberFormat="1" applyFont="1" applyFill="1" applyBorder="1" applyAlignment="1">
      <alignment horizontal="center" vertical="center"/>
    </xf>
    <xf numFmtId="4" fontId="112" fillId="60" borderId="96" xfId="3090" applyNumberFormat="1" applyFont="1" applyFill="1" applyBorder="1" applyAlignment="1">
      <alignment horizontal="center" vertical="center"/>
    </xf>
    <xf numFmtId="4" fontId="112" fillId="60" borderId="79" xfId="3090" applyNumberFormat="1" applyFont="1" applyFill="1" applyBorder="1" applyAlignment="1">
      <alignment horizontal="center" vertical="center"/>
    </xf>
    <xf numFmtId="4" fontId="112" fillId="60" borderId="95" xfId="3090" applyNumberFormat="1" applyFont="1" applyFill="1" applyBorder="1" applyAlignment="1">
      <alignment horizontal="center" vertical="center"/>
    </xf>
    <xf numFmtId="4" fontId="112" fillId="60" borderId="83" xfId="3090" applyNumberFormat="1" applyFont="1" applyFill="1" applyBorder="1" applyAlignment="1">
      <alignment horizontal="center" vertical="center"/>
    </xf>
    <xf numFmtId="4" fontId="86" fillId="3" borderId="82" xfId="0" applyNumberFormat="1" applyFont="1" applyFill="1" applyBorder="1" applyAlignment="1">
      <alignment horizontal="center" vertical="center"/>
    </xf>
    <xf numFmtId="214" fontId="112" fillId="60" borderId="96" xfId="3090" applyNumberFormat="1" applyFont="1" applyFill="1" applyBorder="1" applyAlignment="1">
      <alignment horizontal="center" vertical="center"/>
    </xf>
    <xf numFmtId="4" fontId="112" fillId="60" borderId="81" xfId="3090" applyNumberFormat="1" applyFont="1" applyFill="1" applyBorder="1" applyAlignment="1">
      <alignment horizontal="center" vertical="center"/>
    </xf>
    <xf numFmtId="4" fontId="82" fillId="3" borderId="84" xfId="0" applyNumberFormat="1" applyFont="1" applyFill="1" applyBorder="1" applyAlignment="1">
      <alignment horizontal="center" vertical="center"/>
    </xf>
    <xf numFmtId="4" fontId="112" fillId="2" borderId="121" xfId="3090" applyNumberFormat="1" applyFont="1" applyFill="1" applyBorder="1" applyAlignment="1">
      <alignment horizontal="center" vertical="center"/>
    </xf>
    <xf numFmtId="4" fontId="34" fillId="3" borderId="0" xfId="0" applyNumberFormat="1" applyFont="1" applyFill="1" applyBorder="1"/>
    <xf numFmtId="0" fontId="120" fillId="61" borderId="0" xfId="0" applyFont="1" applyFill="1" applyBorder="1" applyAlignment="1">
      <alignment horizontal="left" indent="1"/>
    </xf>
    <xf numFmtId="0" fontId="120" fillId="61" borderId="0" xfId="0" applyFont="1" applyFill="1" applyBorder="1" applyAlignment="1">
      <alignment vertical="center"/>
    </xf>
    <xf numFmtId="0" fontId="120" fillId="61" borderId="0" xfId="0" applyFont="1" applyFill="1" applyBorder="1"/>
    <xf numFmtId="4" fontId="73" fillId="61" borderId="0" xfId="0" applyNumberFormat="1" applyFont="1" applyFill="1" applyBorder="1" applyAlignment="1">
      <alignment horizontal="center" vertical="center"/>
    </xf>
    <xf numFmtId="4" fontId="73" fillId="61" borderId="0" xfId="0" applyNumberFormat="1" applyFont="1" applyFill="1" applyBorder="1" applyAlignment="1">
      <alignment horizontal="left" vertical="center"/>
    </xf>
    <xf numFmtId="4" fontId="73" fillId="3" borderId="0" xfId="0" applyNumberFormat="1" applyFont="1" applyFill="1" applyBorder="1" applyAlignment="1">
      <alignment horizontal="center" vertical="center"/>
    </xf>
    <xf numFmtId="165" fontId="73" fillId="3" borderId="0" xfId="0" applyNumberFormat="1" applyFont="1" applyFill="1" applyBorder="1" applyAlignment="1">
      <alignment horizontal="center" vertical="center"/>
    </xf>
    <xf numFmtId="208" fontId="73" fillId="3" borderId="0" xfId="0" applyNumberFormat="1" applyFont="1" applyFill="1" applyBorder="1" applyAlignment="1">
      <alignment horizontal="center" vertical="center"/>
    </xf>
    <xf numFmtId="0" fontId="31" fillId="6" borderId="132" xfId="181" applyNumberFormat="1" applyFont="1" applyFill="1" applyBorder="1" applyAlignment="1">
      <alignment horizontal="center" vertical="center"/>
    </xf>
    <xf numFmtId="4" fontId="73" fillId="3" borderId="0" xfId="0" applyNumberFormat="1" applyFont="1" applyFill="1" applyBorder="1" applyAlignment="1">
      <alignment horizontal="center" vertical="center"/>
    </xf>
    <xf numFmtId="0" fontId="32" fillId="3" borderId="0" xfId="0" applyFont="1" applyFill="1" applyBorder="1" applyAlignment="1">
      <alignment horizontal="left"/>
    </xf>
    <xf numFmtId="0" fontId="79" fillId="3" borderId="0" xfId="0" applyFont="1" applyFill="1" applyBorder="1" applyAlignment="1">
      <alignment horizontal="center"/>
    </xf>
    <xf numFmtId="0" fontId="73" fillId="3" borderId="0" xfId="0" applyFont="1" applyFill="1" applyBorder="1" applyAlignment="1">
      <alignment horizontal="left" vertical="center"/>
    </xf>
    <xf numFmtId="4" fontId="73" fillId="3" borderId="0" xfId="0" applyNumberFormat="1" applyFont="1" applyFill="1" applyBorder="1" applyAlignment="1">
      <alignment horizontal="center" vertical="center"/>
    </xf>
    <xf numFmtId="3" fontId="73" fillId="3" borderId="0" xfId="0" applyNumberFormat="1" applyFont="1" applyFill="1" applyBorder="1" applyAlignment="1">
      <alignment horizontal="center" vertical="center"/>
    </xf>
    <xf numFmtId="164" fontId="75" fillId="43" borderId="0" xfId="0" applyNumberFormat="1" applyFont="1" applyFill="1" applyBorder="1" applyAlignment="1">
      <alignment vertical="center"/>
    </xf>
    <xf numFmtId="164" fontId="73" fillId="3" borderId="2" xfId="0" applyNumberFormat="1" applyFont="1" applyFill="1" applyBorder="1" applyAlignment="1">
      <alignment horizontal="left" vertical="center" indent="1"/>
    </xf>
    <xf numFmtId="164" fontId="73" fillId="3" borderId="1" xfId="0" applyNumberFormat="1" applyFont="1" applyFill="1" applyBorder="1" applyAlignment="1">
      <alignment vertical="center"/>
    </xf>
    <xf numFmtId="172" fontId="73" fillId="3" borderId="139" xfId="218" applyNumberFormat="1" applyFont="1" applyFill="1" applyBorder="1" applyAlignment="1">
      <alignment horizontal="center" vertical="center"/>
    </xf>
    <xf numFmtId="173" fontId="73" fillId="3" borderId="139" xfId="218" applyNumberFormat="1" applyFont="1" applyFill="1" applyBorder="1" applyAlignment="1">
      <alignment horizontal="center" vertical="center"/>
    </xf>
    <xf numFmtId="164" fontId="73" fillId="3" borderId="3" xfId="0" applyNumberFormat="1" applyFont="1" applyFill="1" applyBorder="1" applyAlignment="1">
      <alignment vertical="center"/>
    </xf>
    <xf numFmtId="164" fontId="73" fillId="3" borderId="4" xfId="0" applyNumberFormat="1" applyFont="1" applyFill="1" applyBorder="1" applyAlignment="1">
      <alignment horizontal="left" vertical="center" indent="1"/>
    </xf>
    <xf numFmtId="164" fontId="73" fillId="3" borderId="6" xfId="0" applyNumberFormat="1" applyFont="1" applyFill="1" applyBorder="1" applyAlignment="1">
      <alignment horizontal="left" vertical="center" indent="1"/>
    </xf>
    <xf numFmtId="164" fontId="73" fillId="3" borderId="7" xfId="0" applyNumberFormat="1" applyFont="1" applyFill="1" applyBorder="1" applyAlignment="1">
      <alignment vertical="center"/>
    </xf>
    <xf numFmtId="197" fontId="73" fillId="3" borderId="7" xfId="0" applyNumberFormat="1" applyFont="1" applyFill="1" applyBorder="1" applyAlignment="1">
      <alignment horizontal="center" vertical="center"/>
    </xf>
    <xf numFmtId="164" fontId="73" fillId="3" borderId="8" xfId="0" applyNumberFormat="1" applyFont="1" applyFill="1" applyBorder="1" applyAlignment="1">
      <alignment vertical="center"/>
    </xf>
    <xf numFmtId="41" fontId="0" fillId="3" borderId="5" xfId="0" applyNumberFormat="1" applyFill="1" applyBorder="1"/>
    <xf numFmtId="41" fontId="0" fillId="3" borderId="4" xfId="0" applyNumberFormat="1" applyFill="1" applyBorder="1"/>
    <xf numFmtId="41" fontId="0" fillId="3" borderId="6" xfId="0" applyNumberFormat="1" applyFill="1" applyBorder="1"/>
    <xf numFmtId="41" fontId="0" fillId="3" borderId="7" xfId="0" applyNumberFormat="1" applyFill="1" applyBorder="1"/>
    <xf numFmtId="41" fontId="0" fillId="3" borderId="8" xfId="0" applyNumberFormat="1" applyFill="1" applyBorder="1"/>
    <xf numFmtId="0" fontId="50" fillId="3" borderId="140" xfId="0" applyNumberFormat="1" applyFont="1" applyFill="1" applyBorder="1" applyAlignment="1">
      <alignment horizontal="center" vertical="center"/>
    </xf>
    <xf numFmtId="165" fontId="50" fillId="3" borderId="7" xfId="0" applyNumberFormat="1" applyFont="1" applyFill="1" applyBorder="1" applyAlignment="1">
      <alignment horizontal="center" vertical="center"/>
    </xf>
    <xf numFmtId="4" fontId="50" fillId="3" borderId="141" xfId="0" applyNumberFormat="1" applyFont="1" applyFill="1" applyBorder="1" applyAlignment="1">
      <alignment horizontal="center" vertical="center"/>
    </xf>
    <xf numFmtId="4" fontId="73" fillId="3" borderId="3" xfId="0" applyNumberFormat="1" applyFont="1" applyFill="1" applyBorder="1" applyAlignment="1">
      <alignment horizontal="center" vertical="center" wrapText="1"/>
    </xf>
    <xf numFmtId="4" fontId="73" fillId="3" borderId="8" xfId="0" applyNumberFormat="1" applyFont="1" applyFill="1" applyBorder="1" applyAlignment="1">
      <alignment horizontal="center" vertical="center" wrapText="1"/>
    </xf>
    <xf numFmtId="10" fontId="86" fillId="3" borderId="2" xfId="0" applyNumberFormat="1" applyFont="1" applyFill="1" applyBorder="1" applyAlignment="1">
      <alignment horizontal="center" vertical="center"/>
    </xf>
    <xf numFmtId="10" fontId="86" fillId="3" borderId="6" xfId="0" applyNumberFormat="1" applyFont="1" applyFill="1" applyBorder="1" applyAlignment="1">
      <alignment horizontal="center" vertical="center"/>
    </xf>
    <xf numFmtId="4" fontId="73" fillId="3" borderId="44" xfId="0" applyNumberFormat="1" applyFont="1" applyFill="1" applyBorder="1" applyAlignment="1">
      <alignment horizontal="center" vertical="center"/>
    </xf>
    <xf numFmtId="4" fontId="73" fillId="3" borderId="12" xfId="0" applyNumberFormat="1" applyFont="1" applyFill="1" applyBorder="1" applyAlignment="1">
      <alignment horizontal="center" vertical="center"/>
    </xf>
    <xf numFmtId="0" fontId="21" fillId="3" borderId="2" xfId="0" applyFont="1" applyFill="1" applyBorder="1" applyAlignment="1">
      <alignment horizontal="left"/>
    </xf>
    <xf numFmtId="4" fontId="78" fillId="3" borderId="1" xfId="0" applyNumberFormat="1" applyFont="1" applyFill="1" applyBorder="1" applyAlignment="1">
      <alignment horizontal="left" vertical="center"/>
    </xf>
    <xf numFmtId="0" fontId="21" fillId="3" borderId="3" xfId="0" applyFont="1" applyFill="1" applyBorder="1"/>
    <xf numFmtId="0" fontId="21" fillId="3" borderId="6" xfId="0" applyFont="1" applyFill="1" applyBorder="1" applyAlignment="1">
      <alignment horizontal="left"/>
    </xf>
    <xf numFmtId="4" fontId="78" fillId="3" borderId="7" xfId="0" applyNumberFormat="1" applyFont="1" applyFill="1" applyBorder="1" applyAlignment="1">
      <alignment horizontal="left" vertical="center"/>
    </xf>
    <xf numFmtId="0" fontId="21" fillId="3" borderId="8" xfId="0" applyFont="1" applyFill="1" applyBorder="1"/>
    <xf numFmtId="4" fontId="73" fillId="3" borderId="0" xfId="0" applyNumberFormat="1" applyFont="1" applyFill="1" applyBorder="1" applyAlignment="1">
      <alignment horizontal="center" vertical="center"/>
    </xf>
    <xf numFmtId="4" fontId="86" fillId="3" borderId="79" xfId="0" applyNumberFormat="1" applyFont="1" applyFill="1" applyBorder="1" applyAlignment="1">
      <alignment horizontal="center" vertical="center"/>
    </xf>
    <xf numFmtId="4" fontId="86" fillId="3" borderId="78" xfId="0" applyNumberFormat="1" applyFont="1" applyFill="1" applyBorder="1" applyAlignment="1">
      <alignment horizontal="center" vertical="center"/>
    </xf>
    <xf numFmtId="4" fontId="80" fillId="2" borderId="136" xfId="2" applyNumberFormat="1" applyFont="1" applyFill="1" applyBorder="1" applyAlignment="1">
      <alignment horizontal="center" vertical="center"/>
    </xf>
    <xf numFmtId="4" fontId="80" fillId="2" borderId="83" xfId="2" applyNumberFormat="1" applyFont="1" applyFill="1" applyBorder="1" applyAlignment="1">
      <alignment horizontal="center" vertical="center"/>
    </xf>
    <xf numFmtId="4" fontId="98" fillId="2" borderId="83" xfId="0" applyNumberFormat="1" applyFont="1" applyFill="1" applyBorder="1" applyAlignment="1">
      <alignment horizontal="center" vertical="center"/>
    </xf>
    <xf numFmtId="4" fontId="80" fillId="2" borderId="136" xfId="0" applyNumberFormat="1" applyFont="1" applyFill="1" applyBorder="1" applyAlignment="1">
      <alignment horizontal="center" vertical="center"/>
    </xf>
    <xf numFmtId="4" fontId="80" fillId="2" borderId="81" xfId="2" applyNumberFormat="1" applyFont="1" applyFill="1" applyBorder="1" applyAlignment="1">
      <alignment horizontal="center" vertical="center"/>
    </xf>
    <xf numFmtId="0" fontId="86" fillId="3" borderId="0" xfId="0" applyFont="1" applyFill="1" applyBorder="1" applyAlignment="1">
      <alignment horizontal="right"/>
    </xf>
    <xf numFmtId="0" fontId="142" fillId="3" borderId="58" xfId="0" applyFont="1" applyFill="1" applyBorder="1" applyAlignment="1">
      <alignment horizontal="center" vertical="center"/>
    </xf>
    <xf numFmtId="0" fontId="142" fillId="3" borderId="59" xfId="0" applyFont="1" applyFill="1" applyBorder="1" applyAlignment="1">
      <alignment horizontal="center" vertical="center"/>
    </xf>
    <xf numFmtId="0" fontId="94" fillId="3" borderId="61" xfId="0" applyFont="1" applyFill="1" applyBorder="1" applyAlignment="1">
      <alignment vertical="center"/>
    </xf>
    <xf numFmtId="0" fontId="94" fillId="50" borderId="61" xfId="0" applyFont="1" applyFill="1" applyBorder="1" applyAlignment="1">
      <alignment horizontal="left" vertical="center" indent="1"/>
    </xf>
    <xf numFmtId="0" fontId="77" fillId="3" borderId="0" xfId="0" applyFont="1" applyFill="1" applyBorder="1" applyAlignment="1">
      <alignment horizontal="right" vertical="center" indent="1"/>
    </xf>
    <xf numFmtId="0" fontId="94" fillId="3" borderId="0" xfId="0" applyFont="1" applyFill="1" applyBorder="1" applyAlignment="1">
      <alignment vertical="center"/>
    </xf>
    <xf numFmtId="0" fontId="82" fillId="3" borderId="0" xfId="0" applyFont="1" applyFill="1" applyBorder="1"/>
    <xf numFmtId="0" fontId="162" fillId="3" borderId="0" xfId="0" applyFont="1" applyFill="1" applyBorder="1" applyAlignment="1">
      <alignment horizontal="center"/>
    </xf>
    <xf numFmtId="0" fontId="0" fillId="45" borderId="1" xfId="0" applyFill="1" applyBorder="1"/>
    <xf numFmtId="0" fontId="0" fillId="45" borderId="3" xfId="0" applyFill="1" applyBorder="1"/>
    <xf numFmtId="0" fontId="0" fillId="45" borderId="0" xfId="0" applyFill="1" applyBorder="1"/>
    <xf numFmtId="0" fontId="0" fillId="45" borderId="5" xfId="0" applyFill="1" applyBorder="1"/>
    <xf numFmtId="0" fontId="0" fillId="45" borderId="7" xfId="0" applyFill="1" applyBorder="1"/>
    <xf numFmtId="0" fontId="0" fillId="45" borderId="8" xfId="0" applyFill="1" applyBorder="1"/>
    <xf numFmtId="0" fontId="163" fillId="3" borderId="63" xfId="0" applyFont="1" applyFill="1" applyBorder="1" applyAlignment="1">
      <alignment horizontal="left" vertical="center"/>
    </xf>
    <xf numFmtId="0" fontId="73" fillId="3" borderId="5" xfId="0" applyFont="1" applyFill="1" applyBorder="1"/>
    <xf numFmtId="0" fontId="114" fillId="3" borderId="0" xfId="0" applyFont="1" applyFill="1" applyBorder="1" applyAlignment="1"/>
    <xf numFmtId="0" fontId="87" fillId="3" borderId="0" xfId="0" applyFont="1" applyFill="1" applyBorder="1"/>
    <xf numFmtId="0" fontId="73" fillId="3" borderId="4" xfId="0" applyFont="1" applyFill="1" applyBorder="1" applyAlignment="1">
      <alignment vertical="top" wrapText="1"/>
    </xf>
    <xf numFmtId="0" fontId="73" fillId="3" borderId="5" xfId="0" applyFont="1" applyFill="1" applyBorder="1" applyAlignment="1">
      <alignment vertical="top" wrapText="1"/>
    </xf>
    <xf numFmtId="0" fontId="73" fillId="3" borderId="4" xfId="0" applyFont="1" applyFill="1" applyBorder="1" applyAlignment="1">
      <alignment horizontal="center"/>
    </xf>
    <xf numFmtId="0" fontId="34" fillId="3" borderId="0" xfId="0" applyFont="1" applyFill="1" applyBorder="1"/>
    <xf numFmtId="1" fontId="73" fillId="3" borderId="0" xfId="0" applyNumberFormat="1" applyFont="1" applyFill="1" applyBorder="1"/>
    <xf numFmtId="200" fontId="73" fillId="3" borderId="0" xfId="0" applyNumberFormat="1" applyFont="1" applyFill="1" applyBorder="1"/>
    <xf numFmtId="199" fontId="73" fillId="3" borderId="0" xfId="0" applyNumberFormat="1" applyFont="1" applyFill="1" applyBorder="1"/>
    <xf numFmtId="203" fontId="73" fillId="3" borderId="0" xfId="0" applyNumberFormat="1" applyFont="1" applyFill="1" applyBorder="1"/>
    <xf numFmtId="204" fontId="73" fillId="3" borderId="0" xfId="0" applyNumberFormat="1" applyFont="1" applyFill="1" applyBorder="1"/>
    <xf numFmtId="0" fontId="73" fillId="3" borderId="5" xfId="0" applyFont="1" applyFill="1" applyBorder="1" applyAlignment="1">
      <alignment horizontal="center"/>
    </xf>
    <xf numFmtId="165" fontId="73" fillId="3" borderId="4" xfId="0" applyNumberFormat="1" applyFont="1" applyFill="1" applyBorder="1"/>
    <xf numFmtId="165" fontId="73" fillId="3" borderId="5" xfId="0" applyNumberFormat="1" applyFont="1" applyFill="1" applyBorder="1" applyAlignment="1">
      <alignment horizontal="center"/>
    </xf>
    <xf numFmtId="0" fontId="82" fillId="3" borderId="0" xfId="0" applyFont="1" applyFill="1" applyBorder="1" applyAlignment="1">
      <alignment horizontal="center"/>
    </xf>
    <xf numFmtId="169" fontId="98" fillId="2" borderId="0" xfId="0" applyNumberFormat="1" applyFont="1" applyFill="1" applyBorder="1"/>
    <xf numFmtId="169" fontId="73" fillId="0" borderId="0" xfId="0" applyNumberFormat="1" applyFont="1" applyBorder="1" applyAlignment="1">
      <alignment horizontal="center"/>
    </xf>
    <xf numFmtId="4" fontId="145" fillId="3" borderId="0" xfId="0" applyNumberFormat="1" applyFont="1" applyFill="1" applyBorder="1" applyAlignment="1">
      <alignment horizontal="left" vertical="center"/>
    </xf>
    <xf numFmtId="0" fontId="73" fillId="51" borderId="0" xfId="0" applyFont="1" applyFill="1" applyBorder="1"/>
    <xf numFmtId="0" fontId="73" fillId="41" borderId="0" xfId="0" applyFont="1" applyFill="1" applyBorder="1"/>
    <xf numFmtId="0" fontId="87" fillId="3" borderId="1" xfId="0" applyFont="1" applyFill="1" applyBorder="1"/>
    <xf numFmtId="0" fontId="87" fillId="3" borderId="3" xfId="0" applyFont="1" applyFill="1" applyBorder="1"/>
    <xf numFmtId="0" fontId="87" fillId="3" borderId="5" xfId="0" applyFont="1" applyFill="1" applyBorder="1"/>
    <xf numFmtId="0" fontId="87" fillId="3" borderId="7" xfId="0" applyFont="1" applyFill="1" applyBorder="1"/>
    <xf numFmtId="0" fontId="87" fillId="3" borderId="8" xfId="0" applyFont="1" applyFill="1" applyBorder="1"/>
    <xf numFmtId="0" fontId="73" fillId="3" borderId="8" xfId="0" applyFont="1" applyFill="1" applyBorder="1"/>
    <xf numFmtId="0" fontId="73" fillId="3" borderId="4" xfId="0" applyFont="1" applyFill="1" applyBorder="1" applyAlignment="1">
      <alignment horizontal="center" vertical="top" wrapText="1"/>
    </xf>
    <xf numFmtId="2" fontId="73" fillId="3" borderId="7" xfId="0" applyNumberFormat="1" applyFont="1" applyFill="1" applyBorder="1"/>
    <xf numFmtId="196" fontId="46" fillId="12" borderId="2" xfId="0" applyNumberFormat="1" applyFont="1" applyFill="1" applyBorder="1"/>
    <xf numFmtId="2" fontId="73" fillId="12" borderId="0" xfId="0" applyNumberFormat="1" applyFont="1" applyFill="1" applyBorder="1"/>
    <xf numFmtId="169" fontId="73" fillId="12" borderId="0" xfId="0" applyNumberFormat="1" applyFont="1" applyFill="1" applyBorder="1"/>
    <xf numFmtId="1" fontId="73" fillId="12" borderId="0" xfId="0" applyNumberFormat="1" applyFont="1" applyFill="1" applyBorder="1"/>
    <xf numFmtId="2" fontId="73" fillId="12" borderId="1" xfId="0" applyNumberFormat="1" applyFont="1" applyFill="1" applyBorder="1"/>
    <xf numFmtId="165" fontId="73" fillId="12" borderId="4" xfId="0" applyNumberFormat="1" applyFont="1" applyFill="1" applyBorder="1"/>
    <xf numFmtId="165" fontId="73" fillId="12" borderId="6" xfId="0" applyNumberFormat="1" applyFont="1" applyFill="1" applyBorder="1"/>
    <xf numFmtId="169" fontId="73" fillId="12" borderId="7" xfId="0" applyNumberFormat="1" applyFont="1" applyFill="1" applyBorder="1"/>
    <xf numFmtId="1" fontId="73" fillId="12" borderId="7" xfId="0" applyNumberFormat="1" applyFont="1" applyFill="1" applyBorder="1"/>
    <xf numFmtId="196" fontId="46" fillId="12" borderId="1" xfId="0" applyNumberFormat="1" applyFont="1" applyFill="1" applyBorder="1"/>
    <xf numFmtId="0" fontId="86" fillId="3" borderId="2" xfId="0" applyFont="1" applyFill="1" applyBorder="1" applyAlignment="1">
      <alignment horizontal="center"/>
    </xf>
    <xf numFmtId="0" fontId="73" fillId="3" borderId="1" xfId="0" applyFont="1" applyFill="1" applyBorder="1" applyAlignment="1">
      <alignment horizontal="center"/>
    </xf>
    <xf numFmtId="0" fontId="73" fillId="3" borderId="6" xfId="0" applyFont="1" applyFill="1" applyBorder="1" applyAlignment="1">
      <alignment horizontal="center"/>
    </xf>
    <xf numFmtId="0" fontId="0" fillId="3" borderId="1" xfId="0" applyFill="1" applyBorder="1"/>
    <xf numFmtId="0" fontId="29" fillId="3" borderId="1" xfId="0" applyFont="1" applyFill="1" applyBorder="1" applyAlignment="1">
      <alignment vertical="top" wrapText="1"/>
    </xf>
    <xf numFmtId="0" fontId="73" fillId="3" borderId="4" xfId="0" applyFont="1" applyFill="1" applyBorder="1" applyAlignment="1">
      <alignment horizontal="left" indent="1"/>
    </xf>
    <xf numFmtId="165" fontId="73" fillId="3" borderId="5" xfId="0" applyNumberFormat="1" applyFont="1" applyFill="1" applyBorder="1"/>
    <xf numFmtId="164" fontId="73" fillId="12" borderId="0" xfId="0" applyNumberFormat="1" applyFont="1" applyFill="1" applyBorder="1"/>
    <xf numFmtId="188" fontId="46" fillId="12" borderId="0" xfId="0" applyNumberFormat="1" applyFont="1" applyFill="1" applyBorder="1"/>
    <xf numFmtId="188" fontId="35" fillId="12" borderId="0" xfId="0" applyNumberFormat="1" applyFont="1" applyFill="1" applyBorder="1" applyAlignment="1">
      <alignment wrapText="1"/>
    </xf>
    <xf numFmtId="0" fontId="73" fillId="3" borderId="2" xfId="0" applyFont="1" applyFill="1" applyBorder="1" applyAlignment="1">
      <alignment horizontal="left" indent="1"/>
    </xf>
    <xf numFmtId="169" fontId="73" fillId="3" borderId="4" xfId="0" applyNumberFormat="1" applyFont="1" applyFill="1" applyBorder="1"/>
    <xf numFmtId="165" fontId="73" fillId="3" borderId="7" xfId="0" applyNumberFormat="1" applyFont="1" applyFill="1" applyBorder="1"/>
    <xf numFmtId="169" fontId="73" fillId="12" borderId="5" xfId="0" applyNumberFormat="1" applyFont="1" applyFill="1" applyBorder="1"/>
    <xf numFmtId="0" fontId="73" fillId="3" borderId="0" xfId="0" applyFont="1" applyFill="1" applyBorder="1" applyAlignment="1"/>
    <xf numFmtId="0" fontId="73" fillId="3" borderId="2" xfId="0" applyFont="1" applyFill="1" applyBorder="1" applyAlignment="1"/>
    <xf numFmtId="0" fontId="143" fillId="62" borderId="1" xfId="0" applyFont="1" applyFill="1" applyBorder="1"/>
    <xf numFmtId="0" fontId="143" fillId="62" borderId="3" xfId="0" applyFont="1" applyFill="1" applyBorder="1"/>
    <xf numFmtId="165" fontId="9" fillId="3" borderId="4" xfId="0" applyNumberFormat="1" applyFont="1" applyFill="1" applyBorder="1"/>
    <xf numFmtId="0" fontId="73" fillId="3" borderId="3" xfId="0" applyFont="1" applyFill="1" applyBorder="1" applyAlignment="1"/>
    <xf numFmtId="165" fontId="9" fillId="3" borderId="6" xfId="0" applyNumberFormat="1" applyFont="1" applyFill="1" applyBorder="1"/>
    <xf numFmtId="165" fontId="73" fillId="3" borderId="8" xfId="0" applyNumberFormat="1" applyFont="1" applyFill="1" applyBorder="1"/>
    <xf numFmtId="0" fontId="73" fillId="3" borderId="1" xfId="0" applyFont="1" applyFill="1" applyBorder="1" applyAlignment="1"/>
    <xf numFmtId="165" fontId="9" fillId="3" borderId="7" xfId="0" applyNumberFormat="1" applyFont="1" applyFill="1" applyBorder="1"/>
    <xf numFmtId="165" fontId="73" fillId="12" borderId="5" xfId="0" applyNumberFormat="1" applyFont="1" applyFill="1" applyBorder="1"/>
    <xf numFmtId="0" fontId="73" fillId="3" borderId="4" xfId="0" applyFont="1" applyFill="1" applyBorder="1" applyAlignment="1"/>
    <xf numFmtId="0" fontId="97" fillId="44" borderId="0" xfId="0" applyFont="1" applyFill="1" applyBorder="1"/>
    <xf numFmtId="4" fontId="95" fillId="44" borderId="0" xfId="0" applyNumberFormat="1" applyFont="1" applyFill="1" applyBorder="1" applyAlignment="1">
      <alignment horizontal="left" vertical="center"/>
    </xf>
    <xf numFmtId="165" fontId="46" fillId="12" borderId="6" xfId="0" applyNumberFormat="1" applyFont="1" applyFill="1" applyBorder="1"/>
    <xf numFmtId="4" fontId="73" fillId="3" borderId="0" xfId="0" applyNumberFormat="1" applyFont="1" applyFill="1" applyBorder="1" applyAlignment="1">
      <alignment horizontal="center" vertical="center"/>
    </xf>
    <xf numFmtId="0" fontId="34" fillId="3" borderId="2" xfId="0" applyFont="1" applyFill="1" applyBorder="1"/>
    <xf numFmtId="188" fontId="46" fillId="12" borderId="1" xfId="0" applyNumberFormat="1" applyFont="1" applyFill="1" applyBorder="1"/>
    <xf numFmtId="0" fontId="86" fillId="3" borderId="2" xfId="0" applyFont="1" applyFill="1" applyBorder="1"/>
    <xf numFmtId="188" fontId="35" fillId="3" borderId="1" xfId="0" applyNumberFormat="1" applyFont="1" applyFill="1" applyBorder="1" applyAlignment="1">
      <alignment wrapText="1"/>
    </xf>
    <xf numFmtId="0" fontId="73" fillId="3" borderId="1" xfId="0" applyFont="1" applyFill="1" applyBorder="1" applyAlignment="1">
      <alignment vertical="top"/>
    </xf>
    <xf numFmtId="188" fontId="46" fillId="12" borderId="7" xfId="0" applyNumberFormat="1" applyFont="1" applyFill="1" applyBorder="1"/>
    <xf numFmtId="0" fontId="114" fillId="3" borderId="1" xfId="0" applyFont="1" applyFill="1" applyBorder="1" applyAlignment="1"/>
    <xf numFmtId="0" fontId="119" fillId="3" borderId="6" xfId="0" applyFont="1" applyFill="1" applyBorder="1"/>
    <xf numFmtId="168" fontId="73" fillId="3" borderId="7" xfId="0" applyNumberFormat="1" applyFont="1" applyFill="1" applyBorder="1"/>
    <xf numFmtId="164" fontId="73" fillId="3" borderId="7" xfId="0" applyNumberFormat="1" applyFont="1" applyFill="1" applyBorder="1"/>
    <xf numFmtId="4" fontId="95" fillId="3" borderId="0" xfId="0" applyNumberFormat="1" applyFont="1" applyFill="1" applyBorder="1" applyAlignment="1">
      <alignment horizontal="left" vertical="center"/>
    </xf>
    <xf numFmtId="165" fontId="46" fillId="12" borderId="7" xfId="0" applyNumberFormat="1" applyFont="1" applyFill="1" applyBorder="1"/>
    <xf numFmtId="0" fontId="73" fillId="3" borderId="1" xfId="0" applyFont="1" applyFill="1" applyBorder="1" applyAlignment="1">
      <alignment horizontal="center" vertical="center"/>
    </xf>
    <xf numFmtId="0" fontId="73" fillId="3" borderId="3" xfId="0" applyFont="1" applyFill="1" applyBorder="1" applyAlignment="1">
      <alignment horizontal="center" vertical="center"/>
    </xf>
    <xf numFmtId="165" fontId="9" fillId="3" borderId="0" xfId="0" applyNumberFormat="1" applyFont="1" applyFill="1" applyBorder="1" applyAlignment="1">
      <alignment horizontal="center" vertical="center"/>
    </xf>
    <xf numFmtId="165" fontId="73" fillId="3" borderId="7" xfId="0" applyNumberFormat="1" applyFont="1" applyFill="1" applyBorder="1" applyAlignment="1">
      <alignment horizontal="center" vertical="center"/>
    </xf>
    <xf numFmtId="0" fontId="73" fillId="3" borderId="7" xfId="0" applyFont="1" applyFill="1" applyBorder="1" applyAlignment="1">
      <alignment horizontal="center" vertical="center"/>
    </xf>
    <xf numFmtId="0" fontId="73" fillId="3" borderId="8" xfId="0" applyFont="1" applyFill="1" applyBorder="1" applyAlignment="1">
      <alignment horizontal="center" vertical="center"/>
    </xf>
    <xf numFmtId="0" fontId="143" fillId="3" borderId="2" xfId="0" applyFont="1" applyFill="1" applyBorder="1" applyAlignment="1">
      <alignment horizontal="left" indent="1"/>
    </xf>
    <xf numFmtId="0" fontId="78" fillId="9" borderId="0" xfId="0" applyFont="1" applyFill="1" applyBorder="1" applyAlignment="1">
      <alignment horizontal="center" vertical="center" wrapText="1"/>
    </xf>
    <xf numFmtId="0" fontId="73" fillId="3" borderId="0" xfId="0" applyFont="1" applyFill="1" applyBorder="1" applyAlignment="1">
      <alignment horizontal="center"/>
    </xf>
    <xf numFmtId="4" fontId="75" fillId="43" borderId="13" xfId="0" applyNumberFormat="1" applyFont="1" applyFill="1" applyBorder="1" applyAlignment="1">
      <alignment horizontal="center" vertical="center"/>
    </xf>
    <xf numFmtId="4" fontId="75" fillId="43" borderId="0" xfId="0" applyNumberFormat="1" applyFont="1" applyFill="1" applyBorder="1" applyAlignment="1">
      <alignment horizontal="center" vertical="center"/>
    </xf>
    <xf numFmtId="4" fontId="31" fillId="3" borderId="0" xfId="0" applyNumberFormat="1" applyFont="1" applyFill="1" applyBorder="1" applyAlignment="1">
      <alignment horizontal="center"/>
    </xf>
    <xf numFmtId="4" fontId="32" fillId="3" borderId="13" xfId="0" applyNumberFormat="1" applyFont="1" applyFill="1" applyBorder="1"/>
    <xf numFmtId="4" fontId="73" fillId="3" borderId="13" xfId="0" applyNumberFormat="1" applyFont="1" applyFill="1" applyBorder="1"/>
    <xf numFmtId="4" fontId="137" fillId="43" borderId="29" xfId="0" applyNumberFormat="1" applyFont="1" applyFill="1" applyBorder="1"/>
    <xf numFmtId="4" fontId="137" fillId="43" borderId="44" xfId="0" applyNumberFormat="1" applyFont="1" applyFill="1" applyBorder="1"/>
    <xf numFmtId="4" fontId="137" fillId="43" borderId="44" xfId="0" applyNumberFormat="1" applyFont="1" applyFill="1" applyBorder="1" applyAlignment="1">
      <alignment horizontal="center"/>
    </xf>
    <xf numFmtId="4" fontId="137" fillId="43" borderId="13" xfId="0" applyNumberFormat="1" applyFont="1" applyFill="1" applyBorder="1"/>
    <xf numFmtId="4" fontId="137" fillId="43" borderId="0" xfId="0" applyNumberFormat="1" applyFont="1" applyFill="1" applyBorder="1"/>
    <xf numFmtId="4" fontId="137" fillId="43" borderId="0" xfId="0" applyNumberFormat="1" applyFont="1" applyFill="1" applyBorder="1" applyAlignment="1">
      <alignment horizontal="center"/>
    </xf>
    <xf numFmtId="0" fontId="143" fillId="43" borderId="29" xfId="0" applyFont="1" applyFill="1" applyBorder="1"/>
    <xf numFmtId="0" fontId="143" fillId="43" borderId="44" xfId="0" applyFont="1" applyFill="1" applyBorder="1"/>
    <xf numFmtId="0" fontId="143" fillId="43" borderId="13" xfId="0" applyFont="1" applyFill="1" applyBorder="1"/>
    <xf numFmtId="0" fontId="143" fillId="43" borderId="0" xfId="0" applyFont="1" applyFill="1" applyBorder="1"/>
    <xf numFmtId="0" fontId="143" fillId="3" borderId="0" xfId="0" applyFont="1" applyFill="1" applyBorder="1"/>
    <xf numFmtId="0" fontId="143" fillId="3" borderId="2" xfId="0" applyFont="1" applyFill="1" applyBorder="1"/>
    <xf numFmtId="0" fontId="143" fillId="3" borderId="4" xfId="0" applyFont="1" applyFill="1" applyBorder="1"/>
    <xf numFmtId="0" fontId="143" fillId="3" borderId="6" xfId="0" applyFont="1" applyFill="1" applyBorder="1"/>
    <xf numFmtId="180" fontId="143" fillId="3" borderId="8" xfId="0" applyNumberFormat="1" applyFont="1" applyFill="1" applyBorder="1"/>
    <xf numFmtId="165" fontId="143" fillId="3" borderId="0" xfId="0" applyNumberFormat="1" applyFont="1" applyFill="1" applyBorder="1"/>
    <xf numFmtId="0" fontId="172" fillId="0" borderId="19" xfId="225" applyFont="1" applyBorder="1" applyAlignment="1">
      <alignment horizontal="right" vertical="top" wrapText="1"/>
    </xf>
    <xf numFmtId="0" fontId="172" fillId="3" borderId="0" xfId="0" applyFont="1" applyFill="1" applyBorder="1"/>
    <xf numFmtId="165" fontId="143" fillId="3" borderId="17" xfId="0" applyNumberFormat="1" applyFont="1" applyFill="1" applyBorder="1"/>
    <xf numFmtId="164" fontId="143" fillId="3" borderId="17" xfId="0" applyNumberFormat="1" applyFont="1" applyFill="1" applyBorder="1"/>
    <xf numFmtId="164" fontId="143" fillId="3" borderId="16" xfId="0" applyNumberFormat="1" applyFont="1" applyFill="1" applyBorder="1"/>
    <xf numFmtId="165" fontId="143" fillId="3" borderId="16" xfId="0" applyNumberFormat="1" applyFont="1" applyFill="1" applyBorder="1"/>
    <xf numFmtId="2" fontId="143" fillId="3" borderId="0" xfId="0" applyNumberFormat="1" applyFont="1" applyFill="1" applyBorder="1"/>
    <xf numFmtId="0" fontId="169" fillId="3" borderId="0" xfId="0" applyFont="1" applyFill="1" applyBorder="1"/>
    <xf numFmtId="0" fontId="168" fillId="0" borderId="19" xfId="225" applyFont="1" applyBorder="1" applyAlignment="1">
      <alignment horizontal="center" vertical="top" wrapText="1"/>
    </xf>
    <xf numFmtId="0" fontId="172" fillId="0" borderId="19" xfId="225" applyFont="1" applyBorder="1" applyAlignment="1">
      <alignment horizontal="center" vertical="top" wrapText="1"/>
    </xf>
    <xf numFmtId="190" fontId="143" fillId="3" borderId="17" xfId="0" applyNumberFormat="1" applyFont="1" applyFill="1" applyBorder="1"/>
    <xf numFmtId="194" fontId="143" fillId="3" borderId="17" xfId="0" applyNumberFormat="1" applyFont="1" applyFill="1" applyBorder="1"/>
    <xf numFmtId="194" fontId="143" fillId="3" borderId="16" xfId="0" applyNumberFormat="1" applyFont="1" applyFill="1" applyBorder="1"/>
    <xf numFmtId="207" fontId="143" fillId="3" borderId="0" xfId="2" applyNumberFormat="1" applyFont="1" applyFill="1" applyBorder="1"/>
    <xf numFmtId="0" fontId="169" fillId="3" borderId="0" xfId="0" applyFont="1" applyFill="1" applyBorder="1" applyAlignment="1">
      <alignment horizontal="center"/>
    </xf>
    <xf numFmtId="0" fontId="143" fillId="3" borderId="0" xfId="0" applyFont="1" applyFill="1" applyBorder="1" applyAlignment="1">
      <alignment horizontal="left"/>
    </xf>
    <xf numFmtId="166" fontId="143" fillId="3" borderId="0" xfId="0" applyNumberFormat="1" applyFont="1" applyFill="1" applyBorder="1" applyAlignment="1">
      <alignment horizontal="right"/>
    </xf>
    <xf numFmtId="0" fontId="172" fillId="3" borderId="19" xfId="0" applyFont="1" applyFill="1" applyBorder="1" applyAlignment="1">
      <alignment horizontal="center"/>
    </xf>
    <xf numFmtId="176" fontId="143" fillId="3" borderId="18" xfId="0" applyNumberFormat="1" applyFont="1" applyFill="1" applyBorder="1"/>
    <xf numFmtId="175" fontId="143" fillId="3" borderId="17" xfId="0" applyNumberFormat="1" applyFont="1" applyFill="1" applyBorder="1"/>
    <xf numFmtId="176" fontId="143" fillId="3" borderId="17" xfId="0" applyNumberFormat="1" applyFont="1" applyFill="1" applyBorder="1"/>
    <xf numFmtId="188" fontId="143" fillId="3" borderId="17" xfId="0" applyNumberFormat="1" applyFont="1" applyFill="1" applyBorder="1"/>
    <xf numFmtId="188" fontId="143" fillId="3" borderId="16" xfId="0" applyNumberFormat="1" applyFont="1" applyFill="1" applyBorder="1"/>
    <xf numFmtId="0" fontId="143" fillId="3" borderId="0" xfId="0" applyFont="1" applyFill="1" applyBorder="1" applyAlignment="1">
      <alignment horizontal="left" indent="1"/>
    </xf>
    <xf numFmtId="9" fontId="143" fillId="3" borderId="0" xfId="2" applyFont="1" applyFill="1" applyBorder="1"/>
    <xf numFmtId="191" fontId="143" fillId="3" borderId="17" xfId="0" applyNumberFormat="1" applyFont="1" applyFill="1" applyBorder="1"/>
    <xf numFmtId="181" fontId="143" fillId="3" borderId="18" xfId="0" applyNumberFormat="1" applyFont="1" applyFill="1" applyBorder="1"/>
    <xf numFmtId="181" fontId="143" fillId="3" borderId="17" xfId="0" applyNumberFormat="1" applyFont="1" applyFill="1" applyBorder="1"/>
    <xf numFmtId="171" fontId="143" fillId="3" borderId="17" xfId="0" applyNumberFormat="1" applyFont="1" applyFill="1" applyBorder="1"/>
    <xf numFmtId="180" fontId="143" fillId="3" borderId="16" xfId="0" applyNumberFormat="1" applyFont="1" applyFill="1" applyBorder="1"/>
    <xf numFmtId="165" fontId="143" fillId="3" borderId="18" xfId="0" applyNumberFormat="1" applyFont="1" applyFill="1" applyBorder="1"/>
    <xf numFmtId="164" fontId="143" fillId="3" borderId="17" xfId="0" applyNumberFormat="1" applyFont="1" applyFill="1" applyBorder="1" applyAlignment="1">
      <alignment horizontal="left" indent="3"/>
    </xf>
    <xf numFmtId="0" fontId="168" fillId="0" borderId="16" xfId="225" applyFont="1" applyBorder="1" applyAlignment="1">
      <alignment horizontal="center" vertical="top" wrapText="1"/>
    </xf>
    <xf numFmtId="0" fontId="172" fillId="3" borderId="18" xfId="0" applyFont="1" applyFill="1" applyBorder="1" applyAlignment="1">
      <alignment horizontal="center"/>
    </xf>
    <xf numFmtId="190" fontId="143" fillId="3" borderId="18" xfId="0" applyNumberFormat="1" applyFont="1" applyFill="1" applyBorder="1"/>
    <xf numFmtId="180" fontId="143" fillId="3" borderId="17" xfId="0" applyNumberFormat="1" applyFont="1" applyFill="1" applyBorder="1"/>
    <xf numFmtId="180" fontId="143" fillId="3" borderId="0" xfId="0" applyNumberFormat="1" applyFont="1" applyFill="1" applyBorder="1"/>
    <xf numFmtId="0" fontId="143" fillId="3" borderId="18" xfId="0" applyFont="1" applyFill="1" applyBorder="1"/>
    <xf numFmtId="181" fontId="143" fillId="3" borderId="16" xfId="0" applyNumberFormat="1" applyFont="1" applyFill="1" applyBorder="1"/>
    <xf numFmtId="0" fontId="143" fillId="3" borderId="13" xfId="0" applyFont="1" applyFill="1" applyBorder="1"/>
    <xf numFmtId="0" fontId="173" fillId="3" borderId="0" xfId="0" applyFont="1" applyFill="1" applyBorder="1"/>
    <xf numFmtId="0" fontId="143" fillId="3" borderId="0" xfId="0" applyFont="1" applyFill="1" applyBorder="1" applyAlignment="1">
      <alignment horizontal="center" vertical="top" wrapText="1"/>
    </xf>
    <xf numFmtId="165" fontId="143" fillId="3" borderId="14" xfId="0" applyNumberFormat="1" applyFont="1" applyFill="1" applyBorder="1"/>
    <xf numFmtId="181" fontId="143" fillId="3" borderId="0" xfId="0" applyNumberFormat="1" applyFont="1" applyFill="1" applyBorder="1"/>
    <xf numFmtId="0" fontId="143" fillId="3" borderId="0" xfId="0" applyFont="1" applyFill="1" applyBorder="1" applyAlignment="1">
      <alignment horizontal="center"/>
    </xf>
    <xf numFmtId="167" fontId="143" fillId="3" borderId="0" xfId="0" applyNumberFormat="1" applyFont="1" applyFill="1" applyBorder="1"/>
    <xf numFmtId="0" fontId="176" fillId="3" borderId="0" xfId="0" applyFont="1" applyFill="1" applyBorder="1"/>
    <xf numFmtId="0" fontId="178" fillId="43" borderId="0" xfId="0" applyFont="1" applyFill="1" applyBorder="1"/>
    <xf numFmtId="0" fontId="143" fillId="3" borderId="46" xfId="0" applyFont="1" applyFill="1" applyBorder="1"/>
    <xf numFmtId="49" fontId="32" fillId="61" borderId="0" xfId="0" applyNumberFormat="1" applyFont="1" applyFill="1" applyBorder="1" applyAlignment="1">
      <alignment vertical="center" wrapText="1"/>
    </xf>
    <xf numFmtId="49" fontId="32" fillId="61" borderId="67" xfId="0" applyNumberFormat="1" applyFont="1" applyFill="1" applyBorder="1" applyAlignment="1">
      <alignment horizontal="left" vertical="center" indent="1"/>
    </xf>
    <xf numFmtId="0" fontId="180" fillId="3" borderId="0" xfId="0" applyFont="1" applyFill="1" applyBorder="1"/>
    <xf numFmtId="0" fontId="143" fillId="3" borderId="0" xfId="0" applyFont="1" applyFill="1"/>
    <xf numFmtId="0" fontId="143" fillId="43" borderId="0" xfId="0" applyFont="1" applyFill="1"/>
    <xf numFmtId="0" fontId="181" fillId="43" borderId="29" xfId="0" applyFont="1" applyFill="1" applyBorder="1" applyAlignment="1">
      <alignment horizontal="left" vertical="center" indent="1"/>
    </xf>
    <xf numFmtId="0" fontId="182" fillId="43" borderId="44" xfId="0" applyFont="1" applyFill="1" applyBorder="1" applyAlignment="1">
      <alignment horizontal="left" vertical="center"/>
    </xf>
    <xf numFmtId="0" fontId="181" fillId="43" borderId="44" xfId="0" applyFont="1" applyFill="1" applyBorder="1"/>
    <xf numFmtId="165" fontId="183" fillId="43" borderId="44" xfId="0" applyNumberFormat="1" applyFont="1" applyFill="1" applyBorder="1"/>
    <xf numFmtId="165" fontId="178" fillId="43" borderId="44" xfId="0" applyNumberFormat="1" applyFont="1" applyFill="1" applyBorder="1"/>
    <xf numFmtId="165" fontId="178" fillId="43" borderId="12" xfId="0" applyNumberFormat="1" applyFont="1" applyFill="1" applyBorder="1"/>
    <xf numFmtId="165" fontId="178" fillId="3" borderId="0" xfId="0" applyNumberFormat="1" applyFont="1" applyFill="1"/>
    <xf numFmtId="165" fontId="178" fillId="3" borderId="0" xfId="0" applyNumberFormat="1" applyFont="1" applyFill="1" applyBorder="1"/>
    <xf numFmtId="165" fontId="143" fillId="3" borderId="0" xfId="0" applyNumberFormat="1" applyFont="1" applyFill="1"/>
    <xf numFmtId="178" fontId="143" fillId="3" borderId="0" xfId="0" applyNumberFormat="1" applyFont="1" applyFill="1"/>
    <xf numFmtId="0" fontId="184" fillId="3" borderId="13" xfId="0" applyFont="1" applyFill="1" applyBorder="1"/>
    <xf numFmtId="0" fontId="181" fillId="3" borderId="0" xfId="0" applyFont="1" applyFill="1" applyBorder="1" applyAlignment="1">
      <alignment horizontal="left" vertical="center" indent="1"/>
    </xf>
    <xf numFmtId="0" fontId="181" fillId="3" borderId="0" xfId="0" applyFont="1" applyFill="1" applyBorder="1"/>
    <xf numFmtId="165" fontId="183" fillId="3" borderId="0" xfId="0" applyNumberFormat="1" applyFont="1" applyFill="1" applyBorder="1"/>
    <xf numFmtId="0" fontId="185" fillId="44" borderId="13" xfId="0" applyFont="1" applyFill="1" applyBorder="1"/>
    <xf numFmtId="0" fontId="182" fillId="44" borderId="0" xfId="0" applyFont="1" applyFill="1" applyBorder="1" applyAlignment="1">
      <alignment horizontal="left" vertical="center"/>
    </xf>
    <xf numFmtId="0" fontId="182" fillId="44" borderId="0" xfId="0" applyFont="1" applyFill="1" applyBorder="1"/>
    <xf numFmtId="165" fontId="186" fillId="3" borderId="0" xfId="0" applyNumberFormat="1" applyFont="1" applyFill="1"/>
    <xf numFmtId="165" fontId="187" fillId="3" borderId="0" xfId="219" applyNumberFormat="1" applyFont="1" applyFill="1"/>
    <xf numFmtId="165" fontId="188" fillId="3" borderId="0" xfId="0" applyNumberFormat="1" applyFont="1" applyFill="1"/>
    <xf numFmtId="165" fontId="189" fillId="3" borderId="0" xfId="0" applyNumberFormat="1" applyFont="1" applyFill="1"/>
    <xf numFmtId="165" fontId="187" fillId="0" borderId="0" xfId="219" applyNumberFormat="1" applyFont="1"/>
    <xf numFmtId="165" fontId="187" fillId="3" borderId="0" xfId="0" applyNumberFormat="1" applyFont="1" applyFill="1"/>
    <xf numFmtId="0" fontId="190" fillId="3" borderId="0" xfId="0" applyFont="1" applyFill="1" applyBorder="1" applyAlignment="1">
      <alignment horizontal="center" vertical="center"/>
    </xf>
    <xf numFmtId="165" fontId="169" fillId="3" borderId="0" xfId="0" applyNumberFormat="1" applyFont="1" applyFill="1"/>
    <xf numFmtId="188" fontId="143" fillId="3" borderId="0" xfId="0" applyNumberFormat="1" applyFont="1" applyFill="1"/>
    <xf numFmtId="0" fontId="143" fillId="3" borderId="0" xfId="0" applyFont="1" applyFill="1" applyBorder="1" applyAlignment="1">
      <alignment horizontal="left" vertical="center" indent="2"/>
    </xf>
    <xf numFmtId="0" fontId="143" fillId="3" borderId="0" xfId="0" applyFont="1" applyFill="1" applyBorder="1" applyAlignment="1">
      <alignment horizontal="center" vertical="center"/>
    </xf>
    <xf numFmtId="0" fontId="143" fillId="3" borderId="0" xfId="0" applyFont="1" applyFill="1" applyBorder="1" applyAlignment="1">
      <alignment horizontal="left" vertical="center" wrapText="1" indent="2"/>
    </xf>
    <xf numFmtId="0" fontId="187" fillId="3" borderId="0" xfId="219" applyFont="1" applyFill="1"/>
    <xf numFmtId="49" fontId="184" fillId="3" borderId="0" xfId="0" applyNumberFormat="1" applyFont="1" applyFill="1" applyBorder="1" applyAlignment="1">
      <alignment vertical="center" wrapText="1"/>
    </xf>
    <xf numFmtId="0" fontId="187" fillId="0" borderId="0" xfId="219" applyFont="1"/>
    <xf numFmtId="0" fontId="187" fillId="3" borderId="0" xfId="0" applyFont="1" applyFill="1"/>
    <xf numFmtId="0" fontId="188" fillId="3" borderId="0" xfId="0" applyFont="1" applyFill="1"/>
    <xf numFmtId="165" fontId="143" fillId="0" borderId="0" xfId="220" applyNumberFormat="1" applyFont="1"/>
    <xf numFmtId="165" fontId="187" fillId="0" borderId="0" xfId="220" applyNumberFormat="1" applyFont="1"/>
    <xf numFmtId="165" fontId="187" fillId="3" borderId="0" xfId="220" applyNumberFormat="1" applyFont="1" applyFill="1"/>
    <xf numFmtId="165" fontId="192" fillId="3" borderId="0" xfId="0" applyNumberFormat="1" applyFont="1" applyFill="1"/>
    <xf numFmtId="165" fontId="191" fillId="3" borderId="0" xfId="0" applyNumberFormat="1" applyFont="1" applyFill="1"/>
    <xf numFmtId="0" fontId="184" fillId="3" borderId="0" xfId="0" applyFont="1" applyFill="1" applyBorder="1"/>
    <xf numFmtId="0" fontId="184" fillId="3" borderId="0" xfId="0" applyFont="1" applyFill="1" applyBorder="1" applyAlignment="1">
      <alignment horizontal="center"/>
    </xf>
    <xf numFmtId="165" fontId="184" fillId="3" borderId="0" xfId="0" applyNumberFormat="1" applyFont="1" applyFill="1" applyBorder="1"/>
    <xf numFmtId="165" fontId="171" fillId="3" borderId="0" xfId="0" applyNumberFormat="1" applyFont="1" applyFill="1"/>
    <xf numFmtId="2" fontId="143" fillId="3" borderId="0" xfId="0" applyNumberFormat="1" applyFont="1" applyFill="1"/>
    <xf numFmtId="0" fontId="162" fillId="3" borderId="0" xfId="0" applyFont="1" applyFill="1" applyBorder="1" applyAlignment="1">
      <alignment horizontal="left" vertical="center"/>
    </xf>
    <xf numFmtId="0" fontId="162" fillId="3" borderId="0" xfId="0" applyNumberFormat="1" applyFont="1" applyFill="1" applyBorder="1" applyAlignment="1">
      <alignment horizontal="center" vertical="center"/>
    </xf>
    <xf numFmtId="0" fontId="187" fillId="0" borderId="0" xfId="220" applyFont="1"/>
    <xf numFmtId="165" fontId="184" fillId="44" borderId="0" xfId="0" applyNumberFormat="1" applyFont="1" applyFill="1" applyBorder="1"/>
    <xf numFmtId="0" fontId="162" fillId="3" borderId="0" xfId="0" applyFont="1" applyFill="1" applyBorder="1" applyAlignment="1">
      <alignment horizontal="center" vertical="center"/>
    </xf>
    <xf numFmtId="0" fontId="143" fillId="3" borderId="0" xfId="0" applyFont="1" applyFill="1" applyBorder="1" applyAlignment="1">
      <alignment vertical="center"/>
    </xf>
    <xf numFmtId="0" fontId="190" fillId="3" borderId="0" xfId="0" applyFont="1" applyFill="1" applyBorder="1"/>
    <xf numFmtId="49" fontId="184" fillId="3" borderId="0" xfId="0" applyNumberFormat="1" applyFont="1" applyFill="1" applyBorder="1" applyAlignment="1">
      <alignment horizontal="left" vertical="center" wrapText="1" indent="1"/>
    </xf>
    <xf numFmtId="165" fontId="169" fillId="3" borderId="0" xfId="2" applyNumberFormat="1" applyFont="1" applyFill="1"/>
    <xf numFmtId="0" fontId="169" fillId="3" borderId="0" xfId="0" applyFont="1" applyFill="1" applyBorder="1" applyAlignment="1">
      <alignment horizontal="center" vertical="center"/>
    </xf>
    <xf numFmtId="0" fontId="143" fillId="3" borderId="0" xfId="218" applyFont="1" applyFill="1" applyBorder="1"/>
    <xf numFmtId="165" fontId="143" fillId="3" borderId="0" xfId="220" applyNumberFormat="1" applyFont="1" applyFill="1"/>
    <xf numFmtId="0" fontId="182" fillId="44" borderId="13" xfId="0" applyFont="1" applyFill="1" applyBorder="1" applyAlignment="1">
      <alignment horizontal="left" vertical="center" indent="1"/>
    </xf>
    <xf numFmtId="0" fontId="182" fillId="44" borderId="0" xfId="0" applyFont="1" applyFill="1" applyBorder="1" applyAlignment="1">
      <alignment horizontal="left" vertical="center" indent="1"/>
    </xf>
    <xf numFmtId="0" fontId="162" fillId="3" borderId="0" xfId="0" applyFont="1" applyFill="1" applyBorder="1" applyAlignment="1"/>
    <xf numFmtId="0" fontId="162" fillId="3" borderId="0" xfId="0" applyFont="1" applyFill="1" applyBorder="1" applyAlignment="1">
      <alignment wrapText="1"/>
    </xf>
    <xf numFmtId="165" fontId="192" fillId="3" borderId="32" xfId="0" applyNumberFormat="1" applyFont="1" applyFill="1" applyBorder="1"/>
    <xf numFmtId="0" fontId="162" fillId="3" borderId="0" xfId="0" applyFont="1" applyFill="1" applyBorder="1" applyAlignment="1">
      <alignment horizontal="left" indent="1"/>
    </xf>
    <xf numFmtId="0" fontId="162" fillId="3" borderId="0" xfId="216" applyFont="1" applyFill="1" applyBorder="1" applyAlignment="1">
      <alignment horizontal="left" indent="1"/>
    </xf>
    <xf numFmtId="0" fontId="194" fillId="3" borderId="0" xfId="216" applyFont="1" applyFill="1" applyBorder="1" applyAlignment="1">
      <alignment horizontal="left"/>
    </xf>
    <xf numFmtId="49" fontId="184" fillId="3" borderId="0" xfId="0" applyNumberFormat="1" applyFont="1" applyFill="1" applyBorder="1" applyAlignment="1">
      <alignment vertical="center"/>
    </xf>
    <xf numFmtId="188" fontId="187" fillId="3" borderId="0" xfId="0" applyNumberFormat="1" applyFont="1" applyFill="1"/>
    <xf numFmtId="0" fontId="162" fillId="3" borderId="0" xfId="216" applyFont="1" applyFill="1" applyBorder="1" applyAlignment="1">
      <alignment horizontal="left"/>
    </xf>
    <xf numFmtId="0" fontId="169" fillId="3" borderId="0" xfId="0" applyFont="1" applyFill="1"/>
    <xf numFmtId="0" fontId="184" fillId="3" borderId="0" xfId="0" applyFont="1" applyFill="1" applyBorder="1" applyAlignment="1">
      <alignment horizontal="center" vertical="center"/>
    </xf>
    <xf numFmtId="165" fontId="187" fillId="3" borderId="0" xfId="0" applyNumberFormat="1" applyFont="1" applyFill="1" applyBorder="1"/>
    <xf numFmtId="165" fontId="187" fillId="3" borderId="23" xfId="219" applyNumberFormat="1" applyFont="1" applyFill="1" applyBorder="1"/>
    <xf numFmtId="165" fontId="187" fillId="0" borderId="25" xfId="220" applyNumberFormat="1" applyFont="1" applyBorder="1"/>
    <xf numFmtId="206" fontId="143" fillId="3" borderId="0" xfId="0" applyNumberFormat="1" applyFont="1" applyFill="1"/>
    <xf numFmtId="165" fontId="187" fillId="3" borderId="25" xfId="219" applyNumberFormat="1" applyFont="1" applyFill="1" applyBorder="1"/>
    <xf numFmtId="165" fontId="143" fillId="3" borderId="26" xfId="0" applyNumberFormat="1" applyFont="1" applyFill="1" applyBorder="1"/>
    <xf numFmtId="165" fontId="187" fillId="3" borderId="27" xfId="219" applyNumberFormat="1" applyFont="1" applyFill="1" applyBorder="1"/>
    <xf numFmtId="165" fontId="143" fillId="3" borderId="28" xfId="0" applyNumberFormat="1" applyFont="1" applyFill="1" applyBorder="1"/>
    <xf numFmtId="165" fontId="187" fillId="0" borderId="0" xfId="221" applyNumberFormat="1" applyFont="1"/>
    <xf numFmtId="165" fontId="143" fillId="3" borderId="0" xfId="221" applyNumberFormat="1" applyFont="1" applyFill="1"/>
    <xf numFmtId="0" fontId="162" fillId="3" borderId="0" xfId="0" applyFont="1" applyFill="1" applyBorder="1"/>
    <xf numFmtId="191" fontId="143" fillId="3" borderId="0" xfId="0" applyNumberFormat="1" applyFont="1" applyFill="1"/>
    <xf numFmtId="178" fontId="187" fillId="3" borderId="0" xfId="0" applyNumberFormat="1" applyFont="1" applyFill="1"/>
    <xf numFmtId="0" fontId="184" fillId="3" borderId="0" xfId="0" applyFont="1" applyFill="1" applyBorder="1" applyAlignment="1">
      <alignment horizontal="left" indent="1"/>
    </xf>
    <xf numFmtId="210" fontId="143" fillId="3" borderId="0" xfId="0" applyNumberFormat="1" applyFont="1" applyFill="1"/>
    <xf numFmtId="165" fontId="192" fillId="6" borderId="0" xfId="0" applyNumberFormat="1" applyFont="1" applyFill="1"/>
    <xf numFmtId="165" fontId="143" fillId="3" borderId="0" xfId="220" applyNumberFormat="1" applyFont="1" applyFill="1" applyBorder="1"/>
    <xf numFmtId="188" fontId="189" fillId="3" borderId="0" xfId="0" applyNumberFormat="1" applyFont="1" applyFill="1"/>
    <xf numFmtId="188" fontId="191" fillId="3" borderId="0" xfId="0" applyNumberFormat="1" applyFont="1" applyFill="1"/>
    <xf numFmtId="188" fontId="171" fillId="3" borderId="0" xfId="0" applyNumberFormat="1" applyFont="1" applyFill="1"/>
    <xf numFmtId="165" fontId="169" fillId="3" borderId="0" xfId="0" applyNumberFormat="1" applyFont="1" applyFill="1" applyAlignment="1">
      <alignment horizontal="center"/>
    </xf>
    <xf numFmtId="188" fontId="192" fillId="3" borderId="0" xfId="0" applyNumberFormat="1" applyFont="1" applyFill="1"/>
    <xf numFmtId="0" fontId="187" fillId="0" borderId="0" xfId="221" applyFont="1"/>
    <xf numFmtId="211" fontId="143" fillId="3" borderId="0" xfId="0" applyNumberFormat="1" applyFont="1" applyFill="1"/>
    <xf numFmtId="0" fontId="187" fillId="3" borderId="0" xfId="221" applyFont="1" applyFill="1"/>
    <xf numFmtId="165" fontId="195" fillId="3" borderId="0" xfId="0" applyNumberFormat="1" applyFont="1" applyFill="1"/>
    <xf numFmtId="0" fontId="196" fillId="3" borderId="0" xfId="219" applyFont="1" applyFill="1"/>
    <xf numFmtId="0" fontId="196" fillId="3" borderId="0" xfId="221" applyFont="1" applyFill="1"/>
    <xf numFmtId="165" fontId="187" fillId="3" borderId="0" xfId="221" applyNumberFormat="1" applyFont="1" applyFill="1"/>
    <xf numFmtId="0" fontId="195" fillId="3" borderId="0" xfId="0" applyFont="1" applyFill="1"/>
    <xf numFmtId="0" fontId="198" fillId="3" borderId="0" xfId="0" applyFont="1" applyFill="1"/>
    <xf numFmtId="1" fontId="195" fillId="3" borderId="0" xfId="0" applyNumberFormat="1" applyFont="1" applyFill="1"/>
    <xf numFmtId="178" fontId="143" fillId="3" borderId="0" xfId="221" applyNumberFormat="1" applyFont="1" applyFill="1"/>
    <xf numFmtId="188" fontId="187" fillId="3" borderId="0" xfId="219" applyNumberFormat="1" applyFont="1" applyFill="1"/>
    <xf numFmtId="165" fontId="199" fillId="3" borderId="0" xfId="0" applyNumberFormat="1" applyFont="1" applyFill="1"/>
    <xf numFmtId="196" fontId="143" fillId="3" borderId="0" xfId="0" applyNumberFormat="1" applyFont="1" applyFill="1"/>
    <xf numFmtId="165" fontId="200" fillId="3" borderId="0" xfId="0" applyNumberFormat="1" applyFont="1" applyFill="1"/>
    <xf numFmtId="165" fontId="192" fillId="6" borderId="32" xfId="0" applyNumberFormat="1" applyFont="1" applyFill="1" applyBorder="1"/>
    <xf numFmtId="165" fontId="143" fillId="6" borderId="0" xfId="0" applyNumberFormat="1" applyFont="1" applyFill="1"/>
    <xf numFmtId="188" fontId="169" fillId="3" borderId="0" xfId="0" applyNumberFormat="1" applyFont="1" applyFill="1"/>
    <xf numFmtId="0" fontId="143" fillId="3" borderId="0" xfId="0" applyNumberFormat="1" applyFont="1" applyFill="1"/>
    <xf numFmtId="165" fontId="143" fillId="3" borderId="24" xfId="0" applyNumberFormat="1" applyFont="1" applyFill="1" applyBorder="1"/>
    <xf numFmtId="165" fontId="187" fillId="0" borderId="25" xfId="221" applyNumberFormat="1" applyFont="1" applyBorder="1"/>
    <xf numFmtId="175" fontId="143" fillId="3" borderId="0" xfId="221" applyNumberFormat="1" applyFont="1" applyFill="1"/>
    <xf numFmtId="165" fontId="143" fillId="0" borderId="0" xfId="221" applyNumberFormat="1" applyFont="1"/>
    <xf numFmtId="165" fontId="143" fillId="3" borderId="32" xfId="0" applyNumberFormat="1" applyFont="1" applyFill="1" applyBorder="1"/>
    <xf numFmtId="0" fontId="201" fillId="3" borderId="0" xfId="0" applyFont="1" applyFill="1" applyAlignment="1">
      <alignment vertical="center"/>
    </xf>
    <xf numFmtId="0" fontId="178" fillId="40" borderId="29" xfId="0" applyFont="1" applyFill="1" applyBorder="1"/>
    <xf numFmtId="0" fontId="202" fillId="40" borderId="44" xfId="0" applyFont="1" applyFill="1" applyBorder="1" applyAlignment="1">
      <alignment vertical="center"/>
    </xf>
    <xf numFmtId="0" fontId="167" fillId="40" borderId="44" xfId="0" applyFont="1" applyFill="1" applyBorder="1"/>
    <xf numFmtId="165" fontId="178" fillId="40" borderId="44" xfId="0" applyNumberFormat="1" applyFont="1" applyFill="1" applyBorder="1"/>
    <xf numFmtId="165" fontId="178" fillId="40" borderId="12" xfId="0" applyNumberFormat="1" applyFont="1" applyFill="1" applyBorder="1"/>
    <xf numFmtId="171" fontId="143" fillId="3" borderId="0" xfId="0" applyNumberFormat="1" applyFont="1" applyFill="1"/>
    <xf numFmtId="0" fontId="184" fillId="0" borderId="0" xfId="0" applyFont="1" applyBorder="1"/>
    <xf numFmtId="165" fontId="177" fillId="3" borderId="0" xfId="0" applyNumberFormat="1" applyFont="1" applyFill="1"/>
    <xf numFmtId="188" fontId="177" fillId="3" borderId="0" xfId="219" applyNumberFormat="1" applyFont="1" applyFill="1"/>
    <xf numFmtId="188" fontId="177" fillId="3" borderId="0" xfId="0" applyNumberFormat="1" applyFont="1" applyFill="1"/>
    <xf numFmtId="188" fontId="177" fillId="3" borderId="0" xfId="221" applyNumberFormat="1" applyFont="1" applyFill="1"/>
    <xf numFmtId="2" fontId="143" fillId="3" borderId="0" xfId="220" applyNumberFormat="1" applyFont="1" applyFill="1"/>
    <xf numFmtId="188" fontId="192" fillId="6" borderId="0" xfId="0" applyNumberFormat="1" applyFont="1" applyFill="1"/>
    <xf numFmtId="165" fontId="187" fillId="3" borderId="0" xfId="0" applyNumberFormat="1" applyFont="1" applyFill="1" applyAlignment="1">
      <alignment horizontal="center"/>
    </xf>
    <xf numFmtId="169" fontId="143" fillId="3" borderId="0" xfId="0" applyNumberFormat="1" applyFont="1" applyFill="1"/>
    <xf numFmtId="212" fontId="143" fillId="3" borderId="0" xfId="0" applyNumberFormat="1" applyFont="1" applyFill="1"/>
    <xf numFmtId="165" fontId="143" fillId="3" borderId="0" xfId="218" applyNumberFormat="1" applyFont="1" applyFill="1"/>
    <xf numFmtId="210" fontId="143" fillId="3" borderId="0" xfId="221" applyNumberFormat="1" applyFont="1" applyFill="1"/>
    <xf numFmtId="165" fontId="188" fillId="3" borderId="0" xfId="0" applyNumberFormat="1" applyFont="1" applyFill="1" applyAlignment="1">
      <alignment wrapText="1"/>
    </xf>
    <xf numFmtId="205" fontId="143" fillId="3" borderId="0" xfId="0" applyNumberFormat="1" applyFont="1" applyFill="1"/>
    <xf numFmtId="165" fontId="203" fillId="3" borderId="0" xfId="0" applyNumberFormat="1" applyFont="1" applyFill="1"/>
    <xf numFmtId="1" fontId="143" fillId="3" borderId="0" xfId="0" applyNumberFormat="1" applyFont="1" applyFill="1"/>
    <xf numFmtId="0" fontId="143" fillId="3" borderId="0" xfId="0" applyFont="1" applyFill="1" applyAlignment="1">
      <alignment wrapText="1"/>
    </xf>
    <xf numFmtId="165" fontId="143" fillId="3" borderId="0" xfId="0" applyNumberFormat="1" applyFont="1" applyFill="1" applyAlignment="1">
      <alignment horizontal="right"/>
    </xf>
    <xf numFmtId="165" fontId="187" fillId="3" borderId="0" xfId="219" applyNumberFormat="1" applyFont="1" applyFill="1" applyBorder="1"/>
    <xf numFmtId="165" fontId="187" fillId="0" borderId="0" xfId="221" applyNumberFormat="1" applyFont="1" applyBorder="1"/>
    <xf numFmtId="165" fontId="188" fillId="0" borderId="0" xfId="0" applyNumberFormat="1" applyFont="1" applyFill="1"/>
    <xf numFmtId="165" fontId="143" fillId="0" borderId="0" xfId="0" applyNumberFormat="1" applyFont="1" applyFill="1"/>
    <xf numFmtId="0" fontId="204" fillId="0" borderId="0" xfId="0" applyFont="1"/>
    <xf numFmtId="0" fontId="204" fillId="0" borderId="0" xfId="0" applyFont="1" applyAlignment="1">
      <alignment horizontal="left" vertical="center" wrapText="1"/>
    </xf>
    <xf numFmtId="0" fontId="143" fillId="3" borderId="1" xfId="0" applyFont="1" applyFill="1" applyBorder="1"/>
    <xf numFmtId="0" fontId="143" fillId="3" borderId="5" xfId="0" applyFont="1" applyFill="1" applyBorder="1"/>
    <xf numFmtId="0" fontId="169" fillId="10" borderId="0" xfId="0" applyFont="1" applyFill="1" applyBorder="1" applyAlignment="1">
      <alignment vertical="center"/>
    </xf>
    <xf numFmtId="0" fontId="169" fillId="10" borderId="0" xfId="0" applyFont="1" applyFill="1" applyBorder="1" applyAlignment="1">
      <alignment horizontal="center" vertical="center"/>
    </xf>
    <xf numFmtId="0" fontId="143" fillId="3" borderId="0" xfId="6" applyFont="1" applyFill="1" applyBorder="1"/>
    <xf numFmtId="0" fontId="202" fillId="41" borderId="13" xfId="0" applyFont="1" applyFill="1" applyBorder="1" applyAlignment="1">
      <alignment horizontal="left" indent="1"/>
    </xf>
    <xf numFmtId="0" fontId="202" fillId="3" borderId="4" xfId="0" applyFont="1" applyFill="1" applyBorder="1" applyAlignment="1">
      <alignment horizontal="left" indent="1"/>
    </xf>
    <xf numFmtId="0" fontId="202" fillId="3" borderId="0" xfId="0" applyFont="1" applyFill="1" applyBorder="1" applyAlignment="1">
      <alignment horizontal="left" indent="1"/>
    </xf>
    <xf numFmtId="0" fontId="178" fillId="41" borderId="2" xfId="6" applyFont="1" applyFill="1" applyBorder="1"/>
    <xf numFmtId="0" fontId="206" fillId="4" borderId="4" xfId="5" applyFont="1" applyFill="1" applyBorder="1" applyAlignment="1">
      <alignment wrapText="1"/>
    </xf>
    <xf numFmtId="165" fontId="172" fillId="5" borderId="0" xfId="1093" applyFont="1" applyFill="1" applyBorder="1" applyAlignment="1">
      <alignment horizontal="center" vertical="center"/>
    </xf>
    <xf numFmtId="0" fontId="143" fillId="3" borderId="5" xfId="0" applyFont="1" applyFill="1" applyBorder="1" applyAlignment="1">
      <alignment horizontal="center" vertical="center"/>
    </xf>
    <xf numFmtId="170" fontId="172" fillId="5" borderId="4" xfId="7" applyNumberFormat="1" applyFont="1" applyFill="1" applyBorder="1" applyAlignment="1">
      <alignment horizontal="center" vertical="center"/>
    </xf>
    <xf numFmtId="170" fontId="172" fillId="5" borderId="0" xfId="7" applyNumberFormat="1" applyFont="1" applyFill="1" applyBorder="1" applyAlignment="1">
      <alignment horizontal="center" vertical="center"/>
    </xf>
    <xf numFmtId="165" fontId="172" fillId="5" borderId="5" xfId="7" applyNumberFormat="1" applyFont="1" applyFill="1" applyBorder="1" applyAlignment="1">
      <alignment horizontal="center" vertical="center"/>
    </xf>
    <xf numFmtId="165" fontId="172" fillId="5" borderId="4" xfId="7" applyNumberFormat="1" applyFont="1" applyFill="1" applyBorder="1" applyAlignment="1">
      <alignment horizontal="center" vertical="center"/>
    </xf>
    <xf numFmtId="165" fontId="172" fillId="5" borderId="0" xfId="7" applyNumberFormat="1" applyFont="1" applyFill="1" applyBorder="1" applyAlignment="1">
      <alignment horizontal="center" vertical="center"/>
    </xf>
    <xf numFmtId="179" fontId="172" fillId="5" borderId="5" xfId="2" applyNumberFormat="1" applyFont="1" applyFill="1" applyBorder="1" applyAlignment="1">
      <alignment horizontal="center" vertical="center"/>
    </xf>
    <xf numFmtId="0" fontId="143" fillId="3" borderId="4" xfId="0" applyFont="1" applyFill="1" applyBorder="1" applyAlignment="1">
      <alignment horizontal="center" vertical="center"/>
    </xf>
    <xf numFmtId="0" fontId="143" fillId="7" borderId="4" xfId="0" applyFont="1" applyFill="1" applyBorder="1" applyAlignment="1">
      <alignment vertical="center" wrapText="1"/>
    </xf>
    <xf numFmtId="0" fontId="169" fillId="7" borderId="0" xfId="0" applyFont="1" applyFill="1" applyBorder="1" applyAlignment="1">
      <alignment horizontal="center" vertical="center" wrapText="1"/>
    </xf>
    <xf numFmtId="0" fontId="143" fillId="7" borderId="6" xfId="0" applyFont="1" applyFill="1" applyBorder="1" applyAlignment="1">
      <alignment vertical="center" wrapText="1"/>
    </xf>
    <xf numFmtId="0" fontId="169" fillId="7" borderId="7" xfId="0" applyFont="1" applyFill="1" applyBorder="1" applyAlignment="1">
      <alignment horizontal="center" vertical="center" wrapText="1"/>
    </xf>
    <xf numFmtId="179" fontId="172" fillId="5" borderId="8" xfId="2" applyNumberFormat="1" applyFont="1" applyFill="1" applyBorder="1" applyAlignment="1">
      <alignment horizontal="center" vertical="center"/>
    </xf>
    <xf numFmtId="170" fontId="172" fillId="5" borderId="6" xfId="7" applyNumberFormat="1" applyFont="1" applyFill="1" applyBorder="1" applyAlignment="1">
      <alignment horizontal="center" vertical="center"/>
    </xf>
    <xf numFmtId="170" fontId="172" fillId="5" borderId="7" xfId="7" applyNumberFormat="1" applyFont="1" applyFill="1" applyBorder="1" applyAlignment="1">
      <alignment horizontal="center" vertical="center"/>
    </xf>
    <xf numFmtId="179" fontId="172" fillId="5" borderId="7" xfId="2" applyNumberFormat="1" applyFont="1" applyFill="1" applyBorder="1" applyAlignment="1">
      <alignment horizontal="center" vertical="center"/>
    </xf>
    <xf numFmtId="165" fontId="172" fillId="5" borderId="8" xfId="7" applyNumberFormat="1" applyFont="1" applyFill="1" applyBorder="1" applyAlignment="1">
      <alignment horizontal="center" vertical="center"/>
    </xf>
    <xf numFmtId="179" fontId="172" fillId="5" borderId="0" xfId="2" applyNumberFormat="1" applyFont="1" applyFill="1" applyBorder="1"/>
    <xf numFmtId="165" fontId="172" fillId="5" borderId="6" xfId="7" applyNumberFormat="1" applyFont="1" applyFill="1" applyBorder="1" applyAlignment="1">
      <alignment horizontal="center" vertical="center"/>
    </xf>
    <xf numFmtId="165" fontId="172" fillId="5" borderId="0" xfId="7" applyNumberFormat="1" applyFont="1" applyFill="1" applyBorder="1"/>
    <xf numFmtId="49" fontId="184" fillId="61" borderId="0" xfId="0" applyNumberFormat="1" applyFont="1" applyFill="1" applyBorder="1" applyAlignment="1">
      <alignment vertical="center" wrapText="1"/>
    </xf>
    <xf numFmtId="0" fontId="207" fillId="3" borderId="0" xfId="0" applyFont="1" applyFill="1" applyBorder="1" applyAlignment="1">
      <alignment wrapText="1"/>
    </xf>
    <xf numFmtId="49" fontId="184" fillId="61" borderId="67" xfId="0" applyNumberFormat="1" applyFont="1" applyFill="1" applyBorder="1" applyAlignment="1">
      <alignment horizontal="left" vertical="center" indent="1"/>
    </xf>
    <xf numFmtId="0" fontId="209" fillId="3" borderId="0" xfId="1" applyFont="1" applyFill="1" applyBorder="1" applyAlignment="1" applyProtection="1">
      <alignment vertical="center" wrapText="1"/>
    </xf>
    <xf numFmtId="0" fontId="209" fillId="3" borderId="0" xfId="1" applyFont="1" applyFill="1" applyBorder="1" applyAlignment="1" applyProtection="1">
      <alignment vertical="center"/>
    </xf>
    <xf numFmtId="0" fontId="209" fillId="7" borderId="0" xfId="1" applyFont="1" applyFill="1" applyBorder="1" applyAlignment="1" applyProtection="1">
      <alignment horizontal="left" wrapText="1"/>
    </xf>
    <xf numFmtId="0" fontId="206" fillId="4" borderId="15" xfId="5" applyFont="1" applyFill="1" applyBorder="1" applyAlignment="1">
      <alignment wrapText="1"/>
    </xf>
    <xf numFmtId="0" fontId="143" fillId="3" borderId="7" xfId="0" applyFont="1" applyFill="1" applyBorder="1"/>
    <xf numFmtId="165" fontId="172" fillId="5" borderId="7" xfId="7" applyNumberFormat="1" applyFont="1" applyFill="1" applyBorder="1"/>
    <xf numFmtId="0" fontId="143" fillId="3" borderId="8" xfId="0" applyFont="1" applyFill="1" applyBorder="1"/>
    <xf numFmtId="0" fontId="143" fillId="3" borderId="1" xfId="0" applyFont="1" applyFill="1" applyBorder="1" applyAlignment="1">
      <alignment vertical="center"/>
    </xf>
    <xf numFmtId="0" fontId="211" fillId="3" borderId="0" xfId="0" applyFont="1" applyFill="1" applyBorder="1" applyAlignment="1">
      <alignment vertical="center"/>
    </xf>
    <xf numFmtId="0" fontId="212" fillId="3" borderId="0" xfId="0" applyFont="1" applyFill="1" applyBorder="1" applyAlignment="1">
      <alignment horizontal="center" vertical="center"/>
    </xf>
    <xf numFmtId="0" fontId="184" fillId="3" borderId="4" xfId="4" applyFont="1" applyFill="1" applyBorder="1" applyAlignment="1">
      <alignment horizontal="center" vertical="center"/>
    </xf>
    <xf numFmtId="0" fontId="184" fillId="3" borderId="0" xfId="4" applyFont="1" applyFill="1" applyBorder="1" applyAlignment="1">
      <alignment horizontal="center" vertical="center" wrapText="1"/>
    </xf>
    <xf numFmtId="167" fontId="214" fillId="3" borderId="0" xfId="4" applyNumberFormat="1" applyFont="1" applyFill="1" applyBorder="1" applyAlignment="1">
      <alignment horizontal="center" vertical="center" wrapText="1"/>
    </xf>
    <xf numFmtId="0" fontId="184" fillId="3" borderId="5" xfId="4" applyFont="1" applyFill="1" applyBorder="1" applyAlignment="1">
      <alignment horizontal="center" vertical="center" wrapText="1"/>
    </xf>
    <xf numFmtId="0" fontId="216" fillId="3" borderId="0" xfId="4" applyFont="1" applyFill="1" applyBorder="1" applyAlignment="1">
      <alignment horizontal="center" vertical="center" wrapText="1"/>
    </xf>
    <xf numFmtId="0" fontId="184" fillId="3" borderId="4" xfId="4" applyFont="1" applyFill="1" applyBorder="1" applyAlignment="1">
      <alignment horizontal="center" vertical="center" wrapText="1"/>
    </xf>
    <xf numFmtId="167" fontId="184" fillId="3" borderId="0" xfId="4" applyNumberFormat="1" applyFont="1" applyFill="1" applyBorder="1" applyAlignment="1">
      <alignment horizontal="center" vertical="center" wrapText="1"/>
    </xf>
    <xf numFmtId="0" fontId="214" fillId="3" borderId="0" xfId="4" applyNumberFormat="1" applyFont="1" applyFill="1" applyBorder="1" applyAlignment="1">
      <alignment horizontal="center" vertical="center" wrapText="1"/>
    </xf>
    <xf numFmtId="2" fontId="214" fillId="3" borderId="0" xfId="4" applyNumberFormat="1" applyFont="1" applyFill="1" applyBorder="1" applyAlignment="1">
      <alignment horizontal="center" vertical="center" wrapText="1"/>
    </xf>
    <xf numFmtId="0" fontId="184" fillId="3" borderId="4" xfId="0" applyFont="1" applyFill="1" applyBorder="1" applyAlignment="1">
      <alignment horizontal="center" vertical="center" wrapText="1"/>
    </xf>
    <xf numFmtId="0" fontId="184" fillId="3" borderId="5" xfId="0" applyFont="1" applyFill="1" applyBorder="1" applyAlignment="1">
      <alignment horizontal="center" vertical="center" wrapText="1"/>
    </xf>
    <xf numFmtId="0" fontId="214" fillId="3" borderId="0" xfId="4" applyFont="1" applyFill="1" applyBorder="1" applyAlignment="1">
      <alignment horizontal="center" vertical="center" wrapText="1"/>
    </xf>
    <xf numFmtId="0" fontId="184" fillId="3" borderId="4" xfId="0" applyFont="1" applyFill="1" applyBorder="1" applyAlignment="1">
      <alignment horizontal="center" vertical="center"/>
    </xf>
    <xf numFmtId="0" fontId="184" fillId="3" borderId="6" xfId="0" applyFont="1" applyFill="1" applyBorder="1" applyAlignment="1">
      <alignment horizontal="center" vertical="center"/>
    </xf>
    <xf numFmtId="0" fontId="184" fillId="3" borderId="7" xfId="4" applyFont="1" applyFill="1" applyBorder="1" applyAlignment="1">
      <alignment horizontal="center" vertical="center" wrapText="1"/>
    </xf>
    <xf numFmtId="0" fontId="214" fillId="3" borderId="7" xfId="4" applyFont="1" applyFill="1" applyBorder="1" applyAlignment="1">
      <alignment horizontal="center" vertical="center" wrapText="1"/>
    </xf>
    <xf numFmtId="0" fontId="216" fillId="3" borderId="7" xfId="4" applyFont="1" applyFill="1" applyBorder="1" applyAlignment="1">
      <alignment horizontal="center" vertical="center" wrapText="1"/>
    </xf>
    <xf numFmtId="0" fontId="184" fillId="3" borderId="8" xfId="4" applyFont="1" applyFill="1" applyBorder="1" applyAlignment="1">
      <alignment horizontal="center" vertical="center" wrapText="1"/>
    </xf>
    <xf numFmtId="0" fontId="173" fillId="3" borderId="0" xfId="0" applyFont="1" applyFill="1" applyBorder="1" applyAlignment="1">
      <alignment vertical="center"/>
    </xf>
    <xf numFmtId="0" fontId="143" fillId="3" borderId="5" xfId="0" applyFont="1" applyFill="1" applyBorder="1" applyAlignment="1">
      <alignment vertical="center"/>
    </xf>
    <xf numFmtId="0" fontId="184" fillId="3" borderId="4" xfId="3" applyFont="1" applyFill="1" applyBorder="1" applyAlignment="1">
      <alignment horizontal="center" vertical="center"/>
    </xf>
    <xf numFmtId="165" fontId="214" fillId="3" borderId="0" xfId="3" applyNumberFormat="1" applyFont="1" applyFill="1" applyBorder="1" applyAlignment="1">
      <alignment horizontal="center" vertical="center" wrapText="1"/>
    </xf>
    <xf numFmtId="165" fontId="184" fillId="3" borderId="0" xfId="3" applyNumberFormat="1" applyFont="1" applyFill="1" applyBorder="1" applyAlignment="1">
      <alignment horizontal="center" vertical="center" wrapText="1"/>
    </xf>
    <xf numFmtId="165" fontId="184" fillId="3" borderId="5" xfId="3" applyNumberFormat="1" applyFont="1" applyFill="1" applyBorder="1" applyAlignment="1">
      <alignment horizontal="center" vertical="center" wrapText="1"/>
    </xf>
    <xf numFmtId="0" fontId="184" fillId="3" borderId="4" xfId="1952" applyFont="1" applyFill="1" applyBorder="1" applyAlignment="1">
      <alignment horizontal="center" vertical="center"/>
    </xf>
    <xf numFmtId="0" fontId="220" fillId="3" borderId="0" xfId="1952" applyFont="1" applyFill="1" applyBorder="1" applyAlignment="1">
      <alignment horizontal="center" vertical="center"/>
    </xf>
    <xf numFmtId="0" fontId="184" fillId="3" borderId="5" xfId="1952" applyFont="1" applyFill="1" applyBorder="1" applyAlignment="1">
      <alignment horizontal="center" vertical="center"/>
    </xf>
    <xf numFmtId="0" fontId="184" fillId="3" borderId="4" xfId="0" applyFont="1" applyFill="1" applyBorder="1" applyAlignment="1">
      <alignment horizontal="right" vertical="center"/>
    </xf>
    <xf numFmtId="0" fontId="184" fillId="3" borderId="5" xfId="0" applyNumberFormat="1" applyFont="1" applyFill="1" applyBorder="1" applyAlignment="1">
      <alignment horizontal="center" vertical="center"/>
    </xf>
    <xf numFmtId="0" fontId="143" fillId="3" borderId="6" xfId="0" applyFont="1" applyFill="1" applyBorder="1" applyAlignment="1">
      <alignment horizontal="left" vertical="center" indent="1"/>
    </xf>
    <xf numFmtId="0" fontId="143" fillId="3" borderId="7" xfId="0" applyFont="1" applyFill="1" applyBorder="1" applyAlignment="1">
      <alignment vertical="center"/>
    </xf>
    <xf numFmtId="0" fontId="143" fillId="3" borderId="8" xfId="0" applyFont="1" applyFill="1" applyBorder="1" applyAlignment="1">
      <alignment vertical="center"/>
    </xf>
    <xf numFmtId="0" fontId="70" fillId="3" borderId="6" xfId="3" applyFont="1" applyFill="1" applyBorder="1" applyAlignment="1">
      <alignment horizontal="center" vertical="center" wrapText="1"/>
    </xf>
    <xf numFmtId="165" fontId="162" fillId="3" borderId="7" xfId="3" applyNumberFormat="1" applyFont="1" applyFill="1" applyBorder="1" applyAlignment="1">
      <alignment horizontal="center" vertical="center" wrapText="1"/>
    </xf>
    <xf numFmtId="165" fontId="162" fillId="3" borderId="8" xfId="3" applyNumberFormat="1" applyFont="1" applyFill="1" applyBorder="1" applyAlignment="1">
      <alignment horizontal="center" vertical="center" wrapText="1"/>
    </xf>
    <xf numFmtId="0" fontId="173" fillId="3" borderId="7" xfId="0" applyFont="1" applyFill="1" applyBorder="1" applyAlignment="1">
      <alignment vertical="center"/>
    </xf>
    <xf numFmtId="165" fontId="143" fillId="3" borderId="0" xfId="218" applyNumberFormat="1" applyFont="1" applyFill="1" applyBorder="1" applyAlignment="1">
      <alignment vertical="center"/>
    </xf>
    <xf numFmtId="0" fontId="143" fillId="3" borderId="0" xfId="218" applyFont="1" applyFill="1" applyBorder="1" applyAlignment="1">
      <alignment vertical="center"/>
    </xf>
    <xf numFmtId="0" fontId="169" fillId="3" borderId="0" xfId="218" applyFont="1" applyFill="1" applyBorder="1" applyAlignment="1">
      <alignment vertical="center"/>
    </xf>
    <xf numFmtId="165" fontId="212" fillId="9" borderId="0" xfId="0" applyNumberFormat="1" applyFont="1" applyFill="1" applyBorder="1" applyAlignment="1">
      <alignment vertical="center"/>
    </xf>
    <xf numFmtId="0" fontId="143" fillId="9" borderId="0" xfId="0" applyFont="1" applyFill="1" applyBorder="1"/>
    <xf numFmtId="0" fontId="169" fillId="9" borderId="0" xfId="0" applyFont="1" applyFill="1" applyBorder="1" applyAlignment="1">
      <alignment horizontal="left"/>
    </xf>
    <xf numFmtId="0" fontId="169" fillId="9" borderId="0" xfId="0" applyFont="1" applyFill="1" applyBorder="1" applyAlignment="1">
      <alignment horizontal="center"/>
    </xf>
    <xf numFmtId="0" fontId="169" fillId="9" borderId="0" xfId="0" applyFont="1" applyFill="1" applyBorder="1" applyAlignment="1">
      <alignment horizontal="center" vertical="center"/>
    </xf>
    <xf numFmtId="0" fontId="143" fillId="9" borderId="0" xfId="0" applyFont="1" applyFill="1" applyBorder="1" applyAlignment="1">
      <alignment vertical="center"/>
    </xf>
    <xf numFmtId="0" fontId="170" fillId="3" borderId="0" xfId="0" applyFont="1" applyFill="1" applyBorder="1" applyAlignment="1">
      <alignment vertical="center"/>
    </xf>
    <xf numFmtId="0" fontId="184" fillId="3" borderId="0" xfId="0" applyFont="1" applyFill="1" applyBorder="1" applyAlignment="1">
      <alignment vertical="center"/>
    </xf>
    <xf numFmtId="0" fontId="143" fillId="3" borderId="0" xfId="6" applyFont="1" applyFill="1" applyBorder="1" applyAlignment="1">
      <alignment vertical="center"/>
    </xf>
    <xf numFmtId="172" fontId="143" fillId="3" borderId="0" xfId="218" applyNumberFormat="1" applyFont="1" applyFill="1" applyBorder="1" applyAlignment="1">
      <alignment horizontal="left" vertical="center"/>
    </xf>
    <xf numFmtId="173" fontId="143" fillId="3" borderId="0" xfId="218" applyNumberFormat="1" applyFont="1" applyFill="1" applyBorder="1" applyAlignment="1">
      <alignment horizontal="left" vertical="center"/>
    </xf>
    <xf numFmtId="182" fontId="143" fillId="3" borderId="0" xfId="218" applyNumberFormat="1" applyFont="1" applyFill="1" applyBorder="1" applyAlignment="1">
      <alignment horizontal="left" vertical="center"/>
    </xf>
    <xf numFmtId="183" fontId="143" fillId="3" borderId="0" xfId="218" applyNumberFormat="1" applyFont="1" applyFill="1" applyBorder="1" applyAlignment="1">
      <alignment horizontal="left" vertical="center"/>
    </xf>
    <xf numFmtId="2" fontId="143" fillId="3" borderId="0" xfId="218" applyNumberFormat="1" applyFont="1" applyFill="1" applyBorder="1" applyAlignment="1">
      <alignment vertical="center"/>
    </xf>
    <xf numFmtId="184" fontId="143" fillId="3" borderId="0" xfId="218" applyNumberFormat="1" applyFont="1" applyFill="1" applyBorder="1" applyAlignment="1">
      <alignment horizontal="left" vertical="center"/>
    </xf>
    <xf numFmtId="185" fontId="143" fillId="3" borderId="0" xfId="218" applyNumberFormat="1" applyFont="1" applyFill="1" applyBorder="1" applyAlignment="1">
      <alignment horizontal="left" vertical="center"/>
    </xf>
    <xf numFmtId="186" fontId="143" fillId="3" borderId="0" xfId="218" applyNumberFormat="1" applyFont="1" applyFill="1" applyBorder="1" applyAlignment="1">
      <alignment horizontal="left" vertical="center"/>
    </xf>
    <xf numFmtId="187" fontId="143" fillId="3" borderId="0" xfId="218" applyNumberFormat="1" applyFont="1" applyFill="1" applyBorder="1" applyAlignment="1">
      <alignment horizontal="left" vertical="center"/>
    </xf>
    <xf numFmtId="174" fontId="143" fillId="3" borderId="0" xfId="0" applyNumberFormat="1" applyFont="1" applyFill="1" applyBorder="1" applyAlignment="1">
      <alignment vertical="center"/>
    </xf>
    <xf numFmtId="167" fontId="143" fillId="3" borderId="0" xfId="218" applyNumberFormat="1" applyFont="1" applyFill="1" applyBorder="1" applyAlignment="1">
      <alignment horizontal="left" vertical="center"/>
    </xf>
    <xf numFmtId="0" fontId="143" fillId="3" borderId="0" xfId="218" applyFont="1" applyFill="1" applyBorder="1" applyAlignment="1">
      <alignment horizontal="center" vertical="center"/>
    </xf>
    <xf numFmtId="165" fontId="212" fillId="3" borderId="0" xfId="0" applyNumberFormat="1" applyFont="1" applyFill="1" applyBorder="1" applyAlignment="1">
      <alignment vertical="center"/>
    </xf>
    <xf numFmtId="0" fontId="169" fillId="3" borderId="4" xfId="218" applyFont="1" applyFill="1" applyBorder="1" applyAlignment="1">
      <alignment vertical="center"/>
    </xf>
    <xf numFmtId="0" fontId="184" fillId="3" borderId="5" xfId="0" applyFont="1" applyFill="1" applyBorder="1" applyAlignment="1">
      <alignment vertical="center"/>
    </xf>
    <xf numFmtId="0" fontId="143" fillId="3" borderId="4" xfId="218" applyFont="1" applyFill="1" applyBorder="1" applyAlignment="1">
      <alignment vertical="center"/>
    </xf>
    <xf numFmtId="0" fontId="143" fillId="3" borderId="4" xfId="6" applyFont="1" applyFill="1" applyBorder="1" applyAlignment="1">
      <alignment vertical="center"/>
    </xf>
    <xf numFmtId="0" fontId="143" fillId="3" borderId="5" xfId="218" applyFont="1" applyFill="1" applyBorder="1" applyAlignment="1">
      <alignment vertical="center"/>
    </xf>
    <xf numFmtId="172" fontId="143" fillId="3" borderId="4" xfId="218" applyNumberFormat="1" applyFont="1" applyFill="1" applyBorder="1" applyAlignment="1">
      <alignment horizontal="left" vertical="center"/>
    </xf>
    <xf numFmtId="174" fontId="169" fillId="3" borderId="4" xfId="218" applyNumberFormat="1" applyFont="1" applyFill="1" applyBorder="1" applyAlignment="1">
      <alignment horizontal="left" vertical="center"/>
    </xf>
    <xf numFmtId="173" fontId="143" fillId="3" borderId="4" xfId="0" applyNumberFormat="1" applyFont="1" applyFill="1" applyBorder="1" applyAlignment="1">
      <alignment vertical="center"/>
    </xf>
    <xf numFmtId="0" fontId="169" fillId="3" borderId="6" xfId="218" applyFont="1" applyFill="1" applyBorder="1" applyAlignment="1">
      <alignment vertical="center"/>
    </xf>
    <xf numFmtId="165" fontId="169" fillId="3" borderId="7" xfId="218" applyNumberFormat="1" applyFont="1" applyFill="1" applyBorder="1" applyAlignment="1">
      <alignment vertical="center"/>
    </xf>
    <xf numFmtId="0" fontId="169" fillId="3" borderId="7" xfId="218" applyFont="1" applyFill="1" applyBorder="1" applyAlignment="1">
      <alignment vertical="center"/>
    </xf>
    <xf numFmtId="0" fontId="143" fillId="3" borderId="7" xfId="218" applyFont="1" applyFill="1" applyBorder="1" applyAlignment="1">
      <alignment vertical="center"/>
    </xf>
    <xf numFmtId="0" fontId="143" fillId="3" borderId="8" xfId="218" applyFont="1" applyFill="1" applyBorder="1" applyAlignment="1">
      <alignment vertical="center"/>
    </xf>
    <xf numFmtId="0" fontId="169" fillId="3" borderId="4" xfId="0" applyFont="1" applyFill="1" applyBorder="1" applyAlignment="1">
      <alignment vertical="center"/>
    </xf>
    <xf numFmtId="0" fontId="143" fillId="3" borderId="4" xfId="0" applyFont="1" applyFill="1" applyBorder="1" applyAlignment="1">
      <alignment vertical="center"/>
    </xf>
    <xf numFmtId="0" fontId="143" fillId="3" borderId="4" xfId="218" applyFont="1" applyFill="1" applyBorder="1" applyAlignment="1">
      <alignment horizontal="left" vertical="center" indent="4"/>
    </xf>
    <xf numFmtId="0" fontId="143" fillId="3" borderId="5" xfId="218" applyFont="1" applyFill="1" applyBorder="1"/>
    <xf numFmtId="0" fontId="143" fillId="3" borderId="7" xfId="218" applyFont="1" applyFill="1" applyBorder="1"/>
    <xf numFmtId="0" fontId="143" fillId="3" borderId="8" xfId="218" applyFont="1" applyFill="1" applyBorder="1"/>
    <xf numFmtId="49" fontId="184" fillId="3" borderId="5" xfId="0" applyNumberFormat="1" applyFont="1" applyFill="1" applyBorder="1" applyAlignment="1">
      <alignment vertical="center" wrapText="1"/>
    </xf>
    <xf numFmtId="189" fontId="143" fillId="3" borderId="0" xfId="0" applyNumberFormat="1" applyFont="1" applyFill="1" applyBorder="1" applyAlignment="1">
      <alignment horizontal="left"/>
    </xf>
    <xf numFmtId="189" fontId="143" fillId="3" borderId="0" xfId="0" applyNumberFormat="1" applyFont="1" applyFill="1" applyBorder="1" applyAlignment="1">
      <alignment horizontal="right"/>
    </xf>
    <xf numFmtId="189" fontId="143" fillId="3" borderId="4" xfId="0" applyNumberFormat="1" applyFont="1" applyFill="1" applyBorder="1" applyAlignment="1">
      <alignment horizontal="left"/>
    </xf>
    <xf numFmtId="0" fontId="172" fillId="3" borderId="5" xfId="225" applyFont="1" applyFill="1" applyBorder="1" applyAlignment="1">
      <alignment horizontal="center" vertical="top" wrapText="1"/>
    </xf>
    <xf numFmtId="189" fontId="143" fillId="3" borderId="6" xfId="0" applyNumberFormat="1" applyFont="1" applyFill="1" applyBorder="1" applyAlignment="1">
      <alignment horizontal="left"/>
    </xf>
    <xf numFmtId="189" fontId="143" fillId="3" borderId="7" xfId="0" applyNumberFormat="1" applyFont="1" applyFill="1" applyBorder="1" applyAlignment="1">
      <alignment horizontal="right"/>
    </xf>
    <xf numFmtId="0" fontId="172" fillId="3" borderId="8" xfId="225" applyFont="1" applyFill="1" applyBorder="1" applyAlignment="1">
      <alignment horizontal="center" vertical="top" wrapText="1"/>
    </xf>
    <xf numFmtId="189" fontId="172" fillId="3" borderId="5" xfId="225" applyNumberFormat="1" applyFont="1" applyFill="1" applyBorder="1" applyAlignment="1">
      <alignment horizontal="center" vertical="top" wrapText="1"/>
    </xf>
    <xf numFmtId="189" fontId="172" fillId="3" borderId="8" xfId="225" applyNumberFormat="1" applyFont="1" applyFill="1" applyBorder="1" applyAlignment="1">
      <alignment horizontal="center" vertical="top" wrapText="1"/>
    </xf>
    <xf numFmtId="0" fontId="172" fillId="3" borderId="17" xfId="0" applyFont="1" applyFill="1" applyBorder="1"/>
    <xf numFmtId="0" fontId="172" fillId="3" borderId="16" xfId="0" applyFont="1" applyFill="1" applyBorder="1"/>
    <xf numFmtId="0" fontId="143" fillId="3" borderId="2" xfId="0" applyFont="1" applyFill="1" applyBorder="1" applyAlignment="1">
      <alignment horizontal="left"/>
    </xf>
    <xf numFmtId="166" fontId="143" fillId="3" borderId="3" xfId="0" applyNumberFormat="1" applyFont="1" applyFill="1" applyBorder="1" applyAlignment="1">
      <alignment horizontal="left" indent="1"/>
    </xf>
    <xf numFmtId="0" fontId="143" fillId="3" borderId="4" xfId="0" applyFont="1" applyFill="1" applyBorder="1" applyAlignment="1">
      <alignment horizontal="left"/>
    </xf>
    <xf numFmtId="166" fontId="143" fillId="3" borderId="5" xfId="0" applyNumberFormat="1" applyFont="1" applyFill="1" applyBorder="1" applyAlignment="1">
      <alignment horizontal="left" indent="1"/>
    </xf>
    <xf numFmtId="0" fontId="143" fillId="3" borderId="5" xfId="0" applyFont="1" applyFill="1" applyBorder="1" applyAlignment="1">
      <alignment horizontal="left" indent="1"/>
    </xf>
    <xf numFmtId="166" fontId="143" fillId="3" borderId="2" xfId="0" applyNumberFormat="1" applyFont="1" applyFill="1" applyBorder="1" applyAlignment="1">
      <alignment horizontal="right"/>
    </xf>
    <xf numFmtId="0" fontId="143" fillId="3" borderId="3" xfId="0" applyFont="1" applyFill="1" applyBorder="1" applyAlignment="1">
      <alignment horizontal="left" indent="1"/>
    </xf>
    <xf numFmtId="166" fontId="143" fillId="3" borderId="4" xfId="0" applyNumberFormat="1" applyFont="1" applyFill="1" applyBorder="1" applyAlignment="1">
      <alignment horizontal="right"/>
    </xf>
    <xf numFmtId="2" fontId="143" fillId="3" borderId="4" xfId="0" applyNumberFormat="1" applyFont="1" applyFill="1" applyBorder="1" applyAlignment="1">
      <alignment horizontal="right"/>
    </xf>
    <xf numFmtId="179" fontId="143" fillId="3" borderId="6" xfId="2" applyNumberFormat="1" applyFont="1" applyFill="1" applyBorder="1"/>
    <xf numFmtId="0" fontId="172" fillId="3" borderId="18" xfId="0" applyFont="1" applyFill="1" applyBorder="1"/>
    <xf numFmtId="165" fontId="169" fillId="9" borderId="0" xfId="0" applyNumberFormat="1" applyFont="1" applyFill="1" applyBorder="1"/>
    <xf numFmtId="180" fontId="143" fillId="3" borderId="5" xfId="0" applyNumberFormat="1" applyFont="1" applyFill="1" applyBorder="1"/>
    <xf numFmtId="0" fontId="143" fillId="3" borderId="4" xfId="0" applyFont="1" applyFill="1" applyBorder="1" applyAlignment="1">
      <alignment horizontal="center"/>
    </xf>
    <xf numFmtId="0" fontId="143" fillId="3" borderId="17" xfId="0" applyFont="1" applyFill="1" applyBorder="1"/>
    <xf numFmtId="0" fontId="143" fillId="3" borderId="16" xfId="0" applyFont="1" applyFill="1" applyBorder="1"/>
    <xf numFmtId="0" fontId="143" fillId="9" borderId="9" xfId="0" applyFont="1" applyFill="1" applyBorder="1" applyAlignment="1">
      <alignment horizontal="center"/>
    </xf>
    <xf numFmtId="0" fontId="143" fillId="9" borderId="10" xfId="0" applyFont="1" applyFill="1" applyBorder="1" applyAlignment="1">
      <alignment horizontal="center"/>
    </xf>
    <xf numFmtId="0" fontId="143" fillId="3" borderId="6" xfId="0" applyFont="1" applyFill="1" applyBorder="1" applyAlignment="1">
      <alignment horizontal="center" vertical="center"/>
    </xf>
    <xf numFmtId="0" fontId="143" fillId="3" borderId="8" xfId="0" applyFont="1" applyFill="1" applyBorder="1" applyAlignment="1">
      <alignment horizontal="center" vertical="center"/>
    </xf>
    <xf numFmtId="2" fontId="143" fillId="3" borderId="5" xfId="0" applyNumberFormat="1" applyFont="1" applyFill="1" applyBorder="1" applyAlignment="1">
      <alignment horizontal="center"/>
    </xf>
    <xf numFmtId="2" fontId="143" fillId="3" borderId="8" xfId="0" applyNumberFormat="1" applyFont="1" applyFill="1" applyBorder="1" applyAlignment="1">
      <alignment horizontal="center"/>
    </xf>
    <xf numFmtId="0" fontId="162" fillId="10" borderId="0" xfId="0" applyFont="1" applyFill="1" applyBorder="1" applyAlignment="1">
      <alignment horizontal="center" vertical="center"/>
    </xf>
    <xf numFmtId="0" fontId="143" fillId="3" borderId="3" xfId="0" applyNumberFormat="1" applyFont="1" applyFill="1" applyBorder="1" applyAlignment="1">
      <alignment horizontal="center"/>
    </xf>
    <xf numFmtId="0" fontId="143" fillId="3" borderId="5" xfId="0" applyNumberFormat="1" applyFont="1" applyFill="1" applyBorder="1" applyAlignment="1">
      <alignment horizontal="center"/>
    </xf>
    <xf numFmtId="0" fontId="143" fillId="3" borderId="6" xfId="0" applyFont="1" applyFill="1" applyBorder="1" applyAlignment="1">
      <alignment horizontal="left"/>
    </xf>
    <xf numFmtId="0" fontId="143" fillId="3" borderId="2" xfId="0" applyFont="1" applyFill="1" applyBorder="1" applyAlignment="1">
      <alignment horizontal="center"/>
    </xf>
    <xf numFmtId="0" fontId="143" fillId="3" borderId="6" xfId="0" applyFont="1" applyFill="1" applyBorder="1" applyAlignment="1">
      <alignment horizontal="center"/>
    </xf>
    <xf numFmtId="0" fontId="143" fillId="3" borderId="18" xfId="0" applyFont="1" applyFill="1" applyBorder="1" applyAlignment="1">
      <alignment horizontal="center"/>
    </xf>
    <xf numFmtId="0" fontId="143" fillId="3" borderId="17" xfId="0" applyFont="1" applyFill="1" applyBorder="1" applyAlignment="1">
      <alignment horizontal="center"/>
    </xf>
    <xf numFmtId="0" fontId="143" fillId="3" borderId="16" xfId="0" applyFont="1" applyFill="1" applyBorder="1" applyAlignment="1">
      <alignment horizontal="center"/>
    </xf>
    <xf numFmtId="0" fontId="143" fillId="0" borderId="0" xfId="0" applyFont="1" applyFill="1" applyBorder="1"/>
    <xf numFmtId="0" fontId="167" fillId="3" borderId="0" xfId="0" applyFont="1" applyFill="1" applyBorder="1"/>
    <xf numFmtId="0" fontId="182" fillId="3" borderId="0" xfId="0" applyFont="1" applyFill="1" applyBorder="1"/>
    <xf numFmtId="189" fontId="143" fillId="3" borderId="1" xfId="0" applyNumberFormat="1" applyFont="1" applyFill="1" applyBorder="1" applyAlignment="1">
      <alignment horizontal="left"/>
    </xf>
    <xf numFmtId="0" fontId="172" fillId="3" borderId="3" xfId="225" applyFont="1" applyFill="1" applyBorder="1" applyAlignment="1">
      <alignment horizontal="center" vertical="top" wrapText="1"/>
    </xf>
    <xf numFmtId="189" fontId="143" fillId="3" borderId="7" xfId="0" applyNumberFormat="1" applyFont="1" applyFill="1" applyBorder="1" applyAlignment="1">
      <alignment horizontal="left"/>
    </xf>
    <xf numFmtId="189" fontId="143" fillId="3" borderId="2" xfId="0" applyNumberFormat="1" applyFont="1" applyFill="1" applyBorder="1" applyAlignment="1">
      <alignment horizontal="left"/>
    </xf>
    <xf numFmtId="189" fontId="172" fillId="3" borderId="3" xfId="225" applyNumberFormat="1" applyFont="1" applyFill="1" applyBorder="1" applyAlignment="1">
      <alignment horizontal="center" vertical="top" wrapText="1"/>
    </xf>
    <xf numFmtId="181" fontId="143" fillId="3" borderId="1" xfId="0" applyNumberFormat="1" applyFont="1" applyFill="1" applyBorder="1"/>
    <xf numFmtId="181" fontId="143" fillId="3" borderId="3" xfId="0" applyNumberFormat="1" applyFont="1" applyFill="1" applyBorder="1"/>
    <xf numFmtId="181" fontId="143" fillId="3" borderId="5" xfId="0" applyNumberFormat="1" applyFont="1" applyFill="1" applyBorder="1"/>
    <xf numFmtId="180" fontId="143" fillId="3" borderId="7" xfId="0" applyNumberFormat="1" applyFont="1" applyFill="1" applyBorder="1"/>
    <xf numFmtId="181" fontId="143" fillId="3" borderId="7" xfId="0" applyNumberFormat="1" applyFont="1" applyFill="1" applyBorder="1"/>
    <xf numFmtId="0" fontId="172" fillId="3" borderId="0" xfId="0" applyFont="1" applyFill="1" applyBorder="1" applyAlignment="1">
      <alignment horizontal="center"/>
    </xf>
    <xf numFmtId="0" fontId="168" fillId="3" borderId="0" xfId="225" applyFont="1" applyFill="1" applyBorder="1" applyAlignment="1">
      <alignment horizontal="center" vertical="top" wrapText="1"/>
    </xf>
    <xf numFmtId="0" fontId="168" fillId="3" borderId="5" xfId="225" applyFont="1" applyFill="1" applyBorder="1" applyAlignment="1">
      <alignment horizontal="center" vertical="top" wrapText="1"/>
    </xf>
    <xf numFmtId="0" fontId="172" fillId="3" borderId="5" xfId="0" applyFont="1" applyFill="1" applyBorder="1" applyAlignment="1">
      <alignment horizontal="center"/>
    </xf>
    <xf numFmtId="0" fontId="168" fillId="3" borderId="18" xfId="225" applyFont="1" applyFill="1" applyBorder="1" applyAlignment="1">
      <alignment horizontal="center" vertical="top" wrapText="1"/>
    </xf>
    <xf numFmtId="0" fontId="172" fillId="3" borderId="17" xfId="0" applyFont="1" applyFill="1" applyBorder="1" applyAlignment="1">
      <alignment horizontal="center"/>
    </xf>
    <xf numFmtId="176" fontId="178" fillId="3" borderId="17" xfId="0" applyNumberFormat="1" applyFont="1" applyFill="1" applyBorder="1"/>
    <xf numFmtId="0" fontId="222" fillId="44" borderId="19" xfId="225" applyFont="1" applyFill="1" applyBorder="1" applyAlignment="1">
      <alignment horizontal="center" vertical="center" wrapText="1"/>
    </xf>
    <xf numFmtId="0" fontId="222" fillId="44" borderId="19" xfId="225" applyFont="1" applyFill="1" applyBorder="1" applyAlignment="1">
      <alignment horizontal="center" vertical="top" wrapText="1"/>
    </xf>
    <xf numFmtId="166" fontId="143" fillId="3" borderId="8" xfId="0" applyNumberFormat="1" applyFont="1" applyFill="1" applyBorder="1" applyAlignment="1">
      <alignment horizontal="left" indent="1"/>
    </xf>
    <xf numFmtId="166" fontId="143" fillId="3" borderId="6" xfId="0" applyNumberFormat="1" applyFont="1" applyFill="1" applyBorder="1" applyAlignment="1">
      <alignment horizontal="right"/>
    </xf>
    <xf numFmtId="2" fontId="143" fillId="3" borderId="3" xfId="0" applyNumberFormat="1" applyFont="1" applyFill="1" applyBorder="1" applyAlignment="1">
      <alignment horizontal="center"/>
    </xf>
    <xf numFmtId="0" fontId="143" fillId="9" borderId="0" xfId="0" applyFont="1" applyFill="1" applyBorder="1" applyAlignment="1">
      <alignment horizontal="left"/>
    </xf>
    <xf numFmtId="193" fontId="143" fillId="9" borderId="0" xfId="0" applyNumberFormat="1" applyFont="1" applyFill="1" applyBorder="1"/>
    <xf numFmtId="193" fontId="169" fillId="9" borderId="0" xfId="0" applyNumberFormat="1" applyFont="1" applyFill="1" applyBorder="1"/>
    <xf numFmtId="168" fontId="169" fillId="9" borderId="0" xfId="0" applyNumberFormat="1" applyFont="1" applyFill="1" applyBorder="1"/>
    <xf numFmtId="0" fontId="126" fillId="3" borderId="58" xfId="0" applyFont="1" applyFill="1" applyBorder="1" applyAlignment="1">
      <alignment horizontal="left" vertical="center" indent="1"/>
    </xf>
    <xf numFmtId="0" fontId="126" fillId="3" borderId="0" xfId="0" applyFont="1" applyFill="1" applyBorder="1" applyAlignment="1">
      <alignment horizontal="left" vertical="center" indent="1"/>
    </xf>
    <xf numFmtId="0" fontId="0" fillId="3" borderId="0" xfId="0" applyFill="1" applyAlignment="1">
      <alignment horizontal="left" indent="1"/>
    </xf>
    <xf numFmtId="10" fontId="73" fillId="3" borderId="0" xfId="0" applyNumberFormat="1" applyFont="1" applyFill="1" applyBorder="1" applyAlignment="1">
      <alignment horizontal="center"/>
    </xf>
    <xf numFmtId="0" fontId="143" fillId="3" borderId="4" xfId="6" applyFont="1" applyFill="1" applyBorder="1"/>
    <xf numFmtId="0" fontId="169" fillId="4" borderId="4" xfId="5" applyFont="1" applyFill="1" applyBorder="1" applyAlignment="1">
      <alignment wrapText="1"/>
    </xf>
    <xf numFmtId="0" fontId="0" fillId="3" borderId="0" xfId="0" applyFill="1" applyAlignment="1">
      <alignment horizontal="right" indent="1"/>
    </xf>
    <xf numFmtId="4" fontId="73" fillId="3" borderId="0" xfId="0" applyNumberFormat="1" applyFont="1" applyFill="1" applyBorder="1" applyAlignment="1">
      <alignment horizontal="left"/>
    </xf>
    <xf numFmtId="0" fontId="143" fillId="3" borderId="0" xfId="218" applyFont="1" applyFill="1" applyBorder="1" applyAlignment="1">
      <alignment horizontal="left" indent="1"/>
    </xf>
    <xf numFmtId="0" fontId="223" fillId="44" borderId="18" xfId="225" applyFont="1" applyFill="1" applyBorder="1" applyAlignment="1">
      <alignment horizontal="center" vertical="top" wrapText="1"/>
    </xf>
    <xf numFmtId="0" fontId="223" fillId="44" borderId="34" xfId="225" applyFont="1" applyFill="1" applyBorder="1" applyAlignment="1">
      <alignment horizontal="center" vertical="top" wrapText="1"/>
    </xf>
    <xf numFmtId="0" fontId="168" fillId="3" borderId="3" xfId="225" applyFont="1" applyFill="1" applyBorder="1" applyAlignment="1">
      <alignment horizontal="center" vertical="top" wrapText="1"/>
    </xf>
    <xf numFmtId="181" fontId="143" fillId="3" borderId="8" xfId="0" applyNumberFormat="1" applyFont="1" applyFill="1" applyBorder="1"/>
    <xf numFmtId="0" fontId="164" fillId="50" borderId="63" xfId="0" applyFont="1" applyFill="1" applyBorder="1" applyAlignment="1">
      <alignment horizontal="right" vertical="center"/>
    </xf>
    <xf numFmtId="0" fontId="32" fillId="3" borderId="6" xfId="0" applyNumberFormat="1" applyFont="1" applyFill="1" applyBorder="1" applyAlignment="1">
      <alignment horizontal="center" vertical="center"/>
    </xf>
    <xf numFmtId="2" fontId="32" fillId="3" borderId="7" xfId="0" applyNumberFormat="1" applyFont="1" applyFill="1" applyBorder="1" applyAlignment="1">
      <alignment horizontal="center" vertical="center"/>
    </xf>
    <xf numFmtId="2" fontId="32" fillId="3" borderId="8" xfId="0" applyNumberFormat="1" applyFont="1" applyFill="1" applyBorder="1" applyAlignment="1">
      <alignment horizontal="center" vertical="center"/>
    </xf>
    <xf numFmtId="4" fontId="73" fillId="3" borderId="0" xfId="0" applyNumberFormat="1" applyFont="1" applyFill="1" applyBorder="1" applyAlignment="1">
      <alignment horizontal="center" vertical="center"/>
    </xf>
    <xf numFmtId="4" fontId="86" fillId="3" borderId="78" xfId="0" applyNumberFormat="1" applyFont="1" applyFill="1" applyBorder="1" applyAlignment="1">
      <alignment horizontal="center" vertical="center"/>
    </xf>
    <xf numFmtId="0" fontId="73" fillId="3" borderId="60" xfId="0" applyFont="1" applyFill="1" applyBorder="1" applyAlignment="1">
      <alignment horizontal="center" vertical="center"/>
    </xf>
    <xf numFmtId="0" fontId="73" fillId="3" borderId="61" xfId="0" applyFont="1" applyFill="1" applyBorder="1" applyAlignment="1">
      <alignment horizontal="center" vertical="center"/>
    </xf>
    <xf numFmtId="0" fontId="73" fillId="3" borderId="62" xfId="0" applyFont="1" applyFill="1" applyBorder="1" applyAlignment="1">
      <alignment horizontal="center" vertical="center"/>
    </xf>
    <xf numFmtId="4" fontId="86" fillId="3" borderId="77" xfId="0" applyNumberFormat="1" applyFont="1" applyFill="1" applyBorder="1" applyAlignment="1">
      <alignment horizontal="center" vertical="center" wrapText="1"/>
    </xf>
    <xf numFmtId="0" fontId="224" fillId="3" borderId="0" xfId="0" applyFont="1" applyFill="1"/>
    <xf numFmtId="165" fontId="73" fillId="3" borderId="0" xfId="0" applyNumberFormat="1" applyFont="1" applyFill="1" applyBorder="1" applyAlignment="1">
      <alignment horizontal="center" vertical="center"/>
    </xf>
    <xf numFmtId="0" fontId="73" fillId="3" borderId="4" xfId="0" applyFont="1" applyFill="1" applyBorder="1" applyAlignment="1">
      <alignment horizontal="center" vertical="center"/>
    </xf>
    <xf numFmtId="0" fontId="73" fillId="3" borderId="5" xfId="0" applyFont="1" applyFill="1" applyBorder="1" applyAlignment="1">
      <alignment horizontal="center" vertical="center"/>
    </xf>
    <xf numFmtId="4" fontId="86" fillId="3" borderId="0" xfId="0" applyNumberFormat="1" applyFont="1" applyFill="1" applyBorder="1" applyAlignment="1">
      <alignment horizontal="center" vertical="center"/>
    </xf>
    <xf numFmtId="4" fontId="73" fillId="3" borderId="0" xfId="0" applyNumberFormat="1" applyFont="1" applyFill="1" applyBorder="1" applyAlignment="1">
      <alignment horizontal="center" vertical="center"/>
    </xf>
    <xf numFmtId="0" fontId="206" fillId="4" borderId="4" xfId="5" applyFont="1" applyFill="1" applyBorder="1" applyAlignment="1">
      <alignment horizontal="center" vertical="center" wrapText="1"/>
    </xf>
    <xf numFmtId="0" fontId="206" fillId="4" borderId="5" xfId="5" applyFont="1" applyFill="1" applyBorder="1" applyAlignment="1">
      <alignment horizontal="center" vertical="center" wrapText="1"/>
    </xf>
    <xf numFmtId="0" fontId="206" fillId="4" borderId="0" xfId="5" applyFont="1" applyFill="1" applyBorder="1" applyAlignment="1">
      <alignment horizontal="center" vertical="center" wrapText="1"/>
    </xf>
    <xf numFmtId="0" fontId="182" fillId="47" borderId="0" xfId="4" applyFont="1" applyFill="1" applyBorder="1" applyAlignment="1">
      <alignment horizontal="center" vertical="center" wrapText="1"/>
    </xf>
    <xf numFmtId="0" fontId="206" fillId="4" borderId="1" xfId="5" applyFont="1" applyFill="1" applyBorder="1" applyAlignment="1">
      <alignment horizontal="center" vertical="center" wrapText="1"/>
    </xf>
    <xf numFmtId="0" fontId="206" fillId="4" borderId="3" xfId="5" applyFont="1" applyFill="1" applyBorder="1" applyAlignment="1">
      <alignment horizontal="center" vertical="center" wrapText="1"/>
    </xf>
    <xf numFmtId="0" fontId="202" fillId="41" borderId="4" xfId="0" applyFont="1" applyFill="1" applyBorder="1" applyAlignment="1">
      <alignment horizontal="left" indent="1"/>
    </xf>
    <xf numFmtId="0" fontId="202" fillId="41" borderId="0" xfId="0" applyFont="1" applyFill="1" applyBorder="1" applyAlignment="1">
      <alignment horizontal="left" indent="1"/>
    </xf>
    <xf numFmtId="49" fontId="184" fillId="61" borderId="67" xfId="0" applyNumberFormat="1" applyFont="1" applyFill="1" applyBorder="1" applyAlignment="1">
      <alignment horizontal="left" vertical="center" wrapText="1" indent="1"/>
    </xf>
    <xf numFmtId="0" fontId="86" fillId="3" borderId="4" xfId="0" applyFont="1" applyFill="1" applyBorder="1" applyAlignment="1">
      <alignment horizontal="center"/>
    </xf>
    <xf numFmtId="198" fontId="73" fillId="3" borderId="0" xfId="0" applyNumberFormat="1" applyFont="1" applyFill="1" applyBorder="1" applyAlignment="1">
      <alignment horizontal="center" vertical="center"/>
    </xf>
    <xf numFmtId="169" fontId="73" fillId="3" borderId="0" xfId="0" applyNumberFormat="1" applyFont="1" applyFill="1" applyBorder="1" applyAlignment="1">
      <alignment horizontal="center" vertical="center"/>
    </xf>
    <xf numFmtId="0" fontId="75" fillId="44" borderId="0" xfId="0" applyFont="1" applyFill="1" applyBorder="1" applyAlignment="1">
      <alignment horizontal="center" vertical="center"/>
    </xf>
    <xf numFmtId="0" fontId="73" fillId="3" borderId="2" xfId="0" applyFont="1" applyFill="1" applyBorder="1" applyAlignment="1">
      <alignment horizontal="center" vertical="center"/>
    </xf>
    <xf numFmtId="165" fontId="73" fillId="3" borderId="4" xfId="0" applyNumberFormat="1" applyFont="1" applyFill="1" applyBorder="1" applyAlignment="1">
      <alignment horizontal="center" vertical="center"/>
    </xf>
    <xf numFmtId="165" fontId="73" fillId="3" borderId="5" xfId="0" applyNumberFormat="1" applyFont="1" applyFill="1" applyBorder="1" applyAlignment="1">
      <alignment horizontal="center" vertical="center"/>
    </xf>
    <xf numFmtId="165" fontId="32" fillId="3" borderId="4" xfId="0" applyNumberFormat="1" applyFont="1" applyFill="1" applyBorder="1" applyAlignment="1">
      <alignment horizontal="center" vertical="center"/>
    </xf>
    <xf numFmtId="165" fontId="73" fillId="3" borderId="6" xfId="0" applyNumberFormat="1" applyFont="1" applyFill="1" applyBorder="1" applyAlignment="1">
      <alignment horizontal="center" vertical="center"/>
    </xf>
    <xf numFmtId="165" fontId="73" fillId="3" borderId="8" xfId="0" applyNumberFormat="1" applyFont="1" applyFill="1" applyBorder="1" applyAlignment="1">
      <alignment horizontal="center" vertical="center"/>
    </xf>
    <xf numFmtId="0" fontId="73" fillId="3" borderId="6" xfId="0" applyFont="1" applyFill="1" applyBorder="1" applyAlignment="1">
      <alignment horizontal="center" vertical="center"/>
    </xf>
    <xf numFmtId="169" fontId="73" fillId="3" borderId="3" xfId="0" applyNumberFormat="1" applyFont="1" applyFill="1" applyBorder="1" applyAlignment="1">
      <alignment horizontal="center" vertical="center"/>
    </xf>
    <xf numFmtId="188" fontId="73" fillId="3" borderId="4" xfId="0" applyNumberFormat="1" applyFont="1" applyFill="1" applyBorder="1" applyAlignment="1">
      <alignment horizontal="center" vertical="center"/>
    </xf>
    <xf numFmtId="1" fontId="73" fillId="3" borderId="4" xfId="0" applyNumberFormat="1" applyFont="1" applyFill="1" applyBorder="1" applyAlignment="1">
      <alignment horizontal="center" vertical="center"/>
    </xf>
    <xf numFmtId="165" fontId="29" fillId="3" borderId="4" xfId="0" applyNumberFormat="1" applyFont="1" applyFill="1" applyBorder="1" applyAlignment="1">
      <alignment horizontal="center" vertical="center"/>
    </xf>
    <xf numFmtId="165" fontId="29" fillId="3" borderId="5" xfId="0" applyNumberFormat="1" applyFont="1" applyFill="1" applyBorder="1" applyAlignment="1">
      <alignment horizontal="center" vertical="center"/>
    </xf>
    <xf numFmtId="188" fontId="73" fillId="3" borderId="6" xfId="0" applyNumberFormat="1" applyFont="1" applyFill="1" applyBorder="1" applyAlignment="1">
      <alignment horizontal="center" vertical="center"/>
    </xf>
    <xf numFmtId="0" fontId="73" fillId="3" borderId="8" xfId="0" applyNumberFormat="1" applyFont="1" applyFill="1" applyBorder="1" applyAlignment="1">
      <alignment horizontal="center" vertical="center"/>
    </xf>
    <xf numFmtId="169" fontId="73" fillId="3" borderId="5" xfId="0" applyNumberFormat="1" applyFont="1" applyFill="1" applyBorder="1" applyAlignment="1">
      <alignment horizontal="center" vertical="center"/>
    </xf>
    <xf numFmtId="169" fontId="73" fillId="3" borderId="7" xfId="0" applyNumberFormat="1" applyFont="1" applyFill="1" applyBorder="1" applyAlignment="1">
      <alignment horizontal="center" vertical="center"/>
    </xf>
    <xf numFmtId="169" fontId="73" fillId="3" borderId="8" xfId="0" applyNumberFormat="1" applyFont="1" applyFill="1" applyBorder="1" applyAlignment="1">
      <alignment horizontal="center" vertical="center"/>
    </xf>
    <xf numFmtId="0" fontId="29" fillId="3" borderId="0" xfId="0" applyFont="1" applyFill="1" applyBorder="1" applyAlignment="1">
      <alignment vertical="top" wrapText="1"/>
    </xf>
    <xf numFmtId="0" fontId="32" fillId="3" borderId="0" xfId="0" applyFont="1" applyFill="1" applyBorder="1"/>
    <xf numFmtId="165" fontId="32" fillId="3" borderId="0" xfId="0" applyNumberFormat="1" applyFont="1" applyFill="1" applyBorder="1" applyAlignment="1">
      <alignment horizontal="center"/>
    </xf>
    <xf numFmtId="0" fontId="75" fillId="44" borderId="0" xfId="0" applyFont="1" applyFill="1" applyBorder="1" applyAlignment="1">
      <alignment horizontal="left" indent="1"/>
    </xf>
    <xf numFmtId="0" fontId="75" fillId="44" borderId="0" xfId="0" applyFont="1" applyFill="1" applyBorder="1"/>
    <xf numFmtId="0" fontId="34" fillId="3" borderId="1" xfId="0" applyFont="1" applyFill="1" applyBorder="1"/>
    <xf numFmtId="0" fontId="32" fillId="3" borderId="5" xfId="0" applyFont="1" applyFill="1" applyBorder="1"/>
    <xf numFmtId="0" fontId="32" fillId="3" borderId="5" xfId="0" applyFont="1" applyFill="1" applyBorder="1" applyAlignment="1">
      <alignment horizontal="center"/>
    </xf>
    <xf numFmtId="165" fontId="32" fillId="3" borderId="5" xfId="0" applyNumberFormat="1" applyFont="1" applyFill="1" applyBorder="1" applyAlignment="1">
      <alignment horizontal="center"/>
    </xf>
    <xf numFmtId="165" fontId="73" fillId="3" borderId="6" xfId="0" applyNumberFormat="1" applyFont="1" applyFill="1" applyBorder="1"/>
    <xf numFmtId="165" fontId="73" fillId="3" borderId="7" xfId="0" applyNumberFormat="1" applyFont="1" applyFill="1" applyBorder="1" applyAlignment="1">
      <alignment horizontal="center"/>
    </xf>
    <xf numFmtId="165" fontId="32" fillId="3" borderId="7" xfId="0" applyNumberFormat="1" applyFont="1" applyFill="1" applyBorder="1" applyAlignment="1">
      <alignment horizontal="center"/>
    </xf>
    <xf numFmtId="165" fontId="73" fillId="3" borderId="8" xfId="0" applyNumberFormat="1" applyFont="1" applyFill="1" applyBorder="1" applyAlignment="1">
      <alignment horizontal="center"/>
    </xf>
    <xf numFmtId="0" fontId="73" fillId="10" borderId="0" xfId="0" applyFont="1" applyFill="1" applyBorder="1"/>
    <xf numFmtId="0" fontId="73" fillId="10" borderId="4" xfId="0" applyFont="1" applyFill="1" applyBorder="1" applyAlignment="1">
      <alignment horizontal="left" vertical="center" wrapText="1" indent="1"/>
    </xf>
    <xf numFmtId="0" fontId="73" fillId="10" borderId="0" xfId="0" applyFont="1" applyFill="1" applyBorder="1" applyAlignment="1">
      <alignment vertical="center"/>
    </xf>
    <xf numFmtId="0" fontId="32" fillId="10" borderId="0" xfId="0" applyFont="1" applyFill="1" applyBorder="1" applyAlignment="1">
      <alignment vertical="center"/>
    </xf>
    <xf numFmtId="0" fontId="32" fillId="10" borderId="5" xfId="0" applyFont="1" applyFill="1" applyBorder="1" applyAlignment="1">
      <alignment vertical="center"/>
    </xf>
    <xf numFmtId="0" fontId="0" fillId="3" borderId="3" xfId="0" applyFill="1" applyBorder="1"/>
    <xf numFmtId="0" fontId="0" fillId="3" borderId="5" xfId="0" applyFill="1" applyBorder="1"/>
    <xf numFmtId="0" fontId="0" fillId="0" borderId="0" xfId="0" applyBorder="1"/>
    <xf numFmtId="0" fontId="75" fillId="44" borderId="0" xfId="0" applyFont="1" applyFill="1" applyBorder="1" applyAlignment="1">
      <alignment horizontal="left" vertical="center"/>
    </xf>
    <xf numFmtId="0" fontId="86" fillId="3" borderId="0" xfId="0" applyFont="1" applyFill="1" applyBorder="1" applyAlignment="1">
      <alignment horizontal="left" vertical="center"/>
    </xf>
    <xf numFmtId="202" fontId="73" fillId="3" borderId="0" xfId="0" applyNumberFormat="1" applyFont="1" applyFill="1" applyBorder="1"/>
    <xf numFmtId="196" fontId="73" fillId="3" borderId="0" xfId="0" applyNumberFormat="1" applyFont="1" applyFill="1" applyBorder="1" applyAlignment="1">
      <alignment horizontal="center"/>
    </xf>
    <xf numFmtId="165" fontId="73" fillId="3" borderId="4" xfId="0" applyNumberFormat="1" applyFont="1" applyFill="1" applyBorder="1" applyAlignment="1">
      <alignment horizontal="center"/>
    </xf>
    <xf numFmtId="196" fontId="73" fillId="3" borderId="5" xfId="0" applyNumberFormat="1" applyFont="1" applyFill="1" applyBorder="1" applyAlignment="1">
      <alignment horizontal="center"/>
    </xf>
    <xf numFmtId="165" fontId="73" fillId="3" borderId="6" xfId="0" applyNumberFormat="1" applyFont="1" applyFill="1" applyBorder="1" applyAlignment="1">
      <alignment horizontal="center"/>
    </xf>
    <xf numFmtId="196" fontId="73" fillId="3" borderId="7" xfId="0" applyNumberFormat="1" applyFont="1" applyFill="1" applyBorder="1" applyAlignment="1">
      <alignment horizontal="center"/>
    </xf>
    <xf numFmtId="196" fontId="73" fillId="3" borderId="8" xfId="0" applyNumberFormat="1" applyFont="1" applyFill="1" applyBorder="1" applyAlignment="1">
      <alignment horizontal="center"/>
    </xf>
    <xf numFmtId="0" fontId="73" fillId="10" borderId="4" xfId="0" applyFont="1" applyFill="1" applyBorder="1" applyAlignment="1">
      <alignment vertical="center"/>
    </xf>
    <xf numFmtId="199" fontId="73" fillId="10" borderId="0" xfId="0" applyNumberFormat="1" applyFont="1" applyFill="1" applyBorder="1" applyAlignment="1">
      <alignment vertical="center"/>
    </xf>
    <xf numFmtId="200" fontId="73" fillId="10" borderId="0" xfId="0" applyNumberFormat="1" applyFont="1" applyFill="1" applyBorder="1" applyAlignment="1">
      <alignment vertical="center"/>
    </xf>
    <xf numFmtId="201" fontId="73" fillId="10" borderId="0" xfId="0" applyNumberFormat="1" applyFont="1" applyFill="1" applyBorder="1" applyAlignment="1">
      <alignment vertical="center"/>
    </xf>
    <xf numFmtId="0" fontId="73" fillId="10" borderId="5" xfId="0" applyFont="1" applyFill="1" applyBorder="1" applyAlignment="1">
      <alignment vertical="center"/>
    </xf>
    <xf numFmtId="165" fontId="73" fillId="3" borderId="0" xfId="0" applyNumberFormat="1" applyFont="1" applyFill="1" applyBorder="1" applyAlignment="1">
      <alignment horizontal="left"/>
    </xf>
    <xf numFmtId="169" fontId="73" fillId="3" borderId="0" xfId="0" applyNumberFormat="1" applyFont="1" applyFill="1" applyBorder="1"/>
    <xf numFmtId="188" fontId="73" fillId="3" borderId="0" xfId="0" applyNumberFormat="1" applyFont="1" applyFill="1" applyBorder="1" applyAlignment="1">
      <alignment horizontal="center"/>
    </xf>
    <xf numFmtId="188" fontId="73" fillId="3" borderId="7" xfId="0" applyNumberFormat="1" applyFont="1" applyFill="1" applyBorder="1" applyAlignment="1">
      <alignment horizontal="center"/>
    </xf>
    <xf numFmtId="196" fontId="73" fillId="3" borderId="0" xfId="0" applyNumberFormat="1" applyFont="1" applyFill="1" applyBorder="1"/>
    <xf numFmtId="196" fontId="73" fillId="3" borderId="5" xfId="0" applyNumberFormat="1" applyFont="1" applyFill="1" applyBorder="1"/>
    <xf numFmtId="0" fontId="29" fillId="3" borderId="3" xfId="0" applyFont="1" applyFill="1" applyBorder="1" applyAlignment="1">
      <alignment vertical="top" wrapText="1"/>
    </xf>
    <xf numFmtId="0" fontId="0" fillId="3" borderId="4" xfId="0" applyFill="1" applyBorder="1"/>
    <xf numFmtId="0" fontId="73" fillId="10" borderId="4" xfId="0" applyFont="1" applyFill="1" applyBorder="1"/>
    <xf numFmtId="0" fontId="119" fillId="10" borderId="0" xfId="0" applyFont="1" applyFill="1" applyBorder="1" applyAlignment="1">
      <alignment horizontal="center" vertical="top" wrapText="1"/>
    </xf>
    <xf numFmtId="0" fontId="73" fillId="10" borderId="5" xfId="0" applyFont="1" applyFill="1" applyBorder="1"/>
    <xf numFmtId="0" fontId="0" fillId="3" borderId="6" xfId="0" applyFill="1" applyBorder="1"/>
    <xf numFmtId="0" fontId="82" fillId="3" borderId="7" xfId="0" applyFont="1" applyFill="1" applyBorder="1"/>
    <xf numFmtId="0" fontId="0" fillId="3" borderId="7" xfId="0" applyFill="1" applyBorder="1"/>
    <xf numFmtId="169" fontId="73" fillId="3" borderId="6" xfId="0" applyNumberFormat="1" applyFont="1" applyFill="1" applyBorder="1"/>
    <xf numFmtId="169" fontId="73" fillId="3" borderId="4" xfId="0" applyNumberFormat="1" applyFont="1" applyFill="1" applyBorder="1" applyAlignment="1">
      <alignment horizontal="center"/>
    </xf>
    <xf numFmtId="169" fontId="73" fillId="3" borderId="0" xfId="0" applyNumberFormat="1" applyFont="1" applyFill="1" applyBorder="1" applyAlignment="1">
      <alignment horizontal="left"/>
    </xf>
    <xf numFmtId="0" fontId="0" fillId="3" borderId="2" xfId="0" applyFill="1" applyBorder="1"/>
    <xf numFmtId="0" fontId="0" fillId="3" borderId="8" xfId="0" applyFill="1" applyBorder="1"/>
    <xf numFmtId="4" fontId="145" fillId="51" borderId="29" xfId="0" applyNumberFormat="1" applyFont="1" applyFill="1" applyBorder="1" applyAlignment="1">
      <alignment vertical="center"/>
    </xf>
    <xf numFmtId="0" fontId="73" fillId="51" borderId="44" xfId="0" applyFont="1" applyFill="1" applyBorder="1"/>
    <xf numFmtId="0" fontId="73" fillId="51" borderId="12" xfId="0" applyFont="1" applyFill="1" applyBorder="1"/>
    <xf numFmtId="4" fontId="145" fillId="51" borderId="13" xfId="0" applyNumberFormat="1" applyFont="1" applyFill="1" applyBorder="1" applyAlignment="1">
      <alignment vertical="center"/>
    </xf>
    <xf numFmtId="0" fontId="73" fillId="51" borderId="14" xfId="0" applyFont="1" applyFill="1" applyBorder="1"/>
    <xf numFmtId="0" fontId="73" fillId="41" borderId="13" xfId="0" applyFont="1" applyFill="1" applyBorder="1"/>
    <xf numFmtId="0" fontId="73" fillId="41" borderId="14" xfId="0" applyFont="1" applyFill="1" applyBorder="1"/>
    <xf numFmtId="0" fontId="73" fillId="3" borderId="13" xfId="0" applyFont="1" applyFill="1" applyBorder="1" applyAlignment="1">
      <alignment horizontal="center"/>
    </xf>
    <xf numFmtId="0" fontId="73" fillId="3" borderId="14" xfId="0" applyFont="1" applyFill="1" applyBorder="1" applyAlignment="1">
      <alignment horizontal="center"/>
    </xf>
    <xf numFmtId="0" fontId="0" fillId="3" borderId="14" xfId="0" applyFill="1" applyBorder="1"/>
    <xf numFmtId="0" fontId="29" fillId="3" borderId="14" xfId="0" applyFont="1" applyFill="1" applyBorder="1" applyAlignment="1">
      <alignment vertical="top" wrapText="1"/>
    </xf>
    <xf numFmtId="165" fontId="73" fillId="3" borderId="13" xfId="0" applyNumberFormat="1" applyFont="1" applyFill="1" applyBorder="1"/>
    <xf numFmtId="0" fontId="97" fillId="44" borderId="13" xfId="0" applyFont="1" applyFill="1" applyBorder="1"/>
    <xf numFmtId="0" fontId="73" fillId="3" borderId="14" xfId="0" applyFont="1" applyFill="1" applyBorder="1" applyAlignment="1"/>
    <xf numFmtId="165" fontId="9" fillId="3" borderId="14" xfId="0" applyNumberFormat="1" applyFont="1" applyFill="1" applyBorder="1"/>
    <xf numFmtId="0" fontId="0" fillId="3" borderId="13" xfId="0" applyFill="1" applyBorder="1"/>
    <xf numFmtId="0" fontId="0" fillId="3" borderId="45" xfId="0" applyFill="1" applyBorder="1"/>
    <xf numFmtId="0" fontId="0" fillId="3" borderId="46" xfId="0" applyFill="1" applyBorder="1"/>
    <xf numFmtId="0" fontId="0" fillId="3" borderId="47" xfId="0" applyFill="1" applyBorder="1"/>
    <xf numFmtId="4" fontId="98" fillId="44" borderId="0" xfId="0" applyNumberFormat="1" applyFont="1" applyFill="1" applyBorder="1"/>
    <xf numFmtId="4" fontId="75" fillId="44" borderId="0" xfId="0" applyNumberFormat="1" applyFont="1" applyFill="1" applyBorder="1"/>
    <xf numFmtId="4" fontId="73" fillId="3" borderId="2" xfId="0" applyNumberFormat="1" applyFont="1" applyFill="1" applyBorder="1"/>
    <xf numFmtId="4" fontId="73" fillId="3" borderId="3" xfId="0" applyNumberFormat="1" applyFont="1" applyFill="1" applyBorder="1"/>
    <xf numFmtId="4" fontId="73" fillId="3" borderId="5" xfId="0" applyNumberFormat="1" applyFont="1" applyFill="1" applyBorder="1"/>
    <xf numFmtId="4" fontId="73" fillId="3" borderId="8" xfId="0" applyNumberFormat="1" applyFont="1" applyFill="1" applyBorder="1"/>
    <xf numFmtId="4" fontId="86" fillId="10" borderId="0" xfId="2909" applyNumberFormat="1" applyFont="1" applyFill="1" applyBorder="1"/>
    <xf numFmtId="4" fontId="86" fillId="10" borderId="4" xfId="0" applyNumberFormat="1" applyFont="1" applyFill="1" applyBorder="1"/>
    <xf numFmtId="4" fontId="73" fillId="3" borderId="4" xfId="0" applyNumberFormat="1" applyFont="1" applyFill="1" applyBorder="1" applyAlignment="1">
      <alignment vertical="top"/>
    </xf>
    <xf numFmtId="4" fontId="86" fillId="3" borderId="5" xfId="0" applyNumberFormat="1" applyFont="1" applyFill="1" applyBorder="1" applyAlignment="1">
      <alignment horizontal="center"/>
    </xf>
    <xf numFmtId="4" fontId="73" fillId="3" borderId="6" xfId="0" applyNumberFormat="1" applyFont="1" applyFill="1" applyBorder="1" applyAlignment="1">
      <alignment vertical="top"/>
    </xf>
    <xf numFmtId="4" fontId="73" fillId="3" borderId="7" xfId="1964" applyNumberFormat="1" applyFont="1" applyFill="1" applyBorder="1" applyAlignment="1">
      <alignment vertical="top"/>
    </xf>
    <xf numFmtId="4" fontId="86" fillId="3" borderId="8" xfId="0" applyNumberFormat="1" applyFont="1" applyFill="1" applyBorder="1" applyAlignment="1">
      <alignment horizontal="center"/>
    </xf>
    <xf numFmtId="4" fontId="73" fillId="3" borderId="4" xfId="0" applyNumberFormat="1" applyFont="1" applyFill="1" applyBorder="1" applyAlignment="1">
      <alignment horizontal="center"/>
    </xf>
    <xf numFmtId="4" fontId="73" fillId="3" borderId="1" xfId="0" applyNumberFormat="1" applyFont="1" applyFill="1" applyBorder="1" applyAlignment="1">
      <alignment horizontal="center"/>
    </xf>
    <xf numFmtId="4" fontId="73" fillId="3" borderId="2" xfId="0" applyNumberFormat="1" applyFont="1" applyFill="1" applyBorder="1" applyAlignment="1">
      <alignment horizontal="center"/>
    </xf>
    <xf numFmtId="4" fontId="73" fillId="3" borderId="3" xfId="0" applyNumberFormat="1" applyFont="1" applyFill="1" applyBorder="1" applyAlignment="1">
      <alignment horizontal="center"/>
    </xf>
    <xf numFmtId="4" fontId="98" fillId="3" borderId="0" xfId="0" applyNumberFormat="1" applyFont="1" applyFill="1" applyBorder="1"/>
    <xf numFmtId="4" fontId="75" fillId="41" borderId="0" xfId="0" applyNumberFormat="1" applyFont="1" applyFill="1" applyBorder="1"/>
    <xf numFmtId="4" fontId="73" fillId="3" borderId="5" xfId="0" applyNumberFormat="1" applyFont="1" applyFill="1" applyBorder="1" applyAlignment="1">
      <alignment horizontal="center"/>
    </xf>
    <xf numFmtId="4" fontId="73" fillId="3" borderId="6" xfId="0" applyNumberFormat="1" applyFont="1" applyFill="1" applyBorder="1" applyAlignment="1">
      <alignment horizontal="center"/>
    </xf>
    <xf numFmtId="4" fontId="73" fillId="3" borderId="8" xfId="0" applyNumberFormat="1" applyFont="1" applyFill="1" applyBorder="1" applyAlignment="1">
      <alignment horizontal="center"/>
    </xf>
    <xf numFmtId="4" fontId="73" fillId="3" borderId="7" xfId="0" applyNumberFormat="1" applyFont="1" applyFill="1" applyBorder="1" applyAlignment="1">
      <alignment horizontal="center"/>
    </xf>
    <xf numFmtId="4" fontId="137" fillId="3" borderId="0" xfId="0" applyNumberFormat="1" applyFont="1" applyFill="1" applyBorder="1"/>
    <xf numFmtId="4" fontId="137" fillId="43" borderId="12" xfId="0" applyNumberFormat="1" applyFont="1" applyFill="1" applyBorder="1"/>
    <xf numFmtId="4" fontId="137" fillId="43" borderId="14" xfId="0" applyNumberFormat="1" applyFont="1" applyFill="1" applyBorder="1"/>
    <xf numFmtId="4" fontId="32" fillId="3" borderId="14" xfId="0" applyNumberFormat="1" applyFont="1" applyFill="1" applyBorder="1"/>
    <xf numFmtId="4" fontId="86" fillId="3" borderId="14" xfId="0" applyNumberFormat="1" applyFont="1" applyFill="1" applyBorder="1" applyAlignment="1">
      <alignment vertical="top"/>
    </xf>
    <xf numFmtId="4" fontId="73" fillId="3" borderId="14" xfId="0" applyNumberFormat="1" applyFont="1" applyFill="1" applyBorder="1"/>
    <xf numFmtId="4" fontId="73" fillId="3" borderId="14" xfId="0" applyNumberFormat="1" applyFont="1" applyFill="1" applyBorder="1" applyAlignment="1"/>
    <xf numFmtId="49" fontId="32" fillId="61" borderId="14" xfId="0" applyNumberFormat="1" applyFont="1" applyFill="1" applyBorder="1" applyAlignment="1">
      <alignment vertical="center" wrapText="1"/>
    </xf>
    <xf numFmtId="4" fontId="86" fillId="10" borderId="5" xfId="0" applyNumberFormat="1" applyFont="1" applyFill="1" applyBorder="1" applyAlignment="1">
      <alignment horizontal="center"/>
    </xf>
    <xf numFmtId="4" fontId="75" fillId="2" borderId="144" xfId="0" applyNumberFormat="1" applyFont="1" applyFill="1" applyBorder="1" applyAlignment="1">
      <alignment horizontal="center"/>
    </xf>
    <xf numFmtId="4" fontId="86" fillId="10" borderId="0" xfId="2909" applyNumberFormat="1" applyFont="1" applyFill="1" applyBorder="1" applyAlignment="1">
      <alignment horizontal="center"/>
    </xf>
    <xf numFmtId="0" fontId="143" fillId="43" borderId="12" xfId="0" applyFont="1" applyFill="1" applyBorder="1"/>
    <xf numFmtId="0" fontId="143" fillId="43" borderId="14" xfId="0" applyFont="1" applyFill="1" applyBorder="1"/>
    <xf numFmtId="0" fontId="166" fillId="43" borderId="44" xfId="0" applyFont="1" applyFill="1" applyBorder="1" applyAlignment="1">
      <alignment vertical="center"/>
    </xf>
    <xf numFmtId="0" fontId="166" fillId="43" borderId="0" xfId="0" applyFont="1" applyFill="1" applyBorder="1" applyAlignment="1">
      <alignment vertical="center"/>
    </xf>
    <xf numFmtId="190" fontId="143" fillId="3" borderId="0" xfId="0" applyNumberFormat="1" applyFont="1" applyFill="1" applyBorder="1"/>
    <xf numFmtId="194" fontId="143" fillId="3" borderId="0" xfId="0" applyNumberFormat="1" applyFont="1" applyFill="1" applyBorder="1"/>
    <xf numFmtId="3" fontId="143" fillId="3" borderId="0" xfId="0" applyNumberFormat="1" applyFont="1" applyFill="1" applyBorder="1"/>
    <xf numFmtId="0" fontId="222" fillId="3" borderId="0" xfId="225" applyFont="1" applyFill="1" applyBorder="1" applyAlignment="1">
      <alignment horizontal="center" vertical="top" wrapText="1"/>
    </xf>
    <xf numFmtId="0" fontId="172" fillId="3" borderId="0" xfId="225" applyFont="1" applyFill="1" applyBorder="1" applyAlignment="1">
      <alignment horizontal="center" vertical="top" wrapText="1"/>
    </xf>
    <xf numFmtId="0" fontId="178" fillId="3" borderId="0" xfId="0" applyFont="1" applyFill="1" applyBorder="1"/>
    <xf numFmtId="0" fontId="178" fillId="43" borderId="29" xfId="0" applyFont="1" applyFill="1" applyBorder="1"/>
    <xf numFmtId="0" fontId="178" fillId="43" borderId="44" xfId="0" applyFont="1" applyFill="1" applyBorder="1"/>
    <xf numFmtId="0" fontId="178" fillId="43" borderId="12" xfId="0" applyFont="1" applyFill="1" applyBorder="1"/>
    <xf numFmtId="0" fontId="178" fillId="43" borderId="13" xfId="0" applyFont="1" applyFill="1" applyBorder="1"/>
    <xf numFmtId="0" fontId="143" fillId="3" borderId="14" xfId="0" applyFont="1" applyFill="1" applyBorder="1"/>
    <xf numFmtId="0" fontId="143" fillId="44" borderId="13" xfId="0" applyFont="1" applyFill="1" applyBorder="1"/>
    <xf numFmtId="0" fontId="222" fillId="3" borderId="14" xfId="225" applyFont="1" applyFill="1" applyBorder="1" applyAlignment="1">
      <alignment horizontal="center" vertical="top" wrapText="1"/>
    </xf>
    <xf numFmtId="0" fontId="172" fillId="3" borderId="14" xfId="225" applyFont="1" applyFill="1" applyBorder="1" applyAlignment="1">
      <alignment horizontal="center" vertical="top" wrapText="1"/>
    </xf>
    <xf numFmtId="0" fontId="178" fillId="44" borderId="0" xfId="0" applyFont="1" applyFill="1" applyBorder="1"/>
    <xf numFmtId="0" fontId="143" fillId="10" borderId="1" xfId="0" applyFont="1" applyFill="1" applyBorder="1"/>
    <xf numFmtId="0" fontId="169" fillId="10" borderId="2" xfId="0" applyFont="1" applyFill="1" applyBorder="1" applyAlignment="1">
      <alignment horizontal="left"/>
    </xf>
    <xf numFmtId="0" fontId="143" fillId="10" borderId="1" xfId="0" applyFont="1" applyFill="1" applyBorder="1" applyAlignment="1">
      <alignment horizontal="left"/>
    </xf>
    <xf numFmtId="0" fontId="169" fillId="10" borderId="3" xfId="0" applyFont="1" applyFill="1" applyBorder="1" applyAlignment="1">
      <alignment horizontal="left"/>
    </xf>
    <xf numFmtId="0" fontId="143" fillId="3" borderId="5" xfId="0" applyFont="1" applyFill="1" applyBorder="1" applyAlignment="1">
      <alignment horizontal="center"/>
    </xf>
    <xf numFmtId="0" fontId="169" fillId="3" borderId="5" xfId="0" applyFont="1" applyFill="1" applyBorder="1" applyAlignment="1">
      <alignment horizontal="center"/>
    </xf>
    <xf numFmtId="190" fontId="143" fillId="3" borderId="17" xfId="0" applyNumberFormat="1" applyFont="1" applyFill="1" applyBorder="1" applyAlignment="1">
      <alignment horizontal="center"/>
    </xf>
    <xf numFmtId="181" fontId="143" fillId="3" borderId="16" xfId="0" applyNumberFormat="1" applyFont="1" applyFill="1" applyBorder="1" applyAlignment="1">
      <alignment horizontal="center"/>
    </xf>
    <xf numFmtId="0" fontId="143" fillId="3" borderId="7" xfId="0" applyFont="1" applyFill="1" applyBorder="1" applyAlignment="1">
      <alignment horizontal="center"/>
    </xf>
    <xf numFmtId="190" fontId="143" fillId="3" borderId="5" xfId="0" applyNumberFormat="1" applyFont="1" applyFill="1" applyBorder="1" applyAlignment="1">
      <alignment horizontal="center"/>
    </xf>
    <xf numFmtId="181" fontId="143" fillId="3" borderId="8" xfId="0" applyNumberFormat="1" applyFont="1" applyFill="1" applyBorder="1" applyAlignment="1">
      <alignment horizontal="center"/>
    </xf>
    <xf numFmtId="0" fontId="169" fillId="10" borderId="18" xfId="0" applyFont="1" applyFill="1" applyBorder="1" applyAlignment="1">
      <alignment horizontal="left"/>
    </xf>
    <xf numFmtId="0" fontId="169" fillId="3" borderId="17" xfId="0" applyFont="1" applyFill="1" applyBorder="1" applyAlignment="1">
      <alignment horizontal="center"/>
    </xf>
    <xf numFmtId="0" fontId="143" fillId="10" borderId="18" xfId="0" applyFont="1" applyFill="1" applyBorder="1" applyAlignment="1">
      <alignment horizontal="left"/>
    </xf>
    <xf numFmtId="2" fontId="73" fillId="12" borderId="0" xfId="0" applyNumberFormat="1" applyFont="1" applyFill="1" applyBorder="1" applyAlignment="1">
      <alignment horizontal="left"/>
    </xf>
    <xf numFmtId="188" fontId="53" fillId="12" borderId="0" xfId="0" applyNumberFormat="1" applyFont="1" applyFill="1" applyBorder="1"/>
    <xf numFmtId="188" fontId="34" fillId="12" borderId="0" xfId="0" applyNumberFormat="1" applyFont="1" applyFill="1" applyBorder="1"/>
    <xf numFmtId="188" fontId="34" fillId="3" borderId="0" xfId="0" applyNumberFormat="1" applyFont="1" applyFill="1" applyBorder="1"/>
    <xf numFmtId="0" fontId="143" fillId="3" borderId="2" xfId="1964" applyFont="1" applyFill="1" applyBorder="1"/>
    <xf numFmtId="0" fontId="143" fillId="3" borderId="3" xfId="1964" applyFont="1" applyFill="1" applyBorder="1"/>
    <xf numFmtId="0" fontId="143" fillId="3" borderId="4" xfId="1964" applyFont="1" applyFill="1" applyBorder="1"/>
    <xf numFmtId="0" fontId="143" fillId="3" borderId="5" xfId="1964" applyFont="1" applyFill="1" applyBorder="1"/>
    <xf numFmtId="0" fontId="143" fillId="3" borderId="6" xfId="1964" applyFont="1" applyFill="1" applyBorder="1"/>
    <xf numFmtId="0" fontId="143" fillId="3" borderId="8" xfId="1964" applyFont="1" applyFill="1" applyBorder="1"/>
    <xf numFmtId="0" fontId="178" fillId="43" borderId="44" xfId="1964" applyFont="1" applyFill="1" applyBorder="1"/>
    <xf numFmtId="0" fontId="178" fillId="43" borderId="44" xfId="1964" applyFont="1" applyFill="1" applyBorder="1" applyAlignment="1">
      <alignment wrapText="1"/>
    </xf>
    <xf numFmtId="0" fontId="143" fillId="3" borderId="0" xfId="1964" applyFont="1" applyFill="1" applyBorder="1"/>
    <xf numFmtId="0" fontId="143" fillId="3" borderId="0" xfId="1964" applyFont="1" applyFill="1" applyBorder="1" applyAlignment="1">
      <alignment wrapText="1"/>
    </xf>
    <xf numFmtId="215" fontId="143" fillId="3" borderId="0" xfId="1964" applyNumberFormat="1" applyFont="1" applyFill="1" applyBorder="1" applyAlignment="1">
      <alignment wrapText="1"/>
    </xf>
    <xf numFmtId="169" fontId="143" fillId="3" borderId="0" xfId="1964" applyNumberFormat="1" applyFont="1" applyFill="1" applyBorder="1"/>
    <xf numFmtId="1" fontId="143" fillId="3" borderId="0" xfId="1964" applyNumberFormat="1" applyFont="1" applyFill="1" applyBorder="1" applyAlignment="1">
      <alignment wrapText="1"/>
    </xf>
    <xf numFmtId="164" fontId="143" fillId="3" borderId="0" xfId="1964" applyNumberFormat="1" applyFont="1" applyFill="1" applyBorder="1"/>
    <xf numFmtId="1" fontId="143" fillId="3" borderId="0" xfId="1964" applyNumberFormat="1" applyFont="1" applyFill="1" applyBorder="1"/>
    <xf numFmtId="168" fontId="143" fillId="3" borderId="0" xfId="1964" applyNumberFormat="1" applyFont="1" applyFill="1" applyBorder="1"/>
    <xf numFmtId="0" fontId="143" fillId="3" borderId="0" xfId="2165" applyFont="1" applyFill="1" applyBorder="1"/>
    <xf numFmtId="0" fontId="169" fillId="3" borderId="0" xfId="2165" applyFont="1" applyFill="1" applyBorder="1"/>
    <xf numFmtId="1" fontId="143" fillId="3" borderId="0" xfId="2165" applyNumberFormat="1" applyFont="1" applyFill="1" applyBorder="1"/>
    <xf numFmtId="165" fontId="143" fillId="3" borderId="0" xfId="2165" applyNumberFormat="1" applyFont="1" applyFill="1" applyBorder="1"/>
    <xf numFmtId="0" fontId="169" fillId="3" borderId="0" xfId="2165" applyFont="1" applyFill="1" applyBorder="1" applyAlignment="1">
      <alignment horizontal="right"/>
    </xf>
    <xf numFmtId="0" fontId="143" fillId="3" borderId="47" xfId="0" applyFont="1" applyFill="1" applyBorder="1"/>
    <xf numFmtId="0" fontId="143" fillId="3" borderId="13" xfId="1964" applyFont="1" applyFill="1" applyBorder="1" applyAlignment="1">
      <alignment horizontal="left" indent="1"/>
    </xf>
    <xf numFmtId="0" fontId="169" fillId="3" borderId="13" xfId="1964" applyFont="1" applyFill="1" applyBorder="1" applyAlignment="1">
      <alignment horizontal="left" indent="1"/>
    </xf>
    <xf numFmtId="0" fontId="143" fillId="3" borderId="13" xfId="2165" applyFont="1" applyFill="1" applyBorder="1" applyAlignment="1">
      <alignment horizontal="left" indent="1"/>
    </xf>
    <xf numFmtId="0" fontId="143" fillId="3" borderId="45" xfId="0" applyFont="1" applyFill="1" applyBorder="1" applyAlignment="1">
      <alignment horizontal="left" indent="1"/>
    </xf>
    <xf numFmtId="0" fontId="143" fillId="10" borderId="0" xfId="1964" applyFont="1" applyFill="1" applyBorder="1"/>
    <xf numFmtId="0" fontId="169" fillId="10" borderId="0" xfId="1964" applyFont="1" applyFill="1" applyBorder="1" applyAlignment="1">
      <alignment horizontal="center"/>
    </xf>
    <xf numFmtId="0" fontId="143" fillId="10" borderId="14" xfId="0" applyFont="1" applyFill="1" applyBorder="1"/>
    <xf numFmtId="0" fontId="169" fillId="10" borderId="13" xfId="1964" applyFont="1" applyFill="1" applyBorder="1" applyAlignment="1">
      <alignment horizontal="left" indent="1"/>
    </xf>
    <xf numFmtId="0" fontId="169" fillId="10" borderId="0" xfId="1964" applyFont="1" applyFill="1" applyBorder="1" applyAlignment="1">
      <alignment horizontal="center" wrapText="1"/>
    </xf>
    <xf numFmtId="0" fontId="169" fillId="3" borderId="0" xfId="2165" applyFont="1" applyFill="1" applyBorder="1" applyAlignment="1">
      <alignment wrapText="1"/>
    </xf>
    <xf numFmtId="0" fontId="169" fillId="3" borderId="13" xfId="2165" applyFont="1" applyFill="1" applyBorder="1" applyAlignment="1">
      <alignment horizontal="left" indent="1"/>
    </xf>
    <xf numFmtId="10" fontId="143" fillId="3" borderId="0" xfId="2" applyNumberFormat="1" applyFont="1" applyFill="1" applyBorder="1"/>
    <xf numFmtId="0" fontId="143" fillId="3" borderId="0" xfId="2165" applyFont="1" applyFill="1" applyBorder="1" applyAlignment="1">
      <alignment horizontal="left"/>
    </xf>
    <xf numFmtId="0" fontId="167" fillId="44" borderId="13" xfId="1964" applyFont="1" applyFill="1" applyBorder="1" applyAlignment="1">
      <alignment horizontal="left" indent="1"/>
    </xf>
    <xf numFmtId="1" fontId="169" fillId="3" borderId="0" xfId="2165" applyNumberFormat="1" applyFont="1" applyFill="1" applyBorder="1" applyAlignment="1">
      <alignment wrapText="1"/>
    </xf>
    <xf numFmtId="1" fontId="169" fillId="3" borderId="0" xfId="2165" applyNumberFormat="1" applyFont="1" applyFill="1" applyBorder="1"/>
    <xf numFmtId="10" fontId="143" fillId="3" borderId="0" xfId="1964" applyNumberFormat="1" applyFont="1" applyFill="1" applyBorder="1" applyAlignment="1">
      <alignment wrapText="1"/>
    </xf>
    <xf numFmtId="0" fontId="143" fillId="3" borderId="0" xfId="1964" applyFont="1" applyFill="1" applyBorder="1" applyAlignment="1">
      <alignment horizontal="right"/>
    </xf>
    <xf numFmtId="0" fontId="184" fillId="3" borderId="0" xfId="2165" applyFont="1" applyFill="1" applyBorder="1"/>
    <xf numFmtId="10" fontId="184" fillId="3" borderId="0" xfId="2" applyNumberFormat="1" applyFont="1" applyFill="1" applyBorder="1"/>
    <xf numFmtId="0" fontId="229" fillId="40" borderId="29" xfId="1964" applyFont="1" applyFill="1" applyBorder="1" applyAlignment="1">
      <alignment horizontal="left" indent="1"/>
    </xf>
    <xf numFmtId="0" fontId="178" fillId="40" borderId="44" xfId="1964" applyFont="1" applyFill="1" applyBorder="1"/>
    <xf numFmtId="0" fontId="178" fillId="40" borderId="44" xfId="1964" applyFont="1" applyFill="1" applyBorder="1" applyAlignment="1">
      <alignment wrapText="1"/>
    </xf>
    <xf numFmtId="0" fontId="178" fillId="40" borderId="12" xfId="0" applyFont="1" applyFill="1" applyBorder="1"/>
    <xf numFmtId="0" fontId="178" fillId="41" borderId="13" xfId="1964" applyFont="1" applyFill="1" applyBorder="1" applyAlignment="1">
      <alignment horizontal="left" indent="1"/>
    </xf>
    <xf numFmtId="0" fontId="169" fillId="10" borderId="0" xfId="1964" applyFont="1" applyFill="1" applyBorder="1"/>
    <xf numFmtId="0" fontId="169" fillId="10" borderId="2" xfId="0" applyFont="1" applyFill="1" applyBorder="1" applyAlignment="1">
      <alignment vertical="center"/>
    </xf>
    <xf numFmtId="0" fontId="143" fillId="10" borderId="1" xfId="0" applyFont="1" applyFill="1" applyBorder="1" applyAlignment="1">
      <alignment vertical="center"/>
    </xf>
    <xf numFmtId="0" fontId="143" fillId="10" borderId="3" xfId="0" applyFont="1" applyFill="1" applyBorder="1" applyAlignment="1">
      <alignment vertical="center"/>
    </xf>
    <xf numFmtId="0" fontId="170" fillId="10" borderId="1" xfId="0" applyFont="1" applyFill="1" applyBorder="1" applyAlignment="1">
      <alignment vertical="center"/>
    </xf>
    <xf numFmtId="0" fontId="143" fillId="10" borderId="3" xfId="0" applyFont="1" applyFill="1" applyBorder="1"/>
    <xf numFmtId="165" fontId="198" fillId="3" borderId="0" xfId="0" applyNumberFormat="1" applyFont="1" applyFill="1" applyAlignment="1">
      <alignment wrapText="1"/>
    </xf>
    <xf numFmtId="165" fontId="198" fillId="3" borderId="0" xfId="0" applyNumberFormat="1" applyFont="1" applyFill="1"/>
    <xf numFmtId="165" fontId="195" fillId="3" borderId="0" xfId="0" applyNumberFormat="1" applyFont="1" applyFill="1" applyBorder="1"/>
    <xf numFmtId="0" fontId="184" fillId="3" borderId="0" xfId="2840" applyFont="1" applyFill="1" applyBorder="1"/>
    <xf numFmtId="165" fontId="172" fillId="3" borderId="0" xfId="0" applyNumberFormat="1" applyFont="1" applyFill="1" applyBorder="1"/>
    <xf numFmtId="0" fontId="184" fillId="3" borderId="0" xfId="2840" applyFont="1" applyFill="1" applyBorder="1" applyAlignment="1">
      <alignment horizontal="center"/>
    </xf>
    <xf numFmtId="9" fontId="184" fillId="3" borderId="0" xfId="2" applyFont="1" applyFill="1" applyBorder="1" applyAlignment="1">
      <alignment horizontal="center"/>
    </xf>
    <xf numFmtId="4" fontId="100" fillId="41" borderId="0" xfId="219" applyNumberFormat="1" applyFont="1" applyFill="1" applyBorder="1" applyAlignment="1">
      <alignment horizontal="left" vertical="center"/>
    </xf>
    <xf numFmtId="4" fontId="100" fillId="41" borderId="0" xfId="0" applyNumberFormat="1" applyFont="1" applyFill="1" applyBorder="1" applyAlignment="1">
      <alignment horizontal="center" vertical="center"/>
    </xf>
    <xf numFmtId="4" fontId="230" fillId="41" borderId="13" xfId="0" applyNumberFormat="1" applyFont="1" applyFill="1" applyBorder="1" applyAlignment="1">
      <alignment horizontal="left" vertical="center" indent="1"/>
    </xf>
    <xf numFmtId="4" fontId="78" fillId="10" borderId="77" xfId="0" applyNumberFormat="1" applyFont="1" applyFill="1" applyBorder="1" applyAlignment="1">
      <alignment horizontal="left" vertical="center"/>
    </xf>
    <xf numFmtId="4" fontId="45" fillId="10" borderId="79" xfId="0" applyNumberFormat="1" applyFont="1" applyFill="1" applyBorder="1" applyAlignment="1">
      <alignment horizontal="center" vertical="center"/>
    </xf>
    <xf numFmtId="4" fontId="45" fillId="10" borderId="78" xfId="0" applyNumberFormat="1" applyFont="1" applyFill="1" applyBorder="1" applyAlignment="1">
      <alignment horizontal="center" vertical="center"/>
    </xf>
    <xf numFmtId="4" fontId="78" fillId="10" borderId="80" xfId="0" applyNumberFormat="1" applyFont="1" applyFill="1" applyBorder="1" applyAlignment="1">
      <alignment horizontal="left" vertical="center"/>
    </xf>
    <xf numFmtId="4" fontId="45" fillId="10" borderId="0" xfId="0" applyNumberFormat="1" applyFont="1" applyFill="1" applyBorder="1" applyAlignment="1">
      <alignment horizontal="center" vertical="center"/>
    </xf>
    <xf numFmtId="4" fontId="45" fillId="10" borderId="81" xfId="0" applyNumberFormat="1" applyFont="1" applyFill="1" applyBorder="1" applyAlignment="1">
      <alignment horizontal="center" vertical="center"/>
    </xf>
    <xf numFmtId="4" fontId="98" fillId="3" borderId="0" xfId="0" applyNumberFormat="1" applyFont="1" applyFill="1" applyBorder="1" applyAlignment="1">
      <alignment horizontal="left" vertical="center"/>
    </xf>
    <xf numFmtId="4" fontId="78" fillId="10" borderId="0" xfId="0" applyNumberFormat="1" applyFont="1" applyFill="1" applyBorder="1" applyAlignment="1">
      <alignment horizontal="center" vertical="center"/>
    </xf>
    <xf numFmtId="4" fontId="78" fillId="10" borderId="81" xfId="0" applyNumberFormat="1" applyFont="1" applyFill="1" applyBorder="1" applyAlignment="1">
      <alignment horizontal="center" vertical="center"/>
    </xf>
    <xf numFmtId="4" fontId="78" fillId="10" borderId="0" xfId="221" applyNumberFormat="1" applyFont="1" applyFill="1" applyBorder="1" applyAlignment="1">
      <alignment horizontal="center" vertical="center"/>
    </xf>
    <xf numFmtId="4" fontId="78" fillId="10" borderId="81" xfId="221" applyNumberFormat="1" applyFont="1" applyFill="1" applyBorder="1" applyAlignment="1">
      <alignment horizontal="center" vertical="center"/>
    </xf>
    <xf numFmtId="4" fontId="45" fillId="10" borderId="0" xfId="2" applyNumberFormat="1" applyFont="1" applyFill="1" applyBorder="1" applyAlignment="1">
      <alignment horizontal="center" vertical="center"/>
    </xf>
    <xf numFmtId="4" fontId="78" fillId="10" borderId="82" xfId="0" applyNumberFormat="1" applyFont="1" applyFill="1" applyBorder="1" applyAlignment="1">
      <alignment horizontal="left" vertical="center"/>
    </xf>
    <xf numFmtId="4" fontId="78" fillId="10" borderId="0" xfId="2" applyNumberFormat="1" applyFont="1" applyFill="1" applyBorder="1" applyAlignment="1">
      <alignment horizontal="center" vertical="center"/>
    </xf>
    <xf numFmtId="4" fontId="78" fillId="10" borderId="83" xfId="2" applyNumberFormat="1" applyFont="1" applyFill="1" applyBorder="1" applyAlignment="1">
      <alignment horizontal="center" vertical="center"/>
    </xf>
    <xf numFmtId="4" fontId="78" fillId="10" borderId="84" xfId="0" applyNumberFormat="1" applyFont="1" applyFill="1" applyBorder="1" applyAlignment="1">
      <alignment horizontal="center" vertical="center"/>
    </xf>
    <xf numFmtId="4" fontId="45" fillId="3" borderId="1" xfId="0" applyNumberFormat="1" applyFont="1" applyFill="1" applyBorder="1" applyAlignment="1">
      <alignment horizontal="center" vertical="center"/>
    </xf>
    <xf numFmtId="4" fontId="45" fillId="3" borderId="3" xfId="0" applyNumberFormat="1" applyFont="1" applyFill="1" applyBorder="1" applyAlignment="1">
      <alignment horizontal="center" vertical="center"/>
    </xf>
    <xf numFmtId="4" fontId="45" fillId="3" borderId="5" xfId="0" applyNumberFormat="1" applyFont="1" applyFill="1" applyBorder="1" applyAlignment="1">
      <alignment horizontal="center" vertical="center"/>
    </xf>
    <xf numFmtId="4" fontId="45" fillId="3" borderId="7" xfId="0" applyNumberFormat="1" applyFont="1" applyFill="1" applyBorder="1" applyAlignment="1">
      <alignment horizontal="center" vertical="center"/>
    </xf>
    <xf numFmtId="4" fontId="45" fillId="3" borderId="8" xfId="0" applyNumberFormat="1" applyFont="1" applyFill="1" applyBorder="1" applyAlignment="1">
      <alignment horizontal="center" vertical="center"/>
    </xf>
    <xf numFmtId="4" fontId="78" fillId="3" borderId="4" xfId="0" applyNumberFormat="1" applyFont="1" applyFill="1" applyBorder="1" applyAlignment="1">
      <alignment horizontal="left" vertical="center"/>
    </xf>
    <xf numFmtId="4" fontId="45" fillId="3" borderId="4" xfId="0" applyNumberFormat="1" applyFont="1" applyFill="1" applyBorder="1" applyAlignment="1">
      <alignment horizontal="left" vertical="center"/>
    </xf>
    <xf numFmtId="4" fontId="45" fillId="3" borderId="6" xfId="0" applyNumberFormat="1" applyFont="1" applyFill="1" applyBorder="1" applyAlignment="1">
      <alignment horizontal="left" vertical="center"/>
    </xf>
    <xf numFmtId="4" fontId="78" fillId="10" borderId="2" xfId="0" applyNumberFormat="1" applyFont="1" applyFill="1" applyBorder="1" applyAlignment="1">
      <alignment horizontal="left" vertical="center"/>
    </xf>
    <xf numFmtId="4" fontId="45" fillId="10" borderId="1" xfId="0" applyNumberFormat="1" applyFont="1" applyFill="1" applyBorder="1" applyAlignment="1">
      <alignment horizontal="center" vertical="center"/>
    </xf>
    <xf numFmtId="4" fontId="45" fillId="10" borderId="3" xfId="0" applyNumberFormat="1" applyFont="1" applyFill="1" applyBorder="1" applyAlignment="1">
      <alignment horizontal="center" vertical="center"/>
    </xf>
    <xf numFmtId="4" fontId="78" fillId="9" borderId="2" xfId="0" applyNumberFormat="1" applyFont="1" applyFill="1" applyBorder="1" applyAlignment="1">
      <alignment horizontal="left" vertical="center"/>
    </xf>
    <xf numFmtId="4" fontId="45" fillId="9" borderId="1" xfId="0" applyNumberFormat="1" applyFont="1" applyFill="1" applyBorder="1" applyAlignment="1">
      <alignment horizontal="center" vertical="center"/>
    </xf>
    <xf numFmtId="4" fontId="45" fillId="9" borderId="1" xfId="0" applyNumberFormat="1" applyFont="1" applyFill="1" applyBorder="1" applyAlignment="1">
      <alignment horizontal="left" vertical="center"/>
    </xf>
    <xf numFmtId="4" fontId="45" fillId="9" borderId="3" xfId="0" applyNumberFormat="1" applyFont="1" applyFill="1" applyBorder="1" applyAlignment="1">
      <alignment horizontal="center" vertical="center"/>
    </xf>
    <xf numFmtId="4" fontId="78" fillId="9" borderId="4" xfId="0" applyNumberFormat="1" applyFont="1" applyFill="1" applyBorder="1" applyAlignment="1">
      <alignment horizontal="left" vertical="center"/>
    </xf>
    <xf numFmtId="4" fontId="45" fillId="9" borderId="5" xfId="0" applyNumberFormat="1" applyFont="1" applyFill="1" applyBorder="1" applyAlignment="1">
      <alignment horizontal="center" vertical="center"/>
    </xf>
    <xf numFmtId="4" fontId="78" fillId="9" borderId="6" xfId="0" applyNumberFormat="1" applyFont="1" applyFill="1" applyBorder="1" applyAlignment="1">
      <alignment horizontal="left" vertical="center"/>
    </xf>
    <xf numFmtId="4" fontId="45" fillId="9" borderId="7" xfId="0" applyNumberFormat="1" applyFont="1" applyFill="1" applyBorder="1" applyAlignment="1">
      <alignment horizontal="center" vertical="center"/>
    </xf>
    <xf numFmtId="4" fontId="45" fillId="9" borderId="7" xfId="0" applyNumberFormat="1" applyFont="1" applyFill="1" applyBorder="1" applyAlignment="1">
      <alignment horizontal="left" vertical="center"/>
    </xf>
    <xf numFmtId="4" fontId="45" fillId="9" borderId="8" xfId="0" applyNumberFormat="1" applyFont="1" applyFill="1" applyBorder="1" applyAlignment="1">
      <alignment horizontal="center" vertical="center"/>
    </xf>
    <xf numFmtId="4" fontId="78" fillId="10" borderId="4" xfId="0" applyNumberFormat="1" applyFont="1" applyFill="1" applyBorder="1" applyAlignment="1">
      <alignment horizontal="left" vertical="center"/>
    </xf>
    <xf numFmtId="4" fontId="78" fillId="10" borderId="5" xfId="0" applyNumberFormat="1" applyFont="1" applyFill="1" applyBorder="1" applyAlignment="1">
      <alignment horizontal="center" vertical="center"/>
    </xf>
    <xf numFmtId="4" fontId="45" fillId="10" borderId="5" xfId="0" applyNumberFormat="1" applyFont="1" applyFill="1" applyBorder="1" applyAlignment="1">
      <alignment horizontal="center" vertical="center"/>
    </xf>
    <xf numFmtId="4" fontId="45" fillId="3" borderId="5" xfId="2" applyNumberFormat="1" applyFont="1" applyFill="1" applyBorder="1" applyAlignment="1">
      <alignment horizontal="center" vertical="center"/>
    </xf>
    <xf numFmtId="4" fontId="45" fillId="3" borderId="7" xfId="2" applyNumberFormat="1" applyFont="1" applyFill="1" applyBorder="1" applyAlignment="1">
      <alignment horizontal="center" vertical="center"/>
    </xf>
    <xf numFmtId="4" fontId="45" fillId="3" borderId="8" xfId="2" applyNumberFormat="1" applyFont="1" applyFill="1" applyBorder="1" applyAlignment="1">
      <alignment horizontal="center" vertical="center"/>
    </xf>
    <xf numFmtId="4" fontId="78" fillId="9" borderId="100" xfId="0" applyNumberFormat="1" applyFont="1" applyFill="1" applyBorder="1" applyAlignment="1">
      <alignment horizontal="left"/>
    </xf>
    <xf numFmtId="4" fontId="45" fillId="3" borderId="105" xfId="0" applyNumberFormat="1" applyFont="1" applyFill="1" applyBorder="1" applyAlignment="1">
      <alignment horizontal="left"/>
    </xf>
    <xf numFmtId="4" fontId="78" fillId="9" borderId="105" xfId="0" applyNumberFormat="1" applyFont="1" applyFill="1" applyBorder="1" applyAlignment="1">
      <alignment horizontal="left"/>
    </xf>
    <xf numFmtId="4" fontId="45" fillId="3" borderId="102" xfId="0" applyNumberFormat="1" applyFont="1" applyFill="1" applyBorder="1" applyAlignment="1">
      <alignment horizontal="left"/>
    </xf>
    <xf numFmtId="4" fontId="78" fillId="3" borderId="6" xfId="0" applyNumberFormat="1" applyFont="1" applyFill="1" applyBorder="1" applyAlignment="1">
      <alignment horizontal="left" vertical="center"/>
    </xf>
    <xf numFmtId="4" fontId="45" fillId="10" borderId="5" xfId="2" applyNumberFormat="1" applyFont="1" applyFill="1" applyBorder="1" applyAlignment="1">
      <alignment horizontal="center" vertical="center"/>
    </xf>
    <xf numFmtId="4" fontId="78" fillId="10" borderId="6" xfId="0" applyNumberFormat="1" applyFont="1" applyFill="1" applyBorder="1" applyAlignment="1">
      <alignment horizontal="left" vertical="center"/>
    </xf>
    <xf numFmtId="4" fontId="78" fillId="10" borderId="7" xfId="0" applyNumberFormat="1" applyFont="1" applyFill="1" applyBorder="1" applyAlignment="1">
      <alignment horizontal="center" vertical="center"/>
    </xf>
    <xf numFmtId="4" fontId="78" fillId="10" borderId="8" xfId="0" applyNumberFormat="1" applyFont="1" applyFill="1" applyBorder="1" applyAlignment="1">
      <alignment horizontal="center" vertical="center"/>
    </xf>
    <xf numFmtId="4" fontId="45" fillId="3" borderId="4" xfId="2" applyNumberFormat="1" applyFont="1" applyFill="1" applyBorder="1" applyAlignment="1">
      <alignment horizontal="left" vertical="center"/>
    </xf>
    <xf numFmtId="4" fontId="45" fillId="3" borderId="2" xfId="0" applyNumberFormat="1" applyFont="1" applyFill="1" applyBorder="1" applyAlignment="1">
      <alignment horizontal="left" vertical="center"/>
    </xf>
    <xf numFmtId="4" fontId="133" fillId="44" borderId="13" xfId="0" applyNumberFormat="1" applyFont="1" applyFill="1" applyBorder="1" applyAlignment="1">
      <alignment horizontal="left" vertical="center"/>
    </xf>
    <xf numFmtId="0" fontId="185" fillId="3" borderId="0" xfId="0" applyFont="1" applyFill="1" applyBorder="1"/>
    <xf numFmtId="0" fontId="212" fillId="3" borderId="0" xfId="0" applyFont="1" applyFill="1" applyBorder="1"/>
    <xf numFmtId="0" fontId="231" fillId="3" borderId="0" xfId="0" applyFont="1" applyFill="1" applyBorder="1" applyAlignment="1">
      <alignment horizontal="left" indent="1"/>
    </xf>
    <xf numFmtId="0" fontId="143" fillId="3" borderId="98" xfId="0" applyFont="1" applyFill="1" applyBorder="1"/>
    <xf numFmtId="0" fontId="210" fillId="41" borderId="0" xfId="0" applyFont="1" applyFill="1" applyBorder="1" applyAlignment="1">
      <alignment horizontal="left" vertical="center" indent="1"/>
    </xf>
    <xf numFmtId="0" fontId="178" fillId="41" borderId="0" xfId="0" applyFont="1" applyFill="1" applyBorder="1" applyAlignment="1">
      <alignment horizontal="left" vertical="center" indent="1"/>
    </xf>
    <xf numFmtId="0" fontId="143" fillId="3" borderId="13" xfId="0" applyFont="1" applyFill="1" applyBorder="1" applyAlignment="1">
      <alignment horizontal="left" vertical="center" indent="1"/>
    </xf>
    <xf numFmtId="0" fontId="143" fillId="3" borderId="14" xfId="0" applyFont="1" applyFill="1" applyBorder="1" applyAlignment="1">
      <alignment horizontal="left" vertical="center" indent="1"/>
    </xf>
    <xf numFmtId="0" fontId="185" fillId="3" borderId="0" xfId="0" applyFont="1" applyFill="1" applyBorder="1" applyAlignment="1">
      <alignment horizontal="left" indent="1"/>
    </xf>
    <xf numFmtId="0" fontId="210" fillId="41" borderId="0" xfId="3199" applyFont="1" applyFill="1" applyBorder="1" applyAlignment="1">
      <alignment horizontal="left" vertical="center" indent="1"/>
    </xf>
    <xf numFmtId="0" fontId="232" fillId="41" borderId="0" xfId="3199" applyFont="1" applyFill="1" applyBorder="1">
      <alignment horizontal="left" vertical="center" indent="1"/>
    </xf>
    <xf numFmtId="0" fontId="232" fillId="3" borderId="0" xfId="3199" applyFont="1" applyFill="1" applyBorder="1">
      <alignment horizontal="left" vertical="center" indent="1"/>
    </xf>
    <xf numFmtId="0" fontId="164" fillId="2" borderId="66" xfId="0" applyFont="1" applyFill="1" applyBorder="1" applyAlignment="1">
      <alignment horizontal="left" vertical="center" indent="1"/>
    </xf>
    <xf numFmtId="0" fontId="233" fillId="2" borderId="66" xfId="0" applyFont="1" applyFill="1" applyBorder="1" applyAlignment="1">
      <alignment vertical="center"/>
    </xf>
    <xf numFmtId="0" fontId="228" fillId="2" borderId="66" xfId="0" applyFont="1" applyFill="1" applyBorder="1" applyAlignment="1">
      <alignment vertical="center"/>
    </xf>
    <xf numFmtId="0" fontId="143" fillId="3" borderId="13" xfId="0" applyFont="1" applyFill="1" applyBorder="1" applyAlignment="1">
      <alignment vertical="center"/>
    </xf>
    <xf numFmtId="0" fontId="234" fillId="3" borderId="68" xfId="0" applyFont="1" applyFill="1" applyBorder="1" applyAlignment="1">
      <alignment horizontal="left" vertical="center"/>
    </xf>
    <xf numFmtId="0" fontId="234" fillId="3" borderId="63" xfId="0" applyFont="1" applyFill="1" applyBorder="1" applyAlignment="1">
      <alignment vertical="center"/>
    </xf>
    <xf numFmtId="0" fontId="233" fillId="3" borderId="63" xfId="0" applyFont="1" applyFill="1" applyBorder="1" applyAlignment="1">
      <alignment vertical="center"/>
    </xf>
    <xf numFmtId="0" fontId="228" fillId="3" borderId="63" xfId="0" applyFont="1" applyFill="1" applyBorder="1" applyAlignment="1">
      <alignment vertical="center"/>
    </xf>
    <xf numFmtId="0" fontId="228" fillId="3" borderId="52" xfId="0" applyFont="1" applyFill="1" applyBorder="1" applyAlignment="1">
      <alignment vertical="center"/>
    </xf>
    <xf numFmtId="0" fontId="143" fillId="3" borderId="14" xfId="0" applyFont="1" applyFill="1" applyBorder="1" applyAlignment="1">
      <alignment vertical="center"/>
    </xf>
    <xf numFmtId="0" fontId="162" fillId="3" borderId="65" xfId="0" applyFont="1" applyFill="1" applyBorder="1" applyAlignment="1">
      <alignment horizontal="right" vertical="top" indent="1"/>
    </xf>
    <xf numFmtId="0" fontId="212" fillId="3" borderId="0" xfId="0" applyFont="1" applyFill="1" applyBorder="1" applyAlignment="1">
      <alignment vertical="center"/>
    </xf>
    <xf numFmtId="0" fontId="184" fillId="3" borderId="0" xfId="0" applyFont="1" applyFill="1" applyBorder="1" applyAlignment="1">
      <alignment horizontal="left" vertical="center"/>
    </xf>
    <xf numFmtId="0" fontId="184" fillId="3" borderId="64" xfId="0" applyFont="1" applyFill="1" applyBorder="1" applyAlignment="1">
      <alignment horizontal="left" vertical="center"/>
    </xf>
    <xf numFmtId="0" fontId="212" fillId="3" borderId="0" xfId="0" applyFont="1" applyFill="1" applyBorder="1" applyAlignment="1">
      <alignment horizontal="left" vertical="center"/>
    </xf>
    <xf numFmtId="0" fontId="185" fillId="3" borderId="0" xfId="0" applyFont="1" applyFill="1" applyBorder="1" applyAlignment="1">
      <alignment horizontal="left" vertical="center" indent="1"/>
    </xf>
    <xf numFmtId="0" fontId="162" fillId="3" borderId="65" xfId="0" applyFont="1" applyFill="1" applyBorder="1" applyAlignment="1">
      <alignment horizontal="left" indent="1"/>
    </xf>
    <xf numFmtId="0" fontId="235" fillId="3" borderId="0" xfId="0" applyFont="1" applyFill="1" applyBorder="1" applyAlignment="1">
      <alignment horizontal="left" vertical="center" indent="2"/>
    </xf>
    <xf numFmtId="0" fontId="143" fillId="3" borderId="13" xfId="0" applyFont="1" applyFill="1" applyBorder="1" applyAlignment="1">
      <alignment horizontal="left" indent="1"/>
    </xf>
    <xf numFmtId="0" fontId="143" fillId="3" borderId="14" xfId="0" applyFont="1" applyFill="1" applyBorder="1" applyAlignment="1">
      <alignment horizontal="left" indent="1"/>
    </xf>
    <xf numFmtId="0" fontId="162" fillId="3" borderId="65" xfId="0" applyFont="1" applyFill="1" applyBorder="1" applyAlignment="1">
      <alignment horizontal="right" indent="3"/>
    </xf>
    <xf numFmtId="0" fontId="184" fillId="3" borderId="65" xfId="0" applyFont="1" applyFill="1" applyBorder="1" applyAlignment="1">
      <alignment horizontal="right" vertical="top" indent="1"/>
    </xf>
    <xf numFmtId="0" fontId="212" fillId="3" borderId="0" xfId="0" applyFont="1" applyFill="1" applyBorder="1" applyAlignment="1">
      <alignment horizontal="left"/>
    </xf>
    <xf numFmtId="0" fontId="184" fillId="3" borderId="53" xfId="0" applyFont="1" applyFill="1" applyBorder="1" applyAlignment="1">
      <alignment horizontal="right" vertical="top" indent="1"/>
    </xf>
    <xf numFmtId="0" fontId="162" fillId="3" borderId="66" xfId="0" applyFont="1" applyFill="1" applyBorder="1" applyAlignment="1">
      <alignment horizontal="left" vertical="top"/>
    </xf>
    <xf numFmtId="0" fontId="184" fillId="3" borderId="66" xfId="0" applyFont="1" applyFill="1" applyBorder="1" applyAlignment="1">
      <alignment horizontal="left" vertical="center"/>
    </xf>
    <xf numFmtId="0" fontId="184" fillId="3" borderId="54" xfId="0" applyFont="1" applyFill="1" applyBorder="1" applyAlignment="1">
      <alignment horizontal="left" vertical="center"/>
    </xf>
    <xf numFmtId="0" fontId="184" fillId="3" borderId="0" xfId="0" applyFont="1" applyFill="1" applyBorder="1" applyAlignment="1">
      <alignment horizontal="left" vertical="center" indent="1"/>
    </xf>
    <xf numFmtId="0" fontId="184" fillId="46" borderId="0" xfId="0" applyFont="1" applyFill="1" applyBorder="1" applyAlignment="1">
      <alignment horizontal="left" vertical="center"/>
    </xf>
    <xf numFmtId="0" fontId="162" fillId="3" borderId="69" xfId="0" applyFont="1" applyFill="1" applyBorder="1" applyAlignment="1">
      <alignment horizontal="right" vertical="top" indent="1"/>
    </xf>
    <xf numFmtId="0" fontId="184" fillId="3" borderId="70" xfId="0" applyFont="1" applyFill="1" applyBorder="1" applyAlignment="1">
      <alignment horizontal="left" vertical="center"/>
    </xf>
    <xf numFmtId="0" fontId="184" fillId="3" borderId="71" xfId="0" applyFont="1" applyFill="1" applyBorder="1" applyAlignment="1">
      <alignment horizontal="left" vertical="center"/>
    </xf>
    <xf numFmtId="0" fontId="162" fillId="3" borderId="72" xfId="0" applyFont="1" applyFill="1" applyBorder="1" applyAlignment="1">
      <alignment horizontal="right" vertical="top" indent="1"/>
    </xf>
    <xf numFmtId="0" fontId="184" fillId="3" borderId="73" xfId="0" applyFont="1" applyFill="1" applyBorder="1" applyAlignment="1">
      <alignment horizontal="left" vertical="center"/>
    </xf>
    <xf numFmtId="0" fontId="162" fillId="3" borderId="72" xfId="0" applyFont="1" applyFill="1" applyBorder="1" applyAlignment="1">
      <alignment horizontal="right" vertical="center" indent="1"/>
    </xf>
    <xf numFmtId="0" fontId="162" fillId="3" borderId="74" xfId="0" applyFont="1" applyFill="1" applyBorder="1" applyAlignment="1">
      <alignment horizontal="right" vertical="center" indent="1"/>
    </xf>
    <xf numFmtId="0" fontId="162" fillId="3" borderId="0" xfId="0" applyFont="1" applyFill="1" applyBorder="1" applyAlignment="1">
      <alignment horizontal="right" vertical="center" indent="1"/>
    </xf>
    <xf numFmtId="0" fontId="164" fillId="63" borderId="0" xfId="0" applyFont="1" applyFill="1" applyBorder="1" applyAlignment="1">
      <alignment horizontal="left" vertical="center" indent="1"/>
    </xf>
    <xf numFmtId="0" fontId="164" fillId="63" borderId="0" xfId="0" applyFont="1" applyFill="1" applyBorder="1" applyAlignment="1">
      <alignment horizontal="left" vertical="center" wrapText="1" indent="1"/>
    </xf>
    <xf numFmtId="0" fontId="184" fillId="63" borderId="0" xfId="0" applyFont="1" applyFill="1" applyBorder="1" applyAlignment="1">
      <alignment horizontal="left" vertical="center"/>
    </xf>
    <xf numFmtId="0" fontId="162" fillId="3" borderId="85" xfId="0" applyFont="1" applyFill="1" applyBorder="1" applyAlignment="1">
      <alignment horizontal="right" vertical="center" indent="1"/>
    </xf>
    <xf numFmtId="0" fontId="184" fillId="3" borderId="86" xfId="0" applyFont="1" applyFill="1" applyBorder="1" applyAlignment="1">
      <alignment horizontal="left" vertical="center"/>
    </xf>
    <xf numFmtId="0" fontId="184" fillId="3" borderId="87" xfId="0" applyFont="1" applyFill="1" applyBorder="1" applyAlignment="1">
      <alignment horizontal="left" vertical="center"/>
    </xf>
    <xf numFmtId="0" fontId="162" fillId="3" borderId="88" xfId="0" applyFont="1" applyFill="1" applyBorder="1" applyAlignment="1">
      <alignment horizontal="right" vertical="center" indent="1"/>
    </xf>
    <xf numFmtId="0" fontId="184" fillId="3" borderId="89" xfId="0" applyFont="1" applyFill="1" applyBorder="1" applyAlignment="1">
      <alignment horizontal="left" vertical="center"/>
    </xf>
    <xf numFmtId="0" fontId="185" fillId="3" borderId="0" xfId="0" applyFont="1" applyFill="1" applyBorder="1" applyAlignment="1">
      <alignment horizontal="left" vertical="center"/>
    </xf>
    <xf numFmtId="0" fontId="185" fillId="3" borderId="0" xfId="0" applyFont="1" applyFill="1" applyBorder="1" applyAlignment="1">
      <alignment vertical="center"/>
    </xf>
    <xf numFmtId="0" fontId="162" fillId="3" borderId="90" xfId="0" applyFont="1" applyFill="1" applyBorder="1" applyAlignment="1">
      <alignment horizontal="right" vertical="center" indent="1"/>
    </xf>
    <xf numFmtId="0" fontId="184" fillId="3" borderId="91" xfId="0" applyFont="1" applyFill="1" applyBorder="1" applyAlignment="1">
      <alignment horizontal="left" vertical="center"/>
    </xf>
    <xf numFmtId="0" fontId="184" fillId="3" borderId="92" xfId="0" applyFont="1" applyFill="1" applyBorder="1" applyAlignment="1">
      <alignment horizontal="left" vertical="center"/>
    </xf>
    <xf numFmtId="0" fontId="229" fillId="43" borderId="29" xfId="1964" applyFont="1" applyFill="1" applyBorder="1" applyAlignment="1">
      <alignment horizontal="left" vertical="center" indent="2"/>
    </xf>
    <xf numFmtId="0" fontId="236" fillId="3" borderId="0" xfId="0" applyFont="1" applyFill="1" applyBorder="1" applyAlignment="1">
      <alignment horizontal="left" vertical="center" indent="1"/>
    </xf>
    <xf numFmtId="0" fontId="184" fillId="3" borderId="0" xfId="0" applyFont="1" applyFill="1" applyAlignment="1">
      <alignment vertical="center"/>
    </xf>
    <xf numFmtId="0" fontId="143" fillId="3" borderId="14" xfId="0" applyFont="1" applyFill="1" applyBorder="1" applyAlignment="1">
      <alignment horizontal="left"/>
    </xf>
    <xf numFmtId="0" fontId="0" fillId="0" borderId="0" xfId="0" applyFont="1" applyAlignment="1">
      <alignment horizontal="left"/>
    </xf>
    <xf numFmtId="0" fontId="0" fillId="3" borderId="0" xfId="0" applyFont="1" applyFill="1" applyAlignment="1">
      <alignment horizontal="left"/>
    </xf>
    <xf numFmtId="0" fontId="184" fillId="3" borderId="0" xfId="0" applyFont="1" applyFill="1" applyBorder="1" applyAlignment="1">
      <alignment horizontal="left" vertical="center" indent="3"/>
    </xf>
    <xf numFmtId="0" fontId="237" fillId="4" borderId="15" xfId="2015" applyFont="1" applyFill="1" applyBorder="1" applyAlignment="1">
      <alignment wrapText="1"/>
    </xf>
    <xf numFmtId="4" fontId="73" fillId="3" borderId="0" xfId="0" applyNumberFormat="1" applyFont="1" applyFill="1" applyBorder="1" applyAlignment="1">
      <alignment horizontal="center" vertical="center"/>
    </xf>
    <xf numFmtId="4" fontId="86" fillId="3" borderId="2" xfId="0" applyNumberFormat="1" applyFont="1" applyFill="1" applyBorder="1" applyAlignment="1">
      <alignment horizontal="left" vertical="center"/>
    </xf>
    <xf numFmtId="4" fontId="86" fillId="3" borderId="1" xfId="0" applyNumberFormat="1" applyFont="1" applyFill="1" applyBorder="1" applyAlignment="1">
      <alignment horizontal="center" vertical="center" wrapText="1"/>
    </xf>
    <xf numFmtId="4" fontId="86" fillId="3" borderId="4" xfId="0" applyNumberFormat="1" applyFont="1" applyFill="1" applyBorder="1" applyAlignment="1">
      <alignment horizontal="left" vertical="center" wrapText="1"/>
    </xf>
    <xf numFmtId="4" fontId="86" fillId="3" borderId="4" xfId="0" applyNumberFormat="1" applyFont="1" applyFill="1" applyBorder="1" applyAlignment="1">
      <alignment horizontal="left" vertical="center"/>
    </xf>
    <xf numFmtId="4" fontId="86" fillId="9" borderId="6" xfId="0" applyNumberFormat="1" applyFont="1" applyFill="1" applyBorder="1" applyAlignment="1">
      <alignment horizontal="left" vertical="center"/>
    </xf>
    <xf numFmtId="4" fontId="86" fillId="9" borderId="7" xfId="0" applyNumberFormat="1" applyFont="1" applyFill="1" applyBorder="1" applyAlignment="1">
      <alignment horizontal="center" vertical="center"/>
    </xf>
    <xf numFmtId="4" fontId="86" fillId="9" borderId="8" xfId="0" applyNumberFormat="1" applyFont="1" applyFill="1" applyBorder="1" applyAlignment="1">
      <alignment horizontal="center" vertical="center"/>
    </xf>
    <xf numFmtId="0" fontId="170" fillId="3" borderId="0" xfId="844" applyFont="1" applyFill="1"/>
    <xf numFmtId="0" fontId="143" fillId="3" borderId="0" xfId="844" applyFont="1" applyFill="1"/>
    <xf numFmtId="1" fontId="143" fillId="3" borderId="0" xfId="844" applyNumberFormat="1" applyFont="1" applyFill="1"/>
    <xf numFmtId="2" fontId="143" fillId="3" borderId="0" xfId="844" applyNumberFormat="1" applyFont="1" applyFill="1"/>
    <xf numFmtId="0" fontId="171" fillId="3" borderId="0" xfId="844" applyFont="1" applyFill="1"/>
    <xf numFmtId="49" fontId="32" fillId="61" borderId="67" xfId="0" applyNumberFormat="1" applyFont="1" applyFill="1" applyBorder="1" applyAlignment="1">
      <alignment horizontal="left" vertical="center" wrapText="1" indent="1"/>
    </xf>
    <xf numFmtId="49" fontId="32" fillId="42" borderId="67" xfId="0" applyNumberFormat="1" applyFont="1" applyFill="1" applyBorder="1" applyAlignment="1">
      <alignment horizontal="left" vertical="center" wrapText="1" indent="1"/>
    </xf>
    <xf numFmtId="4" fontId="96" fillId="3" borderId="0" xfId="0" applyNumberFormat="1" applyFont="1" applyFill="1" applyBorder="1" applyAlignment="1">
      <alignment horizontal="center" vertical="center"/>
    </xf>
    <xf numFmtId="4" fontId="86" fillId="3" borderId="0" xfId="0" applyNumberFormat="1" applyFont="1" applyFill="1" applyBorder="1" applyAlignment="1">
      <alignment horizontal="center" vertical="center"/>
    </xf>
    <xf numFmtId="4" fontId="86" fillId="3" borderId="81" xfId="0" applyNumberFormat="1" applyFont="1" applyFill="1" applyBorder="1" applyAlignment="1">
      <alignment horizontal="center" vertical="center"/>
    </xf>
    <xf numFmtId="4" fontId="73" fillId="3" borderId="113" xfId="0" applyNumberFormat="1" applyFont="1" applyFill="1" applyBorder="1" applyAlignment="1">
      <alignment horizontal="center" vertical="center"/>
    </xf>
    <xf numFmtId="4" fontId="73" fillId="3" borderId="118" xfId="0" applyNumberFormat="1" applyFont="1" applyFill="1" applyBorder="1" applyAlignment="1">
      <alignment horizontal="center" vertical="center"/>
    </xf>
    <xf numFmtId="4" fontId="73" fillId="3" borderId="114" xfId="0" applyNumberFormat="1" applyFont="1" applyFill="1" applyBorder="1" applyAlignment="1">
      <alignment horizontal="center" vertical="center"/>
    </xf>
    <xf numFmtId="4" fontId="73" fillId="3" borderId="119" xfId="0" applyNumberFormat="1" applyFont="1" applyFill="1" applyBorder="1" applyAlignment="1">
      <alignment horizontal="center" vertical="center"/>
    </xf>
    <xf numFmtId="4" fontId="73" fillId="3" borderId="0" xfId="0" applyNumberFormat="1" applyFont="1" applyFill="1" applyBorder="1" applyAlignment="1">
      <alignment horizontal="center" vertical="center"/>
    </xf>
    <xf numFmtId="4" fontId="86" fillId="3" borderId="79" xfId="0" applyNumberFormat="1" applyFont="1" applyFill="1" applyBorder="1" applyAlignment="1">
      <alignment horizontal="center" vertical="center"/>
    </xf>
    <xf numFmtId="4" fontId="86" fillId="3" borderId="78" xfId="0" applyNumberFormat="1" applyFont="1" applyFill="1" applyBorder="1" applyAlignment="1">
      <alignment horizontal="center" vertical="center"/>
    </xf>
    <xf numFmtId="4" fontId="75" fillId="43" borderId="12" xfId="0" applyNumberFormat="1" applyFont="1" applyFill="1" applyBorder="1" applyAlignment="1">
      <alignment horizontal="center" vertical="center"/>
    </xf>
    <xf numFmtId="4" fontId="75" fillId="43" borderId="14" xfId="0" applyNumberFormat="1" applyFont="1" applyFill="1" applyBorder="1" applyAlignment="1">
      <alignment horizontal="center" vertical="center"/>
    </xf>
    <xf numFmtId="165" fontId="0" fillId="3" borderId="0" xfId="0" applyNumberFormat="1" applyFill="1" applyBorder="1" applyAlignment="1">
      <alignment vertical="top"/>
    </xf>
    <xf numFmtId="4" fontId="98" fillId="3" borderId="14" xfId="0" applyNumberFormat="1" applyFont="1" applyFill="1" applyBorder="1" applyAlignment="1">
      <alignment horizontal="center" vertical="center"/>
    </xf>
    <xf numFmtId="0" fontId="21" fillId="3" borderId="0" xfId="0" applyFont="1" applyFill="1" applyBorder="1" applyAlignment="1">
      <alignment vertical="top"/>
    </xf>
    <xf numFmtId="0" fontId="0" fillId="3" borderId="0" xfId="0" applyNumberFormat="1" applyFill="1" applyBorder="1" applyAlignment="1">
      <alignment vertical="top"/>
    </xf>
    <xf numFmtId="4" fontId="0" fillId="3" borderId="0" xfId="0" applyNumberFormat="1" applyFill="1" applyBorder="1" applyAlignment="1">
      <alignment horizontal="center" vertical="center"/>
    </xf>
    <xf numFmtId="4" fontId="86" fillId="3" borderId="14" xfId="0" applyNumberFormat="1" applyFont="1" applyFill="1" applyBorder="1" applyAlignment="1">
      <alignment horizontal="center" vertical="center"/>
    </xf>
    <xf numFmtId="4" fontId="97" fillId="3" borderId="14" xfId="0" applyNumberFormat="1" applyFont="1" applyFill="1" applyBorder="1" applyAlignment="1">
      <alignment horizontal="center" vertical="center"/>
    </xf>
    <xf numFmtId="4" fontId="87" fillId="3" borderId="14" xfId="0" applyNumberFormat="1" applyFont="1" applyFill="1" applyBorder="1" applyAlignment="1">
      <alignment horizontal="center" vertical="center"/>
    </xf>
    <xf numFmtId="2" fontId="0" fillId="3" borderId="0" xfId="0" applyNumberFormat="1" applyFill="1" applyBorder="1" applyAlignment="1">
      <alignment vertical="top"/>
    </xf>
    <xf numFmtId="4" fontId="73" fillId="6" borderId="14" xfId="0" applyNumberFormat="1" applyFont="1" applyFill="1" applyBorder="1" applyAlignment="1">
      <alignment horizontal="center" vertical="center"/>
    </xf>
    <xf numFmtId="4" fontId="106" fillId="3" borderId="14" xfId="0" applyNumberFormat="1" applyFont="1" applyFill="1" applyBorder="1" applyAlignment="1">
      <alignment horizontal="center" vertical="center" wrapText="1"/>
    </xf>
    <xf numFmtId="4" fontId="106" fillId="3" borderId="14" xfId="0" applyNumberFormat="1" applyFont="1" applyFill="1" applyBorder="1" applyAlignment="1">
      <alignment horizontal="center" vertical="center"/>
    </xf>
    <xf numFmtId="4" fontId="118" fillId="40" borderId="14" xfId="0" applyNumberFormat="1" applyFont="1" applyFill="1" applyBorder="1" applyAlignment="1">
      <alignment horizontal="center" vertical="center"/>
    </xf>
    <xf numFmtId="4" fontId="73" fillId="3" borderId="145" xfId="0" applyNumberFormat="1" applyFont="1" applyFill="1" applyBorder="1" applyAlignment="1">
      <alignment horizontal="center" vertical="center"/>
    </xf>
    <xf numFmtId="4" fontId="73" fillId="3" borderId="146" xfId="0" applyNumberFormat="1" applyFont="1" applyFill="1" applyBorder="1" applyAlignment="1">
      <alignment horizontal="left" vertical="center"/>
    </xf>
    <xf numFmtId="4" fontId="73" fillId="3" borderId="146" xfId="0" applyNumberFormat="1" applyFont="1" applyFill="1" applyBorder="1" applyAlignment="1">
      <alignment horizontal="center" vertical="center"/>
    </xf>
    <xf numFmtId="4" fontId="73" fillId="3" borderId="147" xfId="0" applyNumberFormat="1" applyFont="1" applyFill="1" applyBorder="1" applyAlignment="1">
      <alignment horizontal="center" vertical="center"/>
    </xf>
    <xf numFmtId="0" fontId="143" fillId="3" borderId="145" xfId="0" applyFont="1" applyFill="1" applyBorder="1"/>
    <xf numFmtId="0" fontId="143" fillId="3" borderId="146" xfId="0" applyFont="1" applyFill="1" applyBorder="1" applyAlignment="1">
      <alignment horizontal="left"/>
    </xf>
    <xf numFmtId="0" fontId="143" fillId="3" borderId="147" xfId="0" applyFont="1" applyFill="1" applyBorder="1" applyAlignment="1">
      <alignment horizontal="left"/>
    </xf>
    <xf numFmtId="4" fontId="73" fillId="3" borderId="0" xfId="0" applyNumberFormat="1" applyFont="1" applyFill="1" applyBorder="1" applyAlignment="1">
      <alignment horizontal="center" vertical="center"/>
    </xf>
    <xf numFmtId="0" fontId="6" fillId="0" borderId="0" xfId="3549"/>
    <xf numFmtId="169" fontId="6" fillId="0" borderId="0" xfId="3549" applyNumberFormat="1"/>
    <xf numFmtId="169" fontId="0" fillId="0" borderId="0" xfId="0" applyNumberFormat="1"/>
    <xf numFmtId="0" fontId="5" fillId="0" borderId="0" xfId="3549" applyFont="1"/>
    <xf numFmtId="169" fontId="5" fillId="0" borderId="0" xfId="3549" applyNumberFormat="1" applyFont="1"/>
    <xf numFmtId="4" fontId="73" fillId="3" borderId="0" xfId="0" applyNumberFormat="1" applyFont="1" applyFill="1" applyBorder="1" applyAlignment="1">
      <alignment horizontal="center" vertical="center"/>
    </xf>
    <xf numFmtId="0" fontId="21" fillId="0" borderId="0" xfId="0" applyFont="1"/>
    <xf numFmtId="0" fontId="6" fillId="0" borderId="0" xfId="3549" applyFill="1"/>
    <xf numFmtId="0" fontId="238" fillId="0" borderId="0" xfId="0" applyFont="1"/>
    <xf numFmtId="4" fontId="73" fillId="3" borderId="0" xfId="0" applyNumberFormat="1" applyFont="1" applyFill="1" applyBorder="1" applyAlignment="1">
      <alignment horizontal="center" vertical="center"/>
    </xf>
    <xf numFmtId="4" fontId="73" fillId="3" borderId="0" xfId="0" applyNumberFormat="1" applyFont="1" applyFill="1" applyBorder="1" applyAlignment="1">
      <alignment horizontal="center" vertical="center"/>
    </xf>
    <xf numFmtId="4" fontId="73" fillId="3" borderId="0" xfId="0" applyNumberFormat="1" applyFont="1" applyFill="1" applyBorder="1" applyAlignment="1">
      <alignment horizontal="center" vertical="center"/>
    </xf>
    <xf numFmtId="0" fontId="239" fillId="3" borderId="0" xfId="3199" applyFont="1" applyFill="1" applyBorder="1" applyAlignment="1">
      <alignment vertical="center"/>
    </xf>
    <xf numFmtId="10" fontId="143" fillId="3" borderId="0" xfId="1964" applyNumberFormat="1" applyFont="1" applyFill="1" applyBorder="1"/>
    <xf numFmtId="216" fontId="143" fillId="3" borderId="0" xfId="1964" applyNumberFormat="1" applyFont="1" applyFill="1" applyBorder="1"/>
    <xf numFmtId="0" fontId="73" fillId="3" borderId="0" xfId="0" applyFont="1" applyFill="1" applyBorder="1" applyAlignment="1">
      <alignment horizontal="right" vertical="center"/>
    </xf>
    <xf numFmtId="0" fontId="73" fillId="3" borderId="0" xfId="0" applyFont="1" applyFill="1" applyBorder="1" applyAlignment="1">
      <alignment horizontal="right"/>
    </xf>
    <xf numFmtId="0" fontId="86" fillId="3" borderId="51" xfId="0" applyFont="1" applyFill="1" applyBorder="1" applyAlignment="1">
      <alignment vertical="center"/>
    </xf>
    <xf numFmtId="4" fontId="73" fillId="3" borderId="0" xfId="0" applyNumberFormat="1" applyFont="1" applyFill="1" applyBorder="1" applyAlignment="1">
      <alignment horizontal="center" vertical="center"/>
    </xf>
    <xf numFmtId="0" fontId="4" fillId="0" borderId="0" xfId="3549" applyFont="1"/>
    <xf numFmtId="0" fontId="3" fillId="0" borderId="0" xfId="3549" applyFont="1"/>
    <xf numFmtId="4" fontId="73" fillId="3" borderId="0" xfId="0" applyNumberFormat="1" applyFont="1" applyFill="1" applyBorder="1" applyAlignment="1">
      <alignment horizontal="center" vertical="center"/>
    </xf>
    <xf numFmtId="0" fontId="241" fillId="0" borderId="0" xfId="0" applyFont="1" applyAlignment="1">
      <alignment horizontal="left" readingOrder="1"/>
    </xf>
    <xf numFmtId="0" fontId="240" fillId="0" borderId="0" xfId="0" applyFont="1" applyAlignment="1">
      <alignment horizontal="left" readingOrder="1"/>
    </xf>
    <xf numFmtId="4" fontId="32" fillId="61" borderId="0" xfId="0" applyNumberFormat="1" applyFont="1" applyFill="1" applyBorder="1" applyAlignment="1">
      <alignment horizontal="center" vertical="center" wrapText="1"/>
    </xf>
    <xf numFmtId="4" fontId="86" fillId="3" borderId="0" xfId="0" applyNumberFormat="1" applyFont="1" applyFill="1" applyBorder="1" applyAlignment="1">
      <alignment horizontal="center" vertical="center"/>
    </xf>
    <xf numFmtId="4" fontId="73" fillId="3" borderId="0" xfId="0" applyNumberFormat="1" applyFont="1" applyFill="1" applyBorder="1" applyAlignment="1">
      <alignment horizontal="center" vertical="center"/>
    </xf>
    <xf numFmtId="0" fontId="21" fillId="0" borderId="0" xfId="0" applyFont="1" applyAlignment="1">
      <alignment wrapText="1"/>
    </xf>
    <xf numFmtId="0" fontId="0" fillId="0" borderId="0" xfId="0" applyAlignment="1">
      <alignment wrapText="1"/>
    </xf>
    <xf numFmtId="165" fontId="0" fillId="0" borderId="0" xfId="0" applyNumberFormat="1"/>
    <xf numFmtId="0" fontId="21" fillId="3" borderId="0" xfId="0" applyFont="1" applyFill="1" applyBorder="1"/>
    <xf numFmtId="4" fontId="86" fillId="3" borderId="0" xfId="0" applyNumberFormat="1" applyFont="1" applyFill="1" applyBorder="1" applyAlignment="1">
      <alignment horizontal="center" vertical="center"/>
    </xf>
    <xf numFmtId="43" fontId="143" fillId="3" borderId="0" xfId="0" applyNumberFormat="1" applyFont="1" applyFill="1"/>
    <xf numFmtId="0" fontId="0" fillId="3" borderId="146" xfId="0" applyFill="1" applyBorder="1"/>
    <xf numFmtId="0" fontId="189" fillId="3" borderId="0" xfId="0" applyFont="1" applyFill="1"/>
    <xf numFmtId="178" fontId="242" fillId="3" borderId="0" xfId="0" applyNumberFormat="1" applyFont="1" applyFill="1"/>
    <xf numFmtId="0" fontId="242" fillId="3" borderId="0" xfId="0" applyFont="1" applyFill="1"/>
    <xf numFmtId="0" fontId="243" fillId="3" borderId="0" xfId="0" applyFont="1" applyFill="1"/>
    <xf numFmtId="219" fontId="143" fillId="3" borderId="0" xfId="0" applyNumberFormat="1" applyFont="1" applyFill="1"/>
    <xf numFmtId="220" fontId="143" fillId="3" borderId="0" xfId="0" applyNumberFormat="1" applyFont="1" applyFill="1"/>
    <xf numFmtId="170" fontId="143" fillId="3" borderId="0" xfId="0" applyNumberFormat="1" applyFont="1" applyFill="1"/>
    <xf numFmtId="0" fontId="21" fillId="3" borderId="4" xfId="0" applyFont="1" applyFill="1" applyBorder="1" applyAlignment="1">
      <alignment horizontal="center"/>
    </xf>
    <xf numFmtId="4" fontId="145" fillId="43" borderId="44" xfId="0" applyNumberFormat="1" applyFont="1" applyFill="1" applyBorder="1" applyAlignment="1">
      <alignment horizontal="left" vertical="center"/>
    </xf>
    <xf numFmtId="0" fontId="21" fillId="3" borderId="0" xfId="0" applyFont="1" applyFill="1" applyBorder="1" applyAlignment="1">
      <alignment horizontal="center"/>
    </xf>
    <xf numFmtId="4" fontId="73" fillId="3" borderId="0" xfId="0" applyNumberFormat="1" applyFont="1" applyFill="1" applyBorder="1" applyAlignment="1">
      <alignment horizontal="center" vertical="center"/>
    </xf>
    <xf numFmtId="4" fontId="0" fillId="3" borderId="0" xfId="0" applyNumberFormat="1" applyFill="1" applyBorder="1"/>
    <xf numFmtId="2" fontId="0" fillId="3" borderId="0" xfId="0" applyNumberFormat="1" applyFill="1" applyBorder="1"/>
    <xf numFmtId="4" fontId="78" fillId="3" borderId="2" xfId="0" applyNumberFormat="1" applyFont="1" applyFill="1" applyBorder="1" applyAlignment="1">
      <alignment horizontal="left" vertical="center"/>
    </xf>
    <xf numFmtId="0" fontId="21" fillId="3" borderId="4" xfId="0" applyFont="1" applyFill="1" applyBorder="1"/>
    <xf numFmtId="0" fontId="0" fillId="3" borderId="4" xfId="0" applyFill="1" applyBorder="1" applyAlignment="1">
      <alignment wrapText="1"/>
    </xf>
    <xf numFmtId="0" fontId="21" fillId="3" borderId="6" xfId="0" applyFont="1" applyFill="1" applyBorder="1"/>
    <xf numFmtId="0" fontId="244" fillId="3" borderId="1" xfId="0" applyFont="1" applyFill="1" applyBorder="1" applyAlignment="1">
      <alignment horizontal="center"/>
    </xf>
    <xf numFmtId="0" fontId="244" fillId="3" borderId="3" xfId="0" applyFont="1" applyFill="1" applyBorder="1" applyAlignment="1">
      <alignment horizontal="center"/>
    </xf>
    <xf numFmtId="0" fontId="0" fillId="3" borderId="4" xfId="0" applyFill="1" applyBorder="1" applyAlignment="1">
      <alignment horizontal="center"/>
    </xf>
    <xf numFmtId="4" fontId="0" fillId="3" borderId="0" xfId="0" applyNumberFormat="1" applyFill="1" applyBorder="1" applyAlignment="1">
      <alignment horizontal="center"/>
    </xf>
    <xf numFmtId="217" fontId="0" fillId="3" borderId="0" xfId="0" applyNumberFormat="1" applyFill="1" applyBorder="1" applyAlignment="1">
      <alignment horizontal="center"/>
    </xf>
    <xf numFmtId="217" fontId="0" fillId="3" borderId="5" xfId="0" applyNumberFormat="1" applyFill="1" applyBorder="1" applyAlignment="1">
      <alignment horizontal="center"/>
    </xf>
    <xf numFmtId="4" fontId="0" fillId="3" borderId="5" xfId="0" applyNumberFormat="1" applyFill="1" applyBorder="1" applyAlignment="1">
      <alignment horizontal="center"/>
    </xf>
    <xf numFmtId="0" fontId="0" fillId="3" borderId="4" xfId="0" applyFill="1" applyBorder="1" applyAlignment="1">
      <alignment horizontal="center" wrapText="1"/>
    </xf>
    <xf numFmtId="0" fontId="0" fillId="3" borderId="5" xfId="0" applyFill="1" applyBorder="1" applyAlignment="1">
      <alignment horizontal="center"/>
    </xf>
    <xf numFmtId="2" fontId="0" fillId="3" borderId="0" xfId="0" applyNumberFormat="1" applyFill="1" applyBorder="1" applyAlignment="1">
      <alignment horizontal="center"/>
    </xf>
    <xf numFmtId="2" fontId="0" fillId="3" borderId="5" xfId="0" applyNumberFormat="1" applyFill="1" applyBorder="1" applyAlignment="1">
      <alignment horizontal="center"/>
    </xf>
    <xf numFmtId="0" fontId="21" fillId="3" borderId="6" xfId="0" applyFont="1" applyFill="1" applyBorder="1" applyAlignment="1">
      <alignment horizontal="center"/>
    </xf>
    <xf numFmtId="2" fontId="0" fillId="3" borderId="7" xfId="0" applyNumberFormat="1" applyFill="1" applyBorder="1" applyAlignment="1">
      <alignment horizontal="center"/>
    </xf>
    <xf numFmtId="2" fontId="0" fillId="3" borderId="8" xfId="0" applyNumberFormat="1" applyFill="1" applyBorder="1" applyAlignment="1">
      <alignment horizontal="center"/>
    </xf>
    <xf numFmtId="4" fontId="129" fillId="43" borderId="29" xfId="0" applyNumberFormat="1" applyFont="1" applyFill="1" applyBorder="1" applyAlignment="1">
      <alignment horizontal="left" vertical="center"/>
    </xf>
    <xf numFmtId="4" fontId="133" fillId="43" borderId="44" xfId="0" applyNumberFormat="1" applyFont="1" applyFill="1" applyBorder="1" applyAlignment="1">
      <alignment horizontal="left" vertical="center"/>
    </xf>
    <xf numFmtId="0" fontId="133" fillId="51" borderId="44" xfId="0" applyFont="1" applyFill="1" applyBorder="1" applyAlignment="1">
      <alignment vertical="center" wrapText="1"/>
    </xf>
    <xf numFmtId="0" fontId="133" fillId="51" borderId="12" xfId="0" applyFont="1" applyFill="1" applyBorder="1" applyAlignment="1">
      <alignment vertical="center" wrapText="1"/>
    </xf>
    <xf numFmtId="4" fontId="73" fillId="3" borderId="14" xfId="2" applyNumberFormat="1" applyFont="1" applyFill="1" applyBorder="1" applyAlignment="1">
      <alignment horizontal="center" vertical="center"/>
    </xf>
    <xf numFmtId="165" fontId="144" fillId="3" borderId="0" xfId="0" applyNumberFormat="1" applyFont="1" applyFill="1" applyBorder="1"/>
    <xf numFmtId="4" fontId="133" fillId="3" borderId="13" xfId="0" applyNumberFormat="1" applyFont="1" applyFill="1" applyBorder="1" applyAlignment="1">
      <alignment horizontal="left" vertical="center"/>
    </xf>
    <xf numFmtId="218" fontId="0" fillId="3" borderId="0" xfId="0" applyNumberFormat="1" applyFill="1" applyBorder="1" applyAlignment="1">
      <alignment horizontal="center"/>
    </xf>
    <xf numFmtId="0" fontId="0" fillId="0" borderId="145" xfId="0" applyBorder="1"/>
    <xf numFmtId="0" fontId="0" fillId="0" borderId="146" xfId="0" applyBorder="1"/>
    <xf numFmtId="0" fontId="238" fillId="3" borderId="2" xfId="0" applyFont="1" applyFill="1" applyBorder="1" applyAlignment="1">
      <alignment horizontal="center"/>
    </xf>
    <xf numFmtId="0" fontId="21" fillId="3" borderId="1" xfId="0" applyFont="1" applyFill="1"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0" fontId="0" fillId="3" borderId="2" xfId="0" applyFill="1" applyBorder="1" applyAlignment="1">
      <alignment horizontal="center"/>
    </xf>
    <xf numFmtId="4" fontId="78" fillId="3" borderId="4" xfId="0" applyNumberFormat="1" applyFont="1" applyFill="1" applyBorder="1" applyAlignment="1">
      <alignment horizontal="center" vertical="center"/>
    </xf>
    <xf numFmtId="0" fontId="21" fillId="3" borderId="5" xfId="0" applyFont="1" applyFill="1" applyBorder="1" applyAlignment="1">
      <alignment horizontal="center"/>
    </xf>
    <xf numFmtId="4" fontId="0" fillId="3" borderId="7" xfId="0" applyNumberFormat="1" applyFill="1" applyBorder="1" applyAlignment="1">
      <alignment horizontal="center"/>
    </xf>
    <xf numFmtId="218" fontId="0" fillId="3" borderId="7" xfId="0" applyNumberFormat="1" applyFill="1" applyBorder="1" applyAlignment="1">
      <alignment horizontal="center"/>
    </xf>
    <xf numFmtId="0" fontId="245" fillId="47" borderId="0" xfId="0" applyFont="1" applyFill="1" applyBorder="1" applyAlignment="1">
      <alignment horizontal="center"/>
    </xf>
    <xf numFmtId="0" fontId="0" fillId="3" borderId="3" xfId="0" applyFill="1" applyBorder="1" applyAlignment="1">
      <alignment horizontal="center"/>
    </xf>
    <xf numFmtId="0" fontId="238" fillId="3" borderId="4" xfId="0" applyFont="1" applyFill="1" applyBorder="1" applyAlignment="1">
      <alignment horizontal="center"/>
    </xf>
    <xf numFmtId="0" fontId="0" fillId="47" borderId="0" xfId="0" applyFill="1" applyBorder="1"/>
    <xf numFmtId="0" fontId="0" fillId="44" borderId="13" xfId="0" applyFill="1" applyBorder="1"/>
    <xf numFmtId="0" fontId="0" fillId="0" borderId="14" xfId="0" applyBorder="1"/>
    <xf numFmtId="0" fontId="0" fillId="3" borderId="145" xfId="0" applyFill="1" applyBorder="1"/>
    <xf numFmtId="0" fontId="238" fillId="3" borderId="2" xfId="0" applyFont="1" applyFill="1" applyBorder="1"/>
    <xf numFmtId="0" fontId="245" fillId="47" borderId="0" xfId="0" applyFont="1" applyFill="1" applyBorder="1"/>
    <xf numFmtId="0" fontId="238" fillId="3" borderId="4" xfId="0" applyFont="1" applyFill="1" applyBorder="1"/>
    <xf numFmtId="4" fontId="0" fillId="3" borderId="8" xfId="0" applyNumberFormat="1" applyFill="1" applyBorder="1" applyAlignment="1">
      <alignment horizontal="center"/>
    </xf>
    <xf numFmtId="0" fontId="133" fillId="43" borderId="0" xfId="0" applyFont="1" applyFill="1" applyBorder="1"/>
    <xf numFmtId="0" fontId="246" fillId="43" borderId="0" xfId="0" applyFont="1" applyFill="1" applyBorder="1"/>
    <xf numFmtId="0" fontId="246" fillId="3" borderId="0" xfId="0" applyFont="1" applyFill="1" applyBorder="1"/>
    <xf numFmtId="0" fontId="75" fillId="43" borderId="0" xfId="0" applyFont="1" applyFill="1" applyBorder="1"/>
    <xf numFmtId="0" fontId="73" fillId="43" borderId="0" xfId="0" applyFont="1" applyFill="1" applyBorder="1"/>
    <xf numFmtId="2" fontId="73" fillId="3" borderId="0" xfId="0" applyNumberFormat="1" applyFont="1" applyFill="1" applyBorder="1" applyAlignment="1">
      <alignment horizontal="center"/>
    </xf>
    <xf numFmtId="0" fontId="247" fillId="3" borderId="0" xfId="0" applyFont="1" applyFill="1" applyBorder="1" applyAlignment="1">
      <alignment horizontal="center"/>
    </xf>
    <xf numFmtId="0" fontId="86" fillId="3" borderId="4" xfId="0" applyFont="1" applyFill="1" applyBorder="1"/>
    <xf numFmtId="0" fontId="73" fillId="3" borderId="4" xfId="0" applyFont="1" applyFill="1" applyBorder="1" applyAlignment="1">
      <alignment wrapText="1"/>
    </xf>
    <xf numFmtId="2" fontId="73" fillId="3" borderId="7" xfId="0" applyNumberFormat="1" applyFont="1" applyFill="1" applyBorder="1" applyAlignment="1">
      <alignment horizontal="center"/>
    </xf>
    <xf numFmtId="0" fontId="73" fillId="3" borderId="7" xfId="0" applyFont="1" applyFill="1" applyBorder="1" applyAlignment="1">
      <alignment horizontal="center"/>
    </xf>
    <xf numFmtId="0" fontId="73" fillId="3" borderId="8" xfId="0" applyFont="1" applyFill="1" applyBorder="1" applyAlignment="1">
      <alignment horizontal="center"/>
    </xf>
    <xf numFmtId="0" fontId="246" fillId="3" borderId="2" xfId="0" applyFont="1" applyFill="1" applyBorder="1"/>
    <xf numFmtId="0" fontId="21" fillId="3" borderId="0" xfId="0" applyNumberFormat="1" applyFont="1" applyFill="1" applyBorder="1" applyAlignment="1">
      <alignment horizontal="left" vertical="center" indent="1"/>
    </xf>
    <xf numFmtId="0" fontId="238" fillId="3" borderId="0" xfId="0" applyFont="1" applyFill="1" applyBorder="1"/>
    <xf numFmtId="0" fontId="6" fillId="3" borderId="0" xfId="3549" applyFill="1" applyBorder="1"/>
    <xf numFmtId="169" fontId="0" fillId="3" borderId="0" xfId="0" applyNumberFormat="1" applyFill="1" applyBorder="1"/>
    <xf numFmtId="169" fontId="6" fillId="3" borderId="0" xfId="3549" applyNumberFormat="1" applyFill="1" applyBorder="1"/>
    <xf numFmtId="0" fontId="0" fillId="3" borderId="147" xfId="0" applyFill="1" applyBorder="1"/>
    <xf numFmtId="0" fontId="50" fillId="3" borderId="148" xfId="0" applyNumberFormat="1" applyFont="1" applyFill="1" applyBorder="1" applyAlignment="1">
      <alignment horizontal="center" vertical="center"/>
    </xf>
    <xf numFmtId="0" fontId="143" fillId="3" borderId="0" xfId="0" applyFont="1" applyFill="1" applyBorder="1" applyAlignment="1">
      <alignment horizontal="left" vertical="center"/>
    </xf>
    <xf numFmtId="0" fontId="143" fillId="0" borderId="0" xfId="0" applyFont="1" applyBorder="1"/>
    <xf numFmtId="0" fontId="184" fillId="3" borderId="145" xfId="0" applyFont="1" applyFill="1" applyBorder="1"/>
    <xf numFmtId="0" fontId="184" fillId="3" borderId="146" xfId="0" applyFont="1" applyFill="1" applyBorder="1"/>
    <xf numFmtId="165" fontId="184" fillId="3" borderId="146" xfId="0" applyNumberFormat="1" applyFont="1" applyFill="1" applyBorder="1"/>
    <xf numFmtId="165" fontId="143" fillId="3" borderId="146" xfId="0" applyNumberFormat="1" applyFont="1" applyFill="1" applyBorder="1"/>
    <xf numFmtId="165" fontId="143" fillId="3" borderId="147" xfId="0" applyNumberFormat="1" applyFont="1" applyFill="1" applyBorder="1"/>
    <xf numFmtId="0" fontId="180" fillId="0" borderId="0" xfId="0" applyFont="1" applyBorder="1" applyAlignment="1">
      <alignment horizontal="center"/>
    </xf>
    <xf numFmtId="0" fontId="143" fillId="3" borderId="146" xfId="0" applyFont="1" applyFill="1" applyBorder="1"/>
    <xf numFmtId="0" fontId="0" fillId="3" borderId="0" xfId="0" applyFill="1" applyBorder="1" applyAlignment="1">
      <alignment horizontal="center"/>
    </xf>
    <xf numFmtId="0" fontId="143" fillId="3" borderId="0" xfId="0" applyFont="1" applyFill="1" applyBorder="1" applyAlignment="1">
      <alignment horizontal="left" vertical="top" wrapText="1"/>
    </xf>
    <xf numFmtId="0" fontId="0" fillId="0" borderId="13" xfId="0" applyBorder="1"/>
    <xf numFmtId="0" fontId="177" fillId="3" borderId="0" xfId="0" applyFont="1" applyFill="1"/>
    <xf numFmtId="0" fontId="248" fillId="3" borderId="0" xfId="0" applyFont="1" applyFill="1" applyBorder="1"/>
    <xf numFmtId="165" fontId="0" fillId="3" borderId="0" xfId="0" applyNumberFormat="1" applyFill="1" applyBorder="1" applyAlignment="1">
      <alignment horizontal="center"/>
    </xf>
    <xf numFmtId="0" fontId="171" fillId="3" borderId="0" xfId="0" applyFont="1" applyFill="1"/>
    <xf numFmtId="4" fontId="78" fillId="9" borderId="5" xfId="2" applyNumberFormat="1" applyFont="1" applyFill="1" applyBorder="1" applyAlignment="1">
      <alignment horizontal="center" vertical="center"/>
    </xf>
    <xf numFmtId="4" fontId="45" fillId="9" borderId="7" xfId="2" applyNumberFormat="1" applyFont="1" applyFill="1" applyBorder="1" applyAlignment="1">
      <alignment horizontal="center" vertical="center"/>
    </xf>
    <xf numFmtId="4" fontId="78" fillId="9" borderId="8" xfId="2" applyNumberFormat="1" applyFont="1" applyFill="1" applyBorder="1" applyAlignment="1">
      <alignment horizontal="center" vertical="center"/>
    </xf>
    <xf numFmtId="4" fontId="0" fillId="0" borderId="0" xfId="0" applyNumberFormat="1"/>
    <xf numFmtId="4" fontId="73" fillId="3" borderId="0" xfId="0" applyNumberFormat="1" applyFont="1" applyFill="1" applyBorder="1" applyAlignment="1">
      <alignment horizontal="center" vertical="center"/>
    </xf>
    <xf numFmtId="4" fontId="133" fillId="0" borderId="13" xfId="0" applyNumberFormat="1" applyFont="1" applyFill="1" applyBorder="1" applyAlignment="1">
      <alignment horizontal="left" vertical="center"/>
    </xf>
    <xf numFmtId="4" fontId="133" fillId="0" borderId="0" xfId="0" applyNumberFormat="1" applyFont="1" applyFill="1" applyBorder="1" applyAlignment="1">
      <alignment horizontal="left" vertical="center"/>
    </xf>
    <xf numFmtId="4" fontId="45" fillId="9" borderId="5" xfId="2" applyNumberFormat="1" applyFont="1" applyFill="1" applyBorder="1" applyAlignment="1">
      <alignment horizontal="center" vertical="center"/>
    </xf>
    <xf numFmtId="4" fontId="45" fillId="9" borderId="8" xfId="2" applyNumberFormat="1" applyFont="1" applyFill="1" applyBorder="1" applyAlignment="1">
      <alignment horizontal="center" vertical="center"/>
    </xf>
    <xf numFmtId="189" fontId="172" fillId="3" borderId="0" xfId="225" applyNumberFormat="1" applyFont="1" applyFill="1" applyBorder="1" applyAlignment="1">
      <alignment horizontal="center" vertical="top" wrapText="1"/>
    </xf>
    <xf numFmtId="189" fontId="172" fillId="3" borderId="1" xfId="225" applyNumberFormat="1" applyFont="1" applyFill="1" applyBorder="1" applyAlignment="1">
      <alignment horizontal="center" vertical="top" wrapText="1"/>
    </xf>
    <xf numFmtId="189" fontId="143" fillId="3" borderId="1" xfId="0" applyNumberFormat="1" applyFont="1" applyFill="1" applyBorder="1" applyAlignment="1">
      <alignment horizontal="right"/>
    </xf>
    <xf numFmtId="189" fontId="172" fillId="3" borderId="7" xfId="225" applyNumberFormat="1" applyFont="1" applyFill="1" applyBorder="1" applyAlignment="1">
      <alignment horizontal="center" vertical="top" wrapText="1"/>
    </xf>
    <xf numFmtId="181" fontId="143" fillId="3" borderId="2" xfId="0" applyNumberFormat="1" applyFont="1" applyFill="1" applyBorder="1"/>
    <xf numFmtId="181" fontId="143" fillId="3" borderId="4" xfId="0" applyNumberFormat="1" applyFont="1" applyFill="1" applyBorder="1"/>
    <xf numFmtId="180" fontId="143" fillId="3" borderId="4" xfId="0" applyNumberFormat="1" applyFont="1" applyFill="1" applyBorder="1"/>
    <xf numFmtId="180" fontId="143" fillId="3" borderId="6" xfId="0" applyNumberFormat="1" applyFont="1" applyFill="1" applyBorder="1"/>
    <xf numFmtId="181" fontId="143" fillId="3" borderId="6" xfId="0" applyNumberFormat="1" applyFont="1" applyFill="1" applyBorder="1"/>
    <xf numFmtId="4" fontId="143" fillId="3" borderId="0" xfId="0" applyNumberFormat="1" applyFont="1" applyFill="1"/>
    <xf numFmtId="0" fontId="81" fillId="3" borderId="0" xfId="0" applyFont="1" applyFill="1" applyBorder="1" applyAlignment="1">
      <alignment horizontal="center" vertical="center"/>
    </xf>
    <xf numFmtId="221" fontId="81" fillId="3" borderId="0" xfId="0" applyNumberFormat="1" applyFont="1" applyFill="1" applyBorder="1" applyAlignment="1">
      <alignment horizontal="center" vertical="center"/>
    </xf>
    <xf numFmtId="0" fontId="21" fillId="3" borderId="0" xfId="0" applyFont="1" applyFill="1" applyBorder="1" applyAlignment="1">
      <alignment horizontal="center"/>
    </xf>
    <xf numFmtId="164" fontId="73" fillId="3" borderId="4" xfId="0" applyNumberFormat="1" applyFont="1" applyFill="1" applyBorder="1" applyAlignment="1">
      <alignment vertical="center"/>
    </xf>
    <xf numFmtId="164" fontId="73" fillId="3" borderId="5" xfId="0" applyNumberFormat="1" applyFont="1" applyFill="1" applyBorder="1" applyAlignment="1">
      <alignment vertical="center"/>
    </xf>
    <xf numFmtId="0" fontId="73" fillId="3" borderId="4" xfId="0" applyFont="1" applyFill="1" applyBorder="1" applyAlignment="1">
      <alignment vertical="center"/>
    </xf>
    <xf numFmtId="0" fontId="73" fillId="3" borderId="5" xfId="0" applyFont="1" applyFill="1" applyBorder="1" applyAlignment="1">
      <alignment vertical="center"/>
    </xf>
    <xf numFmtId="0" fontId="73" fillId="3" borderId="4" xfId="0" applyFont="1" applyFill="1" applyBorder="1" applyAlignment="1">
      <alignment horizontal="left" vertical="center"/>
    </xf>
    <xf numFmtId="0" fontId="73" fillId="3" borderId="5" xfId="0" applyFont="1" applyFill="1" applyBorder="1" applyAlignment="1">
      <alignment horizontal="left" vertical="center"/>
    </xf>
    <xf numFmtId="4" fontId="73" fillId="3" borderId="119" xfId="0" applyNumberFormat="1" applyFont="1" applyFill="1" applyBorder="1" applyAlignment="1">
      <alignment horizontal="center" vertical="center"/>
    </xf>
    <xf numFmtId="4" fontId="73" fillId="3" borderId="113" xfId="0" applyNumberFormat="1" applyFont="1" applyFill="1" applyBorder="1" applyAlignment="1">
      <alignment horizontal="center" vertical="center"/>
    </xf>
    <xf numFmtId="4" fontId="73" fillId="3" borderId="118" xfId="0" applyNumberFormat="1" applyFont="1" applyFill="1" applyBorder="1" applyAlignment="1">
      <alignment horizontal="center" vertical="center"/>
    </xf>
    <xf numFmtId="0" fontId="21" fillId="3" borderId="1" xfId="0" applyFont="1" applyFill="1" applyBorder="1" applyAlignment="1">
      <alignment horizontal="center"/>
    </xf>
    <xf numFmtId="0" fontId="0" fillId="3" borderId="1" xfId="0" applyFont="1" applyFill="1" applyBorder="1" applyAlignment="1">
      <alignment horizontal="center"/>
    </xf>
    <xf numFmtId="0" fontId="21" fillId="3" borderId="3" xfId="0" applyFont="1" applyFill="1" applyBorder="1" applyAlignment="1">
      <alignment horizontal="center"/>
    </xf>
    <xf numFmtId="0" fontId="0" fillId="3" borderId="0" xfId="0" applyFill="1" applyBorder="1" applyAlignment="1">
      <alignment horizontal="center"/>
    </xf>
    <xf numFmtId="4" fontId="73" fillId="3" borderId="0" xfId="0" applyNumberFormat="1" applyFont="1" applyFill="1" applyBorder="1" applyAlignment="1">
      <alignment horizontal="center" vertical="center"/>
    </xf>
    <xf numFmtId="0" fontId="0" fillId="3" borderId="0" xfId="0" applyFill="1" applyBorder="1" applyAlignment="1">
      <alignment horizontal="center"/>
    </xf>
    <xf numFmtId="218" fontId="0" fillId="3" borderId="0" xfId="0" applyNumberFormat="1" applyFill="1" applyBorder="1"/>
    <xf numFmtId="164" fontId="134" fillId="40" borderId="1" xfId="0" applyNumberFormat="1" applyFont="1" applyFill="1" applyBorder="1" applyAlignment="1">
      <alignment vertical="center"/>
    </xf>
    <xf numFmtId="41" fontId="21" fillId="3" borderId="4" xfId="0" applyNumberFormat="1" applyFont="1" applyFill="1" applyBorder="1"/>
    <xf numFmtId="164" fontId="73" fillId="3" borderId="2" xfId="0" applyNumberFormat="1" applyFont="1" applyFill="1" applyBorder="1" applyAlignment="1">
      <alignment horizontal="left" vertical="center"/>
    </xf>
    <xf numFmtId="222" fontId="73" fillId="3" borderId="3" xfId="0" applyNumberFormat="1" applyFont="1" applyFill="1" applyBorder="1" applyAlignment="1">
      <alignment horizontal="center" vertical="center"/>
    </xf>
    <xf numFmtId="180" fontId="0" fillId="3" borderId="5" xfId="0" applyNumberFormat="1" applyFill="1" applyBorder="1"/>
    <xf numFmtId="164" fontId="73" fillId="3" borderId="6" xfId="0" applyNumberFormat="1" applyFont="1" applyFill="1" applyBorder="1" applyAlignment="1">
      <alignment vertical="center"/>
    </xf>
    <xf numFmtId="0" fontId="0" fillId="0" borderId="7" xfId="0" applyBorder="1"/>
    <xf numFmtId="41" fontId="21" fillId="3" borderId="6" xfId="0" applyNumberFormat="1" applyFont="1" applyFill="1" applyBorder="1"/>
    <xf numFmtId="41" fontId="0" fillId="0" borderId="8" xfId="0" applyNumberFormat="1" applyBorder="1"/>
    <xf numFmtId="41" fontId="0" fillId="3" borderId="0" xfId="0" applyNumberFormat="1" applyFill="1" applyBorder="1"/>
    <xf numFmtId="2" fontId="89" fillId="3" borderId="0" xfId="0" applyNumberFormat="1" applyFont="1" applyFill="1" applyBorder="1" applyAlignment="1">
      <alignment horizontal="center" vertical="center"/>
    </xf>
    <xf numFmtId="0" fontId="244" fillId="3" borderId="0" xfId="0" applyFont="1" applyFill="1" applyBorder="1" applyAlignment="1">
      <alignment horizontal="center"/>
    </xf>
    <xf numFmtId="4" fontId="98" fillId="47" borderId="2" xfId="0" applyNumberFormat="1" applyFont="1" applyFill="1" applyBorder="1" applyAlignment="1">
      <alignment horizontal="left" vertical="center"/>
    </xf>
    <xf numFmtId="0" fontId="244" fillId="3" borderId="5" xfId="0" applyFont="1" applyFill="1" applyBorder="1" applyAlignment="1">
      <alignment horizontal="center"/>
    </xf>
    <xf numFmtId="168" fontId="0" fillId="3" borderId="0" xfId="0" applyNumberFormat="1" applyFill="1" applyBorder="1" applyAlignment="1">
      <alignment horizontal="center"/>
    </xf>
    <xf numFmtId="168" fontId="0" fillId="3" borderId="5" xfId="0" applyNumberFormat="1" applyFill="1" applyBorder="1" applyAlignment="1">
      <alignment horizontal="center"/>
    </xf>
    <xf numFmtId="168" fontId="0" fillId="3" borderId="7" xfId="0" applyNumberFormat="1" applyFill="1" applyBorder="1" applyAlignment="1">
      <alignment horizontal="center"/>
    </xf>
    <xf numFmtId="168" fontId="0" fillId="3" borderId="8" xfId="0" applyNumberFormat="1" applyFill="1" applyBorder="1" applyAlignment="1">
      <alignment horizontal="center"/>
    </xf>
    <xf numFmtId="221" fontId="0" fillId="3" borderId="0" xfId="0" applyNumberFormat="1" applyFill="1" applyBorder="1"/>
    <xf numFmtId="3" fontId="0" fillId="3" borderId="0" xfId="0" applyNumberFormat="1" applyFill="1" applyBorder="1"/>
    <xf numFmtId="49" fontId="32" fillId="61" borderId="0" xfId="0" applyNumberFormat="1" applyFont="1" applyFill="1" applyBorder="1" applyAlignment="1">
      <alignment horizontal="left" vertical="center" wrapText="1" indent="1"/>
    </xf>
    <xf numFmtId="208" fontId="73" fillId="3" borderId="0" xfId="0" applyNumberFormat="1" applyFont="1" applyFill="1" applyBorder="1" applyAlignment="1">
      <alignment horizontal="center" vertical="center"/>
    </xf>
    <xf numFmtId="165" fontId="73" fillId="3" borderId="0" xfId="0" applyNumberFormat="1" applyFont="1" applyFill="1" applyBorder="1" applyAlignment="1">
      <alignment horizontal="center" vertical="center"/>
    </xf>
    <xf numFmtId="208" fontId="73" fillId="3" borderId="106" xfId="0" applyNumberFormat="1" applyFont="1" applyFill="1" applyBorder="1" applyAlignment="1">
      <alignment horizontal="center" vertical="center"/>
    </xf>
    <xf numFmtId="164" fontId="73" fillId="3" borderId="4" xfId="0" applyNumberFormat="1" applyFont="1" applyFill="1" applyBorder="1" applyAlignment="1">
      <alignment vertical="center"/>
    </xf>
    <xf numFmtId="164" fontId="73" fillId="3" borderId="5" xfId="0" applyNumberFormat="1" applyFont="1" applyFill="1" applyBorder="1" applyAlignment="1">
      <alignment vertical="center"/>
    </xf>
    <xf numFmtId="0" fontId="0" fillId="3" borderId="0" xfId="0" applyFill="1" applyBorder="1" applyAlignment="1">
      <alignment horizontal="center"/>
    </xf>
    <xf numFmtId="0" fontId="21" fillId="3" borderId="1" xfId="0" applyFont="1" applyFill="1" applyBorder="1" applyAlignment="1">
      <alignment horizontal="center"/>
    </xf>
    <xf numFmtId="0" fontId="21" fillId="3" borderId="0" xfId="0" applyFont="1" applyFill="1" applyAlignment="1">
      <alignment horizontal="left" indent="1"/>
    </xf>
    <xf numFmtId="164" fontId="134" fillId="40" borderId="18" xfId="0" applyNumberFormat="1" applyFont="1" applyFill="1" applyBorder="1" applyAlignment="1">
      <alignment vertical="center"/>
    </xf>
    <xf numFmtId="41" fontId="21" fillId="3" borderId="0" xfId="0" applyNumberFormat="1" applyFont="1" applyFill="1" applyBorder="1"/>
    <xf numFmtId="223" fontId="73" fillId="3" borderId="18" xfId="0" applyNumberFormat="1" applyFont="1" applyFill="1" applyBorder="1" applyAlignment="1">
      <alignment horizontal="left" vertical="center"/>
    </xf>
    <xf numFmtId="223" fontId="21" fillId="3" borderId="4" xfId="0" applyNumberFormat="1" applyFont="1" applyFill="1" applyBorder="1"/>
    <xf numFmtId="223" fontId="21" fillId="3" borderId="6" xfId="0" applyNumberFormat="1" applyFont="1" applyFill="1" applyBorder="1"/>
    <xf numFmtId="223" fontId="73" fillId="3" borderId="2" xfId="0" applyNumberFormat="1" applyFont="1" applyFill="1" applyBorder="1" applyAlignment="1">
      <alignment horizontal="left" vertical="center"/>
    </xf>
    <xf numFmtId="223" fontId="73" fillId="3" borderId="17" xfId="0" applyNumberFormat="1" applyFont="1" applyFill="1" applyBorder="1" applyAlignment="1">
      <alignment horizontal="left" vertical="center"/>
    </xf>
    <xf numFmtId="223" fontId="73" fillId="3" borderId="16" xfId="0" applyNumberFormat="1" applyFont="1" applyFill="1" applyBorder="1" applyAlignment="1">
      <alignment horizontal="left" vertical="center"/>
    </xf>
    <xf numFmtId="0" fontId="21" fillId="3" borderId="1" xfId="0" applyFont="1" applyFill="1" applyBorder="1"/>
    <xf numFmtId="219" fontId="143" fillId="3" borderId="0" xfId="0" applyNumberFormat="1" applyFont="1" applyFill="1" applyBorder="1"/>
    <xf numFmtId="0" fontId="21" fillId="3" borderId="7" xfId="0" applyFont="1" applyFill="1" applyBorder="1"/>
    <xf numFmtId="4" fontId="21" fillId="3" borderId="0" xfId="0" applyNumberFormat="1" applyFont="1" applyFill="1" applyBorder="1"/>
    <xf numFmtId="0" fontId="21" fillId="3" borderId="14" xfId="0" applyFont="1" applyFill="1" applyBorder="1"/>
    <xf numFmtId="0" fontId="0" fillId="3" borderId="0" xfId="0" applyFill="1" applyBorder="1" applyAlignment="1">
      <alignment horizontal="center"/>
    </xf>
    <xf numFmtId="4" fontId="73" fillId="3" borderId="0" xfId="0" applyNumberFormat="1" applyFont="1" applyFill="1" applyBorder="1" applyAlignment="1">
      <alignment horizontal="center" vertical="center"/>
    </xf>
    <xf numFmtId="4" fontId="73" fillId="3" borderId="113" xfId="0" applyNumberFormat="1" applyFont="1" applyFill="1" applyBorder="1" applyAlignment="1">
      <alignment horizontal="center" vertical="center"/>
    </xf>
    <xf numFmtId="4" fontId="73" fillId="3" borderId="0" xfId="0" applyNumberFormat="1" applyFont="1" applyFill="1" applyBorder="1" applyAlignment="1">
      <alignment horizontal="center" vertical="center"/>
    </xf>
    <xf numFmtId="4" fontId="73" fillId="3" borderId="0" xfId="0" applyNumberFormat="1" applyFont="1" applyFill="1" applyBorder="1" applyAlignment="1">
      <alignment horizontal="center" vertical="center"/>
    </xf>
    <xf numFmtId="4" fontId="112" fillId="2" borderId="149" xfId="3090" applyNumberFormat="1" applyFont="1" applyFill="1" applyBorder="1" applyAlignment="1">
      <alignment horizontal="center" vertical="center"/>
    </xf>
    <xf numFmtId="4" fontId="86" fillId="3" borderId="5" xfId="0" applyNumberFormat="1" applyFont="1" applyFill="1" applyBorder="1" applyAlignment="1">
      <alignment horizontal="center" vertical="center" wrapText="1"/>
    </xf>
    <xf numFmtId="4" fontId="73" fillId="3" borderId="1" xfId="0" applyNumberFormat="1" applyFont="1" applyFill="1" applyBorder="1" applyAlignment="1">
      <alignment horizontal="center" vertical="center" wrapText="1"/>
    </xf>
    <xf numFmtId="0" fontId="0" fillId="3" borderId="44" xfId="0" applyFill="1" applyBorder="1"/>
    <xf numFmtId="0" fontId="0" fillId="3" borderId="12" xfId="0" applyFill="1" applyBorder="1"/>
    <xf numFmtId="0" fontId="0" fillId="3" borderId="152" xfId="0" applyFill="1" applyBorder="1"/>
    <xf numFmtId="0" fontId="0" fillId="3" borderId="109" xfId="0" applyFill="1" applyBorder="1"/>
    <xf numFmtId="0" fontId="0" fillId="3" borderId="20" xfId="0" applyFill="1" applyBorder="1"/>
    <xf numFmtId="2" fontId="0" fillId="3" borderId="0" xfId="0" applyNumberFormat="1" applyFill="1"/>
    <xf numFmtId="4" fontId="146" fillId="3" borderId="0" xfId="0" applyNumberFormat="1" applyFont="1" applyFill="1" applyBorder="1" applyAlignment="1">
      <alignment horizontal="center" vertical="center"/>
    </xf>
    <xf numFmtId="4" fontId="73" fillId="3" borderId="0" xfId="0" applyNumberFormat="1" applyFont="1" applyFill="1" applyBorder="1" applyAlignment="1">
      <alignment horizontal="center" vertical="center"/>
    </xf>
    <xf numFmtId="0" fontId="244" fillId="3" borderId="1" xfId="0" applyFont="1" applyFill="1" applyBorder="1" applyAlignment="1">
      <alignment horizontal="center"/>
    </xf>
    <xf numFmtId="0" fontId="0" fillId="3" borderId="0" xfId="0" applyFill="1" applyBorder="1" applyAlignment="1">
      <alignment horizontal="center"/>
    </xf>
    <xf numFmtId="0" fontId="21" fillId="3" borderId="1" xfId="0" applyFont="1" applyFill="1" applyBorder="1" applyAlignment="1">
      <alignment horizontal="center"/>
    </xf>
    <xf numFmtId="0" fontId="143" fillId="3" borderId="0" xfId="0" applyFont="1" applyFill="1" applyBorder="1" applyAlignment="1">
      <alignment vertical="top" wrapText="1"/>
    </xf>
    <xf numFmtId="0" fontId="222" fillId="44" borderId="9" xfId="225" applyFont="1" applyFill="1" applyBorder="1" applyAlignment="1">
      <alignment horizontal="center" vertical="top" wrapText="1"/>
    </xf>
    <xf numFmtId="0" fontId="172" fillId="0" borderId="9" xfId="225" applyFont="1" applyBorder="1" applyAlignment="1">
      <alignment horizontal="center" vertical="top" wrapText="1"/>
    </xf>
    <xf numFmtId="165" fontId="143" fillId="3" borderId="4" xfId="0" applyNumberFormat="1" applyFont="1" applyFill="1" applyBorder="1"/>
    <xf numFmtId="0" fontId="168" fillId="0" borderId="6" xfId="225" applyFont="1" applyBorder="1" applyAlignment="1">
      <alignment horizontal="center" vertical="top" wrapText="1"/>
    </xf>
    <xf numFmtId="0" fontId="178" fillId="3" borderId="44" xfId="0" applyFont="1" applyFill="1" applyBorder="1"/>
    <xf numFmtId="43" fontId="0" fillId="3" borderId="0" xfId="0" applyNumberFormat="1" applyFill="1" applyBorder="1"/>
    <xf numFmtId="189" fontId="0" fillId="3" borderId="0" xfId="0" applyNumberFormat="1" applyFill="1" applyBorder="1"/>
    <xf numFmtId="206" fontId="0" fillId="3" borderId="0" xfId="0" applyNumberFormat="1" applyFill="1" applyBorder="1"/>
    <xf numFmtId="0" fontId="172" fillId="3" borderId="19" xfId="225" applyFont="1" applyFill="1" applyBorder="1" applyAlignment="1">
      <alignment horizontal="center" vertical="top" wrapText="1"/>
    </xf>
    <xf numFmtId="164" fontId="143" fillId="3" borderId="4" xfId="0" applyNumberFormat="1" applyFont="1" applyFill="1" applyBorder="1"/>
    <xf numFmtId="164" fontId="143" fillId="3" borderId="6" xfId="0" applyNumberFormat="1" applyFont="1" applyFill="1" applyBorder="1"/>
    <xf numFmtId="0" fontId="0" fillId="3" borderId="18" xfId="0" applyFill="1" applyBorder="1"/>
    <xf numFmtId="0" fontId="0" fillId="3" borderId="17" xfId="0" applyFill="1" applyBorder="1"/>
    <xf numFmtId="0" fontId="172" fillId="3" borderId="2" xfId="0" applyFont="1" applyFill="1" applyBorder="1" applyAlignment="1">
      <alignment horizontal="center"/>
    </xf>
    <xf numFmtId="190" fontId="143" fillId="3" borderId="16" xfId="0" applyNumberFormat="1" applyFont="1" applyFill="1" applyBorder="1"/>
    <xf numFmtId="0" fontId="21" fillId="3" borderId="0" xfId="0" applyFont="1" applyFill="1" applyBorder="1" applyAlignment="1">
      <alignment horizontal="center"/>
    </xf>
    <xf numFmtId="4" fontId="73" fillId="3" borderId="0" xfId="0" applyNumberFormat="1" applyFont="1" applyFill="1" applyBorder="1" applyAlignment="1">
      <alignment horizontal="center" vertical="center"/>
    </xf>
    <xf numFmtId="0" fontId="0" fillId="3" borderId="0" xfId="0" applyFill="1" applyBorder="1" applyAlignment="1">
      <alignment horizontal="center"/>
    </xf>
    <xf numFmtId="0" fontId="130" fillId="3" borderId="0" xfId="0" applyFont="1" applyFill="1" applyBorder="1" applyAlignment="1">
      <alignment horizontal="left" vertical="center"/>
    </xf>
    <xf numFmtId="0" fontId="251" fillId="3" borderId="48" xfId="2165" applyFont="1" applyFill="1" applyBorder="1" applyAlignment="1">
      <alignment horizontal="center" vertical="center" wrapText="1"/>
    </xf>
    <xf numFmtId="0" fontId="251" fillId="10" borderId="50" xfId="0" applyNumberFormat="1" applyFont="1" applyFill="1" applyBorder="1" applyAlignment="1">
      <alignment horizontal="center" vertical="center"/>
    </xf>
    <xf numFmtId="0" fontId="89" fillId="65" borderId="49" xfId="2" applyNumberFormat="1" applyFont="1" applyFill="1" applyBorder="1" applyAlignment="1">
      <alignment horizontal="center" vertical="center"/>
    </xf>
    <xf numFmtId="10" fontId="251" fillId="3" borderId="48" xfId="2" applyNumberFormat="1" applyFont="1" applyFill="1" applyBorder="1" applyAlignment="1">
      <alignment horizontal="center" vertical="center"/>
    </xf>
    <xf numFmtId="10" fontId="89" fillId="64" borderId="49" xfId="2" applyNumberFormat="1" applyFont="1" applyFill="1" applyBorder="1" applyAlignment="1">
      <alignment horizontal="center" vertical="center"/>
    </xf>
    <xf numFmtId="10" fontId="251" fillId="3" borderId="50" xfId="0" applyNumberFormat="1" applyFont="1" applyFill="1" applyBorder="1" applyAlignment="1">
      <alignment horizontal="center" vertical="center"/>
    </xf>
    <xf numFmtId="0" fontId="31" fillId="9" borderId="4" xfId="0" applyFont="1" applyFill="1" applyBorder="1" applyAlignment="1">
      <alignment horizontal="center" vertical="center"/>
    </xf>
    <xf numFmtId="0" fontId="32" fillId="9" borderId="0" xfId="0" applyFont="1" applyFill="1" applyBorder="1" applyAlignment="1">
      <alignment horizontal="center" vertical="center"/>
    </xf>
    <xf numFmtId="0" fontId="32" fillId="9" borderId="5" xfId="0" applyFont="1" applyFill="1" applyBorder="1" applyAlignment="1">
      <alignment horizontal="center" vertical="center"/>
    </xf>
    <xf numFmtId="0" fontId="31" fillId="3" borderId="4" xfId="0" applyFont="1" applyFill="1" applyBorder="1" applyAlignment="1">
      <alignment horizontal="center" vertical="center"/>
    </xf>
    <xf numFmtId="0" fontId="31" fillId="3" borderId="5" xfId="0" applyNumberFormat="1" applyFont="1" applyFill="1" applyBorder="1" applyAlignment="1">
      <alignment horizontal="center" vertical="center"/>
    </xf>
    <xf numFmtId="4" fontId="73" fillId="3" borderId="0" xfId="0" applyNumberFormat="1" applyFont="1" applyFill="1" applyBorder="1" applyAlignment="1">
      <alignment horizontal="center" vertical="center"/>
    </xf>
    <xf numFmtId="4" fontId="73" fillId="3" borderId="64" xfId="0" applyNumberFormat="1" applyFont="1" applyFill="1" applyBorder="1" applyAlignment="1">
      <alignment horizontal="center" vertical="center"/>
    </xf>
    <xf numFmtId="4" fontId="73" fillId="64" borderId="0" xfId="0" applyNumberFormat="1" applyFont="1" applyFill="1" applyBorder="1" applyAlignment="1">
      <alignment horizontal="center" vertical="center"/>
    </xf>
    <xf numFmtId="4" fontId="73" fillId="64" borderId="64" xfId="0" applyNumberFormat="1" applyFont="1" applyFill="1" applyBorder="1" applyAlignment="1">
      <alignment horizontal="center" vertical="center"/>
    </xf>
    <xf numFmtId="0" fontId="73" fillId="3" borderId="0" xfId="0" applyFont="1" applyFill="1" applyBorder="1" applyAlignment="1">
      <alignment wrapText="1"/>
    </xf>
    <xf numFmtId="4" fontId="73" fillId="3" borderId="0" xfId="0" applyNumberFormat="1" applyFont="1" applyFill="1" applyBorder="1" applyAlignment="1">
      <alignment horizontal="center" vertical="center"/>
    </xf>
    <xf numFmtId="0" fontId="73" fillId="3" borderId="4" xfId="0" applyFont="1" applyFill="1" applyBorder="1" applyAlignment="1">
      <alignment vertical="center"/>
    </xf>
    <xf numFmtId="0" fontId="73" fillId="3" borderId="5" xfId="0" applyFont="1" applyFill="1" applyBorder="1" applyAlignment="1">
      <alignment vertical="center"/>
    </xf>
    <xf numFmtId="0" fontId="32" fillId="3" borderId="4" xfId="0" applyFont="1" applyFill="1" applyBorder="1" applyAlignment="1">
      <alignment horizontal="center"/>
    </xf>
    <xf numFmtId="0" fontId="86" fillId="3" borderId="5" xfId="0" applyFont="1" applyFill="1" applyBorder="1"/>
    <xf numFmtId="169" fontId="73" fillId="3" borderId="5" xfId="0" applyNumberFormat="1" applyFont="1" applyFill="1" applyBorder="1"/>
    <xf numFmtId="0" fontId="86" fillId="3" borderId="5" xfId="0" applyFont="1" applyFill="1" applyBorder="1" applyAlignment="1">
      <alignment horizontal="right"/>
    </xf>
    <xf numFmtId="0" fontId="86" fillId="3" borderId="5" xfId="0" applyFont="1" applyFill="1" applyBorder="1" applyAlignment="1">
      <alignment horizontal="center"/>
    </xf>
    <xf numFmtId="1" fontId="73" fillId="3" borderId="5" xfId="0" applyNumberFormat="1" applyFont="1" applyFill="1" applyBorder="1"/>
    <xf numFmtId="0" fontId="32" fillId="3" borderId="7" xfId="0" applyFont="1" applyFill="1" applyBorder="1" applyAlignment="1">
      <alignment horizontal="center"/>
    </xf>
    <xf numFmtId="0" fontId="31" fillId="3" borderId="7" xfId="0" applyNumberFormat="1" applyFont="1" applyFill="1" applyBorder="1"/>
    <xf numFmtId="0" fontId="86" fillId="3" borderId="8" xfId="0" applyFont="1" applyFill="1" applyBorder="1" applyAlignment="1">
      <alignment horizontal="center"/>
    </xf>
    <xf numFmtId="0" fontId="184" fillId="3" borderId="0" xfId="0" applyFont="1" applyFill="1" applyBorder="1" applyAlignment="1">
      <alignment horizontal="left" vertical="center" wrapText="1"/>
    </xf>
    <xf numFmtId="0" fontId="184" fillId="3" borderId="0" xfId="0" applyFont="1" applyFill="1" applyAlignment="1">
      <alignment horizontal="left" vertical="center" wrapText="1"/>
    </xf>
    <xf numFmtId="0" fontId="184" fillId="3" borderId="0" xfId="0" applyFont="1" applyFill="1" applyAlignment="1">
      <alignment vertical="top" wrapText="1"/>
    </xf>
    <xf numFmtId="0" fontId="185" fillId="3" borderId="0" xfId="0" applyFont="1" applyFill="1" applyBorder="1" applyAlignment="1">
      <alignment horizontal="left" vertical="center"/>
    </xf>
    <xf numFmtId="49" fontId="185" fillId="3" borderId="67" xfId="0" applyNumberFormat="1" applyFont="1" applyFill="1" applyBorder="1" applyAlignment="1">
      <alignment horizontal="left" vertical="center" wrapText="1" indent="1"/>
    </xf>
    <xf numFmtId="49" fontId="185" fillId="3" borderId="0" xfId="0" applyNumberFormat="1" applyFont="1" applyFill="1" applyBorder="1" applyAlignment="1">
      <alignment horizontal="left" vertical="center" wrapText="1" indent="1"/>
    </xf>
    <xf numFmtId="0" fontId="179" fillId="43" borderId="29" xfId="0" applyFont="1" applyFill="1" applyBorder="1" applyAlignment="1">
      <alignment horizontal="center" vertical="center"/>
    </xf>
    <xf numFmtId="0" fontId="179" fillId="43" borderId="44" xfId="0" applyFont="1" applyFill="1" applyBorder="1" applyAlignment="1">
      <alignment horizontal="center" vertical="center"/>
    </xf>
    <xf numFmtId="0" fontId="179" fillId="43" borderId="12" xfId="0" applyFont="1" applyFill="1" applyBorder="1" applyAlignment="1">
      <alignment horizontal="center" vertical="center"/>
    </xf>
    <xf numFmtId="0" fontId="179" fillId="43" borderId="13" xfId="0" applyFont="1" applyFill="1" applyBorder="1" applyAlignment="1">
      <alignment horizontal="center" vertical="center"/>
    </xf>
    <xf numFmtId="0" fontId="179" fillId="43" borderId="0" xfId="0" applyFont="1" applyFill="1" applyBorder="1" applyAlignment="1">
      <alignment horizontal="center" vertical="center"/>
    </xf>
    <xf numFmtId="0" fontId="179" fillId="43" borderId="14" xfId="0" applyFont="1" applyFill="1" applyBorder="1" applyAlignment="1">
      <alignment horizontal="center" vertical="center"/>
    </xf>
    <xf numFmtId="0" fontId="184" fillId="3" borderId="75" xfId="0" applyFont="1" applyFill="1" applyBorder="1" applyAlignment="1">
      <alignment horizontal="left" vertical="center" wrapText="1"/>
    </xf>
    <xf numFmtId="0" fontId="184" fillId="3" borderId="76" xfId="0" applyFont="1" applyFill="1" applyBorder="1" applyAlignment="1">
      <alignment horizontal="left" vertical="center" wrapText="1"/>
    </xf>
    <xf numFmtId="49" fontId="143" fillId="3" borderId="0" xfId="0" applyNumberFormat="1" applyFont="1" applyFill="1" applyBorder="1" applyAlignment="1">
      <alignment horizontal="center" vertical="center" wrapText="1"/>
    </xf>
    <xf numFmtId="0" fontId="164" fillId="46" borderId="0" xfId="0" applyFont="1" applyFill="1" applyBorder="1" applyAlignment="1">
      <alignment horizontal="left" vertical="center" indent="1"/>
    </xf>
    <xf numFmtId="0" fontId="185" fillId="3" borderId="99" xfId="0" applyFont="1" applyFill="1" applyBorder="1" applyAlignment="1">
      <alignment horizontal="left" vertical="center" wrapText="1" indent="1"/>
    </xf>
    <xf numFmtId="0" fontId="185" fillId="3" borderId="0" xfId="0" applyFont="1" applyFill="1" applyBorder="1" applyAlignment="1">
      <alignment horizontal="left" vertical="center" wrapText="1" indent="1"/>
    </xf>
    <xf numFmtId="0" fontId="185" fillId="3" borderId="99" xfId="0" applyFont="1" applyFill="1" applyBorder="1" applyAlignment="1">
      <alignment horizontal="left" vertical="center" indent="1"/>
    </xf>
    <xf numFmtId="0" fontId="185" fillId="3" borderId="0" xfId="0" applyFont="1" applyFill="1" applyBorder="1" applyAlignment="1">
      <alignment horizontal="left" vertical="center" indent="1"/>
    </xf>
    <xf numFmtId="0" fontId="185" fillId="3" borderId="0" xfId="0" applyFont="1" applyFill="1" applyBorder="1" applyAlignment="1">
      <alignment horizontal="left" vertical="center" wrapText="1"/>
    </xf>
    <xf numFmtId="0" fontId="185" fillId="3" borderId="0" xfId="0" applyFont="1" applyFill="1" applyBorder="1" applyAlignment="1">
      <alignment horizontal="left" wrapText="1" indent="1"/>
    </xf>
    <xf numFmtId="0" fontId="185" fillId="3" borderId="0" xfId="0" applyFont="1" applyFill="1" applyBorder="1" applyAlignment="1">
      <alignment horizontal="left" vertical="top" wrapText="1" indent="1"/>
    </xf>
    <xf numFmtId="0" fontId="250" fillId="43" borderId="29" xfId="0" applyFont="1" applyFill="1" applyBorder="1" applyAlignment="1">
      <alignment horizontal="center" vertical="center" wrapText="1"/>
    </xf>
    <xf numFmtId="0" fontId="250" fillId="43" borderId="44" xfId="0" applyFont="1" applyFill="1" applyBorder="1" applyAlignment="1">
      <alignment horizontal="center" vertical="center" wrapText="1"/>
    </xf>
    <xf numFmtId="0" fontId="250" fillId="43" borderId="12" xfId="0" applyFont="1" applyFill="1" applyBorder="1" applyAlignment="1">
      <alignment horizontal="center" vertical="center" wrapText="1"/>
    </xf>
    <xf numFmtId="0" fontId="250" fillId="43" borderId="13" xfId="0" applyFont="1" applyFill="1" applyBorder="1" applyAlignment="1">
      <alignment horizontal="center" vertical="center" wrapText="1"/>
    </xf>
    <xf numFmtId="0" fontId="250" fillId="43" borderId="0" xfId="0" applyFont="1" applyFill="1" applyBorder="1" applyAlignment="1">
      <alignment horizontal="center" vertical="center" wrapText="1"/>
    </xf>
    <xf numFmtId="0" fontId="250" fillId="43" borderId="14" xfId="0" applyFont="1" applyFill="1" applyBorder="1" applyAlignment="1">
      <alignment horizontal="center" vertical="center" wrapText="1"/>
    </xf>
    <xf numFmtId="0" fontId="250" fillId="43" borderId="145" xfId="0" applyFont="1" applyFill="1" applyBorder="1" applyAlignment="1">
      <alignment horizontal="center" vertical="center" wrapText="1"/>
    </xf>
    <xf numFmtId="0" fontId="250" fillId="43" borderId="146" xfId="0" applyFont="1" applyFill="1" applyBorder="1" applyAlignment="1">
      <alignment horizontal="center" vertical="center" wrapText="1"/>
    </xf>
    <xf numFmtId="0" fontId="250" fillId="43" borderId="147" xfId="0" applyFont="1" applyFill="1" applyBorder="1" applyAlignment="1">
      <alignment horizontal="center" vertical="center" wrapText="1"/>
    </xf>
    <xf numFmtId="0" fontId="74" fillId="40" borderId="150" xfId="0" applyFont="1" applyFill="1" applyBorder="1" applyAlignment="1">
      <alignment horizontal="left" vertical="center"/>
    </xf>
    <xf numFmtId="0" fontId="74" fillId="40" borderId="146" xfId="0" applyFont="1" applyFill="1" applyBorder="1" applyAlignment="1">
      <alignment horizontal="left" vertical="center"/>
    </xf>
    <xf numFmtId="0" fontId="74" fillId="40" borderId="151" xfId="0" applyFont="1" applyFill="1" applyBorder="1" applyAlignment="1">
      <alignment horizontal="left" vertical="center"/>
    </xf>
    <xf numFmtId="169" fontId="21" fillId="3" borderId="0" xfId="0" applyNumberFormat="1" applyFont="1" applyFill="1" applyBorder="1" applyAlignment="1">
      <alignment horizontal="center"/>
    </xf>
    <xf numFmtId="0" fontId="142" fillId="43" borderId="29" xfId="0" applyFont="1" applyFill="1" applyBorder="1" applyAlignment="1">
      <alignment horizontal="center" vertical="center"/>
    </xf>
    <xf numFmtId="0" fontId="142" fillId="43" borderId="44" xfId="0" applyFont="1" applyFill="1" applyBorder="1" applyAlignment="1">
      <alignment horizontal="center" vertical="center"/>
    </xf>
    <xf numFmtId="0" fontId="142" fillId="43" borderId="12" xfId="0" applyFont="1" applyFill="1" applyBorder="1" applyAlignment="1">
      <alignment horizontal="center" vertical="center"/>
    </xf>
    <xf numFmtId="0" fontId="142" fillId="43" borderId="13" xfId="0" applyFont="1" applyFill="1" applyBorder="1" applyAlignment="1">
      <alignment horizontal="center" vertical="center"/>
    </xf>
    <xf numFmtId="0" fontId="142" fillId="43" borderId="0" xfId="0" applyFont="1" applyFill="1" applyBorder="1" applyAlignment="1">
      <alignment horizontal="center" vertical="center"/>
    </xf>
    <xf numFmtId="0" fontId="142" fillId="43" borderId="14" xfId="0" applyFont="1" applyFill="1" applyBorder="1" applyAlignment="1">
      <alignment horizontal="center" vertical="center"/>
    </xf>
    <xf numFmtId="0" fontId="142" fillId="50" borderId="55" xfId="0" applyFont="1" applyFill="1" applyBorder="1" applyAlignment="1">
      <alignment horizontal="center" vertical="center"/>
    </xf>
    <xf numFmtId="0" fontId="142" fillId="50" borderId="56" xfId="0" applyFont="1" applyFill="1" applyBorder="1" applyAlignment="1">
      <alignment horizontal="center" vertical="center"/>
    </xf>
    <xf numFmtId="0" fontId="142" fillId="50" borderId="57" xfId="0" applyFont="1" applyFill="1" applyBorder="1" applyAlignment="1">
      <alignment horizontal="center" vertical="center"/>
    </xf>
    <xf numFmtId="0" fontId="142" fillId="50" borderId="58" xfId="0" applyFont="1" applyFill="1" applyBorder="1" applyAlignment="1">
      <alignment horizontal="center" vertical="center"/>
    </xf>
    <xf numFmtId="0" fontId="142" fillId="50" borderId="0" xfId="0" applyFont="1" applyFill="1" applyBorder="1" applyAlignment="1">
      <alignment horizontal="center" vertical="center"/>
    </xf>
    <xf numFmtId="0" fontId="142" fillId="50" borderId="59" xfId="0" applyFont="1" applyFill="1" applyBorder="1" applyAlignment="1">
      <alignment horizontal="center" vertical="center"/>
    </xf>
    <xf numFmtId="0" fontId="78" fillId="9" borderId="0" xfId="0" applyFont="1" applyFill="1" applyBorder="1" applyAlignment="1">
      <alignment horizontal="center" vertical="center" wrapText="1"/>
    </xf>
    <xf numFmtId="0" fontId="78" fillId="9" borderId="0" xfId="0" applyFont="1" applyFill="1" applyBorder="1" applyAlignment="1">
      <alignment horizontal="center" vertical="center"/>
    </xf>
    <xf numFmtId="0" fontId="126" fillId="50" borderId="55" xfId="0" applyFont="1" applyFill="1" applyBorder="1" applyAlignment="1">
      <alignment horizontal="left" vertical="center" indent="1"/>
    </xf>
    <xf numFmtId="0" fontId="126" fillId="50" borderId="57" xfId="0" applyFont="1" applyFill="1" applyBorder="1" applyAlignment="1">
      <alignment horizontal="left" vertical="center" indent="1"/>
    </xf>
    <xf numFmtId="0" fontId="126" fillId="50" borderId="60" xfId="0" applyFont="1" applyFill="1" applyBorder="1" applyAlignment="1">
      <alignment horizontal="left" vertical="center" indent="1"/>
    </xf>
    <xf numFmtId="0" fontId="126" fillId="50" borderId="62" xfId="0" applyFont="1" applyFill="1" applyBorder="1" applyAlignment="1">
      <alignment horizontal="left" vertical="center" indent="1"/>
    </xf>
    <xf numFmtId="0" fontId="126" fillId="50" borderId="0" xfId="0" applyFont="1" applyFill="1" applyBorder="1" applyAlignment="1">
      <alignment horizontal="right" vertical="center" indent="1"/>
    </xf>
    <xf numFmtId="0" fontId="126" fillId="50" borderId="59" xfId="0" applyFont="1" applyFill="1" applyBorder="1" applyAlignment="1">
      <alignment horizontal="right" vertical="center" indent="1"/>
    </xf>
    <xf numFmtId="0" fontId="76" fillId="61" borderId="67" xfId="0" applyNumberFormat="1" applyFont="1" applyFill="1" applyBorder="1" applyAlignment="1">
      <alignment horizontal="left" vertical="center" wrapText="1" indent="1"/>
    </xf>
    <xf numFmtId="0" fontId="76" fillId="61" borderId="0" xfId="0" applyNumberFormat="1" applyFont="1" applyFill="1" applyBorder="1" applyAlignment="1">
      <alignment horizontal="left" vertical="center" wrapText="1" indent="1"/>
    </xf>
    <xf numFmtId="0" fontId="133" fillId="51" borderId="13" xfId="0" applyFont="1" applyFill="1" applyBorder="1" applyAlignment="1">
      <alignment horizontal="left" vertical="center" indent="1"/>
    </xf>
    <xf numFmtId="0" fontId="133" fillId="51" borderId="0" xfId="0" applyFont="1" applyFill="1" applyBorder="1" applyAlignment="1">
      <alignment horizontal="left" vertical="center" indent="1"/>
    </xf>
    <xf numFmtId="0" fontId="7" fillId="3" borderId="56" xfId="0" applyFont="1" applyFill="1" applyBorder="1" applyAlignment="1">
      <alignment horizontal="center" vertical="center"/>
    </xf>
    <xf numFmtId="0" fontId="7" fillId="3" borderId="0" xfId="0" applyFont="1" applyFill="1" applyBorder="1" applyAlignment="1">
      <alignment horizontal="center" vertical="center"/>
    </xf>
    <xf numFmtId="49" fontId="32" fillId="61" borderId="67" xfId="0" applyNumberFormat="1" applyFont="1" applyFill="1" applyBorder="1" applyAlignment="1">
      <alignment horizontal="left" vertical="center" wrapText="1" indent="1"/>
    </xf>
    <xf numFmtId="49" fontId="32" fillId="61" borderId="0" xfId="0" applyNumberFormat="1" applyFont="1" applyFill="1" applyBorder="1" applyAlignment="1">
      <alignment horizontal="left" vertical="center" wrapText="1" indent="1"/>
    </xf>
    <xf numFmtId="0" fontId="32" fillId="61" borderId="67" xfId="0" applyNumberFormat="1" applyFont="1" applyFill="1" applyBorder="1" applyAlignment="1">
      <alignment horizontal="left" vertical="center" wrapText="1" indent="1"/>
    </xf>
    <xf numFmtId="0" fontId="32" fillId="61" borderId="0" xfId="0" applyNumberFormat="1" applyFont="1" applyFill="1" applyBorder="1" applyAlignment="1">
      <alignment horizontal="left" vertical="center" wrapText="1" indent="1"/>
    </xf>
    <xf numFmtId="208" fontId="73" fillId="3" borderId="0" xfId="0" applyNumberFormat="1" applyFont="1" applyFill="1" applyBorder="1" applyAlignment="1">
      <alignment horizontal="center" vertical="center"/>
    </xf>
    <xf numFmtId="208" fontId="73" fillId="3" borderId="106" xfId="0" applyNumberFormat="1" applyFont="1" applyFill="1" applyBorder="1" applyAlignment="1">
      <alignment horizontal="center" vertical="center"/>
    </xf>
    <xf numFmtId="0" fontId="94" fillId="47" borderId="2" xfId="0" applyFont="1" applyFill="1" applyBorder="1" applyAlignment="1">
      <alignment horizontal="left" vertical="center" indent="1"/>
    </xf>
    <xf numFmtId="0" fontId="94" fillId="47" borderId="1" xfId="0" applyFont="1" applyFill="1" applyBorder="1" applyAlignment="1">
      <alignment horizontal="left" vertical="center" indent="1"/>
    </xf>
    <xf numFmtId="0" fontId="94" fillId="47" borderId="3" xfId="0" applyFont="1" applyFill="1" applyBorder="1" applyAlignment="1">
      <alignment horizontal="left" vertical="center" indent="1"/>
    </xf>
    <xf numFmtId="0" fontId="94" fillId="47" borderId="4" xfId="0" applyFont="1" applyFill="1" applyBorder="1" applyAlignment="1">
      <alignment horizontal="left" vertical="center" indent="1"/>
    </xf>
    <xf numFmtId="0" fontId="94" fillId="47" borderId="0" xfId="0" applyFont="1" applyFill="1" applyBorder="1" applyAlignment="1">
      <alignment horizontal="left" vertical="center" indent="1"/>
    </xf>
    <xf numFmtId="0" fontId="94" fillId="47" borderId="5" xfId="0" applyFont="1" applyFill="1" applyBorder="1" applyAlignment="1">
      <alignment horizontal="left" vertical="center" indent="1"/>
    </xf>
    <xf numFmtId="0" fontId="126" fillId="50" borderId="58" xfId="0" applyFont="1" applyFill="1" applyBorder="1" applyAlignment="1">
      <alignment horizontal="left" vertical="center" indent="1"/>
    </xf>
    <xf numFmtId="0" fontId="126" fillId="50" borderId="0" xfId="0" applyFont="1" applyFill="1" applyBorder="1" applyAlignment="1">
      <alignment horizontal="left" vertical="center" indent="1"/>
    </xf>
    <xf numFmtId="0" fontId="31" fillId="45" borderId="2" xfId="0" applyFont="1" applyFill="1" applyBorder="1" applyAlignment="1">
      <alignment horizontal="right" vertical="center"/>
    </xf>
    <xf numFmtId="0" fontId="31" fillId="45" borderId="1" xfId="0" applyFont="1" applyFill="1" applyBorder="1" applyAlignment="1">
      <alignment horizontal="right" vertical="center"/>
    </xf>
    <xf numFmtId="0" fontId="31" fillId="45" borderId="4" xfId="0" applyFont="1" applyFill="1" applyBorder="1" applyAlignment="1">
      <alignment horizontal="right" vertical="center"/>
    </xf>
    <xf numFmtId="0" fontId="31" fillId="45" borderId="0" xfId="0" applyFont="1" applyFill="1" applyBorder="1" applyAlignment="1">
      <alignment horizontal="right" vertical="center"/>
    </xf>
    <xf numFmtId="0" fontId="31" fillId="45" borderId="6" xfId="0" applyFont="1" applyFill="1" applyBorder="1" applyAlignment="1">
      <alignment horizontal="right" vertical="center"/>
    </xf>
    <xf numFmtId="0" fontId="31" fillId="45" borderId="7" xfId="0" applyFont="1" applyFill="1" applyBorder="1" applyAlignment="1">
      <alignment horizontal="right" vertical="center"/>
    </xf>
    <xf numFmtId="49" fontId="32" fillId="61" borderId="67" xfId="0" applyNumberFormat="1" applyFont="1" applyFill="1" applyBorder="1" applyAlignment="1">
      <alignment horizontal="left" vertical="center" wrapText="1"/>
    </xf>
    <xf numFmtId="49" fontId="32" fillId="61" borderId="0" xfId="0" applyNumberFormat="1" applyFont="1" applyFill="1" applyBorder="1" applyAlignment="1">
      <alignment horizontal="left" vertical="center" wrapText="1"/>
    </xf>
    <xf numFmtId="49" fontId="73" fillId="3" borderId="0" xfId="0" applyNumberFormat="1" applyFont="1" applyFill="1" applyBorder="1" applyAlignment="1">
      <alignment horizontal="left" vertical="top" wrapText="1" indent="1"/>
    </xf>
    <xf numFmtId="0" fontId="129" fillId="54" borderId="108" xfId="0" applyFont="1" applyFill="1" applyBorder="1" applyAlignment="1">
      <alignment horizontal="center" vertical="center"/>
    </xf>
    <xf numFmtId="0" fontId="74" fillId="41" borderId="0" xfId="3199" applyFont="1" applyFill="1" applyBorder="1" applyAlignment="1">
      <alignment horizontal="left" vertical="center" indent="1"/>
    </xf>
    <xf numFmtId="0" fontId="74" fillId="54" borderId="100" xfId="0" applyFont="1" applyFill="1" applyBorder="1" applyAlignment="1">
      <alignment horizontal="center" vertical="center"/>
    </xf>
    <xf numFmtId="0" fontId="74" fillId="54" borderId="104" xfId="0" applyFont="1" applyFill="1" applyBorder="1" applyAlignment="1">
      <alignment horizontal="center" vertical="center"/>
    </xf>
    <xf numFmtId="0" fontId="74" fillId="54" borderId="102" xfId="0" applyFont="1" applyFill="1" applyBorder="1" applyAlignment="1">
      <alignment horizontal="center" vertical="center"/>
    </xf>
    <xf numFmtId="0" fontId="74" fillId="54" borderId="107" xfId="0" applyFont="1" applyFill="1" applyBorder="1" applyAlignment="1">
      <alignment horizontal="center" vertical="center"/>
    </xf>
    <xf numFmtId="0" fontId="126" fillId="54" borderId="0" xfId="3199" applyFont="1" applyFill="1" applyBorder="1" applyAlignment="1">
      <alignment horizontal="left" vertical="center" indent="1"/>
    </xf>
    <xf numFmtId="0" fontId="72" fillId="9" borderId="100" xfId="0" applyFont="1" applyFill="1" applyBorder="1" applyAlignment="1">
      <alignment horizontal="left" vertical="center" indent="1"/>
    </xf>
    <xf numFmtId="0" fontId="72" fillId="9" borderId="104" xfId="0" applyFont="1" applyFill="1" applyBorder="1" applyAlignment="1">
      <alignment horizontal="left" vertical="center" indent="1"/>
    </xf>
    <xf numFmtId="0" fontId="72" fillId="9" borderId="101" xfId="0" applyFont="1" applyFill="1" applyBorder="1" applyAlignment="1">
      <alignment horizontal="left" vertical="center" indent="1"/>
    </xf>
    <xf numFmtId="0" fontId="86" fillId="3" borderId="105" xfId="0" applyNumberFormat="1" applyFont="1" applyFill="1" applyBorder="1" applyAlignment="1">
      <alignment horizontal="center" vertical="center" wrapText="1"/>
    </xf>
    <xf numFmtId="165" fontId="73" fillId="3" borderId="0" xfId="0" applyNumberFormat="1" applyFont="1" applyFill="1" applyBorder="1" applyAlignment="1">
      <alignment horizontal="center" vertical="center"/>
    </xf>
    <xf numFmtId="0" fontId="98" fillId="3" borderId="0" xfId="0" applyFont="1" applyFill="1" applyBorder="1" applyAlignment="1">
      <alignment horizontal="center" vertical="center"/>
    </xf>
    <xf numFmtId="0" fontId="94" fillId="47" borderId="77" xfId="0" applyFont="1" applyFill="1" applyBorder="1" applyAlignment="1">
      <alignment horizontal="left" vertical="center" indent="1"/>
    </xf>
    <xf numFmtId="0" fontId="94" fillId="47" borderId="79" xfId="0" applyFont="1" applyFill="1" applyBorder="1" applyAlignment="1">
      <alignment horizontal="left" vertical="center" indent="1"/>
    </xf>
    <xf numFmtId="0" fontId="94" fillId="47" borderId="80" xfId="0" applyFont="1" applyFill="1" applyBorder="1" applyAlignment="1">
      <alignment horizontal="left" vertical="center" indent="1"/>
    </xf>
    <xf numFmtId="213" fontId="87" fillId="3" borderId="0" xfId="0" applyNumberFormat="1" applyFont="1" applyFill="1" applyBorder="1" applyAlignment="1">
      <alignment horizontal="center" vertical="center"/>
    </xf>
    <xf numFmtId="213" fontId="87" fillId="3" borderId="59" xfId="0" applyNumberFormat="1" applyFont="1" applyFill="1" applyBorder="1" applyAlignment="1">
      <alignment horizontal="center" vertical="center"/>
    </xf>
    <xf numFmtId="0" fontId="21" fillId="3" borderId="0" xfId="0" applyFont="1" applyFill="1" applyBorder="1" applyAlignment="1">
      <alignment horizontal="center"/>
    </xf>
    <xf numFmtId="0" fontId="126" fillId="9" borderId="58" xfId="3199" applyFont="1" applyFill="1" applyBorder="1" applyAlignment="1">
      <alignment horizontal="center" vertical="center"/>
    </xf>
    <xf numFmtId="0" fontId="126" fillId="9" borderId="0" xfId="3199" applyFont="1" applyFill="1" applyBorder="1" applyAlignment="1">
      <alignment horizontal="center" vertical="center"/>
    </xf>
    <xf numFmtId="0" fontId="142" fillId="49" borderId="55" xfId="0" applyFont="1" applyFill="1" applyBorder="1" applyAlignment="1">
      <alignment horizontal="center" vertical="center"/>
    </xf>
    <xf numFmtId="0" fontId="142" fillId="49" borderId="56" xfId="0" applyFont="1" applyFill="1" applyBorder="1" applyAlignment="1">
      <alignment horizontal="center" vertical="center"/>
    </xf>
    <xf numFmtId="0" fontId="142" fillId="49" borderId="57" xfId="0" applyFont="1" applyFill="1" applyBorder="1" applyAlignment="1">
      <alignment horizontal="center" vertical="center"/>
    </xf>
    <xf numFmtId="0" fontId="142" fillId="49" borderId="58" xfId="0" applyFont="1" applyFill="1" applyBorder="1" applyAlignment="1">
      <alignment horizontal="center" vertical="center"/>
    </xf>
    <xf numFmtId="0" fontId="142" fillId="49" borderId="0" xfId="0" applyFont="1" applyFill="1" applyBorder="1" applyAlignment="1">
      <alignment horizontal="center" vertical="center"/>
    </xf>
    <xf numFmtId="0" fontId="142" fillId="49" borderId="59" xfId="0" applyFont="1" applyFill="1" applyBorder="1" applyAlignment="1">
      <alignment horizontal="center" vertical="center"/>
    </xf>
    <xf numFmtId="0" fontId="126" fillId="49" borderId="65" xfId="0" applyFont="1" applyFill="1" applyBorder="1" applyAlignment="1">
      <alignment horizontal="center" vertical="center"/>
    </xf>
    <xf numFmtId="0" fontId="126" fillId="49" borderId="0" xfId="0" applyFont="1" applyFill="1" applyBorder="1" applyAlignment="1">
      <alignment horizontal="center" vertical="center"/>
    </xf>
    <xf numFmtId="0" fontId="29" fillId="10" borderId="132" xfId="0" applyNumberFormat="1" applyFont="1" applyFill="1" applyBorder="1" applyAlignment="1">
      <alignment horizontal="center" vertical="center" wrapText="1"/>
    </xf>
    <xf numFmtId="0" fontId="8" fillId="3" borderId="0" xfId="0" applyFont="1" applyFill="1" applyBorder="1" applyAlignment="1">
      <alignment horizontal="center" vertical="center" wrapText="1"/>
    </xf>
    <xf numFmtId="0" fontId="8" fillId="3" borderId="133" xfId="0" applyNumberFormat="1" applyFont="1" applyFill="1" applyBorder="1" applyAlignment="1">
      <alignment horizontal="center" vertical="center" wrapText="1"/>
    </xf>
    <xf numFmtId="0" fontId="94" fillId="46" borderId="132" xfId="0" applyNumberFormat="1" applyFont="1" applyFill="1" applyBorder="1" applyAlignment="1">
      <alignment horizontal="center" vertical="center" wrapText="1"/>
    </xf>
    <xf numFmtId="0" fontId="94" fillId="46" borderId="0" xfId="0" applyNumberFormat="1" applyFont="1" applyFill="1" applyBorder="1" applyAlignment="1">
      <alignment horizontal="center" vertical="center" wrapText="1"/>
    </xf>
    <xf numFmtId="0" fontId="94" fillId="46" borderId="133" xfId="0" applyNumberFormat="1" applyFont="1" applyFill="1" applyBorder="1" applyAlignment="1">
      <alignment horizontal="center" vertical="center" wrapText="1"/>
    </xf>
    <xf numFmtId="0" fontId="8" fillId="10" borderId="132" xfId="219" applyFont="1" applyFill="1" applyBorder="1" applyAlignment="1">
      <alignment horizontal="center" vertical="center" wrapText="1"/>
    </xf>
    <xf numFmtId="0" fontId="8" fillId="10" borderId="0" xfId="219" applyFont="1" applyFill="1" applyBorder="1" applyAlignment="1">
      <alignment horizontal="center" vertical="center" wrapText="1"/>
    </xf>
    <xf numFmtId="0" fontId="8" fillId="10" borderId="133" xfId="219" applyFont="1" applyFill="1" applyBorder="1" applyAlignment="1">
      <alignment horizontal="center" vertical="center" wrapText="1"/>
    </xf>
    <xf numFmtId="0" fontId="94" fillId="57" borderId="132" xfId="216" applyNumberFormat="1" applyFont="1" applyFill="1" applyBorder="1" applyAlignment="1">
      <alignment horizontal="center" vertical="center"/>
    </xf>
    <xf numFmtId="0" fontId="94" fillId="57" borderId="0" xfId="216" applyNumberFormat="1" applyFont="1" applyFill="1" applyBorder="1" applyAlignment="1">
      <alignment horizontal="center" vertical="center"/>
    </xf>
    <xf numFmtId="0" fontId="94" fillId="57" borderId="133" xfId="216" applyNumberFormat="1" applyFont="1" applyFill="1" applyBorder="1" applyAlignment="1">
      <alignment horizontal="center" vertical="center"/>
    </xf>
    <xf numFmtId="207" fontId="31" fillId="59" borderId="133" xfId="51" applyNumberFormat="1" applyFont="1" applyFill="1" applyBorder="1" applyAlignment="1">
      <alignment horizontal="center" vertical="center" wrapText="1"/>
    </xf>
    <xf numFmtId="0" fontId="31" fillId="59" borderId="132" xfId="181" applyNumberFormat="1" applyFont="1" applyFill="1" applyBorder="1" applyAlignment="1">
      <alignment horizontal="center" vertical="center" wrapText="1"/>
    </xf>
    <xf numFmtId="10" fontId="31" fillId="59" borderId="0" xfId="0" applyNumberFormat="1" applyFont="1" applyFill="1" applyBorder="1" applyAlignment="1">
      <alignment horizontal="center" vertical="center" wrapText="1"/>
    </xf>
    <xf numFmtId="0" fontId="94" fillId="50" borderId="132" xfId="219" applyFont="1" applyFill="1" applyBorder="1" applyAlignment="1">
      <alignment horizontal="center" vertical="center" wrapText="1"/>
    </xf>
    <xf numFmtId="0" fontId="94" fillId="50" borderId="0" xfId="219" applyFont="1" applyFill="1" applyBorder="1" applyAlignment="1">
      <alignment horizontal="center" vertical="center" wrapText="1"/>
    </xf>
    <xf numFmtId="0" fontId="94" fillId="50" borderId="133" xfId="219" applyFont="1" applyFill="1" applyBorder="1" applyAlignment="1">
      <alignment horizontal="center" vertical="center" wrapText="1"/>
    </xf>
    <xf numFmtId="0" fontId="31" fillId="6" borderId="132" xfId="181" applyNumberFormat="1" applyFont="1" applyFill="1" applyBorder="1" applyAlignment="1">
      <alignment horizontal="center" vertical="center"/>
    </xf>
    <xf numFmtId="0" fontId="31" fillId="6" borderId="0" xfId="0" applyFont="1" applyFill="1" applyBorder="1" applyAlignment="1">
      <alignment horizontal="center" vertical="center"/>
    </xf>
    <xf numFmtId="208" fontId="31" fillId="6" borderId="133" xfId="51" applyNumberFormat="1" applyFont="1" applyFill="1" applyBorder="1" applyAlignment="1">
      <alignment horizontal="center" vertical="center" wrapText="1"/>
    </xf>
    <xf numFmtId="0" fontId="94" fillId="50" borderId="132" xfId="216" applyNumberFormat="1" applyFont="1" applyFill="1" applyBorder="1" applyAlignment="1">
      <alignment horizontal="center" vertical="center"/>
    </xf>
    <xf numFmtId="0" fontId="94" fillId="50" borderId="0" xfId="216" applyNumberFormat="1" applyFont="1" applyFill="1" applyBorder="1" applyAlignment="1">
      <alignment horizontal="center" vertical="center"/>
    </xf>
    <xf numFmtId="0" fontId="94" fillId="50" borderId="133" xfId="216" applyNumberFormat="1" applyFont="1" applyFill="1" applyBorder="1" applyAlignment="1">
      <alignment horizontal="center" vertical="center"/>
    </xf>
    <xf numFmtId="0" fontId="94" fillId="55" borderId="132" xfId="216" applyNumberFormat="1" applyFont="1" applyFill="1" applyBorder="1" applyAlignment="1">
      <alignment horizontal="center" vertical="center"/>
    </xf>
    <xf numFmtId="0" fontId="94" fillId="55" borderId="0" xfId="216" applyNumberFormat="1" applyFont="1" applyFill="1" applyBorder="1" applyAlignment="1">
      <alignment horizontal="center" vertical="center"/>
    </xf>
    <xf numFmtId="0" fontId="94" fillId="55" borderId="133" xfId="216" applyNumberFormat="1" applyFont="1" applyFill="1" applyBorder="1" applyAlignment="1">
      <alignment horizontal="center" vertical="center"/>
    </xf>
    <xf numFmtId="0" fontId="74" fillId="40" borderId="129" xfId="0" applyFont="1" applyFill="1" applyBorder="1" applyAlignment="1">
      <alignment horizontal="center" vertical="center"/>
    </xf>
    <xf numFmtId="0" fontId="74" fillId="40" borderId="130" xfId="0" applyFont="1" applyFill="1" applyBorder="1" applyAlignment="1">
      <alignment horizontal="center" vertical="center"/>
    </xf>
    <xf numFmtId="0" fontId="74" fillId="40" borderId="131" xfId="0" applyFont="1" applyFill="1" applyBorder="1" applyAlignment="1">
      <alignment horizontal="center" vertical="center"/>
    </xf>
    <xf numFmtId="0" fontId="74" fillId="40" borderId="132" xfId="0" applyFont="1" applyFill="1" applyBorder="1" applyAlignment="1">
      <alignment horizontal="center" vertical="center"/>
    </xf>
    <xf numFmtId="0" fontId="74" fillId="40" borderId="0" xfId="0" applyFont="1" applyFill="1" applyBorder="1" applyAlignment="1">
      <alignment horizontal="center" vertical="center"/>
    </xf>
    <xf numFmtId="0" fontId="74" fillId="40" borderId="133" xfId="0" applyFont="1" applyFill="1" applyBorder="1" applyAlignment="1">
      <alignment horizontal="center" vertical="center"/>
    </xf>
    <xf numFmtId="0" fontId="74" fillId="40" borderId="134" xfId="0" applyFont="1" applyFill="1" applyBorder="1" applyAlignment="1">
      <alignment horizontal="center" vertical="center"/>
    </xf>
    <xf numFmtId="0" fontId="74" fillId="40" borderId="135" xfId="0" applyFont="1" applyFill="1" applyBorder="1" applyAlignment="1">
      <alignment horizontal="center" vertical="center"/>
    </xf>
    <xf numFmtId="0" fontId="29" fillId="10" borderId="135" xfId="0" applyNumberFormat="1" applyFont="1" applyFill="1" applyBorder="1" applyAlignment="1">
      <alignment horizontal="center" vertical="center" wrapText="1"/>
    </xf>
    <xf numFmtId="0" fontId="31" fillId="59" borderId="135" xfId="181" applyNumberFormat="1" applyFont="1" applyFill="1" applyBorder="1" applyAlignment="1">
      <alignment horizontal="center" vertical="center" wrapText="1"/>
    </xf>
    <xf numFmtId="0" fontId="31" fillId="6" borderId="135" xfId="181" applyNumberFormat="1" applyFont="1" applyFill="1" applyBorder="1" applyAlignment="1">
      <alignment horizontal="center" vertical="center"/>
    </xf>
    <xf numFmtId="164" fontId="165" fillId="43" borderId="29" xfId="0" applyNumberFormat="1" applyFont="1" applyFill="1" applyBorder="1" applyAlignment="1">
      <alignment horizontal="center" vertical="center"/>
    </xf>
    <xf numFmtId="164" fontId="165" fillId="43" borderId="44" xfId="0" applyNumberFormat="1" applyFont="1" applyFill="1" applyBorder="1" applyAlignment="1">
      <alignment horizontal="center" vertical="center"/>
    </xf>
    <xf numFmtId="164" fontId="165" fillId="43" borderId="12" xfId="0" applyNumberFormat="1" applyFont="1" applyFill="1" applyBorder="1" applyAlignment="1">
      <alignment horizontal="center" vertical="center"/>
    </xf>
    <xf numFmtId="164" fontId="165" fillId="43" borderId="13" xfId="0" applyNumberFormat="1" applyFont="1" applyFill="1" applyBorder="1" applyAlignment="1">
      <alignment horizontal="center" vertical="center"/>
    </xf>
    <xf numFmtId="164" fontId="165" fillId="43" borderId="0" xfId="0" applyNumberFormat="1" applyFont="1" applyFill="1" applyBorder="1" applyAlignment="1">
      <alignment horizontal="center" vertical="center"/>
    </xf>
    <xf numFmtId="164" fontId="165" fillId="43" borderId="14" xfId="0" applyNumberFormat="1" applyFont="1" applyFill="1" applyBorder="1" applyAlignment="1">
      <alignment horizontal="center" vertical="center"/>
    </xf>
    <xf numFmtId="164" fontId="98" fillId="47" borderId="2" xfId="0" applyNumberFormat="1" applyFont="1" applyFill="1" applyBorder="1" applyAlignment="1">
      <alignment horizontal="center" vertical="center"/>
    </xf>
    <xf numFmtId="164" fontId="98" fillId="47" borderId="3" xfId="0" applyNumberFormat="1" applyFont="1" applyFill="1" applyBorder="1" applyAlignment="1">
      <alignment horizontal="center" vertical="center"/>
    </xf>
    <xf numFmtId="164" fontId="73" fillId="3" borderId="4" xfId="0" applyNumberFormat="1" applyFont="1" applyFill="1" applyBorder="1" applyAlignment="1">
      <alignment horizontal="left" vertical="center"/>
    </xf>
    <xf numFmtId="164" fontId="73" fillId="3" borderId="5" xfId="0" applyNumberFormat="1" applyFont="1" applyFill="1" applyBorder="1" applyAlignment="1">
      <alignment horizontal="left" vertical="center"/>
    </xf>
    <xf numFmtId="164" fontId="73" fillId="3" borderId="4" xfId="0" applyNumberFormat="1" applyFont="1" applyFill="1" applyBorder="1" applyAlignment="1">
      <alignment vertical="center"/>
    </xf>
    <xf numFmtId="164" fontId="73" fillId="3" borderId="5" xfId="0" applyNumberFormat="1" applyFont="1" applyFill="1" applyBorder="1" applyAlignment="1">
      <alignment vertical="center"/>
    </xf>
    <xf numFmtId="164" fontId="134" fillId="40" borderId="9" xfId="0" applyNumberFormat="1" applyFont="1" applyFill="1" applyBorder="1" applyAlignment="1">
      <alignment horizontal="center" vertical="center"/>
    </xf>
    <xf numFmtId="164" fontId="134" fillId="40" borderId="11" xfId="0" applyNumberFormat="1" applyFont="1" applyFill="1" applyBorder="1" applyAlignment="1">
      <alignment horizontal="center" vertical="center"/>
    </xf>
    <xf numFmtId="164" fontId="134" fillId="40" borderId="10" xfId="0" applyNumberFormat="1" applyFont="1" applyFill="1" applyBorder="1" applyAlignment="1">
      <alignment horizontal="center" vertical="center"/>
    </xf>
    <xf numFmtId="164" fontId="73" fillId="3" borderId="4" xfId="0" applyNumberFormat="1" applyFont="1" applyFill="1" applyBorder="1" applyAlignment="1">
      <alignment horizontal="center" vertical="center"/>
    </xf>
    <xf numFmtId="164" fontId="73" fillId="3" borderId="5" xfId="0" applyNumberFormat="1" applyFont="1" applyFill="1" applyBorder="1" applyAlignment="1">
      <alignment horizontal="center" vertical="center"/>
    </xf>
    <xf numFmtId="164" fontId="134" fillId="40" borderId="1" xfId="0" applyNumberFormat="1" applyFont="1" applyFill="1" applyBorder="1" applyAlignment="1">
      <alignment horizontal="center" vertical="center"/>
    </xf>
    <xf numFmtId="164" fontId="134" fillId="40" borderId="3" xfId="0" applyNumberFormat="1" applyFont="1" applyFill="1" applyBorder="1" applyAlignment="1">
      <alignment horizontal="center" vertical="center"/>
    </xf>
    <xf numFmtId="164" fontId="95" fillId="40" borderId="2" xfId="0" applyNumberFormat="1" applyFont="1" applyFill="1" applyBorder="1" applyAlignment="1">
      <alignment horizontal="center" vertical="center"/>
    </xf>
    <xf numFmtId="164" fontId="95" fillId="40" borderId="3" xfId="0" applyNumberFormat="1" applyFont="1" applyFill="1" applyBorder="1" applyAlignment="1">
      <alignment horizontal="center" vertical="center"/>
    </xf>
    <xf numFmtId="164" fontId="95" fillId="40" borderId="6" xfId="0" applyNumberFormat="1" applyFont="1" applyFill="1" applyBorder="1" applyAlignment="1">
      <alignment horizontal="center" vertical="center"/>
    </xf>
    <xf numFmtId="164" fontId="95" fillId="40" borderId="8" xfId="0" applyNumberFormat="1" applyFont="1" applyFill="1" applyBorder="1" applyAlignment="1">
      <alignment horizontal="center" vertical="center"/>
    </xf>
    <xf numFmtId="164" fontId="95" fillId="40" borderId="2" xfId="0" applyNumberFormat="1" applyFont="1" applyFill="1" applyBorder="1" applyAlignment="1">
      <alignment horizontal="center" vertical="center" wrapText="1"/>
    </xf>
    <xf numFmtId="164" fontId="95" fillId="40" borderId="3" xfId="0" applyNumberFormat="1" applyFont="1" applyFill="1" applyBorder="1" applyAlignment="1">
      <alignment horizontal="center" vertical="center" wrapText="1"/>
    </xf>
    <xf numFmtId="164" fontId="95" fillId="40" borderId="6" xfId="0" applyNumberFormat="1" applyFont="1" applyFill="1" applyBorder="1" applyAlignment="1">
      <alignment horizontal="center" vertical="center" wrapText="1"/>
    </xf>
    <xf numFmtId="164" fontId="95" fillId="40" borderId="8" xfId="0" applyNumberFormat="1" applyFont="1" applyFill="1" applyBorder="1" applyAlignment="1">
      <alignment horizontal="center" vertical="center" wrapText="1"/>
    </xf>
    <xf numFmtId="164" fontId="134" fillId="40" borderId="2" xfId="0" applyNumberFormat="1" applyFont="1" applyFill="1" applyBorder="1" applyAlignment="1">
      <alignment horizontal="center" vertical="center"/>
    </xf>
    <xf numFmtId="164" fontId="98" fillId="48" borderId="4" xfId="0" applyNumberFormat="1" applyFont="1" applyFill="1" applyBorder="1" applyAlignment="1">
      <alignment horizontal="center" vertical="center" wrapText="1"/>
    </xf>
    <xf numFmtId="164" fontId="98" fillId="48" borderId="0" xfId="0" applyNumberFormat="1" applyFont="1" applyFill="1" applyBorder="1" applyAlignment="1">
      <alignment horizontal="center" vertical="center" wrapText="1"/>
    </xf>
    <xf numFmtId="164" fontId="98" fillId="48" borderId="2" xfId="0" applyNumberFormat="1" applyFont="1" applyFill="1" applyBorder="1" applyAlignment="1">
      <alignment horizontal="center" vertical="center" wrapText="1"/>
    </xf>
    <xf numFmtId="164" fontId="98" fillId="48" borderId="3" xfId="0" applyNumberFormat="1" applyFont="1" applyFill="1" applyBorder="1" applyAlignment="1">
      <alignment horizontal="center" vertical="center" wrapText="1"/>
    </xf>
    <xf numFmtId="164" fontId="98" fillId="48" borderId="5" xfId="0" applyNumberFormat="1" applyFont="1" applyFill="1" applyBorder="1" applyAlignment="1">
      <alignment horizontal="center" vertical="center" wrapText="1"/>
    </xf>
    <xf numFmtId="164" fontId="73" fillId="3" borderId="2" xfId="0" applyNumberFormat="1" applyFont="1" applyFill="1" applyBorder="1" applyAlignment="1">
      <alignment horizontal="left" vertical="center"/>
    </xf>
    <xf numFmtId="164" fontId="73" fillId="3" borderId="3" xfId="0" applyNumberFormat="1" applyFont="1" applyFill="1" applyBorder="1" applyAlignment="1">
      <alignment horizontal="left" vertical="center"/>
    </xf>
    <xf numFmtId="164" fontId="95" fillId="40" borderId="4" xfId="0" applyNumberFormat="1" applyFont="1" applyFill="1" applyBorder="1" applyAlignment="1">
      <alignment horizontal="center" vertical="center"/>
    </xf>
    <xf numFmtId="164" fontId="95" fillId="40" borderId="5" xfId="0" applyNumberFormat="1" applyFont="1" applyFill="1" applyBorder="1" applyAlignment="1">
      <alignment horizontal="center" vertical="center"/>
    </xf>
    <xf numFmtId="164" fontId="98" fillId="48" borderId="17" xfId="0" applyNumberFormat="1" applyFont="1" applyFill="1" applyBorder="1" applyAlignment="1">
      <alignment horizontal="center" vertical="center" wrapText="1"/>
    </xf>
    <xf numFmtId="0" fontId="73" fillId="3" borderId="4" xfId="0" applyFont="1" applyFill="1" applyBorder="1" applyAlignment="1">
      <alignment horizontal="left" vertical="center"/>
    </xf>
    <xf numFmtId="0" fontId="73" fillId="3" borderId="5" xfId="0" applyFont="1" applyFill="1" applyBorder="1" applyAlignment="1">
      <alignment horizontal="left" vertical="center"/>
    </xf>
    <xf numFmtId="0" fontId="165" fillId="51" borderId="29" xfId="0" applyFont="1" applyFill="1" applyBorder="1" applyAlignment="1">
      <alignment horizontal="center" vertical="center" wrapText="1"/>
    </xf>
    <xf numFmtId="0" fontId="165" fillId="51" borderId="44" xfId="0" applyFont="1" applyFill="1" applyBorder="1" applyAlignment="1">
      <alignment horizontal="center" vertical="center" wrapText="1"/>
    </xf>
    <xf numFmtId="0" fontId="165" fillId="51" borderId="12" xfId="0" applyFont="1" applyFill="1" applyBorder="1" applyAlignment="1">
      <alignment horizontal="center" vertical="center" wrapText="1"/>
    </xf>
    <xf numFmtId="0" fontId="165" fillId="51" borderId="13" xfId="0" applyFont="1" applyFill="1" applyBorder="1" applyAlignment="1">
      <alignment horizontal="center" vertical="center" wrapText="1"/>
    </xf>
    <xf numFmtId="0" fontId="165" fillId="51" borderId="0" xfId="0" applyFont="1" applyFill="1" applyBorder="1" applyAlignment="1">
      <alignment horizontal="center" vertical="center" wrapText="1"/>
    </xf>
    <xf numFmtId="0" fontId="165" fillId="51" borderId="14" xfId="0" applyFont="1" applyFill="1" applyBorder="1" applyAlignment="1">
      <alignment horizontal="center" vertical="center" wrapText="1"/>
    </xf>
    <xf numFmtId="0" fontId="73" fillId="3" borderId="4" xfId="0" applyFont="1" applyFill="1" applyBorder="1" applyAlignment="1">
      <alignment horizontal="center" vertical="center"/>
    </xf>
    <xf numFmtId="0" fontId="73" fillId="3" borderId="5" xfId="0" applyFont="1" applyFill="1" applyBorder="1" applyAlignment="1">
      <alignment horizontal="center" vertical="center"/>
    </xf>
    <xf numFmtId="0" fontId="98" fillId="47" borderId="2" xfId="0" applyFont="1" applyFill="1" applyBorder="1" applyAlignment="1">
      <alignment horizontal="center" vertical="center"/>
    </xf>
    <xf numFmtId="0" fontId="98" fillId="47" borderId="3" xfId="0" applyFont="1" applyFill="1" applyBorder="1" applyAlignment="1">
      <alignment horizontal="center" vertical="center"/>
    </xf>
    <xf numFmtId="0" fontId="73" fillId="3" borderId="4" xfId="0" applyFont="1" applyFill="1" applyBorder="1" applyAlignment="1">
      <alignment vertical="center"/>
    </xf>
    <xf numFmtId="0" fontId="73" fillId="3" borderId="5" xfId="0" applyFont="1" applyFill="1" applyBorder="1" applyAlignment="1">
      <alignment vertical="center"/>
    </xf>
    <xf numFmtId="0" fontId="98" fillId="47" borderId="4" xfId="0" applyFont="1" applyFill="1" applyBorder="1" applyAlignment="1">
      <alignment horizontal="center" vertical="center"/>
    </xf>
    <xf numFmtId="0" fontId="98" fillId="47" borderId="5" xfId="0" applyFont="1" applyFill="1" applyBorder="1" applyAlignment="1">
      <alignment horizontal="center" vertical="center"/>
    </xf>
    <xf numFmtId="0" fontId="184" fillId="3" borderId="0" xfId="0" applyFont="1" applyFill="1" applyBorder="1" applyAlignment="1">
      <alignment horizontal="left" vertical="top" wrapText="1"/>
    </xf>
    <xf numFmtId="49" fontId="184" fillId="42" borderId="67" xfId="0" applyNumberFormat="1" applyFont="1" applyFill="1" applyBorder="1" applyAlignment="1">
      <alignment horizontal="left" vertical="center" wrapText="1" indent="1"/>
    </xf>
    <xf numFmtId="49" fontId="184" fillId="42" borderId="0" xfId="0" applyNumberFormat="1" applyFont="1" applyFill="1" applyBorder="1" applyAlignment="1">
      <alignment horizontal="left" vertical="center" wrapText="1" indent="1"/>
    </xf>
    <xf numFmtId="0" fontId="179" fillId="43" borderId="0" xfId="0" applyFont="1" applyFill="1" applyAlignment="1">
      <alignment horizontal="left"/>
    </xf>
    <xf numFmtId="0" fontId="143" fillId="3" borderId="0" xfId="0" applyFont="1" applyFill="1" applyBorder="1" applyAlignment="1">
      <alignment horizontal="left" vertical="center"/>
    </xf>
    <xf numFmtId="4" fontId="145" fillId="43" borderId="44" xfId="0" applyNumberFormat="1" applyFont="1" applyFill="1" applyBorder="1" applyAlignment="1">
      <alignment horizontal="left" vertical="center"/>
    </xf>
    <xf numFmtId="4" fontId="145" fillId="43" borderId="0" xfId="0" applyNumberFormat="1" applyFont="1" applyFill="1" applyBorder="1" applyAlignment="1">
      <alignment horizontal="left" vertical="center"/>
    </xf>
    <xf numFmtId="4" fontId="98" fillId="47" borderId="83" xfId="0" applyNumberFormat="1" applyFont="1" applyFill="1" applyBorder="1" applyAlignment="1">
      <alignment horizontal="left" vertical="center"/>
    </xf>
    <xf numFmtId="0" fontId="244" fillId="3" borderId="1" xfId="0" applyFont="1" applyFill="1" applyBorder="1" applyAlignment="1">
      <alignment horizontal="center"/>
    </xf>
    <xf numFmtId="0" fontId="244" fillId="3" borderId="3" xfId="0" applyFont="1" applyFill="1" applyBorder="1" applyAlignment="1">
      <alignment horizontal="center"/>
    </xf>
    <xf numFmtId="4" fontId="98" fillId="40" borderId="112" xfId="0" applyNumberFormat="1" applyFont="1" applyFill="1" applyBorder="1" applyAlignment="1">
      <alignment horizontal="center" vertical="center" wrapText="1"/>
    </xf>
    <xf numFmtId="4" fontId="98" fillId="40" borderId="117" xfId="0" applyNumberFormat="1" applyFont="1" applyFill="1" applyBorder="1" applyAlignment="1">
      <alignment horizontal="center" vertical="center" wrapText="1"/>
    </xf>
    <xf numFmtId="4" fontId="73" fillId="3" borderId="113" xfId="0" applyNumberFormat="1" applyFont="1" applyFill="1" applyBorder="1" applyAlignment="1">
      <alignment horizontal="center" vertical="center" wrapText="1"/>
    </xf>
    <xf numFmtId="4" fontId="73" fillId="3" borderId="118" xfId="0" applyNumberFormat="1" applyFont="1" applyFill="1" applyBorder="1" applyAlignment="1">
      <alignment horizontal="center" vertical="center" wrapText="1"/>
    </xf>
    <xf numFmtId="4" fontId="73" fillId="3" borderId="113" xfId="0" applyNumberFormat="1" applyFont="1" applyFill="1" applyBorder="1" applyAlignment="1">
      <alignment horizontal="center" vertical="center"/>
    </xf>
    <xf numFmtId="4" fontId="73" fillId="3" borderId="118" xfId="0" applyNumberFormat="1" applyFont="1" applyFill="1" applyBorder="1" applyAlignment="1">
      <alignment horizontal="center" vertical="center"/>
    </xf>
    <xf numFmtId="4" fontId="32" fillId="61" borderId="67" xfId="0" applyNumberFormat="1" applyFont="1" applyFill="1" applyBorder="1" applyAlignment="1">
      <alignment horizontal="center" vertical="center" wrapText="1"/>
    </xf>
    <xf numFmtId="4" fontId="32" fillId="61" borderId="0" xfId="0" applyNumberFormat="1" applyFont="1" applyFill="1" applyBorder="1" applyAlignment="1">
      <alignment horizontal="center" vertical="center" wrapText="1"/>
    </xf>
    <xf numFmtId="4" fontId="96" fillId="3" borderId="0" xfId="0" applyNumberFormat="1" applyFont="1" applyFill="1" applyBorder="1" applyAlignment="1">
      <alignment horizontal="center" vertical="center"/>
    </xf>
    <xf numFmtId="4" fontId="32" fillId="61" borderId="67" xfId="0" applyNumberFormat="1" applyFont="1" applyFill="1" applyBorder="1" applyAlignment="1">
      <alignment horizontal="left" vertical="center" wrapText="1" indent="1"/>
    </xf>
    <xf numFmtId="4" fontId="32" fillId="61" borderId="0" xfId="0" applyNumberFormat="1" applyFont="1" applyFill="1" applyBorder="1" applyAlignment="1">
      <alignment horizontal="left" vertical="center" wrapText="1" indent="1"/>
    </xf>
    <xf numFmtId="0" fontId="73" fillId="61" borderId="67" xfId="0" applyNumberFormat="1" applyFont="1" applyFill="1" applyBorder="1" applyAlignment="1">
      <alignment horizontal="left" vertical="center" wrapText="1" indent="1"/>
    </xf>
    <xf numFmtId="0" fontId="73" fillId="61" borderId="0" xfId="0" applyNumberFormat="1" applyFont="1" applyFill="1" applyBorder="1" applyAlignment="1">
      <alignment horizontal="left" vertical="center" wrapText="1" indent="1"/>
    </xf>
    <xf numFmtId="4" fontId="86" fillId="3" borderId="109" xfId="0" applyNumberFormat="1" applyFont="1" applyFill="1" applyBorder="1" applyAlignment="1">
      <alignment horizontal="center" vertical="center"/>
    </xf>
    <xf numFmtId="4" fontId="86" fillId="3" borderId="20" xfId="0" applyNumberFormat="1" applyFont="1" applyFill="1" applyBorder="1" applyAlignment="1">
      <alignment horizontal="center" vertical="center"/>
    </xf>
    <xf numFmtId="4" fontId="73" fillId="6" borderId="79" xfId="0" applyNumberFormat="1" applyFont="1" applyFill="1" applyBorder="1" applyAlignment="1">
      <alignment horizontal="center" vertical="center"/>
    </xf>
    <xf numFmtId="4" fontId="73" fillId="6" borderId="78" xfId="0" applyNumberFormat="1" applyFont="1" applyFill="1" applyBorder="1" applyAlignment="1">
      <alignment horizontal="center" vertical="center"/>
    </xf>
    <xf numFmtId="4" fontId="73" fillId="6" borderId="33" xfId="0" applyNumberFormat="1" applyFont="1" applyFill="1" applyBorder="1" applyAlignment="1">
      <alignment horizontal="center" vertical="center"/>
    </xf>
    <xf numFmtId="4" fontId="73" fillId="6" borderId="0" xfId="0" applyNumberFormat="1" applyFont="1" applyFill="1" applyBorder="1" applyAlignment="1">
      <alignment horizontal="center" vertical="center"/>
    </xf>
    <xf numFmtId="4" fontId="86" fillId="3" borderId="0" xfId="0" applyNumberFormat="1" applyFont="1" applyFill="1" applyBorder="1" applyAlignment="1">
      <alignment horizontal="center" vertical="center"/>
    </xf>
    <xf numFmtId="4" fontId="86" fillId="3" borderId="81" xfId="0" applyNumberFormat="1" applyFont="1" applyFill="1" applyBorder="1" applyAlignment="1">
      <alignment horizontal="center" vertical="center"/>
    </xf>
    <xf numFmtId="4" fontId="73" fillId="3" borderId="114" xfId="0" applyNumberFormat="1" applyFont="1" applyFill="1" applyBorder="1" applyAlignment="1">
      <alignment horizontal="center" vertical="center"/>
    </xf>
    <xf numFmtId="4" fontId="73" fillId="3" borderId="119" xfId="0" applyNumberFormat="1" applyFont="1" applyFill="1" applyBorder="1" applyAlignment="1">
      <alignment horizontal="center" vertical="center"/>
    </xf>
    <xf numFmtId="4" fontId="86" fillId="3" borderId="113" xfId="219" applyNumberFormat="1" applyFont="1" applyFill="1" applyBorder="1" applyAlignment="1">
      <alignment horizontal="center" vertical="center"/>
    </xf>
    <xf numFmtId="4" fontId="86" fillId="3" borderId="118" xfId="219" applyNumberFormat="1" applyFont="1" applyFill="1" applyBorder="1" applyAlignment="1">
      <alignment horizontal="center" vertical="center"/>
    </xf>
    <xf numFmtId="0" fontId="21" fillId="0" borderId="0" xfId="0" applyFont="1" applyAlignment="1">
      <alignment horizontal="center"/>
    </xf>
    <xf numFmtId="0" fontId="143" fillId="3" borderId="0" xfId="0" applyFont="1" applyFill="1" applyBorder="1" applyAlignment="1">
      <alignment horizontal="left" vertical="top" wrapText="1"/>
    </xf>
    <xf numFmtId="0" fontId="143" fillId="3" borderId="0" xfId="0" applyFont="1" applyFill="1" applyBorder="1" applyAlignment="1">
      <alignment horizontal="left" wrapText="1"/>
    </xf>
    <xf numFmtId="4" fontId="145" fillId="51" borderId="44" xfId="0" applyNumberFormat="1" applyFont="1" applyFill="1" applyBorder="1" applyAlignment="1">
      <alignment horizontal="left" vertical="center"/>
    </xf>
    <xf numFmtId="4" fontId="145" fillId="51" borderId="0" xfId="0" applyNumberFormat="1" applyFont="1" applyFill="1" applyBorder="1" applyAlignment="1">
      <alignment horizontal="left" vertical="center"/>
    </xf>
    <xf numFmtId="49" fontId="32" fillId="42" borderId="67" xfId="0" applyNumberFormat="1" applyFont="1" applyFill="1" applyBorder="1" applyAlignment="1">
      <alignment horizontal="left" vertical="center" wrapText="1" indent="1"/>
    </xf>
    <xf numFmtId="49" fontId="32" fillId="42" borderId="0" xfId="0" applyNumberFormat="1" applyFont="1" applyFill="1" applyBorder="1" applyAlignment="1">
      <alignment horizontal="left" vertical="center" wrapText="1" indent="1"/>
    </xf>
    <xf numFmtId="4" fontId="86" fillId="10" borderId="33" xfId="0" applyNumberFormat="1" applyFont="1" applyFill="1" applyBorder="1" applyAlignment="1">
      <alignment horizontal="center" vertical="center"/>
    </xf>
    <xf numFmtId="4" fontId="86" fillId="10" borderId="0" xfId="0" applyNumberFormat="1" applyFont="1" applyFill="1" applyBorder="1" applyAlignment="1">
      <alignment horizontal="center" vertical="center"/>
    </xf>
    <xf numFmtId="4" fontId="73" fillId="3" borderId="0" xfId="0" applyNumberFormat="1" applyFont="1" applyFill="1" applyBorder="1" applyAlignment="1">
      <alignment horizontal="center" vertical="center"/>
    </xf>
    <xf numFmtId="4" fontId="73" fillId="10" borderId="83" xfId="0" applyNumberFormat="1" applyFont="1" applyFill="1" applyBorder="1" applyAlignment="1">
      <alignment horizontal="center" vertical="center"/>
    </xf>
    <xf numFmtId="4" fontId="86" fillId="3" borderId="79" xfId="0" applyNumberFormat="1" applyFont="1" applyFill="1" applyBorder="1" applyAlignment="1">
      <alignment horizontal="center" vertical="center"/>
    </xf>
    <xf numFmtId="4" fontId="86" fillId="3" borderId="78" xfId="0" applyNumberFormat="1" applyFont="1" applyFill="1" applyBorder="1" applyAlignment="1">
      <alignment horizontal="center" vertical="center"/>
    </xf>
    <xf numFmtId="0" fontId="0" fillId="3" borderId="0" xfId="0" applyFill="1" applyBorder="1" applyAlignment="1">
      <alignment horizontal="center"/>
    </xf>
    <xf numFmtId="0" fontId="86" fillId="3" borderId="1" xfId="0" applyFont="1" applyFill="1" applyBorder="1" applyAlignment="1">
      <alignment horizontal="center"/>
    </xf>
    <xf numFmtId="0" fontId="86" fillId="3" borderId="3" xfId="0" applyFont="1" applyFill="1" applyBorder="1" applyAlignment="1">
      <alignment horizontal="center"/>
    </xf>
    <xf numFmtId="4" fontId="153" fillId="3" borderId="0" xfId="0" applyNumberFormat="1" applyFont="1" applyFill="1" applyBorder="1" applyAlignment="1">
      <alignment horizontal="center" vertical="center"/>
    </xf>
    <xf numFmtId="4" fontId="98" fillId="44" borderId="0" xfId="0" applyNumberFormat="1" applyFont="1" applyFill="1" applyBorder="1" applyAlignment="1">
      <alignment horizontal="center" wrapText="1"/>
    </xf>
    <xf numFmtId="0" fontId="166" fillId="43" borderId="44" xfId="0" applyFont="1" applyFill="1" applyBorder="1" applyAlignment="1">
      <alignment horizontal="left" vertical="center"/>
    </xf>
    <xf numFmtId="0" fontId="166" fillId="43" borderId="0" xfId="0" applyFont="1" applyFill="1" applyBorder="1" applyAlignment="1">
      <alignment horizontal="left" vertical="center"/>
    </xf>
    <xf numFmtId="0" fontId="205" fillId="43" borderId="2" xfId="0" applyFont="1" applyFill="1" applyBorder="1" applyAlignment="1">
      <alignment horizontal="left" vertical="center" indent="1"/>
    </xf>
    <xf numFmtId="0" fontId="205" fillId="43" borderId="1" xfId="0" applyFont="1" applyFill="1" applyBorder="1" applyAlignment="1">
      <alignment horizontal="left" vertical="center" indent="1"/>
    </xf>
    <xf numFmtId="0" fontId="205" fillId="43" borderId="3" xfId="0" applyFont="1" applyFill="1" applyBorder="1" applyAlignment="1">
      <alignment horizontal="left" vertical="center" indent="1"/>
    </xf>
    <xf numFmtId="0" fontId="205" fillId="43" borderId="6" xfId="0" applyFont="1" applyFill="1" applyBorder="1" applyAlignment="1">
      <alignment horizontal="left" vertical="center" indent="1"/>
    </xf>
    <xf numFmtId="0" fontId="205" fillId="43" borderId="7" xfId="0" applyFont="1" applyFill="1" applyBorder="1" applyAlignment="1">
      <alignment horizontal="left" vertical="center" indent="1"/>
    </xf>
    <xf numFmtId="0" fontId="205" fillId="43" borderId="8" xfId="0" applyFont="1" applyFill="1" applyBorder="1" applyAlignment="1">
      <alignment horizontal="left" vertical="center" indent="1"/>
    </xf>
    <xf numFmtId="0" fontId="173" fillId="3" borderId="1" xfId="3" applyFont="1" applyFill="1" applyBorder="1" applyAlignment="1">
      <alignment horizontal="left" vertical="top" wrapText="1"/>
    </xf>
    <xf numFmtId="0" fontId="173" fillId="3" borderId="7" xfId="3" applyFont="1" applyFill="1" applyBorder="1" applyAlignment="1">
      <alignment horizontal="left" vertical="top" wrapText="1"/>
    </xf>
    <xf numFmtId="0" fontId="207" fillId="3" borderId="0" xfId="0" applyFont="1" applyFill="1" applyBorder="1" applyAlignment="1">
      <alignment horizontal="left" wrapText="1" indent="1"/>
    </xf>
    <xf numFmtId="0" fontId="206" fillId="4" borderId="4" xfId="5" applyFont="1" applyFill="1" applyBorder="1" applyAlignment="1">
      <alignment horizontal="center" vertical="center" wrapText="1"/>
    </xf>
    <xf numFmtId="0" fontId="206" fillId="4" borderId="5" xfId="5" applyFont="1" applyFill="1" applyBorder="1" applyAlignment="1">
      <alignment horizontal="center" vertical="center" wrapText="1"/>
    </xf>
    <xf numFmtId="0" fontId="206" fillId="4" borderId="0" xfId="5" applyFont="1" applyFill="1" applyBorder="1" applyAlignment="1">
      <alignment horizontal="center" vertical="center" wrapText="1"/>
    </xf>
    <xf numFmtId="0" fontId="210" fillId="40" borderId="2" xfId="3" applyFont="1" applyFill="1" applyBorder="1" applyAlignment="1">
      <alignment horizontal="center" vertical="center" wrapText="1"/>
    </xf>
    <xf numFmtId="0" fontId="210" fillId="40" borderId="1" xfId="3" applyFont="1" applyFill="1" applyBorder="1" applyAlignment="1">
      <alignment horizontal="center" vertical="center" wrapText="1"/>
    </xf>
    <xf numFmtId="0" fontId="210" fillId="40" borderId="3" xfId="3" applyFont="1" applyFill="1" applyBorder="1" applyAlignment="1">
      <alignment horizontal="center" vertical="center" wrapText="1"/>
    </xf>
    <xf numFmtId="0" fontId="182" fillId="47" borderId="4" xfId="4" applyFont="1" applyFill="1" applyBorder="1" applyAlignment="1">
      <alignment horizontal="center" vertical="center" wrapText="1"/>
    </xf>
    <xf numFmtId="0" fontId="182" fillId="47" borderId="0" xfId="4" applyFont="1" applyFill="1" applyBorder="1" applyAlignment="1">
      <alignment horizontal="center" vertical="center" wrapText="1"/>
    </xf>
    <xf numFmtId="0" fontId="221" fillId="41" borderId="2" xfId="0" applyFont="1" applyFill="1" applyBorder="1" applyAlignment="1">
      <alignment horizontal="center" vertical="center"/>
    </xf>
    <xf numFmtId="0" fontId="221" fillId="41" borderId="3" xfId="0" applyFont="1" applyFill="1" applyBorder="1" applyAlignment="1">
      <alignment horizontal="center" vertical="center"/>
    </xf>
    <xf numFmtId="0" fontId="206" fillId="4" borderId="2" xfId="5" applyFont="1" applyFill="1" applyBorder="1" applyAlignment="1">
      <alignment horizontal="center" vertical="center" wrapText="1"/>
    </xf>
    <xf numFmtId="0" fontId="206" fillId="4" borderId="1" xfId="5" applyFont="1" applyFill="1" applyBorder="1" applyAlignment="1">
      <alignment horizontal="center" vertical="center" wrapText="1"/>
    </xf>
    <xf numFmtId="0" fontId="206" fillId="4" borderId="3" xfId="5" applyFont="1" applyFill="1" applyBorder="1" applyAlignment="1">
      <alignment horizontal="center" vertical="center" wrapText="1"/>
    </xf>
    <xf numFmtId="0" fontId="221" fillId="41" borderId="11" xfId="0" applyFont="1" applyFill="1" applyBorder="1" applyAlignment="1">
      <alignment horizontal="center" vertical="center"/>
    </xf>
    <xf numFmtId="0" fontId="221" fillId="43" borderId="11" xfId="0" applyFont="1" applyFill="1" applyBorder="1" applyAlignment="1">
      <alignment horizontal="center" vertical="center"/>
    </xf>
    <xf numFmtId="0" fontId="221" fillId="43" borderId="10" xfId="0" applyFont="1" applyFill="1" applyBorder="1" applyAlignment="1">
      <alignment horizontal="center" vertical="center"/>
    </xf>
    <xf numFmtId="0" fontId="182" fillId="48" borderId="5" xfId="3" applyFont="1" applyFill="1" applyBorder="1" applyAlignment="1">
      <alignment horizontal="center" vertical="center" wrapText="1"/>
    </xf>
    <xf numFmtId="0" fontId="202" fillId="41" borderId="4" xfId="0" applyFont="1" applyFill="1" applyBorder="1" applyAlignment="1">
      <alignment horizontal="left" indent="1"/>
    </xf>
    <xf numFmtId="0" fontId="202" fillId="41" borderId="0" xfId="0" applyFont="1" applyFill="1" applyBorder="1" applyAlignment="1">
      <alignment horizontal="left" indent="1"/>
    </xf>
    <xf numFmtId="0" fontId="182" fillId="47" borderId="5" xfId="3" applyFont="1" applyFill="1" applyBorder="1" applyAlignment="1">
      <alignment horizontal="center" vertical="center" wrapText="1"/>
    </xf>
    <xf numFmtId="0" fontId="182" fillId="48" borderId="4" xfId="3" applyFont="1" applyFill="1" applyBorder="1" applyAlignment="1">
      <alignment horizontal="center" vertical="center" wrapText="1"/>
    </xf>
    <xf numFmtId="0" fontId="182" fillId="48" borderId="0" xfId="3" applyFont="1" applyFill="1" applyBorder="1" applyAlignment="1">
      <alignment horizontal="center" vertical="center" wrapText="1"/>
    </xf>
    <xf numFmtId="0" fontId="182" fillId="47" borderId="5" xfId="4" applyFont="1" applyFill="1" applyBorder="1" applyAlignment="1">
      <alignment horizontal="center" vertical="center" wrapText="1"/>
    </xf>
    <xf numFmtId="0" fontId="182" fillId="47" borderId="4" xfId="3" applyFont="1" applyFill="1" applyBorder="1" applyAlignment="1">
      <alignment horizontal="center" vertical="center" wrapText="1"/>
    </xf>
    <xf numFmtId="0" fontId="182" fillId="47" borderId="0" xfId="3" applyFont="1" applyFill="1" applyBorder="1" applyAlignment="1">
      <alignment horizontal="center" vertical="center" wrapText="1"/>
    </xf>
    <xf numFmtId="0" fontId="206" fillId="4" borderId="4" xfId="5" applyFont="1" applyFill="1" applyBorder="1" applyAlignment="1">
      <alignment horizontal="center" wrapText="1"/>
    </xf>
    <xf numFmtId="0" fontId="206" fillId="4" borderId="5" xfId="5" applyFont="1" applyFill="1" applyBorder="1" applyAlignment="1">
      <alignment horizontal="center" wrapText="1"/>
    </xf>
    <xf numFmtId="49" fontId="184" fillId="61" borderId="67" xfId="0" applyNumberFormat="1" applyFont="1" applyFill="1" applyBorder="1" applyAlignment="1">
      <alignment horizontal="left" vertical="center" wrapText="1" indent="1"/>
    </xf>
    <xf numFmtId="49" fontId="184" fillId="61" borderId="0" xfId="0" applyNumberFormat="1" applyFont="1" applyFill="1" applyBorder="1" applyAlignment="1">
      <alignment horizontal="left" vertical="center" wrapText="1" indent="1"/>
    </xf>
    <xf numFmtId="0" fontId="169" fillId="4" borderId="4" xfId="5" applyFont="1" applyFill="1" applyBorder="1" applyAlignment="1">
      <alignment horizontal="center" vertical="center" wrapText="1"/>
    </xf>
    <xf numFmtId="0" fontId="179" fillId="43" borderId="44" xfId="0" applyFont="1" applyFill="1" applyBorder="1" applyAlignment="1">
      <alignment horizontal="left"/>
    </xf>
    <xf numFmtId="0" fontId="179" fillId="43" borderId="0" xfId="0" applyFont="1" applyFill="1" applyBorder="1" applyAlignment="1">
      <alignment horizontal="left"/>
    </xf>
    <xf numFmtId="0" fontId="167" fillId="44" borderId="9" xfId="225" applyFont="1" applyFill="1" applyBorder="1" applyAlignment="1">
      <alignment horizontal="center" vertical="center" wrapText="1"/>
    </xf>
    <xf numFmtId="0" fontId="167" fillId="44" borderId="10" xfId="225" applyFont="1" applyFill="1" applyBorder="1" applyAlignment="1">
      <alignment horizontal="center" vertical="center" wrapText="1"/>
    </xf>
    <xf numFmtId="0" fontId="222" fillId="44" borderId="9" xfId="225" applyFont="1" applyFill="1" applyBorder="1" applyAlignment="1">
      <alignment horizontal="center" vertical="center" wrapText="1"/>
    </xf>
    <xf numFmtId="0" fontId="178" fillId="44" borderId="11" xfId="0" applyFont="1" applyFill="1" applyBorder="1" applyAlignment="1">
      <alignment vertical="center"/>
    </xf>
    <xf numFmtId="0" fontId="178" fillId="44" borderId="10" xfId="0" applyFont="1" applyFill="1" applyBorder="1" applyAlignment="1">
      <alignment vertical="center"/>
    </xf>
    <xf numFmtId="0" fontId="178" fillId="40" borderId="2" xfId="0" applyFont="1" applyFill="1" applyBorder="1" applyAlignment="1">
      <alignment horizontal="center"/>
    </xf>
    <xf numFmtId="0" fontId="178" fillId="40" borderId="3" xfId="0" applyFont="1" applyFill="1" applyBorder="1" applyAlignment="1">
      <alignment horizontal="center"/>
    </xf>
    <xf numFmtId="0" fontId="167" fillId="41" borderId="9" xfId="225" applyFont="1" applyFill="1" applyBorder="1" applyAlignment="1">
      <alignment horizontal="center" vertical="center" wrapText="1"/>
    </xf>
    <xf numFmtId="0" fontId="167" fillId="41" borderId="10" xfId="225" applyFont="1" applyFill="1" applyBorder="1" applyAlignment="1">
      <alignment horizontal="center" vertical="center" wrapText="1"/>
    </xf>
    <xf numFmtId="0" fontId="167" fillId="44" borderId="2" xfId="0" applyFont="1" applyFill="1" applyBorder="1" applyAlignment="1">
      <alignment horizontal="center"/>
    </xf>
    <xf numFmtId="0" fontId="167" fillId="44" borderId="3" xfId="0" applyFont="1" applyFill="1" applyBorder="1" applyAlignment="1">
      <alignment horizontal="center"/>
    </xf>
    <xf numFmtId="0" fontId="178" fillId="44" borderId="9" xfId="0" applyFont="1" applyFill="1" applyBorder="1" applyAlignment="1">
      <alignment horizontal="center"/>
    </xf>
    <xf numFmtId="0" fontId="178" fillId="44" borderId="11" xfId="0" applyFont="1" applyFill="1" applyBorder="1" applyAlignment="1">
      <alignment horizontal="center"/>
    </xf>
    <xf numFmtId="0" fontId="178" fillId="44" borderId="10" xfId="0" applyFont="1" applyFill="1" applyBorder="1" applyAlignment="1">
      <alignment horizontal="center"/>
    </xf>
    <xf numFmtId="0" fontId="178" fillId="44" borderId="2" xfId="0" applyFont="1" applyFill="1" applyBorder="1" applyAlignment="1">
      <alignment horizontal="center"/>
    </xf>
    <xf numFmtId="0" fontId="178" fillId="44" borderId="1" xfId="0" applyFont="1" applyFill="1" applyBorder="1" applyAlignment="1">
      <alignment horizontal="center"/>
    </xf>
    <xf numFmtId="0" fontId="178" fillId="44" borderId="3" xfId="0" applyFont="1" applyFill="1" applyBorder="1" applyAlignment="1">
      <alignment horizontal="center"/>
    </xf>
    <xf numFmtId="0" fontId="178" fillId="44" borderId="142" xfId="0" applyFont="1" applyFill="1" applyBorder="1" applyAlignment="1">
      <alignment horizontal="center"/>
    </xf>
    <xf numFmtId="0" fontId="178" fillId="44" borderId="143" xfId="0" applyFont="1" applyFill="1" applyBorder="1" applyAlignment="1">
      <alignment horizontal="center"/>
    </xf>
    <xf numFmtId="0" fontId="143" fillId="3" borderId="0" xfId="0" applyFont="1" applyFill="1" applyBorder="1" applyAlignment="1">
      <alignment vertical="top" wrapText="1"/>
    </xf>
    <xf numFmtId="0" fontId="178" fillId="41" borderId="4" xfId="0" applyFont="1" applyFill="1" applyBorder="1" applyAlignment="1">
      <alignment horizontal="center"/>
    </xf>
    <xf numFmtId="0" fontId="178" fillId="41" borderId="0" xfId="0" applyFont="1" applyFill="1" applyBorder="1" applyAlignment="1">
      <alignment horizontal="center"/>
    </xf>
    <xf numFmtId="0" fontId="74" fillId="43" borderId="2" xfId="3199" applyFont="1" applyFill="1" applyBorder="1" applyAlignment="1">
      <alignment horizontal="center" vertical="center"/>
    </xf>
    <xf numFmtId="0" fontId="74" fillId="43" borderId="1" xfId="3199" applyFont="1" applyFill="1" applyBorder="1" applyAlignment="1">
      <alignment horizontal="center" vertical="center"/>
    </xf>
    <xf numFmtId="0" fontId="74" fillId="43" borderId="3" xfId="3199" applyFont="1" applyFill="1" applyBorder="1" applyAlignment="1">
      <alignment horizontal="center" vertical="center"/>
    </xf>
    <xf numFmtId="0" fontId="74" fillId="43" borderId="29" xfId="3199" applyFont="1" applyFill="1" applyBorder="1" applyAlignment="1">
      <alignment horizontal="center" vertical="center"/>
    </xf>
    <xf numFmtId="0" fontId="74" fillId="43" borderId="44" xfId="3199" applyFont="1" applyFill="1" applyBorder="1" applyAlignment="1">
      <alignment horizontal="center" vertical="center"/>
    </xf>
    <xf numFmtId="0" fontId="74" fillId="43" borderId="12" xfId="3199" applyFont="1" applyFill="1" applyBorder="1" applyAlignment="1">
      <alignment horizontal="center" vertical="center"/>
    </xf>
    <xf numFmtId="0" fontId="103" fillId="2" borderId="13" xfId="0" applyFont="1" applyFill="1" applyBorder="1" applyAlignment="1">
      <alignment horizontal="center" vertical="center"/>
    </xf>
    <xf numFmtId="0" fontId="103" fillId="2" borderId="0" xfId="0" applyFont="1" applyFill="1" applyBorder="1" applyAlignment="1">
      <alignment horizontal="center" vertical="center"/>
    </xf>
    <xf numFmtId="0" fontId="103" fillId="2" borderId="14" xfId="0" applyFont="1" applyFill="1" applyBorder="1" applyAlignment="1">
      <alignment horizontal="center" vertical="center"/>
    </xf>
    <xf numFmtId="0" fontId="31" fillId="9" borderId="0" xfId="0" applyNumberFormat="1" applyFont="1" applyFill="1" applyBorder="1" applyAlignment="1">
      <alignment horizontal="center" vertical="center"/>
    </xf>
    <xf numFmtId="0" fontId="31" fillId="9" borderId="5" xfId="0" applyNumberFormat="1" applyFont="1" applyFill="1" applyBorder="1" applyAlignment="1">
      <alignment horizontal="center" vertical="center"/>
    </xf>
    <xf numFmtId="0" fontId="99" fillId="43" borderId="29" xfId="3199" applyFont="1" applyFill="1" applyBorder="1" applyAlignment="1">
      <alignment horizontal="center" vertical="center" wrapText="1"/>
    </xf>
    <xf numFmtId="0" fontId="99" fillId="43" borderId="44" xfId="3199" applyFont="1" applyFill="1" applyBorder="1" applyAlignment="1">
      <alignment horizontal="center" vertical="center" wrapText="1"/>
    </xf>
    <xf numFmtId="0" fontId="99" fillId="43" borderId="12" xfId="3199" applyFont="1" applyFill="1" applyBorder="1" applyAlignment="1">
      <alignment horizontal="center" vertical="center" wrapText="1"/>
    </xf>
    <xf numFmtId="0" fontId="99" fillId="43" borderId="13" xfId="3199" applyFont="1" applyFill="1" applyBorder="1" applyAlignment="1">
      <alignment horizontal="center" vertical="center" wrapText="1"/>
    </xf>
    <xf numFmtId="0" fontId="99" fillId="43" borderId="0" xfId="3199" applyFont="1" applyFill="1" applyBorder="1" applyAlignment="1">
      <alignment horizontal="center" vertical="center" wrapText="1"/>
    </xf>
    <xf numFmtId="0" fontId="99" fillId="43" borderId="14" xfId="3199" applyFont="1" applyFill="1" applyBorder="1" applyAlignment="1">
      <alignment horizontal="center" vertical="center" wrapText="1"/>
    </xf>
  </cellXfs>
  <cellStyles count="3885">
    <cellStyle name="20% - Accent1 2" xfId="3073" xr:uid="{00000000-0005-0000-0000-000000000000}"/>
    <cellStyle name="20% - Accent2 2" xfId="3074" xr:uid="{00000000-0005-0000-0000-000001000000}"/>
    <cellStyle name="20% - Accent3 2" xfId="3075" xr:uid="{00000000-0005-0000-0000-000002000000}"/>
    <cellStyle name="20% - Accent4 2" xfId="3076" xr:uid="{00000000-0005-0000-0000-000003000000}"/>
    <cellStyle name="20% - Accent5 2" xfId="3077" xr:uid="{00000000-0005-0000-0000-000004000000}"/>
    <cellStyle name="20% - Accent6 2" xfId="3078" xr:uid="{00000000-0005-0000-0000-000005000000}"/>
    <cellStyle name="40% - Accent1 2" xfId="3079" xr:uid="{00000000-0005-0000-0000-000006000000}"/>
    <cellStyle name="40% - Accent2 2" xfId="3080" xr:uid="{00000000-0005-0000-0000-000007000000}"/>
    <cellStyle name="40% - Accent3 2" xfId="3081" xr:uid="{00000000-0005-0000-0000-000008000000}"/>
    <cellStyle name="40% - Accent4 2" xfId="3082" xr:uid="{00000000-0005-0000-0000-000009000000}"/>
    <cellStyle name="40% - Accent5 2" xfId="3083" xr:uid="{00000000-0005-0000-0000-00000A000000}"/>
    <cellStyle name="40% - Accent6 2" xfId="3084" xr:uid="{00000000-0005-0000-0000-00000B000000}"/>
    <cellStyle name="60% - Accent1 2" xfId="3085" xr:uid="{00000000-0005-0000-0000-00000C000000}"/>
    <cellStyle name="60% - Accent2 2" xfId="3086" xr:uid="{00000000-0005-0000-0000-00000D000000}"/>
    <cellStyle name="60% - Accent3 2" xfId="3087" xr:uid="{00000000-0005-0000-0000-00000E000000}"/>
    <cellStyle name="60% - Accent4 2" xfId="3088" xr:uid="{00000000-0005-0000-0000-00000F000000}"/>
    <cellStyle name="60% - Accent5 2" xfId="3089" xr:uid="{00000000-0005-0000-0000-000010000000}"/>
    <cellStyle name="60% - Accent6 2" xfId="3090" xr:uid="{00000000-0005-0000-0000-000011000000}"/>
    <cellStyle name="Accent1 2" xfId="3091" xr:uid="{00000000-0005-0000-0000-000012000000}"/>
    <cellStyle name="Accent2 2" xfId="3092" xr:uid="{00000000-0005-0000-0000-000013000000}"/>
    <cellStyle name="Accent3 2" xfId="3093" xr:uid="{00000000-0005-0000-0000-000014000000}"/>
    <cellStyle name="Accent4 2" xfId="3094" xr:uid="{00000000-0005-0000-0000-000015000000}"/>
    <cellStyle name="Accent5 2" xfId="3095" xr:uid="{00000000-0005-0000-0000-000016000000}"/>
    <cellStyle name="Accent6 2" xfId="3096" xr:uid="{00000000-0005-0000-0000-000017000000}"/>
    <cellStyle name="Bad 2" xfId="3097" xr:uid="{00000000-0005-0000-0000-000018000000}"/>
    <cellStyle name="Calculation" xfId="2839" builtinId="22"/>
    <cellStyle name="Calculation 2" xfId="3098" xr:uid="{00000000-0005-0000-0000-00001A000000}"/>
    <cellStyle name="Check Cell" xfId="2840" builtinId="23"/>
    <cellStyle name="Check Cell 2" xfId="3099" xr:uid="{00000000-0005-0000-0000-00001C000000}"/>
    <cellStyle name="Comma 5" xfId="7" xr:uid="{00000000-0005-0000-0000-00001D000000}"/>
    <cellStyle name="Comma 5 10" xfId="1958" xr:uid="{00000000-0005-0000-0000-00001E000000}"/>
    <cellStyle name="Comma 5 11" xfId="2326" xr:uid="{00000000-0005-0000-0000-00001F000000}"/>
    <cellStyle name="Comma 5 12" xfId="2389" xr:uid="{00000000-0005-0000-0000-000020000000}"/>
    <cellStyle name="Comma 5 13" xfId="2657" xr:uid="{00000000-0005-0000-0000-000021000000}"/>
    <cellStyle name="Comma 5 2" xfId="233" xr:uid="{00000000-0005-0000-0000-000022000000}"/>
    <cellStyle name="Comma 5 3" xfId="444" xr:uid="{00000000-0005-0000-0000-000023000000}"/>
    <cellStyle name="Comma 5 4" xfId="658" xr:uid="{00000000-0005-0000-0000-000024000000}"/>
    <cellStyle name="Comma 5 5" xfId="877" xr:uid="{00000000-0005-0000-0000-000025000000}"/>
    <cellStyle name="Comma 5 6" xfId="1093" xr:uid="{00000000-0005-0000-0000-000026000000}"/>
    <cellStyle name="Comma 5 7" xfId="1309" xr:uid="{00000000-0005-0000-0000-000027000000}"/>
    <cellStyle name="Comma 5 8" xfId="1525" xr:uid="{00000000-0005-0000-0000-000028000000}"/>
    <cellStyle name="Comma 5 9" xfId="1741" xr:uid="{00000000-0005-0000-0000-000029000000}"/>
    <cellStyle name="Explanatory Text 2" xfId="3100" xr:uid="{00000000-0005-0000-0000-00002A000000}"/>
    <cellStyle name="Followed Hyperlink" xfId="3201" builtinId="9" hidden="1"/>
    <cellStyle name="Followed Hyperlink" xfId="3202" builtinId="9" hidden="1"/>
    <cellStyle name="Followed Hyperlink" xfId="3203" builtinId="9" hidden="1"/>
    <cellStyle name="Followed Hyperlink" xfId="3204" builtinId="9" hidden="1"/>
    <cellStyle name="Followed Hyperlink" xfId="3205" builtinId="9" hidden="1"/>
    <cellStyle name="Followed Hyperlink" xfId="3206" builtinId="9" hidden="1"/>
    <cellStyle name="Followed Hyperlink" xfId="3207" builtinId="9" hidden="1"/>
    <cellStyle name="Followed Hyperlink" xfId="3208" builtinId="9" hidden="1"/>
    <cellStyle name="Followed Hyperlink" xfId="3209" builtinId="9" hidden="1"/>
    <cellStyle name="Followed Hyperlink" xfId="3210" builtinId="9" hidden="1"/>
    <cellStyle name="Followed Hyperlink" xfId="3211" builtinId="9" hidden="1"/>
    <cellStyle name="Followed Hyperlink" xfId="3212" builtinId="9" hidden="1"/>
    <cellStyle name="Followed Hyperlink" xfId="3213" builtinId="9" hidden="1"/>
    <cellStyle name="Followed Hyperlink" xfId="3214" builtinId="9" hidden="1"/>
    <cellStyle name="Followed Hyperlink" xfId="3215" builtinId="9" hidden="1"/>
    <cellStyle name="Followed Hyperlink" xfId="3216" builtinId="9" hidden="1"/>
    <cellStyle name="Followed Hyperlink" xfId="3217" builtinId="9" hidden="1"/>
    <cellStyle name="Followed Hyperlink" xfId="3218" builtinId="9" hidden="1"/>
    <cellStyle name="Followed Hyperlink" xfId="3219" builtinId="9" hidden="1"/>
    <cellStyle name="Followed Hyperlink" xfId="3220" builtinId="9" hidden="1"/>
    <cellStyle name="Followed Hyperlink" xfId="3221" builtinId="9" hidden="1"/>
    <cellStyle name="Followed Hyperlink" xfId="3222" builtinId="9" hidden="1"/>
    <cellStyle name="Followed Hyperlink" xfId="3223" builtinId="9" hidden="1"/>
    <cellStyle name="Followed Hyperlink" xfId="3224" builtinId="9" hidden="1"/>
    <cellStyle name="Followed Hyperlink" xfId="3225" builtinId="9" hidden="1"/>
    <cellStyle name="Followed Hyperlink" xfId="3226" builtinId="9" hidden="1"/>
    <cellStyle name="Followed Hyperlink" xfId="3227" builtinId="9" hidden="1"/>
    <cellStyle name="Followed Hyperlink" xfId="3228" builtinId="9" hidden="1"/>
    <cellStyle name="Followed Hyperlink" xfId="3229" builtinId="9" hidden="1"/>
    <cellStyle name="Followed Hyperlink" xfId="3230" builtinId="9" hidden="1"/>
    <cellStyle name="Followed Hyperlink" xfId="3231" builtinId="9" hidden="1"/>
    <cellStyle name="Followed Hyperlink" xfId="3232" builtinId="9" hidden="1"/>
    <cellStyle name="Followed Hyperlink" xfId="3233" builtinId="9" hidden="1"/>
    <cellStyle name="Followed Hyperlink" xfId="3234" builtinId="9" hidden="1"/>
    <cellStyle name="Followed Hyperlink" xfId="3235" builtinId="9" hidden="1"/>
    <cellStyle name="Followed Hyperlink" xfId="3236" builtinId="9" hidden="1"/>
    <cellStyle name="Followed Hyperlink" xfId="3237" builtinId="9" hidden="1"/>
    <cellStyle name="Followed Hyperlink" xfId="3238" builtinId="9" hidden="1"/>
    <cellStyle name="Followed Hyperlink" xfId="3239" builtinId="9" hidden="1"/>
    <cellStyle name="Followed Hyperlink" xfId="3240" builtinId="9" hidden="1"/>
    <cellStyle name="Followed Hyperlink" xfId="3241" builtinId="9" hidden="1"/>
    <cellStyle name="Followed Hyperlink" xfId="3242" builtinId="9" hidden="1"/>
    <cellStyle name="Followed Hyperlink" xfId="3243" builtinId="9" hidden="1"/>
    <cellStyle name="Followed Hyperlink" xfId="3244" builtinId="9" hidden="1"/>
    <cellStyle name="Followed Hyperlink" xfId="3245" builtinId="9" hidden="1"/>
    <cellStyle name="Followed Hyperlink" xfId="3246" builtinId="9" hidden="1"/>
    <cellStyle name="Followed Hyperlink" xfId="3247" builtinId="9" hidden="1"/>
    <cellStyle name="Followed Hyperlink" xfId="3248" builtinId="9" hidden="1"/>
    <cellStyle name="Followed Hyperlink" xfId="3249" builtinId="9" hidden="1"/>
    <cellStyle name="Followed Hyperlink" xfId="3250" builtinId="9" hidden="1"/>
    <cellStyle name="Followed Hyperlink" xfId="3251" builtinId="9" hidden="1"/>
    <cellStyle name="Followed Hyperlink" xfId="3252" builtinId="9" hidden="1"/>
    <cellStyle name="Followed Hyperlink" xfId="3253" builtinId="9" hidden="1"/>
    <cellStyle name="Followed Hyperlink" xfId="3254" builtinId="9" hidden="1"/>
    <cellStyle name="Followed Hyperlink" xfId="3255" builtinId="9" hidden="1"/>
    <cellStyle name="Followed Hyperlink" xfId="3256" builtinId="9" hidden="1"/>
    <cellStyle name="Followed Hyperlink" xfId="3257" builtinId="9" hidden="1"/>
    <cellStyle name="Followed Hyperlink" xfId="3258" builtinId="9" hidden="1"/>
    <cellStyle name="Followed Hyperlink" xfId="3259" builtinId="9" hidden="1"/>
    <cellStyle name="Followed Hyperlink" xfId="3260" builtinId="9" hidden="1"/>
    <cellStyle name="Followed Hyperlink" xfId="3261" builtinId="9" hidden="1"/>
    <cellStyle name="Followed Hyperlink" xfId="3262" builtinId="9" hidden="1"/>
    <cellStyle name="Followed Hyperlink" xfId="3263" builtinId="9" hidden="1"/>
    <cellStyle name="Followed Hyperlink" xfId="3264" builtinId="9" hidden="1"/>
    <cellStyle name="Followed Hyperlink" xfId="3265" builtinId="9" hidden="1"/>
    <cellStyle name="Followed Hyperlink" xfId="3266" builtinId="9" hidden="1"/>
    <cellStyle name="Followed Hyperlink" xfId="3267" builtinId="9" hidden="1"/>
    <cellStyle name="Followed Hyperlink" xfId="3268" builtinId="9" hidden="1"/>
    <cellStyle name="Followed Hyperlink" xfId="3269" builtinId="9" hidden="1"/>
    <cellStyle name="Followed Hyperlink" xfId="3270" builtinId="9" hidden="1"/>
    <cellStyle name="Followed Hyperlink" xfId="3271" builtinId="9" hidden="1"/>
    <cellStyle name="Followed Hyperlink" xfId="3272" builtinId="9" hidden="1"/>
    <cellStyle name="Followed Hyperlink" xfId="3273" builtinId="9" hidden="1"/>
    <cellStyle name="Followed Hyperlink" xfId="3274" builtinId="9" hidden="1"/>
    <cellStyle name="Followed Hyperlink" xfId="3275" builtinId="9" hidden="1"/>
    <cellStyle name="Followed Hyperlink" xfId="3276" builtinId="9" hidden="1"/>
    <cellStyle name="Followed Hyperlink" xfId="3277" builtinId="9" hidden="1"/>
    <cellStyle name="Followed Hyperlink" xfId="3278" builtinId="9" hidden="1"/>
    <cellStyle name="Followed Hyperlink" xfId="3279" builtinId="9" hidden="1"/>
    <cellStyle name="Followed Hyperlink" xfId="3280" builtinId="9" hidden="1"/>
    <cellStyle name="Followed Hyperlink" xfId="3281" builtinId="9" hidden="1"/>
    <cellStyle name="Followed Hyperlink" xfId="3282" builtinId="9" hidden="1"/>
    <cellStyle name="Followed Hyperlink" xfId="3283" builtinId="9" hidden="1"/>
    <cellStyle name="Followed Hyperlink" xfId="3284" builtinId="9" hidden="1"/>
    <cellStyle name="Followed Hyperlink" xfId="3285" builtinId="9" hidden="1"/>
    <cellStyle name="Followed Hyperlink" xfId="3286" builtinId="9" hidden="1"/>
    <cellStyle name="Followed Hyperlink" xfId="3287" builtinId="9" hidden="1"/>
    <cellStyle name="Followed Hyperlink" xfId="3288" builtinId="9" hidden="1"/>
    <cellStyle name="Followed Hyperlink" xfId="3289" builtinId="9" hidden="1"/>
    <cellStyle name="Followed Hyperlink" xfId="3290" builtinId="9" hidden="1"/>
    <cellStyle name="Followed Hyperlink" xfId="3291" builtinId="9" hidden="1"/>
    <cellStyle name="Followed Hyperlink" xfId="3292" builtinId="9" hidden="1"/>
    <cellStyle name="Followed Hyperlink" xfId="3293" builtinId="9" hidden="1"/>
    <cellStyle name="Followed Hyperlink" xfId="3294" builtinId="9" hidden="1"/>
    <cellStyle name="Followed Hyperlink" xfId="3295" builtinId="9" hidden="1"/>
    <cellStyle name="Followed Hyperlink" xfId="3296" builtinId="9" hidden="1"/>
    <cellStyle name="Followed Hyperlink" xfId="3297" builtinId="9" hidden="1"/>
    <cellStyle name="Followed Hyperlink" xfId="3298" builtinId="9" hidden="1"/>
    <cellStyle name="Followed Hyperlink" xfId="3299" builtinId="9" hidden="1"/>
    <cellStyle name="Followed Hyperlink" xfId="3300" builtinId="9" hidden="1"/>
    <cellStyle name="Followed Hyperlink" xfId="3301" builtinId="9" hidden="1"/>
    <cellStyle name="Followed Hyperlink" xfId="3302" builtinId="9" hidden="1"/>
    <cellStyle name="Followed Hyperlink" xfId="3303" builtinId="9" hidden="1"/>
    <cellStyle name="Followed Hyperlink" xfId="3304" builtinId="9" hidden="1"/>
    <cellStyle name="Followed Hyperlink" xfId="3305" builtinId="9" hidden="1"/>
    <cellStyle name="Followed Hyperlink" xfId="3306" builtinId="9" hidden="1"/>
    <cellStyle name="Followed Hyperlink" xfId="3307" builtinId="9" hidden="1"/>
    <cellStyle name="Followed Hyperlink" xfId="3308" builtinId="9" hidden="1"/>
    <cellStyle name="Followed Hyperlink" xfId="3309" builtinId="9" hidden="1"/>
    <cellStyle name="Followed Hyperlink" xfId="3310" builtinId="9" hidden="1"/>
    <cellStyle name="Followed Hyperlink" xfId="3311" builtinId="9" hidden="1"/>
    <cellStyle name="Followed Hyperlink" xfId="3312" builtinId="9" hidden="1"/>
    <cellStyle name="Followed Hyperlink" xfId="3313" builtinId="9" hidden="1"/>
    <cellStyle name="Followed Hyperlink" xfId="3314" builtinId="9" hidden="1"/>
    <cellStyle name="Followed Hyperlink" xfId="3315" builtinId="9" hidden="1"/>
    <cellStyle name="Followed Hyperlink" xfId="3316" builtinId="9" hidden="1"/>
    <cellStyle name="Followed Hyperlink" xfId="3317" builtinId="9" hidden="1"/>
    <cellStyle name="Followed Hyperlink" xfId="3318" builtinId="9" hidden="1"/>
    <cellStyle name="Followed Hyperlink" xfId="3319" builtinId="9" hidden="1"/>
    <cellStyle name="Followed Hyperlink" xfId="3320" builtinId="9" hidden="1"/>
    <cellStyle name="Followed Hyperlink" xfId="3321" builtinId="9" hidden="1"/>
    <cellStyle name="Followed Hyperlink" xfId="3322" builtinId="9" hidden="1"/>
    <cellStyle name="Followed Hyperlink" xfId="3323" builtinId="9" hidden="1"/>
    <cellStyle name="Followed Hyperlink" xfId="3324" builtinId="9" hidden="1"/>
    <cellStyle name="Followed Hyperlink" xfId="3325" builtinId="9" hidden="1"/>
    <cellStyle name="Followed Hyperlink" xfId="3326" builtinId="9" hidden="1"/>
    <cellStyle name="Followed Hyperlink" xfId="3327" builtinId="9" hidden="1"/>
    <cellStyle name="Followed Hyperlink" xfId="3328" builtinId="9" hidden="1"/>
    <cellStyle name="Followed Hyperlink" xfId="3329" builtinId="9" hidden="1"/>
    <cellStyle name="Followed Hyperlink" xfId="3330" builtinId="9" hidden="1"/>
    <cellStyle name="Followed Hyperlink" xfId="3331" builtinId="9" hidden="1"/>
    <cellStyle name="Followed Hyperlink" xfId="3332" builtinId="9" hidden="1"/>
    <cellStyle name="Followed Hyperlink" xfId="3333" builtinId="9" hidden="1"/>
    <cellStyle name="Followed Hyperlink" xfId="3334" builtinId="9" hidden="1"/>
    <cellStyle name="Followed Hyperlink" xfId="3335" builtinId="9" hidden="1"/>
    <cellStyle name="Followed Hyperlink" xfId="3336" builtinId="9" hidden="1"/>
    <cellStyle name="Followed Hyperlink" xfId="3337" builtinId="9" hidden="1"/>
    <cellStyle name="Followed Hyperlink" xfId="3338" builtinId="9" hidden="1"/>
    <cellStyle name="Followed Hyperlink" xfId="3339" builtinId="9" hidden="1"/>
    <cellStyle name="Followed Hyperlink" xfId="3340" builtinId="9" hidden="1"/>
    <cellStyle name="Followed Hyperlink" xfId="3341" builtinId="9" hidden="1"/>
    <cellStyle name="Followed Hyperlink" xfId="3342" builtinId="9" hidden="1"/>
    <cellStyle name="Followed Hyperlink" xfId="3343" builtinId="9" hidden="1"/>
    <cellStyle name="Followed Hyperlink" xfId="3344" builtinId="9" hidden="1"/>
    <cellStyle name="Followed Hyperlink" xfId="3345" builtinId="9" hidden="1"/>
    <cellStyle name="Followed Hyperlink" xfId="3346" builtinId="9" hidden="1"/>
    <cellStyle name="Followed Hyperlink" xfId="3347" builtinId="9" hidden="1"/>
    <cellStyle name="Followed Hyperlink" xfId="3348" builtinId="9" hidden="1"/>
    <cellStyle name="Followed Hyperlink" xfId="3349" builtinId="9" hidden="1"/>
    <cellStyle name="Followed Hyperlink" xfId="3350" builtinId="9" hidden="1"/>
    <cellStyle name="Followed Hyperlink" xfId="3351" builtinId="9" hidden="1"/>
    <cellStyle name="Followed Hyperlink" xfId="3352" builtinId="9" hidden="1"/>
    <cellStyle name="Followed Hyperlink" xfId="3353" builtinId="9" hidden="1"/>
    <cellStyle name="Followed Hyperlink" xfId="3354" builtinId="9" hidden="1"/>
    <cellStyle name="Followed Hyperlink" xfId="3355" builtinId="9" hidden="1"/>
    <cellStyle name="Followed Hyperlink" xfId="3356" builtinId="9" hidden="1"/>
    <cellStyle name="Followed Hyperlink" xfId="3357" builtinId="9" hidden="1"/>
    <cellStyle name="Followed Hyperlink" xfId="3358" builtinId="9" hidden="1"/>
    <cellStyle name="Followed Hyperlink" xfId="3359" builtinId="9" hidden="1"/>
    <cellStyle name="Followed Hyperlink" xfId="3360" builtinId="9" hidden="1"/>
    <cellStyle name="Followed Hyperlink" xfId="3361" builtinId="9" hidden="1"/>
    <cellStyle name="Followed Hyperlink" xfId="3362" builtinId="9" hidden="1"/>
    <cellStyle name="Followed Hyperlink" xfId="3363" builtinId="9" hidden="1"/>
    <cellStyle name="Followed Hyperlink" xfId="3364" builtinId="9" hidden="1"/>
    <cellStyle name="Followed Hyperlink" xfId="3365" builtinId="9" hidden="1"/>
    <cellStyle name="Followed Hyperlink" xfId="3366" builtinId="9" hidden="1"/>
    <cellStyle name="Followed Hyperlink" xfId="3367" builtinId="9" hidden="1"/>
    <cellStyle name="Followed Hyperlink" xfId="3368" builtinId="9" hidden="1"/>
    <cellStyle name="Followed Hyperlink" xfId="3369" builtinId="9" hidden="1"/>
    <cellStyle name="Followed Hyperlink" xfId="3370" builtinId="9" hidden="1"/>
    <cellStyle name="Followed Hyperlink" xfId="3371" builtinId="9" hidden="1"/>
    <cellStyle name="Followed Hyperlink" xfId="3372" builtinId="9" hidden="1"/>
    <cellStyle name="Followed Hyperlink" xfId="3373" builtinId="9" hidden="1"/>
    <cellStyle name="Followed Hyperlink" xfId="3374" builtinId="9" hidden="1"/>
    <cellStyle name="Followed Hyperlink" xfId="3375" builtinId="9" hidden="1"/>
    <cellStyle name="Followed Hyperlink" xfId="3376" builtinId="9" hidden="1"/>
    <cellStyle name="Followed Hyperlink" xfId="3377" builtinId="9" hidden="1"/>
    <cellStyle name="Followed Hyperlink" xfId="3378" builtinId="9" hidden="1"/>
    <cellStyle name="Followed Hyperlink" xfId="3379" builtinId="9" hidden="1"/>
    <cellStyle name="Followed Hyperlink" xfId="3380" builtinId="9" hidden="1"/>
    <cellStyle name="Followed Hyperlink" xfId="3381" builtinId="9" hidden="1"/>
    <cellStyle name="Followed Hyperlink" xfId="3382" builtinId="9" hidden="1"/>
    <cellStyle name="Followed Hyperlink" xfId="3383" builtinId="9" hidden="1"/>
    <cellStyle name="Followed Hyperlink" xfId="3384" builtinId="9" hidden="1"/>
    <cellStyle name="Followed Hyperlink" xfId="3385" builtinId="9" hidden="1"/>
    <cellStyle name="Followed Hyperlink" xfId="3386" builtinId="9" hidden="1"/>
    <cellStyle name="Followed Hyperlink" xfId="3387" builtinId="9" hidden="1"/>
    <cellStyle name="Followed Hyperlink" xfId="3388" builtinId="9" hidden="1"/>
    <cellStyle name="Followed Hyperlink" xfId="3389" builtinId="9" hidden="1"/>
    <cellStyle name="Followed Hyperlink" xfId="3390" builtinId="9" hidden="1"/>
    <cellStyle name="Followed Hyperlink" xfId="3391" builtinId="9" hidden="1"/>
    <cellStyle name="Followed Hyperlink" xfId="3392" builtinId="9" hidden="1"/>
    <cellStyle name="Followed Hyperlink" xfId="3393" builtinId="9" hidden="1"/>
    <cellStyle name="Followed Hyperlink" xfId="3394" builtinId="9" hidden="1"/>
    <cellStyle name="Followed Hyperlink" xfId="3395" builtinId="9" hidden="1"/>
    <cellStyle name="Followed Hyperlink" xfId="3396" builtinId="9" hidden="1"/>
    <cellStyle name="Followed Hyperlink" xfId="3397" builtinId="9" hidden="1"/>
    <cellStyle name="Followed Hyperlink" xfId="3398" builtinId="9" hidden="1"/>
    <cellStyle name="Followed Hyperlink" xfId="3399" builtinId="9" hidden="1"/>
    <cellStyle name="Followed Hyperlink" xfId="3400" builtinId="9" hidden="1"/>
    <cellStyle name="Followed Hyperlink" xfId="3401" builtinId="9" hidden="1"/>
    <cellStyle name="Followed Hyperlink" xfId="3402" builtinId="9" hidden="1"/>
    <cellStyle name="Followed Hyperlink" xfId="3403" builtinId="9" hidden="1"/>
    <cellStyle name="Followed Hyperlink" xfId="3404" builtinId="9" hidden="1"/>
    <cellStyle name="Followed Hyperlink" xfId="3405" builtinId="9" hidden="1"/>
    <cellStyle name="Followed Hyperlink" xfId="3406" builtinId="9" hidden="1"/>
    <cellStyle name="Followed Hyperlink" xfId="3407" builtinId="9" hidden="1"/>
    <cellStyle name="Followed Hyperlink" xfId="3408" builtinId="9" hidden="1"/>
    <cellStyle name="Followed Hyperlink" xfId="3409" builtinId="9" hidden="1"/>
    <cellStyle name="Followed Hyperlink" xfId="3410" builtinId="9" hidden="1"/>
    <cellStyle name="Followed Hyperlink" xfId="3411" builtinId="9" hidden="1"/>
    <cellStyle name="Followed Hyperlink" xfId="3412" builtinId="9" hidden="1"/>
    <cellStyle name="Followed Hyperlink" xfId="3413" builtinId="9" hidden="1"/>
    <cellStyle name="Followed Hyperlink" xfId="3414" builtinId="9" hidden="1"/>
    <cellStyle name="Followed Hyperlink" xfId="3415" builtinId="9" hidden="1"/>
    <cellStyle name="Followed Hyperlink" xfId="3416" builtinId="9" hidden="1"/>
    <cellStyle name="Followed Hyperlink" xfId="3417" builtinId="9" hidden="1"/>
    <cellStyle name="Followed Hyperlink" xfId="3418" builtinId="9" hidden="1"/>
    <cellStyle name="Followed Hyperlink" xfId="3419" builtinId="9" hidden="1"/>
    <cellStyle name="Followed Hyperlink" xfId="3420" builtinId="9" hidden="1"/>
    <cellStyle name="Followed Hyperlink" xfId="3421" builtinId="9" hidden="1"/>
    <cellStyle name="Followed Hyperlink" xfId="3422" builtinId="9" hidden="1"/>
    <cellStyle name="Followed Hyperlink" xfId="3423" builtinId="9" hidden="1"/>
    <cellStyle name="Followed Hyperlink" xfId="3424" builtinId="9" hidden="1"/>
    <cellStyle name="Followed Hyperlink" xfId="3425" builtinId="9" hidden="1"/>
    <cellStyle name="Followed Hyperlink" xfId="3426" builtinId="9" hidden="1"/>
    <cellStyle name="Followed Hyperlink" xfId="3427" builtinId="9" hidden="1"/>
    <cellStyle name="Followed Hyperlink" xfId="3428" builtinId="9" hidden="1"/>
    <cellStyle name="Followed Hyperlink" xfId="3429" builtinId="9" hidden="1"/>
    <cellStyle name="Followed Hyperlink" xfId="3430" builtinId="9" hidden="1"/>
    <cellStyle name="Followed Hyperlink" xfId="3431" builtinId="9" hidden="1"/>
    <cellStyle name="Followed Hyperlink" xfId="3432" builtinId="9" hidden="1"/>
    <cellStyle name="Followed Hyperlink" xfId="3433" builtinId="9" hidden="1"/>
    <cellStyle name="Followed Hyperlink" xfId="3434" builtinId="9" hidden="1"/>
    <cellStyle name="Followed Hyperlink" xfId="3435" builtinId="9" hidden="1"/>
    <cellStyle name="Followed Hyperlink" xfId="3436" builtinId="9" hidden="1"/>
    <cellStyle name="Followed Hyperlink" xfId="3437" builtinId="9" hidden="1"/>
    <cellStyle name="Followed Hyperlink" xfId="3438" builtinId="9" hidden="1"/>
    <cellStyle name="Followed Hyperlink" xfId="3439" builtinId="9" hidden="1"/>
    <cellStyle name="Followed Hyperlink" xfId="3440" builtinId="9" hidden="1"/>
    <cellStyle name="Followed Hyperlink" xfId="3441" builtinId="9" hidden="1"/>
    <cellStyle name="Followed Hyperlink" xfId="3442" builtinId="9" hidden="1"/>
    <cellStyle name="Followed Hyperlink" xfId="3443" builtinId="9" hidden="1"/>
    <cellStyle name="Followed Hyperlink" xfId="3444" builtinId="9" hidden="1"/>
    <cellStyle name="Followed Hyperlink" xfId="3445" builtinId="9" hidden="1"/>
    <cellStyle name="Followed Hyperlink" xfId="3446" builtinId="9" hidden="1"/>
    <cellStyle name="Followed Hyperlink" xfId="3447" builtinId="9" hidden="1"/>
    <cellStyle name="Followed Hyperlink" xfId="3448" builtinId="9" hidden="1"/>
    <cellStyle name="Followed Hyperlink" xfId="3449" builtinId="9" hidden="1"/>
    <cellStyle name="Followed Hyperlink" xfId="3450" builtinId="9" hidden="1"/>
    <cellStyle name="Followed Hyperlink" xfId="3451" builtinId="9" hidden="1"/>
    <cellStyle name="Followed Hyperlink" xfId="3452" builtinId="9" hidden="1"/>
    <cellStyle name="Followed Hyperlink" xfId="3453" builtinId="9" hidden="1"/>
    <cellStyle name="Followed Hyperlink" xfId="3454" builtinId="9" hidden="1"/>
    <cellStyle name="Followed Hyperlink" xfId="3455" builtinId="9" hidden="1"/>
    <cellStyle name="Followed Hyperlink" xfId="3456" builtinId="9" hidden="1"/>
    <cellStyle name="Followed Hyperlink" xfId="3457" builtinId="9" hidden="1"/>
    <cellStyle name="Followed Hyperlink" xfId="3458" builtinId="9" hidden="1"/>
    <cellStyle name="Followed Hyperlink" xfId="3459" builtinId="9" hidden="1"/>
    <cellStyle name="Followed Hyperlink" xfId="3460" builtinId="9" hidden="1"/>
    <cellStyle name="Followed Hyperlink" xfId="3461" builtinId="9" hidden="1"/>
    <cellStyle name="Followed Hyperlink" xfId="3462" builtinId="9" hidden="1"/>
    <cellStyle name="Followed Hyperlink" xfId="3463" builtinId="9" hidden="1"/>
    <cellStyle name="Followed Hyperlink" xfId="3464" builtinId="9" hidden="1"/>
    <cellStyle name="Followed Hyperlink" xfId="3465" builtinId="9" hidden="1"/>
    <cellStyle name="Followed Hyperlink" xfId="3466" builtinId="9" hidden="1"/>
    <cellStyle name="Followed Hyperlink" xfId="3467" builtinId="9" hidden="1"/>
    <cellStyle name="Followed Hyperlink" xfId="3468" builtinId="9" hidden="1"/>
    <cellStyle name="Followed Hyperlink" xfId="3469" builtinId="9" hidden="1"/>
    <cellStyle name="Followed Hyperlink" xfId="3470" builtinId="9" hidden="1"/>
    <cellStyle name="Followed Hyperlink" xfId="3471" builtinId="9" hidden="1"/>
    <cellStyle name="Followed Hyperlink" xfId="3472" builtinId="9" hidden="1"/>
    <cellStyle name="Followed Hyperlink" xfId="3473" builtinId="9" hidden="1"/>
    <cellStyle name="Followed Hyperlink" xfId="3474" builtinId="9" hidden="1"/>
    <cellStyle name="Followed Hyperlink" xfId="3475" builtinId="9" hidden="1"/>
    <cellStyle name="Followed Hyperlink" xfId="3476" builtinId="9" hidden="1"/>
    <cellStyle name="Followed Hyperlink" xfId="3477" builtinId="9" hidden="1"/>
    <cellStyle name="Followed Hyperlink" xfId="3478" builtinId="9" hidden="1"/>
    <cellStyle name="Followed Hyperlink" xfId="3479" builtinId="9" hidden="1"/>
    <cellStyle name="Followed Hyperlink" xfId="3480" builtinId="9" hidden="1"/>
    <cellStyle name="Followed Hyperlink" xfId="3481" builtinId="9" hidden="1"/>
    <cellStyle name="Followed Hyperlink" xfId="3482" builtinId="9" hidden="1"/>
    <cellStyle name="Followed Hyperlink" xfId="3483" builtinId="9" hidden="1"/>
    <cellStyle name="Followed Hyperlink" xfId="3484" builtinId="9" hidden="1"/>
    <cellStyle name="Followed Hyperlink" xfId="3485" builtinId="9" hidden="1"/>
    <cellStyle name="Followed Hyperlink" xfId="3486" builtinId="9" hidden="1"/>
    <cellStyle name="Followed Hyperlink" xfId="3487" builtinId="9" hidden="1"/>
    <cellStyle name="Followed Hyperlink" xfId="3488" builtinId="9" hidden="1"/>
    <cellStyle name="Followed Hyperlink" xfId="3489" builtinId="9" hidden="1"/>
    <cellStyle name="Followed Hyperlink" xfId="3490" builtinId="9" hidden="1"/>
    <cellStyle name="Followed Hyperlink" xfId="3491" builtinId="9" hidden="1"/>
    <cellStyle name="Followed Hyperlink" xfId="3492" builtinId="9" hidden="1"/>
    <cellStyle name="Followed Hyperlink" xfId="3493" builtinId="9" hidden="1"/>
    <cellStyle name="Followed Hyperlink" xfId="3494" builtinId="9" hidden="1"/>
    <cellStyle name="Followed Hyperlink" xfId="3495" builtinId="9" hidden="1"/>
    <cellStyle name="Followed Hyperlink" xfId="3496" builtinId="9" hidden="1"/>
    <cellStyle name="Followed Hyperlink" xfId="3497" builtinId="9" hidden="1"/>
    <cellStyle name="Followed Hyperlink" xfId="3498" builtinId="9" hidden="1"/>
    <cellStyle name="Followed Hyperlink" xfId="3499" builtinId="9" hidden="1"/>
    <cellStyle name="Followed Hyperlink" xfId="3500" builtinId="9" hidden="1"/>
    <cellStyle name="Followed Hyperlink" xfId="3501" builtinId="9" hidden="1"/>
    <cellStyle name="Followed Hyperlink" xfId="3502" builtinId="9" hidden="1"/>
    <cellStyle name="Followed Hyperlink" xfId="3503" builtinId="9" hidden="1"/>
    <cellStyle name="Followed Hyperlink" xfId="3504" builtinId="9" hidden="1"/>
    <cellStyle name="Followed Hyperlink" xfId="3505" builtinId="9" hidden="1"/>
    <cellStyle name="Followed Hyperlink" xfId="3506" builtinId="9" hidden="1"/>
    <cellStyle name="Followed Hyperlink" xfId="3507" builtinId="9" hidden="1"/>
    <cellStyle name="Followed Hyperlink" xfId="3508" builtinId="9" hidden="1"/>
    <cellStyle name="Followed Hyperlink" xfId="3509" builtinId="9" hidden="1"/>
    <cellStyle name="Followed Hyperlink" xfId="3510" builtinId="9" hidden="1"/>
    <cellStyle name="Followed Hyperlink" xfId="3511" builtinId="9" hidden="1"/>
    <cellStyle name="Followed Hyperlink" xfId="3512" builtinId="9" hidden="1"/>
    <cellStyle name="Followed Hyperlink" xfId="3513" builtinId="9" hidden="1"/>
    <cellStyle name="Followed Hyperlink" xfId="3514" builtinId="9" hidden="1"/>
    <cellStyle name="Followed Hyperlink" xfId="3515" builtinId="9" hidden="1"/>
    <cellStyle name="Followed Hyperlink" xfId="3516" builtinId="9" hidden="1"/>
    <cellStyle name="Followed Hyperlink" xfId="3517" builtinId="9" hidden="1"/>
    <cellStyle name="Followed Hyperlink" xfId="3518" builtinId="9" hidden="1"/>
    <cellStyle name="Followed Hyperlink" xfId="3519" builtinId="9" hidden="1"/>
    <cellStyle name="Followed Hyperlink" xfId="3520" builtinId="9" hidden="1"/>
    <cellStyle name="Followed Hyperlink" xfId="3521" builtinId="9" hidden="1"/>
    <cellStyle name="Followed Hyperlink" xfId="3522" builtinId="9" hidden="1"/>
    <cellStyle name="Followed Hyperlink" xfId="3523" builtinId="9" hidden="1"/>
    <cellStyle name="Followed Hyperlink" xfId="3524" builtinId="9" hidden="1"/>
    <cellStyle name="Followed Hyperlink" xfId="3525" builtinId="9" hidden="1"/>
    <cellStyle name="Followed Hyperlink" xfId="3526" builtinId="9" hidden="1"/>
    <cellStyle name="Followed Hyperlink" xfId="3527" builtinId="9" hidden="1"/>
    <cellStyle name="Followed Hyperlink" xfId="3528" builtinId="9" hidden="1"/>
    <cellStyle name="Followed Hyperlink" xfId="3529" builtinId="9" hidden="1"/>
    <cellStyle name="Followed Hyperlink" xfId="3530" builtinId="9" hidden="1"/>
    <cellStyle name="Followed Hyperlink" xfId="3531" builtinId="9" hidden="1"/>
    <cellStyle name="Followed Hyperlink" xfId="3532" builtinId="9" hidden="1"/>
    <cellStyle name="Followed Hyperlink" xfId="3533" builtinId="9" hidden="1"/>
    <cellStyle name="Followed Hyperlink" xfId="3534" builtinId="9" hidden="1"/>
    <cellStyle name="Followed Hyperlink" xfId="3535" builtinId="9" hidden="1"/>
    <cellStyle name="Followed Hyperlink" xfId="3536" builtinId="9" hidden="1"/>
    <cellStyle name="Followed Hyperlink" xfId="3537" builtinId="9" hidden="1"/>
    <cellStyle name="Followed Hyperlink" xfId="3538" builtinId="9" hidden="1"/>
    <cellStyle name="Followed Hyperlink" xfId="3539" builtinId="9" hidden="1"/>
    <cellStyle name="Followed Hyperlink" xfId="3540" builtinId="9" hidden="1"/>
    <cellStyle name="Followed Hyperlink" xfId="3541" builtinId="9" hidden="1"/>
    <cellStyle name="Followed Hyperlink" xfId="3542" builtinId="9" hidden="1"/>
    <cellStyle name="Followed Hyperlink" xfId="3543" builtinId="9" hidden="1"/>
    <cellStyle name="Followed Hyperlink" xfId="3544" builtinId="9" hidden="1"/>
    <cellStyle name="Followed Hyperlink" xfId="3545" builtinId="9" hidden="1"/>
    <cellStyle name="Followed Hyperlink" xfId="3546" builtinId="9" hidden="1"/>
    <cellStyle name="Followed Hyperlink" xfId="3547" builtinId="9" hidden="1"/>
    <cellStyle name="Followed Hyperlink" xfId="3548" builtinId="9" hidden="1"/>
    <cellStyle name="GHG Second" xfId="3550" xr:uid="{00000000-0005-0000-0000-000087010000}"/>
    <cellStyle name="Good 2" xfId="3101" xr:uid="{00000000-0005-0000-0000-000088010000}"/>
    <cellStyle name="Heading" xfId="3199" xr:uid="{00000000-0005-0000-0000-000089010000}"/>
    <cellStyle name="Heading 1 2" xfId="3102" xr:uid="{00000000-0005-0000-0000-00008A010000}"/>
    <cellStyle name="Heading 2 2" xfId="3103" xr:uid="{00000000-0005-0000-0000-00008B010000}"/>
    <cellStyle name="Heading 3 2" xfId="3104" xr:uid="{00000000-0005-0000-0000-00008C010000}"/>
    <cellStyle name="Heading 3 2 2" xfId="3797" xr:uid="{00000000-0005-0000-0000-00008D010000}"/>
    <cellStyle name="Heading 3 2 3" xfId="3556" xr:uid="{00000000-0005-0000-0000-00008E010000}"/>
    <cellStyle name="Heading 4 2" xfId="3105" xr:uid="{00000000-0005-0000-0000-00008F010000}"/>
    <cellStyle name="Hyperlink" xfId="1" builtinId="8"/>
    <cellStyle name="Hyperlink 2" xfId="2910" xr:uid="{00000000-0005-0000-0000-000091010000}"/>
    <cellStyle name="Hyperlink 3" xfId="2908" xr:uid="{00000000-0005-0000-0000-000092010000}"/>
    <cellStyle name="Input 2" xfId="3106" xr:uid="{00000000-0005-0000-0000-000093010000}"/>
    <cellStyle name="Linked Cell 2" xfId="3107" xr:uid="{00000000-0005-0000-0000-000094010000}"/>
    <cellStyle name="Neutral 2" xfId="3108" xr:uid="{00000000-0005-0000-0000-000095010000}"/>
    <cellStyle name="Normal" xfId="0" builtinId="0"/>
    <cellStyle name="Normal 10" xfId="11" xr:uid="{00000000-0005-0000-0000-000097010000}"/>
    <cellStyle name="Normal 10 10" xfId="13" xr:uid="{00000000-0005-0000-0000-000098010000}"/>
    <cellStyle name="Normal 10 10 10" xfId="1964" xr:uid="{00000000-0005-0000-0000-000099010000}"/>
    <cellStyle name="Normal 10 10 11" xfId="2382" xr:uid="{00000000-0005-0000-0000-00009A010000}"/>
    <cellStyle name="Normal 10 10 12" xfId="2395" xr:uid="{00000000-0005-0000-0000-00009B010000}"/>
    <cellStyle name="Normal 10 10 13" xfId="2744" xr:uid="{00000000-0005-0000-0000-00009C010000}"/>
    <cellStyle name="Normal 10 10 2" xfId="239" xr:uid="{00000000-0005-0000-0000-00009D010000}"/>
    <cellStyle name="Normal 10 10 3" xfId="453" xr:uid="{00000000-0005-0000-0000-00009E010000}"/>
    <cellStyle name="Normal 10 10 4" xfId="667" xr:uid="{00000000-0005-0000-0000-00009F010000}"/>
    <cellStyle name="Normal 10 10 5" xfId="883" xr:uid="{00000000-0005-0000-0000-0000A0010000}"/>
    <cellStyle name="Normal 10 10 6" xfId="1099" xr:uid="{00000000-0005-0000-0000-0000A1010000}"/>
    <cellStyle name="Normal 10 10 7" xfId="1315" xr:uid="{00000000-0005-0000-0000-0000A2010000}"/>
    <cellStyle name="Normal 10 10 8" xfId="1531" xr:uid="{00000000-0005-0000-0000-0000A3010000}"/>
    <cellStyle name="Normal 10 10 9" xfId="1747" xr:uid="{00000000-0005-0000-0000-0000A4010000}"/>
    <cellStyle name="Normal 10 11" xfId="141" xr:uid="{00000000-0005-0000-0000-0000A5010000}"/>
    <cellStyle name="Normal 10 11 10" xfId="2090" xr:uid="{00000000-0005-0000-0000-0000A6010000}"/>
    <cellStyle name="Normal 10 11 11" xfId="2365" xr:uid="{00000000-0005-0000-0000-0000A7010000}"/>
    <cellStyle name="Normal 10 11 12" xfId="2522" xr:uid="{00000000-0005-0000-0000-0000A8010000}"/>
    <cellStyle name="Normal 10 11 13" xfId="2811" xr:uid="{00000000-0005-0000-0000-0000A9010000}"/>
    <cellStyle name="Normal 10 11 2" xfId="367" xr:uid="{00000000-0005-0000-0000-0000AA010000}"/>
    <cellStyle name="Normal 10 11 3" xfId="581" xr:uid="{00000000-0005-0000-0000-0000AB010000}"/>
    <cellStyle name="Normal 10 11 4" xfId="795" xr:uid="{00000000-0005-0000-0000-0000AC010000}"/>
    <cellStyle name="Normal 10 11 5" xfId="1011" xr:uid="{00000000-0005-0000-0000-0000AD010000}"/>
    <cellStyle name="Normal 10 11 6" xfId="1227" xr:uid="{00000000-0005-0000-0000-0000AE010000}"/>
    <cellStyle name="Normal 10 11 7" xfId="1443" xr:uid="{00000000-0005-0000-0000-0000AF010000}"/>
    <cellStyle name="Normal 10 11 8" xfId="1659" xr:uid="{00000000-0005-0000-0000-0000B0010000}"/>
    <cellStyle name="Normal 10 11 9" xfId="1875" xr:uid="{00000000-0005-0000-0000-0000B1010000}"/>
    <cellStyle name="Normal 10 12" xfId="175" xr:uid="{00000000-0005-0000-0000-0000B2010000}"/>
    <cellStyle name="Normal 10 12 10" xfId="2124" xr:uid="{00000000-0005-0000-0000-0000B3010000}"/>
    <cellStyle name="Normal 10 12 11" xfId="2307" xr:uid="{00000000-0005-0000-0000-0000B4010000}"/>
    <cellStyle name="Normal 10 12 12" xfId="2556" xr:uid="{00000000-0005-0000-0000-0000B5010000}"/>
    <cellStyle name="Normal 10 12 13" xfId="2711" xr:uid="{00000000-0005-0000-0000-0000B6010000}"/>
    <cellStyle name="Normal 10 12 2" xfId="401" xr:uid="{00000000-0005-0000-0000-0000B7010000}"/>
    <cellStyle name="Normal 10 12 3" xfId="615" xr:uid="{00000000-0005-0000-0000-0000B8010000}"/>
    <cellStyle name="Normal 10 12 4" xfId="829" xr:uid="{00000000-0005-0000-0000-0000B9010000}"/>
    <cellStyle name="Normal 10 12 5" xfId="1045" xr:uid="{00000000-0005-0000-0000-0000BA010000}"/>
    <cellStyle name="Normal 10 12 6" xfId="1261" xr:uid="{00000000-0005-0000-0000-0000BB010000}"/>
    <cellStyle name="Normal 10 12 7" xfId="1477" xr:uid="{00000000-0005-0000-0000-0000BC010000}"/>
    <cellStyle name="Normal 10 12 8" xfId="1693" xr:uid="{00000000-0005-0000-0000-0000BD010000}"/>
    <cellStyle name="Normal 10 12 9" xfId="1909" xr:uid="{00000000-0005-0000-0000-0000BE010000}"/>
    <cellStyle name="Normal 10 13" xfId="182" xr:uid="{00000000-0005-0000-0000-0000BF010000}"/>
    <cellStyle name="Normal 10 13 10" xfId="2131" xr:uid="{00000000-0005-0000-0000-0000C0010000}"/>
    <cellStyle name="Normal 10 13 11" xfId="2333" xr:uid="{00000000-0005-0000-0000-0000C1010000}"/>
    <cellStyle name="Normal 10 13 12" xfId="2563" xr:uid="{00000000-0005-0000-0000-0000C2010000}"/>
    <cellStyle name="Normal 10 13 13" xfId="2776" xr:uid="{00000000-0005-0000-0000-0000C3010000}"/>
    <cellStyle name="Normal 10 13 2" xfId="408" xr:uid="{00000000-0005-0000-0000-0000C4010000}"/>
    <cellStyle name="Normal 10 13 3" xfId="622" xr:uid="{00000000-0005-0000-0000-0000C5010000}"/>
    <cellStyle name="Normal 10 13 4" xfId="836" xr:uid="{00000000-0005-0000-0000-0000C6010000}"/>
    <cellStyle name="Normal 10 13 5" xfId="1052" xr:uid="{00000000-0005-0000-0000-0000C7010000}"/>
    <cellStyle name="Normal 10 13 6" xfId="1268" xr:uid="{00000000-0005-0000-0000-0000C8010000}"/>
    <cellStyle name="Normal 10 13 7" xfId="1484" xr:uid="{00000000-0005-0000-0000-0000C9010000}"/>
    <cellStyle name="Normal 10 13 8" xfId="1700" xr:uid="{00000000-0005-0000-0000-0000CA010000}"/>
    <cellStyle name="Normal 10 13 9" xfId="1916" xr:uid="{00000000-0005-0000-0000-0000CB010000}"/>
    <cellStyle name="Normal 10 14" xfId="208" xr:uid="{00000000-0005-0000-0000-0000CC010000}"/>
    <cellStyle name="Normal 10 14 10" xfId="2157" xr:uid="{00000000-0005-0000-0000-0000CD010000}"/>
    <cellStyle name="Normal 10 14 11" xfId="2274" xr:uid="{00000000-0005-0000-0000-0000CE010000}"/>
    <cellStyle name="Normal 10 14 12" xfId="2589" xr:uid="{00000000-0005-0000-0000-0000CF010000}"/>
    <cellStyle name="Normal 10 14 13" xfId="2642" xr:uid="{00000000-0005-0000-0000-0000D0010000}"/>
    <cellStyle name="Normal 10 14 2" xfId="434" xr:uid="{00000000-0005-0000-0000-0000D1010000}"/>
    <cellStyle name="Normal 10 14 3" xfId="648" xr:uid="{00000000-0005-0000-0000-0000D2010000}"/>
    <cellStyle name="Normal 10 14 4" xfId="862" xr:uid="{00000000-0005-0000-0000-0000D3010000}"/>
    <cellStyle name="Normal 10 14 5" xfId="1078" xr:uid="{00000000-0005-0000-0000-0000D4010000}"/>
    <cellStyle name="Normal 10 14 6" xfId="1294" xr:uid="{00000000-0005-0000-0000-0000D5010000}"/>
    <cellStyle name="Normal 10 14 7" xfId="1510" xr:uid="{00000000-0005-0000-0000-0000D6010000}"/>
    <cellStyle name="Normal 10 14 8" xfId="1726" xr:uid="{00000000-0005-0000-0000-0000D7010000}"/>
    <cellStyle name="Normal 10 14 9" xfId="1942" xr:uid="{00000000-0005-0000-0000-0000D8010000}"/>
    <cellStyle name="Normal 10 15" xfId="215" xr:uid="{00000000-0005-0000-0000-0000D9010000}"/>
    <cellStyle name="Normal 10 15 10" xfId="2164" xr:uid="{00000000-0005-0000-0000-0000DA010000}"/>
    <cellStyle name="Normal 10 15 11" xfId="2303" xr:uid="{00000000-0005-0000-0000-0000DB010000}"/>
    <cellStyle name="Normal 10 15 12" xfId="2596" xr:uid="{00000000-0005-0000-0000-0000DC010000}"/>
    <cellStyle name="Normal 10 15 13" xfId="2707" xr:uid="{00000000-0005-0000-0000-0000DD010000}"/>
    <cellStyle name="Normal 10 15 2" xfId="441" xr:uid="{00000000-0005-0000-0000-0000DE010000}"/>
    <cellStyle name="Normal 10 15 3" xfId="655" xr:uid="{00000000-0005-0000-0000-0000DF010000}"/>
    <cellStyle name="Normal 10 15 4" xfId="869" xr:uid="{00000000-0005-0000-0000-0000E0010000}"/>
    <cellStyle name="Normal 10 15 5" xfId="1085" xr:uid="{00000000-0005-0000-0000-0000E1010000}"/>
    <cellStyle name="Normal 10 15 6" xfId="1301" xr:uid="{00000000-0005-0000-0000-0000E2010000}"/>
    <cellStyle name="Normal 10 15 7" xfId="1517" xr:uid="{00000000-0005-0000-0000-0000E3010000}"/>
    <cellStyle name="Normal 10 15 8" xfId="1733" xr:uid="{00000000-0005-0000-0000-0000E4010000}"/>
    <cellStyle name="Normal 10 15 9" xfId="1949" xr:uid="{00000000-0005-0000-0000-0000E5010000}"/>
    <cellStyle name="Normal 10 16" xfId="237" xr:uid="{00000000-0005-0000-0000-0000E6010000}"/>
    <cellStyle name="Normal 10 17" xfId="451" xr:uid="{00000000-0005-0000-0000-0000E7010000}"/>
    <cellStyle name="Normal 10 18" xfId="665" xr:uid="{00000000-0005-0000-0000-0000E8010000}"/>
    <cellStyle name="Normal 10 19" xfId="881" xr:uid="{00000000-0005-0000-0000-0000E9010000}"/>
    <cellStyle name="Normal 10 2" xfId="12" xr:uid="{00000000-0005-0000-0000-0000EA010000}"/>
    <cellStyle name="Normal 10 2 10" xfId="1963" xr:uid="{00000000-0005-0000-0000-0000EB010000}"/>
    <cellStyle name="Normal 10 2 11" xfId="2191" xr:uid="{00000000-0005-0000-0000-0000EC010000}"/>
    <cellStyle name="Normal 10 2 12" xfId="2394" xr:uid="{00000000-0005-0000-0000-0000ED010000}"/>
    <cellStyle name="Normal 10 2 13" xfId="2766" xr:uid="{00000000-0005-0000-0000-0000EE010000}"/>
    <cellStyle name="Normal 10 2 2" xfId="238" xr:uid="{00000000-0005-0000-0000-0000EF010000}"/>
    <cellStyle name="Normal 10 2 3" xfId="452" xr:uid="{00000000-0005-0000-0000-0000F0010000}"/>
    <cellStyle name="Normal 10 2 4" xfId="666" xr:uid="{00000000-0005-0000-0000-0000F1010000}"/>
    <cellStyle name="Normal 10 2 5" xfId="882" xr:uid="{00000000-0005-0000-0000-0000F2010000}"/>
    <cellStyle name="Normal 10 2 6" xfId="1098" xr:uid="{00000000-0005-0000-0000-0000F3010000}"/>
    <cellStyle name="Normal 10 2 7" xfId="1314" xr:uid="{00000000-0005-0000-0000-0000F4010000}"/>
    <cellStyle name="Normal 10 2 8" xfId="1530" xr:uid="{00000000-0005-0000-0000-0000F5010000}"/>
    <cellStyle name="Normal 10 2 9" xfId="1746" xr:uid="{00000000-0005-0000-0000-0000F6010000}"/>
    <cellStyle name="Normal 10 20" xfId="1097" xr:uid="{00000000-0005-0000-0000-0000F7010000}"/>
    <cellStyle name="Normal 10 21" xfId="1313" xr:uid="{00000000-0005-0000-0000-0000F8010000}"/>
    <cellStyle name="Normal 10 22" xfId="1529" xr:uid="{00000000-0005-0000-0000-0000F9010000}"/>
    <cellStyle name="Normal 10 23" xfId="1745" xr:uid="{00000000-0005-0000-0000-0000FA010000}"/>
    <cellStyle name="Normal 10 24" xfId="1962" xr:uid="{00000000-0005-0000-0000-0000FB010000}"/>
    <cellStyle name="Normal 10 25" xfId="2218" xr:uid="{00000000-0005-0000-0000-0000FC010000}"/>
    <cellStyle name="Normal 10 26" xfId="2393" xr:uid="{00000000-0005-0000-0000-0000FD010000}"/>
    <cellStyle name="Normal 10 27" xfId="2788" xr:uid="{00000000-0005-0000-0000-0000FE010000}"/>
    <cellStyle name="Normal 10 3" xfId="14" xr:uid="{00000000-0005-0000-0000-0000FF010000}"/>
    <cellStyle name="Normal 10 3 10" xfId="1965" xr:uid="{00000000-0005-0000-0000-000000020000}"/>
    <cellStyle name="Normal 10 3 11" xfId="2355" xr:uid="{00000000-0005-0000-0000-000001020000}"/>
    <cellStyle name="Normal 10 3 12" xfId="2396" xr:uid="{00000000-0005-0000-0000-000002020000}"/>
    <cellStyle name="Normal 10 3 13" xfId="2722" xr:uid="{00000000-0005-0000-0000-000003020000}"/>
    <cellStyle name="Normal 10 3 2" xfId="240" xr:uid="{00000000-0005-0000-0000-000004020000}"/>
    <cellStyle name="Normal 10 3 3" xfId="454" xr:uid="{00000000-0005-0000-0000-000005020000}"/>
    <cellStyle name="Normal 10 3 4" xfId="668" xr:uid="{00000000-0005-0000-0000-000006020000}"/>
    <cellStyle name="Normal 10 3 5" xfId="884" xr:uid="{00000000-0005-0000-0000-000007020000}"/>
    <cellStyle name="Normal 10 3 6" xfId="1100" xr:uid="{00000000-0005-0000-0000-000008020000}"/>
    <cellStyle name="Normal 10 3 7" xfId="1316" xr:uid="{00000000-0005-0000-0000-000009020000}"/>
    <cellStyle name="Normal 10 3 8" xfId="1532" xr:uid="{00000000-0005-0000-0000-00000A020000}"/>
    <cellStyle name="Normal 10 3 9" xfId="1748" xr:uid="{00000000-0005-0000-0000-00000B020000}"/>
    <cellStyle name="Normal 10 4" xfId="15" xr:uid="{00000000-0005-0000-0000-00000C020000}"/>
    <cellStyle name="Normal 10 4 10" xfId="1966" xr:uid="{00000000-0005-0000-0000-00000D020000}"/>
    <cellStyle name="Normal 10 4 11" xfId="2328" xr:uid="{00000000-0005-0000-0000-00000E020000}"/>
    <cellStyle name="Normal 10 4 12" xfId="2397" xr:uid="{00000000-0005-0000-0000-00000F020000}"/>
    <cellStyle name="Normal 10 4 13" xfId="2700" xr:uid="{00000000-0005-0000-0000-000010020000}"/>
    <cellStyle name="Normal 10 4 2" xfId="241" xr:uid="{00000000-0005-0000-0000-000011020000}"/>
    <cellStyle name="Normal 10 4 3" xfId="455" xr:uid="{00000000-0005-0000-0000-000012020000}"/>
    <cellStyle name="Normal 10 4 4" xfId="669" xr:uid="{00000000-0005-0000-0000-000013020000}"/>
    <cellStyle name="Normal 10 4 5" xfId="885" xr:uid="{00000000-0005-0000-0000-000014020000}"/>
    <cellStyle name="Normal 10 4 6" xfId="1101" xr:uid="{00000000-0005-0000-0000-000015020000}"/>
    <cellStyle name="Normal 10 4 7" xfId="1317" xr:uid="{00000000-0005-0000-0000-000016020000}"/>
    <cellStyle name="Normal 10 4 8" xfId="1533" xr:uid="{00000000-0005-0000-0000-000017020000}"/>
    <cellStyle name="Normal 10 4 9" xfId="1749" xr:uid="{00000000-0005-0000-0000-000018020000}"/>
    <cellStyle name="Normal 10 5" xfId="16" xr:uid="{00000000-0005-0000-0000-000019020000}"/>
    <cellStyle name="Normal 10 5 10" xfId="1967" xr:uid="{00000000-0005-0000-0000-00001A020000}"/>
    <cellStyle name="Normal 10 5 11" xfId="2301" xr:uid="{00000000-0005-0000-0000-00001B020000}"/>
    <cellStyle name="Normal 10 5 12" xfId="2398" xr:uid="{00000000-0005-0000-0000-00001C020000}"/>
    <cellStyle name="Normal 10 5 13" xfId="2678" xr:uid="{00000000-0005-0000-0000-00001D020000}"/>
    <cellStyle name="Normal 10 5 2" xfId="242" xr:uid="{00000000-0005-0000-0000-00001E020000}"/>
    <cellStyle name="Normal 10 5 3" xfId="456" xr:uid="{00000000-0005-0000-0000-00001F020000}"/>
    <cellStyle name="Normal 10 5 4" xfId="670" xr:uid="{00000000-0005-0000-0000-000020020000}"/>
    <cellStyle name="Normal 10 5 5" xfId="886" xr:uid="{00000000-0005-0000-0000-000021020000}"/>
    <cellStyle name="Normal 10 5 6" xfId="1102" xr:uid="{00000000-0005-0000-0000-000022020000}"/>
    <cellStyle name="Normal 10 5 7" xfId="1318" xr:uid="{00000000-0005-0000-0000-000023020000}"/>
    <cellStyle name="Normal 10 5 8" xfId="1534" xr:uid="{00000000-0005-0000-0000-000024020000}"/>
    <cellStyle name="Normal 10 5 9" xfId="1750" xr:uid="{00000000-0005-0000-0000-000025020000}"/>
    <cellStyle name="Normal 10 6" xfId="17" xr:uid="{00000000-0005-0000-0000-000026020000}"/>
    <cellStyle name="Normal 10 6 10" xfId="1968" xr:uid="{00000000-0005-0000-0000-000027020000}"/>
    <cellStyle name="Normal 10 6 11" xfId="2273" xr:uid="{00000000-0005-0000-0000-000028020000}"/>
    <cellStyle name="Normal 10 6 12" xfId="2399" xr:uid="{00000000-0005-0000-0000-000029020000}"/>
    <cellStyle name="Normal 10 6 13" xfId="2656" xr:uid="{00000000-0005-0000-0000-00002A020000}"/>
    <cellStyle name="Normal 10 6 2" xfId="243" xr:uid="{00000000-0005-0000-0000-00002B020000}"/>
    <cellStyle name="Normal 10 6 3" xfId="457" xr:uid="{00000000-0005-0000-0000-00002C020000}"/>
    <cellStyle name="Normal 10 6 4" xfId="671" xr:uid="{00000000-0005-0000-0000-00002D020000}"/>
    <cellStyle name="Normal 10 6 5" xfId="887" xr:uid="{00000000-0005-0000-0000-00002E020000}"/>
    <cellStyle name="Normal 10 6 6" xfId="1103" xr:uid="{00000000-0005-0000-0000-00002F020000}"/>
    <cellStyle name="Normal 10 6 7" xfId="1319" xr:uid="{00000000-0005-0000-0000-000030020000}"/>
    <cellStyle name="Normal 10 6 8" xfId="1535" xr:uid="{00000000-0005-0000-0000-000031020000}"/>
    <cellStyle name="Normal 10 6 9" xfId="1751" xr:uid="{00000000-0005-0000-0000-000032020000}"/>
    <cellStyle name="Normal 10 7" xfId="18" xr:uid="{00000000-0005-0000-0000-000033020000}"/>
    <cellStyle name="Normal 10 7 10" xfId="1969" xr:uid="{00000000-0005-0000-0000-000034020000}"/>
    <cellStyle name="Normal 10 7 11" xfId="2246" xr:uid="{00000000-0005-0000-0000-000035020000}"/>
    <cellStyle name="Normal 10 7 12" xfId="2400" xr:uid="{00000000-0005-0000-0000-000036020000}"/>
    <cellStyle name="Normal 10 7 13" xfId="2635" xr:uid="{00000000-0005-0000-0000-000037020000}"/>
    <cellStyle name="Normal 10 7 2" xfId="244" xr:uid="{00000000-0005-0000-0000-000038020000}"/>
    <cellStyle name="Normal 10 7 3" xfId="458" xr:uid="{00000000-0005-0000-0000-000039020000}"/>
    <cellStyle name="Normal 10 7 4" xfId="672" xr:uid="{00000000-0005-0000-0000-00003A020000}"/>
    <cellStyle name="Normal 10 7 5" xfId="888" xr:uid="{00000000-0005-0000-0000-00003B020000}"/>
    <cellStyle name="Normal 10 7 6" xfId="1104" xr:uid="{00000000-0005-0000-0000-00003C020000}"/>
    <cellStyle name="Normal 10 7 7" xfId="1320" xr:uid="{00000000-0005-0000-0000-00003D020000}"/>
    <cellStyle name="Normal 10 7 8" xfId="1536" xr:uid="{00000000-0005-0000-0000-00003E020000}"/>
    <cellStyle name="Normal 10 7 9" xfId="1752" xr:uid="{00000000-0005-0000-0000-00003F020000}"/>
    <cellStyle name="Normal 10 8" xfId="19" xr:uid="{00000000-0005-0000-0000-000040020000}"/>
    <cellStyle name="Normal 10 8 10" xfId="1970" xr:uid="{00000000-0005-0000-0000-000041020000}"/>
    <cellStyle name="Normal 10 8 11" xfId="2220" xr:uid="{00000000-0005-0000-0000-000042020000}"/>
    <cellStyle name="Normal 10 8 12" xfId="2401" xr:uid="{00000000-0005-0000-0000-000043020000}"/>
    <cellStyle name="Normal 10 8 13" xfId="2614" xr:uid="{00000000-0005-0000-0000-000044020000}"/>
    <cellStyle name="Normal 10 8 2" xfId="245" xr:uid="{00000000-0005-0000-0000-000045020000}"/>
    <cellStyle name="Normal 10 8 3" xfId="459" xr:uid="{00000000-0005-0000-0000-000046020000}"/>
    <cellStyle name="Normal 10 8 4" xfId="673" xr:uid="{00000000-0005-0000-0000-000047020000}"/>
    <cellStyle name="Normal 10 8 5" xfId="889" xr:uid="{00000000-0005-0000-0000-000048020000}"/>
    <cellStyle name="Normal 10 8 6" xfId="1105" xr:uid="{00000000-0005-0000-0000-000049020000}"/>
    <cellStyle name="Normal 10 8 7" xfId="1321" xr:uid="{00000000-0005-0000-0000-00004A020000}"/>
    <cellStyle name="Normal 10 8 8" xfId="1537" xr:uid="{00000000-0005-0000-0000-00004B020000}"/>
    <cellStyle name="Normal 10 8 9" xfId="1753" xr:uid="{00000000-0005-0000-0000-00004C020000}"/>
    <cellStyle name="Normal 10 9" xfId="20" xr:uid="{00000000-0005-0000-0000-00004D020000}"/>
    <cellStyle name="Normal 10 9 10" xfId="1971" xr:uid="{00000000-0005-0000-0000-00004E020000}"/>
    <cellStyle name="Normal 10 9 11" xfId="2193" xr:uid="{00000000-0005-0000-0000-00004F020000}"/>
    <cellStyle name="Normal 10 9 12" xfId="2402" xr:uid="{00000000-0005-0000-0000-000050020000}"/>
    <cellStyle name="Normal 10 9 13" xfId="2794" xr:uid="{00000000-0005-0000-0000-000051020000}"/>
    <cellStyle name="Normal 10 9 2" xfId="246" xr:uid="{00000000-0005-0000-0000-000052020000}"/>
    <cellStyle name="Normal 10 9 3" xfId="460" xr:uid="{00000000-0005-0000-0000-000053020000}"/>
    <cellStyle name="Normal 10 9 4" xfId="674" xr:uid="{00000000-0005-0000-0000-000054020000}"/>
    <cellStyle name="Normal 10 9 5" xfId="890" xr:uid="{00000000-0005-0000-0000-000055020000}"/>
    <cellStyle name="Normal 10 9 6" xfId="1106" xr:uid="{00000000-0005-0000-0000-000056020000}"/>
    <cellStyle name="Normal 10 9 7" xfId="1322" xr:uid="{00000000-0005-0000-0000-000057020000}"/>
    <cellStyle name="Normal 10 9 8" xfId="1538" xr:uid="{00000000-0005-0000-0000-000058020000}"/>
    <cellStyle name="Normal 10 9 9" xfId="1754" xr:uid="{00000000-0005-0000-0000-000059020000}"/>
    <cellStyle name="Normal 11" xfId="218" xr:uid="{00000000-0005-0000-0000-00005A020000}"/>
    <cellStyle name="Normal 11 10" xfId="22" xr:uid="{00000000-0005-0000-0000-00005B020000}"/>
    <cellStyle name="Normal 11 10 10" xfId="1973" xr:uid="{00000000-0005-0000-0000-00005C020000}"/>
    <cellStyle name="Normal 11 10 11" xfId="2354" xr:uid="{00000000-0005-0000-0000-00005D020000}"/>
    <cellStyle name="Normal 11 10 12" xfId="2404" xr:uid="{00000000-0005-0000-0000-00005E020000}"/>
    <cellStyle name="Normal 11 10 13" xfId="2765" xr:uid="{00000000-0005-0000-0000-00005F020000}"/>
    <cellStyle name="Normal 11 10 2" xfId="248" xr:uid="{00000000-0005-0000-0000-000060020000}"/>
    <cellStyle name="Normal 11 10 3" xfId="462" xr:uid="{00000000-0005-0000-0000-000061020000}"/>
    <cellStyle name="Normal 11 10 4" xfId="676" xr:uid="{00000000-0005-0000-0000-000062020000}"/>
    <cellStyle name="Normal 11 10 5" xfId="892" xr:uid="{00000000-0005-0000-0000-000063020000}"/>
    <cellStyle name="Normal 11 10 6" xfId="1108" xr:uid="{00000000-0005-0000-0000-000064020000}"/>
    <cellStyle name="Normal 11 10 7" xfId="1324" xr:uid="{00000000-0005-0000-0000-000065020000}"/>
    <cellStyle name="Normal 11 10 8" xfId="1540" xr:uid="{00000000-0005-0000-0000-000066020000}"/>
    <cellStyle name="Normal 11 10 9" xfId="1756" xr:uid="{00000000-0005-0000-0000-000067020000}"/>
    <cellStyle name="Normal 11 11" xfId="158" xr:uid="{00000000-0005-0000-0000-000068020000}"/>
    <cellStyle name="Normal 11 11 10" xfId="2107" xr:uid="{00000000-0005-0000-0000-000069020000}"/>
    <cellStyle name="Normal 11 11 11" xfId="2336" xr:uid="{00000000-0005-0000-0000-00006A020000}"/>
    <cellStyle name="Normal 11 11 12" xfId="2539" xr:uid="{00000000-0005-0000-0000-00006B020000}"/>
    <cellStyle name="Normal 11 11 13" xfId="2647" xr:uid="{00000000-0005-0000-0000-00006C020000}"/>
    <cellStyle name="Normal 11 11 2" xfId="384" xr:uid="{00000000-0005-0000-0000-00006D020000}"/>
    <cellStyle name="Normal 11 11 3" xfId="598" xr:uid="{00000000-0005-0000-0000-00006E020000}"/>
    <cellStyle name="Normal 11 11 4" xfId="812" xr:uid="{00000000-0005-0000-0000-00006F020000}"/>
    <cellStyle name="Normal 11 11 5" xfId="1028" xr:uid="{00000000-0005-0000-0000-000070020000}"/>
    <cellStyle name="Normal 11 11 6" xfId="1244" xr:uid="{00000000-0005-0000-0000-000071020000}"/>
    <cellStyle name="Normal 11 11 7" xfId="1460" xr:uid="{00000000-0005-0000-0000-000072020000}"/>
    <cellStyle name="Normal 11 11 8" xfId="1676" xr:uid="{00000000-0005-0000-0000-000073020000}"/>
    <cellStyle name="Normal 11 11 9" xfId="1892" xr:uid="{00000000-0005-0000-0000-000074020000}"/>
    <cellStyle name="Normal 11 12" xfId="173" xr:uid="{00000000-0005-0000-0000-000075020000}"/>
    <cellStyle name="Normal 11 12 10" xfId="2122" xr:uid="{00000000-0005-0000-0000-000076020000}"/>
    <cellStyle name="Normal 11 12 11" xfId="2361" xr:uid="{00000000-0005-0000-0000-000077020000}"/>
    <cellStyle name="Normal 11 12 12" xfId="2554" xr:uid="{00000000-0005-0000-0000-000078020000}"/>
    <cellStyle name="Normal 11 12 13" xfId="2755" xr:uid="{00000000-0005-0000-0000-000079020000}"/>
    <cellStyle name="Normal 11 12 2" xfId="399" xr:uid="{00000000-0005-0000-0000-00007A020000}"/>
    <cellStyle name="Normal 11 12 3" xfId="613" xr:uid="{00000000-0005-0000-0000-00007B020000}"/>
    <cellStyle name="Normal 11 12 4" xfId="827" xr:uid="{00000000-0005-0000-0000-00007C020000}"/>
    <cellStyle name="Normal 11 12 5" xfId="1043" xr:uid="{00000000-0005-0000-0000-00007D020000}"/>
    <cellStyle name="Normal 11 12 6" xfId="1259" xr:uid="{00000000-0005-0000-0000-00007E020000}"/>
    <cellStyle name="Normal 11 12 7" xfId="1475" xr:uid="{00000000-0005-0000-0000-00007F020000}"/>
    <cellStyle name="Normal 11 12 8" xfId="1691" xr:uid="{00000000-0005-0000-0000-000080020000}"/>
    <cellStyle name="Normal 11 12 9" xfId="1907" xr:uid="{00000000-0005-0000-0000-000081020000}"/>
    <cellStyle name="Normal 11 13" xfId="183" xr:uid="{00000000-0005-0000-0000-000082020000}"/>
    <cellStyle name="Normal 11 13 10" xfId="2132" xr:uid="{00000000-0005-0000-0000-000083020000}"/>
    <cellStyle name="Normal 11 13 11" xfId="2306" xr:uid="{00000000-0005-0000-0000-000084020000}"/>
    <cellStyle name="Normal 11 13 12" xfId="2564" xr:uid="{00000000-0005-0000-0000-000085020000}"/>
    <cellStyle name="Normal 11 13 13" xfId="2754" xr:uid="{00000000-0005-0000-0000-000086020000}"/>
    <cellStyle name="Normal 11 13 2" xfId="409" xr:uid="{00000000-0005-0000-0000-000087020000}"/>
    <cellStyle name="Normal 11 13 3" xfId="623" xr:uid="{00000000-0005-0000-0000-000088020000}"/>
    <cellStyle name="Normal 11 13 4" xfId="837" xr:uid="{00000000-0005-0000-0000-000089020000}"/>
    <cellStyle name="Normal 11 13 5" xfId="1053" xr:uid="{00000000-0005-0000-0000-00008A020000}"/>
    <cellStyle name="Normal 11 13 6" xfId="1269" xr:uid="{00000000-0005-0000-0000-00008B020000}"/>
    <cellStyle name="Normal 11 13 7" xfId="1485" xr:uid="{00000000-0005-0000-0000-00008C020000}"/>
    <cellStyle name="Normal 11 13 8" xfId="1701" xr:uid="{00000000-0005-0000-0000-00008D020000}"/>
    <cellStyle name="Normal 11 13 9" xfId="1917" xr:uid="{00000000-0005-0000-0000-00008E020000}"/>
    <cellStyle name="Normal 11 14" xfId="206" xr:uid="{00000000-0005-0000-0000-00008F020000}"/>
    <cellStyle name="Normal 11 14 10" xfId="2155" xr:uid="{00000000-0005-0000-0000-000090020000}"/>
    <cellStyle name="Normal 11 14 11" xfId="2329" xr:uid="{00000000-0005-0000-0000-000091020000}"/>
    <cellStyle name="Normal 11 14 12" xfId="2587" xr:uid="{00000000-0005-0000-0000-000092020000}"/>
    <cellStyle name="Normal 11 14 13" xfId="2686" xr:uid="{00000000-0005-0000-0000-000093020000}"/>
    <cellStyle name="Normal 11 14 2" xfId="432" xr:uid="{00000000-0005-0000-0000-000094020000}"/>
    <cellStyle name="Normal 11 14 3" xfId="646" xr:uid="{00000000-0005-0000-0000-000095020000}"/>
    <cellStyle name="Normal 11 14 4" xfId="860" xr:uid="{00000000-0005-0000-0000-000096020000}"/>
    <cellStyle name="Normal 11 14 5" xfId="1076" xr:uid="{00000000-0005-0000-0000-000097020000}"/>
    <cellStyle name="Normal 11 14 6" xfId="1292" xr:uid="{00000000-0005-0000-0000-000098020000}"/>
    <cellStyle name="Normal 11 14 7" xfId="1508" xr:uid="{00000000-0005-0000-0000-000099020000}"/>
    <cellStyle name="Normal 11 14 8" xfId="1724" xr:uid="{00000000-0005-0000-0000-00009A020000}"/>
    <cellStyle name="Normal 11 14 9" xfId="1940" xr:uid="{00000000-0005-0000-0000-00009B020000}"/>
    <cellStyle name="Normal 11 15" xfId="213" xr:uid="{00000000-0005-0000-0000-00009C020000}"/>
    <cellStyle name="Normal 11 15 10" xfId="2162" xr:uid="{00000000-0005-0000-0000-00009D020000}"/>
    <cellStyle name="Normal 11 15 11" xfId="2357" xr:uid="{00000000-0005-0000-0000-00009E020000}"/>
    <cellStyle name="Normal 11 15 12" xfId="2594" xr:uid="{00000000-0005-0000-0000-00009F020000}"/>
    <cellStyle name="Normal 11 15 13" xfId="2751" xr:uid="{00000000-0005-0000-0000-0000A0020000}"/>
    <cellStyle name="Normal 11 15 2" xfId="439" xr:uid="{00000000-0005-0000-0000-0000A1020000}"/>
    <cellStyle name="Normal 11 15 3" xfId="653" xr:uid="{00000000-0005-0000-0000-0000A2020000}"/>
    <cellStyle name="Normal 11 15 4" xfId="867" xr:uid="{00000000-0005-0000-0000-0000A3020000}"/>
    <cellStyle name="Normal 11 15 5" xfId="1083" xr:uid="{00000000-0005-0000-0000-0000A4020000}"/>
    <cellStyle name="Normal 11 15 6" xfId="1299" xr:uid="{00000000-0005-0000-0000-0000A5020000}"/>
    <cellStyle name="Normal 11 15 7" xfId="1515" xr:uid="{00000000-0005-0000-0000-0000A6020000}"/>
    <cellStyle name="Normal 11 15 8" xfId="1731" xr:uid="{00000000-0005-0000-0000-0000A7020000}"/>
    <cellStyle name="Normal 11 15 9" xfId="1947" xr:uid="{00000000-0005-0000-0000-0000A8020000}"/>
    <cellStyle name="Normal 11 2" xfId="21" xr:uid="{00000000-0005-0000-0000-0000A9020000}"/>
    <cellStyle name="Normal 11 2 10" xfId="1972" xr:uid="{00000000-0005-0000-0000-0000AA020000}"/>
    <cellStyle name="Normal 11 2 11" xfId="2381" xr:uid="{00000000-0005-0000-0000-0000AB020000}"/>
    <cellStyle name="Normal 11 2 12" xfId="2403" xr:uid="{00000000-0005-0000-0000-0000AC020000}"/>
    <cellStyle name="Normal 11 2 13" xfId="2787" xr:uid="{00000000-0005-0000-0000-0000AD020000}"/>
    <cellStyle name="Normal 11 2 2" xfId="247" xr:uid="{00000000-0005-0000-0000-0000AE020000}"/>
    <cellStyle name="Normal 11 2 3" xfId="461" xr:uid="{00000000-0005-0000-0000-0000AF020000}"/>
    <cellStyle name="Normal 11 2 4" xfId="675" xr:uid="{00000000-0005-0000-0000-0000B0020000}"/>
    <cellStyle name="Normal 11 2 5" xfId="891" xr:uid="{00000000-0005-0000-0000-0000B1020000}"/>
    <cellStyle name="Normal 11 2 6" xfId="1107" xr:uid="{00000000-0005-0000-0000-0000B2020000}"/>
    <cellStyle name="Normal 11 2 7" xfId="1323" xr:uid="{00000000-0005-0000-0000-0000B3020000}"/>
    <cellStyle name="Normal 11 2 8" xfId="1539" xr:uid="{00000000-0005-0000-0000-0000B4020000}"/>
    <cellStyle name="Normal 11 2 9" xfId="1755" xr:uid="{00000000-0005-0000-0000-0000B5020000}"/>
    <cellStyle name="Normal 11 3" xfId="23" xr:uid="{00000000-0005-0000-0000-0000B6020000}"/>
    <cellStyle name="Normal 11 3 10" xfId="1974" xr:uid="{00000000-0005-0000-0000-0000B7020000}"/>
    <cellStyle name="Normal 11 3 11" xfId="2327" xr:uid="{00000000-0005-0000-0000-0000B8020000}"/>
    <cellStyle name="Normal 11 3 12" xfId="2405" xr:uid="{00000000-0005-0000-0000-0000B9020000}"/>
    <cellStyle name="Normal 11 3 13" xfId="2743" xr:uid="{00000000-0005-0000-0000-0000BA020000}"/>
    <cellStyle name="Normal 11 3 2" xfId="249" xr:uid="{00000000-0005-0000-0000-0000BB020000}"/>
    <cellStyle name="Normal 11 3 3" xfId="463" xr:uid="{00000000-0005-0000-0000-0000BC020000}"/>
    <cellStyle name="Normal 11 3 4" xfId="677" xr:uid="{00000000-0005-0000-0000-0000BD020000}"/>
    <cellStyle name="Normal 11 3 5" xfId="893" xr:uid="{00000000-0005-0000-0000-0000BE020000}"/>
    <cellStyle name="Normal 11 3 6" xfId="1109" xr:uid="{00000000-0005-0000-0000-0000BF020000}"/>
    <cellStyle name="Normal 11 3 7" xfId="1325" xr:uid="{00000000-0005-0000-0000-0000C0020000}"/>
    <cellStyle name="Normal 11 3 8" xfId="1541" xr:uid="{00000000-0005-0000-0000-0000C1020000}"/>
    <cellStyle name="Normal 11 3 9" xfId="1757" xr:uid="{00000000-0005-0000-0000-0000C2020000}"/>
    <cellStyle name="Normal 11 4" xfId="24" xr:uid="{00000000-0005-0000-0000-0000C3020000}"/>
    <cellStyle name="Normal 11 4 10" xfId="1975" xr:uid="{00000000-0005-0000-0000-0000C4020000}"/>
    <cellStyle name="Normal 11 4 11" xfId="2300" xr:uid="{00000000-0005-0000-0000-0000C5020000}"/>
    <cellStyle name="Normal 11 4 12" xfId="2406" xr:uid="{00000000-0005-0000-0000-0000C6020000}"/>
    <cellStyle name="Normal 11 4 13" xfId="2721" xr:uid="{00000000-0005-0000-0000-0000C7020000}"/>
    <cellStyle name="Normal 11 4 2" xfId="250" xr:uid="{00000000-0005-0000-0000-0000C8020000}"/>
    <cellStyle name="Normal 11 4 3" xfId="464" xr:uid="{00000000-0005-0000-0000-0000C9020000}"/>
    <cellStyle name="Normal 11 4 4" xfId="678" xr:uid="{00000000-0005-0000-0000-0000CA020000}"/>
    <cellStyle name="Normal 11 4 5" xfId="894" xr:uid="{00000000-0005-0000-0000-0000CB020000}"/>
    <cellStyle name="Normal 11 4 6" xfId="1110" xr:uid="{00000000-0005-0000-0000-0000CC020000}"/>
    <cellStyle name="Normal 11 4 7" xfId="1326" xr:uid="{00000000-0005-0000-0000-0000CD020000}"/>
    <cellStyle name="Normal 11 4 8" xfId="1542" xr:uid="{00000000-0005-0000-0000-0000CE020000}"/>
    <cellStyle name="Normal 11 4 9" xfId="1758" xr:uid="{00000000-0005-0000-0000-0000CF020000}"/>
    <cellStyle name="Normal 11 5" xfId="25" xr:uid="{00000000-0005-0000-0000-0000D0020000}"/>
    <cellStyle name="Normal 11 5 10" xfId="1976" xr:uid="{00000000-0005-0000-0000-0000D1020000}"/>
    <cellStyle name="Normal 11 5 11" xfId="2272" xr:uid="{00000000-0005-0000-0000-0000D2020000}"/>
    <cellStyle name="Normal 11 5 12" xfId="2407" xr:uid="{00000000-0005-0000-0000-0000D3020000}"/>
    <cellStyle name="Normal 11 5 13" xfId="2699" xr:uid="{00000000-0005-0000-0000-0000D4020000}"/>
    <cellStyle name="Normal 11 5 2" xfId="251" xr:uid="{00000000-0005-0000-0000-0000D5020000}"/>
    <cellStyle name="Normal 11 5 3" xfId="465" xr:uid="{00000000-0005-0000-0000-0000D6020000}"/>
    <cellStyle name="Normal 11 5 4" xfId="679" xr:uid="{00000000-0005-0000-0000-0000D7020000}"/>
    <cellStyle name="Normal 11 5 5" xfId="895" xr:uid="{00000000-0005-0000-0000-0000D8020000}"/>
    <cellStyle name="Normal 11 5 6" xfId="1111" xr:uid="{00000000-0005-0000-0000-0000D9020000}"/>
    <cellStyle name="Normal 11 5 7" xfId="1327" xr:uid="{00000000-0005-0000-0000-0000DA020000}"/>
    <cellStyle name="Normal 11 5 8" xfId="1543" xr:uid="{00000000-0005-0000-0000-0000DB020000}"/>
    <cellStyle name="Normal 11 5 9" xfId="1759" xr:uid="{00000000-0005-0000-0000-0000DC020000}"/>
    <cellStyle name="Normal 11 6" xfId="26" xr:uid="{00000000-0005-0000-0000-0000DD020000}"/>
    <cellStyle name="Normal 11 6 10" xfId="1977" xr:uid="{00000000-0005-0000-0000-0000DE020000}"/>
    <cellStyle name="Normal 11 6 11" xfId="2245" xr:uid="{00000000-0005-0000-0000-0000DF020000}"/>
    <cellStyle name="Normal 11 6 12" xfId="2408" xr:uid="{00000000-0005-0000-0000-0000E0020000}"/>
    <cellStyle name="Normal 11 6 13" xfId="2677" xr:uid="{00000000-0005-0000-0000-0000E1020000}"/>
    <cellStyle name="Normal 11 6 2" xfId="252" xr:uid="{00000000-0005-0000-0000-0000E2020000}"/>
    <cellStyle name="Normal 11 6 3" xfId="466" xr:uid="{00000000-0005-0000-0000-0000E3020000}"/>
    <cellStyle name="Normal 11 6 4" xfId="680" xr:uid="{00000000-0005-0000-0000-0000E4020000}"/>
    <cellStyle name="Normal 11 6 5" xfId="896" xr:uid="{00000000-0005-0000-0000-0000E5020000}"/>
    <cellStyle name="Normal 11 6 6" xfId="1112" xr:uid="{00000000-0005-0000-0000-0000E6020000}"/>
    <cellStyle name="Normal 11 6 7" xfId="1328" xr:uid="{00000000-0005-0000-0000-0000E7020000}"/>
    <cellStyle name="Normal 11 6 8" xfId="1544" xr:uid="{00000000-0005-0000-0000-0000E8020000}"/>
    <cellStyle name="Normal 11 6 9" xfId="1760" xr:uid="{00000000-0005-0000-0000-0000E9020000}"/>
    <cellStyle name="Normal 11 7" xfId="27" xr:uid="{00000000-0005-0000-0000-0000EA020000}"/>
    <cellStyle name="Normal 11 7 10" xfId="1978" xr:uid="{00000000-0005-0000-0000-0000EB020000}"/>
    <cellStyle name="Normal 11 7 11" xfId="2219" xr:uid="{00000000-0005-0000-0000-0000EC020000}"/>
    <cellStyle name="Normal 11 7 12" xfId="2409" xr:uid="{00000000-0005-0000-0000-0000ED020000}"/>
    <cellStyle name="Normal 11 7 13" xfId="2655" xr:uid="{00000000-0005-0000-0000-0000EE020000}"/>
    <cellStyle name="Normal 11 7 2" xfId="253" xr:uid="{00000000-0005-0000-0000-0000EF020000}"/>
    <cellStyle name="Normal 11 7 3" xfId="467" xr:uid="{00000000-0005-0000-0000-0000F0020000}"/>
    <cellStyle name="Normal 11 7 4" xfId="681" xr:uid="{00000000-0005-0000-0000-0000F1020000}"/>
    <cellStyle name="Normal 11 7 5" xfId="897" xr:uid="{00000000-0005-0000-0000-0000F2020000}"/>
    <cellStyle name="Normal 11 7 6" xfId="1113" xr:uid="{00000000-0005-0000-0000-0000F3020000}"/>
    <cellStyle name="Normal 11 7 7" xfId="1329" xr:uid="{00000000-0005-0000-0000-0000F4020000}"/>
    <cellStyle name="Normal 11 7 8" xfId="1545" xr:uid="{00000000-0005-0000-0000-0000F5020000}"/>
    <cellStyle name="Normal 11 7 9" xfId="1761" xr:uid="{00000000-0005-0000-0000-0000F6020000}"/>
    <cellStyle name="Normal 11 8" xfId="28" xr:uid="{00000000-0005-0000-0000-0000F7020000}"/>
    <cellStyle name="Normal 11 8 10" xfId="1979" xr:uid="{00000000-0005-0000-0000-0000F8020000}"/>
    <cellStyle name="Normal 11 8 11" xfId="2192" xr:uid="{00000000-0005-0000-0000-0000F9020000}"/>
    <cellStyle name="Normal 11 8 12" xfId="2410" xr:uid="{00000000-0005-0000-0000-0000FA020000}"/>
    <cellStyle name="Normal 11 8 13" xfId="2634" xr:uid="{00000000-0005-0000-0000-0000FB020000}"/>
    <cellStyle name="Normal 11 8 2" xfId="254" xr:uid="{00000000-0005-0000-0000-0000FC020000}"/>
    <cellStyle name="Normal 11 8 3" xfId="468" xr:uid="{00000000-0005-0000-0000-0000FD020000}"/>
    <cellStyle name="Normal 11 8 4" xfId="682" xr:uid="{00000000-0005-0000-0000-0000FE020000}"/>
    <cellStyle name="Normal 11 8 5" xfId="898" xr:uid="{00000000-0005-0000-0000-0000FF020000}"/>
    <cellStyle name="Normal 11 8 6" xfId="1114" xr:uid="{00000000-0005-0000-0000-000000030000}"/>
    <cellStyle name="Normal 11 8 7" xfId="1330" xr:uid="{00000000-0005-0000-0000-000001030000}"/>
    <cellStyle name="Normal 11 8 8" xfId="1546" xr:uid="{00000000-0005-0000-0000-000002030000}"/>
    <cellStyle name="Normal 11 8 9" xfId="1762" xr:uid="{00000000-0005-0000-0000-000003030000}"/>
    <cellStyle name="Normal 11 9" xfId="29" xr:uid="{00000000-0005-0000-0000-000004030000}"/>
    <cellStyle name="Normal 11 9 10" xfId="1980" xr:uid="{00000000-0005-0000-0000-000005030000}"/>
    <cellStyle name="Normal 11 9 11" xfId="2378" xr:uid="{00000000-0005-0000-0000-000006030000}"/>
    <cellStyle name="Normal 11 9 12" xfId="2411" xr:uid="{00000000-0005-0000-0000-000007030000}"/>
    <cellStyle name="Normal 11 9 13" xfId="2613" xr:uid="{00000000-0005-0000-0000-000008030000}"/>
    <cellStyle name="Normal 11 9 2" xfId="255" xr:uid="{00000000-0005-0000-0000-000009030000}"/>
    <cellStyle name="Normal 11 9 3" xfId="469" xr:uid="{00000000-0005-0000-0000-00000A030000}"/>
    <cellStyle name="Normal 11 9 4" xfId="683" xr:uid="{00000000-0005-0000-0000-00000B030000}"/>
    <cellStyle name="Normal 11 9 5" xfId="899" xr:uid="{00000000-0005-0000-0000-00000C030000}"/>
    <cellStyle name="Normal 11 9 6" xfId="1115" xr:uid="{00000000-0005-0000-0000-00000D030000}"/>
    <cellStyle name="Normal 11 9 7" xfId="1331" xr:uid="{00000000-0005-0000-0000-00000E030000}"/>
    <cellStyle name="Normal 11 9 8" xfId="1547" xr:uid="{00000000-0005-0000-0000-00000F030000}"/>
    <cellStyle name="Normal 11 9 9" xfId="1763" xr:uid="{00000000-0005-0000-0000-000010030000}"/>
    <cellStyle name="Normal 12" xfId="220" xr:uid="{00000000-0005-0000-0000-000011030000}"/>
    <cellStyle name="Normal 13" xfId="30" xr:uid="{00000000-0005-0000-0000-000012030000}"/>
    <cellStyle name="Normal 13 10" xfId="31" xr:uid="{00000000-0005-0000-0000-000013030000}"/>
    <cellStyle name="Normal 13 10 10" xfId="1982" xr:uid="{00000000-0005-0000-0000-000014030000}"/>
    <cellStyle name="Normal 13 10 11" xfId="2324" xr:uid="{00000000-0005-0000-0000-000015030000}"/>
    <cellStyle name="Normal 13 10 12" xfId="2413" xr:uid="{00000000-0005-0000-0000-000016030000}"/>
    <cellStyle name="Normal 13 10 13" xfId="2786" xr:uid="{00000000-0005-0000-0000-000017030000}"/>
    <cellStyle name="Normal 13 10 2" xfId="257" xr:uid="{00000000-0005-0000-0000-000018030000}"/>
    <cellStyle name="Normal 13 10 3" xfId="471" xr:uid="{00000000-0005-0000-0000-000019030000}"/>
    <cellStyle name="Normal 13 10 4" xfId="685" xr:uid="{00000000-0005-0000-0000-00001A030000}"/>
    <cellStyle name="Normal 13 10 5" xfId="901" xr:uid="{00000000-0005-0000-0000-00001B030000}"/>
    <cellStyle name="Normal 13 10 6" xfId="1117" xr:uid="{00000000-0005-0000-0000-00001C030000}"/>
    <cellStyle name="Normal 13 10 7" xfId="1333" xr:uid="{00000000-0005-0000-0000-00001D030000}"/>
    <cellStyle name="Normal 13 10 8" xfId="1549" xr:uid="{00000000-0005-0000-0000-00001E030000}"/>
    <cellStyle name="Normal 13 10 9" xfId="1765" xr:uid="{00000000-0005-0000-0000-00001F030000}"/>
    <cellStyle name="Normal 13 11" xfId="256" xr:uid="{00000000-0005-0000-0000-000020030000}"/>
    <cellStyle name="Normal 13 12" xfId="470" xr:uid="{00000000-0005-0000-0000-000021030000}"/>
    <cellStyle name="Normal 13 13" xfId="684" xr:uid="{00000000-0005-0000-0000-000022030000}"/>
    <cellStyle name="Normal 13 14" xfId="900" xr:uid="{00000000-0005-0000-0000-000023030000}"/>
    <cellStyle name="Normal 13 15" xfId="1116" xr:uid="{00000000-0005-0000-0000-000024030000}"/>
    <cellStyle name="Normal 13 16" xfId="1332" xr:uid="{00000000-0005-0000-0000-000025030000}"/>
    <cellStyle name="Normal 13 17" xfId="1548" xr:uid="{00000000-0005-0000-0000-000026030000}"/>
    <cellStyle name="Normal 13 18" xfId="1764" xr:uid="{00000000-0005-0000-0000-000027030000}"/>
    <cellStyle name="Normal 13 19" xfId="1981" xr:uid="{00000000-0005-0000-0000-000028030000}"/>
    <cellStyle name="Normal 13 2" xfId="32" xr:uid="{00000000-0005-0000-0000-000029030000}"/>
    <cellStyle name="Normal 13 2 10" xfId="1983" xr:uid="{00000000-0005-0000-0000-00002A030000}"/>
    <cellStyle name="Normal 13 2 11" xfId="2297" xr:uid="{00000000-0005-0000-0000-00002B030000}"/>
    <cellStyle name="Normal 13 2 12" xfId="2414" xr:uid="{00000000-0005-0000-0000-00002C030000}"/>
    <cellStyle name="Normal 13 2 13" xfId="2764" xr:uid="{00000000-0005-0000-0000-00002D030000}"/>
    <cellStyle name="Normal 13 2 2" xfId="258" xr:uid="{00000000-0005-0000-0000-00002E030000}"/>
    <cellStyle name="Normal 13 2 3" xfId="472" xr:uid="{00000000-0005-0000-0000-00002F030000}"/>
    <cellStyle name="Normal 13 2 4" xfId="686" xr:uid="{00000000-0005-0000-0000-000030030000}"/>
    <cellStyle name="Normal 13 2 5" xfId="902" xr:uid="{00000000-0005-0000-0000-000031030000}"/>
    <cellStyle name="Normal 13 2 6" xfId="1118" xr:uid="{00000000-0005-0000-0000-000032030000}"/>
    <cellStyle name="Normal 13 2 7" xfId="1334" xr:uid="{00000000-0005-0000-0000-000033030000}"/>
    <cellStyle name="Normal 13 2 8" xfId="1550" xr:uid="{00000000-0005-0000-0000-000034030000}"/>
    <cellStyle name="Normal 13 2 9" xfId="1766" xr:uid="{00000000-0005-0000-0000-000035030000}"/>
    <cellStyle name="Normal 13 20" xfId="2351" xr:uid="{00000000-0005-0000-0000-000036030000}"/>
    <cellStyle name="Normal 13 21" xfId="2412" xr:uid="{00000000-0005-0000-0000-000037030000}"/>
    <cellStyle name="Normal 13 22" xfId="2798" xr:uid="{00000000-0005-0000-0000-000038030000}"/>
    <cellStyle name="Normal 13 3" xfId="33" xr:uid="{00000000-0005-0000-0000-000039030000}"/>
    <cellStyle name="Normal 13 3 10" xfId="1984" xr:uid="{00000000-0005-0000-0000-00003A030000}"/>
    <cellStyle name="Normal 13 3 11" xfId="2269" xr:uid="{00000000-0005-0000-0000-00003B030000}"/>
    <cellStyle name="Normal 13 3 12" xfId="2415" xr:uid="{00000000-0005-0000-0000-00003C030000}"/>
    <cellStyle name="Normal 13 3 13" xfId="2742" xr:uid="{00000000-0005-0000-0000-00003D030000}"/>
    <cellStyle name="Normal 13 3 2" xfId="259" xr:uid="{00000000-0005-0000-0000-00003E030000}"/>
    <cellStyle name="Normal 13 3 3" xfId="473" xr:uid="{00000000-0005-0000-0000-00003F030000}"/>
    <cellStyle name="Normal 13 3 4" xfId="687" xr:uid="{00000000-0005-0000-0000-000040030000}"/>
    <cellStyle name="Normal 13 3 5" xfId="903" xr:uid="{00000000-0005-0000-0000-000041030000}"/>
    <cellStyle name="Normal 13 3 6" xfId="1119" xr:uid="{00000000-0005-0000-0000-000042030000}"/>
    <cellStyle name="Normal 13 3 7" xfId="1335" xr:uid="{00000000-0005-0000-0000-000043030000}"/>
    <cellStyle name="Normal 13 3 8" xfId="1551" xr:uid="{00000000-0005-0000-0000-000044030000}"/>
    <cellStyle name="Normal 13 3 9" xfId="1767" xr:uid="{00000000-0005-0000-0000-000045030000}"/>
    <cellStyle name="Normal 13 4" xfId="34" xr:uid="{00000000-0005-0000-0000-000046030000}"/>
    <cellStyle name="Normal 13 4 10" xfId="1985" xr:uid="{00000000-0005-0000-0000-000047030000}"/>
    <cellStyle name="Normal 13 4 11" xfId="2242" xr:uid="{00000000-0005-0000-0000-000048030000}"/>
    <cellStyle name="Normal 13 4 12" xfId="2416" xr:uid="{00000000-0005-0000-0000-000049030000}"/>
    <cellStyle name="Normal 13 4 13" xfId="2720" xr:uid="{00000000-0005-0000-0000-00004A030000}"/>
    <cellStyle name="Normal 13 4 2" xfId="260" xr:uid="{00000000-0005-0000-0000-00004B030000}"/>
    <cellStyle name="Normal 13 4 3" xfId="474" xr:uid="{00000000-0005-0000-0000-00004C030000}"/>
    <cellStyle name="Normal 13 4 4" xfId="688" xr:uid="{00000000-0005-0000-0000-00004D030000}"/>
    <cellStyle name="Normal 13 4 5" xfId="904" xr:uid="{00000000-0005-0000-0000-00004E030000}"/>
    <cellStyle name="Normal 13 4 6" xfId="1120" xr:uid="{00000000-0005-0000-0000-00004F030000}"/>
    <cellStyle name="Normal 13 4 7" xfId="1336" xr:uid="{00000000-0005-0000-0000-000050030000}"/>
    <cellStyle name="Normal 13 4 8" xfId="1552" xr:uid="{00000000-0005-0000-0000-000051030000}"/>
    <cellStyle name="Normal 13 4 9" xfId="1768" xr:uid="{00000000-0005-0000-0000-000052030000}"/>
    <cellStyle name="Normal 13 5" xfId="35" xr:uid="{00000000-0005-0000-0000-000053030000}"/>
    <cellStyle name="Normal 13 5 10" xfId="1986" xr:uid="{00000000-0005-0000-0000-000054030000}"/>
    <cellStyle name="Normal 13 5 11" xfId="2216" xr:uid="{00000000-0005-0000-0000-000055030000}"/>
    <cellStyle name="Normal 13 5 12" xfId="2417" xr:uid="{00000000-0005-0000-0000-000056030000}"/>
    <cellStyle name="Normal 13 5 13" xfId="2698" xr:uid="{00000000-0005-0000-0000-000057030000}"/>
    <cellStyle name="Normal 13 5 2" xfId="261" xr:uid="{00000000-0005-0000-0000-000058030000}"/>
    <cellStyle name="Normal 13 5 3" xfId="475" xr:uid="{00000000-0005-0000-0000-000059030000}"/>
    <cellStyle name="Normal 13 5 4" xfId="689" xr:uid="{00000000-0005-0000-0000-00005A030000}"/>
    <cellStyle name="Normal 13 5 5" xfId="905" xr:uid="{00000000-0005-0000-0000-00005B030000}"/>
    <cellStyle name="Normal 13 5 6" xfId="1121" xr:uid="{00000000-0005-0000-0000-00005C030000}"/>
    <cellStyle name="Normal 13 5 7" xfId="1337" xr:uid="{00000000-0005-0000-0000-00005D030000}"/>
    <cellStyle name="Normal 13 5 8" xfId="1553" xr:uid="{00000000-0005-0000-0000-00005E030000}"/>
    <cellStyle name="Normal 13 5 9" xfId="1769" xr:uid="{00000000-0005-0000-0000-00005F030000}"/>
    <cellStyle name="Normal 13 6" xfId="36" xr:uid="{00000000-0005-0000-0000-000060030000}"/>
    <cellStyle name="Normal 13 6 10" xfId="1987" xr:uid="{00000000-0005-0000-0000-000061030000}"/>
    <cellStyle name="Normal 13 6 11" xfId="2189" xr:uid="{00000000-0005-0000-0000-000062030000}"/>
    <cellStyle name="Normal 13 6 12" xfId="2418" xr:uid="{00000000-0005-0000-0000-000063030000}"/>
    <cellStyle name="Normal 13 6 13" xfId="2676" xr:uid="{00000000-0005-0000-0000-000064030000}"/>
    <cellStyle name="Normal 13 6 2" xfId="262" xr:uid="{00000000-0005-0000-0000-000065030000}"/>
    <cellStyle name="Normal 13 6 3" xfId="476" xr:uid="{00000000-0005-0000-0000-000066030000}"/>
    <cellStyle name="Normal 13 6 4" xfId="690" xr:uid="{00000000-0005-0000-0000-000067030000}"/>
    <cellStyle name="Normal 13 6 5" xfId="906" xr:uid="{00000000-0005-0000-0000-000068030000}"/>
    <cellStyle name="Normal 13 6 6" xfId="1122" xr:uid="{00000000-0005-0000-0000-000069030000}"/>
    <cellStyle name="Normal 13 6 7" xfId="1338" xr:uid="{00000000-0005-0000-0000-00006A030000}"/>
    <cellStyle name="Normal 13 6 8" xfId="1554" xr:uid="{00000000-0005-0000-0000-00006B030000}"/>
    <cellStyle name="Normal 13 6 9" xfId="1770" xr:uid="{00000000-0005-0000-0000-00006C030000}"/>
    <cellStyle name="Normal 13 7" xfId="37" xr:uid="{00000000-0005-0000-0000-00006D030000}"/>
    <cellStyle name="Normal 13 7 10" xfId="1988" xr:uid="{00000000-0005-0000-0000-00006E030000}"/>
    <cellStyle name="Normal 13 7 11" xfId="2377" xr:uid="{00000000-0005-0000-0000-00006F030000}"/>
    <cellStyle name="Normal 13 7 12" xfId="2419" xr:uid="{00000000-0005-0000-0000-000070030000}"/>
    <cellStyle name="Normal 13 7 13" xfId="2654" xr:uid="{00000000-0005-0000-0000-000071030000}"/>
    <cellStyle name="Normal 13 7 2" xfId="263" xr:uid="{00000000-0005-0000-0000-000072030000}"/>
    <cellStyle name="Normal 13 7 3" xfId="477" xr:uid="{00000000-0005-0000-0000-000073030000}"/>
    <cellStyle name="Normal 13 7 4" xfId="691" xr:uid="{00000000-0005-0000-0000-000074030000}"/>
    <cellStyle name="Normal 13 7 5" xfId="907" xr:uid="{00000000-0005-0000-0000-000075030000}"/>
    <cellStyle name="Normal 13 7 6" xfId="1123" xr:uid="{00000000-0005-0000-0000-000076030000}"/>
    <cellStyle name="Normal 13 7 7" xfId="1339" xr:uid="{00000000-0005-0000-0000-000077030000}"/>
    <cellStyle name="Normal 13 7 8" xfId="1555" xr:uid="{00000000-0005-0000-0000-000078030000}"/>
    <cellStyle name="Normal 13 7 9" xfId="1771" xr:uid="{00000000-0005-0000-0000-000079030000}"/>
    <cellStyle name="Normal 13 8" xfId="38" xr:uid="{00000000-0005-0000-0000-00007A030000}"/>
    <cellStyle name="Normal 13 8 10" xfId="1989" xr:uid="{00000000-0005-0000-0000-00007B030000}"/>
    <cellStyle name="Normal 13 8 11" xfId="2350" xr:uid="{00000000-0005-0000-0000-00007C030000}"/>
    <cellStyle name="Normal 13 8 12" xfId="2420" xr:uid="{00000000-0005-0000-0000-00007D030000}"/>
    <cellStyle name="Normal 13 8 13" xfId="2633" xr:uid="{00000000-0005-0000-0000-00007E030000}"/>
    <cellStyle name="Normal 13 8 2" xfId="264" xr:uid="{00000000-0005-0000-0000-00007F030000}"/>
    <cellStyle name="Normal 13 8 3" xfId="478" xr:uid="{00000000-0005-0000-0000-000080030000}"/>
    <cellStyle name="Normal 13 8 4" xfId="692" xr:uid="{00000000-0005-0000-0000-000081030000}"/>
    <cellStyle name="Normal 13 8 5" xfId="908" xr:uid="{00000000-0005-0000-0000-000082030000}"/>
    <cellStyle name="Normal 13 8 6" xfId="1124" xr:uid="{00000000-0005-0000-0000-000083030000}"/>
    <cellStyle name="Normal 13 8 7" xfId="1340" xr:uid="{00000000-0005-0000-0000-000084030000}"/>
    <cellStyle name="Normal 13 8 8" xfId="1556" xr:uid="{00000000-0005-0000-0000-000085030000}"/>
    <cellStyle name="Normal 13 8 9" xfId="1772" xr:uid="{00000000-0005-0000-0000-000086030000}"/>
    <cellStyle name="Normal 13 9" xfId="39" xr:uid="{00000000-0005-0000-0000-000087030000}"/>
    <cellStyle name="Normal 13 9 10" xfId="1990" xr:uid="{00000000-0005-0000-0000-000088030000}"/>
    <cellStyle name="Normal 13 9 11" xfId="2323" xr:uid="{00000000-0005-0000-0000-000089030000}"/>
    <cellStyle name="Normal 13 9 12" xfId="2421" xr:uid="{00000000-0005-0000-0000-00008A030000}"/>
    <cellStyle name="Normal 13 9 13" xfId="2612" xr:uid="{00000000-0005-0000-0000-00008B030000}"/>
    <cellStyle name="Normal 13 9 2" xfId="265" xr:uid="{00000000-0005-0000-0000-00008C030000}"/>
    <cellStyle name="Normal 13 9 3" xfId="479" xr:uid="{00000000-0005-0000-0000-00008D030000}"/>
    <cellStyle name="Normal 13 9 4" xfId="693" xr:uid="{00000000-0005-0000-0000-00008E030000}"/>
    <cellStyle name="Normal 13 9 5" xfId="909" xr:uid="{00000000-0005-0000-0000-00008F030000}"/>
    <cellStyle name="Normal 13 9 6" xfId="1125" xr:uid="{00000000-0005-0000-0000-000090030000}"/>
    <cellStyle name="Normal 13 9 7" xfId="1341" xr:uid="{00000000-0005-0000-0000-000091030000}"/>
    <cellStyle name="Normal 13 9 8" xfId="1557" xr:uid="{00000000-0005-0000-0000-000092030000}"/>
    <cellStyle name="Normal 13 9 9" xfId="1773" xr:uid="{00000000-0005-0000-0000-000093030000}"/>
    <cellStyle name="Normal 14" xfId="40" xr:uid="{00000000-0005-0000-0000-000094030000}"/>
    <cellStyle name="Normal 14 10" xfId="41" xr:uid="{00000000-0005-0000-0000-000095030000}"/>
    <cellStyle name="Normal 14 10 10" xfId="1992" xr:uid="{00000000-0005-0000-0000-000096030000}"/>
    <cellStyle name="Normal 14 10 11" xfId="2268" xr:uid="{00000000-0005-0000-0000-000097030000}"/>
    <cellStyle name="Normal 14 10 12" xfId="2423" xr:uid="{00000000-0005-0000-0000-000098030000}"/>
    <cellStyle name="Normal 14 10 13" xfId="2785" xr:uid="{00000000-0005-0000-0000-000099030000}"/>
    <cellStyle name="Normal 14 10 2" xfId="267" xr:uid="{00000000-0005-0000-0000-00009A030000}"/>
    <cellStyle name="Normal 14 10 3" xfId="481" xr:uid="{00000000-0005-0000-0000-00009B030000}"/>
    <cellStyle name="Normal 14 10 4" xfId="695" xr:uid="{00000000-0005-0000-0000-00009C030000}"/>
    <cellStyle name="Normal 14 10 5" xfId="911" xr:uid="{00000000-0005-0000-0000-00009D030000}"/>
    <cellStyle name="Normal 14 10 6" xfId="1127" xr:uid="{00000000-0005-0000-0000-00009E030000}"/>
    <cellStyle name="Normal 14 10 7" xfId="1343" xr:uid="{00000000-0005-0000-0000-00009F030000}"/>
    <cellStyle name="Normal 14 10 8" xfId="1559" xr:uid="{00000000-0005-0000-0000-0000A0030000}"/>
    <cellStyle name="Normal 14 10 9" xfId="1775" xr:uid="{00000000-0005-0000-0000-0000A1030000}"/>
    <cellStyle name="Normal 14 11" xfId="266" xr:uid="{00000000-0005-0000-0000-0000A2030000}"/>
    <cellStyle name="Normal 14 12" xfId="480" xr:uid="{00000000-0005-0000-0000-0000A3030000}"/>
    <cellStyle name="Normal 14 13" xfId="694" xr:uid="{00000000-0005-0000-0000-0000A4030000}"/>
    <cellStyle name="Normal 14 14" xfId="910" xr:uid="{00000000-0005-0000-0000-0000A5030000}"/>
    <cellStyle name="Normal 14 15" xfId="1126" xr:uid="{00000000-0005-0000-0000-0000A6030000}"/>
    <cellStyle name="Normal 14 16" xfId="1342" xr:uid="{00000000-0005-0000-0000-0000A7030000}"/>
    <cellStyle name="Normal 14 17" xfId="1558" xr:uid="{00000000-0005-0000-0000-0000A8030000}"/>
    <cellStyle name="Normal 14 18" xfId="1774" xr:uid="{00000000-0005-0000-0000-0000A9030000}"/>
    <cellStyle name="Normal 14 19" xfId="1991" xr:uid="{00000000-0005-0000-0000-0000AA030000}"/>
    <cellStyle name="Normal 14 2" xfId="42" xr:uid="{00000000-0005-0000-0000-0000AB030000}"/>
    <cellStyle name="Normal 14 2 10" xfId="1993" xr:uid="{00000000-0005-0000-0000-0000AC030000}"/>
    <cellStyle name="Normal 14 2 11" xfId="2241" xr:uid="{00000000-0005-0000-0000-0000AD030000}"/>
    <cellStyle name="Normal 14 2 12" xfId="2424" xr:uid="{00000000-0005-0000-0000-0000AE030000}"/>
    <cellStyle name="Normal 14 2 13" xfId="2763" xr:uid="{00000000-0005-0000-0000-0000AF030000}"/>
    <cellStyle name="Normal 14 2 2" xfId="268" xr:uid="{00000000-0005-0000-0000-0000B0030000}"/>
    <cellStyle name="Normal 14 2 3" xfId="482" xr:uid="{00000000-0005-0000-0000-0000B1030000}"/>
    <cellStyle name="Normal 14 2 4" xfId="696" xr:uid="{00000000-0005-0000-0000-0000B2030000}"/>
    <cellStyle name="Normal 14 2 5" xfId="912" xr:uid="{00000000-0005-0000-0000-0000B3030000}"/>
    <cellStyle name="Normal 14 2 6" xfId="1128" xr:uid="{00000000-0005-0000-0000-0000B4030000}"/>
    <cellStyle name="Normal 14 2 7" xfId="1344" xr:uid="{00000000-0005-0000-0000-0000B5030000}"/>
    <cellStyle name="Normal 14 2 8" xfId="1560" xr:uid="{00000000-0005-0000-0000-0000B6030000}"/>
    <cellStyle name="Normal 14 2 9" xfId="1776" xr:uid="{00000000-0005-0000-0000-0000B7030000}"/>
    <cellStyle name="Normal 14 20" xfId="2296" xr:uid="{00000000-0005-0000-0000-0000B8030000}"/>
    <cellStyle name="Normal 14 21" xfId="2422" xr:uid="{00000000-0005-0000-0000-0000B9030000}"/>
    <cellStyle name="Normal 14 22" xfId="2800" xr:uid="{00000000-0005-0000-0000-0000BA030000}"/>
    <cellStyle name="Normal 14 3" xfId="43" xr:uid="{00000000-0005-0000-0000-0000BB030000}"/>
    <cellStyle name="Normal 14 3 10" xfId="1994" xr:uid="{00000000-0005-0000-0000-0000BC030000}"/>
    <cellStyle name="Normal 14 3 11" xfId="2215" xr:uid="{00000000-0005-0000-0000-0000BD030000}"/>
    <cellStyle name="Normal 14 3 12" xfId="2425" xr:uid="{00000000-0005-0000-0000-0000BE030000}"/>
    <cellStyle name="Normal 14 3 13" xfId="2741" xr:uid="{00000000-0005-0000-0000-0000BF030000}"/>
    <cellStyle name="Normal 14 3 2" xfId="269" xr:uid="{00000000-0005-0000-0000-0000C0030000}"/>
    <cellStyle name="Normal 14 3 3" xfId="483" xr:uid="{00000000-0005-0000-0000-0000C1030000}"/>
    <cellStyle name="Normal 14 3 4" xfId="697" xr:uid="{00000000-0005-0000-0000-0000C2030000}"/>
    <cellStyle name="Normal 14 3 5" xfId="913" xr:uid="{00000000-0005-0000-0000-0000C3030000}"/>
    <cellStyle name="Normal 14 3 6" xfId="1129" xr:uid="{00000000-0005-0000-0000-0000C4030000}"/>
    <cellStyle name="Normal 14 3 7" xfId="1345" xr:uid="{00000000-0005-0000-0000-0000C5030000}"/>
    <cellStyle name="Normal 14 3 8" xfId="1561" xr:uid="{00000000-0005-0000-0000-0000C6030000}"/>
    <cellStyle name="Normal 14 3 9" xfId="1777" xr:uid="{00000000-0005-0000-0000-0000C7030000}"/>
    <cellStyle name="Normal 14 4" xfId="44" xr:uid="{00000000-0005-0000-0000-0000C8030000}"/>
    <cellStyle name="Normal 14 4 10" xfId="1995" xr:uid="{00000000-0005-0000-0000-0000C9030000}"/>
    <cellStyle name="Normal 14 4 11" xfId="2188" xr:uid="{00000000-0005-0000-0000-0000CA030000}"/>
    <cellStyle name="Normal 14 4 12" xfId="2426" xr:uid="{00000000-0005-0000-0000-0000CB030000}"/>
    <cellStyle name="Normal 14 4 13" xfId="2719" xr:uid="{00000000-0005-0000-0000-0000CC030000}"/>
    <cellStyle name="Normal 14 4 2" xfId="270" xr:uid="{00000000-0005-0000-0000-0000CD030000}"/>
    <cellStyle name="Normal 14 4 3" xfId="484" xr:uid="{00000000-0005-0000-0000-0000CE030000}"/>
    <cellStyle name="Normal 14 4 4" xfId="698" xr:uid="{00000000-0005-0000-0000-0000CF030000}"/>
    <cellStyle name="Normal 14 4 5" xfId="914" xr:uid="{00000000-0005-0000-0000-0000D0030000}"/>
    <cellStyle name="Normal 14 4 6" xfId="1130" xr:uid="{00000000-0005-0000-0000-0000D1030000}"/>
    <cellStyle name="Normal 14 4 7" xfId="1346" xr:uid="{00000000-0005-0000-0000-0000D2030000}"/>
    <cellStyle name="Normal 14 4 8" xfId="1562" xr:uid="{00000000-0005-0000-0000-0000D3030000}"/>
    <cellStyle name="Normal 14 4 9" xfId="1778" xr:uid="{00000000-0005-0000-0000-0000D4030000}"/>
    <cellStyle name="Normal 14 5" xfId="45" xr:uid="{00000000-0005-0000-0000-0000D5030000}"/>
    <cellStyle name="Normal 14 5 10" xfId="1996" xr:uid="{00000000-0005-0000-0000-0000D6030000}"/>
    <cellStyle name="Normal 14 5 11" xfId="2376" xr:uid="{00000000-0005-0000-0000-0000D7030000}"/>
    <cellStyle name="Normal 14 5 12" xfId="2427" xr:uid="{00000000-0005-0000-0000-0000D8030000}"/>
    <cellStyle name="Normal 14 5 13" xfId="2697" xr:uid="{00000000-0005-0000-0000-0000D9030000}"/>
    <cellStyle name="Normal 14 5 2" xfId="271" xr:uid="{00000000-0005-0000-0000-0000DA030000}"/>
    <cellStyle name="Normal 14 5 3" xfId="485" xr:uid="{00000000-0005-0000-0000-0000DB030000}"/>
    <cellStyle name="Normal 14 5 4" xfId="699" xr:uid="{00000000-0005-0000-0000-0000DC030000}"/>
    <cellStyle name="Normal 14 5 5" xfId="915" xr:uid="{00000000-0005-0000-0000-0000DD030000}"/>
    <cellStyle name="Normal 14 5 6" xfId="1131" xr:uid="{00000000-0005-0000-0000-0000DE030000}"/>
    <cellStyle name="Normal 14 5 7" xfId="1347" xr:uid="{00000000-0005-0000-0000-0000DF030000}"/>
    <cellStyle name="Normal 14 5 8" xfId="1563" xr:uid="{00000000-0005-0000-0000-0000E0030000}"/>
    <cellStyle name="Normal 14 5 9" xfId="1779" xr:uid="{00000000-0005-0000-0000-0000E1030000}"/>
    <cellStyle name="Normal 14 6" xfId="46" xr:uid="{00000000-0005-0000-0000-0000E2030000}"/>
    <cellStyle name="Normal 14 6 10" xfId="1997" xr:uid="{00000000-0005-0000-0000-0000E3030000}"/>
    <cellStyle name="Normal 14 6 11" xfId="2349" xr:uid="{00000000-0005-0000-0000-0000E4030000}"/>
    <cellStyle name="Normal 14 6 12" xfId="2428" xr:uid="{00000000-0005-0000-0000-0000E5030000}"/>
    <cellStyle name="Normal 14 6 13" xfId="2675" xr:uid="{00000000-0005-0000-0000-0000E6030000}"/>
    <cellStyle name="Normal 14 6 2" xfId="272" xr:uid="{00000000-0005-0000-0000-0000E7030000}"/>
    <cellStyle name="Normal 14 6 3" xfId="486" xr:uid="{00000000-0005-0000-0000-0000E8030000}"/>
    <cellStyle name="Normal 14 6 4" xfId="700" xr:uid="{00000000-0005-0000-0000-0000E9030000}"/>
    <cellStyle name="Normal 14 6 5" xfId="916" xr:uid="{00000000-0005-0000-0000-0000EA030000}"/>
    <cellStyle name="Normal 14 6 6" xfId="1132" xr:uid="{00000000-0005-0000-0000-0000EB030000}"/>
    <cellStyle name="Normal 14 6 7" xfId="1348" xr:uid="{00000000-0005-0000-0000-0000EC030000}"/>
    <cellStyle name="Normal 14 6 8" xfId="1564" xr:uid="{00000000-0005-0000-0000-0000ED030000}"/>
    <cellStyle name="Normal 14 6 9" xfId="1780" xr:uid="{00000000-0005-0000-0000-0000EE030000}"/>
    <cellStyle name="Normal 14 7" xfId="47" xr:uid="{00000000-0005-0000-0000-0000EF030000}"/>
    <cellStyle name="Normal 14 7 10" xfId="1998" xr:uid="{00000000-0005-0000-0000-0000F0030000}"/>
    <cellStyle name="Normal 14 7 11" xfId="2322" xr:uid="{00000000-0005-0000-0000-0000F1030000}"/>
    <cellStyle name="Normal 14 7 12" xfId="2429" xr:uid="{00000000-0005-0000-0000-0000F2030000}"/>
    <cellStyle name="Normal 14 7 13" xfId="2653" xr:uid="{00000000-0005-0000-0000-0000F3030000}"/>
    <cellStyle name="Normal 14 7 2" xfId="273" xr:uid="{00000000-0005-0000-0000-0000F4030000}"/>
    <cellStyle name="Normal 14 7 3" xfId="487" xr:uid="{00000000-0005-0000-0000-0000F5030000}"/>
    <cellStyle name="Normal 14 7 4" xfId="701" xr:uid="{00000000-0005-0000-0000-0000F6030000}"/>
    <cellStyle name="Normal 14 7 5" xfId="917" xr:uid="{00000000-0005-0000-0000-0000F7030000}"/>
    <cellStyle name="Normal 14 7 6" xfId="1133" xr:uid="{00000000-0005-0000-0000-0000F8030000}"/>
    <cellStyle name="Normal 14 7 7" xfId="1349" xr:uid="{00000000-0005-0000-0000-0000F9030000}"/>
    <cellStyle name="Normal 14 7 8" xfId="1565" xr:uid="{00000000-0005-0000-0000-0000FA030000}"/>
    <cellStyle name="Normal 14 7 9" xfId="1781" xr:uid="{00000000-0005-0000-0000-0000FB030000}"/>
    <cellStyle name="Normal 14 8" xfId="48" xr:uid="{00000000-0005-0000-0000-0000FC030000}"/>
    <cellStyle name="Normal 14 8 10" xfId="1999" xr:uid="{00000000-0005-0000-0000-0000FD030000}"/>
    <cellStyle name="Normal 14 8 11" xfId="2295" xr:uid="{00000000-0005-0000-0000-0000FE030000}"/>
    <cellStyle name="Normal 14 8 12" xfId="2430" xr:uid="{00000000-0005-0000-0000-0000FF030000}"/>
    <cellStyle name="Normal 14 8 13" xfId="2632" xr:uid="{00000000-0005-0000-0000-000000040000}"/>
    <cellStyle name="Normal 14 8 2" xfId="274" xr:uid="{00000000-0005-0000-0000-000001040000}"/>
    <cellStyle name="Normal 14 8 3" xfId="488" xr:uid="{00000000-0005-0000-0000-000002040000}"/>
    <cellStyle name="Normal 14 8 4" xfId="702" xr:uid="{00000000-0005-0000-0000-000003040000}"/>
    <cellStyle name="Normal 14 8 5" xfId="918" xr:uid="{00000000-0005-0000-0000-000004040000}"/>
    <cellStyle name="Normal 14 8 6" xfId="1134" xr:uid="{00000000-0005-0000-0000-000005040000}"/>
    <cellStyle name="Normal 14 8 7" xfId="1350" xr:uid="{00000000-0005-0000-0000-000006040000}"/>
    <cellStyle name="Normal 14 8 8" xfId="1566" xr:uid="{00000000-0005-0000-0000-000007040000}"/>
    <cellStyle name="Normal 14 8 9" xfId="1782" xr:uid="{00000000-0005-0000-0000-000008040000}"/>
    <cellStyle name="Normal 14 9" xfId="49" xr:uid="{00000000-0005-0000-0000-000009040000}"/>
    <cellStyle name="Normal 14 9 10" xfId="2000" xr:uid="{00000000-0005-0000-0000-00000A040000}"/>
    <cellStyle name="Normal 14 9 11" xfId="2267" xr:uid="{00000000-0005-0000-0000-00000B040000}"/>
    <cellStyle name="Normal 14 9 12" xfId="2431" xr:uid="{00000000-0005-0000-0000-00000C040000}"/>
    <cellStyle name="Normal 14 9 13" xfId="2611" xr:uid="{00000000-0005-0000-0000-00000D040000}"/>
    <cellStyle name="Normal 14 9 2" xfId="275" xr:uid="{00000000-0005-0000-0000-00000E040000}"/>
    <cellStyle name="Normal 14 9 3" xfId="489" xr:uid="{00000000-0005-0000-0000-00000F040000}"/>
    <cellStyle name="Normal 14 9 4" xfId="703" xr:uid="{00000000-0005-0000-0000-000010040000}"/>
    <cellStyle name="Normal 14 9 5" xfId="919" xr:uid="{00000000-0005-0000-0000-000011040000}"/>
    <cellStyle name="Normal 14 9 6" xfId="1135" xr:uid="{00000000-0005-0000-0000-000012040000}"/>
    <cellStyle name="Normal 14 9 7" xfId="1351" xr:uid="{00000000-0005-0000-0000-000013040000}"/>
    <cellStyle name="Normal 14 9 8" xfId="1567" xr:uid="{00000000-0005-0000-0000-000014040000}"/>
    <cellStyle name="Normal 14 9 9" xfId="1783" xr:uid="{00000000-0005-0000-0000-000015040000}"/>
    <cellStyle name="Normal 15" xfId="176" xr:uid="{00000000-0005-0000-0000-000016040000}"/>
    <cellStyle name="Normal 15 10" xfId="2125" xr:uid="{00000000-0005-0000-0000-000017040000}"/>
    <cellStyle name="Normal 15 11" xfId="2279" xr:uid="{00000000-0005-0000-0000-000018040000}"/>
    <cellStyle name="Normal 15 12" xfId="2557" xr:uid="{00000000-0005-0000-0000-000019040000}"/>
    <cellStyle name="Normal 15 13" xfId="2689" xr:uid="{00000000-0005-0000-0000-00001A040000}"/>
    <cellStyle name="Normal 15 2" xfId="402" xr:uid="{00000000-0005-0000-0000-00001B040000}"/>
    <cellStyle name="Normal 15 3" xfId="616" xr:uid="{00000000-0005-0000-0000-00001C040000}"/>
    <cellStyle name="Normal 15 4" xfId="830" xr:uid="{00000000-0005-0000-0000-00001D040000}"/>
    <cellStyle name="Normal 15 5" xfId="1046" xr:uid="{00000000-0005-0000-0000-00001E040000}"/>
    <cellStyle name="Normal 15 6" xfId="1262" xr:uid="{00000000-0005-0000-0000-00001F040000}"/>
    <cellStyle name="Normal 15 7" xfId="1478" xr:uid="{00000000-0005-0000-0000-000020040000}"/>
    <cellStyle name="Normal 15 8" xfId="1694" xr:uid="{00000000-0005-0000-0000-000021040000}"/>
    <cellStyle name="Normal 15 9" xfId="1910" xr:uid="{00000000-0005-0000-0000-000022040000}"/>
    <cellStyle name="Normal 16" xfId="180" xr:uid="{00000000-0005-0000-0000-000023040000}"/>
    <cellStyle name="Normal 16 10" xfId="2129" xr:uid="{00000000-0005-0000-0000-000024040000}"/>
    <cellStyle name="Normal 16 11" xfId="2171" xr:uid="{00000000-0005-0000-0000-000025040000}"/>
    <cellStyle name="Normal 16 12" xfId="2561" xr:uid="{00000000-0005-0000-0000-000026040000}"/>
    <cellStyle name="Normal 16 13" xfId="2603" xr:uid="{00000000-0005-0000-0000-000027040000}"/>
    <cellStyle name="Normal 16 2" xfId="406" xr:uid="{00000000-0005-0000-0000-000028040000}"/>
    <cellStyle name="Normal 16 3" xfId="620" xr:uid="{00000000-0005-0000-0000-000029040000}"/>
    <cellStyle name="Normal 16 4" xfId="834" xr:uid="{00000000-0005-0000-0000-00002A040000}"/>
    <cellStyle name="Normal 16 5" xfId="1050" xr:uid="{00000000-0005-0000-0000-00002B040000}"/>
    <cellStyle name="Normal 16 6" xfId="1266" xr:uid="{00000000-0005-0000-0000-00002C040000}"/>
    <cellStyle name="Normal 16 7" xfId="1482" xr:uid="{00000000-0005-0000-0000-00002D040000}"/>
    <cellStyle name="Normal 16 8" xfId="1698" xr:uid="{00000000-0005-0000-0000-00002E040000}"/>
    <cellStyle name="Normal 16 9" xfId="1914" xr:uid="{00000000-0005-0000-0000-00002F040000}"/>
    <cellStyle name="Normal 17" xfId="181" xr:uid="{00000000-0005-0000-0000-000030040000}"/>
    <cellStyle name="Normal 17 10" xfId="2130" xr:uid="{00000000-0005-0000-0000-000031040000}"/>
    <cellStyle name="Normal 17 11" xfId="2360" xr:uid="{00000000-0005-0000-0000-000032040000}"/>
    <cellStyle name="Normal 17 12" xfId="2562" xr:uid="{00000000-0005-0000-0000-000033040000}"/>
    <cellStyle name="Normal 17 13" xfId="2805" xr:uid="{00000000-0005-0000-0000-000034040000}"/>
    <cellStyle name="Normal 17 2" xfId="407" xr:uid="{00000000-0005-0000-0000-000035040000}"/>
    <cellStyle name="Normal 17 3" xfId="621" xr:uid="{00000000-0005-0000-0000-000036040000}"/>
    <cellStyle name="Normal 17 4" xfId="835" xr:uid="{00000000-0005-0000-0000-000037040000}"/>
    <cellStyle name="Normal 17 5" xfId="1051" xr:uid="{00000000-0005-0000-0000-000038040000}"/>
    <cellStyle name="Normal 17 6" xfId="1267" xr:uid="{00000000-0005-0000-0000-000039040000}"/>
    <cellStyle name="Normal 17 7" xfId="1483" xr:uid="{00000000-0005-0000-0000-00003A040000}"/>
    <cellStyle name="Normal 17 8" xfId="1699" xr:uid="{00000000-0005-0000-0000-00003B040000}"/>
    <cellStyle name="Normal 17 9" xfId="1915" xr:uid="{00000000-0005-0000-0000-00003C040000}"/>
    <cellStyle name="Normal 18" xfId="209" xr:uid="{00000000-0005-0000-0000-00003D040000}"/>
    <cellStyle name="Normal 18 10" xfId="2158" xr:uid="{00000000-0005-0000-0000-00003E040000}"/>
    <cellStyle name="Normal 18 11" xfId="2247" xr:uid="{00000000-0005-0000-0000-00003F040000}"/>
    <cellStyle name="Normal 18 12" xfId="2590" xr:uid="{00000000-0005-0000-0000-000040040000}"/>
    <cellStyle name="Normal 18 13" xfId="2621" xr:uid="{00000000-0005-0000-0000-000041040000}"/>
    <cellStyle name="Normal 18 2" xfId="435" xr:uid="{00000000-0005-0000-0000-000042040000}"/>
    <cellStyle name="Normal 18 3" xfId="649" xr:uid="{00000000-0005-0000-0000-000043040000}"/>
    <cellStyle name="Normal 18 4" xfId="863" xr:uid="{00000000-0005-0000-0000-000044040000}"/>
    <cellStyle name="Normal 18 5" xfId="1079" xr:uid="{00000000-0005-0000-0000-000045040000}"/>
    <cellStyle name="Normal 18 6" xfId="1295" xr:uid="{00000000-0005-0000-0000-000046040000}"/>
    <cellStyle name="Normal 18 7" xfId="1511" xr:uid="{00000000-0005-0000-0000-000047040000}"/>
    <cellStyle name="Normal 18 8" xfId="1727" xr:uid="{00000000-0005-0000-0000-000048040000}"/>
    <cellStyle name="Normal 18 9" xfId="1943" xr:uid="{00000000-0005-0000-0000-000049040000}"/>
    <cellStyle name="Normal 19" xfId="50" xr:uid="{00000000-0005-0000-0000-00004A040000}"/>
    <cellStyle name="Normal 19 10" xfId="2001" xr:uid="{00000000-0005-0000-0000-00004B040000}"/>
    <cellStyle name="Normal 19 11" xfId="2240" xr:uid="{00000000-0005-0000-0000-00004C040000}"/>
    <cellStyle name="Normal 19 12" xfId="2432" xr:uid="{00000000-0005-0000-0000-00004D040000}"/>
    <cellStyle name="Normal 19 13" xfId="2804" xr:uid="{00000000-0005-0000-0000-00004E040000}"/>
    <cellStyle name="Normal 19 2" xfId="276" xr:uid="{00000000-0005-0000-0000-00004F040000}"/>
    <cellStyle name="Normal 19 3" xfId="490" xr:uid="{00000000-0005-0000-0000-000050040000}"/>
    <cellStyle name="Normal 19 4" xfId="704" xr:uid="{00000000-0005-0000-0000-000051040000}"/>
    <cellStyle name="Normal 19 5" xfId="920" xr:uid="{00000000-0005-0000-0000-000052040000}"/>
    <cellStyle name="Normal 19 6" xfId="1136" xr:uid="{00000000-0005-0000-0000-000053040000}"/>
    <cellStyle name="Normal 19 7" xfId="1352" xr:uid="{00000000-0005-0000-0000-000054040000}"/>
    <cellStyle name="Normal 19 8" xfId="1568" xr:uid="{00000000-0005-0000-0000-000055040000}"/>
    <cellStyle name="Normal 19 9" xfId="1784" xr:uid="{00000000-0005-0000-0000-000056040000}"/>
    <cellStyle name="Normal 2" xfId="3" xr:uid="{00000000-0005-0000-0000-000057040000}"/>
    <cellStyle name="Normal 2 10" xfId="1521" xr:uid="{00000000-0005-0000-0000-000058040000}"/>
    <cellStyle name="Normal 2 11" xfId="1737" xr:uid="{00000000-0005-0000-0000-000059040000}"/>
    <cellStyle name="Normal 2 12" xfId="1953" xr:uid="{00000000-0005-0000-0000-00005A040000}"/>
    <cellStyle name="Normal 2 13" xfId="2213" xr:uid="{00000000-0005-0000-0000-00005B040000}"/>
    <cellStyle name="Normal 2 14" xfId="2383" xr:uid="{00000000-0005-0000-0000-00005C040000}"/>
    <cellStyle name="Normal 2 15" xfId="2599" xr:uid="{00000000-0005-0000-0000-00005D040000}"/>
    <cellStyle name="Normal 2 2" xfId="51" xr:uid="{00000000-0005-0000-0000-00005E040000}"/>
    <cellStyle name="Normal 2 2 10" xfId="2002" xr:uid="{00000000-0005-0000-0000-00005F040000}"/>
    <cellStyle name="Normal 2 2 11" xfId="2214" xr:uid="{00000000-0005-0000-0000-000060040000}"/>
    <cellStyle name="Normal 2 2 12" xfId="2385" xr:uid="{00000000-0005-0000-0000-000061040000}"/>
    <cellStyle name="Normal 2 2 13" xfId="2745" xr:uid="{00000000-0005-0000-0000-000062040000}"/>
    <cellStyle name="Normal 2 2 2" xfId="277" xr:uid="{00000000-0005-0000-0000-000063040000}"/>
    <cellStyle name="Normal 2 2 3" xfId="491" xr:uid="{00000000-0005-0000-0000-000064040000}"/>
    <cellStyle name="Normal 2 2 4" xfId="705" xr:uid="{00000000-0005-0000-0000-000065040000}"/>
    <cellStyle name="Normal 2 2 5" xfId="921" xr:uid="{00000000-0005-0000-0000-000066040000}"/>
    <cellStyle name="Normal 2 2 6" xfId="1137" xr:uid="{00000000-0005-0000-0000-000067040000}"/>
    <cellStyle name="Normal 2 2 7" xfId="1353" xr:uid="{00000000-0005-0000-0000-000068040000}"/>
    <cellStyle name="Normal 2 2 8" xfId="1569" xr:uid="{00000000-0005-0000-0000-000069040000}"/>
    <cellStyle name="Normal 2 2 9" xfId="1785" xr:uid="{00000000-0005-0000-0000-00006A040000}"/>
    <cellStyle name="Normal 2 3" xfId="52" xr:uid="{00000000-0005-0000-0000-00006B040000}"/>
    <cellStyle name="Normal 2 3 10" xfId="2003" xr:uid="{00000000-0005-0000-0000-00006C040000}"/>
    <cellStyle name="Normal 2 3 11" xfId="2187" xr:uid="{00000000-0005-0000-0000-00006D040000}"/>
    <cellStyle name="Normal 2 3 12" xfId="2433" xr:uid="{00000000-0005-0000-0000-00006E040000}"/>
    <cellStyle name="Normal 2 3 13" xfId="2784" xr:uid="{00000000-0005-0000-0000-00006F040000}"/>
    <cellStyle name="Normal 2 3 2" xfId="278" xr:uid="{00000000-0005-0000-0000-000070040000}"/>
    <cellStyle name="Normal 2 3 3" xfId="492" xr:uid="{00000000-0005-0000-0000-000071040000}"/>
    <cellStyle name="Normal 2 3 4" xfId="706" xr:uid="{00000000-0005-0000-0000-000072040000}"/>
    <cellStyle name="Normal 2 3 5" xfId="922" xr:uid="{00000000-0005-0000-0000-000073040000}"/>
    <cellStyle name="Normal 2 3 6" xfId="1138" xr:uid="{00000000-0005-0000-0000-000074040000}"/>
    <cellStyle name="Normal 2 3 7" xfId="1354" xr:uid="{00000000-0005-0000-0000-000075040000}"/>
    <cellStyle name="Normal 2 3 8" xfId="1570" xr:uid="{00000000-0005-0000-0000-000076040000}"/>
    <cellStyle name="Normal 2 3 9" xfId="1786" xr:uid="{00000000-0005-0000-0000-000077040000}"/>
    <cellStyle name="Normal 2 4" xfId="229" xr:uid="{00000000-0005-0000-0000-000078040000}"/>
    <cellStyle name="Normal 2 5" xfId="449" xr:uid="{00000000-0005-0000-0000-000079040000}"/>
    <cellStyle name="Normal 2 6" xfId="663" xr:uid="{00000000-0005-0000-0000-00007A040000}"/>
    <cellStyle name="Normal 2 7" xfId="873" xr:uid="{00000000-0005-0000-0000-00007B040000}"/>
    <cellStyle name="Normal 2 8" xfId="1089" xr:uid="{00000000-0005-0000-0000-00007C040000}"/>
    <cellStyle name="Normal 2 9" xfId="1305" xr:uid="{00000000-0005-0000-0000-00007D040000}"/>
    <cellStyle name="Normal 20" xfId="216" xr:uid="{00000000-0005-0000-0000-00007E040000}"/>
    <cellStyle name="Normal 20 10" xfId="2165" xr:uid="{00000000-0005-0000-0000-00007F040000}"/>
    <cellStyle name="Normal 20 11" xfId="2275" xr:uid="{00000000-0005-0000-0000-000080040000}"/>
    <cellStyle name="Normal 20 12" xfId="2597" xr:uid="{00000000-0005-0000-0000-000081040000}"/>
    <cellStyle name="Normal 20 13" xfId="2685" xr:uid="{00000000-0005-0000-0000-000082040000}"/>
    <cellStyle name="Normal 20 2" xfId="442" xr:uid="{00000000-0005-0000-0000-000083040000}"/>
    <cellStyle name="Normal 20 3" xfId="656" xr:uid="{00000000-0005-0000-0000-000084040000}"/>
    <cellStyle name="Normal 20 4" xfId="870" xr:uid="{00000000-0005-0000-0000-000085040000}"/>
    <cellStyle name="Normal 20 5" xfId="1086" xr:uid="{00000000-0005-0000-0000-000086040000}"/>
    <cellStyle name="Normal 20 6" xfId="1302" xr:uid="{00000000-0005-0000-0000-000087040000}"/>
    <cellStyle name="Normal 20 7" xfId="1518" xr:uid="{00000000-0005-0000-0000-000088040000}"/>
    <cellStyle name="Normal 20 8" xfId="1734" xr:uid="{00000000-0005-0000-0000-000089040000}"/>
    <cellStyle name="Normal 20 9" xfId="1950" xr:uid="{00000000-0005-0000-0000-00008A040000}"/>
    <cellStyle name="Normal 21" xfId="221" xr:uid="{00000000-0005-0000-0000-00008B040000}"/>
    <cellStyle name="Normal 22" xfId="1304" xr:uid="{00000000-0005-0000-0000-00008C040000}"/>
    <cellStyle name="Normal 23" xfId="53" xr:uid="{00000000-0005-0000-0000-00008D040000}"/>
    <cellStyle name="Normal 23 10" xfId="2004" xr:uid="{00000000-0005-0000-0000-00008E040000}"/>
    <cellStyle name="Normal 23 11" xfId="2379" xr:uid="{00000000-0005-0000-0000-00008F040000}"/>
    <cellStyle name="Normal 23 12" xfId="2434" xr:uid="{00000000-0005-0000-0000-000090040000}"/>
    <cellStyle name="Normal 23 13" xfId="2762" xr:uid="{00000000-0005-0000-0000-000091040000}"/>
    <cellStyle name="Normal 23 2" xfId="279" xr:uid="{00000000-0005-0000-0000-000092040000}"/>
    <cellStyle name="Normal 23 3" xfId="493" xr:uid="{00000000-0005-0000-0000-000093040000}"/>
    <cellStyle name="Normal 23 4" xfId="707" xr:uid="{00000000-0005-0000-0000-000094040000}"/>
    <cellStyle name="Normal 23 5" xfId="923" xr:uid="{00000000-0005-0000-0000-000095040000}"/>
    <cellStyle name="Normal 23 6" xfId="1139" xr:uid="{00000000-0005-0000-0000-000096040000}"/>
    <cellStyle name="Normal 23 7" xfId="1355" xr:uid="{00000000-0005-0000-0000-000097040000}"/>
    <cellStyle name="Normal 23 8" xfId="1571" xr:uid="{00000000-0005-0000-0000-000098040000}"/>
    <cellStyle name="Normal 23 9" xfId="1787" xr:uid="{00000000-0005-0000-0000-000099040000}"/>
    <cellStyle name="Normal 24" xfId="222" xr:uid="{00000000-0005-0000-0000-00009A040000}"/>
    <cellStyle name="Normal 25" xfId="54" xr:uid="{00000000-0005-0000-0000-00009B040000}"/>
    <cellStyle name="Normal 25 10" xfId="2005" xr:uid="{00000000-0005-0000-0000-00009C040000}"/>
    <cellStyle name="Normal 25 11" xfId="2352" xr:uid="{00000000-0005-0000-0000-00009D040000}"/>
    <cellStyle name="Normal 25 12" xfId="2435" xr:uid="{00000000-0005-0000-0000-00009E040000}"/>
    <cellStyle name="Normal 25 13" xfId="2740" xr:uid="{00000000-0005-0000-0000-00009F040000}"/>
    <cellStyle name="Normal 25 2" xfId="280" xr:uid="{00000000-0005-0000-0000-0000A0040000}"/>
    <cellStyle name="Normal 25 3" xfId="494" xr:uid="{00000000-0005-0000-0000-0000A1040000}"/>
    <cellStyle name="Normal 25 4" xfId="708" xr:uid="{00000000-0005-0000-0000-0000A2040000}"/>
    <cellStyle name="Normal 25 5" xfId="924" xr:uid="{00000000-0005-0000-0000-0000A3040000}"/>
    <cellStyle name="Normal 25 6" xfId="1140" xr:uid="{00000000-0005-0000-0000-0000A4040000}"/>
    <cellStyle name="Normal 25 7" xfId="1356" xr:uid="{00000000-0005-0000-0000-0000A5040000}"/>
    <cellStyle name="Normal 25 8" xfId="1572" xr:uid="{00000000-0005-0000-0000-0000A6040000}"/>
    <cellStyle name="Normal 25 9" xfId="1788" xr:uid="{00000000-0005-0000-0000-0000A7040000}"/>
    <cellStyle name="Normal 26" xfId="1520" xr:uid="{00000000-0005-0000-0000-0000A8040000}"/>
    <cellStyle name="Normal 27" xfId="662" xr:uid="{00000000-0005-0000-0000-0000A9040000}"/>
    <cellStyle name="Normal 28" xfId="55" xr:uid="{00000000-0005-0000-0000-0000AA040000}"/>
    <cellStyle name="Normal 28 10" xfId="2006" xr:uid="{00000000-0005-0000-0000-0000AB040000}"/>
    <cellStyle name="Normal 28 11" xfId="2325" xr:uid="{00000000-0005-0000-0000-0000AC040000}"/>
    <cellStyle name="Normal 28 12" xfId="2436" xr:uid="{00000000-0005-0000-0000-0000AD040000}"/>
    <cellStyle name="Normal 28 13" xfId="2718" xr:uid="{00000000-0005-0000-0000-0000AE040000}"/>
    <cellStyle name="Normal 28 2" xfId="281" xr:uid="{00000000-0005-0000-0000-0000AF040000}"/>
    <cellStyle name="Normal 28 3" xfId="495" xr:uid="{00000000-0005-0000-0000-0000B0040000}"/>
    <cellStyle name="Normal 28 4" xfId="709" xr:uid="{00000000-0005-0000-0000-0000B1040000}"/>
    <cellStyle name="Normal 28 5" xfId="925" xr:uid="{00000000-0005-0000-0000-0000B2040000}"/>
    <cellStyle name="Normal 28 6" xfId="1141" xr:uid="{00000000-0005-0000-0000-0000B3040000}"/>
    <cellStyle name="Normal 28 7" xfId="1357" xr:uid="{00000000-0005-0000-0000-0000B4040000}"/>
    <cellStyle name="Normal 28 8" xfId="1573" xr:uid="{00000000-0005-0000-0000-0000B5040000}"/>
    <cellStyle name="Normal 28 9" xfId="1789" xr:uid="{00000000-0005-0000-0000-0000B6040000}"/>
    <cellStyle name="Normal 29" xfId="225" xr:uid="{00000000-0005-0000-0000-0000B7040000}"/>
    <cellStyle name="Normal 3" xfId="4" xr:uid="{00000000-0005-0000-0000-0000B8040000}"/>
    <cellStyle name="Normal 3 10" xfId="57" xr:uid="{00000000-0005-0000-0000-0000B9040000}"/>
    <cellStyle name="Normal 3 10 10" xfId="2007" xr:uid="{00000000-0005-0000-0000-0000BA040000}"/>
    <cellStyle name="Normal 3 10 11" xfId="2270" xr:uid="{00000000-0005-0000-0000-0000BB040000}"/>
    <cellStyle name="Normal 3 10 12" xfId="2438" xr:uid="{00000000-0005-0000-0000-0000BC040000}"/>
    <cellStyle name="Normal 3 10 13" xfId="2674" xr:uid="{00000000-0005-0000-0000-0000BD040000}"/>
    <cellStyle name="Normal 3 10 2" xfId="283" xr:uid="{00000000-0005-0000-0000-0000BE040000}"/>
    <cellStyle name="Normal 3 10 3" xfId="497" xr:uid="{00000000-0005-0000-0000-0000BF040000}"/>
    <cellStyle name="Normal 3 10 4" xfId="711" xr:uid="{00000000-0005-0000-0000-0000C0040000}"/>
    <cellStyle name="Normal 3 10 5" xfId="927" xr:uid="{00000000-0005-0000-0000-0000C1040000}"/>
    <cellStyle name="Normal 3 10 6" xfId="1143" xr:uid="{00000000-0005-0000-0000-0000C2040000}"/>
    <cellStyle name="Normal 3 10 7" xfId="1359" xr:uid="{00000000-0005-0000-0000-0000C3040000}"/>
    <cellStyle name="Normal 3 10 8" xfId="1575" xr:uid="{00000000-0005-0000-0000-0000C4040000}"/>
    <cellStyle name="Normal 3 10 9" xfId="1791" xr:uid="{00000000-0005-0000-0000-0000C5040000}"/>
    <cellStyle name="Normal 3 11" xfId="161" xr:uid="{00000000-0005-0000-0000-0000C6040000}"/>
    <cellStyle name="Normal 3 11 10" xfId="2110" xr:uid="{00000000-0005-0000-0000-0000C7040000}"/>
    <cellStyle name="Normal 3 11 11" xfId="2254" xr:uid="{00000000-0005-0000-0000-0000C8040000}"/>
    <cellStyle name="Normal 3 11 12" xfId="2542" xr:uid="{00000000-0005-0000-0000-0000C9040000}"/>
    <cellStyle name="Normal 3 11 13" xfId="2799" xr:uid="{00000000-0005-0000-0000-0000CA040000}"/>
    <cellStyle name="Normal 3 11 2" xfId="387" xr:uid="{00000000-0005-0000-0000-0000CB040000}"/>
    <cellStyle name="Normal 3 11 3" xfId="601" xr:uid="{00000000-0005-0000-0000-0000CC040000}"/>
    <cellStyle name="Normal 3 11 4" xfId="815" xr:uid="{00000000-0005-0000-0000-0000CD040000}"/>
    <cellStyle name="Normal 3 11 5" xfId="1031" xr:uid="{00000000-0005-0000-0000-0000CE040000}"/>
    <cellStyle name="Normal 3 11 6" xfId="1247" xr:uid="{00000000-0005-0000-0000-0000CF040000}"/>
    <cellStyle name="Normal 3 11 7" xfId="1463" xr:uid="{00000000-0005-0000-0000-0000D0040000}"/>
    <cellStyle name="Normal 3 11 8" xfId="1679" xr:uid="{00000000-0005-0000-0000-0000D1040000}"/>
    <cellStyle name="Normal 3 11 9" xfId="1895" xr:uid="{00000000-0005-0000-0000-0000D2040000}"/>
    <cellStyle name="Normal 3 12" xfId="170" xr:uid="{00000000-0005-0000-0000-0000D3040000}"/>
    <cellStyle name="Normal 3 12 10" xfId="2119" xr:uid="{00000000-0005-0000-0000-0000D4040000}"/>
    <cellStyle name="Normal 3 12 11" xfId="2226" xr:uid="{00000000-0005-0000-0000-0000D5040000}"/>
    <cellStyle name="Normal 3 12 12" xfId="2551" xr:uid="{00000000-0005-0000-0000-0000D6040000}"/>
    <cellStyle name="Normal 3 12 13" xfId="2604" xr:uid="{00000000-0005-0000-0000-0000D7040000}"/>
    <cellStyle name="Normal 3 12 2" xfId="396" xr:uid="{00000000-0005-0000-0000-0000D8040000}"/>
    <cellStyle name="Normal 3 12 3" xfId="610" xr:uid="{00000000-0005-0000-0000-0000D9040000}"/>
    <cellStyle name="Normal 3 12 4" xfId="824" xr:uid="{00000000-0005-0000-0000-0000DA040000}"/>
    <cellStyle name="Normal 3 12 5" xfId="1040" xr:uid="{00000000-0005-0000-0000-0000DB040000}"/>
    <cellStyle name="Normal 3 12 6" xfId="1256" xr:uid="{00000000-0005-0000-0000-0000DC040000}"/>
    <cellStyle name="Normal 3 12 7" xfId="1472" xr:uid="{00000000-0005-0000-0000-0000DD040000}"/>
    <cellStyle name="Normal 3 12 8" xfId="1688" xr:uid="{00000000-0005-0000-0000-0000DE040000}"/>
    <cellStyle name="Normal 3 12 9" xfId="1904" xr:uid="{00000000-0005-0000-0000-0000DF040000}"/>
    <cellStyle name="Normal 3 13" xfId="190" xr:uid="{00000000-0005-0000-0000-0000E0040000}"/>
    <cellStyle name="Normal 3 13 10" xfId="2139" xr:uid="{00000000-0005-0000-0000-0000E1040000}"/>
    <cellStyle name="Normal 3 13 11" xfId="2332" xr:uid="{00000000-0005-0000-0000-0000E2040000}"/>
    <cellStyle name="Normal 3 13 12" xfId="2571" xr:uid="{00000000-0005-0000-0000-0000E3040000}"/>
    <cellStyle name="Normal 3 13 13" xfId="2602" xr:uid="{00000000-0005-0000-0000-0000E4040000}"/>
    <cellStyle name="Normal 3 13 2" xfId="416" xr:uid="{00000000-0005-0000-0000-0000E5040000}"/>
    <cellStyle name="Normal 3 13 3" xfId="630" xr:uid="{00000000-0005-0000-0000-0000E6040000}"/>
    <cellStyle name="Normal 3 13 4" xfId="844" xr:uid="{00000000-0005-0000-0000-0000E7040000}"/>
    <cellStyle name="Normal 3 13 5" xfId="1060" xr:uid="{00000000-0005-0000-0000-0000E8040000}"/>
    <cellStyle name="Normal 3 13 6" xfId="1276" xr:uid="{00000000-0005-0000-0000-0000E9040000}"/>
    <cellStyle name="Normal 3 13 7" xfId="1492" xr:uid="{00000000-0005-0000-0000-0000EA040000}"/>
    <cellStyle name="Normal 3 13 8" xfId="1708" xr:uid="{00000000-0005-0000-0000-0000EB040000}"/>
    <cellStyle name="Normal 3 13 9" xfId="1924" xr:uid="{00000000-0005-0000-0000-0000EC040000}"/>
    <cellStyle name="Normal 3 14" xfId="200" xr:uid="{00000000-0005-0000-0000-0000ED040000}"/>
    <cellStyle name="Normal 3 14 10" xfId="2149" xr:uid="{00000000-0005-0000-0000-0000EE040000}"/>
    <cellStyle name="Normal 3 14 11" xfId="2276" xr:uid="{00000000-0005-0000-0000-0000EF040000}"/>
    <cellStyle name="Normal 3 14 12" xfId="2581" xr:uid="{00000000-0005-0000-0000-0000F0040000}"/>
    <cellStyle name="Normal 3 14 13" xfId="2601" xr:uid="{00000000-0005-0000-0000-0000F1040000}"/>
    <cellStyle name="Normal 3 14 2" xfId="426" xr:uid="{00000000-0005-0000-0000-0000F2040000}"/>
    <cellStyle name="Normal 3 14 3" xfId="640" xr:uid="{00000000-0005-0000-0000-0000F3040000}"/>
    <cellStyle name="Normal 3 14 4" xfId="854" xr:uid="{00000000-0005-0000-0000-0000F4040000}"/>
    <cellStyle name="Normal 3 14 5" xfId="1070" xr:uid="{00000000-0005-0000-0000-0000F5040000}"/>
    <cellStyle name="Normal 3 14 6" xfId="1286" xr:uid="{00000000-0005-0000-0000-0000F6040000}"/>
    <cellStyle name="Normal 3 14 7" xfId="1502" xr:uid="{00000000-0005-0000-0000-0000F7040000}"/>
    <cellStyle name="Normal 3 14 8" xfId="1718" xr:uid="{00000000-0005-0000-0000-0000F8040000}"/>
    <cellStyle name="Normal 3 14 9" xfId="1934" xr:uid="{00000000-0005-0000-0000-0000F9040000}"/>
    <cellStyle name="Normal 3 15" xfId="185" xr:uid="{00000000-0005-0000-0000-0000FA040000}"/>
    <cellStyle name="Normal 3 15 10" xfId="2134" xr:uid="{00000000-0005-0000-0000-0000FB040000}"/>
    <cellStyle name="Normal 3 15 11" xfId="2251" xr:uid="{00000000-0005-0000-0000-0000FC040000}"/>
    <cellStyle name="Normal 3 15 12" xfId="2566" xr:uid="{00000000-0005-0000-0000-0000FD040000}"/>
    <cellStyle name="Normal 3 15 13" xfId="2710" xr:uid="{00000000-0005-0000-0000-0000FE040000}"/>
    <cellStyle name="Normal 3 15 2" xfId="411" xr:uid="{00000000-0005-0000-0000-0000FF040000}"/>
    <cellStyle name="Normal 3 15 3" xfId="625" xr:uid="{00000000-0005-0000-0000-000000050000}"/>
    <cellStyle name="Normal 3 15 4" xfId="839" xr:uid="{00000000-0005-0000-0000-000001050000}"/>
    <cellStyle name="Normal 3 15 5" xfId="1055" xr:uid="{00000000-0005-0000-0000-000002050000}"/>
    <cellStyle name="Normal 3 15 6" xfId="1271" xr:uid="{00000000-0005-0000-0000-000003050000}"/>
    <cellStyle name="Normal 3 15 7" xfId="1487" xr:uid="{00000000-0005-0000-0000-000004050000}"/>
    <cellStyle name="Normal 3 15 8" xfId="1703" xr:uid="{00000000-0005-0000-0000-000005050000}"/>
    <cellStyle name="Normal 3 15 9" xfId="1919" xr:uid="{00000000-0005-0000-0000-000006050000}"/>
    <cellStyle name="Normal 3 16" xfId="230" xr:uid="{00000000-0005-0000-0000-000007050000}"/>
    <cellStyle name="Normal 3 17" xfId="447" xr:uid="{00000000-0005-0000-0000-000008050000}"/>
    <cellStyle name="Normal 3 18" xfId="661" xr:uid="{00000000-0005-0000-0000-000009050000}"/>
    <cellStyle name="Normal 3 19" xfId="874" xr:uid="{00000000-0005-0000-0000-00000A050000}"/>
    <cellStyle name="Normal 3 2" xfId="56" xr:uid="{00000000-0005-0000-0000-00000B050000}"/>
    <cellStyle name="Normal 3 2 10" xfId="1955" xr:uid="{00000000-0005-0000-0000-00000C050000}"/>
    <cellStyle name="Normal 3 2 11" xfId="2298" xr:uid="{00000000-0005-0000-0000-00000D050000}"/>
    <cellStyle name="Normal 3 2 12" xfId="2437" xr:uid="{00000000-0005-0000-0000-00000E050000}"/>
    <cellStyle name="Normal 3 2 13" xfId="2696" xr:uid="{00000000-0005-0000-0000-00000F050000}"/>
    <cellStyle name="Normal 3 2 2" xfId="282" xr:uid="{00000000-0005-0000-0000-000010050000}"/>
    <cellStyle name="Normal 3 2 3" xfId="496" xr:uid="{00000000-0005-0000-0000-000011050000}"/>
    <cellStyle name="Normal 3 2 4" xfId="710" xr:uid="{00000000-0005-0000-0000-000012050000}"/>
    <cellStyle name="Normal 3 2 5" xfId="926" xr:uid="{00000000-0005-0000-0000-000013050000}"/>
    <cellStyle name="Normal 3 2 6" xfId="1142" xr:uid="{00000000-0005-0000-0000-000014050000}"/>
    <cellStyle name="Normal 3 2 7" xfId="1358" xr:uid="{00000000-0005-0000-0000-000015050000}"/>
    <cellStyle name="Normal 3 2 8" xfId="1574" xr:uid="{00000000-0005-0000-0000-000016050000}"/>
    <cellStyle name="Normal 3 2 9" xfId="1790" xr:uid="{00000000-0005-0000-0000-000017050000}"/>
    <cellStyle name="Normal 3 20" xfId="1090" xr:uid="{00000000-0005-0000-0000-000018050000}"/>
    <cellStyle name="Normal 3 21" xfId="1306" xr:uid="{00000000-0005-0000-0000-000019050000}"/>
    <cellStyle name="Normal 3 22" xfId="1522" xr:uid="{00000000-0005-0000-0000-00001A050000}"/>
    <cellStyle name="Normal 3 23" xfId="1738" xr:uid="{00000000-0005-0000-0000-00001B050000}"/>
    <cellStyle name="Normal 3 24" xfId="1954" xr:uid="{00000000-0005-0000-0000-00001C050000}"/>
    <cellStyle name="Normal 3 25" xfId="2186" xr:uid="{00000000-0005-0000-0000-00001D050000}"/>
    <cellStyle name="Normal 3 26" xfId="2386" xr:uid="{00000000-0005-0000-0000-00001E050000}"/>
    <cellStyle name="Normal 3 27" xfId="2723" xr:uid="{00000000-0005-0000-0000-00001F050000}"/>
    <cellStyle name="Normal 3 3" xfId="58" xr:uid="{00000000-0005-0000-0000-000020050000}"/>
    <cellStyle name="Normal 3 3 10" xfId="2008" xr:uid="{00000000-0005-0000-0000-000021050000}"/>
    <cellStyle name="Normal 3 3 11" xfId="2243" xr:uid="{00000000-0005-0000-0000-000022050000}"/>
    <cellStyle name="Normal 3 3 12" xfId="2439" xr:uid="{00000000-0005-0000-0000-000023050000}"/>
    <cellStyle name="Normal 3 3 13" xfId="2652" xr:uid="{00000000-0005-0000-0000-000024050000}"/>
    <cellStyle name="Normal 3 3 2" xfId="284" xr:uid="{00000000-0005-0000-0000-000025050000}"/>
    <cellStyle name="Normal 3 3 3" xfId="498" xr:uid="{00000000-0005-0000-0000-000026050000}"/>
    <cellStyle name="Normal 3 3 4" xfId="712" xr:uid="{00000000-0005-0000-0000-000027050000}"/>
    <cellStyle name="Normal 3 3 5" xfId="928" xr:uid="{00000000-0005-0000-0000-000028050000}"/>
    <cellStyle name="Normal 3 3 6" xfId="1144" xr:uid="{00000000-0005-0000-0000-000029050000}"/>
    <cellStyle name="Normal 3 3 7" xfId="1360" xr:uid="{00000000-0005-0000-0000-00002A050000}"/>
    <cellStyle name="Normal 3 3 8" xfId="1576" xr:uid="{00000000-0005-0000-0000-00002B050000}"/>
    <cellStyle name="Normal 3 3 9" xfId="1792" xr:uid="{00000000-0005-0000-0000-00002C050000}"/>
    <cellStyle name="Normal 3 4" xfId="59" xr:uid="{00000000-0005-0000-0000-00002D050000}"/>
    <cellStyle name="Normal 3 4 10" xfId="2009" xr:uid="{00000000-0005-0000-0000-00002E050000}"/>
    <cellStyle name="Normal 3 4 11" xfId="2217" xr:uid="{00000000-0005-0000-0000-00002F050000}"/>
    <cellStyle name="Normal 3 4 12" xfId="2440" xr:uid="{00000000-0005-0000-0000-000030050000}"/>
    <cellStyle name="Normal 3 4 13" xfId="2631" xr:uid="{00000000-0005-0000-0000-000031050000}"/>
    <cellStyle name="Normal 3 4 2" xfId="285" xr:uid="{00000000-0005-0000-0000-000032050000}"/>
    <cellStyle name="Normal 3 4 3" xfId="499" xr:uid="{00000000-0005-0000-0000-000033050000}"/>
    <cellStyle name="Normal 3 4 4" xfId="713" xr:uid="{00000000-0005-0000-0000-000034050000}"/>
    <cellStyle name="Normal 3 4 5" xfId="929" xr:uid="{00000000-0005-0000-0000-000035050000}"/>
    <cellStyle name="Normal 3 4 6" xfId="1145" xr:uid="{00000000-0005-0000-0000-000036050000}"/>
    <cellStyle name="Normal 3 4 7" xfId="1361" xr:uid="{00000000-0005-0000-0000-000037050000}"/>
    <cellStyle name="Normal 3 4 8" xfId="1577" xr:uid="{00000000-0005-0000-0000-000038050000}"/>
    <cellStyle name="Normal 3 4 9" xfId="1793" xr:uid="{00000000-0005-0000-0000-000039050000}"/>
    <cellStyle name="Normal 3 5" xfId="60" xr:uid="{00000000-0005-0000-0000-00003A050000}"/>
    <cellStyle name="Normal 3 5 10" xfId="2010" xr:uid="{00000000-0005-0000-0000-00003B050000}"/>
    <cellStyle name="Normal 3 5 11" xfId="2190" xr:uid="{00000000-0005-0000-0000-00003C050000}"/>
    <cellStyle name="Normal 3 5 12" xfId="2441" xr:uid="{00000000-0005-0000-0000-00003D050000}"/>
    <cellStyle name="Normal 3 5 13" xfId="2610" xr:uid="{00000000-0005-0000-0000-00003E050000}"/>
    <cellStyle name="Normal 3 5 2" xfId="286" xr:uid="{00000000-0005-0000-0000-00003F050000}"/>
    <cellStyle name="Normal 3 5 3" xfId="500" xr:uid="{00000000-0005-0000-0000-000040050000}"/>
    <cellStyle name="Normal 3 5 4" xfId="714" xr:uid="{00000000-0005-0000-0000-000041050000}"/>
    <cellStyle name="Normal 3 5 5" xfId="930" xr:uid="{00000000-0005-0000-0000-000042050000}"/>
    <cellStyle name="Normal 3 5 6" xfId="1146" xr:uid="{00000000-0005-0000-0000-000043050000}"/>
    <cellStyle name="Normal 3 5 7" xfId="1362" xr:uid="{00000000-0005-0000-0000-000044050000}"/>
    <cellStyle name="Normal 3 5 8" xfId="1578" xr:uid="{00000000-0005-0000-0000-000045050000}"/>
    <cellStyle name="Normal 3 5 9" xfId="1794" xr:uid="{00000000-0005-0000-0000-000046050000}"/>
    <cellStyle name="Normal 3 6" xfId="61" xr:uid="{00000000-0005-0000-0000-000047050000}"/>
    <cellStyle name="Normal 3 6 10" xfId="2011" xr:uid="{00000000-0005-0000-0000-000048050000}"/>
    <cellStyle name="Normal 3 6 11" xfId="2375" xr:uid="{00000000-0005-0000-0000-000049050000}"/>
    <cellStyle name="Normal 3 6 12" xfId="2442" xr:uid="{00000000-0005-0000-0000-00004A050000}"/>
    <cellStyle name="Normal 3 6 13" xfId="2806" xr:uid="{00000000-0005-0000-0000-00004B050000}"/>
    <cellStyle name="Normal 3 6 2" xfId="287" xr:uid="{00000000-0005-0000-0000-00004C050000}"/>
    <cellStyle name="Normal 3 6 3" xfId="501" xr:uid="{00000000-0005-0000-0000-00004D050000}"/>
    <cellStyle name="Normal 3 6 4" xfId="715" xr:uid="{00000000-0005-0000-0000-00004E050000}"/>
    <cellStyle name="Normal 3 6 5" xfId="931" xr:uid="{00000000-0005-0000-0000-00004F050000}"/>
    <cellStyle name="Normal 3 6 6" xfId="1147" xr:uid="{00000000-0005-0000-0000-000050050000}"/>
    <cellStyle name="Normal 3 6 7" xfId="1363" xr:uid="{00000000-0005-0000-0000-000051050000}"/>
    <cellStyle name="Normal 3 6 8" xfId="1579" xr:uid="{00000000-0005-0000-0000-000052050000}"/>
    <cellStyle name="Normal 3 6 9" xfId="1795" xr:uid="{00000000-0005-0000-0000-000053050000}"/>
    <cellStyle name="Normal 3 7" xfId="62" xr:uid="{00000000-0005-0000-0000-000054050000}"/>
    <cellStyle name="Normal 3 7 10" xfId="2012" xr:uid="{00000000-0005-0000-0000-000055050000}"/>
    <cellStyle name="Normal 3 7 11" xfId="2348" xr:uid="{00000000-0005-0000-0000-000056050000}"/>
    <cellStyle name="Normal 3 7 12" xfId="2443" xr:uid="{00000000-0005-0000-0000-000057050000}"/>
    <cellStyle name="Normal 3 7 13" xfId="2783" xr:uid="{00000000-0005-0000-0000-000058050000}"/>
    <cellStyle name="Normal 3 7 2" xfId="288" xr:uid="{00000000-0005-0000-0000-000059050000}"/>
    <cellStyle name="Normal 3 7 3" xfId="502" xr:uid="{00000000-0005-0000-0000-00005A050000}"/>
    <cellStyle name="Normal 3 7 4" xfId="716" xr:uid="{00000000-0005-0000-0000-00005B050000}"/>
    <cellStyle name="Normal 3 7 5" xfId="932" xr:uid="{00000000-0005-0000-0000-00005C050000}"/>
    <cellStyle name="Normal 3 7 6" xfId="1148" xr:uid="{00000000-0005-0000-0000-00005D050000}"/>
    <cellStyle name="Normal 3 7 7" xfId="1364" xr:uid="{00000000-0005-0000-0000-00005E050000}"/>
    <cellStyle name="Normal 3 7 8" xfId="1580" xr:uid="{00000000-0005-0000-0000-00005F050000}"/>
    <cellStyle name="Normal 3 7 9" xfId="1796" xr:uid="{00000000-0005-0000-0000-000060050000}"/>
    <cellStyle name="Normal 3 8" xfId="63" xr:uid="{00000000-0005-0000-0000-000061050000}"/>
    <cellStyle name="Normal 3 8 10" xfId="2013" xr:uid="{00000000-0005-0000-0000-000062050000}"/>
    <cellStyle name="Normal 3 8 11" xfId="2321" xr:uid="{00000000-0005-0000-0000-000063050000}"/>
    <cellStyle name="Normal 3 8 12" xfId="2444" xr:uid="{00000000-0005-0000-0000-000064050000}"/>
    <cellStyle name="Normal 3 8 13" xfId="2761" xr:uid="{00000000-0005-0000-0000-000065050000}"/>
    <cellStyle name="Normal 3 8 2" xfId="289" xr:uid="{00000000-0005-0000-0000-000066050000}"/>
    <cellStyle name="Normal 3 8 3" xfId="503" xr:uid="{00000000-0005-0000-0000-000067050000}"/>
    <cellStyle name="Normal 3 8 4" xfId="717" xr:uid="{00000000-0005-0000-0000-000068050000}"/>
    <cellStyle name="Normal 3 8 5" xfId="933" xr:uid="{00000000-0005-0000-0000-000069050000}"/>
    <cellStyle name="Normal 3 8 6" xfId="1149" xr:uid="{00000000-0005-0000-0000-00006A050000}"/>
    <cellStyle name="Normal 3 8 7" xfId="1365" xr:uid="{00000000-0005-0000-0000-00006B050000}"/>
    <cellStyle name="Normal 3 8 8" xfId="1581" xr:uid="{00000000-0005-0000-0000-00006C050000}"/>
    <cellStyle name="Normal 3 8 9" xfId="1797" xr:uid="{00000000-0005-0000-0000-00006D050000}"/>
    <cellStyle name="Normal 3 9" xfId="64" xr:uid="{00000000-0005-0000-0000-00006E050000}"/>
    <cellStyle name="Normal 3 9 10" xfId="2014" xr:uid="{00000000-0005-0000-0000-00006F050000}"/>
    <cellStyle name="Normal 3 9 11" xfId="2293" xr:uid="{00000000-0005-0000-0000-000070050000}"/>
    <cellStyle name="Normal 3 9 12" xfId="2445" xr:uid="{00000000-0005-0000-0000-000071050000}"/>
    <cellStyle name="Normal 3 9 13" xfId="2739" xr:uid="{00000000-0005-0000-0000-000072050000}"/>
    <cellStyle name="Normal 3 9 2" xfId="290" xr:uid="{00000000-0005-0000-0000-000073050000}"/>
    <cellStyle name="Normal 3 9 3" xfId="504" xr:uid="{00000000-0005-0000-0000-000074050000}"/>
    <cellStyle name="Normal 3 9 4" xfId="718" xr:uid="{00000000-0005-0000-0000-000075050000}"/>
    <cellStyle name="Normal 3 9 5" xfId="934" xr:uid="{00000000-0005-0000-0000-000076050000}"/>
    <cellStyle name="Normal 3 9 6" xfId="1150" xr:uid="{00000000-0005-0000-0000-000077050000}"/>
    <cellStyle name="Normal 3 9 7" xfId="1366" xr:uid="{00000000-0005-0000-0000-000078050000}"/>
    <cellStyle name="Normal 3 9 8" xfId="1582" xr:uid="{00000000-0005-0000-0000-000079050000}"/>
    <cellStyle name="Normal 3 9 9" xfId="1798" xr:uid="{00000000-0005-0000-0000-00007A050000}"/>
    <cellStyle name="Normal 30" xfId="872" xr:uid="{00000000-0005-0000-0000-00007B050000}"/>
    <cellStyle name="Normal 31" xfId="1088" xr:uid="{00000000-0005-0000-0000-00007C050000}"/>
    <cellStyle name="Normal 32" xfId="1736" xr:uid="{00000000-0005-0000-0000-00007D050000}"/>
    <cellStyle name="Normal 33" xfId="1952" xr:uid="{00000000-0005-0000-0000-00007E050000}"/>
    <cellStyle name="Normal 33 16" xfId="3552" xr:uid="{00000000-0005-0000-0000-00007F050000}"/>
    <cellStyle name="Normal 33 2" xfId="2772" xr:uid="{00000000-0005-0000-0000-000080050000}"/>
    <cellStyle name="Normal 33 2 2" xfId="2846" xr:uid="{00000000-0005-0000-0000-000081050000}"/>
    <cellStyle name="Normal 33 2 2 2" xfId="2889" xr:uid="{00000000-0005-0000-0000-000082050000}"/>
    <cellStyle name="Normal 33 2 2 2 2" xfId="2974" xr:uid="{00000000-0005-0000-0000-000083050000}"/>
    <cellStyle name="Normal 33 2 2 2 2 2" xfId="3698" xr:uid="{00000000-0005-0000-0000-000084050000}"/>
    <cellStyle name="Normal 33 2 2 2 3" xfId="3055" xr:uid="{00000000-0005-0000-0000-000085050000}"/>
    <cellStyle name="Normal 33 2 2 2 3 2" xfId="3779" xr:uid="{00000000-0005-0000-0000-000086050000}"/>
    <cellStyle name="Normal 33 2 2 2 4" xfId="3177" xr:uid="{00000000-0005-0000-0000-000087050000}"/>
    <cellStyle name="Normal 33 2 2 2 4 2" xfId="3861" xr:uid="{00000000-0005-0000-0000-000088050000}"/>
    <cellStyle name="Normal 33 2 2 2 5" xfId="3617" xr:uid="{00000000-0005-0000-0000-000089050000}"/>
    <cellStyle name="Normal 33 2 2 3" xfId="2934" xr:uid="{00000000-0005-0000-0000-00008A050000}"/>
    <cellStyle name="Normal 33 2 2 3 2" xfId="3658" xr:uid="{00000000-0005-0000-0000-00008B050000}"/>
    <cellStyle name="Normal 33 2 2 4" xfId="3015" xr:uid="{00000000-0005-0000-0000-00008C050000}"/>
    <cellStyle name="Normal 33 2 2 4 2" xfId="3739" xr:uid="{00000000-0005-0000-0000-00008D050000}"/>
    <cellStyle name="Normal 33 2 2 5" xfId="3137" xr:uid="{00000000-0005-0000-0000-00008E050000}"/>
    <cellStyle name="Normal 33 2 2 5 2" xfId="3821" xr:uid="{00000000-0005-0000-0000-00008F050000}"/>
    <cellStyle name="Normal 33 2 2 6" xfId="3577" xr:uid="{00000000-0005-0000-0000-000090050000}"/>
    <cellStyle name="Normal 33 2 3" xfId="2868" xr:uid="{00000000-0005-0000-0000-000091050000}"/>
    <cellStyle name="Normal 33 2 3 2" xfId="2953" xr:uid="{00000000-0005-0000-0000-000092050000}"/>
    <cellStyle name="Normal 33 2 3 2 2" xfId="3677" xr:uid="{00000000-0005-0000-0000-000093050000}"/>
    <cellStyle name="Normal 33 2 3 3" xfId="3034" xr:uid="{00000000-0005-0000-0000-000094050000}"/>
    <cellStyle name="Normal 33 2 3 3 2" xfId="3758" xr:uid="{00000000-0005-0000-0000-000095050000}"/>
    <cellStyle name="Normal 33 2 3 4" xfId="3156" xr:uid="{00000000-0005-0000-0000-000096050000}"/>
    <cellStyle name="Normal 33 2 3 4 2" xfId="3840" xr:uid="{00000000-0005-0000-0000-000097050000}"/>
    <cellStyle name="Normal 33 2 3 5" xfId="3596" xr:uid="{00000000-0005-0000-0000-000098050000}"/>
    <cellStyle name="Normal 33 2 4" xfId="2913" xr:uid="{00000000-0005-0000-0000-000099050000}"/>
    <cellStyle name="Normal 33 2 4 2" xfId="3637" xr:uid="{00000000-0005-0000-0000-00009A050000}"/>
    <cellStyle name="Normal 33 2 5" xfId="2994" xr:uid="{00000000-0005-0000-0000-00009B050000}"/>
    <cellStyle name="Normal 33 2 5 2" xfId="3718" xr:uid="{00000000-0005-0000-0000-00009C050000}"/>
    <cellStyle name="Normal 33 2 6" xfId="3116" xr:uid="{00000000-0005-0000-0000-00009D050000}"/>
    <cellStyle name="Normal 33 2 6 2" xfId="3800" xr:uid="{00000000-0005-0000-0000-00009E050000}"/>
    <cellStyle name="Normal 33 2 7" xfId="3557" xr:uid="{00000000-0005-0000-0000-00009F050000}"/>
    <cellStyle name="Normal 33 3" xfId="2813" xr:uid="{00000000-0005-0000-0000-0000A0050000}"/>
    <cellStyle name="Normal 33 3 2" xfId="2847" xr:uid="{00000000-0005-0000-0000-0000A1050000}"/>
    <cellStyle name="Normal 33 3 2 2" xfId="2890" xr:uid="{00000000-0005-0000-0000-0000A2050000}"/>
    <cellStyle name="Normal 33 3 2 2 2" xfId="2975" xr:uid="{00000000-0005-0000-0000-0000A3050000}"/>
    <cellStyle name="Normal 33 3 2 2 2 2" xfId="3699" xr:uid="{00000000-0005-0000-0000-0000A4050000}"/>
    <cellStyle name="Normal 33 3 2 2 3" xfId="3056" xr:uid="{00000000-0005-0000-0000-0000A5050000}"/>
    <cellStyle name="Normal 33 3 2 2 3 2" xfId="3780" xr:uid="{00000000-0005-0000-0000-0000A6050000}"/>
    <cellStyle name="Normal 33 3 2 2 4" xfId="3178" xr:uid="{00000000-0005-0000-0000-0000A7050000}"/>
    <cellStyle name="Normal 33 3 2 2 4 2" xfId="3862" xr:uid="{00000000-0005-0000-0000-0000A8050000}"/>
    <cellStyle name="Normal 33 3 2 2 5" xfId="3618" xr:uid="{00000000-0005-0000-0000-0000A9050000}"/>
    <cellStyle name="Normal 33 3 2 3" xfId="2935" xr:uid="{00000000-0005-0000-0000-0000AA050000}"/>
    <cellStyle name="Normal 33 3 2 3 2" xfId="3659" xr:uid="{00000000-0005-0000-0000-0000AB050000}"/>
    <cellStyle name="Normal 33 3 2 4" xfId="3016" xr:uid="{00000000-0005-0000-0000-0000AC050000}"/>
    <cellStyle name="Normal 33 3 2 4 2" xfId="3740" xr:uid="{00000000-0005-0000-0000-0000AD050000}"/>
    <cellStyle name="Normal 33 3 2 5" xfId="3138" xr:uid="{00000000-0005-0000-0000-0000AE050000}"/>
    <cellStyle name="Normal 33 3 2 5 2" xfId="3822" xr:uid="{00000000-0005-0000-0000-0000AF050000}"/>
    <cellStyle name="Normal 33 3 2 6" xfId="3578" xr:uid="{00000000-0005-0000-0000-0000B0050000}"/>
    <cellStyle name="Normal 33 3 3" xfId="2869" xr:uid="{00000000-0005-0000-0000-0000B1050000}"/>
    <cellStyle name="Normal 33 3 3 2" xfId="2954" xr:uid="{00000000-0005-0000-0000-0000B2050000}"/>
    <cellStyle name="Normal 33 3 3 2 2" xfId="3678" xr:uid="{00000000-0005-0000-0000-0000B3050000}"/>
    <cellStyle name="Normal 33 3 3 3" xfId="3035" xr:uid="{00000000-0005-0000-0000-0000B4050000}"/>
    <cellStyle name="Normal 33 3 3 3 2" xfId="3759" xr:uid="{00000000-0005-0000-0000-0000B5050000}"/>
    <cellStyle name="Normal 33 3 3 4" xfId="3157" xr:uid="{00000000-0005-0000-0000-0000B6050000}"/>
    <cellStyle name="Normal 33 3 3 4 2" xfId="3841" xr:uid="{00000000-0005-0000-0000-0000B7050000}"/>
    <cellStyle name="Normal 33 3 3 5" xfId="3597" xr:uid="{00000000-0005-0000-0000-0000B8050000}"/>
    <cellStyle name="Normal 33 3 4" xfId="2914" xr:uid="{00000000-0005-0000-0000-0000B9050000}"/>
    <cellStyle name="Normal 33 3 4 2" xfId="3638" xr:uid="{00000000-0005-0000-0000-0000BA050000}"/>
    <cellStyle name="Normal 33 3 5" xfId="2995" xr:uid="{00000000-0005-0000-0000-0000BB050000}"/>
    <cellStyle name="Normal 33 3 5 2" xfId="3719" xr:uid="{00000000-0005-0000-0000-0000BC050000}"/>
    <cellStyle name="Normal 33 3 6" xfId="3117" xr:uid="{00000000-0005-0000-0000-0000BD050000}"/>
    <cellStyle name="Normal 33 3 6 2" xfId="3801" xr:uid="{00000000-0005-0000-0000-0000BE050000}"/>
    <cellStyle name="Normal 33 3 7" xfId="3558" xr:uid="{00000000-0005-0000-0000-0000BF050000}"/>
    <cellStyle name="Normal 33 4" xfId="2845" xr:uid="{00000000-0005-0000-0000-0000C0050000}"/>
    <cellStyle name="Normal 33 4 2" xfId="2888" xr:uid="{00000000-0005-0000-0000-0000C1050000}"/>
    <cellStyle name="Normal 33 4 2 2" xfId="2973" xr:uid="{00000000-0005-0000-0000-0000C2050000}"/>
    <cellStyle name="Normal 33 4 2 2 2" xfId="3697" xr:uid="{00000000-0005-0000-0000-0000C3050000}"/>
    <cellStyle name="Normal 33 4 2 3" xfId="3054" xr:uid="{00000000-0005-0000-0000-0000C4050000}"/>
    <cellStyle name="Normal 33 4 2 3 2" xfId="3778" xr:uid="{00000000-0005-0000-0000-0000C5050000}"/>
    <cellStyle name="Normal 33 4 2 4" xfId="3176" xr:uid="{00000000-0005-0000-0000-0000C6050000}"/>
    <cellStyle name="Normal 33 4 2 4 2" xfId="3860" xr:uid="{00000000-0005-0000-0000-0000C7050000}"/>
    <cellStyle name="Normal 33 4 2 5" xfId="3616" xr:uid="{00000000-0005-0000-0000-0000C8050000}"/>
    <cellStyle name="Normal 33 4 3" xfId="2933" xr:uid="{00000000-0005-0000-0000-0000C9050000}"/>
    <cellStyle name="Normal 33 4 3 2" xfId="3657" xr:uid="{00000000-0005-0000-0000-0000CA050000}"/>
    <cellStyle name="Normal 33 4 4" xfId="3014" xr:uid="{00000000-0005-0000-0000-0000CB050000}"/>
    <cellStyle name="Normal 33 4 4 2" xfId="3738" xr:uid="{00000000-0005-0000-0000-0000CC050000}"/>
    <cellStyle name="Normal 33 4 5" xfId="3136" xr:uid="{00000000-0005-0000-0000-0000CD050000}"/>
    <cellStyle name="Normal 33 4 5 2" xfId="3820" xr:uid="{00000000-0005-0000-0000-0000CE050000}"/>
    <cellStyle name="Normal 33 4 6" xfId="3576" xr:uid="{00000000-0005-0000-0000-0000CF050000}"/>
    <cellStyle name="Normal 33 5" xfId="2867" xr:uid="{00000000-0005-0000-0000-0000D0050000}"/>
    <cellStyle name="Normal 33 5 2" xfId="2952" xr:uid="{00000000-0005-0000-0000-0000D1050000}"/>
    <cellStyle name="Normal 33 5 2 2" xfId="3676" xr:uid="{00000000-0005-0000-0000-0000D2050000}"/>
    <cellStyle name="Normal 33 5 3" xfId="3033" xr:uid="{00000000-0005-0000-0000-0000D3050000}"/>
    <cellStyle name="Normal 33 5 3 2" xfId="3757" xr:uid="{00000000-0005-0000-0000-0000D4050000}"/>
    <cellStyle name="Normal 33 5 4" xfId="3155" xr:uid="{00000000-0005-0000-0000-0000D5050000}"/>
    <cellStyle name="Normal 33 5 4 2" xfId="3839" xr:uid="{00000000-0005-0000-0000-0000D6050000}"/>
    <cellStyle name="Normal 33 5 5" xfId="3595" xr:uid="{00000000-0005-0000-0000-0000D7050000}"/>
    <cellStyle name="Normal 33 6" xfId="2912" xr:uid="{00000000-0005-0000-0000-0000D8050000}"/>
    <cellStyle name="Normal 33 6 2" xfId="3636" xr:uid="{00000000-0005-0000-0000-0000D9050000}"/>
    <cellStyle name="Normal 33 7" xfId="2993" xr:uid="{00000000-0005-0000-0000-0000DA050000}"/>
    <cellStyle name="Normal 33 7 2" xfId="3717" xr:uid="{00000000-0005-0000-0000-0000DB050000}"/>
    <cellStyle name="Normal 33 8" xfId="3115" xr:uid="{00000000-0005-0000-0000-0000DC050000}"/>
    <cellStyle name="Normal 33 8 2" xfId="3799" xr:uid="{00000000-0005-0000-0000-0000DD050000}"/>
    <cellStyle name="Normal 34" xfId="2294" xr:uid="{00000000-0005-0000-0000-0000DE050000}"/>
    <cellStyle name="Normal 35" xfId="2817" xr:uid="{00000000-0005-0000-0000-0000DF050000}"/>
    <cellStyle name="Normal 36" xfId="2816" xr:uid="{00000000-0005-0000-0000-0000E0050000}"/>
    <cellStyle name="Normal 37" xfId="2818" xr:uid="{00000000-0005-0000-0000-0000E1050000}"/>
    <cellStyle name="Normal 38" xfId="2819" xr:uid="{00000000-0005-0000-0000-0000E2050000}"/>
    <cellStyle name="Normal 39" xfId="2820" xr:uid="{00000000-0005-0000-0000-0000E3050000}"/>
    <cellStyle name="Normal 4" xfId="5" xr:uid="{00000000-0005-0000-0000-0000E4050000}"/>
    <cellStyle name="Normal 4 10" xfId="66" xr:uid="{00000000-0005-0000-0000-0000E5050000}"/>
    <cellStyle name="Normal 4 10 10" xfId="2015" xr:uid="{00000000-0005-0000-0000-0000E6050000}"/>
    <cellStyle name="Normal 4 10 11" xfId="2239" xr:uid="{00000000-0005-0000-0000-0000E7050000}"/>
    <cellStyle name="Normal 4 10 12" xfId="2447" xr:uid="{00000000-0005-0000-0000-0000E8050000}"/>
    <cellStyle name="Normal 4 10 13" xfId="2695" xr:uid="{00000000-0005-0000-0000-0000E9050000}"/>
    <cellStyle name="Normal 4 10 2" xfId="292" xr:uid="{00000000-0005-0000-0000-0000EA050000}"/>
    <cellStyle name="Normal 4 10 3" xfId="506" xr:uid="{00000000-0005-0000-0000-0000EB050000}"/>
    <cellStyle name="Normal 4 10 4" xfId="720" xr:uid="{00000000-0005-0000-0000-0000EC050000}"/>
    <cellStyle name="Normal 4 10 5" xfId="936" xr:uid="{00000000-0005-0000-0000-0000ED050000}"/>
    <cellStyle name="Normal 4 10 6" xfId="1152" xr:uid="{00000000-0005-0000-0000-0000EE050000}"/>
    <cellStyle name="Normal 4 10 7" xfId="1368" xr:uid="{00000000-0005-0000-0000-0000EF050000}"/>
    <cellStyle name="Normal 4 10 8" xfId="1584" xr:uid="{00000000-0005-0000-0000-0000F0050000}"/>
    <cellStyle name="Normal 4 10 9" xfId="1800" xr:uid="{00000000-0005-0000-0000-0000F1050000}"/>
    <cellStyle name="Normal 4 11" xfId="163" xr:uid="{00000000-0005-0000-0000-0000F2050000}"/>
    <cellStyle name="Normal 4 11 10" xfId="2112" xr:uid="{00000000-0005-0000-0000-0000F3050000}"/>
    <cellStyle name="Normal 4 11 11" xfId="2200" xr:uid="{00000000-0005-0000-0000-0000F4050000}"/>
    <cellStyle name="Normal 4 11 12" xfId="2544" xr:uid="{00000000-0005-0000-0000-0000F5050000}"/>
    <cellStyle name="Normal 4 11 13" xfId="2756" xr:uid="{00000000-0005-0000-0000-0000F6050000}"/>
    <cellStyle name="Normal 4 11 2" xfId="389" xr:uid="{00000000-0005-0000-0000-0000F7050000}"/>
    <cellStyle name="Normal 4 11 3" xfId="603" xr:uid="{00000000-0005-0000-0000-0000F8050000}"/>
    <cellStyle name="Normal 4 11 4" xfId="817" xr:uid="{00000000-0005-0000-0000-0000F9050000}"/>
    <cellStyle name="Normal 4 11 5" xfId="1033" xr:uid="{00000000-0005-0000-0000-0000FA050000}"/>
    <cellStyle name="Normal 4 11 6" xfId="1249" xr:uid="{00000000-0005-0000-0000-0000FB050000}"/>
    <cellStyle name="Normal 4 11 7" xfId="1465" xr:uid="{00000000-0005-0000-0000-0000FC050000}"/>
    <cellStyle name="Normal 4 11 8" xfId="1681" xr:uid="{00000000-0005-0000-0000-0000FD050000}"/>
    <cellStyle name="Normal 4 11 9" xfId="1897" xr:uid="{00000000-0005-0000-0000-0000FE050000}"/>
    <cellStyle name="Normal 4 12" xfId="168" xr:uid="{00000000-0005-0000-0000-0000FF050000}"/>
    <cellStyle name="Normal 4 12 10" xfId="2117" xr:uid="{00000000-0005-0000-0000-000000060000}"/>
    <cellStyle name="Normal 4 12 11" xfId="2280" xr:uid="{00000000-0005-0000-0000-000001060000}"/>
    <cellStyle name="Normal 4 12 12" xfId="2549" xr:uid="{00000000-0005-0000-0000-000002060000}"/>
    <cellStyle name="Normal 4 12 13" xfId="2646" xr:uid="{00000000-0005-0000-0000-000003060000}"/>
    <cellStyle name="Normal 4 12 2" xfId="394" xr:uid="{00000000-0005-0000-0000-000004060000}"/>
    <cellStyle name="Normal 4 12 3" xfId="608" xr:uid="{00000000-0005-0000-0000-000005060000}"/>
    <cellStyle name="Normal 4 12 4" xfId="822" xr:uid="{00000000-0005-0000-0000-000006060000}"/>
    <cellStyle name="Normal 4 12 5" xfId="1038" xr:uid="{00000000-0005-0000-0000-000007060000}"/>
    <cellStyle name="Normal 4 12 6" xfId="1254" xr:uid="{00000000-0005-0000-0000-000008060000}"/>
    <cellStyle name="Normal 4 12 7" xfId="1470" xr:uid="{00000000-0005-0000-0000-000009060000}"/>
    <cellStyle name="Normal 4 12 8" xfId="1686" xr:uid="{00000000-0005-0000-0000-00000A060000}"/>
    <cellStyle name="Normal 4 12 9" xfId="1902" xr:uid="{00000000-0005-0000-0000-00000B060000}"/>
    <cellStyle name="Normal 4 13" xfId="192" xr:uid="{00000000-0005-0000-0000-00000C060000}"/>
    <cellStyle name="Normal 4 13 10" xfId="2141" xr:uid="{00000000-0005-0000-0000-00000D060000}"/>
    <cellStyle name="Normal 4 13 11" xfId="2277" xr:uid="{00000000-0005-0000-0000-00000E060000}"/>
    <cellStyle name="Normal 4 13 12" xfId="2573" xr:uid="{00000000-0005-0000-0000-00000F060000}"/>
    <cellStyle name="Normal 4 13 13" xfId="2775" xr:uid="{00000000-0005-0000-0000-000010060000}"/>
    <cellStyle name="Normal 4 13 2" xfId="418" xr:uid="{00000000-0005-0000-0000-000011060000}"/>
    <cellStyle name="Normal 4 13 3" xfId="632" xr:uid="{00000000-0005-0000-0000-000012060000}"/>
    <cellStyle name="Normal 4 13 4" xfId="846" xr:uid="{00000000-0005-0000-0000-000013060000}"/>
    <cellStyle name="Normal 4 13 5" xfId="1062" xr:uid="{00000000-0005-0000-0000-000014060000}"/>
    <cellStyle name="Normal 4 13 6" xfId="1278" xr:uid="{00000000-0005-0000-0000-000015060000}"/>
    <cellStyle name="Normal 4 13 7" xfId="1494" xr:uid="{00000000-0005-0000-0000-000016060000}"/>
    <cellStyle name="Normal 4 13 8" xfId="1710" xr:uid="{00000000-0005-0000-0000-000017060000}"/>
    <cellStyle name="Normal 4 13 9" xfId="1926" xr:uid="{00000000-0005-0000-0000-000018060000}"/>
    <cellStyle name="Normal 4 14" xfId="197" xr:uid="{00000000-0005-0000-0000-000019060000}"/>
    <cellStyle name="Normal 4 14 10" xfId="2146" xr:uid="{00000000-0005-0000-0000-00001A060000}"/>
    <cellStyle name="Normal 4 14 11" xfId="2358" xr:uid="{00000000-0005-0000-0000-00001B060000}"/>
    <cellStyle name="Normal 4 14 12" xfId="2578" xr:uid="{00000000-0005-0000-0000-00001C060000}"/>
    <cellStyle name="Normal 4 14 13" xfId="2665" xr:uid="{00000000-0005-0000-0000-00001D060000}"/>
    <cellStyle name="Normal 4 14 2" xfId="423" xr:uid="{00000000-0005-0000-0000-00001E060000}"/>
    <cellStyle name="Normal 4 14 3" xfId="637" xr:uid="{00000000-0005-0000-0000-00001F060000}"/>
    <cellStyle name="Normal 4 14 4" xfId="851" xr:uid="{00000000-0005-0000-0000-000020060000}"/>
    <cellStyle name="Normal 4 14 5" xfId="1067" xr:uid="{00000000-0005-0000-0000-000021060000}"/>
    <cellStyle name="Normal 4 14 6" xfId="1283" xr:uid="{00000000-0005-0000-0000-000022060000}"/>
    <cellStyle name="Normal 4 14 7" xfId="1499" xr:uid="{00000000-0005-0000-0000-000023060000}"/>
    <cellStyle name="Normal 4 14 8" xfId="1715" xr:uid="{00000000-0005-0000-0000-000024060000}"/>
    <cellStyle name="Normal 4 14 9" xfId="1931" xr:uid="{00000000-0005-0000-0000-000025060000}"/>
    <cellStyle name="Normal 4 15" xfId="187" xr:uid="{00000000-0005-0000-0000-000026060000}"/>
    <cellStyle name="Normal 4 15 10" xfId="2136" xr:uid="{00000000-0005-0000-0000-000027060000}"/>
    <cellStyle name="Normal 4 15 11" xfId="2197" xr:uid="{00000000-0005-0000-0000-000028060000}"/>
    <cellStyle name="Normal 4 15 12" xfId="2568" xr:uid="{00000000-0005-0000-0000-000029060000}"/>
    <cellStyle name="Normal 4 15 13" xfId="2666" xr:uid="{00000000-0005-0000-0000-00002A060000}"/>
    <cellStyle name="Normal 4 15 2" xfId="413" xr:uid="{00000000-0005-0000-0000-00002B060000}"/>
    <cellStyle name="Normal 4 15 3" xfId="627" xr:uid="{00000000-0005-0000-0000-00002C060000}"/>
    <cellStyle name="Normal 4 15 4" xfId="841" xr:uid="{00000000-0005-0000-0000-00002D060000}"/>
    <cellStyle name="Normal 4 15 5" xfId="1057" xr:uid="{00000000-0005-0000-0000-00002E060000}"/>
    <cellStyle name="Normal 4 15 6" xfId="1273" xr:uid="{00000000-0005-0000-0000-00002F060000}"/>
    <cellStyle name="Normal 4 15 7" xfId="1489" xr:uid="{00000000-0005-0000-0000-000030060000}"/>
    <cellStyle name="Normal 4 15 8" xfId="1705" xr:uid="{00000000-0005-0000-0000-000031060000}"/>
    <cellStyle name="Normal 4 15 9" xfId="1921" xr:uid="{00000000-0005-0000-0000-000032060000}"/>
    <cellStyle name="Normal 4 16" xfId="231" xr:uid="{00000000-0005-0000-0000-000033060000}"/>
    <cellStyle name="Normal 4 17" xfId="446" xr:uid="{00000000-0005-0000-0000-000034060000}"/>
    <cellStyle name="Normal 4 18" xfId="660" xr:uid="{00000000-0005-0000-0000-000035060000}"/>
    <cellStyle name="Normal 4 19" xfId="875" xr:uid="{00000000-0005-0000-0000-000036060000}"/>
    <cellStyle name="Normal 4 2" xfId="65" xr:uid="{00000000-0005-0000-0000-000037060000}"/>
    <cellStyle name="Normal 4 2 10" xfId="1956" xr:uid="{00000000-0005-0000-0000-000038060000}"/>
    <cellStyle name="Normal 4 2 11" xfId="2266" xr:uid="{00000000-0005-0000-0000-000039060000}"/>
    <cellStyle name="Normal 4 2 12" xfId="2446" xr:uid="{00000000-0005-0000-0000-00003A060000}"/>
    <cellStyle name="Normal 4 2 13" xfId="2717" xr:uid="{00000000-0005-0000-0000-00003B060000}"/>
    <cellStyle name="Normal 4 2 2" xfId="291" xr:uid="{00000000-0005-0000-0000-00003C060000}"/>
    <cellStyle name="Normal 4 2 3" xfId="505" xr:uid="{00000000-0005-0000-0000-00003D060000}"/>
    <cellStyle name="Normal 4 2 4" xfId="719" xr:uid="{00000000-0005-0000-0000-00003E060000}"/>
    <cellStyle name="Normal 4 2 5" xfId="935" xr:uid="{00000000-0005-0000-0000-00003F060000}"/>
    <cellStyle name="Normal 4 2 6" xfId="1151" xr:uid="{00000000-0005-0000-0000-000040060000}"/>
    <cellStyle name="Normal 4 2 7" xfId="1367" xr:uid="{00000000-0005-0000-0000-000041060000}"/>
    <cellStyle name="Normal 4 2 8" xfId="1583" xr:uid="{00000000-0005-0000-0000-000042060000}"/>
    <cellStyle name="Normal 4 2 9" xfId="1799" xr:uid="{00000000-0005-0000-0000-000043060000}"/>
    <cellStyle name="Normal 4 20" xfId="1091" xr:uid="{00000000-0005-0000-0000-000044060000}"/>
    <cellStyle name="Normal 4 21" xfId="1307" xr:uid="{00000000-0005-0000-0000-000045060000}"/>
    <cellStyle name="Normal 4 22" xfId="1523" xr:uid="{00000000-0005-0000-0000-000046060000}"/>
    <cellStyle name="Normal 4 23" xfId="1739" xr:uid="{00000000-0005-0000-0000-000047060000}"/>
    <cellStyle name="Normal 4 24" xfId="2380" xr:uid="{00000000-0005-0000-0000-000048060000}"/>
    <cellStyle name="Normal 4 25" xfId="2387" xr:uid="{00000000-0005-0000-0000-000049060000}"/>
    <cellStyle name="Normal 4 26" xfId="2701" xr:uid="{00000000-0005-0000-0000-00004A060000}"/>
    <cellStyle name="Normal 4 3" xfId="67" xr:uid="{00000000-0005-0000-0000-00004B060000}"/>
    <cellStyle name="Normal 4 3 10" xfId="2016" xr:uid="{00000000-0005-0000-0000-00004C060000}"/>
    <cellStyle name="Normal 4 3 11" xfId="2212" xr:uid="{00000000-0005-0000-0000-00004D060000}"/>
    <cellStyle name="Normal 4 3 12" xfId="2448" xr:uid="{00000000-0005-0000-0000-00004E060000}"/>
    <cellStyle name="Normal 4 3 13" xfId="2673" xr:uid="{00000000-0005-0000-0000-00004F060000}"/>
    <cellStyle name="Normal 4 3 2" xfId="293" xr:uid="{00000000-0005-0000-0000-000050060000}"/>
    <cellStyle name="Normal 4 3 3" xfId="507" xr:uid="{00000000-0005-0000-0000-000051060000}"/>
    <cellStyle name="Normal 4 3 4" xfId="721" xr:uid="{00000000-0005-0000-0000-000052060000}"/>
    <cellStyle name="Normal 4 3 5" xfId="937" xr:uid="{00000000-0005-0000-0000-000053060000}"/>
    <cellStyle name="Normal 4 3 6" xfId="1153" xr:uid="{00000000-0005-0000-0000-000054060000}"/>
    <cellStyle name="Normal 4 3 7" xfId="1369" xr:uid="{00000000-0005-0000-0000-000055060000}"/>
    <cellStyle name="Normal 4 3 8" xfId="1585" xr:uid="{00000000-0005-0000-0000-000056060000}"/>
    <cellStyle name="Normal 4 3 9" xfId="1801" xr:uid="{00000000-0005-0000-0000-000057060000}"/>
    <cellStyle name="Normal 4 4" xfId="68" xr:uid="{00000000-0005-0000-0000-000058060000}"/>
    <cellStyle name="Normal 4 4 10" xfId="2017" xr:uid="{00000000-0005-0000-0000-000059060000}"/>
    <cellStyle name="Normal 4 4 11" xfId="2185" xr:uid="{00000000-0005-0000-0000-00005A060000}"/>
    <cellStyle name="Normal 4 4 12" xfId="2449" xr:uid="{00000000-0005-0000-0000-00005B060000}"/>
    <cellStyle name="Normal 4 4 13" xfId="2651" xr:uid="{00000000-0005-0000-0000-00005C060000}"/>
    <cellStyle name="Normal 4 4 2" xfId="294" xr:uid="{00000000-0005-0000-0000-00005D060000}"/>
    <cellStyle name="Normal 4 4 3" xfId="508" xr:uid="{00000000-0005-0000-0000-00005E060000}"/>
    <cellStyle name="Normal 4 4 4" xfId="722" xr:uid="{00000000-0005-0000-0000-00005F060000}"/>
    <cellStyle name="Normal 4 4 5" xfId="938" xr:uid="{00000000-0005-0000-0000-000060060000}"/>
    <cellStyle name="Normal 4 4 6" xfId="1154" xr:uid="{00000000-0005-0000-0000-000061060000}"/>
    <cellStyle name="Normal 4 4 7" xfId="1370" xr:uid="{00000000-0005-0000-0000-000062060000}"/>
    <cellStyle name="Normal 4 4 8" xfId="1586" xr:uid="{00000000-0005-0000-0000-000063060000}"/>
    <cellStyle name="Normal 4 4 9" xfId="1802" xr:uid="{00000000-0005-0000-0000-000064060000}"/>
    <cellStyle name="Normal 4 5" xfId="69" xr:uid="{00000000-0005-0000-0000-000065060000}"/>
    <cellStyle name="Normal 4 5 10" xfId="2018" xr:uid="{00000000-0005-0000-0000-000066060000}"/>
    <cellStyle name="Normal 4 5 11" xfId="2374" xr:uid="{00000000-0005-0000-0000-000067060000}"/>
    <cellStyle name="Normal 4 5 12" xfId="2450" xr:uid="{00000000-0005-0000-0000-000068060000}"/>
    <cellStyle name="Normal 4 5 13" xfId="2630" xr:uid="{00000000-0005-0000-0000-000069060000}"/>
    <cellStyle name="Normal 4 5 2" xfId="295" xr:uid="{00000000-0005-0000-0000-00006A060000}"/>
    <cellStyle name="Normal 4 5 3" xfId="509" xr:uid="{00000000-0005-0000-0000-00006B060000}"/>
    <cellStyle name="Normal 4 5 4" xfId="723" xr:uid="{00000000-0005-0000-0000-00006C060000}"/>
    <cellStyle name="Normal 4 5 5" xfId="939" xr:uid="{00000000-0005-0000-0000-00006D060000}"/>
    <cellStyle name="Normal 4 5 6" xfId="1155" xr:uid="{00000000-0005-0000-0000-00006E060000}"/>
    <cellStyle name="Normal 4 5 7" xfId="1371" xr:uid="{00000000-0005-0000-0000-00006F060000}"/>
    <cellStyle name="Normal 4 5 8" xfId="1587" xr:uid="{00000000-0005-0000-0000-000070060000}"/>
    <cellStyle name="Normal 4 5 9" xfId="1803" xr:uid="{00000000-0005-0000-0000-000071060000}"/>
    <cellStyle name="Normal 4 6" xfId="70" xr:uid="{00000000-0005-0000-0000-000072060000}"/>
    <cellStyle name="Normal 4 6 10" xfId="2019" xr:uid="{00000000-0005-0000-0000-000073060000}"/>
    <cellStyle name="Normal 4 6 11" xfId="2347" xr:uid="{00000000-0005-0000-0000-000074060000}"/>
    <cellStyle name="Normal 4 6 12" xfId="2451" xr:uid="{00000000-0005-0000-0000-000075060000}"/>
    <cellStyle name="Normal 4 6 13" xfId="2609" xr:uid="{00000000-0005-0000-0000-000076060000}"/>
    <cellStyle name="Normal 4 6 2" xfId="296" xr:uid="{00000000-0005-0000-0000-000077060000}"/>
    <cellStyle name="Normal 4 6 3" xfId="510" xr:uid="{00000000-0005-0000-0000-000078060000}"/>
    <cellStyle name="Normal 4 6 4" xfId="724" xr:uid="{00000000-0005-0000-0000-000079060000}"/>
    <cellStyle name="Normal 4 6 5" xfId="940" xr:uid="{00000000-0005-0000-0000-00007A060000}"/>
    <cellStyle name="Normal 4 6 6" xfId="1156" xr:uid="{00000000-0005-0000-0000-00007B060000}"/>
    <cellStyle name="Normal 4 6 7" xfId="1372" xr:uid="{00000000-0005-0000-0000-00007C060000}"/>
    <cellStyle name="Normal 4 6 8" xfId="1588" xr:uid="{00000000-0005-0000-0000-00007D060000}"/>
    <cellStyle name="Normal 4 6 9" xfId="1804" xr:uid="{00000000-0005-0000-0000-00007E060000}"/>
    <cellStyle name="Normal 4 7" xfId="71" xr:uid="{00000000-0005-0000-0000-00007F060000}"/>
    <cellStyle name="Normal 4 7 10" xfId="2020" xr:uid="{00000000-0005-0000-0000-000080060000}"/>
    <cellStyle name="Normal 4 7 11" xfId="2320" xr:uid="{00000000-0005-0000-0000-000081060000}"/>
    <cellStyle name="Normal 4 7 12" xfId="2452" xr:uid="{00000000-0005-0000-0000-000082060000}"/>
    <cellStyle name="Normal 4 7 13" xfId="2808" xr:uid="{00000000-0005-0000-0000-000083060000}"/>
    <cellStyle name="Normal 4 7 2" xfId="297" xr:uid="{00000000-0005-0000-0000-000084060000}"/>
    <cellStyle name="Normal 4 7 3" xfId="511" xr:uid="{00000000-0005-0000-0000-000085060000}"/>
    <cellStyle name="Normal 4 7 4" xfId="725" xr:uid="{00000000-0005-0000-0000-000086060000}"/>
    <cellStyle name="Normal 4 7 5" xfId="941" xr:uid="{00000000-0005-0000-0000-000087060000}"/>
    <cellStyle name="Normal 4 7 6" xfId="1157" xr:uid="{00000000-0005-0000-0000-000088060000}"/>
    <cellStyle name="Normal 4 7 7" xfId="1373" xr:uid="{00000000-0005-0000-0000-000089060000}"/>
    <cellStyle name="Normal 4 7 8" xfId="1589" xr:uid="{00000000-0005-0000-0000-00008A060000}"/>
    <cellStyle name="Normal 4 7 9" xfId="1805" xr:uid="{00000000-0005-0000-0000-00008B060000}"/>
    <cellStyle name="Normal 4 8" xfId="72" xr:uid="{00000000-0005-0000-0000-00008C060000}"/>
    <cellStyle name="Normal 4 8 10" xfId="2021" xr:uid="{00000000-0005-0000-0000-00008D060000}"/>
    <cellStyle name="Normal 4 8 11" xfId="2292" xr:uid="{00000000-0005-0000-0000-00008E060000}"/>
    <cellStyle name="Normal 4 8 12" xfId="2453" xr:uid="{00000000-0005-0000-0000-00008F060000}"/>
    <cellStyle name="Normal 4 8 13" xfId="2782" xr:uid="{00000000-0005-0000-0000-000090060000}"/>
    <cellStyle name="Normal 4 8 2" xfId="298" xr:uid="{00000000-0005-0000-0000-000091060000}"/>
    <cellStyle name="Normal 4 8 3" xfId="512" xr:uid="{00000000-0005-0000-0000-000092060000}"/>
    <cellStyle name="Normal 4 8 4" xfId="726" xr:uid="{00000000-0005-0000-0000-000093060000}"/>
    <cellStyle name="Normal 4 8 5" xfId="942" xr:uid="{00000000-0005-0000-0000-000094060000}"/>
    <cellStyle name="Normal 4 8 6" xfId="1158" xr:uid="{00000000-0005-0000-0000-000095060000}"/>
    <cellStyle name="Normal 4 8 7" xfId="1374" xr:uid="{00000000-0005-0000-0000-000096060000}"/>
    <cellStyle name="Normal 4 8 8" xfId="1590" xr:uid="{00000000-0005-0000-0000-000097060000}"/>
    <cellStyle name="Normal 4 8 9" xfId="1806" xr:uid="{00000000-0005-0000-0000-000098060000}"/>
    <cellStyle name="Normal 4 9" xfId="73" xr:uid="{00000000-0005-0000-0000-000099060000}"/>
    <cellStyle name="Normal 4 9 10" xfId="2022" xr:uid="{00000000-0005-0000-0000-00009A060000}"/>
    <cellStyle name="Normal 4 9 11" xfId="2265" xr:uid="{00000000-0005-0000-0000-00009B060000}"/>
    <cellStyle name="Normal 4 9 12" xfId="2454" xr:uid="{00000000-0005-0000-0000-00009C060000}"/>
    <cellStyle name="Normal 4 9 13" xfId="2759" xr:uid="{00000000-0005-0000-0000-00009D060000}"/>
    <cellStyle name="Normal 4 9 2" xfId="299" xr:uid="{00000000-0005-0000-0000-00009E060000}"/>
    <cellStyle name="Normal 4 9 3" xfId="513" xr:uid="{00000000-0005-0000-0000-00009F060000}"/>
    <cellStyle name="Normal 4 9 4" xfId="727" xr:uid="{00000000-0005-0000-0000-0000A0060000}"/>
    <cellStyle name="Normal 4 9 5" xfId="943" xr:uid="{00000000-0005-0000-0000-0000A1060000}"/>
    <cellStyle name="Normal 4 9 6" xfId="1159" xr:uid="{00000000-0005-0000-0000-0000A2060000}"/>
    <cellStyle name="Normal 4 9 7" xfId="1375" xr:uid="{00000000-0005-0000-0000-0000A3060000}"/>
    <cellStyle name="Normal 4 9 8" xfId="1591" xr:uid="{00000000-0005-0000-0000-0000A4060000}"/>
    <cellStyle name="Normal 4 9 9" xfId="1807" xr:uid="{00000000-0005-0000-0000-0000A5060000}"/>
    <cellStyle name="Normal 40" xfId="2821" xr:uid="{00000000-0005-0000-0000-0000A6060000}"/>
    <cellStyle name="Normal 41" xfId="2822" xr:uid="{00000000-0005-0000-0000-0000A7060000}"/>
    <cellStyle name="Normal 41 2" xfId="2848" xr:uid="{00000000-0005-0000-0000-0000A8060000}"/>
    <cellStyle name="Normal 41 2 2" xfId="2891" xr:uid="{00000000-0005-0000-0000-0000A9060000}"/>
    <cellStyle name="Normal 41 2 2 2" xfId="2976" xr:uid="{00000000-0005-0000-0000-0000AA060000}"/>
    <cellStyle name="Normal 41 2 2 2 2" xfId="3700" xr:uid="{00000000-0005-0000-0000-0000AB060000}"/>
    <cellStyle name="Normal 41 2 2 3" xfId="3057" xr:uid="{00000000-0005-0000-0000-0000AC060000}"/>
    <cellStyle name="Normal 41 2 2 3 2" xfId="3781" xr:uid="{00000000-0005-0000-0000-0000AD060000}"/>
    <cellStyle name="Normal 41 2 2 4" xfId="3179" xr:uid="{00000000-0005-0000-0000-0000AE060000}"/>
    <cellStyle name="Normal 41 2 2 4 2" xfId="3863" xr:uid="{00000000-0005-0000-0000-0000AF060000}"/>
    <cellStyle name="Normal 41 2 2 5" xfId="3619" xr:uid="{00000000-0005-0000-0000-0000B0060000}"/>
    <cellStyle name="Normal 41 2 3" xfId="2936" xr:uid="{00000000-0005-0000-0000-0000B1060000}"/>
    <cellStyle name="Normal 41 2 3 2" xfId="3660" xr:uid="{00000000-0005-0000-0000-0000B2060000}"/>
    <cellStyle name="Normal 41 2 4" xfId="3017" xr:uid="{00000000-0005-0000-0000-0000B3060000}"/>
    <cellStyle name="Normal 41 2 4 2" xfId="3741" xr:uid="{00000000-0005-0000-0000-0000B4060000}"/>
    <cellStyle name="Normal 41 2 5" xfId="3139" xr:uid="{00000000-0005-0000-0000-0000B5060000}"/>
    <cellStyle name="Normal 41 2 5 2" xfId="3823" xr:uid="{00000000-0005-0000-0000-0000B6060000}"/>
    <cellStyle name="Normal 41 2 6" xfId="3579" xr:uid="{00000000-0005-0000-0000-0000B7060000}"/>
    <cellStyle name="Normal 41 3" xfId="2870" xr:uid="{00000000-0005-0000-0000-0000B8060000}"/>
    <cellStyle name="Normal 41 3 2" xfId="2955" xr:uid="{00000000-0005-0000-0000-0000B9060000}"/>
    <cellStyle name="Normal 41 3 2 2" xfId="3679" xr:uid="{00000000-0005-0000-0000-0000BA060000}"/>
    <cellStyle name="Normal 41 3 3" xfId="3036" xr:uid="{00000000-0005-0000-0000-0000BB060000}"/>
    <cellStyle name="Normal 41 3 3 2" xfId="3760" xr:uid="{00000000-0005-0000-0000-0000BC060000}"/>
    <cellStyle name="Normal 41 3 4" xfId="3158" xr:uid="{00000000-0005-0000-0000-0000BD060000}"/>
    <cellStyle name="Normal 41 3 4 2" xfId="3842" xr:uid="{00000000-0005-0000-0000-0000BE060000}"/>
    <cellStyle name="Normal 41 3 5" xfId="3598" xr:uid="{00000000-0005-0000-0000-0000BF060000}"/>
    <cellStyle name="Normal 41 4" xfId="2915" xr:uid="{00000000-0005-0000-0000-0000C0060000}"/>
    <cellStyle name="Normal 41 4 2" xfId="3639" xr:uid="{00000000-0005-0000-0000-0000C1060000}"/>
    <cellStyle name="Normal 41 5" xfId="2996" xr:uid="{00000000-0005-0000-0000-0000C2060000}"/>
    <cellStyle name="Normal 41 5 2" xfId="3720" xr:uid="{00000000-0005-0000-0000-0000C3060000}"/>
    <cellStyle name="Normal 41 6" xfId="3118" xr:uid="{00000000-0005-0000-0000-0000C4060000}"/>
    <cellStyle name="Normal 41 6 2" xfId="3802" xr:uid="{00000000-0005-0000-0000-0000C5060000}"/>
    <cellStyle name="Normal 41 7" xfId="3559" xr:uid="{00000000-0005-0000-0000-0000C6060000}"/>
    <cellStyle name="Normal 42" xfId="2823" xr:uid="{00000000-0005-0000-0000-0000C7060000}"/>
    <cellStyle name="Normal 42 2" xfId="2849" xr:uid="{00000000-0005-0000-0000-0000C8060000}"/>
    <cellStyle name="Normal 42 2 2" xfId="2892" xr:uid="{00000000-0005-0000-0000-0000C9060000}"/>
    <cellStyle name="Normal 42 2 2 2" xfId="2977" xr:uid="{00000000-0005-0000-0000-0000CA060000}"/>
    <cellStyle name="Normal 42 2 2 2 2" xfId="3701" xr:uid="{00000000-0005-0000-0000-0000CB060000}"/>
    <cellStyle name="Normal 42 2 2 3" xfId="3058" xr:uid="{00000000-0005-0000-0000-0000CC060000}"/>
    <cellStyle name="Normal 42 2 2 3 2" xfId="3782" xr:uid="{00000000-0005-0000-0000-0000CD060000}"/>
    <cellStyle name="Normal 42 2 2 4" xfId="3180" xr:uid="{00000000-0005-0000-0000-0000CE060000}"/>
    <cellStyle name="Normal 42 2 2 4 2" xfId="3864" xr:uid="{00000000-0005-0000-0000-0000CF060000}"/>
    <cellStyle name="Normal 42 2 2 5" xfId="3620" xr:uid="{00000000-0005-0000-0000-0000D0060000}"/>
    <cellStyle name="Normal 42 2 3" xfId="2937" xr:uid="{00000000-0005-0000-0000-0000D1060000}"/>
    <cellStyle name="Normal 42 2 3 2" xfId="3661" xr:uid="{00000000-0005-0000-0000-0000D2060000}"/>
    <cellStyle name="Normal 42 2 4" xfId="3018" xr:uid="{00000000-0005-0000-0000-0000D3060000}"/>
    <cellStyle name="Normal 42 2 4 2" xfId="3742" xr:uid="{00000000-0005-0000-0000-0000D4060000}"/>
    <cellStyle name="Normal 42 2 5" xfId="3140" xr:uid="{00000000-0005-0000-0000-0000D5060000}"/>
    <cellStyle name="Normal 42 2 5 2" xfId="3824" xr:uid="{00000000-0005-0000-0000-0000D6060000}"/>
    <cellStyle name="Normal 42 2 6" xfId="3580" xr:uid="{00000000-0005-0000-0000-0000D7060000}"/>
    <cellStyle name="Normal 42 3" xfId="2871" xr:uid="{00000000-0005-0000-0000-0000D8060000}"/>
    <cellStyle name="Normal 42 3 2" xfId="2956" xr:uid="{00000000-0005-0000-0000-0000D9060000}"/>
    <cellStyle name="Normal 42 3 2 2" xfId="3680" xr:uid="{00000000-0005-0000-0000-0000DA060000}"/>
    <cellStyle name="Normal 42 3 3" xfId="3037" xr:uid="{00000000-0005-0000-0000-0000DB060000}"/>
    <cellStyle name="Normal 42 3 3 2" xfId="3761" xr:uid="{00000000-0005-0000-0000-0000DC060000}"/>
    <cellStyle name="Normal 42 3 4" xfId="3159" xr:uid="{00000000-0005-0000-0000-0000DD060000}"/>
    <cellStyle name="Normal 42 3 4 2" xfId="3843" xr:uid="{00000000-0005-0000-0000-0000DE060000}"/>
    <cellStyle name="Normal 42 3 5" xfId="3599" xr:uid="{00000000-0005-0000-0000-0000DF060000}"/>
    <cellStyle name="Normal 42 4" xfId="2916" xr:uid="{00000000-0005-0000-0000-0000E0060000}"/>
    <cellStyle name="Normal 42 4 2" xfId="3640" xr:uid="{00000000-0005-0000-0000-0000E1060000}"/>
    <cellStyle name="Normal 42 5" xfId="2997" xr:uid="{00000000-0005-0000-0000-0000E2060000}"/>
    <cellStyle name="Normal 42 5 2" xfId="3721" xr:uid="{00000000-0005-0000-0000-0000E3060000}"/>
    <cellStyle name="Normal 42 6" xfId="3119" xr:uid="{00000000-0005-0000-0000-0000E4060000}"/>
    <cellStyle name="Normal 42 6 2" xfId="3803" xr:uid="{00000000-0005-0000-0000-0000E5060000}"/>
    <cellStyle name="Normal 42 7" xfId="3560" xr:uid="{00000000-0005-0000-0000-0000E6060000}"/>
    <cellStyle name="Normal 43" xfId="2824" xr:uid="{00000000-0005-0000-0000-0000E7060000}"/>
    <cellStyle name="Normal 43 2" xfId="2850" xr:uid="{00000000-0005-0000-0000-0000E8060000}"/>
    <cellStyle name="Normal 43 2 2" xfId="2893" xr:uid="{00000000-0005-0000-0000-0000E9060000}"/>
    <cellStyle name="Normal 43 2 2 2" xfId="2978" xr:uid="{00000000-0005-0000-0000-0000EA060000}"/>
    <cellStyle name="Normal 43 2 2 2 2" xfId="3702" xr:uid="{00000000-0005-0000-0000-0000EB060000}"/>
    <cellStyle name="Normal 43 2 2 3" xfId="3059" xr:uid="{00000000-0005-0000-0000-0000EC060000}"/>
    <cellStyle name="Normal 43 2 2 3 2" xfId="3783" xr:uid="{00000000-0005-0000-0000-0000ED060000}"/>
    <cellStyle name="Normal 43 2 2 4" xfId="3181" xr:uid="{00000000-0005-0000-0000-0000EE060000}"/>
    <cellStyle name="Normal 43 2 2 4 2" xfId="3865" xr:uid="{00000000-0005-0000-0000-0000EF060000}"/>
    <cellStyle name="Normal 43 2 2 5" xfId="3621" xr:uid="{00000000-0005-0000-0000-0000F0060000}"/>
    <cellStyle name="Normal 43 2 3" xfId="2938" xr:uid="{00000000-0005-0000-0000-0000F1060000}"/>
    <cellStyle name="Normal 43 2 3 2" xfId="3662" xr:uid="{00000000-0005-0000-0000-0000F2060000}"/>
    <cellStyle name="Normal 43 2 4" xfId="3019" xr:uid="{00000000-0005-0000-0000-0000F3060000}"/>
    <cellStyle name="Normal 43 2 4 2" xfId="3743" xr:uid="{00000000-0005-0000-0000-0000F4060000}"/>
    <cellStyle name="Normal 43 2 5" xfId="3141" xr:uid="{00000000-0005-0000-0000-0000F5060000}"/>
    <cellStyle name="Normal 43 2 5 2" xfId="3825" xr:uid="{00000000-0005-0000-0000-0000F6060000}"/>
    <cellStyle name="Normal 43 2 6" xfId="3581" xr:uid="{00000000-0005-0000-0000-0000F7060000}"/>
    <cellStyle name="Normal 43 3" xfId="2872" xr:uid="{00000000-0005-0000-0000-0000F8060000}"/>
    <cellStyle name="Normal 43 3 2" xfId="2957" xr:uid="{00000000-0005-0000-0000-0000F9060000}"/>
    <cellStyle name="Normal 43 3 2 2" xfId="3681" xr:uid="{00000000-0005-0000-0000-0000FA060000}"/>
    <cellStyle name="Normal 43 3 3" xfId="3038" xr:uid="{00000000-0005-0000-0000-0000FB060000}"/>
    <cellStyle name="Normal 43 3 3 2" xfId="3762" xr:uid="{00000000-0005-0000-0000-0000FC060000}"/>
    <cellStyle name="Normal 43 3 4" xfId="3160" xr:uid="{00000000-0005-0000-0000-0000FD060000}"/>
    <cellStyle name="Normal 43 3 4 2" xfId="3844" xr:uid="{00000000-0005-0000-0000-0000FE060000}"/>
    <cellStyle name="Normal 43 3 5" xfId="3600" xr:uid="{00000000-0005-0000-0000-0000FF060000}"/>
    <cellStyle name="Normal 43 4" xfId="2917" xr:uid="{00000000-0005-0000-0000-000000070000}"/>
    <cellStyle name="Normal 43 4 2" xfId="3641" xr:uid="{00000000-0005-0000-0000-000001070000}"/>
    <cellStyle name="Normal 43 5" xfId="2998" xr:uid="{00000000-0005-0000-0000-000002070000}"/>
    <cellStyle name="Normal 43 5 2" xfId="3722" xr:uid="{00000000-0005-0000-0000-000003070000}"/>
    <cellStyle name="Normal 43 6" xfId="3120" xr:uid="{00000000-0005-0000-0000-000004070000}"/>
    <cellStyle name="Normal 43 6 2" xfId="3804" xr:uid="{00000000-0005-0000-0000-000005070000}"/>
    <cellStyle name="Normal 43 7" xfId="3561" xr:uid="{00000000-0005-0000-0000-000006070000}"/>
    <cellStyle name="Normal 44" xfId="2841" xr:uid="{00000000-0005-0000-0000-000007070000}"/>
    <cellStyle name="Normal 44 2" xfId="2863" xr:uid="{00000000-0005-0000-0000-000008070000}"/>
    <cellStyle name="Normal 44 2 2" xfId="2906" xr:uid="{00000000-0005-0000-0000-000009070000}"/>
    <cellStyle name="Normal 44 2 2 2" xfId="2991" xr:uid="{00000000-0005-0000-0000-00000A070000}"/>
    <cellStyle name="Normal 44 2 2 2 2" xfId="3715" xr:uid="{00000000-0005-0000-0000-00000B070000}"/>
    <cellStyle name="Normal 44 2 2 3" xfId="3072" xr:uid="{00000000-0005-0000-0000-00000C070000}"/>
    <cellStyle name="Normal 44 2 2 3 2" xfId="3796" xr:uid="{00000000-0005-0000-0000-00000D070000}"/>
    <cellStyle name="Normal 44 2 2 4" xfId="3194" xr:uid="{00000000-0005-0000-0000-00000E070000}"/>
    <cellStyle name="Normal 44 2 2 4 2" xfId="3878" xr:uid="{00000000-0005-0000-0000-00000F070000}"/>
    <cellStyle name="Normal 44 2 2 5" xfId="3634" xr:uid="{00000000-0005-0000-0000-000010070000}"/>
    <cellStyle name="Normal 44 2 3" xfId="2951" xr:uid="{00000000-0005-0000-0000-000011070000}"/>
    <cellStyle name="Normal 44 2 3 2" xfId="3675" xr:uid="{00000000-0005-0000-0000-000012070000}"/>
    <cellStyle name="Normal 44 2 4" xfId="3032" xr:uid="{00000000-0005-0000-0000-000013070000}"/>
    <cellStyle name="Normal 44 2 4 2" xfId="3756" xr:uid="{00000000-0005-0000-0000-000014070000}"/>
    <cellStyle name="Normal 44 2 5" xfId="3154" xr:uid="{00000000-0005-0000-0000-000015070000}"/>
    <cellStyle name="Normal 44 2 5 2" xfId="3838" xr:uid="{00000000-0005-0000-0000-000016070000}"/>
    <cellStyle name="Normal 44 2 6" xfId="3594" xr:uid="{00000000-0005-0000-0000-000017070000}"/>
    <cellStyle name="Normal 44 3" xfId="2885" xr:uid="{00000000-0005-0000-0000-000018070000}"/>
    <cellStyle name="Normal 44 3 2" xfId="2970" xr:uid="{00000000-0005-0000-0000-000019070000}"/>
    <cellStyle name="Normal 44 3 2 2" xfId="3694" xr:uid="{00000000-0005-0000-0000-00001A070000}"/>
    <cellStyle name="Normal 44 3 3" xfId="3051" xr:uid="{00000000-0005-0000-0000-00001B070000}"/>
    <cellStyle name="Normal 44 3 3 2" xfId="3775" xr:uid="{00000000-0005-0000-0000-00001C070000}"/>
    <cellStyle name="Normal 44 3 4" xfId="3173" xr:uid="{00000000-0005-0000-0000-00001D070000}"/>
    <cellStyle name="Normal 44 3 4 2" xfId="3857" xr:uid="{00000000-0005-0000-0000-00001E070000}"/>
    <cellStyle name="Normal 44 3 5" xfId="3613" xr:uid="{00000000-0005-0000-0000-00001F070000}"/>
    <cellStyle name="Normal 44 4" xfId="2930" xr:uid="{00000000-0005-0000-0000-000020070000}"/>
    <cellStyle name="Normal 44 4 2" xfId="3654" xr:uid="{00000000-0005-0000-0000-000021070000}"/>
    <cellStyle name="Normal 44 5" xfId="3011" xr:uid="{00000000-0005-0000-0000-000022070000}"/>
    <cellStyle name="Normal 44 5 2" xfId="3735" xr:uid="{00000000-0005-0000-0000-000023070000}"/>
    <cellStyle name="Normal 44 6" xfId="3133" xr:uid="{00000000-0005-0000-0000-000024070000}"/>
    <cellStyle name="Normal 44 6 2" xfId="3817" xr:uid="{00000000-0005-0000-0000-000025070000}"/>
    <cellStyle name="Normal 44 7" xfId="3574" xr:uid="{00000000-0005-0000-0000-000026070000}"/>
    <cellStyle name="Normal 45" xfId="2842" xr:uid="{00000000-0005-0000-0000-000027070000}"/>
    <cellStyle name="Normal 45 14" xfId="3554" xr:uid="{00000000-0005-0000-0000-000028070000}"/>
    <cellStyle name="Normal 45 2" xfId="2886" xr:uid="{00000000-0005-0000-0000-000029070000}"/>
    <cellStyle name="Normal 45 2 2" xfId="2971" xr:uid="{00000000-0005-0000-0000-00002A070000}"/>
    <cellStyle name="Normal 45 2 2 2" xfId="3695" xr:uid="{00000000-0005-0000-0000-00002B070000}"/>
    <cellStyle name="Normal 45 2 3" xfId="3052" xr:uid="{00000000-0005-0000-0000-00002C070000}"/>
    <cellStyle name="Normal 45 2 3 2" xfId="3776" xr:uid="{00000000-0005-0000-0000-00002D070000}"/>
    <cellStyle name="Normal 45 2 4" xfId="3174" xr:uid="{00000000-0005-0000-0000-00002E070000}"/>
    <cellStyle name="Normal 45 2 4 2" xfId="3858" xr:uid="{00000000-0005-0000-0000-00002F070000}"/>
    <cellStyle name="Normal 45 2 5" xfId="3614" xr:uid="{00000000-0005-0000-0000-000030070000}"/>
    <cellStyle name="Normal 45 3" xfId="2931" xr:uid="{00000000-0005-0000-0000-000031070000}"/>
    <cellStyle name="Normal 45 3 2" xfId="3655" xr:uid="{00000000-0005-0000-0000-000032070000}"/>
    <cellStyle name="Normal 45 4" xfId="3012" xr:uid="{00000000-0005-0000-0000-000033070000}"/>
    <cellStyle name="Normal 45 4 2" xfId="3736" xr:uid="{00000000-0005-0000-0000-000034070000}"/>
    <cellStyle name="Normal 45 5" xfId="3134" xr:uid="{00000000-0005-0000-0000-000035070000}"/>
    <cellStyle name="Normal 45 5 2" xfId="3818" xr:uid="{00000000-0005-0000-0000-000036070000}"/>
    <cellStyle name="Normal 45 6" xfId="3197" xr:uid="{00000000-0005-0000-0000-000037070000}"/>
    <cellStyle name="Normal 45 6 2" xfId="3881" xr:uid="{00000000-0005-0000-0000-000038070000}"/>
    <cellStyle name="Normal 45 7" xfId="3551" xr:uid="{00000000-0005-0000-0000-000039070000}"/>
    <cellStyle name="Normal 45 7 2" xfId="3884" xr:uid="{00000000-0005-0000-0000-00003A070000}"/>
    <cellStyle name="Normal 46" xfId="2825" xr:uid="{00000000-0005-0000-0000-00003B070000}"/>
    <cellStyle name="Normal 46 2" xfId="2851" xr:uid="{00000000-0005-0000-0000-00003C070000}"/>
    <cellStyle name="Normal 46 2 2" xfId="2894" xr:uid="{00000000-0005-0000-0000-00003D070000}"/>
    <cellStyle name="Normal 46 2 2 2" xfId="2979" xr:uid="{00000000-0005-0000-0000-00003E070000}"/>
    <cellStyle name="Normal 46 2 2 2 2" xfId="3703" xr:uid="{00000000-0005-0000-0000-00003F070000}"/>
    <cellStyle name="Normal 46 2 2 3" xfId="3060" xr:uid="{00000000-0005-0000-0000-000040070000}"/>
    <cellStyle name="Normal 46 2 2 3 2" xfId="3784" xr:uid="{00000000-0005-0000-0000-000041070000}"/>
    <cellStyle name="Normal 46 2 2 4" xfId="3182" xr:uid="{00000000-0005-0000-0000-000042070000}"/>
    <cellStyle name="Normal 46 2 2 4 2" xfId="3866" xr:uid="{00000000-0005-0000-0000-000043070000}"/>
    <cellStyle name="Normal 46 2 2 5" xfId="3622" xr:uid="{00000000-0005-0000-0000-000044070000}"/>
    <cellStyle name="Normal 46 2 3" xfId="2939" xr:uid="{00000000-0005-0000-0000-000045070000}"/>
    <cellStyle name="Normal 46 2 3 2" xfId="3663" xr:uid="{00000000-0005-0000-0000-000046070000}"/>
    <cellStyle name="Normal 46 2 4" xfId="3020" xr:uid="{00000000-0005-0000-0000-000047070000}"/>
    <cellStyle name="Normal 46 2 4 2" xfId="3744" xr:uid="{00000000-0005-0000-0000-000048070000}"/>
    <cellStyle name="Normal 46 2 5" xfId="3142" xr:uid="{00000000-0005-0000-0000-000049070000}"/>
    <cellStyle name="Normal 46 2 5 2" xfId="3826" xr:uid="{00000000-0005-0000-0000-00004A070000}"/>
    <cellStyle name="Normal 46 2 6" xfId="3582" xr:uid="{00000000-0005-0000-0000-00004B070000}"/>
    <cellStyle name="Normal 46 3" xfId="2873" xr:uid="{00000000-0005-0000-0000-00004C070000}"/>
    <cellStyle name="Normal 46 3 2" xfId="2958" xr:uid="{00000000-0005-0000-0000-00004D070000}"/>
    <cellStyle name="Normal 46 3 2 2" xfId="3682" xr:uid="{00000000-0005-0000-0000-00004E070000}"/>
    <cellStyle name="Normal 46 3 3" xfId="3039" xr:uid="{00000000-0005-0000-0000-00004F070000}"/>
    <cellStyle name="Normal 46 3 3 2" xfId="3763" xr:uid="{00000000-0005-0000-0000-000050070000}"/>
    <cellStyle name="Normal 46 3 4" xfId="3161" xr:uid="{00000000-0005-0000-0000-000051070000}"/>
    <cellStyle name="Normal 46 3 4 2" xfId="3845" xr:uid="{00000000-0005-0000-0000-000052070000}"/>
    <cellStyle name="Normal 46 3 5" xfId="3601" xr:uid="{00000000-0005-0000-0000-000053070000}"/>
    <cellStyle name="Normal 46 4" xfId="2918" xr:uid="{00000000-0005-0000-0000-000054070000}"/>
    <cellStyle name="Normal 46 4 2" xfId="3642" xr:uid="{00000000-0005-0000-0000-000055070000}"/>
    <cellStyle name="Normal 46 5" xfId="2999" xr:uid="{00000000-0005-0000-0000-000056070000}"/>
    <cellStyle name="Normal 46 5 2" xfId="3723" xr:uid="{00000000-0005-0000-0000-000057070000}"/>
    <cellStyle name="Normal 46 6" xfId="3121" xr:uid="{00000000-0005-0000-0000-000058070000}"/>
    <cellStyle name="Normal 46 6 2" xfId="3805" xr:uid="{00000000-0005-0000-0000-000059070000}"/>
    <cellStyle name="Normal 46 7" xfId="3562" xr:uid="{00000000-0005-0000-0000-00005A070000}"/>
    <cellStyle name="Normal 47" xfId="2826" xr:uid="{00000000-0005-0000-0000-00005B070000}"/>
    <cellStyle name="Normal 47 2" xfId="2852" xr:uid="{00000000-0005-0000-0000-00005C070000}"/>
    <cellStyle name="Normal 47 2 2" xfId="2895" xr:uid="{00000000-0005-0000-0000-00005D070000}"/>
    <cellStyle name="Normal 47 2 2 2" xfId="2980" xr:uid="{00000000-0005-0000-0000-00005E070000}"/>
    <cellStyle name="Normal 47 2 2 2 2" xfId="3704" xr:uid="{00000000-0005-0000-0000-00005F070000}"/>
    <cellStyle name="Normal 47 2 2 3" xfId="3061" xr:uid="{00000000-0005-0000-0000-000060070000}"/>
    <cellStyle name="Normal 47 2 2 3 2" xfId="3785" xr:uid="{00000000-0005-0000-0000-000061070000}"/>
    <cellStyle name="Normal 47 2 2 4" xfId="3183" xr:uid="{00000000-0005-0000-0000-000062070000}"/>
    <cellStyle name="Normal 47 2 2 4 2" xfId="3867" xr:uid="{00000000-0005-0000-0000-000063070000}"/>
    <cellStyle name="Normal 47 2 2 5" xfId="3623" xr:uid="{00000000-0005-0000-0000-000064070000}"/>
    <cellStyle name="Normal 47 2 3" xfId="2940" xr:uid="{00000000-0005-0000-0000-000065070000}"/>
    <cellStyle name="Normal 47 2 3 2" xfId="3664" xr:uid="{00000000-0005-0000-0000-000066070000}"/>
    <cellStyle name="Normal 47 2 4" xfId="3021" xr:uid="{00000000-0005-0000-0000-000067070000}"/>
    <cellStyle name="Normal 47 2 4 2" xfId="3745" xr:uid="{00000000-0005-0000-0000-000068070000}"/>
    <cellStyle name="Normal 47 2 5" xfId="3143" xr:uid="{00000000-0005-0000-0000-000069070000}"/>
    <cellStyle name="Normal 47 2 5 2" xfId="3827" xr:uid="{00000000-0005-0000-0000-00006A070000}"/>
    <cellStyle name="Normal 47 2 6" xfId="3583" xr:uid="{00000000-0005-0000-0000-00006B070000}"/>
    <cellStyle name="Normal 47 3" xfId="2874" xr:uid="{00000000-0005-0000-0000-00006C070000}"/>
    <cellStyle name="Normal 47 3 2" xfId="2959" xr:uid="{00000000-0005-0000-0000-00006D070000}"/>
    <cellStyle name="Normal 47 3 2 2" xfId="3683" xr:uid="{00000000-0005-0000-0000-00006E070000}"/>
    <cellStyle name="Normal 47 3 3" xfId="3040" xr:uid="{00000000-0005-0000-0000-00006F070000}"/>
    <cellStyle name="Normal 47 3 3 2" xfId="3764" xr:uid="{00000000-0005-0000-0000-000070070000}"/>
    <cellStyle name="Normal 47 3 4" xfId="3162" xr:uid="{00000000-0005-0000-0000-000071070000}"/>
    <cellStyle name="Normal 47 3 4 2" xfId="3846" xr:uid="{00000000-0005-0000-0000-000072070000}"/>
    <cellStyle name="Normal 47 3 5" xfId="3602" xr:uid="{00000000-0005-0000-0000-000073070000}"/>
    <cellStyle name="Normal 47 4" xfId="2919" xr:uid="{00000000-0005-0000-0000-000074070000}"/>
    <cellStyle name="Normal 47 4 2" xfId="3643" xr:uid="{00000000-0005-0000-0000-000075070000}"/>
    <cellStyle name="Normal 47 5" xfId="3000" xr:uid="{00000000-0005-0000-0000-000076070000}"/>
    <cellStyle name="Normal 47 5 2" xfId="3724" xr:uid="{00000000-0005-0000-0000-000077070000}"/>
    <cellStyle name="Normal 47 6" xfId="3122" xr:uid="{00000000-0005-0000-0000-000078070000}"/>
    <cellStyle name="Normal 47 6 2" xfId="3806" xr:uid="{00000000-0005-0000-0000-000079070000}"/>
    <cellStyle name="Normal 47 7" xfId="3563" xr:uid="{00000000-0005-0000-0000-00007A070000}"/>
    <cellStyle name="Normal 48" xfId="2827" xr:uid="{00000000-0005-0000-0000-00007B070000}"/>
    <cellStyle name="Normal 48 2" xfId="2853" xr:uid="{00000000-0005-0000-0000-00007C070000}"/>
    <cellStyle name="Normal 48 2 2" xfId="2896" xr:uid="{00000000-0005-0000-0000-00007D070000}"/>
    <cellStyle name="Normal 48 2 2 2" xfId="2981" xr:uid="{00000000-0005-0000-0000-00007E070000}"/>
    <cellStyle name="Normal 48 2 2 2 2" xfId="3705" xr:uid="{00000000-0005-0000-0000-00007F070000}"/>
    <cellStyle name="Normal 48 2 2 3" xfId="3062" xr:uid="{00000000-0005-0000-0000-000080070000}"/>
    <cellStyle name="Normal 48 2 2 3 2" xfId="3786" xr:uid="{00000000-0005-0000-0000-000081070000}"/>
    <cellStyle name="Normal 48 2 2 4" xfId="3184" xr:uid="{00000000-0005-0000-0000-000082070000}"/>
    <cellStyle name="Normal 48 2 2 4 2" xfId="3868" xr:uid="{00000000-0005-0000-0000-000083070000}"/>
    <cellStyle name="Normal 48 2 2 5" xfId="3624" xr:uid="{00000000-0005-0000-0000-000084070000}"/>
    <cellStyle name="Normal 48 2 3" xfId="2941" xr:uid="{00000000-0005-0000-0000-000085070000}"/>
    <cellStyle name="Normal 48 2 3 2" xfId="3665" xr:uid="{00000000-0005-0000-0000-000086070000}"/>
    <cellStyle name="Normal 48 2 4" xfId="3022" xr:uid="{00000000-0005-0000-0000-000087070000}"/>
    <cellStyle name="Normal 48 2 4 2" xfId="3746" xr:uid="{00000000-0005-0000-0000-000088070000}"/>
    <cellStyle name="Normal 48 2 5" xfId="3144" xr:uid="{00000000-0005-0000-0000-000089070000}"/>
    <cellStyle name="Normal 48 2 5 2" xfId="3828" xr:uid="{00000000-0005-0000-0000-00008A070000}"/>
    <cellStyle name="Normal 48 2 6" xfId="3584" xr:uid="{00000000-0005-0000-0000-00008B070000}"/>
    <cellStyle name="Normal 48 3" xfId="2875" xr:uid="{00000000-0005-0000-0000-00008C070000}"/>
    <cellStyle name="Normal 48 3 2" xfId="2960" xr:uid="{00000000-0005-0000-0000-00008D070000}"/>
    <cellStyle name="Normal 48 3 2 2" xfId="3684" xr:uid="{00000000-0005-0000-0000-00008E070000}"/>
    <cellStyle name="Normal 48 3 3" xfId="3041" xr:uid="{00000000-0005-0000-0000-00008F070000}"/>
    <cellStyle name="Normal 48 3 3 2" xfId="3765" xr:uid="{00000000-0005-0000-0000-000090070000}"/>
    <cellStyle name="Normal 48 3 4" xfId="3163" xr:uid="{00000000-0005-0000-0000-000091070000}"/>
    <cellStyle name="Normal 48 3 4 2" xfId="3847" xr:uid="{00000000-0005-0000-0000-000092070000}"/>
    <cellStyle name="Normal 48 3 5" xfId="3603" xr:uid="{00000000-0005-0000-0000-000093070000}"/>
    <cellStyle name="Normal 48 4" xfId="2920" xr:uid="{00000000-0005-0000-0000-000094070000}"/>
    <cellStyle name="Normal 48 4 2" xfId="3644" xr:uid="{00000000-0005-0000-0000-000095070000}"/>
    <cellStyle name="Normal 48 5" xfId="3001" xr:uid="{00000000-0005-0000-0000-000096070000}"/>
    <cellStyle name="Normal 48 5 2" xfId="3725" xr:uid="{00000000-0005-0000-0000-000097070000}"/>
    <cellStyle name="Normal 48 6" xfId="3123" xr:uid="{00000000-0005-0000-0000-000098070000}"/>
    <cellStyle name="Normal 48 6 2" xfId="3807" xr:uid="{00000000-0005-0000-0000-000099070000}"/>
    <cellStyle name="Normal 48 7" xfId="3564" xr:uid="{00000000-0005-0000-0000-00009A070000}"/>
    <cellStyle name="Normal 49" xfId="2828" xr:uid="{00000000-0005-0000-0000-00009B070000}"/>
    <cellStyle name="Normal 49 2" xfId="2854" xr:uid="{00000000-0005-0000-0000-00009C070000}"/>
    <cellStyle name="Normal 49 2 2" xfId="2897" xr:uid="{00000000-0005-0000-0000-00009D070000}"/>
    <cellStyle name="Normal 49 2 2 2" xfId="2982" xr:uid="{00000000-0005-0000-0000-00009E070000}"/>
    <cellStyle name="Normal 49 2 2 2 2" xfId="3706" xr:uid="{00000000-0005-0000-0000-00009F070000}"/>
    <cellStyle name="Normal 49 2 2 3" xfId="3063" xr:uid="{00000000-0005-0000-0000-0000A0070000}"/>
    <cellStyle name="Normal 49 2 2 3 2" xfId="3787" xr:uid="{00000000-0005-0000-0000-0000A1070000}"/>
    <cellStyle name="Normal 49 2 2 4" xfId="3185" xr:uid="{00000000-0005-0000-0000-0000A2070000}"/>
    <cellStyle name="Normal 49 2 2 4 2" xfId="3869" xr:uid="{00000000-0005-0000-0000-0000A3070000}"/>
    <cellStyle name="Normal 49 2 2 5" xfId="3625" xr:uid="{00000000-0005-0000-0000-0000A4070000}"/>
    <cellStyle name="Normal 49 2 3" xfId="2942" xr:uid="{00000000-0005-0000-0000-0000A5070000}"/>
    <cellStyle name="Normal 49 2 3 2" xfId="3666" xr:uid="{00000000-0005-0000-0000-0000A6070000}"/>
    <cellStyle name="Normal 49 2 4" xfId="3023" xr:uid="{00000000-0005-0000-0000-0000A7070000}"/>
    <cellStyle name="Normal 49 2 4 2" xfId="3747" xr:uid="{00000000-0005-0000-0000-0000A8070000}"/>
    <cellStyle name="Normal 49 2 5" xfId="3145" xr:uid="{00000000-0005-0000-0000-0000A9070000}"/>
    <cellStyle name="Normal 49 2 5 2" xfId="3829" xr:uid="{00000000-0005-0000-0000-0000AA070000}"/>
    <cellStyle name="Normal 49 2 6" xfId="3585" xr:uid="{00000000-0005-0000-0000-0000AB070000}"/>
    <cellStyle name="Normal 49 3" xfId="2876" xr:uid="{00000000-0005-0000-0000-0000AC070000}"/>
    <cellStyle name="Normal 49 3 2" xfId="2961" xr:uid="{00000000-0005-0000-0000-0000AD070000}"/>
    <cellStyle name="Normal 49 3 2 2" xfId="3685" xr:uid="{00000000-0005-0000-0000-0000AE070000}"/>
    <cellStyle name="Normal 49 3 3" xfId="3042" xr:uid="{00000000-0005-0000-0000-0000AF070000}"/>
    <cellStyle name="Normal 49 3 3 2" xfId="3766" xr:uid="{00000000-0005-0000-0000-0000B0070000}"/>
    <cellStyle name="Normal 49 3 4" xfId="3164" xr:uid="{00000000-0005-0000-0000-0000B1070000}"/>
    <cellStyle name="Normal 49 3 4 2" xfId="3848" xr:uid="{00000000-0005-0000-0000-0000B2070000}"/>
    <cellStyle name="Normal 49 3 5" xfId="3604" xr:uid="{00000000-0005-0000-0000-0000B3070000}"/>
    <cellStyle name="Normal 49 4" xfId="2921" xr:uid="{00000000-0005-0000-0000-0000B4070000}"/>
    <cellStyle name="Normal 49 4 2" xfId="3645" xr:uid="{00000000-0005-0000-0000-0000B5070000}"/>
    <cellStyle name="Normal 49 5" xfId="3002" xr:uid="{00000000-0005-0000-0000-0000B6070000}"/>
    <cellStyle name="Normal 49 5 2" xfId="3726" xr:uid="{00000000-0005-0000-0000-0000B7070000}"/>
    <cellStyle name="Normal 49 6" xfId="3124" xr:uid="{00000000-0005-0000-0000-0000B8070000}"/>
    <cellStyle name="Normal 49 6 2" xfId="3808" xr:uid="{00000000-0005-0000-0000-0000B9070000}"/>
    <cellStyle name="Normal 49 7" xfId="3565" xr:uid="{00000000-0005-0000-0000-0000BA070000}"/>
    <cellStyle name="Normal 5" xfId="6" xr:uid="{00000000-0005-0000-0000-0000BB070000}"/>
    <cellStyle name="Normal 5 10" xfId="75" xr:uid="{00000000-0005-0000-0000-0000BC070000}"/>
    <cellStyle name="Normal 5 10 10" xfId="2024" xr:uid="{00000000-0005-0000-0000-0000BD070000}"/>
    <cellStyle name="Normal 5 10 11" xfId="2211" xr:uid="{00000000-0005-0000-0000-0000BE070000}"/>
    <cellStyle name="Normal 5 10 12" xfId="2456" xr:uid="{00000000-0005-0000-0000-0000BF070000}"/>
    <cellStyle name="Normal 5 10 13" xfId="2715" xr:uid="{00000000-0005-0000-0000-0000C0070000}"/>
    <cellStyle name="Normal 5 10 2" xfId="301" xr:uid="{00000000-0005-0000-0000-0000C1070000}"/>
    <cellStyle name="Normal 5 10 3" xfId="515" xr:uid="{00000000-0005-0000-0000-0000C2070000}"/>
    <cellStyle name="Normal 5 10 4" xfId="729" xr:uid="{00000000-0005-0000-0000-0000C3070000}"/>
    <cellStyle name="Normal 5 10 5" xfId="945" xr:uid="{00000000-0005-0000-0000-0000C4070000}"/>
    <cellStyle name="Normal 5 10 6" xfId="1161" xr:uid="{00000000-0005-0000-0000-0000C5070000}"/>
    <cellStyle name="Normal 5 10 7" xfId="1377" xr:uid="{00000000-0005-0000-0000-0000C6070000}"/>
    <cellStyle name="Normal 5 10 8" xfId="1593" xr:uid="{00000000-0005-0000-0000-0000C7070000}"/>
    <cellStyle name="Normal 5 10 9" xfId="1809" xr:uid="{00000000-0005-0000-0000-0000C8070000}"/>
    <cellStyle name="Normal 5 11" xfId="165" xr:uid="{00000000-0005-0000-0000-0000C9070000}"/>
    <cellStyle name="Normal 5 11 10" xfId="2114" xr:uid="{00000000-0005-0000-0000-0000CA070000}"/>
    <cellStyle name="Normal 5 11 11" xfId="2362" xr:uid="{00000000-0005-0000-0000-0000CB070000}"/>
    <cellStyle name="Normal 5 11 12" xfId="2546" xr:uid="{00000000-0005-0000-0000-0000CC070000}"/>
    <cellStyle name="Normal 5 11 13" xfId="2712" xr:uid="{00000000-0005-0000-0000-0000CD070000}"/>
    <cellStyle name="Normal 5 11 2" xfId="391" xr:uid="{00000000-0005-0000-0000-0000CE070000}"/>
    <cellStyle name="Normal 5 11 3" xfId="605" xr:uid="{00000000-0005-0000-0000-0000CF070000}"/>
    <cellStyle name="Normal 5 11 4" xfId="819" xr:uid="{00000000-0005-0000-0000-0000D0070000}"/>
    <cellStyle name="Normal 5 11 5" xfId="1035" xr:uid="{00000000-0005-0000-0000-0000D1070000}"/>
    <cellStyle name="Normal 5 11 6" xfId="1251" xr:uid="{00000000-0005-0000-0000-0000D2070000}"/>
    <cellStyle name="Normal 5 11 7" xfId="1467" xr:uid="{00000000-0005-0000-0000-0000D3070000}"/>
    <cellStyle name="Normal 5 11 8" xfId="1683" xr:uid="{00000000-0005-0000-0000-0000D4070000}"/>
    <cellStyle name="Normal 5 11 9" xfId="1899" xr:uid="{00000000-0005-0000-0000-0000D5070000}"/>
    <cellStyle name="Normal 5 12" xfId="166" xr:uid="{00000000-0005-0000-0000-0000D6070000}"/>
    <cellStyle name="Normal 5 12 10" xfId="2115" xr:uid="{00000000-0005-0000-0000-0000D7070000}"/>
    <cellStyle name="Normal 5 12 11" xfId="2335" xr:uid="{00000000-0005-0000-0000-0000D8070000}"/>
    <cellStyle name="Normal 5 12 12" xfId="2547" xr:uid="{00000000-0005-0000-0000-0000D9070000}"/>
    <cellStyle name="Normal 5 12 13" xfId="2690" xr:uid="{00000000-0005-0000-0000-0000DA070000}"/>
    <cellStyle name="Normal 5 12 2" xfId="392" xr:uid="{00000000-0005-0000-0000-0000DB070000}"/>
    <cellStyle name="Normal 5 12 3" xfId="606" xr:uid="{00000000-0005-0000-0000-0000DC070000}"/>
    <cellStyle name="Normal 5 12 4" xfId="820" xr:uid="{00000000-0005-0000-0000-0000DD070000}"/>
    <cellStyle name="Normal 5 12 5" xfId="1036" xr:uid="{00000000-0005-0000-0000-0000DE070000}"/>
    <cellStyle name="Normal 5 12 6" xfId="1252" xr:uid="{00000000-0005-0000-0000-0000DF070000}"/>
    <cellStyle name="Normal 5 12 7" xfId="1468" xr:uid="{00000000-0005-0000-0000-0000E0070000}"/>
    <cellStyle name="Normal 5 12 8" xfId="1684" xr:uid="{00000000-0005-0000-0000-0000E1070000}"/>
    <cellStyle name="Normal 5 12 9" xfId="1900" xr:uid="{00000000-0005-0000-0000-0000E2070000}"/>
    <cellStyle name="Normal 5 13" xfId="195" xr:uid="{00000000-0005-0000-0000-0000E3070000}"/>
    <cellStyle name="Normal 5 13 10" xfId="2144" xr:uid="{00000000-0005-0000-0000-0000E4070000}"/>
    <cellStyle name="Normal 5 13 11" xfId="2196" xr:uid="{00000000-0005-0000-0000-0000E5070000}"/>
    <cellStyle name="Normal 5 13 12" xfId="2576" xr:uid="{00000000-0005-0000-0000-0000E6070000}"/>
    <cellStyle name="Normal 5 13 13" xfId="2709" xr:uid="{00000000-0005-0000-0000-0000E7070000}"/>
    <cellStyle name="Normal 5 13 2" xfId="421" xr:uid="{00000000-0005-0000-0000-0000E8070000}"/>
    <cellStyle name="Normal 5 13 3" xfId="635" xr:uid="{00000000-0005-0000-0000-0000E9070000}"/>
    <cellStyle name="Normal 5 13 4" xfId="849" xr:uid="{00000000-0005-0000-0000-0000EA070000}"/>
    <cellStyle name="Normal 5 13 5" xfId="1065" xr:uid="{00000000-0005-0000-0000-0000EB070000}"/>
    <cellStyle name="Normal 5 13 6" xfId="1281" xr:uid="{00000000-0005-0000-0000-0000EC070000}"/>
    <cellStyle name="Normal 5 13 7" xfId="1497" xr:uid="{00000000-0005-0000-0000-0000ED070000}"/>
    <cellStyle name="Normal 5 13 8" xfId="1713" xr:uid="{00000000-0005-0000-0000-0000EE070000}"/>
    <cellStyle name="Normal 5 13 9" xfId="1929" xr:uid="{00000000-0005-0000-0000-0000EF070000}"/>
    <cellStyle name="Normal 5 14" xfId="194" xr:uid="{00000000-0005-0000-0000-0000F0070000}"/>
    <cellStyle name="Normal 5 14 10" xfId="2143" xr:uid="{00000000-0005-0000-0000-0000F1070000}"/>
    <cellStyle name="Normal 5 14 11" xfId="2223" xr:uid="{00000000-0005-0000-0000-0000F2070000}"/>
    <cellStyle name="Normal 5 14 12" xfId="2575" xr:uid="{00000000-0005-0000-0000-0000F3070000}"/>
    <cellStyle name="Normal 5 14 13" xfId="2731" xr:uid="{00000000-0005-0000-0000-0000F4070000}"/>
    <cellStyle name="Normal 5 14 2" xfId="420" xr:uid="{00000000-0005-0000-0000-0000F5070000}"/>
    <cellStyle name="Normal 5 14 3" xfId="634" xr:uid="{00000000-0005-0000-0000-0000F6070000}"/>
    <cellStyle name="Normal 5 14 4" xfId="848" xr:uid="{00000000-0005-0000-0000-0000F7070000}"/>
    <cellStyle name="Normal 5 14 5" xfId="1064" xr:uid="{00000000-0005-0000-0000-0000F8070000}"/>
    <cellStyle name="Normal 5 14 6" xfId="1280" xr:uid="{00000000-0005-0000-0000-0000F9070000}"/>
    <cellStyle name="Normal 5 14 7" xfId="1496" xr:uid="{00000000-0005-0000-0000-0000FA070000}"/>
    <cellStyle name="Normal 5 14 8" xfId="1712" xr:uid="{00000000-0005-0000-0000-0000FB070000}"/>
    <cellStyle name="Normal 5 14 9" xfId="1928" xr:uid="{00000000-0005-0000-0000-0000FC070000}"/>
    <cellStyle name="Normal 5 15" xfId="189" xr:uid="{00000000-0005-0000-0000-0000FD070000}"/>
    <cellStyle name="Normal 5 15 10" xfId="2138" xr:uid="{00000000-0005-0000-0000-0000FE070000}"/>
    <cellStyle name="Normal 5 15 11" xfId="2359" xr:uid="{00000000-0005-0000-0000-0000FF070000}"/>
    <cellStyle name="Normal 5 15 12" xfId="2570" xr:uid="{00000000-0005-0000-0000-000000080000}"/>
    <cellStyle name="Normal 5 15 13" xfId="2623" xr:uid="{00000000-0005-0000-0000-000001080000}"/>
    <cellStyle name="Normal 5 15 2" xfId="415" xr:uid="{00000000-0005-0000-0000-000002080000}"/>
    <cellStyle name="Normal 5 15 3" xfId="629" xr:uid="{00000000-0005-0000-0000-000003080000}"/>
    <cellStyle name="Normal 5 15 4" xfId="843" xr:uid="{00000000-0005-0000-0000-000004080000}"/>
    <cellStyle name="Normal 5 15 5" xfId="1059" xr:uid="{00000000-0005-0000-0000-000005080000}"/>
    <cellStyle name="Normal 5 15 6" xfId="1275" xr:uid="{00000000-0005-0000-0000-000006080000}"/>
    <cellStyle name="Normal 5 15 7" xfId="1491" xr:uid="{00000000-0005-0000-0000-000007080000}"/>
    <cellStyle name="Normal 5 15 8" xfId="1707" xr:uid="{00000000-0005-0000-0000-000008080000}"/>
    <cellStyle name="Normal 5 15 9" xfId="1923" xr:uid="{00000000-0005-0000-0000-000009080000}"/>
    <cellStyle name="Normal 5 16" xfId="232" xr:uid="{00000000-0005-0000-0000-00000A080000}"/>
    <cellStyle name="Normal 5 17" xfId="445" xr:uid="{00000000-0005-0000-0000-00000B080000}"/>
    <cellStyle name="Normal 5 18" xfId="659" xr:uid="{00000000-0005-0000-0000-00000C080000}"/>
    <cellStyle name="Normal 5 19" xfId="876" xr:uid="{00000000-0005-0000-0000-00000D080000}"/>
    <cellStyle name="Normal 5 2" xfId="74" xr:uid="{00000000-0005-0000-0000-00000E080000}"/>
    <cellStyle name="Normal 5 2 10" xfId="2023" xr:uid="{00000000-0005-0000-0000-00000F080000}"/>
    <cellStyle name="Normal 5 2 11" xfId="2238" xr:uid="{00000000-0005-0000-0000-000010080000}"/>
    <cellStyle name="Normal 5 2 12" xfId="2455" xr:uid="{00000000-0005-0000-0000-000011080000}"/>
    <cellStyle name="Normal 5 2 13" xfId="2737" xr:uid="{00000000-0005-0000-0000-000012080000}"/>
    <cellStyle name="Normal 5 2 2" xfId="300" xr:uid="{00000000-0005-0000-0000-000013080000}"/>
    <cellStyle name="Normal 5 2 3" xfId="514" xr:uid="{00000000-0005-0000-0000-000014080000}"/>
    <cellStyle name="Normal 5 2 4" xfId="728" xr:uid="{00000000-0005-0000-0000-000015080000}"/>
    <cellStyle name="Normal 5 2 5" xfId="944" xr:uid="{00000000-0005-0000-0000-000016080000}"/>
    <cellStyle name="Normal 5 2 6" xfId="1160" xr:uid="{00000000-0005-0000-0000-000017080000}"/>
    <cellStyle name="Normal 5 2 7" xfId="1376" xr:uid="{00000000-0005-0000-0000-000018080000}"/>
    <cellStyle name="Normal 5 2 8" xfId="1592" xr:uid="{00000000-0005-0000-0000-000019080000}"/>
    <cellStyle name="Normal 5 2 9" xfId="1808" xr:uid="{00000000-0005-0000-0000-00001A080000}"/>
    <cellStyle name="Normal 5 20" xfId="1092" xr:uid="{00000000-0005-0000-0000-00001B080000}"/>
    <cellStyle name="Normal 5 21" xfId="1308" xr:uid="{00000000-0005-0000-0000-00001C080000}"/>
    <cellStyle name="Normal 5 22" xfId="1524" xr:uid="{00000000-0005-0000-0000-00001D080000}"/>
    <cellStyle name="Normal 5 23" xfId="1740" xr:uid="{00000000-0005-0000-0000-00001E080000}"/>
    <cellStyle name="Normal 5 24" xfId="1957" xr:uid="{00000000-0005-0000-0000-00001F080000}"/>
    <cellStyle name="Normal 5 25" xfId="2353" xr:uid="{00000000-0005-0000-0000-000020080000}"/>
    <cellStyle name="Normal 5 26" xfId="2388" xr:uid="{00000000-0005-0000-0000-000021080000}"/>
    <cellStyle name="Normal 5 27" xfId="2679" xr:uid="{00000000-0005-0000-0000-000022080000}"/>
    <cellStyle name="Normal 5 3" xfId="76" xr:uid="{00000000-0005-0000-0000-000023080000}"/>
    <cellStyle name="Normal 5 3 10" xfId="2025" xr:uid="{00000000-0005-0000-0000-000024080000}"/>
    <cellStyle name="Normal 5 3 11" xfId="2184" xr:uid="{00000000-0005-0000-0000-000025080000}"/>
    <cellStyle name="Normal 5 3 12" xfId="2457" xr:uid="{00000000-0005-0000-0000-000026080000}"/>
    <cellStyle name="Normal 5 3 13" xfId="2693" xr:uid="{00000000-0005-0000-0000-000027080000}"/>
    <cellStyle name="Normal 5 3 2" xfId="302" xr:uid="{00000000-0005-0000-0000-000028080000}"/>
    <cellStyle name="Normal 5 3 3" xfId="516" xr:uid="{00000000-0005-0000-0000-000029080000}"/>
    <cellStyle name="Normal 5 3 4" xfId="730" xr:uid="{00000000-0005-0000-0000-00002A080000}"/>
    <cellStyle name="Normal 5 3 5" xfId="946" xr:uid="{00000000-0005-0000-0000-00002B080000}"/>
    <cellStyle name="Normal 5 3 6" xfId="1162" xr:uid="{00000000-0005-0000-0000-00002C080000}"/>
    <cellStyle name="Normal 5 3 7" xfId="1378" xr:uid="{00000000-0005-0000-0000-00002D080000}"/>
    <cellStyle name="Normal 5 3 8" xfId="1594" xr:uid="{00000000-0005-0000-0000-00002E080000}"/>
    <cellStyle name="Normal 5 3 9" xfId="1810" xr:uid="{00000000-0005-0000-0000-00002F080000}"/>
    <cellStyle name="Normal 5 4" xfId="77" xr:uid="{00000000-0005-0000-0000-000030080000}"/>
    <cellStyle name="Normal 5 4 10" xfId="2026" xr:uid="{00000000-0005-0000-0000-000031080000}"/>
    <cellStyle name="Normal 5 4 11" xfId="2373" xr:uid="{00000000-0005-0000-0000-000032080000}"/>
    <cellStyle name="Normal 5 4 12" xfId="2458" xr:uid="{00000000-0005-0000-0000-000033080000}"/>
    <cellStyle name="Normal 5 4 13" xfId="2671" xr:uid="{00000000-0005-0000-0000-000034080000}"/>
    <cellStyle name="Normal 5 4 2" xfId="303" xr:uid="{00000000-0005-0000-0000-000035080000}"/>
    <cellStyle name="Normal 5 4 3" xfId="517" xr:uid="{00000000-0005-0000-0000-000036080000}"/>
    <cellStyle name="Normal 5 4 4" xfId="731" xr:uid="{00000000-0005-0000-0000-000037080000}"/>
    <cellStyle name="Normal 5 4 5" xfId="947" xr:uid="{00000000-0005-0000-0000-000038080000}"/>
    <cellStyle name="Normal 5 4 6" xfId="1163" xr:uid="{00000000-0005-0000-0000-000039080000}"/>
    <cellStyle name="Normal 5 4 7" xfId="1379" xr:uid="{00000000-0005-0000-0000-00003A080000}"/>
    <cellStyle name="Normal 5 4 8" xfId="1595" xr:uid="{00000000-0005-0000-0000-00003B080000}"/>
    <cellStyle name="Normal 5 4 9" xfId="1811" xr:uid="{00000000-0005-0000-0000-00003C080000}"/>
    <cellStyle name="Normal 5 5" xfId="78" xr:uid="{00000000-0005-0000-0000-00003D080000}"/>
    <cellStyle name="Normal 5 5 10" xfId="2027" xr:uid="{00000000-0005-0000-0000-00003E080000}"/>
    <cellStyle name="Normal 5 5 11" xfId="2346" xr:uid="{00000000-0005-0000-0000-00003F080000}"/>
    <cellStyle name="Normal 5 5 12" xfId="2459" xr:uid="{00000000-0005-0000-0000-000040080000}"/>
    <cellStyle name="Normal 5 5 13" xfId="2649" xr:uid="{00000000-0005-0000-0000-000041080000}"/>
    <cellStyle name="Normal 5 5 2" xfId="304" xr:uid="{00000000-0005-0000-0000-000042080000}"/>
    <cellStyle name="Normal 5 5 3" xfId="518" xr:uid="{00000000-0005-0000-0000-000043080000}"/>
    <cellStyle name="Normal 5 5 4" xfId="732" xr:uid="{00000000-0005-0000-0000-000044080000}"/>
    <cellStyle name="Normal 5 5 5" xfId="948" xr:uid="{00000000-0005-0000-0000-000045080000}"/>
    <cellStyle name="Normal 5 5 6" xfId="1164" xr:uid="{00000000-0005-0000-0000-000046080000}"/>
    <cellStyle name="Normal 5 5 7" xfId="1380" xr:uid="{00000000-0005-0000-0000-000047080000}"/>
    <cellStyle name="Normal 5 5 8" xfId="1596" xr:uid="{00000000-0005-0000-0000-000048080000}"/>
    <cellStyle name="Normal 5 5 9" xfId="1812" xr:uid="{00000000-0005-0000-0000-000049080000}"/>
    <cellStyle name="Normal 5 6" xfId="79" xr:uid="{00000000-0005-0000-0000-00004A080000}"/>
    <cellStyle name="Normal 5 6 10" xfId="2028" xr:uid="{00000000-0005-0000-0000-00004B080000}"/>
    <cellStyle name="Normal 5 6 11" xfId="2319" xr:uid="{00000000-0005-0000-0000-00004C080000}"/>
    <cellStyle name="Normal 5 6 12" xfId="2460" xr:uid="{00000000-0005-0000-0000-00004D080000}"/>
    <cellStyle name="Normal 5 6 13" xfId="2628" xr:uid="{00000000-0005-0000-0000-00004E080000}"/>
    <cellStyle name="Normal 5 6 2" xfId="305" xr:uid="{00000000-0005-0000-0000-00004F080000}"/>
    <cellStyle name="Normal 5 6 3" xfId="519" xr:uid="{00000000-0005-0000-0000-000050080000}"/>
    <cellStyle name="Normal 5 6 4" xfId="733" xr:uid="{00000000-0005-0000-0000-000051080000}"/>
    <cellStyle name="Normal 5 6 5" xfId="949" xr:uid="{00000000-0005-0000-0000-000052080000}"/>
    <cellStyle name="Normal 5 6 6" xfId="1165" xr:uid="{00000000-0005-0000-0000-000053080000}"/>
    <cellStyle name="Normal 5 6 7" xfId="1381" xr:uid="{00000000-0005-0000-0000-000054080000}"/>
    <cellStyle name="Normal 5 6 8" xfId="1597" xr:uid="{00000000-0005-0000-0000-000055080000}"/>
    <cellStyle name="Normal 5 6 9" xfId="1813" xr:uid="{00000000-0005-0000-0000-000056080000}"/>
    <cellStyle name="Normal 5 7" xfId="80" xr:uid="{00000000-0005-0000-0000-000057080000}"/>
    <cellStyle name="Normal 5 7 10" xfId="2029" xr:uid="{00000000-0005-0000-0000-000058080000}"/>
    <cellStyle name="Normal 5 7 11" xfId="2291" xr:uid="{00000000-0005-0000-0000-000059080000}"/>
    <cellStyle name="Normal 5 7 12" xfId="2461" xr:uid="{00000000-0005-0000-0000-00005A080000}"/>
    <cellStyle name="Normal 5 7 13" xfId="2607" xr:uid="{00000000-0005-0000-0000-00005B080000}"/>
    <cellStyle name="Normal 5 7 2" xfId="306" xr:uid="{00000000-0005-0000-0000-00005C080000}"/>
    <cellStyle name="Normal 5 7 3" xfId="520" xr:uid="{00000000-0005-0000-0000-00005D080000}"/>
    <cellStyle name="Normal 5 7 4" xfId="734" xr:uid="{00000000-0005-0000-0000-00005E080000}"/>
    <cellStyle name="Normal 5 7 5" xfId="950" xr:uid="{00000000-0005-0000-0000-00005F080000}"/>
    <cellStyle name="Normal 5 7 6" xfId="1166" xr:uid="{00000000-0005-0000-0000-000060080000}"/>
    <cellStyle name="Normal 5 7 7" xfId="1382" xr:uid="{00000000-0005-0000-0000-000061080000}"/>
    <cellStyle name="Normal 5 7 8" xfId="1598" xr:uid="{00000000-0005-0000-0000-000062080000}"/>
    <cellStyle name="Normal 5 7 9" xfId="1814" xr:uid="{00000000-0005-0000-0000-000063080000}"/>
    <cellStyle name="Normal 5 8" xfId="81" xr:uid="{00000000-0005-0000-0000-000064080000}"/>
    <cellStyle name="Normal 5 8 10" xfId="2030" xr:uid="{00000000-0005-0000-0000-000065080000}"/>
    <cellStyle name="Normal 5 8 11" xfId="2264" xr:uid="{00000000-0005-0000-0000-000066080000}"/>
    <cellStyle name="Normal 5 8 12" xfId="2462" xr:uid="{00000000-0005-0000-0000-000067080000}"/>
    <cellStyle name="Normal 5 8 13" xfId="2815" xr:uid="{00000000-0005-0000-0000-000068080000}"/>
    <cellStyle name="Normal 5 8 2" xfId="307" xr:uid="{00000000-0005-0000-0000-000069080000}"/>
    <cellStyle name="Normal 5 8 3" xfId="521" xr:uid="{00000000-0005-0000-0000-00006A080000}"/>
    <cellStyle name="Normal 5 8 4" xfId="735" xr:uid="{00000000-0005-0000-0000-00006B080000}"/>
    <cellStyle name="Normal 5 8 5" xfId="951" xr:uid="{00000000-0005-0000-0000-00006C080000}"/>
    <cellStyle name="Normal 5 8 6" xfId="1167" xr:uid="{00000000-0005-0000-0000-00006D080000}"/>
    <cellStyle name="Normal 5 8 7" xfId="1383" xr:uid="{00000000-0005-0000-0000-00006E080000}"/>
    <cellStyle name="Normal 5 8 8" xfId="1599" xr:uid="{00000000-0005-0000-0000-00006F080000}"/>
    <cellStyle name="Normal 5 8 9" xfId="1815" xr:uid="{00000000-0005-0000-0000-000070080000}"/>
    <cellStyle name="Normal 5 9" xfId="82" xr:uid="{00000000-0005-0000-0000-000071080000}"/>
    <cellStyle name="Normal 5 9 10" xfId="2031" xr:uid="{00000000-0005-0000-0000-000072080000}"/>
    <cellStyle name="Normal 5 9 11" xfId="2237" xr:uid="{00000000-0005-0000-0000-000073080000}"/>
    <cellStyle name="Normal 5 9 12" xfId="2463" xr:uid="{00000000-0005-0000-0000-000074080000}"/>
    <cellStyle name="Normal 5 9 13" xfId="2780" xr:uid="{00000000-0005-0000-0000-000075080000}"/>
    <cellStyle name="Normal 5 9 2" xfId="308" xr:uid="{00000000-0005-0000-0000-000076080000}"/>
    <cellStyle name="Normal 5 9 3" xfId="522" xr:uid="{00000000-0005-0000-0000-000077080000}"/>
    <cellStyle name="Normal 5 9 4" xfId="736" xr:uid="{00000000-0005-0000-0000-000078080000}"/>
    <cellStyle name="Normal 5 9 5" xfId="952" xr:uid="{00000000-0005-0000-0000-000079080000}"/>
    <cellStyle name="Normal 5 9 6" xfId="1168" xr:uid="{00000000-0005-0000-0000-00007A080000}"/>
    <cellStyle name="Normal 5 9 7" xfId="1384" xr:uid="{00000000-0005-0000-0000-00007B080000}"/>
    <cellStyle name="Normal 5 9 8" xfId="1600" xr:uid="{00000000-0005-0000-0000-00007C080000}"/>
    <cellStyle name="Normal 5 9 9" xfId="1816" xr:uid="{00000000-0005-0000-0000-00007D080000}"/>
    <cellStyle name="Normal 50" xfId="2830" xr:uid="{00000000-0005-0000-0000-00007E080000}"/>
    <cellStyle name="Normal 51" xfId="2832" xr:uid="{00000000-0005-0000-0000-00007F080000}"/>
    <cellStyle name="Normal 51 2" xfId="2857" xr:uid="{00000000-0005-0000-0000-000080080000}"/>
    <cellStyle name="Normal 51 2 2" xfId="2900" xr:uid="{00000000-0005-0000-0000-000081080000}"/>
    <cellStyle name="Normal 51 2 2 2" xfId="2985" xr:uid="{00000000-0005-0000-0000-000082080000}"/>
    <cellStyle name="Normal 51 2 2 2 2" xfId="3709" xr:uid="{00000000-0005-0000-0000-000083080000}"/>
    <cellStyle name="Normal 51 2 2 3" xfId="3066" xr:uid="{00000000-0005-0000-0000-000084080000}"/>
    <cellStyle name="Normal 51 2 2 3 2" xfId="3790" xr:uid="{00000000-0005-0000-0000-000085080000}"/>
    <cellStyle name="Normal 51 2 2 4" xfId="3188" xr:uid="{00000000-0005-0000-0000-000086080000}"/>
    <cellStyle name="Normal 51 2 2 4 2" xfId="3872" xr:uid="{00000000-0005-0000-0000-000087080000}"/>
    <cellStyle name="Normal 51 2 2 5" xfId="3628" xr:uid="{00000000-0005-0000-0000-000088080000}"/>
    <cellStyle name="Normal 51 2 3" xfId="2945" xr:uid="{00000000-0005-0000-0000-000089080000}"/>
    <cellStyle name="Normal 51 2 3 2" xfId="3669" xr:uid="{00000000-0005-0000-0000-00008A080000}"/>
    <cellStyle name="Normal 51 2 4" xfId="3026" xr:uid="{00000000-0005-0000-0000-00008B080000}"/>
    <cellStyle name="Normal 51 2 4 2" xfId="3750" xr:uid="{00000000-0005-0000-0000-00008C080000}"/>
    <cellStyle name="Normal 51 2 5" xfId="3148" xr:uid="{00000000-0005-0000-0000-00008D080000}"/>
    <cellStyle name="Normal 51 2 5 2" xfId="3832" xr:uid="{00000000-0005-0000-0000-00008E080000}"/>
    <cellStyle name="Normal 51 2 6" xfId="3588" xr:uid="{00000000-0005-0000-0000-00008F080000}"/>
    <cellStyle name="Normal 51 3" xfId="2879" xr:uid="{00000000-0005-0000-0000-000090080000}"/>
    <cellStyle name="Normal 51 3 2" xfId="2964" xr:uid="{00000000-0005-0000-0000-000091080000}"/>
    <cellStyle name="Normal 51 3 2 2" xfId="3688" xr:uid="{00000000-0005-0000-0000-000092080000}"/>
    <cellStyle name="Normal 51 3 3" xfId="3045" xr:uid="{00000000-0005-0000-0000-000093080000}"/>
    <cellStyle name="Normal 51 3 3 2" xfId="3769" xr:uid="{00000000-0005-0000-0000-000094080000}"/>
    <cellStyle name="Normal 51 3 4" xfId="3167" xr:uid="{00000000-0005-0000-0000-000095080000}"/>
    <cellStyle name="Normal 51 3 4 2" xfId="3851" xr:uid="{00000000-0005-0000-0000-000096080000}"/>
    <cellStyle name="Normal 51 3 5" xfId="3607" xr:uid="{00000000-0005-0000-0000-000097080000}"/>
    <cellStyle name="Normal 51 4" xfId="2924" xr:uid="{00000000-0005-0000-0000-000098080000}"/>
    <cellStyle name="Normal 51 4 2" xfId="3648" xr:uid="{00000000-0005-0000-0000-000099080000}"/>
    <cellStyle name="Normal 51 5" xfId="3005" xr:uid="{00000000-0005-0000-0000-00009A080000}"/>
    <cellStyle name="Normal 51 5 2" xfId="3729" xr:uid="{00000000-0005-0000-0000-00009B080000}"/>
    <cellStyle name="Normal 51 6" xfId="3127" xr:uid="{00000000-0005-0000-0000-00009C080000}"/>
    <cellStyle name="Normal 51 6 2" xfId="3811" xr:uid="{00000000-0005-0000-0000-00009D080000}"/>
    <cellStyle name="Normal 51 7" xfId="3568" xr:uid="{00000000-0005-0000-0000-00009E080000}"/>
    <cellStyle name="Normal 52" xfId="2833" xr:uid="{00000000-0005-0000-0000-00009F080000}"/>
    <cellStyle name="Normal 52 2" xfId="2858" xr:uid="{00000000-0005-0000-0000-0000A0080000}"/>
    <cellStyle name="Normal 52 2 2" xfId="2901" xr:uid="{00000000-0005-0000-0000-0000A1080000}"/>
    <cellStyle name="Normal 52 2 2 2" xfId="2986" xr:uid="{00000000-0005-0000-0000-0000A2080000}"/>
    <cellStyle name="Normal 52 2 2 2 2" xfId="3710" xr:uid="{00000000-0005-0000-0000-0000A3080000}"/>
    <cellStyle name="Normal 52 2 2 3" xfId="3067" xr:uid="{00000000-0005-0000-0000-0000A4080000}"/>
    <cellStyle name="Normal 52 2 2 3 2" xfId="3791" xr:uid="{00000000-0005-0000-0000-0000A5080000}"/>
    <cellStyle name="Normal 52 2 2 4" xfId="3189" xr:uid="{00000000-0005-0000-0000-0000A6080000}"/>
    <cellStyle name="Normal 52 2 2 4 2" xfId="3873" xr:uid="{00000000-0005-0000-0000-0000A7080000}"/>
    <cellStyle name="Normal 52 2 2 5" xfId="3629" xr:uid="{00000000-0005-0000-0000-0000A8080000}"/>
    <cellStyle name="Normal 52 2 3" xfId="2946" xr:uid="{00000000-0005-0000-0000-0000A9080000}"/>
    <cellStyle name="Normal 52 2 3 2" xfId="3670" xr:uid="{00000000-0005-0000-0000-0000AA080000}"/>
    <cellStyle name="Normal 52 2 4" xfId="3027" xr:uid="{00000000-0005-0000-0000-0000AB080000}"/>
    <cellStyle name="Normal 52 2 4 2" xfId="3751" xr:uid="{00000000-0005-0000-0000-0000AC080000}"/>
    <cellStyle name="Normal 52 2 5" xfId="3149" xr:uid="{00000000-0005-0000-0000-0000AD080000}"/>
    <cellStyle name="Normal 52 2 5 2" xfId="3833" xr:uid="{00000000-0005-0000-0000-0000AE080000}"/>
    <cellStyle name="Normal 52 2 6" xfId="3589" xr:uid="{00000000-0005-0000-0000-0000AF080000}"/>
    <cellStyle name="Normal 52 3" xfId="2880" xr:uid="{00000000-0005-0000-0000-0000B0080000}"/>
    <cellStyle name="Normal 52 3 2" xfId="2965" xr:uid="{00000000-0005-0000-0000-0000B1080000}"/>
    <cellStyle name="Normal 52 3 2 2" xfId="3689" xr:uid="{00000000-0005-0000-0000-0000B2080000}"/>
    <cellStyle name="Normal 52 3 3" xfId="3046" xr:uid="{00000000-0005-0000-0000-0000B3080000}"/>
    <cellStyle name="Normal 52 3 3 2" xfId="3770" xr:uid="{00000000-0005-0000-0000-0000B4080000}"/>
    <cellStyle name="Normal 52 3 4" xfId="3168" xr:uid="{00000000-0005-0000-0000-0000B5080000}"/>
    <cellStyle name="Normal 52 3 4 2" xfId="3852" xr:uid="{00000000-0005-0000-0000-0000B6080000}"/>
    <cellStyle name="Normal 52 3 5" xfId="3608" xr:uid="{00000000-0005-0000-0000-0000B7080000}"/>
    <cellStyle name="Normal 52 4" xfId="2925" xr:uid="{00000000-0005-0000-0000-0000B8080000}"/>
    <cellStyle name="Normal 52 4 2" xfId="3649" xr:uid="{00000000-0005-0000-0000-0000B9080000}"/>
    <cellStyle name="Normal 52 5" xfId="3006" xr:uid="{00000000-0005-0000-0000-0000BA080000}"/>
    <cellStyle name="Normal 52 5 2" xfId="3730" xr:uid="{00000000-0005-0000-0000-0000BB080000}"/>
    <cellStyle name="Normal 52 6" xfId="3128" xr:uid="{00000000-0005-0000-0000-0000BC080000}"/>
    <cellStyle name="Normal 52 6 2" xfId="3812" xr:uid="{00000000-0005-0000-0000-0000BD080000}"/>
    <cellStyle name="Normal 52 7" xfId="3569" xr:uid="{00000000-0005-0000-0000-0000BE080000}"/>
    <cellStyle name="Normal 53" xfId="2834" xr:uid="{00000000-0005-0000-0000-0000BF080000}"/>
    <cellStyle name="Normal 53 2" xfId="2859" xr:uid="{00000000-0005-0000-0000-0000C0080000}"/>
    <cellStyle name="Normal 53 2 2" xfId="2902" xr:uid="{00000000-0005-0000-0000-0000C1080000}"/>
    <cellStyle name="Normal 53 2 2 2" xfId="2987" xr:uid="{00000000-0005-0000-0000-0000C2080000}"/>
    <cellStyle name="Normal 53 2 2 2 2" xfId="3711" xr:uid="{00000000-0005-0000-0000-0000C3080000}"/>
    <cellStyle name="Normal 53 2 2 3" xfId="3068" xr:uid="{00000000-0005-0000-0000-0000C4080000}"/>
    <cellStyle name="Normal 53 2 2 3 2" xfId="3792" xr:uid="{00000000-0005-0000-0000-0000C5080000}"/>
    <cellStyle name="Normal 53 2 2 4" xfId="3190" xr:uid="{00000000-0005-0000-0000-0000C6080000}"/>
    <cellStyle name="Normal 53 2 2 4 2" xfId="3874" xr:uid="{00000000-0005-0000-0000-0000C7080000}"/>
    <cellStyle name="Normal 53 2 2 5" xfId="3630" xr:uid="{00000000-0005-0000-0000-0000C8080000}"/>
    <cellStyle name="Normal 53 2 3" xfId="2947" xr:uid="{00000000-0005-0000-0000-0000C9080000}"/>
    <cellStyle name="Normal 53 2 3 2" xfId="3671" xr:uid="{00000000-0005-0000-0000-0000CA080000}"/>
    <cellStyle name="Normal 53 2 4" xfId="3028" xr:uid="{00000000-0005-0000-0000-0000CB080000}"/>
    <cellStyle name="Normal 53 2 4 2" xfId="3752" xr:uid="{00000000-0005-0000-0000-0000CC080000}"/>
    <cellStyle name="Normal 53 2 5" xfId="3150" xr:uid="{00000000-0005-0000-0000-0000CD080000}"/>
    <cellStyle name="Normal 53 2 5 2" xfId="3834" xr:uid="{00000000-0005-0000-0000-0000CE080000}"/>
    <cellStyle name="Normal 53 2 6" xfId="3590" xr:uid="{00000000-0005-0000-0000-0000CF080000}"/>
    <cellStyle name="Normal 53 3" xfId="2881" xr:uid="{00000000-0005-0000-0000-0000D0080000}"/>
    <cellStyle name="Normal 53 3 2" xfId="2966" xr:uid="{00000000-0005-0000-0000-0000D1080000}"/>
    <cellStyle name="Normal 53 3 2 2" xfId="3690" xr:uid="{00000000-0005-0000-0000-0000D2080000}"/>
    <cellStyle name="Normal 53 3 3" xfId="3047" xr:uid="{00000000-0005-0000-0000-0000D3080000}"/>
    <cellStyle name="Normal 53 3 3 2" xfId="3771" xr:uid="{00000000-0005-0000-0000-0000D4080000}"/>
    <cellStyle name="Normal 53 3 4" xfId="3169" xr:uid="{00000000-0005-0000-0000-0000D5080000}"/>
    <cellStyle name="Normal 53 3 4 2" xfId="3853" xr:uid="{00000000-0005-0000-0000-0000D6080000}"/>
    <cellStyle name="Normal 53 3 5" xfId="3609" xr:uid="{00000000-0005-0000-0000-0000D7080000}"/>
    <cellStyle name="Normal 53 4" xfId="2926" xr:uid="{00000000-0005-0000-0000-0000D8080000}"/>
    <cellStyle name="Normal 53 4 2" xfId="3650" xr:uid="{00000000-0005-0000-0000-0000D9080000}"/>
    <cellStyle name="Normal 53 5" xfId="3007" xr:uid="{00000000-0005-0000-0000-0000DA080000}"/>
    <cellStyle name="Normal 53 5 2" xfId="3731" xr:uid="{00000000-0005-0000-0000-0000DB080000}"/>
    <cellStyle name="Normal 53 6" xfId="3129" xr:uid="{00000000-0005-0000-0000-0000DC080000}"/>
    <cellStyle name="Normal 53 6 2" xfId="3813" xr:uid="{00000000-0005-0000-0000-0000DD080000}"/>
    <cellStyle name="Normal 53 7" xfId="3570" xr:uid="{00000000-0005-0000-0000-0000DE080000}"/>
    <cellStyle name="Normal 54" xfId="2835" xr:uid="{00000000-0005-0000-0000-0000DF080000}"/>
    <cellStyle name="Normal 54 2" xfId="2860" xr:uid="{00000000-0005-0000-0000-0000E0080000}"/>
    <cellStyle name="Normal 54 2 2" xfId="2903" xr:uid="{00000000-0005-0000-0000-0000E1080000}"/>
    <cellStyle name="Normal 54 2 2 2" xfId="2988" xr:uid="{00000000-0005-0000-0000-0000E2080000}"/>
    <cellStyle name="Normal 54 2 2 2 2" xfId="3712" xr:uid="{00000000-0005-0000-0000-0000E3080000}"/>
    <cellStyle name="Normal 54 2 2 3" xfId="3069" xr:uid="{00000000-0005-0000-0000-0000E4080000}"/>
    <cellStyle name="Normal 54 2 2 3 2" xfId="3793" xr:uid="{00000000-0005-0000-0000-0000E5080000}"/>
    <cellStyle name="Normal 54 2 2 4" xfId="3191" xr:uid="{00000000-0005-0000-0000-0000E6080000}"/>
    <cellStyle name="Normal 54 2 2 4 2" xfId="3875" xr:uid="{00000000-0005-0000-0000-0000E7080000}"/>
    <cellStyle name="Normal 54 2 2 5" xfId="3631" xr:uid="{00000000-0005-0000-0000-0000E8080000}"/>
    <cellStyle name="Normal 54 2 3" xfId="2948" xr:uid="{00000000-0005-0000-0000-0000E9080000}"/>
    <cellStyle name="Normal 54 2 3 2" xfId="3672" xr:uid="{00000000-0005-0000-0000-0000EA080000}"/>
    <cellStyle name="Normal 54 2 4" xfId="3029" xr:uid="{00000000-0005-0000-0000-0000EB080000}"/>
    <cellStyle name="Normal 54 2 4 2" xfId="3753" xr:uid="{00000000-0005-0000-0000-0000EC080000}"/>
    <cellStyle name="Normal 54 2 5" xfId="3151" xr:uid="{00000000-0005-0000-0000-0000ED080000}"/>
    <cellStyle name="Normal 54 2 5 2" xfId="3835" xr:uid="{00000000-0005-0000-0000-0000EE080000}"/>
    <cellStyle name="Normal 54 2 6" xfId="3591" xr:uid="{00000000-0005-0000-0000-0000EF080000}"/>
    <cellStyle name="Normal 54 3" xfId="2882" xr:uid="{00000000-0005-0000-0000-0000F0080000}"/>
    <cellStyle name="Normal 54 3 2" xfId="2967" xr:uid="{00000000-0005-0000-0000-0000F1080000}"/>
    <cellStyle name="Normal 54 3 2 2" xfId="3691" xr:uid="{00000000-0005-0000-0000-0000F2080000}"/>
    <cellStyle name="Normal 54 3 3" xfId="3048" xr:uid="{00000000-0005-0000-0000-0000F3080000}"/>
    <cellStyle name="Normal 54 3 3 2" xfId="3772" xr:uid="{00000000-0005-0000-0000-0000F4080000}"/>
    <cellStyle name="Normal 54 3 4" xfId="3170" xr:uid="{00000000-0005-0000-0000-0000F5080000}"/>
    <cellStyle name="Normal 54 3 4 2" xfId="3854" xr:uid="{00000000-0005-0000-0000-0000F6080000}"/>
    <cellStyle name="Normal 54 3 5" xfId="3610" xr:uid="{00000000-0005-0000-0000-0000F7080000}"/>
    <cellStyle name="Normal 54 4" xfId="2927" xr:uid="{00000000-0005-0000-0000-0000F8080000}"/>
    <cellStyle name="Normal 54 4 2" xfId="3651" xr:uid="{00000000-0005-0000-0000-0000F9080000}"/>
    <cellStyle name="Normal 54 5" xfId="3008" xr:uid="{00000000-0005-0000-0000-0000FA080000}"/>
    <cellStyle name="Normal 54 5 2" xfId="3732" xr:uid="{00000000-0005-0000-0000-0000FB080000}"/>
    <cellStyle name="Normal 54 6" xfId="3130" xr:uid="{00000000-0005-0000-0000-0000FC080000}"/>
    <cellStyle name="Normal 54 6 2" xfId="3814" xr:uid="{00000000-0005-0000-0000-0000FD080000}"/>
    <cellStyle name="Normal 54 7" xfId="3571" xr:uid="{00000000-0005-0000-0000-0000FE080000}"/>
    <cellStyle name="Normal 55" xfId="2836" xr:uid="{00000000-0005-0000-0000-0000FF080000}"/>
    <cellStyle name="Normal 55 2" xfId="2861" xr:uid="{00000000-0005-0000-0000-000000090000}"/>
    <cellStyle name="Normal 55 2 2" xfId="2904" xr:uid="{00000000-0005-0000-0000-000001090000}"/>
    <cellStyle name="Normal 55 2 2 2" xfId="2989" xr:uid="{00000000-0005-0000-0000-000002090000}"/>
    <cellStyle name="Normal 55 2 2 2 2" xfId="3713" xr:uid="{00000000-0005-0000-0000-000003090000}"/>
    <cellStyle name="Normal 55 2 2 3" xfId="3070" xr:uid="{00000000-0005-0000-0000-000004090000}"/>
    <cellStyle name="Normal 55 2 2 3 2" xfId="3794" xr:uid="{00000000-0005-0000-0000-000005090000}"/>
    <cellStyle name="Normal 55 2 2 4" xfId="3192" xr:uid="{00000000-0005-0000-0000-000006090000}"/>
    <cellStyle name="Normal 55 2 2 4 2" xfId="3876" xr:uid="{00000000-0005-0000-0000-000007090000}"/>
    <cellStyle name="Normal 55 2 2 5" xfId="3632" xr:uid="{00000000-0005-0000-0000-000008090000}"/>
    <cellStyle name="Normal 55 2 3" xfId="2949" xr:uid="{00000000-0005-0000-0000-000009090000}"/>
    <cellStyle name="Normal 55 2 3 2" xfId="3673" xr:uid="{00000000-0005-0000-0000-00000A090000}"/>
    <cellStyle name="Normal 55 2 4" xfId="3030" xr:uid="{00000000-0005-0000-0000-00000B090000}"/>
    <cellStyle name="Normal 55 2 4 2" xfId="3754" xr:uid="{00000000-0005-0000-0000-00000C090000}"/>
    <cellStyle name="Normal 55 2 5" xfId="3152" xr:uid="{00000000-0005-0000-0000-00000D090000}"/>
    <cellStyle name="Normal 55 2 5 2" xfId="3836" xr:uid="{00000000-0005-0000-0000-00000E090000}"/>
    <cellStyle name="Normal 55 2 6" xfId="3592" xr:uid="{00000000-0005-0000-0000-00000F090000}"/>
    <cellStyle name="Normal 55 3" xfId="2883" xr:uid="{00000000-0005-0000-0000-000010090000}"/>
    <cellStyle name="Normal 55 3 2" xfId="2968" xr:uid="{00000000-0005-0000-0000-000011090000}"/>
    <cellStyle name="Normal 55 3 2 2" xfId="3692" xr:uid="{00000000-0005-0000-0000-000012090000}"/>
    <cellStyle name="Normal 55 3 3" xfId="3049" xr:uid="{00000000-0005-0000-0000-000013090000}"/>
    <cellStyle name="Normal 55 3 3 2" xfId="3773" xr:uid="{00000000-0005-0000-0000-000014090000}"/>
    <cellStyle name="Normal 55 3 4" xfId="3171" xr:uid="{00000000-0005-0000-0000-000015090000}"/>
    <cellStyle name="Normal 55 3 4 2" xfId="3855" xr:uid="{00000000-0005-0000-0000-000016090000}"/>
    <cellStyle name="Normal 55 3 5" xfId="3611" xr:uid="{00000000-0005-0000-0000-000017090000}"/>
    <cellStyle name="Normal 55 4" xfId="2928" xr:uid="{00000000-0005-0000-0000-000018090000}"/>
    <cellStyle name="Normal 55 4 2" xfId="3652" xr:uid="{00000000-0005-0000-0000-000019090000}"/>
    <cellStyle name="Normal 55 5" xfId="3009" xr:uid="{00000000-0005-0000-0000-00001A090000}"/>
    <cellStyle name="Normal 55 5 2" xfId="3733" xr:uid="{00000000-0005-0000-0000-00001B090000}"/>
    <cellStyle name="Normal 55 6" xfId="3131" xr:uid="{00000000-0005-0000-0000-00001C090000}"/>
    <cellStyle name="Normal 55 6 2" xfId="3815" xr:uid="{00000000-0005-0000-0000-00001D090000}"/>
    <cellStyle name="Normal 55 7" xfId="3572" xr:uid="{00000000-0005-0000-0000-00001E090000}"/>
    <cellStyle name="Normal 56" xfId="2837" xr:uid="{00000000-0005-0000-0000-00001F090000}"/>
    <cellStyle name="Normal 57" xfId="2838" xr:uid="{00000000-0005-0000-0000-000020090000}"/>
    <cellStyle name="Normal 57 2" xfId="2862" xr:uid="{00000000-0005-0000-0000-000021090000}"/>
    <cellStyle name="Normal 57 2 2" xfId="2905" xr:uid="{00000000-0005-0000-0000-000022090000}"/>
    <cellStyle name="Normal 57 2 2 2" xfId="2990" xr:uid="{00000000-0005-0000-0000-000023090000}"/>
    <cellStyle name="Normal 57 2 2 2 2" xfId="3714" xr:uid="{00000000-0005-0000-0000-000024090000}"/>
    <cellStyle name="Normal 57 2 2 3" xfId="3071" xr:uid="{00000000-0005-0000-0000-000025090000}"/>
    <cellStyle name="Normal 57 2 2 3 2" xfId="3795" xr:uid="{00000000-0005-0000-0000-000026090000}"/>
    <cellStyle name="Normal 57 2 2 4" xfId="3193" xr:uid="{00000000-0005-0000-0000-000027090000}"/>
    <cellStyle name="Normal 57 2 2 4 2" xfId="3877" xr:uid="{00000000-0005-0000-0000-000028090000}"/>
    <cellStyle name="Normal 57 2 2 5" xfId="3633" xr:uid="{00000000-0005-0000-0000-000029090000}"/>
    <cellStyle name="Normal 57 2 3" xfId="2950" xr:uid="{00000000-0005-0000-0000-00002A090000}"/>
    <cellStyle name="Normal 57 2 3 2" xfId="3674" xr:uid="{00000000-0005-0000-0000-00002B090000}"/>
    <cellStyle name="Normal 57 2 4" xfId="3031" xr:uid="{00000000-0005-0000-0000-00002C090000}"/>
    <cellStyle name="Normal 57 2 4 2" xfId="3755" xr:uid="{00000000-0005-0000-0000-00002D090000}"/>
    <cellStyle name="Normal 57 2 5" xfId="3153" xr:uid="{00000000-0005-0000-0000-00002E090000}"/>
    <cellStyle name="Normal 57 2 5 2" xfId="3837" xr:uid="{00000000-0005-0000-0000-00002F090000}"/>
    <cellStyle name="Normal 57 2 6" xfId="3593" xr:uid="{00000000-0005-0000-0000-000030090000}"/>
    <cellStyle name="Normal 57 3" xfId="2884" xr:uid="{00000000-0005-0000-0000-000031090000}"/>
    <cellStyle name="Normal 57 3 2" xfId="2969" xr:uid="{00000000-0005-0000-0000-000032090000}"/>
    <cellStyle name="Normal 57 3 2 2" xfId="3693" xr:uid="{00000000-0005-0000-0000-000033090000}"/>
    <cellStyle name="Normal 57 3 3" xfId="3050" xr:uid="{00000000-0005-0000-0000-000034090000}"/>
    <cellStyle name="Normal 57 3 3 2" xfId="3774" xr:uid="{00000000-0005-0000-0000-000035090000}"/>
    <cellStyle name="Normal 57 3 4" xfId="3172" xr:uid="{00000000-0005-0000-0000-000036090000}"/>
    <cellStyle name="Normal 57 3 4 2" xfId="3856" xr:uid="{00000000-0005-0000-0000-000037090000}"/>
    <cellStyle name="Normal 57 3 5" xfId="3612" xr:uid="{00000000-0005-0000-0000-000038090000}"/>
    <cellStyle name="Normal 57 4" xfId="2929" xr:uid="{00000000-0005-0000-0000-000039090000}"/>
    <cellStyle name="Normal 57 4 2" xfId="3653" xr:uid="{00000000-0005-0000-0000-00003A090000}"/>
    <cellStyle name="Normal 57 5" xfId="3010" xr:uid="{00000000-0005-0000-0000-00003B090000}"/>
    <cellStyle name="Normal 57 5 2" xfId="3734" xr:uid="{00000000-0005-0000-0000-00003C090000}"/>
    <cellStyle name="Normal 57 6" xfId="3132" xr:uid="{00000000-0005-0000-0000-00003D090000}"/>
    <cellStyle name="Normal 57 6 2" xfId="3816" xr:uid="{00000000-0005-0000-0000-00003E090000}"/>
    <cellStyle name="Normal 57 7" xfId="3573" xr:uid="{00000000-0005-0000-0000-00003F090000}"/>
    <cellStyle name="Normal 58" xfId="2909" xr:uid="{00000000-0005-0000-0000-000040090000}"/>
    <cellStyle name="Normal 59" xfId="2864" xr:uid="{00000000-0005-0000-0000-000041090000}"/>
    <cellStyle name="Normal 6" xfId="219" xr:uid="{00000000-0005-0000-0000-000042090000}"/>
    <cellStyle name="Normal 6 10" xfId="84" xr:uid="{00000000-0005-0000-0000-000043090000}"/>
    <cellStyle name="Normal 6 10 10" xfId="2033" xr:uid="{00000000-0005-0000-0000-000044090000}"/>
    <cellStyle name="Normal 6 10 11" xfId="2183" xr:uid="{00000000-0005-0000-0000-000045090000}"/>
    <cellStyle name="Normal 6 10 12" xfId="2465" xr:uid="{00000000-0005-0000-0000-000046090000}"/>
    <cellStyle name="Normal 6 10 13" xfId="2750" xr:uid="{00000000-0005-0000-0000-000047090000}"/>
    <cellStyle name="Normal 6 10 2" xfId="310" xr:uid="{00000000-0005-0000-0000-000048090000}"/>
    <cellStyle name="Normal 6 10 3" xfId="524" xr:uid="{00000000-0005-0000-0000-000049090000}"/>
    <cellStyle name="Normal 6 10 4" xfId="738" xr:uid="{00000000-0005-0000-0000-00004A090000}"/>
    <cellStyle name="Normal 6 10 5" xfId="954" xr:uid="{00000000-0005-0000-0000-00004B090000}"/>
    <cellStyle name="Normal 6 10 6" xfId="1170" xr:uid="{00000000-0005-0000-0000-00004C090000}"/>
    <cellStyle name="Normal 6 10 7" xfId="1386" xr:uid="{00000000-0005-0000-0000-00004D090000}"/>
    <cellStyle name="Normal 6 10 8" xfId="1602" xr:uid="{00000000-0005-0000-0000-00004E090000}"/>
    <cellStyle name="Normal 6 10 9" xfId="1818" xr:uid="{00000000-0005-0000-0000-00004F090000}"/>
    <cellStyle name="Normal 6 11" xfId="167" xr:uid="{00000000-0005-0000-0000-000050090000}"/>
    <cellStyle name="Normal 6 11 10" xfId="2116" xr:uid="{00000000-0005-0000-0000-000051090000}"/>
    <cellStyle name="Normal 6 11 11" xfId="2308" xr:uid="{00000000-0005-0000-0000-000052090000}"/>
    <cellStyle name="Normal 6 11 12" xfId="2548" xr:uid="{00000000-0005-0000-0000-000053090000}"/>
    <cellStyle name="Normal 6 11 13" xfId="2668" xr:uid="{00000000-0005-0000-0000-000054090000}"/>
    <cellStyle name="Normal 6 11 2" xfId="393" xr:uid="{00000000-0005-0000-0000-000055090000}"/>
    <cellStyle name="Normal 6 11 3" xfId="607" xr:uid="{00000000-0005-0000-0000-000056090000}"/>
    <cellStyle name="Normal 6 11 4" xfId="821" xr:uid="{00000000-0005-0000-0000-000057090000}"/>
    <cellStyle name="Normal 6 11 5" xfId="1037" xr:uid="{00000000-0005-0000-0000-000058090000}"/>
    <cellStyle name="Normal 6 11 6" xfId="1253" xr:uid="{00000000-0005-0000-0000-000059090000}"/>
    <cellStyle name="Normal 6 11 7" xfId="1469" xr:uid="{00000000-0005-0000-0000-00005A090000}"/>
    <cellStyle name="Normal 6 11 8" xfId="1685" xr:uid="{00000000-0005-0000-0000-00005B090000}"/>
    <cellStyle name="Normal 6 11 9" xfId="1901" xr:uid="{00000000-0005-0000-0000-00005C090000}"/>
    <cellStyle name="Normal 6 12" xfId="164" xr:uid="{00000000-0005-0000-0000-00005D090000}"/>
    <cellStyle name="Normal 6 12 10" xfId="2113" xr:uid="{00000000-0005-0000-0000-00005E090000}"/>
    <cellStyle name="Normal 6 12 11" xfId="2173" xr:uid="{00000000-0005-0000-0000-00005F090000}"/>
    <cellStyle name="Normal 6 12 12" xfId="2545" xr:uid="{00000000-0005-0000-0000-000060090000}"/>
    <cellStyle name="Normal 6 12 13" xfId="2734" xr:uid="{00000000-0005-0000-0000-000061090000}"/>
    <cellStyle name="Normal 6 12 2" xfId="390" xr:uid="{00000000-0005-0000-0000-000062090000}"/>
    <cellStyle name="Normal 6 12 3" xfId="604" xr:uid="{00000000-0005-0000-0000-000063090000}"/>
    <cellStyle name="Normal 6 12 4" xfId="818" xr:uid="{00000000-0005-0000-0000-000064090000}"/>
    <cellStyle name="Normal 6 12 5" xfId="1034" xr:uid="{00000000-0005-0000-0000-000065090000}"/>
    <cellStyle name="Normal 6 12 6" xfId="1250" xr:uid="{00000000-0005-0000-0000-000066090000}"/>
    <cellStyle name="Normal 6 12 7" xfId="1466" xr:uid="{00000000-0005-0000-0000-000067090000}"/>
    <cellStyle name="Normal 6 12 8" xfId="1682" xr:uid="{00000000-0005-0000-0000-000068090000}"/>
    <cellStyle name="Normal 6 12 9" xfId="1898" xr:uid="{00000000-0005-0000-0000-000069090000}"/>
    <cellStyle name="Normal 6 13" xfId="198" xr:uid="{00000000-0005-0000-0000-00006A090000}"/>
    <cellStyle name="Normal 6 13 10" xfId="2147" xr:uid="{00000000-0005-0000-0000-00006B090000}"/>
    <cellStyle name="Normal 6 13 11" xfId="2331" xr:uid="{00000000-0005-0000-0000-00006C090000}"/>
    <cellStyle name="Normal 6 13 12" xfId="2579" xr:uid="{00000000-0005-0000-0000-00006D090000}"/>
    <cellStyle name="Normal 6 13 13" xfId="2643" xr:uid="{00000000-0005-0000-0000-00006E090000}"/>
    <cellStyle name="Normal 6 13 2" xfId="424" xr:uid="{00000000-0005-0000-0000-00006F090000}"/>
    <cellStyle name="Normal 6 13 3" xfId="638" xr:uid="{00000000-0005-0000-0000-000070090000}"/>
    <cellStyle name="Normal 6 13 4" xfId="852" xr:uid="{00000000-0005-0000-0000-000071090000}"/>
    <cellStyle name="Normal 6 13 5" xfId="1068" xr:uid="{00000000-0005-0000-0000-000072090000}"/>
    <cellStyle name="Normal 6 13 6" xfId="1284" xr:uid="{00000000-0005-0000-0000-000073090000}"/>
    <cellStyle name="Normal 6 13 7" xfId="1500" xr:uid="{00000000-0005-0000-0000-000074090000}"/>
    <cellStyle name="Normal 6 13 8" xfId="1716" xr:uid="{00000000-0005-0000-0000-000075090000}"/>
    <cellStyle name="Normal 6 13 9" xfId="1932" xr:uid="{00000000-0005-0000-0000-000076090000}"/>
    <cellStyle name="Normal 6 14" xfId="191" xr:uid="{00000000-0005-0000-0000-000077090000}"/>
    <cellStyle name="Normal 6 14 10" xfId="2140" xr:uid="{00000000-0005-0000-0000-000078090000}"/>
    <cellStyle name="Normal 6 14 11" xfId="2305" xr:uid="{00000000-0005-0000-0000-000079090000}"/>
    <cellStyle name="Normal 6 14 12" xfId="2572" xr:uid="{00000000-0005-0000-0000-00007A090000}"/>
    <cellStyle name="Normal 6 14 13" xfId="2807" xr:uid="{00000000-0005-0000-0000-00007B090000}"/>
    <cellStyle name="Normal 6 14 2" xfId="417" xr:uid="{00000000-0005-0000-0000-00007C090000}"/>
    <cellStyle name="Normal 6 14 3" xfId="631" xr:uid="{00000000-0005-0000-0000-00007D090000}"/>
    <cellStyle name="Normal 6 14 4" xfId="845" xr:uid="{00000000-0005-0000-0000-00007E090000}"/>
    <cellStyle name="Normal 6 14 5" xfId="1061" xr:uid="{00000000-0005-0000-0000-00007F090000}"/>
    <cellStyle name="Normal 6 14 6" xfId="1277" xr:uid="{00000000-0005-0000-0000-000080090000}"/>
    <cellStyle name="Normal 6 14 7" xfId="1493" xr:uid="{00000000-0005-0000-0000-000081090000}"/>
    <cellStyle name="Normal 6 14 8" xfId="1709" xr:uid="{00000000-0005-0000-0000-000082090000}"/>
    <cellStyle name="Normal 6 14 9" xfId="1925" xr:uid="{00000000-0005-0000-0000-000083090000}"/>
    <cellStyle name="Normal 6 15" xfId="193" xr:uid="{00000000-0005-0000-0000-000084090000}"/>
    <cellStyle name="Normal 6 15 10" xfId="2142" xr:uid="{00000000-0005-0000-0000-000085090000}"/>
    <cellStyle name="Normal 6 15 11" xfId="2250" xr:uid="{00000000-0005-0000-0000-000086090000}"/>
    <cellStyle name="Normal 6 15 12" xfId="2574" xr:uid="{00000000-0005-0000-0000-000087090000}"/>
    <cellStyle name="Normal 6 15 13" xfId="2753" xr:uid="{00000000-0005-0000-0000-000088090000}"/>
    <cellStyle name="Normal 6 15 2" xfId="419" xr:uid="{00000000-0005-0000-0000-000089090000}"/>
    <cellStyle name="Normal 6 15 3" xfId="633" xr:uid="{00000000-0005-0000-0000-00008A090000}"/>
    <cellStyle name="Normal 6 15 4" xfId="847" xr:uid="{00000000-0005-0000-0000-00008B090000}"/>
    <cellStyle name="Normal 6 15 5" xfId="1063" xr:uid="{00000000-0005-0000-0000-00008C090000}"/>
    <cellStyle name="Normal 6 15 6" xfId="1279" xr:uid="{00000000-0005-0000-0000-00008D090000}"/>
    <cellStyle name="Normal 6 15 7" xfId="1495" xr:uid="{00000000-0005-0000-0000-00008E090000}"/>
    <cellStyle name="Normal 6 15 8" xfId="1711" xr:uid="{00000000-0005-0000-0000-00008F090000}"/>
    <cellStyle name="Normal 6 15 9" xfId="1927" xr:uid="{00000000-0005-0000-0000-000090090000}"/>
    <cellStyle name="Normal 6 2" xfId="83" xr:uid="{00000000-0005-0000-0000-000091090000}"/>
    <cellStyle name="Normal 6 2 10" xfId="2032" xr:uid="{00000000-0005-0000-0000-000092090000}"/>
    <cellStyle name="Normal 6 2 11" xfId="2210" xr:uid="{00000000-0005-0000-0000-000093090000}"/>
    <cellStyle name="Normal 6 2 12" xfId="2464" xr:uid="{00000000-0005-0000-0000-000094090000}"/>
    <cellStyle name="Normal 6 2 13" xfId="2771" xr:uid="{00000000-0005-0000-0000-000095090000}"/>
    <cellStyle name="Normal 6 2 2" xfId="309" xr:uid="{00000000-0005-0000-0000-000096090000}"/>
    <cellStyle name="Normal 6 2 3" xfId="523" xr:uid="{00000000-0005-0000-0000-000097090000}"/>
    <cellStyle name="Normal 6 2 4" xfId="737" xr:uid="{00000000-0005-0000-0000-000098090000}"/>
    <cellStyle name="Normal 6 2 5" xfId="953" xr:uid="{00000000-0005-0000-0000-000099090000}"/>
    <cellStyle name="Normal 6 2 6" xfId="1169" xr:uid="{00000000-0005-0000-0000-00009A090000}"/>
    <cellStyle name="Normal 6 2 7" xfId="1385" xr:uid="{00000000-0005-0000-0000-00009B090000}"/>
    <cellStyle name="Normal 6 2 8" xfId="1601" xr:uid="{00000000-0005-0000-0000-00009C090000}"/>
    <cellStyle name="Normal 6 2 9" xfId="1817" xr:uid="{00000000-0005-0000-0000-00009D090000}"/>
    <cellStyle name="Normal 6 3" xfId="85" xr:uid="{00000000-0005-0000-0000-00009E090000}"/>
    <cellStyle name="Normal 6 3 10" xfId="2034" xr:uid="{00000000-0005-0000-0000-00009F090000}"/>
    <cellStyle name="Normal 6 3 11" xfId="2372" xr:uid="{00000000-0005-0000-0000-0000A0090000}"/>
    <cellStyle name="Normal 6 3 12" xfId="2466" xr:uid="{00000000-0005-0000-0000-0000A1090000}"/>
    <cellStyle name="Normal 6 3 13" xfId="2728" xr:uid="{00000000-0005-0000-0000-0000A2090000}"/>
    <cellStyle name="Normal 6 3 2" xfId="311" xr:uid="{00000000-0005-0000-0000-0000A3090000}"/>
    <cellStyle name="Normal 6 3 3" xfId="525" xr:uid="{00000000-0005-0000-0000-0000A4090000}"/>
    <cellStyle name="Normal 6 3 4" xfId="739" xr:uid="{00000000-0005-0000-0000-0000A5090000}"/>
    <cellStyle name="Normal 6 3 5" xfId="955" xr:uid="{00000000-0005-0000-0000-0000A6090000}"/>
    <cellStyle name="Normal 6 3 6" xfId="1171" xr:uid="{00000000-0005-0000-0000-0000A7090000}"/>
    <cellStyle name="Normal 6 3 7" xfId="1387" xr:uid="{00000000-0005-0000-0000-0000A8090000}"/>
    <cellStyle name="Normal 6 3 8" xfId="1603" xr:uid="{00000000-0005-0000-0000-0000A9090000}"/>
    <cellStyle name="Normal 6 3 9" xfId="1819" xr:uid="{00000000-0005-0000-0000-0000AA090000}"/>
    <cellStyle name="Normal 6 4" xfId="86" xr:uid="{00000000-0005-0000-0000-0000AB090000}"/>
    <cellStyle name="Normal 6 4 10" xfId="2035" xr:uid="{00000000-0005-0000-0000-0000AC090000}"/>
    <cellStyle name="Normal 6 4 11" xfId="2345" xr:uid="{00000000-0005-0000-0000-0000AD090000}"/>
    <cellStyle name="Normal 6 4 12" xfId="2467" xr:uid="{00000000-0005-0000-0000-0000AE090000}"/>
    <cellStyle name="Normal 6 4 13" xfId="2706" xr:uid="{00000000-0005-0000-0000-0000AF090000}"/>
    <cellStyle name="Normal 6 4 2" xfId="312" xr:uid="{00000000-0005-0000-0000-0000B0090000}"/>
    <cellStyle name="Normal 6 4 3" xfId="526" xr:uid="{00000000-0005-0000-0000-0000B1090000}"/>
    <cellStyle name="Normal 6 4 4" xfId="740" xr:uid="{00000000-0005-0000-0000-0000B2090000}"/>
    <cellStyle name="Normal 6 4 5" xfId="956" xr:uid="{00000000-0005-0000-0000-0000B3090000}"/>
    <cellStyle name="Normal 6 4 6" xfId="1172" xr:uid="{00000000-0005-0000-0000-0000B4090000}"/>
    <cellStyle name="Normal 6 4 7" xfId="1388" xr:uid="{00000000-0005-0000-0000-0000B5090000}"/>
    <cellStyle name="Normal 6 4 8" xfId="1604" xr:uid="{00000000-0005-0000-0000-0000B6090000}"/>
    <cellStyle name="Normal 6 4 9" xfId="1820" xr:uid="{00000000-0005-0000-0000-0000B7090000}"/>
    <cellStyle name="Normal 6 5" xfId="87" xr:uid="{00000000-0005-0000-0000-0000B8090000}"/>
    <cellStyle name="Normal 6 5 10" xfId="2036" xr:uid="{00000000-0005-0000-0000-0000B9090000}"/>
    <cellStyle name="Normal 6 5 11" xfId="2318" xr:uid="{00000000-0005-0000-0000-0000BA090000}"/>
    <cellStyle name="Normal 6 5 12" xfId="2468" xr:uid="{00000000-0005-0000-0000-0000BB090000}"/>
    <cellStyle name="Normal 6 5 13" xfId="2684" xr:uid="{00000000-0005-0000-0000-0000BC090000}"/>
    <cellStyle name="Normal 6 5 2" xfId="313" xr:uid="{00000000-0005-0000-0000-0000BD090000}"/>
    <cellStyle name="Normal 6 5 3" xfId="527" xr:uid="{00000000-0005-0000-0000-0000BE090000}"/>
    <cellStyle name="Normal 6 5 4" xfId="741" xr:uid="{00000000-0005-0000-0000-0000BF090000}"/>
    <cellStyle name="Normal 6 5 5" xfId="957" xr:uid="{00000000-0005-0000-0000-0000C0090000}"/>
    <cellStyle name="Normal 6 5 6" xfId="1173" xr:uid="{00000000-0005-0000-0000-0000C1090000}"/>
    <cellStyle name="Normal 6 5 7" xfId="1389" xr:uid="{00000000-0005-0000-0000-0000C2090000}"/>
    <cellStyle name="Normal 6 5 8" xfId="1605" xr:uid="{00000000-0005-0000-0000-0000C3090000}"/>
    <cellStyle name="Normal 6 5 9" xfId="1821" xr:uid="{00000000-0005-0000-0000-0000C4090000}"/>
    <cellStyle name="Normal 6 6" xfId="88" xr:uid="{00000000-0005-0000-0000-0000C5090000}"/>
    <cellStyle name="Normal 6 6 10" xfId="2037" xr:uid="{00000000-0005-0000-0000-0000C6090000}"/>
    <cellStyle name="Normal 6 6 11" xfId="2290" xr:uid="{00000000-0005-0000-0000-0000C7090000}"/>
    <cellStyle name="Normal 6 6 12" xfId="2469" xr:uid="{00000000-0005-0000-0000-0000C8090000}"/>
    <cellStyle name="Normal 6 6 13" xfId="2662" xr:uid="{00000000-0005-0000-0000-0000C9090000}"/>
    <cellStyle name="Normal 6 6 2" xfId="314" xr:uid="{00000000-0005-0000-0000-0000CA090000}"/>
    <cellStyle name="Normal 6 6 3" xfId="528" xr:uid="{00000000-0005-0000-0000-0000CB090000}"/>
    <cellStyle name="Normal 6 6 4" xfId="742" xr:uid="{00000000-0005-0000-0000-0000CC090000}"/>
    <cellStyle name="Normal 6 6 5" xfId="958" xr:uid="{00000000-0005-0000-0000-0000CD090000}"/>
    <cellStyle name="Normal 6 6 6" xfId="1174" xr:uid="{00000000-0005-0000-0000-0000CE090000}"/>
    <cellStyle name="Normal 6 6 7" xfId="1390" xr:uid="{00000000-0005-0000-0000-0000CF090000}"/>
    <cellStyle name="Normal 6 6 8" xfId="1606" xr:uid="{00000000-0005-0000-0000-0000D0090000}"/>
    <cellStyle name="Normal 6 6 9" xfId="1822" xr:uid="{00000000-0005-0000-0000-0000D1090000}"/>
    <cellStyle name="Normal 6 7" xfId="89" xr:uid="{00000000-0005-0000-0000-0000D2090000}"/>
    <cellStyle name="Normal 6 7 10" xfId="2038" xr:uid="{00000000-0005-0000-0000-0000D3090000}"/>
    <cellStyle name="Normal 6 7 11" xfId="2263" xr:uid="{00000000-0005-0000-0000-0000D4090000}"/>
    <cellStyle name="Normal 6 7 12" xfId="2470" xr:uid="{00000000-0005-0000-0000-0000D5090000}"/>
    <cellStyle name="Normal 6 7 13" xfId="2641" xr:uid="{00000000-0005-0000-0000-0000D6090000}"/>
    <cellStyle name="Normal 6 7 2" xfId="315" xr:uid="{00000000-0005-0000-0000-0000D7090000}"/>
    <cellStyle name="Normal 6 7 3" xfId="529" xr:uid="{00000000-0005-0000-0000-0000D8090000}"/>
    <cellStyle name="Normal 6 7 4" xfId="743" xr:uid="{00000000-0005-0000-0000-0000D9090000}"/>
    <cellStyle name="Normal 6 7 5" xfId="959" xr:uid="{00000000-0005-0000-0000-0000DA090000}"/>
    <cellStyle name="Normal 6 7 6" xfId="1175" xr:uid="{00000000-0005-0000-0000-0000DB090000}"/>
    <cellStyle name="Normal 6 7 7" xfId="1391" xr:uid="{00000000-0005-0000-0000-0000DC090000}"/>
    <cellStyle name="Normal 6 7 8" xfId="1607" xr:uid="{00000000-0005-0000-0000-0000DD090000}"/>
    <cellStyle name="Normal 6 7 9" xfId="1823" xr:uid="{00000000-0005-0000-0000-0000DE090000}"/>
    <cellStyle name="Normal 6 8" xfId="90" xr:uid="{00000000-0005-0000-0000-0000DF090000}"/>
    <cellStyle name="Normal 6 8 10" xfId="2039" xr:uid="{00000000-0005-0000-0000-0000E0090000}"/>
    <cellStyle name="Normal 6 8 11" xfId="2236" xr:uid="{00000000-0005-0000-0000-0000E1090000}"/>
    <cellStyle name="Normal 6 8 12" xfId="2471" xr:uid="{00000000-0005-0000-0000-0000E2090000}"/>
    <cellStyle name="Normal 6 8 13" xfId="2620" xr:uid="{00000000-0005-0000-0000-0000E3090000}"/>
    <cellStyle name="Normal 6 8 2" xfId="316" xr:uid="{00000000-0005-0000-0000-0000E4090000}"/>
    <cellStyle name="Normal 6 8 3" xfId="530" xr:uid="{00000000-0005-0000-0000-0000E5090000}"/>
    <cellStyle name="Normal 6 8 4" xfId="744" xr:uid="{00000000-0005-0000-0000-0000E6090000}"/>
    <cellStyle name="Normal 6 8 5" xfId="960" xr:uid="{00000000-0005-0000-0000-0000E7090000}"/>
    <cellStyle name="Normal 6 8 6" xfId="1176" xr:uid="{00000000-0005-0000-0000-0000E8090000}"/>
    <cellStyle name="Normal 6 8 7" xfId="1392" xr:uid="{00000000-0005-0000-0000-0000E9090000}"/>
    <cellStyle name="Normal 6 8 8" xfId="1608" xr:uid="{00000000-0005-0000-0000-0000EA090000}"/>
    <cellStyle name="Normal 6 8 9" xfId="1824" xr:uid="{00000000-0005-0000-0000-0000EB090000}"/>
    <cellStyle name="Normal 6 9" xfId="91" xr:uid="{00000000-0005-0000-0000-0000EC090000}"/>
    <cellStyle name="Normal 6 9 10" xfId="2040" xr:uid="{00000000-0005-0000-0000-0000ED090000}"/>
    <cellStyle name="Normal 6 9 11" xfId="2209" xr:uid="{00000000-0005-0000-0000-0000EE090000}"/>
    <cellStyle name="Normal 6 9 12" xfId="2472" xr:uid="{00000000-0005-0000-0000-0000EF090000}"/>
    <cellStyle name="Normal 6 9 13" xfId="2802" xr:uid="{00000000-0005-0000-0000-0000F0090000}"/>
    <cellStyle name="Normal 6 9 2" xfId="317" xr:uid="{00000000-0005-0000-0000-0000F1090000}"/>
    <cellStyle name="Normal 6 9 3" xfId="531" xr:uid="{00000000-0005-0000-0000-0000F2090000}"/>
    <cellStyle name="Normal 6 9 4" xfId="745" xr:uid="{00000000-0005-0000-0000-0000F3090000}"/>
    <cellStyle name="Normal 6 9 5" xfId="961" xr:uid="{00000000-0005-0000-0000-0000F4090000}"/>
    <cellStyle name="Normal 6 9 6" xfId="1177" xr:uid="{00000000-0005-0000-0000-0000F5090000}"/>
    <cellStyle name="Normal 6 9 7" xfId="1393" xr:uid="{00000000-0005-0000-0000-0000F6090000}"/>
    <cellStyle name="Normal 6 9 8" xfId="1609" xr:uid="{00000000-0005-0000-0000-0000F7090000}"/>
    <cellStyle name="Normal 6 9 9" xfId="1825" xr:uid="{00000000-0005-0000-0000-0000F8090000}"/>
    <cellStyle name="Normal 60" xfId="2865" xr:uid="{00000000-0005-0000-0000-0000F9090000}"/>
    <cellStyle name="Normal 61" xfId="2907" xr:uid="{00000000-0005-0000-0000-0000FA090000}"/>
    <cellStyle name="Normal 61 2" xfId="3635" xr:uid="{00000000-0005-0000-0000-0000FB090000}"/>
    <cellStyle name="Normal 62" xfId="2992" xr:uid="{00000000-0005-0000-0000-0000FC090000}"/>
    <cellStyle name="Normal 62 2" xfId="3716" xr:uid="{00000000-0005-0000-0000-0000FD090000}"/>
    <cellStyle name="Normal 63" xfId="3114" xr:uid="{00000000-0005-0000-0000-0000FE090000}"/>
    <cellStyle name="Normal 63 2" xfId="3798" xr:uid="{00000000-0005-0000-0000-0000FF090000}"/>
    <cellStyle name="Normal 64" xfId="3198" xr:uid="{00000000-0005-0000-0000-0000000A0000}"/>
    <cellStyle name="Normal 64 2" xfId="3882" xr:uid="{00000000-0005-0000-0000-0000010A0000}"/>
    <cellStyle name="Normal 65" xfId="3196" xr:uid="{00000000-0005-0000-0000-0000020A0000}"/>
    <cellStyle name="Normal 65 2" xfId="3880" xr:uid="{00000000-0005-0000-0000-0000030A0000}"/>
    <cellStyle name="Normal 66" xfId="3549" xr:uid="{00000000-0005-0000-0000-0000040A0000}"/>
    <cellStyle name="Normal 66 11" xfId="3555" xr:uid="{00000000-0005-0000-0000-0000050A0000}"/>
    <cellStyle name="Normal 66 2" xfId="3883" xr:uid="{00000000-0005-0000-0000-0000060A0000}"/>
    <cellStyle name="Normal 69" xfId="3553" xr:uid="{00000000-0005-0000-0000-0000070A0000}"/>
    <cellStyle name="Normal 7" xfId="8" xr:uid="{00000000-0005-0000-0000-0000080A0000}"/>
    <cellStyle name="Normal 7 10" xfId="93" xr:uid="{00000000-0005-0000-0000-0000090A0000}"/>
    <cellStyle name="Normal 7 10 10" xfId="2042" xr:uid="{00000000-0005-0000-0000-00000A0A0000}"/>
    <cellStyle name="Normal 7 10 11" xfId="2371" xr:uid="{00000000-0005-0000-0000-00000B0A0000}"/>
    <cellStyle name="Normal 7 10 12" xfId="2474" xr:uid="{00000000-0005-0000-0000-00000C0A0000}"/>
    <cellStyle name="Normal 7 10 13" xfId="2770" xr:uid="{00000000-0005-0000-0000-00000D0A0000}"/>
    <cellStyle name="Normal 7 10 2" xfId="319" xr:uid="{00000000-0005-0000-0000-00000E0A0000}"/>
    <cellStyle name="Normal 7 10 3" xfId="533" xr:uid="{00000000-0005-0000-0000-00000F0A0000}"/>
    <cellStyle name="Normal 7 10 4" xfId="747" xr:uid="{00000000-0005-0000-0000-0000100A0000}"/>
    <cellStyle name="Normal 7 10 5" xfId="963" xr:uid="{00000000-0005-0000-0000-0000110A0000}"/>
    <cellStyle name="Normal 7 10 6" xfId="1179" xr:uid="{00000000-0005-0000-0000-0000120A0000}"/>
    <cellStyle name="Normal 7 10 7" xfId="1395" xr:uid="{00000000-0005-0000-0000-0000130A0000}"/>
    <cellStyle name="Normal 7 10 8" xfId="1611" xr:uid="{00000000-0005-0000-0000-0000140A0000}"/>
    <cellStyle name="Normal 7 10 9" xfId="1827" xr:uid="{00000000-0005-0000-0000-0000150A0000}"/>
    <cellStyle name="Normal 7 11" xfId="169" xr:uid="{00000000-0005-0000-0000-0000160A0000}"/>
    <cellStyle name="Normal 7 11 10" xfId="2118" xr:uid="{00000000-0005-0000-0000-0000170A0000}"/>
    <cellStyle name="Normal 7 11 11" xfId="2253" xr:uid="{00000000-0005-0000-0000-0000180A0000}"/>
    <cellStyle name="Normal 7 11 12" xfId="2550" xr:uid="{00000000-0005-0000-0000-0000190A0000}"/>
    <cellStyle name="Normal 7 11 13" xfId="2625" xr:uid="{00000000-0005-0000-0000-00001A0A0000}"/>
    <cellStyle name="Normal 7 11 2" xfId="395" xr:uid="{00000000-0005-0000-0000-00001B0A0000}"/>
    <cellStyle name="Normal 7 11 3" xfId="609" xr:uid="{00000000-0005-0000-0000-00001C0A0000}"/>
    <cellStyle name="Normal 7 11 4" xfId="823" xr:uid="{00000000-0005-0000-0000-00001D0A0000}"/>
    <cellStyle name="Normal 7 11 5" xfId="1039" xr:uid="{00000000-0005-0000-0000-00001E0A0000}"/>
    <cellStyle name="Normal 7 11 6" xfId="1255" xr:uid="{00000000-0005-0000-0000-00001F0A0000}"/>
    <cellStyle name="Normal 7 11 7" xfId="1471" xr:uid="{00000000-0005-0000-0000-0000200A0000}"/>
    <cellStyle name="Normal 7 11 8" xfId="1687" xr:uid="{00000000-0005-0000-0000-0000210A0000}"/>
    <cellStyle name="Normal 7 11 9" xfId="1903" xr:uid="{00000000-0005-0000-0000-0000220A0000}"/>
    <cellStyle name="Normal 7 12" xfId="162" xr:uid="{00000000-0005-0000-0000-0000230A0000}"/>
    <cellStyle name="Normal 7 12 10" xfId="2111" xr:uid="{00000000-0005-0000-0000-0000240A0000}"/>
    <cellStyle name="Normal 7 12 11" xfId="2227" xr:uid="{00000000-0005-0000-0000-0000250A0000}"/>
    <cellStyle name="Normal 7 12 12" xfId="2543" xr:uid="{00000000-0005-0000-0000-0000260A0000}"/>
    <cellStyle name="Normal 7 12 13" xfId="2778" xr:uid="{00000000-0005-0000-0000-0000270A0000}"/>
    <cellStyle name="Normal 7 12 2" xfId="388" xr:uid="{00000000-0005-0000-0000-0000280A0000}"/>
    <cellStyle name="Normal 7 12 3" xfId="602" xr:uid="{00000000-0005-0000-0000-0000290A0000}"/>
    <cellStyle name="Normal 7 12 4" xfId="816" xr:uid="{00000000-0005-0000-0000-00002A0A0000}"/>
    <cellStyle name="Normal 7 12 5" xfId="1032" xr:uid="{00000000-0005-0000-0000-00002B0A0000}"/>
    <cellStyle name="Normal 7 12 6" xfId="1248" xr:uid="{00000000-0005-0000-0000-00002C0A0000}"/>
    <cellStyle name="Normal 7 12 7" xfId="1464" xr:uid="{00000000-0005-0000-0000-00002D0A0000}"/>
    <cellStyle name="Normal 7 12 8" xfId="1680" xr:uid="{00000000-0005-0000-0000-00002E0A0000}"/>
    <cellStyle name="Normal 7 12 9" xfId="1896" xr:uid="{00000000-0005-0000-0000-00002F0A0000}"/>
    <cellStyle name="Normal 7 13" xfId="201" xr:uid="{00000000-0005-0000-0000-0000300A0000}"/>
    <cellStyle name="Normal 7 13 10" xfId="2150" xr:uid="{00000000-0005-0000-0000-0000310A0000}"/>
    <cellStyle name="Normal 7 13 11" xfId="2249" xr:uid="{00000000-0005-0000-0000-0000320A0000}"/>
    <cellStyle name="Normal 7 13 12" xfId="2582" xr:uid="{00000000-0005-0000-0000-0000330A0000}"/>
    <cellStyle name="Normal 7 13 13" xfId="2809" xr:uid="{00000000-0005-0000-0000-0000340A0000}"/>
    <cellStyle name="Normal 7 13 2" xfId="427" xr:uid="{00000000-0005-0000-0000-0000350A0000}"/>
    <cellStyle name="Normal 7 13 3" xfId="641" xr:uid="{00000000-0005-0000-0000-0000360A0000}"/>
    <cellStyle name="Normal 7 13 4" xfId="855" xr:uid="{00000000-0005-0000-0000-0000370A0000}"/>
    <cellStyle name="Normal 7 13 5" xfId="1071" xr:uid="{00000000-0005-0000-0000-0000380A0000}"/>
    <cellStyle name="Normal 7 13 6" xfId="1287" xr:uid="{00000000-0005-0000-0000-0000390A0000}"/>
    <cellStyle name="Normal 7 13 7" xfId="1503" xr:uid="{00000000-0005-0000-0000-00003A0A0000}"/>
    <cellStyle name="Normal 7 13 8" xfId="1719" xr:uid="{00000000-0005-0000-0000-00003B0A0000}"/>
    <cellStyle name="Normal 7 13 9" xfId="1935" xr:uid="{00000000-0005-0000-0000-00003C0A0000}"/>
    <cellStyle name="Normal 7 14" xfId="188" xr:uid="{00000000-0005-0000-0000-00003D0A0000}"/>
    <cellStyle name="Normal 7 14 10" xfId="2137" xr:uid="{00000000-0005-0000-0000-00003E0A0000}"/>
    <cellStyle name="Normal 7 14 11" xfId="2170" xr:uid="{00000000-0005-0000-0000-00003F0A0000}"/>
    <cellStyle name="Normal 7 14 12" xfId="2569" xr:uid="{00000000-0005-0000-0000-0000400A0000}"/>
    <cellStyle name="Normal 7 14 13" xfId="2644" xr:uid="{00000000-0005-0000-0000-0000410A0000}"/>
    <cellStyle name="Normal 7 14 2" xfId="414" xr:uid="{00000000-0005-0000-0000-0000420A0000}"/>
    <cellStyle name="Normal 7 14 3" xfId="628" xr:uid="{00000000-0005-0000-0000-0000430A0000}"/>
    <cellStyle name="Normal 7 14 4" xfId="842" xr:uid="{00000000-0005-0000-0000-0000440A0000}"/>
    <cellStyle name="Normal 7 14 5" xfId="1058" xr:uid="{00000000-0005-0000-0000-0000450A0000}"/>
    <cellStyle name="Normal 7 14 6" xfId="1274" xr:uid="{00000000-0005-0000-0000-0000460A0000}"/>
    <cellStyle name="Normal 7 14 7" xfId="1490" xr:uid="{00000000-0005-0000-0000-0000470A0000}"/>
    <cellStyle name="Normal 7 14 8" xfId="1706" xr:uid="{00000000-0005-0000-0000-0000480A0000}"/>
    <cellStyle name="Normal 7 14 9" xfId="1922" xr:uid="{00000000-0005-0000-0000-0000490A0000}"/>
    <cellStyle name="Normal 7 15" xfId="196" xr:uid="{00000000-0005-0000-0000-00004A0A0000}"/>
    <cellStyle name="Normal 7 15 10" xfId="2145" xr:uid="{00000000-0005-0000-0000-00004B0A0000}"/>
    <cellStyle name="Normal 7 15 11" xfId="2169" xr:uid="{00000000-0005-0000-0000-00004C0A0000}"/>
    <cellStyle name="Normal 7 15 12" xfId="2577" xr:uid="{00000000-0005-0000-0000-00004D0A0000}"/>
    <cellStyle name="Normal 7 15 13" xfId="2687" xr:uid="{00000000-0005-0000-0000-00004E0A0000}"/>
    <cellStyle name="Normal 7 15 2" xfId="422" xr:uid="{00000000-0005-0000-0000-00004F0A0000}"/>
    <cellStyle name="Normal 7 15 3" xfId="636" xr:uid="{00000000-0005-0000-0000-0000500A0000}"/>
    <cellStyle name="Normal 7 15 4" xfId="850" xr:uid="{00000000-0005-0000-0000-0000510A0000}"/>
    <cellStyle name="Normal 7 15 5" xfId="1066" xr:uid="{00000000-0005-0000-0000-0000520A0000}"/>
    <cellStyle name="Normal 7 15 6" xfId="1282" xr:uid="{00000000-0005-0000-0000-0000530A0000}"/>
    <cellStyle name="Normal 7 15 7" xfId="1498" xr:uid="{00000000-0005-0000-0000-0000540A0000}"/>
    <cellStyle name="Normal 7 15 8" xfId="1714" xr:uid="{00000000-0005-0000-0000-0000550A0000}"/>
    <cellStyle name="Normal 7 15 9" xfId="1930" xr:uid="{00000000-0005-0000-0000-0000560A0000}"/>
    <cellStyle name="Normal 7 16" xfId="234" xr:uid="{00000000-0005-0000-0000-0000570A0000}"/>
    <cellStyle name="Normal 7 17" xfId="227" xr:uid="{00000000-0005-0000-0000-0000580A0000}"/>
    <cellStyle name="Normal 7 18" xfId="228" xr:uid="{00000000-0005-0000-0000-0000590A0000}"/>
    <cellStyle name="Normal 7 19" xfId="878" xr:uid="{00000000-0005-0000-0000-00005A0A0000}"/>
    <cellStyle name="Normal 7 2" xfId="92" xr:uid="{00000000-0005-0000-0000-00005B0A0000}"/>
    <cellStyle name="Normal 7 2 10" xfId="2041" xr:uid="{00000000-0005-0000-0000-00005C0A0000}"/>
    <cellStyle name="Normal 7 2 11" xfId="2182" xr:uid="{00000000-0005-0000-0000-00005D0A0000}"/>
    <cellStyle name="Normal 7 2 12" xfId="2473" xr:uid="{00000000-0005-0000-0000-00005E0A0000}"/>
    <cellStyle name="Normal 7 2 13" xfId="2793" xr:uid="{00000000-0005-0000-0000-00005F0A0000}"/>
    <cellStyle name="Normal 7 2 2" xfId="318" xr:uid="{00000000-0005-0000-0000-0000600A0000}"/>
    <cellStyle name="Normal 7 2 3" xfId="532" xr:uid="{00000000-0005-0000-0000-0000610A0000}"/>
    <cellStyle name="Normal 7 2 4" xfId="746" xr:uid="{00000000-0005-0000-0000-0000620A0000}"/>
    <cellStyle name="Normal 7 2 5" xfId="962" xr:uid="{00000000-0005-0000-0000-0000630A0000}"/>
    <cellStyle name="Normal 7 2 6" xfId="1178" xr:uid="{00000000-0005-0000-0000-0000640A0000}"/>
    <cellStyle name="Normal 7 2 7" xfId="1394" xr:uid="{00000000-0005-0000-0000-0000650A0000}"/>
    <cellStyle name="Normal 7 2 8" xfId="1610" xr:uid="{00000000-0005-0000-0000-0000660A0000}"/>
    <cellStyle name="Normal 7 2 9" xfId="1826" xr:uid="{00000000-0005-0000-0000-0000670A0000}"/>
    <cellStyle name="Normal 7 20" xfId="1094" xr:uid="{00000000-0005-0000-0000-0000680A0000}"/>
    <cellStyle name="Normal 7 21" xfId="1310" xr:uid="{00000000-0005-0000-0000-0000690A0000}"/>
    <cellStyle name="Normal 7 22" xfId="1526" xr:uid="{00000000-0005-0000-0000-00006A0A0000}"/>
    <cellStyle name="Normal 7 23" xfId="1742" xr:uid="{00000000-0005-0000-0000-00006B0A0000}"/>
    <cellStyle name="Normal 7 24" xfId="1959" xr:uid="{00000000-0005-0000-0000-00006C0A0000}"/>
    <cellStyle name="Normal 7 25" xfId="2299" xr:uid="{00000000-0005-0000-0000-00006D0A0000}"/>
    <cellStyle name="Normal 7 26" xfId="2390" xr:uid="{00000000-0005-0000-0000-00006E0A0000}"/>
    <cellStyle name="Normal 7 27" xfId="2636" xr:uid="{00000000-0005-0000-0000-00006F0A0000}"/>
    <cellStyle name="Normal 7 3" xfId="94" xr:uid="{00000000-0005-0000-0000-0000700A0000}"/>
    <cellStyle name="Normal 7 3 10" xfId="2043" xr:uid="{00000000-0005-0000-0000-0000710A0000}"/>
    <cellStyle name="Normal 7 3 11" xfId="2344" xr:uid="{00000000-0005-0000-0000-0000720A0000}"/>
    <cellStyle name="Normal 7 3 12" xfId="2475" xr:uid="{00000000-0005-0000-0000-0000730A0000}"/>
    <cellStyle name="Normal 7 3 13" xfId="2749" xr:uid="{00000000-0005-0000-0000-0000740A0000}"/>
    <cellStyle name="Normal 7 3 2" xfId="320" xr:uid="{00000000-0005-0000-0000-0000750A0000}"/>
    <cellStyle name="Normal 7 3 3" xfId="534" xr:uid="{00000000-0005-0000-0000-0000760A0000}"/>
    <cellStyle name="Normal 7 3 4" xfId="748" xr:uid="{00000000-0005-0000-0000-0000770A0000}"/>
    <cellStyle name="Normal 7 3 5" xfId="964" xr:uid="{00000000-0005-0000-0000-0000780A0000}"/>
    <cellStyle name="Normal 7 3 6" xfId="1180" xr:uid="{00000000-0005-0000-0000-0000790A0000}"/>
    <cellStyle name="Normal 7 3 7" xfId="1396" xr:uid="{00000000-0005-0000-0000-00007A0A0000}"/>
    <cellStyle name="Normal 7 3 8" xfId="1612" xr:uid="{00000000-0005-0000-0000-00007B0A0000}"/>
    <cellStyle name="Normal 7 3 9" xfId="1828" xr:uid="{00000000-0005-0000-0000-00007C0A0000}"/>
    <cellStyle name="Normal 7 4" xfId="95" xr:uid="{00000000-0005-0000-0000-00007D0A0000}"/>
    <cellStyle name="Normal 7 4 10" xfId="2044" xr:uid="{00000000-0005-0000-0000-00007E0A0000}"/>
    <cellStyle name="Normal 7 4 11" xfId="2317" xr:uid="{00000000-0005-0000-0000-00007F0A0000}"/>
    <cellStyle name="Normal 7 4 12" xfId="2476" xr:uid="{00000000-0005-0000-0000-0000800A0000}"/>
    <cellStyle name="Normal 7 4 13" xfId="2727" xr:uid="{00000000-0005-0000-0000-0000810A0000}"/>
    <cellStyle name="Normal 7 4 2" xfId="321" xr:uid="{00000000-0005-0000-0000-0000820A0000}"/>
    <cellStyle name="Normal 7 4 3" xfId="535" xr:uid="{00000000-0005-0000-0000-0000830A0000}"/>
    <cellStyle name="Normal 7 4 4" xfId="749" xr:uid="{00000000-0005-0000-0000-0000840A0000}"/>
    <cellStyle name="Normal 7 4 5" xfId="965" xr:uid="{00000000-0005-0000-0000-0000850A0000}"/>
    <cellStyle name="Normal 7 4 6" xfId="1181" xr:uid="{00000000-0005-0000-0000-0000860A0000}"/>
    <cellStyle name="Normal 7 4 7" xfId="1397" xr:uid="{00000000-0005-0000-0000-0000870A0000}"/>
    <cellStyle name="Normal 7 4 8" xfId="1613" xr:uid="{00000000-0005-0000-0000-0000880A0000}"/>
    <cellStyle name="Normal 7 4 9" xfId="1829" xr:uid="{00000000-0005-0000-0000-0000890A0000}"/>
    <cellStyle name="Normal 7 5" xfId="96" xr:uid="{00000000-0005-0000-0000-00008A0A0000}"/>
    <cellStyle name="Normal 7 5 10" xfId="2045" xr:uid="{00000000-0005-0000-0000-00008B0A0000}"/>
    <cellStyle name="Normal 7 5 11" xfId="2289" xr:uid="{00000000-0005-0000-0000-00008C0A0000}"/>
    <cellStyle name="Normal 7 5 12" xfId="2477" xr:uid="{00000000-0005-0000-0000-00008D0A0000}"/>
    <cellStyle name="Normal 7 5 13" xfId="2705" xr:uid="{00000000-0005-0000-0000-00008E0A0000}"/>
    <cellStyle name="Normal 7 5 2" xfId="322" xr:uid="{00000000-0005-0000-0000-00008F0A0000}"/>
    <cellStyle name="Normal 7 5 3" xfId="536" xr:uid="{00000000-0005-0000-0000-0000900A0000}"/>
    <cellStyle name="Normal 7 5 4" xfId="750" xr:uid="{00000000-0005-0000-0000-0000910A0000}"/>
    <cellStyle name="Normal 7 5 5" xfId="966" xr:uid="{00000000-0005-0000-0000-0000920A0000}"/>
    <cellStyle name="Normal 7 5 6" xfId="1182" xr:uid="{00000000-0005-0000-0000-0000930A0000}"/>
    <cellStyle name="Normal 7 5 7" xfId="1398" xr:uid="{00000000-0005-0000-0000-0000940A0000}"/>
    <cellStyle name="Normal 7 5 8" xfId="1614" xr:uid="{00000000-0005-0000-0000-0000950A0000}"/>
    <cellStyle name="Normal 7 5 9" xfId="1830" xr:uid="{00000000-0005-0000-0000-0000960A0000}"/>
    <cellStyle name="Normal 7 6" xfId="97" xr:uid="{00000000-0005-0000-0000-0000970A0000}"/>
    <cellStyle name="Normal 7 6 10" xfId="2046" xr:uid="{00000000-0005-0000-0000-0000980A0000}"/>
    <cellStyle name="Normal 7 6 11" xfId="2262" xr:uid="{00000000-0005-0000-0000-0000990A0000}"/>
    <cellStyle name="Normal 7 6 12" xfId="2478" xr:uid="{00000000-0005-0000-0000-00009A0A0000}"/>
    <cellStyle name="Normal 7 6 13" xfId="2683" xr:uid="{00000000-0005-0000-0000-00009B0A0000}"/>
    <cellStyle name="Normal 7 6 2" xfId="323" xr:uid="{00000000-0005-0000-0000-00009C0A0000}"/>
    <cellStyle name="Normal 7 6 3" xfId="537" xr:uid="{00000000-0005-0000-0000-00009D0A0000}"/>
    <cellStyle name="Normal 7 6 4" xfId="751" xr:uid="{00000000-0005-0000-0000-00009E0A0000}"/>
    <cellStyle name="Normal 7 6 5" xfId="967" xr:uid="{00000000-0005-0000-0000-00009F0A0000}"/>
    <cellStyle name="Normal 7 6 6" xfId="1183" xr:uid="{00000000-0005-0000-0000-0000A00A0000}"/>
    <cellStyle name="Normal 7 6 7" xfId="1399" xr:uid="{00000000-0005-0000-0000-0000A10A0000}"/>
    <cellStyle name="Normal 7 6 8" xfId="1615" xr:uid="{00000000-0005-0000-0000-0000A20A0000}"/>
    <cellStyle name="Normal 7 6 9" xfId="1831" xr:uid="{00000000-0005-0000-0000-0000A30A0000}"/>
    <cellStyle name="Normal 7 7" xfId="98" xr:uid="{00000000-0005-0000-0000-0000A40A0000}"/>
    <cellStyle name="Normal 7 7 10" xfId="2047" xr:uid="{00000000-0005-0000-0000-0000A50A0000}"/>
    <cellStyle name="Normal 7 7 11" xfId="2235" xr:uid="{00000000-0005-0000-0000-0000A60A0000}"/>
    <cellStyle name="Normal 7 7 12" xfId="2479" xr:uid="{00000000-0005-0000-0000-0000A70A0000}"/>
    <cellStyle name="Normal 7 7 13" xfId="2661" xr:uid="{00000000-0005-0000-0000-0000A80A0000}"/>
    <cellStyle name="Normal 7 7 2" xfId="324" xr:uid="{00000000-0005-0000-0000-0000A90A0000}"/>
    <cellStyle name="Normal 7 7 3" xfId="538" xr:uid="{00000000-0005-0000-0000-0000AA0A0000}"/>
    <cellStyle name="Normal 7 7 4" xfId="752" xr:uid="{00000000-0005-0000-0000-0000AB0A0000}"/>
    <cellStyle name="Normal 7 7 5" xfId="968" xr:uid="{00000000-0005-0000-0000-0000AC0A0000}"/>
    <cellStyle name="Normal 7 7 6" xfId="1184" xr:uid="{00000000-0005-0000-0000-0000AD0A0000}"/>
    <cellStyle name="Normal 7 7 7" xfId="1400" xr:uid="{00000000-0005-0000-0000-0000AE0A0000}"/>
    <cellStyle name="Normal 7 7 8" xfId="1616" xr:uid="{00000000-0005-0000-0000-0000AF0A0000}"/>
    <cellStyle name="Normal 7 7 9" xfId="1832" xr:uid="{00000000-0005-0000-0000-0000B00A0000}"/>
    <cellStyle name="Normal 7 8" xfId="99" xr:uid="{00000000-0005-0000-0000-0000B10A0000}"/>
    <cellStyle name="Normal 7 8 10" xfId="2048" xr:uid="{00000000-0005-0000-0000-0000B20A0000}"/>
    <cellStyle name="Normal 7 8 11" xfId="2208" xr:uid="{00000000-0005-0000-0000-0000B30A0000}"/>
    <cellStyle name="Normal 7 8 12" xfId="2480" xr:uid="{00000000-0005-0000-0000-0000B40A0000}"/>
    <cellStyle name="Normal 7 8 13" xfId="2640" xr:uid="{00000000-0005-0000-0000-0000B50A0000}"/>
    <cellStyle name="Normal 7 8 2" xfId="325" xr:uid="{00000000-0005-0000-0000-0000B60A0000}"/>
    <cellStyle name="Normal 7 8 3" xfId="539" xr:uid="{00000000-0005-0000-0000-0000B70A0000}"/>
    <cellStyle name="Normal 7 8 4" xfId="753" xr:uid="{00000000-0005-0000-0000-0000B80A0000}"/>
    <cellStyle name="Normal 7 8 5" xfId="969" xr:uid="{00000000-0005-0000-0000-0000B90A0000}"/>
    <cellStyle name="Normal 7 8 6" xfId="1185" xr:uid="{00000000-0005-0000-0000-0000BA0A0000}"/>
    <cellStyle name="Normal 7 8 7" xfId="1401" xr:uid="{00000000-0005-0000-0000-0000BB0A0000}"/>
    <cellStyle name="Normal 7 8 8" xfId="1617" xr:uid="{00000000-0005-0000-0000-0000BC0A0000}"/>
    <cellStyle name="Normal 7 8 9" xfId="1833" xr:uid="{00000000-0005-0000-0000-0000BD0A0000}"/>
    <cellStyle name="Normal 7 9" xfId="100" xr:uid="{00000000-0005-0000-0000-0000BE0A0000}"/>
    <cellStyle name="Normal 7 9 10" xfId="2049" xr:uid="{00000000-0005-0000-0000-0000BF0A0000}"/>
    <cellStyle name="Normal 7 9 11" xfId="2181" xr:uid="{00000000-0005-0000-0000-0000C00A0000}"/>
    <cellStyle name="Normal 7 9 12" xfId="2481" xr:uid="{00000000-0005-0000-0000-0000C10A0000}"/>
    <cellStyle name="Normal 7 9 13" xfId="2619" xr:uid="{00000000-0005-0000-0000-0000C20A0000}"/>
    <cellStyle name="Normal 7 9 2" xfId="326" xr:uid="{00000000-0005-0000-0000-0000C30A0000}"/>
    <cellStyle name="Normal 7 9 3" xfId="540" xr:uid="{00000000-0005-0000-0000-0000C40A0000}"/>
    <cellStyle name="Normal 7 9 4" xfId="754" xr:uid="{00000000-0005-0000-0000-0000C50A0000}"/>
    <cellStyle name="Normal 7 9 5" xfId="970" xr:uid="{00000000-0005-0000-0000-0000C60A0000}"/>
    <cellStyle name="Normal 7 9 6" xfId="1186" xr:uid="{00000000-0005-0000-0000-0000C70A0000}"/>
    <cellStyle name="Normal 7 9 7" xfId="1402" xr:uid="{00000000-0005-0000-0000-0000C80A0000}"/>
    <cellStyle name="Normal 7 9 8" xfId="1618" xr:uid="{00000000-0005-0000-0000-0000C90A0000}"/>
    <cellStyle name="Normal 7 9 9" xfId="1834" xr:uid="{00000000-0005-0000-0000-0000CA0A0000}"/>
    <cellStyle name="Normal 8" xfId="9" xr:uid="{00000000-0005-0000-0000-0000CB0A0000}"/>
    <cellStyle name="Normal 8 10" xfId="102" xr:uid="{00000000-0005-0000-0000-0000CC0A0000}"/>
    <cellStyle name="Normal 8 10 10" xfId="2051" xr:uid="{00000000-0005-0000-0000-0000CD0A0000}"/>
    <cellStyle name="Normal 8 10 11" xfId="2343" xr:uid="{00000000-0005-0000-0000-0000CE0A0000}"/>
    <cellStyle name="Normal 8 10 12" xfId="2483" xr:uid="{00000000-0005-0000-0000-0000CF0A0000}"/>
    <cellStyle name="Normal 8 10 13" xfId="2792" xr:uid="{00000000-0005-0000-0000-0000D00A0000}"/>
    <cellStyle name="Normal 8 10 2" xfId="328" xr:uid="{00000000-0005-0000-0000-0000D10A0000}"/>
    <cellStyle name="Normal 8 10 3" xfId="542" xr:uid="{00000000-0005-0000-0000-0000D20A0000}"/>
    <cellStyle name="Normal 8 10 4" xfId="756" xr:uid="{00000000-0005-0000-0000-0000D30A0000}"/>
    <cellStyle name="Normal 8 10 5" xfId="972" xr:uid="{00000000-0005-0000-0000-0000D40A0000}"/>
    <cellStyle name="Normal 8 10 6" xfId="1188" xr:uid="{00000000-0005-0000-0000-0000D50A0000}"/>
    <cellStyle name="Normal 8 10 7" xfId="1404" xr:uid="{00000000-0005-0000-0000-0000D60A0000}"/>
    <cellStyle name="Normal 8 10 8" xfId="1620" xr:uid="{00000000-0005-0000-0000-0000D70A0000}"/>
    <cellStyle name="Normal 8 10 9" xfId="1836" xr:uid="{00000000-0005-0000-0000-0000D80A0000}"/>
    <cellStyle name="Normal 8 11" xfId="171" xr:uid="{00000000-0005-0000-0000-0000D90A0000}"/>
    <cellStyle name="Normal 8 11 10" xfId="2120" xr:uid="{00000000-0005-0000-0000-0000DA0A0000}"/>
    <cellStyle name="Normal 8 11 11" xfId="2199" xr:uid="{00000000-0005-0000-0000-0000DB0A0000}"/>
    <cellStyle name="Normal 8 11 12" xfId="2552" xr:uid="{00000000-0005-0000-0000-0000DC0A0000}"/>
    <cellStyle name="Normal 8 11 13" xfId="2801" xr:uid="{00000000-0005-0000-0000-0000DD0A0000}"/>
    <cellStyle name="Normal 8 11 2" xfId="397" xr:uid="{00000000-0005-0000-0000-0000DE0A0000}"/>
    <cellStyle name="Normal 8 11 3" xfId="611" xr:uid="{00000000-0005-0000-0000-0000DF0A0000}"/>
    <cellStyle name="Normal 8 11 4" xfId="825" xr:uid="{00000000-0005-0000-0000-0000E00A0000}"/>
    <cellStyle name="Normal 8 11 5" xfId="1041" xr:uid="{00000000-0005-0000-0000-0000E10A0000}"/>
    <cellStyle name="Normal 8 11 6" xfId="1257" xr:uid="{00000000-0005-0000-0000-0000E20A0000}"/>
    <cellStyle name="Normal 8 11 7" xfId="1473" xr:uid="{00000000-0005-0000-0000-0000E30A0000}"/>
    <cellStyle name="Normal 8 11 8" xfId="1689" xr:uid="{00000000-0005-0000-0000-0000E40A0000}"/>
    <cellStyle name="Normal 8 11 9" xfId="1905" xr:uid="{00000000-0005-0000-0000-0000E50A0000}"/>
    <cellStyle name="Normal 8 12" xfId="160" xr:uid="{00000000-0005-0000-0000-0000E60A0000}"/>
    <cellStyle name="Normal 8 12 10" xfId="2109" xr:uid="{00000000-0005-0000-0000-0000E70A0000}"/>
    <cellStyle name="Normal 8 12 11" xfId="2281" xr:uid="{00000000-0005-0000-0000-0000E80A0000}"/>
    <cellStyle name="Normal 8 12 12" xfId="2541" xr:uid="{00000000-0005-0000-0000-0000E90A0000}"/>
    <cellStyle name="Normal 8 12 13" xfId="2605" xr:uid="{00000000-0005-0000-0000-0000EA0A0000}"/>
    <cellStyle name="Normal 8 12 2" xfId="386" xr:uid="{00000000-0005-0000-0000-0000EB0A0000}"/>
    <cellStyle name="Normal 8 12 3" xfId="600" xr:uid="{00000000-0005-0000-0000-0000EC0A0000}"/>
    <cellStyle name="Normal 8 12 4" xfId="814" xr:uid="{00000000-0005-0000-0000-0000ED0A0000}"/>
    <cellStyle name="Normal 8 12 5" xfId="1030" xr:uid="{00000000-0005-0000-0000-0000EE0A0000}"/>
    <cellStyle name="Normal 8 12 6" xfId="1246" xr:uid="{00000000-0005-0000-0000-0000EF0A0000}"/>
    <cellStyle name="Normal 8 12 7" xfId="1462" xr:uid="{00000000-0005-0000-0000-0000F00A0000}"/>
    <cellStyle name="Normal 8 12 8" xfId="1678" xr:uid="{00000000-0005-0000-0000-0000F10A0000}"/>
    <cellStyle name="Normal 8 12 9" xfId="1894" xr:uid="{00000000-0005-0000-0000-0000F20A0000}"/>
    <cellStyle name="Normal 8 13" xfId="203" xr:uid="{00000000-0005-0000-0000-0000F30A0000}"/>
    <cellStyle name="Normal 8 13 10" xfId="2152" xr:uid="{00000000-0005-0000-0000-0000F40A0000}"/>
    <cellStyle name="Normal 8 13 11" xfId="2195" xr:uid="{00000000-0005-0000-0000-0000F50A0000}"/>
    <cellStyle name="Normal 8 13 12" xfId="2584" xr:uid="{00000000-0005-0000-0000-0000F60A0000}"/>
    <cellStyle name="Normal 8 13 13" xfId="2752" xr:uid="{00000000-0005-0000-0000-0000F70A0000}"/>
    <cellStyle name="Normal 8 13 2" xfId="429" xr:uid="{00000000-0005-0000-0000-0000F80A0000}"/>
    <cellStyle name="Normal 8 13 3" xfId="643" xr:uid="{00000000-0005-0000-0000-0000F90A0000}"/>
    <cellStyle name="Normal 8 13 4" xfId="857" xr:uid="{00000000-0005-0000-0000-0000FA0A0000}"/>
    <cellStyle name="Normal 8 13 5" xfId="1073" xr:uid="{00000000-0005-0000-0000-0000FB0A0000}"/>
    <cellStyle name="Normal 8 13 6" xfId="1289" xr:uid="{00000000-0005-0000-0000-0000FC0A0000}"/>
    <cellStyle name="Normal 8 13 7" xfId="1505" xr:uid="{00000000-0005-0000-0000-0000FD0A0000}"/>
    <cellStyle name="Normal 8 13 8" xfId="1721" xr:uid="{00000000-0005-0000-0000-0000FE0A0000}"/>
    <cellStyle name="Normal 8 13 9" xfId="1937" xr:uid="{00000000-0005-0000-0000-0000FF0A0000}"/>
    <cellStyle name="Normal 8 14" xfId="186" xr:uid="{00000000-0005-0000-0000-0000000B0000}"/>
    <cellStyle name="Normal 8 14 10" xfId="2135" xr:uid="{00000000-0005-0000-0000-0000010B0000}"/>
    <cellStyle name="Normal 8 14 11" xfId="2224" xr:uid="{00000000-0005-0000-0000-0000020B0000}"/>
    <cellStyle name="Normal 8 14 12" xfId="2567" xr:uid="{00000000-0005-0000-0000-0000030B0000}"/>
    <cellStyle name="Normal 8 14 13" xfId="2688" xr:uid="{00000000-0005-0000-0000-0000040B0000}"/>
    <cellStyle name="Normal 8 14 2" xfId="412" xr:uid="{00000000-0005-0000-0000-0000050B0000}"/>
    <cellStyle name="Normal 8 14 3" xfId="626" xr:uid="{00000000-0005-0000-0000-0000060B0000}"/>
    <cellStyle name="Normal 8 14 4" xfId="840" xr:uid="{00000000-0005-0000-0000-0000070B0000}"/>
    <cellStyle name="Normal 8 14 5" xfId="1056" xr:uid="{00000000-0005-0000-0000-0000080B0000}"/>
    <cellStyle name="Normal 8 14 6" xfId="1272" xr:uid="{00000000-0005-0000-0000-0000090B0000}"/>
    <cellStyle name="Normal 8 14 7" xfId="1488" xr:uid="{00000000-0005-0000-0000-00000A0B0000}"/>
    <cellStyle name="Normal 8 14 8" xfId="1704" xr:uid="{00000000-0005-0000-0000-00000B0B0000}"/>
    <cellStyle name="Normal 8 14 9" xfId="1920" xr:uid="{00000000-0005-0000-0000-00000C0B0000}"/>
    <cellStyle name="Normal 8 15" xfId="199" xr:uid="{00000000-0005-0000-0000-00000D0B0000}"/>
    <cellStyle name="Normal 8 15 10" xfId="2148" xr:uid="{00000000-0005-0000-0000-00000E0B0000}"/>
    <cellStyle name="Normal 8 15 11" xfId="2304" xr:uid="{00000000-0005-0000-0000-00000F0B0000}"/>
    <cellStyle name="Normal 8 15 12" xfId="2580" xr:uid="{00000000-0005-0000-0000-0000100B0000}"/>
    <cellStyle name="Normal 8 15 13" xfId="2622" xr:uid="{00000000-0005-0000-0000-0000110B0000}"/>
    <cellStyle name="Normal 8 15 2" xfId="425" xr:uid="{00000000-0005-0000-0000-0000120B0000}"/>
    <cellStyle name="Normal 8 15 3" xfId="639" xr:uid="{00000000-0005-0000-0000-0000130B0000}"/>
    <cellStyle name="Normal 8 15 4" xfId="853" xr:uid="{00000000-0005-0000-0000-0000140B0000}"/>
    <cellStyle name="Normal 8 15 5" xfId="1069" xr:uid="{00000000-0005-0000-0000-0000150B0000}"/>
    <cellStyle name="Normal 8 15 6" xfId="1285" xr:uid="{00000000-0005-0000-0000-0000160B0000}"/>
    <cellStyle name="Normal 8 15 7" xfId="1501" xr:uid="{00000000-0005-0000-0000-0000170B0000}"/>
    <cellStyle name="Normal 8 15 8" xfId="1717" xr:uid="{00000000-0005-0000-0000-0000180B0000}"/>
    <cellStyle name="Normal 8 15 9" xfId="1933" xr:uid="{00000000-0005-0000-0000-0000190B0000}"/>
    <cellStyle name="Normal 8 16" xfId="235" xr:uid="{00000000-0005-0000-0000-00001A0B0000}"/>
    <cellStyle name="Normal 8 17" xfId="226" xr:uid="{00000000-0005-0000-0000-00001B0B0000}"/>
    <cellStyle name="Normal 8 18" xfId="448" xr:uid="{00000000-0005-0000-0000-00001C0B0000}"/>
    <cellStyle name="Normal 8 19" xfId="879" xr:uid="{00000000-0005-0000-0000-00001D0B0000}"/>
    <cellStyle name="Normal 8 2" xfId="101" xr:uid="{00000000-0005-0000-0000-00001E0B0000}"/>
    <cellStyle name="Normal 8 2 10" xfId="2050" xr:uid="{00000000-0005-0000-0000-00001F0B0000}"/>
    <cellStyle name="Normal 8 2 11" xfId="2370" xr:uid="{00000000-0005-0000-0000-0000200B0000}"/>
    <cellStyle name="Normal 8 2 12" xfId="2482" xr:uid="{00000000-0005-0000-0000-0000210B0000}"/>
    <cellStyle name="Normal 8 2 13" xfId="2810" xr:uid="{00000000-0005-0000-0000-0000220B0000}"/>
    <cellStyle name="Normal 8 2 2" xfId="327" xr:uid="{00000000-0005-0000-0000-0000230B0000}"/>
    <cellStyle name="Normal 8 2 3" xfId="541" xr:uid="{00000000-0005-0000-0000-0000240B0000}"/>
    <cellStyle name="Normal 8 2 4" xfId="755" xr:uid="{00000000-0005-0000-0000-0000250B0000}"/>
    <cellStyle name="Normal 8 2 5" xfId="971" xr:uid="{00000000-0005-0000-0000-0000260B0000}"/>
    <cellStyle name="Normal 8 2 6" xfId="1187" xr:uid="{00000000-0005-0000-0000-0000270B0000}"/>
    <cellStyle name="Normal 8 2 7" xfId="1403" xr:uid="{00000000-0005-0000-0000-0000280B0000}"/>
    <cellStyle name="Normal 8 2 8" xfId="1619" xr:uid="{00000000-0005-0000-0000-0000290B0000}"/>
    <cellStyle name="Normal 8 2 9" xfId="1835" xr:uid="{00000000-0005-0000-0000-00002A0B0000}"/>
    <cellStyle name="Normal 8 20" xfId="1095" xr:uid="{00000000-0005-0000-0000-00002B0B0000}"/>
    <cellStyle name="Normal 8 21" xfId="1311" xr:uid="{00000000-0005-0000-0000-00002C0B0000}"/>
    <cellStyle name="Normal 8 22" xfId="1527" xr:uid="{00000000-0005-0000-0000-00002D0B0000}"/>
    <cellStyle name="Normal 8 23" xfId="1743" xr:uid="{00000000-0005-0000-0000-00002E0B0000}"/>
    <cellStyle name="Normal 8 24" xfId="1960" xr:uid="{00000000-0005-0000-0000-00002F0B0000}"/>
    <cellStyle name="Normal 8 25" xfId="2271" xr:uid="{00000000-0005-0000-0000-0000300B0000}"/>
    <cellStyle name="Normal 8 26" xfId="2391" xr:uid="{00000000-0005-0000-0000-0000310B0000}"/>
    <cellStyle name="Normal 8 27" xfId="2615" xr:uid="{00000000-0005-0000-0000-0000320B0000}"/>
    <cellStyle name="Normal 8 3" xfId="103" xr:uid="{00000000-0005-0000-0000-0000330B0000}"/>
    <cellStyle name="Normal 8 3 10" xfId="2052" xr:uid="{00000000-0005-0000-0000-0000340B0000}"/>
    <cellStyle name="Normal 8 3 11" xfId="2316" xr:uid="{00000000-0005-0000-0000-0000350B0000}"/>
    <cellStyle name="Normal 8 3 12" xfId="2484" xr:uid="{00000000-0005-0000-0000-0000360B0000}"/>
    <cellStyle name="Normal 8 3 13" xfId="2769" xr:uid="{00000000-0005-0000-0000-0000370B0000}"/>
    <cellStyle name="Normal 8 3 2" xfId="329" xr:uid="{00000000-0005-0000-0000-0000380B0000}"/>
    <cellStyle name="Normal 8 3 3" xfId="543" xr:uid="{00000000-0005-0000-0000-0000390B0000}"/>
    <cellStyle name="Normal 8 3 4" xfId="757" xr:uid="{00000000-0005-0000-0000-00003A0B0000}"/>
    <cellStyle name="Normal 8 3 5" xfId="973" xr:uid="{00000000-0005-0000-0000-00003B0B0000}"/>
    <cellStyle name="Normal 8 3 6" xfId="1189" xr:uid="{00000000-0005-0000-0000-00003C0B0000}"/>
    <cellStyle name="Normal 8 3 7" xfId="1405" xr:uid="{00000000-0005-0000-0000-00003D0B0000}"/>
    <cellStyle name="Normal 8 3 8" xfId="1621" xr:uid="{00000000-0005-0000-0000-00003E0B0000}"/>
    <cellStyle name="Normal 8 3 9" xfId="1837" xr:uid="{00000000-0005-0000-0000-00003F0B0000}"/>
    <cellStyle name="Normal 8 4" xfId="104" xr:uid="{00000000-0005-0000-0000-0000400B0000}"/>
    <cellStyle name="Normal 8 4 10" xfId="2053" xr:uid="{00000000-0005-0000-0000-0000410B0000}"/>
    <cellStyle name="Normal 8 4 11" xfId="2288" xr:uid="{00000000-0005-0000-0000-0000420B0000}"/>
    <cellStyle name="Normal 8 4 12" xfId="2485" xr:uid="{00000000-0005-0000-0000-0000430B0000}"/>
    <cellStyle name="Normal 8 4 13" xfId="2748" xr:uid="{00000000-0005-0000-0000-0000440B0000}"/>
    <cellStyle name="Normal 8 4 2" xfId="330" xr:uid="{00000000-0005-0000-0000-0000450B0000}"/>
    <cellStyle name="Normal 8 4 3" xfId="544" xr:uid="{00000000-0005-0000-0000-0000460B0000}"/>
    <cellStyle name="Normal 8 4 4" xfId="758" xr:uid="{00000000-0005-0000-0000-0000470B0000}"/>
    <cellStyle name="Normal 8 4 5" xfId="974" xr:uid="{00000000-0005-0000-0000-0000480B0000}"/>
    <cellStyle name="Normal 8 4 6" xfId="1190" xr:uid="{00000000-0005-0000-0000-0000490B0000}"/>
    <cellStyle name="Normal 8 4 7" xfId="1406" xr:uid="{00000000-0005-0000-0000-00004A0B0000}"/>
    <cellStyle name="Normal 8 4 8" xfId="1622" xr:uid="{00000000-0005-0000-0000-00004B0B0000}"/>
    <cellStyle name="Normal 8 4 9" xfId="1838" xr:uid="{00000000-0005-0000-0000-00004C0B0000}"/>
    <cellStyle name="Normal 8 5" xfId="105" xr:uid="{00000000-0005-0000-0000-00004D0B0000}"/>
    <cellStyle name="Normal 8 5 10" xfId="2054" xr:uid="{00000000-0005-0000-0000-00004E0B0000}"/>
    <cellStyle name="Normal 8 5 11" xfId="2261" xr:uid="{00000000-0005-0000-0000-00004F0B0000}"/>
    <cellStyle name="Normal 8 5 12" xfId="2486" xr:uid="{00000000-0005-0000-0000-0000500B0000}"/>
    <cellStyle name="Normal 8 5 13" xfId="2726" xr:uid="{00000000-0005-0000-0000-0000510B0000}"/>
    <cellStyle name="Normal 8 5 2" xfId="331" xr:uid="{00000000-0005-0000-0000-0000520B0000}"/>
    <cellStyle name="Normal 8 5 3" xfId="545" xr:uid="{00000000-0005-0000-0000-0000530B0000}"/>
    <cellStyle name="Normal 8 5 4" xfId="759" xr:uid="{00000000-0005-0000-0000-0000540B0000}"/>
    <cellStyle name="Normal 8 5 5" xfId="975" xr:uid="{00000000-0005-0000-0000-0000550B0000}"/>
    <cellStyle name="Normal 8 5 6" xfId="1191" xr:uid="{00000000-0005-0000-0000-0000560B0000}"/>
    <cellStyle name="Normal 8 5 7" xfId="1407" xr:uid="{00000000-0005-0000-0000-0000570B0000}"/>
    <cellStyle name="Normal 8 5 8" xfId="1623" xr:uid="{00000000-0005-0000-0000-0000580B0000}"/>
    <cellStyle name="Normal 8 5 9" xfId="1839" xr:uid="{00000000-0005-0000-0000-0000590B0000}"/>
    <cellStyle name="Normal 8 6" xfId="106" xr:uid="{00000000-0005-0000-0000-00005A0B0000}"/>
    <cellStyle name="Normal 8 6 10" xfId="2055" xr:uid="{00000000-0005-0000-0000-00005B0B0000}"/>
    <cellStyle name="Normal 8 6 11" xfId="2234" xr:uid="{00000000-0005-0000-0000-00005C0B0000}"/>
    <cellStyle name="Normal 8 6 12" xfId="2487" xr:uid="{00000000-0005-0000-0000-00005D0B0000}"/>
    <cellStyle name="Normal 8 6 13" xfId="2704" xr:uid="{00000000-0005-0000-0000-00005E0B0000}"/>
    <cellStyle name="Normal 8 6 2" xfId="332" xr:uid="{00000000-0005-0000-0000-00005F0B0000}"/>
    <cellStyle name="Normal 8 6 3" xfId="546" xr:uid="{00000000-0005-0000-0000-0000600B0000}"/>
    <cellStyle name="Normal 8 6 4" xfId="760" xr:uid="{00000000-0005-0000-0000-0000610B0000}"/>
    <cellStyle name="Normal 8 6 5" xfId="976" xr:uid="{00000000-0005-0000-0000-0000620B0000}"/>
    <cellStyle name="Normal 8 6 6" xfId="1192" xr:uid="{00000000-0005-0000-0000-0000630B0000}"/>
    <cellStyle name="Normal 8 6 7" xfId="1408" xr:uid="{00000000-0005-0000-0000-0000640B0000}"/>
    <cellStyle name="Normal 8 6 8" xfId="1624" xr:uid="{00000000-0005-0000-0000-0000650B0000}"/>
    <cellStyle name="Normal 8 6 9" xfId="1840" xr:uid="{00000000-0005-0000-0000-0000660B0000}"/>
    <cellStyle name="Normal 8 7" xfId="107" xr:uid="{00000000-0005-0000-0000-0000670B0000}"/>
    <cellStyle name="Normal 8 7 10" xfId="2056" xr:uid="{00000000-0005-0000-0000-0000680B0000}"/>
    <cellStyle name="Normal 8 7 11" xfId="2207" xr:uid="{00000000-0005-0000-0000-0000690B0000}"/>
    <cellStyle name="Normal 8 7 12" xfId="2488" xr:uid="{00000000-0005-0000-0000-00006A0B0000}"/>
    <cellStyle name="Normal 8 7 13" xfId="2682" xr:uid="{00000000-0005-0000-0000-00006B0B0000}"/>
    <cellStyle name="Normal 8 7 2" xfId="333" xr:uid="{00000000-0005-0000-0000-00006C0B0000}"/>
    <cellStyle name="Normal 8 7 3" xfId="547" xr:uid="{00000000-0005-0000-0000-00006D0B0000}"/>
    <cellStyle name="Normal 8 7 4" xfId="761" xr:uid="{00000000-0005-0000-0000-00006E0B0000}"/>
    <cellStyle name="Normal 8 7 5" xfId="977" xr:uid="{00000000-0005-0000-0000-00006F0B0000}"/>
    <cellStyle name="Normal 8 7 6" xfId="1193" xr:uid="{00000000-0005-0000-0000-0000700B0000}"/>
    <cellStyle name="Normal 8 7 7" xfId="1409" xr:uid="{00000000-0005-0000-0000-0000710B0000}"/>
    <cellStyle name="Normal 8 7 8" xfId="1625" xr:uid="{00000000-0005-0000-0000-0000720B0000}"/>
    <cellStyle name="Normal 8 7 9" xfId="1841" xr:uid="{00000000-0005-0000-0000-0000730B0000}"/>
    <cellStyle name="Normal 8 8" xfId="108" xr:uid="{00000000-0005-0000-0000-0000740B0000}"/>
    <cellStyle name="Normal 8 8 10" xfId="2057" xr:uid="{00000000-0005-0000-0000-0000750B0000}"/>
    <cellStyle name="Normal 8 8 11" xfId="2180" xr:uid="{00000000-0005-0000-0000-0000760B0000}"/>
    <cellStyle name="Normal 8 8 12" xfId="2489" xr:uid="{00000000-0005-0000-0000-0000770B0000}"/>
    <cellStyle name="Normal 8 8 13" xfId="2660" xr:uid="{00000000-0005-0000-0000-0000780B0000}"/>
    <cellStyle name="Normal 8 8 2" xfId="334" xr:uid="{00000000-0005-0000-0000-0000790B0000}"/>
    <cellStyle name="Normal 8 8 3" xfId="548" xr:uid="{00000000-0005-0000-0000-00007A0B0000}"/>
    <cellStyle name="Normal 8 8 4" xfId="762" xr:uid="{00000000-0005-0000-0000-00007B0B0000}"/>
    <cellStyle name="Normal 8 8 5" xfId="978" xr:uid="{00000000-0005-0000-0000-00007C0B0000}"/>
    <cellStyle name="Normal 8 8 6" xfId="1194" xr:uid="{00000000-0005-0000-0000-00007D0B0000}"/>
    <cellStyle name="Normal 8 8 7" xfId="1410" xr:uid="{00000000-0005-0000-0000-00007E0B0000}"/>
    <cellStyle name="Normal 8 8 8" xfId="1626" xr:uid="{00000000-0005-0000-0000-00007F0B0000}"/>
    <cellStyle name="Normal 8 8 9" xfId="1842" xr:uid="{00000000-0005-0000-0000-0000800B0000}"/>
    <cellStyle name="Normal 8 9" xfId="109" xr:uid="{00000000-0005-0000-0000-0000810B0000}"/>
    <cellStyle name="Normal 8 9 10" xfId="2058" xr:uid="{00000000-0005-0000-0000-0000820B0000}"/>
    <cellStyle name="Normal 8 9 11" xfId="2369" xr:uid="{00000000-0005-0000-0000-0000830B0000}"/>
    <cellStyle name="Normal 8 9 12" xfId="2490" xr:uid="{00000000-0005-0000-0000-0000840B0000}"/>
    <cellStyle name="Normal 8 9 13" xfId="2639" xr:uid="{00000000-0005-0000-0000-0000850B0000}"/>
    <cellStyle name="Normal 8 9 2" xfId="335" xr:uid="{00000000-0005-0000-0000-0000860B0000}"/>
    <cellStyle name="Normal 8 9 3" xfId="549" xr:uid="{00000000-0005-0000-0000-0000870B0000}"/>
    <cellStyle name="Normal 8 9 4" xfId="763" xr:uid="{00000000-0005-0000-0000-0000880B0000}"/>
    <cellStyle name="Normal 8 9 5" xfId="979" xr:uid="{00000000-0005-0000-0000-0000890B0000}"/>
    <cellStyle name="Normal 8 9 6" xfId="1195" xr:uid="{00000000-0005-0000-0000-00008A0B0000}"/>
    <cellStyle name="Normal 8 9 7" xfId="1411" xr:uid="{00000000-0005-0000-0000-00008B0B0000}"/>
    <cellStyle name="Normal 8 9 8" xfId="1627" xr:uid="{00000000-0005-0000-0000-00008C0B0000}"/>
    <cellStyle name="Normal 8 9 9" xfId="1843" xr:uid="{00000000-0005-0000-0000-00008D0B0000}"/>
    <cellStyle name="Normal 9" xfId="10" xr:uid="{00000000-0005-0000-0000-00008E0B0000}"/>
    <cellStyle name="Normal 9 10" xfId="111" xr:uid="{00000000-0005-0000-0000-00008F0B0000}"/>
    <cellStyle name="Normal 9 10 10" xfId="2060" xr:uid="{00000000-0005-0000-0000-0000900B0000}"/>
    <cellStyle name="Normal 9 10 11" xfId="2315" xr:uid="{00000000-0005-0000-0000-0000910B0000}"/>
    <cellStyle name="Normal 9 10 12" xfId="2492" xr:uid="{00000000-0005-0000-0000-0000920B0000}"/>
    <cellStyle name="Normal 9 10 13" xfId="2796" xr:uid="{00000000-0005-0000-0000-0000930B0000}"/>
    <cellStyle name="Normal 9 10 2" xfId="337" xr:uid="{00000000-0005-0000-0000-0000940B0000}"/>
    <cellStyle name="Normal 9 10 3" xfId="551" xr:uid="{00000000-0005-0000-0000-0000950B0000}"/>
    <cellStyle name="Normal 9 10 4" xfId="765" xr:uid="{00000000-0005-0000-0000-0000960B0000}"/>
    <cellStyle name="Normal 9 10 5" xfId="981" xr:uid="{00000000-0005-0000-0000-0000970B0000}"/>
    <cellStyle name="Normal 9 10 6" xfId="1197" xr:uid="{00000000-0005-0000-0000-0000980B0000}"/>
    <cellStyle name="Normal 9 10 7" xfId="1413" xr:uid="{00000000-0005-0000-0000-0000990B0000}"/>
    <cellStyle name="Normal 9 10 8" xfId="1629" xr:uid="{00000000-0005-0000-0000-00009A0B0000}"/>
    <cellStyle name="Normal 9 10 9" xfId="1845" xr:uid="{00000000-0005-0000-0000-00009B0B0000}"/>
    <cellStyle name="Normal 9 11" xfId="172" xr:uid="{00000000-0005-0000-0000-00009C0B0000}"/>
    <cellStyle name="Normal 9 11 10" xfId="2121" xr:uid="{00000000-0005-0000-0000-00009D0B0000}"/>
    <cellStyle name="Normal 9 11 11" xfId="2172" xr:uid="{00000000-0005-0000-0000-00009E0B0000}"/>
    <cellStyle name="Normal 9 11 12" xfId="2553" xr:uid="{00000000-0005-0000-0000-00009F0B0000}"/>
    <cellStyle name="Normal 9 11 13" xfId="2777" xr:uid="{00000000-0005-0000-0000-0000A00B0000}"/>
    <cellStyle name="Normal 9 11 2" xfId="398" xr:uid="{00000000-0005-0000-0000-0000A10B0000}"/>
    <cellStyle name="Normal 9 11 3" xfId="612" xr:uid="{00000000-0005-0000-0000-0000A20B0000}"/>
    <cellStyle name="Normal 9 11 4" xfId="826" xr:uid="{00000000-0005-0000-0000-0000A30B0000}"/>
    <cellStyle name="Normal 9 11 5" xfId="1042" xr:uid="{00000000-0005-0000-0000-0000A40B0000}"/>
    <cellStyle name="Normal 9 11 6" xfId="1258" xr:uid="{00000000-0005-0000-0000-0000A50B0000}"/>
    <cellStyle name="Normal 9 11 7" xfId="1474" xr:uid="{00000000-0005-0000-0000-0000A60B0000}"/>
    <cellStyle name="Normal 9 11 8" xfId="1690" xr:uid="{00000000-0005-0000-0000-0000A70B0000}"/>
    <cellStyle name="Normal 9 11 9" xfId="1906" xr:uid="{00000000-0005-0000-0000-0000A80B0000}"/>
    <cellStyle name="Normal 9 12" xfId="159" xr:uid="{00000000-0005-0000-0000-0000A90B0000}"/>
    <cellStyle name="Normal 9 12 10" xfId="2108" xr:uid="{00000000-0005-0000-0000-0000AA0B0000}"/>
    <cellStyle name="Normal 9 12 11" xfId="2309" xr:uid="{00000000-0005-0000-0000-0000AB0B0000}"/>
    <cellStyle name="Normal 9 12 12" xfId="2540" xr:uid="{00000000-0005-0000-0000-0000AC0B0000}"/>
    <cellStyle name="Normal 9 12 13" xfId="2626" xr:uid="{00000000-0005-0000-0000-0000AD0B0000}"/>
    <cellStyle name="Normal 9 12 2" xfId="385" xr:uid="{00000000-0005-0000-0000-0000AE0B0000}"/>
    <cellStyle name="Normal 9 12 3" xfId="599" xr:uid="{00000000-0005-0000-0000-0000AF0B0000}"/>
    <cellStyle name="Normal 9 12 4" xfId="813" xr:uid="{00000000-0005-0000-0000-0000B00B0000}"/>
    <cellStyle name="Normal 9 12 5" xfId="1029" xr:uid="{00000000-0005-0000-0000-0000B10B0000}"/>
    <cellStyle name="Normal 9 12 6" xfId="1245" xr:uid="{00000000-0005-0000-0000-0000B20B0000}"/>
    <cellStyle name="Normal 9 12 7" xfId="1461" xr:uid="{00000000-0005-0000-0000-0000B30B0000}"/>
    <cellStyle name="Normal 9 12 8" xfId="1677" xr:uid="{00000000-0005-0000-0000-0000B40B0000}"/>
    <cellStyle name="Normal 9 12 9" xfId="1893" xr:uid="{00000000-0005-0000-0000-0000B50B0000}"/>
    <cellStyle name="Normal 9 13" xfId="205" xr:uid="{00000000-0005-0000-0000-0000B60B0000}"/>
    <cellStyle name="Normal 9 13 10" xfId="2154" xr:uid="{00000000-0005-0000-0000-0000B70B0000}"/>
    <cellStyle name="Normal 9 13 11" xfId="2356" xr:uid="{00000000-0005-0000-0000-0000B80B0000}"/>
    <cellStyle name="Normal 9 13 12" xfId="2586" xr:uid="{00000000-0005-0000-0000-0000B90B0000}"/>
    <cellStyle name="Normal 9 13 13" xfId="2708" xr:uid="{00000000-0005-0000-0000-0000BA0B0000}"/>
    <cellStyle name="Normal 9 13 2" xfId="431" xr:uid="{00000000-0005-0000-0000-0000BB0B0000}"/>
    <cellStyle name="Normal 9 13 3" xfId="645" xr:uid="{00000000-0005-0000-0000-0000BC0B0000}"/>
    <cellStyle name="Normal 9 13 4" xfId="859" xr:uid="{00000000-0005-0000-0000-0000BD0B0000}"/>
    <cellStyle name="Normal 9 13 5" xfId="1075" xr:uid="{00000000-0005-0000-0000-0000BE0B0000}"/>
    <cellStyle name="Normal 9 13 6" xfId="1291" xr:uid="{00000000-0005-0000-0000-0000BF0B0000}"/>
    <cellStyle name="Normal 9 13 7" xfId="1507" xr:uid="{00000000-0005-0000-0000-0000C00B0000}"/>
    <cellStyle name="Normal 9 13 8" xfId="1723" xr:uid="{00000000-0005-0000-0000-0000C10B0000}"/>
    <cellStyle name="Normal 9 13 9" xfId="1939" xr:uid="{00000000-0005-0000-0000-0000C20B0000}"/>
    <cellStyle name="Normal 9 14" xfId="184" xr:uid="{00000000-0005-0000-0000-0000C30B0000}"/>
    <cellStyle name="Normal 9 14 10" xfId="2133" xr:uid="{00000000-0005-0000-0000-0000C40B0000}"/>
    <cellStyle name="Normal 9 14 11" xfId="2278" xr:uid="{00000000-0005-0000-0000-0000C50B0000}"/>
    <cellStyle name="Normal 9 14 12" xfId="2565" xr:uid="{00000000-0005-0000-0000-0000C60B0000}"/>
    <cellStyle name="Normal 9 14 13" xfId="2732" xr:uid="{00000000-0005-0000-0000-0000C70B0000}"/>
    <cellStyle name="Normal 9 14 2" xfId="410" xr:uid="{00000000-0005-0000-0000-0000C80B0000}"/>
    <cellStyle name="Normal 9 14 3" xfId="624" xr:uid="{00000000-0005-0000-0000-0000C90B0000}"/>
    <cellStyle name="Normal 9 14 4" xfId="838" xr:uid="{00000000-0005-0000-0000-0000CA0B0000}"/>
    <cellStyle name="Normal 9 14 5" xfId="1054" xr:uid="{00000000-0005-0000-0000-0000CB0B0000}"/>
    <cellStyle name="Normal 9 14 6" xfId="1270" xr:uid="{00000000-0005-0000-0000-0000CC0B0000}"/>
    <cellStyle name="Normal 9 14 7" xfId="1486" xr:uid="{00000000-0005-0000-0000-0000CD0B0000}"/>
    <cellStyle name="Normal 9 14 8" xfId="1702" xr:uid="{00000000-0005-0000-0000-0000CE0B0000}"/>
    <cellStyle name="Normal 9 14 9" xfId="1918" xr:uid="{00000000-0005-0000-0000-0000CF0B0000}"/>
    <cellStyle name="Normal 9 15" xfId="202" xr:uid="{00000000-0005-0000-0000-0000D00B0000}"/>
    <cellStyle name="Normal 9 15 10" xfId="2151" xr:uid="{00000000-0005-0000-0000-0000D10B0000}"/>
    <cellStyle name="Normal 9 15 11" xfId="2222" xr:uid="{00000000-0005-0000-0000-0000D20B0000}"/>
    <cellStyle name="Normal 9 15 12" xfId="2583" xr:uid="{00000000-0005-0000-0000-0000D30B0000}"/>
    <cellStyle name="Normal 9 15 13" xfId="2774" xr:uid="{00000000-0005-0000-0000-0000D40B0000}"/>
    <cellStyle name="Normal 9 15 2" xfId="428" xr:uid="{00000000-0005-0000-0000-0000D50B0000}"/>
    <cellStyle name="Normal 9 15 3" xfId="642" xr:uid="{00000000-0005-0000-0000-0000D60B0000}"/>
    <cellStyle name="Normal 9 15 4" xfId="856" xr:uid="{00000000-0005-0000-0000-0000D70B0000}"/>
    <cellStyle name="Normal 9 15 5" xfId="1072" xr:uid="{00000000-0005-0000-0000-0000D80B0000}"/>
    <cellStyle name="Normal 9 15 6" xfId="1288" xr:uid="{00000000-0005-0000-0000-0000D90B0000}"/>
    <cellStyle name="Normal 9 15 7" xfId="1504" xr:uid="{00000000-0005-0000-0000-0000DA0B0000}"/>
    <cellStyle name="Normal 9 15 8" xfId="1720" xr:uid="{00000000-0005-0000-0000-0000DB0B0000}"/>
    <cellStyle name="Normal 9 15 9" xfId="1936" xr:uid="{00000000-0005-0000-0000-0000DC0B0000}"/>
    <cellStyle name="Normal 9 16" xfId="236" xr:uid="{00000000-0005-0000-0000-0000DD0B0000}"/>
    <cellStyle name="Normal 9 17" xfId="450" xr:uid="{00000000-0005-0000-0000-0000DE0B0000}"/>
    <cellStyle name="Normal 9 18" xfId="664" xr:uid="{00000000-0005-0000-0000-0000DF0B0000}"/>
    <cellStyle name="Normal 9 19" xfId="880" xr:uid="{00000000-0005-0000-0000-0000E00B0000}"/>
    <cellStyle name="Normal 9 2" xfId="110" xr:uid="{00000000-0005-0000-0000-0000E10B0000}"/>
    <cellStyle name="Normal 9 2 10" xfId="2059" xr:uid="{00000000-0005-0000-0000-0000E20B0000}"/>
    <cellStyle name="Normal 9 2 11" xfId="2342" xr:uid="{00000000-0005-0000-0000-0000E30B0000}"/>
    <cellStyle name="Normal 9 2 12" xfId="2491" xr:uid="{00000000-0005-0000-0000-0000E40B0000}"/>
    <cellStyle name="Normal 9 2 13" xfId="2618" xr:uid="{00000000-0005-0000-0000-0000E50B0000}"/>
    <cellStyle name="Normal 9 2 2" xfId="336" xr:uid="{00000000-0005-0000-0000-0000E60B0000}"/>
    <cellStyle name="Normal 9 2 3" xfId="550" xr:uid="{00000000-0005-0000-0000-0000E70B0000}"/>
    <cellStyle name="Normal 9 2 4" xfId="764" xr:uid="{00000000-0005-0000-0000-0000E80B0000}"/>
    <cellStyle name="Normal 9 2 5" xfId="980" xr:uid="{00000000-0005-0000-0000-0000E90B0000}"/>
    <cellStyle name="Normal 9 2 6" xfId="1196" xr:uid="{00000000-0005-0000-0000-0000EA0B0000}"/>
    <cellStyle name="Normal 9 2 7" xfId="1412" xr:uid="{00000000-0005-0000-0000-0000EB0B0000}"/>
    <cellStyle name="Normal 9 2 8" xfId="1628" xr:uid="{00000000-0005-0000-0000-0000EC0B0000}"/>
    <cellStyle name="Normal 9 2 9" xfId="1844" xr:uid="{00000000-0005-0000-0000-0000ED0B0000}"/>
    <cellStyle name="Normal 9 20" xfId="1096" xr:uid="{00000000-0005-0000-0000-0000EE0B0000}"/>
    <cellStyle name="Normal 9 21" xfId="1312" xr:uid="{00000000-0005-0000-0000-0000EF0B0000}"/>
    <cellStyle name="Normal 9 22" xfId="1528" xr:uid="{00000000-0005-0000-0000-0000F00B0000}"/>
    <cellStyle name="Normal 9 23" xfId="1744" xr:uid="{00000000-0005-0000-0000-0000F10B0000}"/>
    <cellStyle name="Normal 9 24" xfId="1961" xr:uid="{00000000-0005-0000-0000-0000F20B0000}"/>
    <cellStyle name="Normal 9 25" xfId="2244" xr:uid="{00000000-0005-0000-0000-0000F30B0000}"/>
    <cellStyle name="Normal 9 26" xfId="2392" xr:uid="{00000000-0005-0000-0000-0000F40B0000}"/>
    <cellStyle name="Normal 9 27" xfId="2814" xr:uid="{00000000-0005-0000-0000-0000F50B0000}"/>
    <cellStyle name="Normal 9 3" xfId="112" xr:uid="{00000000-0005-0000-0000-0000F60B0000}"/>
    <cellStyle name="Normal 9 3 10" xfId="2061" xr:uid="{00000000-0005-0000-0000-0000F70B0000}"/>
    <cellStyle name="Normal 9 3 11" xfId="2287" xr:uid="{00000000-0005-0000-0000-0000F80B0000}"/>
    <cellStyle name="Normal 9 3 12" xfId="2493" xr:uid="{00000000-0005-0000-0000-0000F90B0000}"/>
    <cellStyle name="Normal 9 3 13" xfId="2791" xr:uid="{00000000-0005-0000-0000-0000FA0B0000}"/>
    <cellStyle name="Normal 9 3 2" xfId="338" xr:uid="{00000000-0005-0000-0000-0000FB0B0000}"/>
    <cellStyle name="Normal 9 3 3" xfId="552" xr:uid="{00000000-0005-0000-0000-0000FC0B0000}"/>
    <cellStyle name="Normal 9 3 4" xfId="766" xr:uid="{00000000-0005-0000-0000-0000FD0B0000}"/>
    <cellStyle name="Normal 9 3 5" xfId="982" xr:uid="{00000000-0005-0000-0000-0000FE0B0000}"/>
    <cellStyle name="Normal 9 3 6" xfId="1198" xr:uid="{00000000-0005-0000-0000-0000FF0B0000}"/>
    <cellStyle name="Normal 9 3 7" xfId="1414" xr:uid="{00000000-0005-0000-0000-0000000C0000}"/>
    <cellStyle name="Normal 9 3 8" xfId="1630" xr:uid="{00000000-0005-0000-0000-0000010C0000}"/>
    <cellStyle name="Normal 9 3 9" xfId="1846" xr:uid="{00000000-0005-0000-0000-0000020C0000}"/>
    <cellStyle name="Normal 9 4" xfId="113" xr:uid="{00000000-0005-0000-0000-0000030C0000}"/>
    <cellStyle name="Normal 9 4 10" xfId="2062" xr:uid="{00000000-0005-0000-0000-0000040C0000}"/>
    <cellStyle name="Normal 9 4 11" xfId="2260" xr:uid="{00000000-0005-0000-0000-0000050C0000}"/>
    <cellStyle name="Normal 9 4 12" xfId="2494" xr:uid="{00000000-0005-0000-0000-0000060C0000}"/>
    <cellStyle name="Normal 9 4 13" xfId="2768" xr:uid="{00000000-0005-0000-0000-0000070C0000}"/>
    <cellStyle name="Normal 9 4 2" xfId="339" xr:uid="{00000000-0005-0000-0000-0000080C0000}"/>
    <cellStyle name="Normal 9 4 3" xfId="553" xr:uid="{00000000-0005-0000-0000-0000090C0000}"/>
    <cellStyle name="Normal 9 4 4" xfId="767" xr:uid="{00000000-0005-0000-0000-00000A0C0000}"/>
    <cellStyle name="Normal 9 4 5" xfId="983" xr:uid="{00000000-0005-0000-0000-00000B0C0000}"/>
    <cellStyle name="Normal 9 4 6" xfId="1199" xr:uid="{00000000-0005-0000-0000-00000C0C0000}"/>
    <cellStyle name="Normal 9 4 7" xfId="1415" xr:uid="{00000000-0005-0000-0000-00000D0C0000}"/>
    <cellStyle name="Normal 9 4 8" xfId="1631" xr:uid="{00000000-0005-0000-0000-00000E0C0000}"/>
    <cellStyle name="Normal 9 4 9" xfId="1847" xr:uid="{00000000-0005-0000-0000-00000F0C0000}"/>
    <cellStyle name="Normal 9 5" xfId="114" xr:uid="{00000000-0005-0000-0000-0000100C0000}"/>
    <cellStyle name="Normal 9 5 10" xfId="2063" xr:uid="{00000000-0005-0000-0000-0000110C0000}"/>
    <cellStyle name="Normal 9 5 11" xfId="2233" xr:uid="{00000000-0005-0000-0000-0000120C0000}"/>
    <cellStyle name="Normal 9 5 12" xfId="2495" xr:uid="{00000000-0005-0000-0000-0000130C0000}"/>
    <cellStyle name="Normal 9 5 13" xfId="2747" xr:uid="{00000000-0005-0000-0000-0000140C0000}"/>
    <cellStyle name="Normal 9 5 2" xfId="340" xr:uid="{00000000-0005-0000-0000-0000150C0000}"/>
    <cellStyle name="Normal 9 5 3" xfId="554" xr:uid="{00000000-0005-0000-0000-0000160C0000}"/>
    <cellStyle name="Normal 9 5 4" xfId="768" xr:uid="{00000000-0005-0000-0000-0000170C0000}"/>
    <cellStyle name="Normal 9 5 5" xfId="984" xr:uid="{00000000-0005-0000-0000-0000180C0000}"/>
    <cellStyle name="Normal 9 5 6" xfId="1200" xr:uid="{00000000-0005-0000-0000-0000190C0000}"/>
    <cellStyle name="Normal 9 5 7" xfId="1416" xr:uid="{00000000-0005-0000-0000-00001A0C0000}"/>
    <cellStyle name="Normal 9 5 8" xfId="1632" xr:uid="{00000000-0005-0000-0000-00001B0C0000}"/>
    <cellStyle name="Normal 9 5 9" xfId="1848" xr:uid="{00000000-0005-0000-0000-00001C0C0000}"/>
    <cellStyle name="Normal 9 6" xfId="115" xr:uid="{00000000-0005-0000-0000-00001D0C0000}"/>
    <cellStyle name="Normal 9 6 10" xfId="2064" xr:uid="{00000000-0005-0000-0000-00001E0C0000}"/>
    <cellStyle name="Normal 9 6 11" xfId="2206" xr:uid="{00000000-0005-0000-0000-00001F0C0000}"/>
    <cellStyle name="Normal 9 6 12" xfId="2496" xr:uid="{00000000-0005-0000-0000-0000200C0000}"/>
    <cellStyle name="Normal 9 6 13" xfId="2725" xr:uid="{00000000-0005-0000-0000-0000210C0000}"/>
    <cellStyle name="Normal 9 6 2" xfId="341" xr:uid="{00000000-0005-0000-0000-0000220C0000}"/>
    <cellStyle name="Normal 9 6 3" xfId="555" xr:uid="{00000000-0005-0000-0000-0000230C0000}"/>
    <cellStyle name="Normal 9 6 4" xfId="769" xr:uid="{00000000-0005-0000-0000-0000240C0000}"/>
    <cellStyle name="Normal 9 6 5" xfId="985" xr:uid="{00000000-0005-0000-0000-0000250C0000}"/>
    <cellStyle name="Normal 9 6 6" xfId="1201" xr:uid="{00000000-0005-0000-0000-0000260C0000}"/>
    <cellStyle name="Normal 9 6 7" xfId="1417" xr:uid="{00000000-0005-0000-0000-0000270C0000}"/>
    <cellStyle name="Normal 9 6 8" xfId="1633" xr:uid="{00000000-0005-0000-0000-0000280C0000}"/>
    <cellStyle name="Normal 9 6 9" xfId="1849" xr:uid="{00000000-0005-0000-0000-0000290C0000}"/>
    <cellStyle name="Normal 9 7" xfId="116" xr:uid="{00000000-0005-0000-0000-00002A0C0000}"/>
    <cellStyle name="Normal 9 7 10" xfId="2065" xr:uid="{00000000-0005-0000-0000-00002B0C0000}"/>
    <cellStyle name="Normal 9 7 11" xfId="2179" xr:uid="{00000000-0005-0000-0000-00002C0C0000}"/>
    <cellStyle name="Normal 9 7 12" xfId="2497" xr:uid="{00000000-0005-0000-0000-00002D0C0000}"/>
    <cellStyle name="Normal 9 7 13" xfId="2703" xr:uid="{00000000-0005-0000-0000-00002E0C0000}"/>
    <cellStyle name="Normal 9 7 2" xfId="342" xr:uid="{00000000-0005-0000-0000-00002F0C0000}"/>
    <cellStyle name="Normal 9 7 3" xfId="556" xr:uid="{00000000-0005-0000-0000-0000300C0000}"/>
    <cellStyle name="Normal 9 7 4" xfId="770" xr:uid="{00000000-0005-0000-0000-0000310C0000}"/>
    <cellStyle name="Normal 9 7 5" xfId="986" xr:uid="{00000000-0005-0000-0000-0000320C0000}"/>
    <cellStyle name="Normal 9 7 6" xfId="1202" xr:uid="{00000000-0005-0000-0000-0000330C0000}"/>
    <cellStyle name="Normal 9 7 7" xfId="1418" xr:uid="{00000000-0005-0000-0000-0000340C0000}"/>
    <cellStyle name="Normal 9 7 8" xfId="1634" xr:uid="{00000000-0005-0000-0000-0000350C0000}"/>
    <cellStyle name="Normal 9 7 9" xfId="1850" xr:uid="{00000000-0005-0000-0000-0000360C0000}"/>
    <cellStyle name="Normal 9 8" xfId="117" xr:uid="{00000000-0005-0000-0000-0000370C0000}"/>
    <cellStyle name="Normal 9 8 10" xfId="2066" xr:uid="{00000000-0005-0000-0000-0000380C0000}"/>
    <cellStyle name="Normal 9 8 11" xfId="2368" xr:uid="{00000000-0005-0000-0000-0000390C0000}"/>
    <cellStyle name="Normal 9 8 12" xfId="2498" xr:uid="{00000000-0005-0000-0000-00003A0C0000}"/>
    <cellStyle name="Normal 9 8 13" xfId="2681" xr:uid="{00000000-0005-0000-0000-00003B0C0000}"/>
    <cellStyle name="Normal 9 8 2" xfId="343" xr:uid="{00000000-0005-0000-0000-00003C0C0000}"/>
    <cellStyle name="Normal 9 8 3" xfId="557" xr:uid="{00000000-0005-0000-0000-00003D0C0000}"/>
    <cellStyle name="Normal 9 8 4" xfId="771" xr:uid="{00000000-0005-0000-0000-00003E0C0000}"/>
    <cellStyle name="Normal 9 8 5" xfId="987" xr:uid="{00000000-0005-0000-0000-00003F0C0000}"/>
    <cellStyle name="Normal 9 8 6" xfId="1203" xr:uid="{00000000-0005-0000-0000-0000400C0000}"/>
    <cellStyle name="Normal 9 8 7" xfId="1419" xr:uid="{00000000-0005-0000-0000-0000410C0000}"/>
    <cellStyle name="Normal 9 8 8" xfId="1635" xr:uid="{00000000-0005-0000-0000-0000420C0000}"/>
    <cellStyle name="Normal 9 8 9" xfId="1851" xr:uid="{00000000-0005-0000-0000-0000430C0000}"/>
    <cellStyle name="Normal 9 9" xfId="118" xr:uid="{00000000-0005-0000-0000-0000440C0000}"/>
    <cellStyle name="Normal 9 9 10" xfId="2067" xr:uid="{00000000-0005-0000-0000-0000450C0000}"/>
    <cellStyle name="Normal 9 9 11" xfId="2341" xr:uid="{00000000-0005-0000-0000-0000460C0000}"/>
    <cellStyle name="Normal 9 9 12" xfId="2499" xr:uid="{00000000-0005-0000-0000-0000470C0000}"/>
    <cellStyle name="Normal 9 9 13" xfId="2659" xr:uid="{00000000-0005-0000-0000-0000480C0000}"/>
    <cellStyle name="Normal 9 9 2" xfId="344" xr:uid="{00000000-0005-0000-0000-0000490C0000}"/>
    <cellStyle name="Normal 9 9 3" xfId="558" xr:uid="{00000000-0005-0000-0000-00004A0C0000}"/>
    <cellStyle name="Normal 9 9 4" xfId="772" xr:uid="{00000000-0005-0000-0000-00004B0C0000}"/>
    <cellStyle name="Normal 9 9 5" xfId="988" xr:uid="{00000000-0005-0000-0000-00004C0C0000}"/>
    <cellStyle name="Normal 9 9 6" xfId="1204" xr:uid="{00000000-0005-0000-0000-00004D0C0000}"/>
    <cellStyle name="Normal 9 9 7" xfId="1420" xr:uid="{00000000-0005-0000-0000-00004E0C0000}"/>
    <cellStyle name="Normal 9 9 8" xfId="1636" xr:uid="{00000000-0005-0000-0000-00004F0C0000}"/>
    <cellStyle name="Normal 9 9 9" xfId="1852" xr:uid="{00000000-0005-0000-0000-0000500C0000}"/>
    <cellStyle name="Note 2" xfId="3109" xr:uid="{00000000-0005-0000-0000-0000510C0000}"/>
    <cellStyle name="Output 2" xfId="3110" xr:uid="{00000000-0005-0000-0000-0000520C0000}"/>
    <cellStyle name="Percent" xfId="2" builtinId="5"/>
    <cellStyle name="Percent 10" xfId="2829" xr:uid="{00000000-0005-0000-0000-0000540C0000}"/>
    <cellStyle name="Percent 10 2" xfId="2855" xr:uid="{00000000-0005-0000-0000-0000550C0000}"/>
    <cellStyle name="Percent 10 2 2" xfId="2898" xr:uid="{00000000-0005-0000-0000-0000560C0000}"/>
    <cellStyle name="Percent 10 2 2 2" xfId="2983" xr:uid="{00000000-0005-0000-0000-0000570C0000}"/>
    <cellStyle name="Percent 10 2 2 2 2" xfId="3707" xr:uid="{00000000-0005-0000-0000-0000580C0000}"/>
    <cellStyle name="Percent 10 2 2 3" xfId="3064" xr:uid="{00000000-0005-0000-0000-0000590C0000}"/>
    <cellStyle name="Percent 10 2 2 3 2" xfId="3788" xr:uid="{00000000-0005-0000-0000-00005A0C0000}"/>
    <cellStyle name="Percent 10 2 2 4" xfId="3186" xr:uid="{00000000-0005-0000-0000-00005B0C0000}"/>
    <cellStyle name="Percent 10 2 2 4 2" xfId="3870" xr:uid="{00000000-0005-0000-0000-00005C0C0000}"/>
    <cellStyle name="Percent 10 2 2 5" xfId="3626" xr:uid="{00000000-0005-0000-0000-00005D0C0000}"/>
    <cellStyle name="Percent 10 2 3" xfId="2943" xr:uid="{00000000-0005-0000-0000-00005E0C0000}"/>
    <cellStyle name="Percent 10 2 3 2" xfId="3667" xr:uid="{00000000-0005-0000-0000-00005F0C0000}"/>
    <cellStyle name="Percent 10 2 4" xfId="3024" xr:uid="{00000000-0005-0000-0000-0000600C0000}"/>
    <cellStyle name="Percent 10 2 4 2" xfId="3748" xr:uid="{00000000-0005-0000-0000-0000610C0000}"/>
    <cellStyle name="Percent 10 2 5" xfId="3146" xr:uid="{00000000-0005-0000-0000-0000620C0000}"/>
    <cellStyle name="Percent 10 2 5 2" xfId="3830" xr:uid="{00000000-0005-0000-0000-0000630C0000}"/>
    <cellStyle name="Percent 10 2 6" xfId="3586" xr:uid="{00000000-0005-0000-0000-0000640C0000}"/>
    <cellStyle name="Percent 10 3" xfId="2877" xr:uid="{00000000-0005-0000-0000-0000650C0000}"/>
    <cellStyle name="Percent 10 3 2" xfId="2962" xr:uid="{00000000-0005-0000-0000-0000660C0000}"/>
    <cellStyle name="Percent 10 3 2 2" xfId="3686" xr:uid="{00000000-0005-0000-0000-0000670C0000}"/>
    <cellStyle name="Percent 10 3 3" xfId="3043" xr:uid="{00000000-0005-0000-0000-0000680C0000}"/>
    <cellStyle name="Percent 10 3 3 2" xfId="3767" xr:uid="{00000000-0005-0000-0000-0000690C0000}"/>
    <cellStyle name="Percent 10 3 4" xfId="3165" xr:uid="{00000000-0005-0000-0000-00006A0C0000}"/>
    <cellStyle name="Percent 10 3 4 2" xfId="3849" xr:uid="{00000000-0005-0000-0000-00006B0C0000}"/>
    <cellStyle name="Percent 10 3 5" xfId="3605" xr:uid="{00000000-0005-0000-0000-00006C0C0000}"/>
    <cellStyle name="Percent 10 4" xfId="2922" xr:uid="{00000000-0005-0000-0000-00006D0C0000}"/>
    <cellStyle name="Percent 10 4 2" xfId="3646" xr:uid="{00000000-0005-0000-0000-00006E0C0000}"/>
    <cellStyle name="Percent 10 5" xfId="3003" xr:uid="{00000000-0005-0000-0000-00006F0C0000}"/>
    <cellStyle name="Percent 10 5 2" xfId="3727" xr:uid="{00000000-0005-0000-0000-0000700C0000}"/>
    <cellStyle name="Percent 10 6" xfId="3125" xr:uid="{00000000-0005-0000-0000-0000710C0000}"/>
    <cellStyle name="Percent 10 6 2" xfId="3809" xr:uid="{00000000-0005-0000-0000-0000720C0000}"/>
    <cellStyle name="Percent 10 7" xfId="3566" xr:uid="{00000000-0005-0000-0000-0000730C0000}"/>
    <cellStyle name="Percent 11" xfId="119" xr:uid="{00000000-0005-0000-0000-0000740C0000}"/>
    <cellStyle name="Percent 11 10" xfId="120" xr:uid="{00000000-0005-0000-0000-0000750C0000}"/>
    <cellStyle name="Percent 11 10 10" xfId="2069" xr:uid="{00000000-0005-0000-0000-0000760C0000}"/>
    <cellStyle name="Percent 11 10 11" xfId="2286" xr:uid="{00000000-0005-0000-0000-0000770C0000}"/>
    <cellStyle name="Percent 11 10 12" xfId="2501" xr:uid="{00000000-0005-0000-0000-0000780C0000}"/>
    <cellStyle name="Percent 11 10 13" xfId="2617" xr:uid="{00000000-0005-0000-0000-0000790C0000}"/>
    <cellStyle name="Percent 11 10 2" xfId="346" xr:uid="{00000000-0005-0000-0000-00007A0C0000}"/>
    <cellStyle name="Percent 11 10 3" xfId="560" xr:uid="{00000000-0005-0000-0000-00007B0C0000}"/>
    <cellStyle name="Percent 11 10 4" xfId="774" xr:uid="{00000000-0005-0000-0000-00007C0C0000}"/>
    <cellStyle name="Percent 11 10 5" xfId="990" xr:uid="{00000000-0005-0000-0000-00007D0C0000}"/>
    <cellStyle name="Percent 11 10 6" xfId="1206" xr:uid="{00000000-0005-0000-0000-00007E0C0000}"/>
    <cellStyle name="Percent 11 10 7" xfId="1422" xr:uid="{00000000-0005-0000-0000-00007F0C0000}"/>
    <cellStyle name="Percent 11 10 8" xfId="1638" xr:uid="{00000000-0005-0000-0000-0000800C0000}"/>
    <cellStyle name="Percent 11 10 9" xfId="1854" xr:uid="{00000000-0005-0000-0000-0000810C0000}"/>
    <cellStyle name="Percent 11 11" xfId="345" xr:uid="{00000000-0005-0000-0000-0000820C0000}"/>
    <cellStyle name="Percent 11 12" xfId="559" xr:uid="{00000000-0005-0000-0000-0000830C0000}"/>
    <cellStyle name="Percent 11 13" xfId="773" xr:uid="{00000000-0005-0000-0000-0000840C0000}"/>
    <cellStyle name="Percent 11 14" xfId="989" xr:uid="{00000000-0005-0000-0000-0000850C0000}"/>
    <cellStyle name="Percent 11 15" xfId="1205" xr:uid="{00000000-0005-0000-0000-0000860C0000}"/>
    <cellStyle name="Percent 11 16" xfId="1421" xr:uid="{00000000-0005-0000-0000-0000870C0000}"/>
    <cellStyle name="Percent 11 17" xfId="1637" xr:uid="{00000000-0005-0000-0000-0000880C0000}"/>
    <cellStyle name="Percent 11 18" xfId="1853" xr:uid="{00000000-0005-0000-0000-0000890C0000}"/>
    <cellStyle name="Percent 11 19" xfId="2068" xr:uid="{00000000-0005-0000-0000-00008A0C0000}"/>
    <cellStyle name="Percent 11 2" xfId="121" xr:uid="{00000000-0005-0000-0000-00008B0C0000}"/>
    <cellStyle name="Percent 11 2 10" xfId="2070" xr:uid="{00000000-0005-0000-0000-00008C0C0000}"/>
    <cellStyle name="Percent 11 2 11" xfId="2259" xr:uid="{00000000-0005-0000-0000-00008D0C0000}"/>
    <cellStyle name="Percent 11 2 12" xfId="2502" xr:uid="{00000000-0005-0000-0000-00008E0C0000}"/>
    <cellStyle name="Percent 11 2 13" xfId="2797" xr:uid="{00000000-0005-0000-0000-00008F0C0000}"/>
    <cellStyle name="Percent 11 2 2" xfId="347" xr:uid="{00000000-0005-0000-0000-0000900C0000}"/>
    <cellStyle name="Percent 11 2 3" xfId="561" xr:uid="{00000000-0005-0000-0000-0000910C0000}"/>
    <cellStyle name="Percent 11 2 4" xfId="775" xr:uid="{00000000-0005-0000-0000-0000920C0000}"/>
    <cellStyle name="Percent 11 2 5" xfId="991" xr:uid="{00000000-0005-0000-0000-0000930C0000}"/>
    <cellStyle name="Percent 11 2 6" xfId="1207" xr:uid="{00000000-0005-0000-0000-0000940C0000}"/>
    <cellStyle name="Percent 11 2 7" xfId="1423" xr:uid="{00000000-0005-0000-0000-0000950C0000}"/>
    <cellStyle name="Percent 11 2 8" xfId="1639" xr:uid="{00000000-0005-0000-0000-0000960C0000}"/>
    <cellStyle name="Percent 11 2 9" xfId="1855" xr:uid="{00000000-0005-0000-0000-0000970C0000}"/>
    <cellStyle name="Percent 11 20" xfId="2314" xr:uid="{00000000-0005-0000-0000-0000980C0000}"/>
    <cellStyle name="Percent 11 21" xfId="2500" xr:uid="{00000000-0005-0000-0000-0000990C0000}"/>
    <cellStyle name="Percent 11 22" xfId="2638" xr:uid="{00000000-0005-0000-0000-00009A0C0000}"/>
    <cellStyle name="Percent 11 3" xfId="122" xr:uid="{00000000-0005-0000-0000-00009B0C0000}"/>
    <cellStyle name="Percent 11 3 10" xfId="2071" xr:uid="{00000000-0005-0000-0000-00009C0C0000}"/>
    <cellStyle name="Percent 11 3 11" xfId="2232" xr:uid="{00000000-0005-0000-0000-00009D0C0000}"/>
    <cellStyle name="Percent 11 3 12" xfId="2503" xr:uid="{00000000-0005-0000-0000-00009E0C0000}"/>
    <cellStyle name="Percent 11 3 13" xfId="2790" xr:uid="{00000000-0005-0000-0000-00009F0C0000}"/>
    <cellStyle name="Percent 11 3 2" xfId="348" xr:uid="{00000000-0005-0000-0000-0000A00C0000}"/>
    <cellStyle name="Percent 11 3 3" xfId="562" xr:uid="{00000000-0005-0000-0000-0000A10C0000}"/>
    <cellStyle name="Percent 11 3 4" xfId="776" xr:uid="{00000000-0005-0000-0000-0000A20C0000}"/>
    <cellStyle name="Percent 11 3 5" xfId="992" xr:uid="{00000000-0005-0000-0000-0000A30C0000}"/>
    <cellStyle name="Percent 11 3 6" xfId="1208" xr:uid="{00000000-0005-0000-0000-0000A40C0000}"/>
    <cellStyle name="Percent 11 3 7" xfId="1424" xr:uid="{00000000-0005-0000-0000-0000A50C0000}"/>
    <cellStyle name="Percent 11 3 8" xfId="1640" xr:uid="{00000000-0005-0000-0000-0000A60C0000}"/>
    <cellStyle name="Percent 11 3 9" xfId="1856" xr:uid="{00000000-0005-0000-0000-0000A70C0000}"/>
    <cellStyle name="Percent 11 4" xfId="123" xr:uid="{00000000-0005-0000-0000-0000A80C0000}"/>
    <cellStyle name="Percent 11 4 10" xfId="2072" xr:uid="{00000000-0005-0000-0000-0000A90C0000}"/>
    <cellStyle name="Percent 11 4 11" xfId="2205" xr:uid="{00000000-0005-0000-0000-0000AA0C0000}"/>
    <cellStyle name="Percent 11 4 12" xfId="2504" xr:uid="{00000000-0005-0000-0000-0000AB0C0000}"/>
    <cellStyle name="Percent 11 4 13" xfId="2767" xr:uid="{00000000-0005-0000-0000-0000AC0C0000}"/>
    <cellStyle name="Percent 11 4 2" xfId="349" xr:uid="{00000000-0005-0000-0000-0000AD0C0000}"/>
    <cellStyle name="Percent 11 4 3" xfId="563" xr:uid="{00000000-0005-0000-0000-0000AE0C0000}"/>
    <cellStyle name="Percent 11 4 4" xfId="777" xr:uid="{00000000-0005-0000-0000-0000AF0C0000}"/>
    <cellStyle name="Percent 11 4 5" xfId="993" xr:uid="{00000000-0005-0000-0000-0000B00C0000}"/>
    <cellStyle name="Percent 11 4 6" xfId="1209" xr:uid="{00000000-0005-0000-0000-0000B10C0000}"/>
    <cellStyle name="Percent 11 4 7" xfId="1425" xr:uid="{00000000-0005-0000-0000-0000B20C0000}"/>
    <cellStyle name="Percent 11 4 8" xfId="1641" xr:uid="{00000000-0005-0000-0000-0000B30C0000}"/>
    <cellStyle name="Percent 11 4 9" xfId="1857" xr:uid="{00000000-0005-0000-0000-0000B40C0000}"/>
    <cellStyle name="Percent 11 5" xfId="124" xr:uid="{00000000-0005-0000-0000-0000B50C0000}"/>
    <cellStyle name="Percent 11 5 10" xfId="2073" xr:uid="{00000000-0005-0000-0000-0000B60C0000}"/>
    <cellStyle name="Percent 11 5 11" xfId="2178" xr:uid="{00000000-0005-0000-0000-0000B70C0000}"/>
    <cellStyle name="Percent 11 5 12" xfId="2505" xr:uid="{00000000-0005-0000-0000-0000B80C0000}"/>
    <cellStyle name="Percent 11 5 13" xfId="2746" xr:uid="{00000000-0005-0000-0000-0000B90C0000}"/>
    <cellStyle name="Percent 11 5 2" xfId="350" xr:uid="{00000000-0005-0000-0000-0000BA0C0000}"/>
    <cellStyle name="Percent 11 5 3" xfId="564" xr:uid="{00000000-0005-0000-0000-0000BB0C0000}"/>
    <cellStyle name="Percent 11 5 4" xfId="778" xr:uid="{00000000-0005-0000-0000-0000BC0C0000}"/>
    <cellStyle name="Percent 11 5 5" xfId="994" xr:uid="{00000000-0005-0000-0000-0000BD0C0000}"/>
    <cellStyle name="Percent 11 5 6" xfId="1210" xr:uid="{00000000-0005-0000-0000-0000BE0C0000}"/>
    <cellStyle name="Percent 11 5 7" xfId="1426" xr:uid="{00000000-0005-0000-0000-0000BF0C0000}"/>
    <cellStyle name="Percent 11 5 8" xfId="1642" xr:uid="{00000000-0005-0000-0000-0000C00C0000}"/>
    <cellStyle name="Percent 11 5 9" xfId="1858" xr:uid="{00000000-0005-0000-0000-0000C10C0000}"/>
    <cellStyle name="Percent 11 6" xfId="125" xr:uid="{00000000-0005-0000-0000-0000C20C0000}"/>
    <cellStyle name="Percent 11 6 10" xfId="2074" xr:uid="{00000000-0005-0000-0000-0000C30C0000}"/>
    <cellStyle name="Percent 11 6 11" xfId="2366" xr:uid="{00000000-0005-0000-0000-0000C40C0000}"/>
    <cellStyle name="Percent 11 6 12" xfId="2506" xr:uid="{00000000-0005-0000-0000-0000C50C0000}"/>
    <cellStyle name="Percent 11 6 13" xfId="2724" xr:uid="{00000000-0005-0000-0000-0000C60C0000}"/>
    <cellStyle name="Percent 11 6 2" xfId="351" xr:uid="{00000000-0005-0000-0000-0000C70C0000}"/>
    <cellStyle name="Percent 11 6 3" xfId="565" xr:uid="{00000000-0005-0000-0000-0000C80C0000}"/>
    <cellStyle name="Percent 11 6 4" xfId="779" xr:uid="{00000000-0005-0000-0000-0000C90C0000}"/>
    <cellStyle name="Percent 11 6 5" xfId="995" xr:uid="{00000000-0005-0000-0000-0000CA0C0000}"/>
    <cellStyle name="Percent 11 6 6" xfId="1211" xr:uid="{00000000-0005-0000-0000-0000CB0C0000}"/>
    <cellStyle name="Percent 11 6 7" xfId="1427" xr:uid="{00000000-0005-0000-0000-0000CC0C0000}"/>
    <cellStyle name="Percent 11 6 8" xfId="1643" xr:uid="{00000000-0005-0000-0000-0000CD0C0000}"/>
    <cellStyle name="Percent 11 6 9" xfId="1859" xr:uid="{00000000-0005-0000-0000-0000CE0C0000}"/>
    <cellStyle name="Percent 11 7" xfId="126" xr:uid="{00000000-0005-0000-0000-0000CF0C0000}"/>
    <cellStyle name="Percent 11 7 10" xfId="2075" xr:uid="{00000000-0005-0000-0000-0000D00C0000}"/>
    <cellStyle name="Percent 11 7 11" xfId="2339" xr:uid="{00000000-0005-0000-0000-0000D10C0000}"/>
    <cellStyle name="Percent 11 7 12" xfId="2507" xr:uid="{00000000-0005-0000-0000-0000D20C0000}"/>
    <cellStyle name="Percent 11 7 13" xfId="2702" xr:uid="{00000000-0005-0000-0000-0000D30C0000}"/>
    <cellStyle name="Percent 11 7 2" xfId="352" xr:uid="{00000000-0005-0000-0000-0000D40C0000}"/>
    <cellStyle name="Percent 11 7 3" xfId="566" xr:uid="{00000000-0005-0000-0000-0000D50C0000}"/>
    <cellStyle name="Percent 11 7 4" xfId="780" xr:uid="{00000000-0005-0000-0000-0000D60C0000}"/>
    <cellStyle name="Percent 11 7 5" xfId="996" xr:uid="{00000000-0005-0000-0000-0000D70C0000}"/>
    <cellStyle name="Percent 11 7 6" xfId="1212" xr:uid="{00000000-0005-0000-0000-0000D80C0000}"/>
    <cellStyle name="Percent 11 7 7" xfId="1428" xr:uid="{00000000-0005-0000-0000-0000D90C0000}"/>
    <cellStyle name="Percent 11 7 8" xfId="1644" xr:uid="{00000000-0005-0000-0000-0000DA0C0000}"/>
    <cellStyle name="Percent 11 7 9" xfId="1860" xr:uid="{00000000-0005-0000-0000-0000DB0C0000}"/>
    <cellStyle name="Percent 11 8" xfId="127" xr:uid="{00000000-0005-0000-0000-0000DC0C0000}"/>
    <cellStyle name="Percent 11 8 10" xfId="2076" xr:uid="{00000000-0005-0000-0000-0000DD0C0000}"/>
    <cellStyle name="Percent 11 8 11" xfId="2312" xr:uid="{00000000-0005-0000-0000-0000DE0C0000}"/>
    <cellStyle name="Percent 11 8 12" xfId="2508" xr:uid="{00000000-0005-0000-0000-0000DF0C0000}"/>
    <cellStyle name="Percent 11 8 13" xfId="2680" xr:uid="{00000000-0005-0000-0000-0000E00C0000}"/>
    <cellStyle name="Percent 11 8 2" xfId="353" xr:uid="{00000000-0005-0000-0000-0000E10C0000}"/>
    <cellStyle name="Percent 11 8 3" xfId="567" xr:uid="{00000000-0005-0000-0000-0000E20C0000}"/>
    <cellStyle name="Percent 11 8 4" xfId="781" xr:uid="{00000000-0005-0000-0000-0000E30C0000}"/>
    <cellStyle name="Percent 11 8 5" xfId="997" xr:uid="{00000000-0005-0000-0000-0000E40C0000}"/>
    <cellStyle name="Percent 11 8 6" xfId="1213" xr:uid="{00000000-0005-0000-0000-0000E50C0000}"/>
    <cellStyle name="Percent 11 8 7" xfId="1429" xr:uid="{00000000-0005-0000-0000-0000E60C0000}"/>
    <cellStyle name="Percent 11 8 8" xfId="1645" xr:uid="{00000000-0005-0000-0000-0000E70C0000}"/>
    <cellStyle name="Percent 11 8 9" xfId="1861" xr:uid="{00000000-0005-0000-0000-0000E80C0000}"/>
    <cellStyle name="Percent 11 9" xfId="128" xr:uid="{00000000-0005-0000-0000-0000E90C0000}"/>
    <cellStyle name="Percent 11 9 10" xfId="2077" xr:uid="{00000000-0005-0000-0000-0000EA0C0000}"/>
    <cellStyle name="Percent 11 9 11" xfId="2284" xr:uid="{00000000-0005-0000-0000-0000EB0C0000}"/>
    <cellStyle name="Percent 11 9 12" xfId="2509" xr:uid="{00000000-0005-0000-0000-0000EC0C0000}"/>
    <cellStyle name="Percent 11 9 13" xfId="2658" xr:uid="{00000000-0005-0000-0000-0000ED0C0000}"/>
    <cellStyle name="Percent 11 9 2" xfId="354" xr:uid="{00000000-0005-0000-0000-0000EE0C0000}"/>
    <cellStyle name="Percent 11 9 3" xfId="568" xr:uid="{00000000-0005-0000-0000-0000EF0C0000}"/>
    <cellStyle name="Percent 11 9 4" xfId="782" xr:uid="{00000000-0005-0000-0000-0000F00C0000}"/>
    <cellStyle name="Percent 11 9 5" xfId="998" xr:uid="{00000000-0005-0000-0000-0000F10C0000}"/>
    <cellStyle name="Percent 11 9 6" xfId="1214" xr:uid="{00000000-0005-0000-0000-0000F20C0000}"/>
    <cellStyle name="Percent 11 9 7" xfId="1430" xr:uid="{00000000-0005-0000-0000-0000F30C0000}"/>
    <cellStyle name="Percent 11 9 8" xfId="1646" xr:uid="{00000000-0005-0000-0000-0000F40C0000}"/>
    <cellStyle name="Percent 11 9 9" xfId="1862" xr:uid="{00000000-0005-0000-0000-0000F50C0000}"/>
    <cellStyle name="Percent 12" xfId="2831" xr:uid="{00000000-0005-0000-0000-0000F60C0000}"/>
    <cellStyle name="Percent 12 2" xfId="2856" xr:uid="{00000000-0005-0000-0000-0000F70C0000}"/>
    <cellStyle name="Percent 12 2 2" xfId="2899" xr:uid="{00000000-0005-0000-0000-0000F80C0000}"/>
    <cellStyle name="Percent 12 2 2 2" xfId="2984" xr:uid="{00000000-0005-0000-0000-0000F90C0000}"/>
    <cellStyle name="Percent 12 2 2 2 2" xfId="3708" xr:uid="{00000000-0005-0000-0000-0000FA0C0000}"/>
    <cellStyle name="Percent 12 2 2 3" xfId="3065" xr:uid="{00000000-0005-0000-0000-0000FB0C0000}"/>
    <cellStyle name="Percent 12 2 2 3 2" xfId="3789" xr:uid="{00000000-0005-0000-0000-0000FC0C0000}"/>
    <cellStyle name="Percent 12 2 2 4" xfId="3187" xr:uid="{00000000-0005-0000-0000-0000FD0C0000}"/>
    <cellStyle name="Percent 12 2 2 4 2" xfId="3871" xr:uid="{00000000-0005-0000-0000-0000FE0C0000}"/>
    <cellStyle name="Percent 12 2 2 5" xfId="3627" xr:uid="{00000000-0005-0000-0000-0000FF0C0000}"/>
    <cellStyle name="Percent 12 2 3" xfId="2944" xr:uid="{00000000-0005-0000-0000-0000000D0000}"/>
    <cellStyle name="Percent 12 2 3 2" xfId="3668" xr:uid="{00000000-0005-0000-0000-0000010D0000}"/>
    <cellStyle name="Percent 12 2 4" xfId="3025" xr:uid="{00000000-0005-0000-0000-0000020D0000}"/>
    <cellStyle name="Percent 12 2 4 2" xfId="3749" xr:uid="{00000000-0005-0000-0000-0000030D0000}"/>
    <cellStyle name="Percent 12 2 5" xfId="3147" xr:uid="{00000000-0005-0000-0000-0000040D0000}"/>
    <cellStyle name="Percent 12 2 5 2" xfId="3831" xr:uid="{00000000-0005-0000-0000-0000050D0000}"/>
    <cellStyle name="Percent 12 2 6" xfId="3587" xr:uid="{00000000-0005-0000-0000-0000060D0000}"/>
    <cellStyle name="Percent 12 3" xfId="2878" xr:uid="{00000000-0005-0000-0000-0000070D0000}"/>
    <cellStyle name="Percent 12 3 2" xfId="2963" xr:uid="{00000000-0005-0000-0000-0000080D0000}"/>
    <cellStyle name="Percent 12 3 2 2" xfId="3687" xr:uid="{00000000-0005-0000-0000-0000090D0000}"/>
    <cellStyle name="Percent 12 3 3" xfId="3044" xr:uid="{00000000-0005-0000-0000-00000A0D0000}"/>
    <cellStyle name="Percent 12 3 3 2" xfId="3768" xr:uid="{00000000-0005-0000-0000-00000B0D0000}"/>
    <cellStyle name="Percent 12 3 4" xfId="3166" xr:uid="{00000000-0005-0000-0000-00000C0D0000}"/>
    <cellStyle name="Percent 12 3 4 2" xfId="3850" xr:uid="{00000000-0005-0000-0000-00000D0D0000}"/>
    <cellStyle name="Percent 12 3 5" xfId="3606" xr:uid="{00000000-0005-0000-0000-00000E0D0000}"/>
    <cellStyle name="Percent 12 4" xfId="2923" xr:uid="{00000000-0005-0000-0000-00000F0D0000}"/>
    <cellStyle name="Percent 12 4 2" xfId="3647" xr:uid="{00000000-0005-0000-0000-0000100D0000}"/>
    <cellStyle name="Percent 12 5" xfId="3004" xr:uid="{00000000-0005-0000-0000-0000110D0000}"/>
    <cellStyle name="Percent 12 5 2" xfId="3728" xr:uid="{00000000-0005-0000-0000-0000120D0000}"/>
    <cellStyle name="Percent 12 6" xfId="3126" xr:uid="{00000000-0005-0000-0000-0000130D0000}"/>
    <cellStyle name="Percent 12 6 2" xfId="3810" xr:uid="{00000000-0005-0000-0000-0000140D0000}"/>
    <cellStyle name="Percent 12 7" xfId="3567" xr:uid="{00000000-0005-0000-0000-0000150D0000}"/>
    <cellStyle name="Percent 14" xfId="129" xr:uid="{00000000-0005-0000-0000-0000160D0000}"/>
    <cellStyle name="Percent 14 10" xfId="130" xr:uid="{00000000-0005-0000-0000-0000170D0000}"/>
    <cellStyle name="Percent 14 10 10" xfId="2079" xr:uid="{00000000-0005-0000-0000-0000180D0000}"/>
    <cellStyle name="Percent 14 10 11" xfId="2230" xr:uid="{00000000-0005-0000-0000-0000190D0000}"/>
    <cellStyle name="Percent 14 10 12" xfId="2511" xr:uid="{00000000-0005-0000-0000-00001A0D0000}"/>
    <cellStyle name="Percent 14 10 13" xfId="2616" xr:uid="{00000000-0005-0000-0000-00001B0D0000}"/>
    <cellStyle name="Percent 14 10 2" xfId="356" xr:uid="{00000000-0005-0000-0000-00001C0D0000}"/>
    <cellStyle name="Percent 14 10 3" xfId="570" xr:uid="{00000000-0005-0000-0000-00001D0D0000}"/>
    <cellStyle name="Percent 14 10 4" xfId="784" xr:uid="{00000000-0005-0000-0000-00001E0D0000}"/>
    <cellStyle name="Percent 14 10 5" xfId="1000" xr:uid="{00000000-0005-0000-0000-00001F0D0000}"/>
    <cellStyle name="Percent 14 10 6" xfId="1216" xr:uid="{00000000-0005-0000-0000-0000200D0000}"/>
    <cellStyle name="Percent 14 10 7" xfId="1432" xr:uid="{00000000-0005-0000-0000-0000210D0000}"/>
    <cellStyle name="Percent 14 10 8" xfId="1648" xr:uid="{00000000-0005-0000-0000-0000220D0000}"/>
    <cellStyle name="Percent 14 10 9" xfId="1864" xr:uid="{00000000-0005-0000-0000-0000230D0000}"/>
    <cellStyle name="Percent 14 11" xfId="355" xr:uid="{00000000-0005-0000-0000-0000240D0000}"/>
    <cellStyle name="Percent 14 12" xfId="569" xr:uid="{00000000-0005-0000-0000-0000250D0000}"/>
    <cellStyle name="Percent 14 13" xfId="783" xr:uid="{00000000-0005-0000-0000-0000260D0000}"/>
    <cellStyle name="Percent 14 14" xfId="999" xr:uid="{00000000-0005-0000-0000-0000270D0000}"/>
    <cellStyle name="Percent 14 15" xfId="1215" xr:uid="{00000000-0005-0000-0000-0000280D0000}"/>
    <cellStyle name="Percent 14 16" xfId="1431" xr:uid="{00000000-0005-0000-0000-0000290D0000}"/>
    <cellStyle name="Percent 14 17" xfId="1647" xr:uid="{00000000-0005-0000-0000-00002A0D0000}"/>
    <cellStyle name="Percent 14 18" xfId="1863" xr:uid="{00000000-0005-0000-0000-00002B0D0000}"/>
    <cellStyle name="Percent 14 19" xfId="2078" xr:uid="{00000000-0005-0000-0000-00002C0D0000}"/>
    <cellStyle name="Percent 14 2" xfId="131" xr:uid="{00000000-0005-0000-0000-00002D0D0000}"/>
    <cellStyle name="Percent 14 2 10" xfId="2080" xr:uid="{00000000-0005-0000-0000-00002E0D0000}"/>
    <cellStyle name="Percent 14 2 11" xfId="2203" xr:uid="{00000000-0005-0000-0000-00002F0D0000}"/>
    <cellStyle name="Percent 14 2 12" xfId="2512" xr:uid="{00000000-0005-0000-0000-0000300D0000}"/>
    <cellStyle name="Percent 14 2 13" xfId="2803" xr:uid="{00000000-0005-0000-0000-0000310D0000}"/>
    <cellStyle name="Percent 14 2 2" xfId="357" xr:uid="{00000000-0005-0000-0000-0000320D0000}"/>
    <cellStyle name="Percent 14 2 3" xfId="571" xr:uid="{00000000-0005-0000-0000-0000330D0000}"/>
    <cellStyle name="Percent 14 2 4" xfId="785" xr:uid="{00000000-0005-0000-0000-0000340D0000}"/>
    <cellStyle name="Percent 14 2 5" xfId="1001" xr:uid="{00000000-0005-0000-0000-0000350D0000}"/>
    <cellStyle name="Percent 14 2 6" xfId="1217" xr:uid="{00000000-0005-0000-0000-0000360D0000}"/>
    <cellStyle name="Percent 14 2 7" xfId="1433" xr:uid="{00000000-0005-0000-0000-0000370D0000}"/>
    <cellStyle name="Percent 14 2 8" xfId="1649" xr:uid="{00000000-0005-0000-0000-0000380D0000}"/>
    <cellStyle name="Percent 14 2 9" xfId="1865" xr:uid="{00000000-0005-0000-0000-0000390D0000}"/>
    <cellStyle name="Percent 14 20" xfId="2257" xr:uid="{00000000-0005-0000-0000-00003A0D0000}"/>
    <cellStyle name="Percent 14 21" xfId="2510" xr:uid="{00000000-0005-0000-0000-00003B0D0000}"/>
    <cellStyle name="Percent 14 22" xfId="2637" xr:uid="{00000000-0005-0000-0000-00003C0D0000}"/>
    <cellStyle name="Percent 14 3" xfId="132" xr:uid="{00000000-0005-0000-0000-00003D0D0000}"/>
    <cellStyle name="Percent 14 3 10" xfId="2081" xr:uid="{00000000-0005-0000-0000-00003E0D0000}"/>
    <cellStyle name="Percent 14 3 11" xfId="2176" xr:uid="{00000000-0005-0000-0000-00003F0D0000}"/>
    <cellStyle name="Percent 14 3 12" xfId="2513" xr:uid="{00000000-0005-0000-0000-0000400D0000}"/>
    <cellStyle name="Percent 14 3 13" xfId="2789" xr:uid="{00000000-0005-0000-0000-0000410D0000}"/>
    <cellStyle name="Percent 14 3 2" xfId="358" xr:uid="{00000000-0005-0000-0000-0000420D0000}"/>
    <cellStyle name="Percent 14 3 3" xfId="572" xr:uid="{00000000-0005-0000-0000-0000430D0000}"/>
    <cellStyle name="Percent 14 3 4" xfId="786" xr:uid="{00000000-0005-0000-0000-0000440D0000}"/>
    <cellStyle name="Percent 14 3 5" xfId="1002" xr:uid="{00000000-0005-0000-0000-0000450D0000}"/>
    <cellStyle name="Percent 14 3 6" xfId="1218" xr:uid="{00000000-0005-0000-0000-0000460D0000}"/>
    <cellStyle name="Percent 14 3 7" xfId="1434" xr:uid="{00000000-0005-0000-0000-0000470D0000}"/>
    <cellStyle name="Percent 14 3 8" xfId="1650" xr:uid="{00000000-0005-0000-0000-0000480D0000}"/>
    <cellStyle name="Percent 14 3 9" xfId="1866" xr:uid="{00000000-0005-0000-0000-0000490D0000}"/>
    <cellStyle name="Percent 14 4" xfId="133" xr:uid="{00000000-0005-0000-0000-00004A0D0000}"/>
    <cellStyle name="Percent 14 4 10" xfId="2082" xr:uid="{00000000-0005-0000-0000-00004B0D0000}"/>
    <cellStyle name="Percent 14 4 11" xfId="2367" xr:uid="{00000000-0005-0000-0000-00004C0D0000}"/>
    <cellStyle name="Percent 14 4 12" xfId="2514" xr:uid="{00000000-0005-0000-0000-00004D0D0000}"/>
    <cellStyle name="Percent 14 4 13" xfId="2760" xr:uid="{00000000-0005-0000-0000-00004E0D0000}"/>
    <cellStyle name="Percent 14 4 2" xfId="359" xr:uid="{00000000-0005-0000-0000-00004F0D0000}"/>
    <cellStyle name="Percent 14 4 3" xfId="573" xr:uid="{00000000-0005-0000-0000-0000500D0000}"/>
    <cellStyle name="Percent 14 4 4" xfId="787" xr:uid="{00000000-0005-0000-0000-0000510D0000}"/>
    <cellStyle name="Percent 14 4 5" xfId="1003" xr:uid="{00000000-0005-0000-0000-0000520D0000}"/>
    <cellStyle name="Percent 14 4 6" xfId="1219" xr:uid="{00000000-0005-0000-0000-0000530D0000}"/>
    <cellStyle name="Percent 14 4 7" xfId="1435" xr:uid="{00000000-0005-0000-0000-0000540D0000}"/>
    <cellStyle name="Percent 14 4 8" xfId="1651" xr:uid="{00000000-0005-0000-0000-0000550D0000}"/>
    <cellStyle name="Percent 14 4 9" xfId="1867" xr:uid="{00000000-0005-0000-0000-0000560D0000}"/>
    <cellStyle name="Percent 14 5" xfId="134" xr:uid="{00000000-0005-0000-0000-0000570D0000}"/>
    <cellStyle name="Percent 14 5 10" xfId="2083" xr:uid="{00000000-0005-0000-0000-0000580D0000}"/>
    <cellStyle name="Percent 14 5 11" xfId="2340" xr:uid="{00000000-0005-0000-0000-0000590D0000}"/>
    <cellStyle name="Percent 14 5 12" xfId="2515" xr:uid="{00000000-0005-0000-0000-00005A0D0000}"/>
    <cellStyle name="Percent 14 5 13" xfId="2738" xr:uid="{00000000-0005-0000-0000-00005B0D0000}"/>
    <cellStyle name="Percent 14 5 2" xfId="360" xr:uid="{00000000-0005-0000-0000-00005C0D0000}"/>
    <cellStyle name="Percent 14 5 3" xfId="574" xr:uid="{00000000-0005-0000-0000-00005D0D0000}"/>
    <cellStyle name="Percent 14 5 4" xfId="788" xr:uid="{00000000-0005-0000-0000-00005E0D0000}"/>
    <cellStyle name="Percent 14 5 5" xfId="1004" xr:uid="{00000000-0005-0000-0000-00005F0D0000}"/>
    <cellStyle name="Percent 14 5 6" xfId="1220" xr:uid="{00000000-0005-0000-0000-0000600D0000}"/>
    <cellStyle name="Percent 14 5 7" xfId="1436" xr:uid="{00000000-0005-0000-0000-0000610D0000}"/>
    <cellStyle name="Percent 14 5 8" xfId="1652" xr:uid="{00000000-0005-0000-0000-0000620D0000}"/>
    <cellStyle name="Percent 14 5 9" xfId="1868" xr:uid="{00000000-0005-0000-0000-0000630D0000}"/>
    <cellStyle name="Percent 14 6" xfId="135" xr:uid="{00000000-0005-0000-0000-0000640D0000}"/>
    <cellStyle name="Percent 14 6 10" xfId="2084" xr:uid="{00000000-0005-0000-0000-0000650D0000}"/>
    <cellStyle name="Percent 14 6 11" xfId="2313" xr:uid="{00000000-0005-0000-0000-0000660D0000}"/>
    <cellStyle name="Percent 14 6 12" xfId="2516" xr:uid="{00000000-0005-0000-0000-0000670D0000}"/>
    <cellStyle name="Percent 14 6 13" xfId="2716" xr:uid="{00000000-0005-0000-0000-0000680D0000}"/>
    <cellStyle name="Percent 14 6 2" xfId="361" xr:uid="{00000000-0005-0000-0000-0000690D0000}"/>
    <cellStyle name="Percent 14 6 3" xfId="575" xr:uid="{00000000-0005-0000-0000-00006A0D0000}"/>
    <cellStyle name="Percent 14 6 4" xfId="789" xr:uid="{00000000-0005-0000-0000-00006B0D0000}"/>
    <cellStyle name="Percent 14 6 5" xfId="1005" xr:uid="{00000000-0005-0000-0000-00006C0D0000}"/>
    <cellStyle name="Percent 14 6 6" xfId="1221" xr:uid="{00000000-0005-0000-0000-00006D0D0000}"/>
    <cellStyle name="Percent 14 6 7" xfId="1437" xr:uid="{00000000-0005-0000-0000-00006E0D0000}"/>
    <cellStyle name="Percent 14 6 8" xfId="1653" xr:uid="{00000000-0005-0000-0000-00006F0D0000}"/>
    <cellStyle name="Percent 14 6 9" xfId="1869" xr:uid="{00000000-0005-0000-0000-0000700D0000}"/>
    <cellStyle name="Percent 14 7" xfId="136" xr:uid="{00000000-0005-0000-0000-0000710D0000}"/>
    <cellStyle name="Percent 14 7 10" xfId="2085" xr:uid="{00000000-0005-0000-0000-0000720D0000}"/>
    <cellStyle name="Percent 14 7 11" xfId="2285" xr:uid="{00000000-0005-0000-0000-0000730D0000}"/>
    <cellStyle name="Percent 14 7 12" xfId="2517" xr:uid="{00000000-0005-0000-0000-0000740D0000}"/>
    <cellStyle name="Percent 14 7 13" xfId="2694" xr:uid="{00000000-0005-0000-0000-0000750D0000}"/>
    <cellStyle name="Percent 14 7 2" xfId="362" xr:uid="{00000000-0005-0000-0000-0000760D0000}"/>
    <cellStyle name="Percent 14 7 3" xfId="576" xr:uid="{00000000-0005-0000-0000-0000770D0000}"/>
    <cellStyle name="Percent 14 7 4" xfId="790" xr:uid="{00000000-0005-0000-0000-0000780D0000}"/>
    <cellStyle name="Percent 14 7 5" xfId="1006" xr:uid="{00000000-0005-0000-0000-0000790D0000}"/>
    <cellStyle name="Percent 14 7 6" xfId="1222" xr:uid="{00000000-0005-0000-0000-00007A0D0000}"/>
    <cellStyle name="Percent 14 7 7" xfId="1438" xr:uid="{00000000-0005-0000-0000-00007B0D0000}"/>
    <cellStyle name="Percent 14 7 8" xfId="1654" xr:uid="{00000000-0005-0000-0000-00007C0D0000}"/>
    <cellStyle name="Percent 14 7 9" xfId="1870" xr:uid="{00000000-0005-0000-0000-00007D0D0000}"/>
    <cellStyle name="Percent 14 8" xfId="137" xr:uid="{00000000-0005-0000-0000-00007E0D0000}"/>
    <cellStyle name="Percent 14 8 10" xfId="2086" xr:uid="{00000000-0005-0000-0000-00007F0D0000}"/>
    <cellStyle name="Percent 14 8 11" xfId="2258" xr:uid="{00000000-0005-0000-0000-0000800D0000}"/>
    <cellStyle name="Percent 14 8 12" xfId="2518" xr:uid="{00000000-0005-0000-0000-0000810D0000}"/>
    <cellStyle name="Percent 14 8 13" xfId="2672" xr:uid="{00000000-0005-0000-0000-0000820D0000}"/>
    <cellStyle name="Percent 14 8 2" xfId="363" xr:uid="{00000000-0005-0000-0000-0000830D0000}"/>
    <cellStyle name="Percent 14 8 3" xfId="577" xr:uid="{00000000-0005-0000-0000-0000840D0000}"/>
    <cellStyle name="Percent 14 8 4" xfId="791" xr:uid="{00000000-0005-0000-0000-0000850D0000}"/>
    <cellStyle name="Percent 14 8 5" xfId="1007" xr:uid="{00000000-0005-0000-0000-0000860D0000}"/>
    <cellStyle name="Percent 14 8 6" xfId="1223" xr:uid="{00000000-0005-0000-0000-0000870D0000}"/>
    <cellStyle name="Percent 14 8 7" xfId="1439" xr:uid="{00000000-0005-0000-0000-0000880D0000}"/>
    <cellStyle name="Percent 14 8 8" xfId="1655" xr:uid="{00000000-0005-0000-0000-0000890D0000}"/>
    <cellStyle name="Percent 14 8 9" xfId="1871" xr:uid="{00000000-0005-0000-0000-00008A0D0000}"/>
    <cellStyle name="Percent 14 9" xfId="138" xr:uid="{00000000-0005-0000-0000-00008B0D0000}"/>
    <cellStyle name="Percent 14 9 10" xfId="2087" xr:uid="{00000000-0005-0000-0000-00008C0D0000}"/>
    <cellStyle name="Percent 14 9 11" xfId="2231" xr:uid="{00000000-0005-0000-0000-00008D0D0000}"/>
    <cellStyle name="Percent 14 9 12" xfId="2519" xr:uid="{00000000-0005-0000-0000-00008E0D0000}"/>
    <cellStyle name="Percent 14 9 13" xfId="2650" xr:uid="{00000000-0005-0000-0000-00008F0D0000}"/>
    <cellStyle name="Percent 14 9 2" xfId="364" xr:uid="{00000000-0005-0000-0000-0000900D0000}"/>
    <cellStyle name="Percent 14 9 3" xfId="578" xr:uid="{00000000-0005-0000-0000-0000910D0000}"/>
    <cellStyle name="Percent 14 9 4" xfId="792" xr:uid="{00000000-0005-0000-0000-0000920D0000}"/>
    <cellStyle name="Percent 14 9 5" xfId="1008" xr:uid="{00000000-0005-0000-0000-0000930D0000}"/>
    <cellStyle name="Percent 14 9 6" xfId="1224" xr:uid="{00000000-0005-0000-0000-0000940D0000}"/>
    <cellStyle name="Percent 14 9 7" xfId="1440" xr:uid="{00000000-0005-0000-0000-0000950D0000}"/>
    <cellStyle name="Percent 14 9 8" xfId="1656" xr:uid="{00000000-0005-0000-0000-0000960D0000}"/>
    <cellStyle name="Percent 14 9 9" xfId="1872" xr:uid="{00000000-0005-0000-0000-0000970D0000}"/>
    <cellStyle name="Percent 17" xfId="204" xr:uid="{00000000-0005-0000-0000-0000980D0000}"/>
    <cellStyle name="Percent 17 10" xfId="2153" xr:uid="{00000000-0005-0000-0000-0000990D0000}"/>
    <cellStyle name="Percent 17 11" xfId="2168" xr:uid="{00000000-0005-0000-0000-00009A0D0000}"/>
    <cellStyle name="Percent 17 12" xfId="2585" xr:uid="{00000000-0005-0000-0000-00009B0D0000}"/>
    <cellStyle name="Percent 17 13" xfId="2730" xr:uid="{00000000-0005-0000-0000-00009C0D0000}"/>
    <cellStyle name="Percent 17 2" xfId="430" xr:uid="{00000000-0005-0000-0000-00009D0D0000}"/>
    <cellStyle name="Percent 17 3" xfId="644" xr:uid="{00000000-0005-0000-0000-00009E0D0000}"/>
    <cellStyle name="Percent 17 4" xfId="858" xr:uid="{00000000-0005-0000-0000-00009F0D0000}"/>
    <cellStyle name="Percent 17 5" xfId="1074" xr:uid="{00000000-0005-0000-0000-0000A00D0000}"/>
    <cellStyle name="Percent 17 6" xfId="1290" xr:uid="{00000000-0005-0000-0000-0000A10D0000}"/>
    <cellStyle name="Percent 17 7" xfId="1506" xr:uid="{00000000-0005-0000-0000-0000A20D0000}"/>
    <cellStyle name="Percent 17 8" xfId="1722" xr:uid="{00000000-0005-0000-0000-0000A30D0000}"/>
    <cellStyle name="Percent 17 9" xfId="1938" xr:uid="{00000000-0005-0000-0000-0000A40D0000}"/>
    <cellStyle name="Percent 2" xfId="2384" xr:uid="{00000000-0005-0000-0000-0000A50D0000}"/>
    <cellStyle name="Percent 2 10" xfId="140" xr:uid="{00000000-0005-0000-0000-0000A60D0000}"/>
    <cellStyle name="Percent 2 10 10" xfId="2089" xr:uid="{00000000-0005-0000-0000-0000A70D0000}"/>
    <cellStyle name="Percent 2 10 11" xfId="2177" xr:uid="{00000000-0005-0000-0000-0000A80D0000}"/>
    <cellStyle name="Percent 2 10 12" xfId="2521" xr:uid="{00000000-0005-0000-0000-0000A90D0000}"/>
    <cellStyle name="Percent 2 10 13" xfId="2608" xr:uid="{00000000-0005-0000-0000-0000AA0D0000}"/>
    <cellStyle name="Percent 2 10 2" xfId="366" xr:uid="{00000000-0005-0000-0000-0000AB0D0000}"/>
    <cellStyle name="Percent 2 10 3" xfId="580" xr:uid="{00000000-0005-0000-0000-0000AC0D0000}"/>
    <cellStyle name="Percent 2 10 4" xfId="794" xr:uid="{00000000-0005-0000-0000-0000AD0D0000}"/>
    <cellStyle name="Percent 2 10 5" xfId="1010" xr:uid="{00000000-0005-0000-0000-0000AE0D0000}"/>
    <cellStyle name="Percent 2 10 6" xfId="1226" xr:uid="{00000000-0005-0000-0000-0000AF0D0000}"/>
    <cellStyle name="Percent 2 10 7" xfId="1442" xr:uid="{00000000-0005-0000-0000-0000B00D0000}"/>
    <cellStyle name="Percent 2 10 8" xfId="1658" xr:uid="{00000000-0005-0000-0000-0000B10D0000}"/>
    <cellStyle name="Percent 2 10 9" xfId="1874" xr:uid="{00000000-0005-0000-0000-0000B20D0000}"/>
    <cellStyle name="Percent 2 11" xfId="174" xr:uid="{00000000-0005-0000-0000-0000B30D0000}"/>
    <cellStyle name="Percent 2 11 10" xfId="2123" xr:uid="{00000000-0005-0000-0000-0000B40D0000}"/>
    <cellStyle name="Percent 2 11 11" xfId="2334" xr:uid="{00000000-0005-0000-0000-0000B50D0000}"/>
    <cellStyle name="Percent 2 11 12" xfId="2555" xr:uid="{00000000-0005-0000-0000-0000B60D0000}"/>
    <cellStyle name="Percent 2 11 13" xfId="2733" xr:uid="{00000000-0005-0000-0000-0000B70D0000}"/>
    <cellStyle name="Percent 2 11 2" xfId="400" xr:uid="{00000000-0005-0000-0000-0000B80D0000}"/>
    <cellStyle name="Percent 2 11 3" xfId="614" xr:uid="{00000000-0005-0000-0000-0000B90D0000}"/>
    <cellStyle name="Percent 2 11 4" xfId="828" xr:uid="{00000000-0005-0000-0000-0000BA0D0000}"/>
    <cellStyle name="Percent 2 11 5" xfId="1044" xr:uid="{00000000-0005-0000-0000-0000BB0D0000}"/>
    <cellStyle name="Percent 2 11 6" xfId="1260" xr:uid="{00000000-0005-0000-0000-0000BC0D0000}"/>
    <cellStyle name="Percent 2 11 7" xfId="1476" xr:uid="{00000000-0005-0000-0000-0000BD0D0000}"/>
    <cellStyle name="Percent 2 11 8" xfId="1692" xr:uid="{00000000-0005-0000-0000-0000BE0D0000}"/>
    <cellStyle name="Percent 2 11 9" xfId="1908" xr:uid="{00000000-0005-0000-0000-0000BF0D0000}"/>
    <cellStyle name="Percent 2 12" xfId="178" xr:uid="{00000000-0005-0000-0000-0000C00D0000}"/>
    <cellStyle name="Percent 2 12 10" xfId="2127" xr:uid="{00000000-0005-0000-0000-0000C10D0000}"/>
    <cellStyle name="Percent 2 12 11" xfId="2225" xr:uid="{00000000-0005-0000-0000-0000C20D0000}"/>
    <cellStyle name="Percent 2 12 12" xfId="2559" xr:uid="{00000000-0005-0000-0000-0000C30D0000}"/>
    <cellStyle name="Percent 2 12 13" xfId="2645" xr:uid="{00000000-0005-0000-0000-0000C40D0000}"/>
    <cellStyle name="Percent 2 12 2" xfId="404" xr:uid="{00000000-0005-0000-0000-0000C50D0000}"/>
    <cellStyle name="Percent 2 12 3" xfId="618" xr:uid="{00000000-0005-0000-0000-0000C60D0000}"/>
    <cellStyle name="Percent 2 12 4" xfId="832" xr:uid="{00000000-0005-0000-0000-0000C70D0000}"/>
    <cellStyle name="Percent 2 12 5" xfId="1048" xr:uid="{00000000-0005-0000-0000-0000C80D0000}"/>
    <cellStyle name="Percent 2 12 6" xfId="1264" xr:uid="{00000000-0005-0000-0000-0000C90D0000}"/>
    <cellStyle name="Percent 2 12 7" xfId="1480" xr:uid="{00000000-0005-0000-0000-0000CA0D0000}"/>
    <cellStyle name="Percent 2 12 8" xfId="1696" xr:uid="{00000000-0005-0000-0000-0000CB0D0000}"/>
    <cellStyle name="Percent 2 12 9" xfId="1912" xr:uid="{00000000-0005-0000-0000-0000CC0D0000}"/>
    <cellStyle name="Percent 2 13" xfId="210" xr:uid="{00000000-0005-0000-0000-0000CD0D0000}"/>
    <cellStyle name="Percent 2 13 10" xfId="2159" xr:uid="{00000000-0005-0000-0000-0000CE0D0000}"/>
    <cellStyle name="Percent 2 13 11" xfId="2221" xr:uid="{00000000-0005-0000-0000-0000CF0D0000}"/>
    <cellStyle name="Percent 2 13 12" xfId="2591" xr:uid="{00000000-0005-0000-0000-0000D00D0000}"/>
    <cellStyle name="Percent 2 13 13" xfId="2600" xr:uid="{00000000-0005-0000-0000-0000D10D0000}"/>
    <cellStyle name="Percent 2 13 2" xfId="436" xr:uid="{00000000-0005-0000-0000-0000D20D0000}"/>
    <cellStyle name="Percent 2 13 3" xfId="650" xr:uid="{00000000-0005-0000-0000-0000D30D0000}"/>
    <cellStyle name="Percent 2 13 4" xfId="864" xr:uid="{00000000-0005-0000-0000-0000D40D0000}"/>
    <cellStyle name="Percent 2 13 5" xfId="1080" xr:uid="{00000000-0005-0000-0000-0000D50D0000}"/>
    <cellStyle name="Percent 2 13 6" xfId="1296" xr:uid="{00000000-0005-0000-0000-0000D60D0000}"/>
    <cellStyle name="Percent 2 13 7" xfId="1512" xr:uid="{00000000-0005-0000-0000-0000D70D0000}"/>
    <cellStyle name="Percent 2 13 8" xfId="1728" xr:uid="{00000000-0005-0000-0000-0000D80D0000}"/>
    <cellStyle name="Percent 2 13 9" xfId="1944" xr:uid="{00000000-0005-0000-0000-0000D90D0000}"/>
    <cellStyle name="Percent 2 14" xfId="212" xr:uid="{00000000-0005-0000-0000-0000DA0D0000}"/>
    <cellStyle name="Percent 2 14 10" xfId="2161" xr:uid="{00000000-0005-0000-0000-0000DB0D0000}"/>
    <cellStyle name="Percent 2 14 11" xfId="2167" xr:uid="{00000000-0005-0000-0000-0000DC0D0000}"/>
    <cellStyle name="Percent 2 14 12" xfId="2593" xr:uid="{00000000-0005-0000-0000-0000DD0D0000}"/>
    <cellStyle name="Percent 2 14 13" xfId="2773" xr:uid="{00000000-0005-0000-0000-0000DE0D0000}"/>
    <cellStyle name="Percent 2 14 2" xfId="438" xr:uid="{00000000-0005-0000-0000-0000DF0D0000}"/>
    <cellStyle name="Percent 2 14 3" xfId="652" xr:uid="{00000000-0005-0000-0000-0000E00D0000}"/>
    <cellStyle name="Percent 2 14 4" xfId="866" xr:uid="{00000000-0005-0000-0000-0000E10D0000}"/>
    <cellStyle name="Percent 2 14 5" xfId="1082" xr:uid="{00000000-0005-0000-0000-0000E20D0000}"/>
    <cellStyle name="Percent 2 14 6" xfId="1298" xr:uid="{00000000-0005-0000-0000-0000E30D0000}"/>
    <cellStyle name="Percent 2 14 7" xfId="1514" xr:uid="{00000000-0005-0000-0000-0000E40D0000}"/>
    <cellStyle name="Percent 2 14 8" xfId="1730" xr:uid="{00000000-0005-0000-0000-0000E50D0000}"/>
    <cellStyle name="Percent 2 14 9" xfId="1946" xr:uid="{00000000-0005-0000-0000-0000E60D0000}"/>
    <cellStyle name="Percent 2 15" xfId="207" xr:uid="{00000000-0005-0000-0000-0000E70D0000}"/>
    <cellStyle name="Percent 2 15 10" xfId="2156" xr:uid="{00000000-0005-0000-0000-0000E80D0000}"/>
    <cellStyle name="Percent 2 15 11" xfId="2302" xr:uid="{00000000-0005-0000-0000-0000E90D0000}"/>
    <cellStyle name="Percent 2 15 12" xfId="2588" xr:uid="{00000000-0005-0000-0000-0000EA0D0000}"/>
    <cellStyle name="Percent 2 15 13" xfId="2664" xr:uid="{00000000-0005-0000-0000-0000EB0D0000}"/>
    <cellStyle name="Percent 2 15 2" xfId="433" xr:uid="{00000000-0005-0000-0000-0000EC0D0000}"/>
    <cellStyle name="Percent 2 15 3" xfId="647" xr:uid="{00000000-0005-0000-0000-0000ED0D0000}"/>
    <cellStyle name="Percent 2 15 4" xfId="861" xr:uid="{00000000-0005-0000-0000-0000EE0D0000}"/>
    <cellStyle name="Percent 2 15 5" xfId="1077" xr:uid="{00000000-0005-0000-0000-0000EF0D0000}"/>
    <cellStyle name="Percent 2 15 6" xfId="1293" xr:uid="{00000000-0005-0000-0000-0000F00D0000}"/>
    <cellStyle name="Percent 2 15 7" xfId="1509" xr:uid="{00000000-0005-0000-0000-0000F10D0000}"/>
    <cellStyle name="Percent 2 15 8" xfId="1725" xr:uid="{00000000-0005-0000-0000-0000F20D0000}"/>
    <cellStyle name="Percent 2 15 9" xfId="1941" xr:uid="{00000000-0005-0000-0000-0000F30D0000}"/>
    <cellStyle name="Percent 2 2" xfId="139" xr:uid="{00000000-0005-0000-0000-0000F40D0000}"/>
    <cellStyle name="Percent 2 2 10" xfId="2088" xr:uid="{00000000-0005-0000-0000-0000F50D0000}"/>
    <cellStyle name="Percent 2 2 11" xfId="2204" xr:uid="{00000000-0005-0000-0000-0000F60D0000}"/>
    <cellStyle name="Percent 2 2 12" xfId="2520" xr:uid="{00000000-0005-0000-0000-0000F70D0000}"/>
    <cellStyle name="Percent 2 2 13" xfId="2629" xr:uid="{00000000-0005-0000-0000-0000F80D0000}"/>
    <cellStyle name="Percent 2 2 2" xfId="365" xr:uid="{00000000-0005-0000-0000-0000F90D0000}"/>
    <cellStyle name="Percent 2 2 3" xfId="579" xr:uid="{00000000-0005-0000-0000-0000FA0D0000}"/>
    <cellStyle name="Percent 2 2 4" xfId="793" xr:uid="{00000000-0005-0000-0000-0000FB0D0000}"/>
    <cellStyle name="Percent 2 2 5" xfId="1009" xr:uid="{00000000-0005-0000-0000-0000FC0D0000}"/>
    <cellStyle name="Percent 2 2 6" xfId="1225" xr:uid="{00000000-0005-0000-0000-0000FD0D0000}"/>
    <cellStyle name="Percent 2 2 7" xfId="1441" xr:uid="{00000000-0005-0000-0000-0000FE0D0000}"/>
    <cellStyle name="Percent 2 2 8" xfId="1657" xr:uid="{00000000-0005-0000-0000-0000FF0D0000}"/>
    <cellStyle name="Percent 2 2 9" xfId="1873" xr:uid="{00000000-0005-0000-0000-0000000E0000}"/>
    <cellStyle name="Percent 2 3" xfId="142" xr:uid="{00000000-0005-0000-0000-0000010E0000}"/>
    <cellStyle name="Percent 2 3 10" xfId="2091" xr:uid="{00000000-0005-0000-0000-0000020E0000}"/>
    <cellStyle name="Percent 2 3 11" xfId="2338" xr:uid="{00000000-0005-0000-0000-0000030E0000}"/>
    <cellStyle name="Percent 2 3 12" xfId="2523" xr:uid="{00000000-0005-0000-0000-0000040E0000}"/>
    <cellStyle name="Percent 2 3 13" xfId="2781" xr:uid="{00000000-0005-0000-0000-0000050E0000}"/>
    <cellStyle name="Percent 2 3 2" xfId="368" xr:uid="{00000000-0005-0000-0000-0000060E0000}"/>
    <cellStyle name="Percent 2 3 3" xfId="582" xr:uid="{00000000-0005-0000-0000-0000070E0000}"/>
    <cellStyle name="Percent 2 3 4" xfId="796" xr:uid="{00000000-0005-0000-0000-0000080E0000}"/>
    <cellStyle name="Percent 2 3 5" xfId="1012" xr:uid="{00000000-0005-0000-0000-0000090E0000}"/>
    <cellStyle name="Percent 2 3 6" xfId="1228" xr:uid="{00000000-0005-0000-0000-00000A0E0000}"/>
    <cellStyle name="Percent 2 3 7" xfId="1444" xr:uid="{00000000-0005-0000-0000-00000B0E0000}"/>
    <cellStyle name="Percent 2 3 8" xfId="1660" xr:uid="{00000000-0005-0000-0000-00000C0E0000}"/>
    <cellStyle name="Percent 2 3 9" xfId="1876" xr:uid="{00000000-0005-0000-0000-00000D0E0000}"/>
    <cellStyle name="Percent 2 4" xfId="143" xr:uid="{00000000-0005-0000-0000-00000E0E0000}"/>
    <cellStyle name="Percent 2 4 10" xfId="2092" xr:uid="{00000000-0005-0000-0000-00000F0E0000}"/>
    <cellStyle name="Percent 2 4 11" xfId="2311" xr:uid="{00000000-0005-0000-0000-0000100E0000}"/>
    <cellStyle name="Percent 2 4 12" xfId="2524" xr:uid="{00000000-0005-0000-0000-0000110E0000}"/>
    <cellStyle name="Percent 2 4 13" xfId="2758" xr:uid="{00000000-0005-0000-0000-0000120E0000}"/>
    <cellStyle name="Percent 2 4 2" xfId="369" xr:uid="{00000000-0005-0000-0000-0000130E0000}"/>
    <cellStyle name="Percent 2 4 3" xfId="583" xr:uid="{00000000-0005-0000-0000-0000140E0000}"/>
    <cellStyle name="Percent 2 4 4" xfId="797" xr:uid="{00000000-0005-0000-0000-0000150E0000}"/>
    <cellStyle name="Percent 2 4 5" xfId="1013" xr:uid="{00000000-0005-0000-0000-0000160E0000}"/>
    <cellStyle name="Percent 2 4 6" xfId="1229" xr:uid="{00000000-0005-0000-0000-0000170E0000}"/>
    <cellStyle name="Percent 2 4 7" xfId="1445" xr:uid="{00000000-0005-0000-0000-0000180E0000}"/>
    <cellStyle name="Percent 2 4 8" xfId="1661" xr:uid="{00000000-0005-0000-0000-0000190E0000}"/>
    <cellStyle name="Percent 2 4 9" xfId="1877" xr:uid="{00000000-0005-0000-0000-00001A0E0000}"/>
    <cellStyle name="Percent 2 5" xfId="144" xr:uid="{00000000-0005-0000-0000-00001B0E0000}"/>
    <cellStyle name="Percent 2 5 10" xfId="2093" xr:uid="{00000000-0005-0000-0000-00001C0E0000}"/>
    <cellStyle name="Percent 2 5 11" xfId="2283" xr:uid="{00000000-0005-0000-0000-00001D0E0000}"/>
    <cellStyle name="Percent 2 5 12" xfId="2525" xr:uid="{00000000-0005-0000-0000-00001E0E0000}"/>
    <cellStyle name="Percent 2 5 13" xfId="2736" xr:uid="{00000000-0005-0000-0000-00001F0E0000}"/>
    <cellStyle name="Percent 2 5 2" xfId="370" xr:uid="{00000000-0005-0000-0000-0000200E0000}"/>
    <cellStyle name="Percent 2 5 3" xfId="584" xr:uid="{00000000-0005-0000-0000-0000210E0000}"/>
    <cellStyle name="Percent 2 5 4" xfId="798" xr:uid="{00000000-0005-0000-0000-0000220E0000}"/>
    <cellStyle name="Percent 2 5 5" xfId="1014" xr:uid="{00000000-0005-0000-0000-0000230E0000}"/>
    <cellStyle name="Percent 2 5 6" xfId="1230" xr:uid="{00000000-0005-0000-0000-0000240E0000}"/>
    <cellStyle name="Percent 2 5 7" xfId="1446" xr:uid="{00000000-0005-0000-0000-0000250E0000}"/>
    <cellStyle name="Percent 2 5 8" xfId="1662" xr:uid="{00000000-0005-0000-0000-0000260E0000}"/>
    <cellStyle name="Percent 2 5 9" xfId="1878" xr:uid="{00000000-0005-0000-0000-0000270E0000}"/>
    <cellStyle name="Percent 2 6" xfId="145" xr:uid="{00000000-0005-0000-0000-0000280E0000}"/>
    <cellStyle name="Percent 2 6 10" xfId="2094" xr:uid="{00000000-0005-0000-0000-0000290E0000}"/>
    <cellStyle name="Percent 2 6 11" xfId="2256" xr:uid="{00000000-0005-0000-0000-00002A0E0000}"/>
    <cellStyle name="Percent 2 6 12" xfId="2526" xr:uid="{00000000-0005-0000-0000-00002B0E0000}"/>
    <cellStyle name="Percent 2 6 13" xfId="2714" xr:uid="{00000000-0005-0000-0000-00002C0E0000}"/>
    <cellStyle name="Percent 2 6 2" xfId="371" xr:uid="{00000000-0005-0000-0000-00002D0E0000}"/>
    <cellStyle name="Percent 2 6 3" xfId="585" xr:uid="{00000000-0005-0000-0000-00002E0E0000}"/>
    <cellStyle name="Percent 2 6 4" xfId="799" xr:uid="{00000000-0005-0000-0000-00002F0E0000}"/>
    <cellStyle name="Percent 2 6 5" xfId="1015" xr:uid="{00000000-0005-0000-0000-0000300E0000}"/>
    <cellStyle name="Percent 2 6 6" xfId="1231" xr:uid="{00000000-0005-0000-0000-0000310E0000}"/>
    <cellStyle name="Percent 2 6 7" xfId="1447" xr:uid="{00000000-0005-0000-0000-0000320E0000}"/>
    <cellStyle name="Percent 2 6 8" xfId="1663" xr:uid="{00000000-0005-0000-0000-0000330E0000}"/>
    <cellStyle name="Percent 2 6 9" xfId="1879" xr:uid="{00000000-0005-0000-0000-0000340E0000}"/>
    <cellStyle name="Percent 2 7" xfId="146" xr:uid="{00000000-0005-0000-0000-0000350E0000}"/>
    <cellStyle name="Percent 2 7 10" xfId="2095" xr:uid="{00000000-0005-0000-0000-0000360E0000}"/>
    <cellStyle name="Percent 2 7 11" xfId="2229" xr:uid="{00000000-0005-0000-0000-0000370E0000}"/>
    <cellStyle name="Percent 2 7 12" xfId="2527" xr:uid="{00000000-0005-0000-0000-0000380E0000}"/>
    <cellStyle name="Percent 2 7 13" xfId="2692" xr:uid="{00000000-0005-0000-0000-0000390E0000}"/>
    <cellStyle name="Percent 2 7 2" xfId="372" xr:uid="{00000000-0005-0000-0000-00003A0E0000}"/>
    <cellStyle name="Percent 2 7 3" xfId="586" xr:uid="{00000000-0005-0000-0000-00003B0E0000}"/>
    <cellStyle name="Percent 2 7 4" xfId="800" xr:uid="{00000000-0005-0000-0000-00003C0E0000}"/>
    <cellStyle name="Percent 2 7 5" xfId="1016" xr:uid="{00000000-0005-0000-0000-00003D0E0000}"/>
    <cellStyle name="Percent 2 7 6" xfId="1232" xr:uid="{00000000-0005-0000-0000-00003E0E0000}"/>
    <cellStyle name="Percent 2 7 7" xfId="1448" xr:uid="{00000000-0005-0000-0000-00003F0E0000}"/>
    <cellStyle name="Percent 2 7 8" xfId="1664" xr:uid="{00000000-0005-0000-0000-0000400E0000}"/>
    <cellStyle name="Percent 2 7 9" xfId="1880" xr:uid="{00000000-0005-0000-0000-0000410E0000}"/>
    <cellStyle name="Percent 2 8" xfId="147" xr:uid="{00000000-0005-0000-0000-0000420E0000}"/>
    <cellStyle name="Percent 2 8 10" xfId="2096" xr:uid="{00000000-0005-0000-0000-0000430E0000}"/>
    <cellStyle name="Percent 2 8 11" xfId="2202" xr:uid="{00000000-0005-0000-0000-0000440E0000}"/>
    <cellStyle name="Percent 2 8 12" xfId="2528" xr:uid="{00000000-0005-0000-0000-0000450E0000}"/>
    <cellStyle name="Percent 2 8 13" xfId="2670" xr:uid="{00000000-0005-0000-0000-0000460E0000}"/>
    <cellStyle name="Percent 2 8 2" xfId="373" xr:uid="{00000000-0005-0000-0000-0000470E0000}"/>
    <cellStyle name="Percent 2 8 3" xfId="587" xr:uid="{00000000-0005-0000-0000-0000480E0000}"/>
    <cellStyle name="Percent 2 8 4" xfId="801" xr:uid="{00000000-0005-0000-0000-0000490E0000}"/>
    <cellStyle name="Percent 2 8 5" xfId="1017" xr:uid="{00000000-0005-0000-0000-00004A0E0000}"/>
    <cellStyle name="Percent 2 8 6" xfId="1233" xr:uid="{00000000-0005-0000-0000-00004B0E0000}"/>
    <cellStyle name="Percent 2 8 7" xfId="1449" xr:uid="{00000000-0005-0000-0000-00004C0E0000}"/>
    <cellStyle name="Percent 2 8 8" xfId="1665" xr:uid="{00000000-0005-0000-0000-00004D0E0000}"/>
    <cellStyle name="Percent 2 8 9" xfId="1881" xr:uid="{00000000-0005-0000-0000-00004E0E0000}"/>
    <cellStyle name="Percent 2 9" xfId="148" xr:uid="{00000000-0005-0000-0000-00004F0E0000}"/>
    <cellStyle name="Percent 2 9 10" xfId="2097" xr:uid="{00000000-0005-0000-0000-0000500E0000}"/>
    <cellStyle name="Percent 2 9 11" xfId="2175" xr:uid="{00000000-0005-0000-0000-0000510E0000}"/>
    <cellStyle name="Percent 2 9 12" xfId="2529" xr:uid="{00000000-0005-0000-0000-0000520E0000}"/>
    <cellStyle name="Percent 2 9 13" xfId="2648" xr:uid="{00000000-0005-0000-0000-0000530E0000}"/>
    <cellStyle name="Percent 2 9 2" xfId="374" xr:uid="{00000000-0005-0000-0000-0000540E0000}"/>
    <cellStyle name="Percent 2 9 3" xfId="588" xr:uid="{00000000-0005-0000-0000-0000550E0000}"/>
    <cellStyle name="Percent 2 9 4" xfId="802" xr:uid="{00000000-0005-0000-0000-0000560E0000}"/>
    <cellStyle name="Percent 2 9 5" xfId="1018" xr:uid="{00000000-0005-0000-0000-0000570E0000}"/>
    <cellStyle name="Percent 2 9 6" xfId="1234" xr:uid="{00000000-0005-0000-0000-0000580E0000}"/>
    <cellStyle name="Percent 2 9 7" xfId="1450" xr:uid="{00000000-0005-0000-0000-0000590E0000}"/>
    <cellStyle name="Percent 2 9 8" xfId="1666" xr:uid="{00000000-0005-0000-0000-00005A0E0000}"/>
    <cellStyle name="Percent 2 9 9" xfId="1882" xr:uid="{00000000-0005-0000-0000-00005B0E0000}"/>
    <cellStyle name="Percent 3" xfId="2844" xr:uid="{00000000-0005-0000-0000-00005C0E0000}"/>
    <cellStyle name="Percent 4" xfId="2843" xr:uid="{00000000-0005-0000-0000-00005D0E0000}"/>
    <cellStyle name="Percent 4 2" xfId="2887" xr:uid="{00000000-0005-0000-0000-00005E0E0000}"/>
    <cellStyle name="Percent 4 2 2" xfId="2972" xr:uid="{00000000-0005-0000-0000-00005F0E0000}"/>
    <cellStyle name="Percent 4 2 2 2" xfId="3696" xr:uid="{00000000-0005-0000-0000-0000600E0000}"/>
    <cellStyle name="Percent 4 2 3" xfId="3053" xr:uid="{00000000-0005-0000-0000-0000610E0000}"/>
    <cellStyle name="Percent 4 2 3 2" xfId="3777" xr:uid="{00000000-0005-0000-0000-0000620E0000}"/>
    <cellStyle name="Percent 4 2 4" xfId="3175" xr:uid="{00000000-0005-0000-0000-0000630E0000}"/>
    <cellStyle name="Percent 4 2 4 2" xfId="3859" xr:uid="{00000000-0005-0000-0000-0000640E0000}"/>
    <cellStyle name="Percent 4 2 5" xfId="3615" xr:uid="{00000000-0005-0000-0000-0000650E0000}"/>
    <cellStyle name="Percent 4 3" xfId="2932" xr:uid="{00000000-0005-0000-0000-0000660E0000}"/>
    <cellStyle name="Percent 4 3 2" xfId="3656" xr:uid="{00000000-0005-0000-0000-0000670E0000}"/>
    <cellStyle name="Percent 4 4" xfId="3013" xr:uid="{00000000-0005-0000-0000-0000680E0000}"/>
    <cellStyle name="Percent 4 4 2" xfId="3737" xr:uid="{00000000-0005-0000-0000-0000690E0000}"/>
    <cellStyle name="Percent 4 5" xfId="3135" xr:uid="{00000000-0005-0000-0000-00006A0E0000}"/>
    <cellStyle name="Percent 4 5 2" xfId="3819" xr:uid="{00000000-0005-0000-0000-00006B0E0000}"/>
    <cellStyle name="Percent 4 6" xfId="3575" xr:uid="{00000000-0005-0000-0000-00006C0E0000}"/>
    <cellStyle name="Percent 5" xfId="2911" xr:uid="{00000000-0005-0000-0000-00006D0E0000}"/>
    <cellStyle name="Percent 6" xfId="3195" xr:uid="{00000000-0005-0000-0000-00006E0E0000}"/>
    <cellStyle name="Percent 6 10" xfId="150" xr:uid="{00000000-0005-0000-0000-00006F0E0000}"/>
    <cellStyle name="Percent 6 10 10" xfId="2099" xr:uid="{00000000-0005-0000-0000-0000700E0000}"/>
    <cellStyle name="Percent 6 10 11" xfId="2337" xr:uid="{00000000-0005-0000-0000-0000710E0000}"/>
    <cellStyle name="Percent 6 10 12" xfId="2531" xr:uid="{00000000-0005-0000-0000-0000720E0000}"/>
    <cellStyle name="Percent 6 10 13" xfId="2606" xr:uid="{00000000-0005-0000-0000-0000730E0000}"/>
    <cellStyle name="Percent 6 10 2" xfId="376" xr:uid="{00000000-0005-0000-0000-0000740E0000}"/>
    <cellStyle name="Percent 6 10 3" xfId="590" xr:uid="{00000000-0005-0000-0000-0000750E0000}"/>
    <cellStyle name="Percent 6 10 4" xfId="804" xr:uid="{00000000-0005-0000-0000-0000760E0000}"/>
    <cellStyle name="Percent 6 10 5" xfId="1020" xr:uid="{00000000-0005-0000-0000-0000770E0000}"/>
    <cellStyle name="Percent 6 10 6" xfId="1236" xr:uid="{00000000-0005-0000-0000-0000780E0000}"/>
    <cellStyle name="Percent 6 10 7" xfId="1452" xr:uid="{00000000-0005-0000-0000-0000790E0000}"/>
    <cellStyle name="Percent 6 10 8" xfId="1668" xr:uid="{00000000-0005-0000-0000-00007A0E0000}"/>
    <cellStyle name="Percent 6 10 9" xfId="1884" xr:uid="{00000000-0005-0000-0000-00007B0E0000}"/>
    <cellStyle name="Percent 6 11" xfId="177" xr:uid="{00000000-0005-0000-0000-00007C0E0000}"/>
    <cellStyle name="Percent 6 11 10" xfId="2126" xr:uid="{00000000-0005-0000-0000-00007D0E0000}"/>
    <cellStyle name="Percent 6 11 11" xfId="2252" xr:uid="{00000000-0005-0000-0000-00007E0E0000}"/>
    <cellStyle name="Percent 6 11 12" xfId="2558" xr:uid="{00000000-0005-0000-0000-00007F0E0000}"/>
    <cellStyle name="Percent 6 11 13" xfId="2667" xr:uid="{00000000-0005-0000-0000-0000800E0000}"/>
    <cellStyle name="Percent 6 11 2" xfId="403" xr:uid="{00000000-0005-0000-0000-0000810E0000}"/>
    <cellStyle name="Percent 6 11 3" xfId="617" xr:uid="{00000000-0005-0000-0000-0000820E0000}"/>
    <cellStyle name="Percent 6 11 4" xfId="831" xr:uid="{00000000-0005-0000-0000-0000830E0000}"/>
    <cellStyle name="Percent 6 11 5" xfId="1047" xr:uid="{00000000-0005-0000-0000-0000840E0000}"/>
    <cellStyle name="Percent 6 11 6" xfId="1263" xr:uid="{00000000-0005-0000-0000-0000850E0000}"/>
    <cellStyle name="Percent 6 11 7" xfId="1479" xr:uid="{00000000-0005-0000-0000-0000860E0000}"/>
    <cellStyle name="Percent 6 11 8" xfId="1695" xr:uid="{00000000-0005-0000-0000-0000870E0000}"/>
    <cellStyle name="Percent 6 11 9" xfId="1911" xr:uid="{00000000-0005-0000-0000-0000880E0000}"/>
    <cellStyle name="Percent 6 12" xfId="179" xr:uid="{00000000-0005-0000-0000-0000890E0000}"/>
    <cellStyle name="Percent 6 12 10" xfId="2128" xr:uid="{00000000-0005-0000-0000-00008A0E0000}"/>
    <cellStyle name="Percent 6 12 11" xfId="2198" xr:uid="{00000000-0005-0000-0000-00008B0E0000}"/>
    <cellStyle name="Percent 6 12 12" xfId="2560" xr:uid="{00000000-0005-0000-0000-00008C0E0000}"/>
    <cellStyle name="Percent 6 12 13" xfId="2624" xr:uid="{00000000-0005-0000-0000-00008D0E0000}"/>
    <cellStyle name="Percent 6 12 2" xfId="405" xr:uid="{00000000-0005-0000-0000-00008E0E0000}"/>
    <cellStyle name="Percent 6 12 3" xfId="619" xr:uid="{00000000-0005-0000-0000-00008F0E0000}"/>
    <cellStyle name="Percent 6 12 4" xfId="833" xr:uid="{00000000-0005-0000-0000-0000900E0000}"/>
    <cellStyle name="Percent 6 12 5" xfId="1049" xr:uid="{00000000-0005-0000-0000-0000910E0000}"/>
    <cellStyle name="Percent 6 12 6" xfId="1265" xr:uid="{00000000-0005-0000-0000-0000920E0000}"/>
    <cellStyle name="Percent 6 12 7" xfId="1481" xr:uid="{00000000-0005-0000-0000-0000930E0000}"/>
    <cellStyle name="Percent 6 12 8" xfId="1697" xr:uid="{00000000-0005-0000-0000-0000940E0000}"/>
    <cellStyle name="Percent 6 12 9" xfId="1913" xr:uid="{00000000-0005-0000-0000-0000950E0000}"/>
    <cellStyle name="Percent 6 13" xfId="211" xr:uid="{00000000-0005-0000-0000-0000960E0000}"/>
    <cellStyle name="Percent 6 13 10" xfId="2160" xr:uid="{00000000-0005-0000-0000-0000970E0000}"/>
    <cellStyle name="Percent 6 13 11" xfId="2194" xr:uid="{00000000-0005-0000-0000-0000980E0000}"/>
    <cellStyle name="Percent 6 13 12" xfId="2592" xr:uid="{00000000-0005-0000-0000-0000990E0000}"/>
    <cellStyle name="Percent 6 13 13" xfId="2812" xr:uid="{00000000-0005-0000-0000-00009A0E0000}"/>
    <cellStyle name="Percent 6 13 2" xfId="437" xr:uid="{00000000-0005-0000-0000-00009B0E0000}"/>
    <cellStyle name="Percent 6 13 3" xfId="651" xr:uid="{00000000-0005-0000-0000-00009C0E0000}"/>
    <cellStyle name="Percent 6 13 4" xfId="865" xr:uid="{00000000-0005-0000-0000-00009D0E0000}"/>
    <cellStyle name="Percent 6 13 5" xfId="1081" xr:uid="{00000000-0005-0000-0000-00009E0E0000}"/>
    <cellStyle name="Percent 6 13 6" xfId="1297" xr:uid="{00000000-0005-0000-0000-00009F0E0000}"/>
    <cellStyle name="Percent 6 13 7" xfId="1513" xr:uid="{00000000-0005-0000-0000-0000A00E0000}"/>
    <cellStyle name="Percent 6 13 8" xfId="1729" xr:uid="{00000000-0005-0000-0000-0000A10E0000}"/>
    <cellStyle name="Percent 6 13 9" xfId="1945" xr:uid="{00000000-0005-0000-0000-0000A20E0000}"/>
    <cellStyle name="Percent 6 14" xfId="214" xr:uid="{00000000-0005-0000-0000-0000A30E0000}"/>
    <cellStyle name="Percent 6 14 10" xfId="2163" xr:uid="{00000000-0005-0000-0000-0000A40E0000}"/>
    <cellStyle name="Percent 6 14 11" xfId="2330" xr:uid="{00000000-0005-0000-0000-0000A50E0000}"/>
    <cellStyle name="Percent 6 14 12" xfId="2595" xr:uid="{00000000-0005-0000-0000-0000A60E0000}"/>
    <cellStyle name="Percent 6 14 13" xfId="2729" xr:uid="{00000000-0005-0000-0000-0000A70E0000}"/>
    <cellStyle name="Percent 6 14 2" xfId="440" xr:uid="{00000000-0005-0000-0000-0000A80E0000}"/>
    <cellStyle name="Percent 6 14 3" xfId="654" xr:uid="{00000000-0005-0000-0000-0000A90E0000}"/>
    <cellStyle name="Percent 6 14 4" xfId="868" xr:uid="{00000000-0005-0000-0000-0000AA0E0000}"/>
    <cellStyle name="Percent 6 14 5" xfId="1084" xr:uid="{00000000-0005-0000-0000-0000AB0E0000}"/>
    <cellStyle name="Percent 6 14 6" xfId="1300" xr:uid="{00000000-0005-0000-0000-0000AC0E0000}"/>
    <cellStyle name="Percent 6 14 7" xfId="1516" xr:uid="{00000000-0005-0000-0000-0000AD0E0000}"/>
    <cellStyle name="Percent 6 14 8" xfId="1732" xr:uid="{00000000-0005-0000-0000-0000AE0E0000}"/>
    <cellStyle name="Percent 6 14 9" xfId="1948" xr:uid="{00000000-0005-0000-0000-0000AF0E0000}"/>
    <cellStyle name="Percent 6 15" xfId="217" xr:uid="{00000000-0005-0000-0000-0000B00E0000}"/>
    <cellStyle name="Percent 6 15 10" xfId="2166" xr:uid="{00000000-0005-0000-0000-0000B10E0000}"/>
    <cellStyle name="Percent 6 15 11" xfId="2248" xr:uid="{00000000-0005-0000-0000-0000B20E0000}"/>
    <cellStyle name="Percent 6 15 12" xfId="2598" xr:uid="{00000000-0005-0000-0000-0000B30E0000}"/>
    <cellStyle name="Percent 6 15 13" xfId="2663" xr:uid="{00000000-0005-0000-0000-0000B40E0000}"/>
    <cellStyle name="Percent 6 15 2" xfId="443" xr:uid="{00000000-0005-0000-0000-0000B50E0000}"/>
    <cellStyle name="Percent 6 15 3" xfId="657" xr:uid="{00000000-0005-0000-0000-0000B60E0000}"/>
    <cellStyle name="Percent 6 15 4" xfId="871" xr:uid="{00000000-0005-0000-0000-0000B70E0000}"/>
    <cellStyle name="Percent 6 15 5" xfId="1087" xr:uid="{00000000-0005-0000-0000-0000B80E0000}"/>
    <cellStyle name="Percent 6 15 6" xfId="1303" xr:uid="{00000000-0005-0000-0000-0000B90E0000}"/>
    <cellStyle name="Percent 6 15 7" xfId="1519" xr:uid="{00000000-0005-0000-0000-0000BA0E0000}"/>
    <cellStyle name="Percent 6 15 8" xfId="1735" xr:uid="{00000000-0005-0000-0000-0000BB0E0000}"/>
    <cellStyle name="Percent 6 15 9" xfId="1951" xr:uid="{00000000-0005-0000-0000-0000BC0E0000}"/>
    <cellStyle name="Percent 6 16" xfId="3879" xr:uid="{00000000-0005-0000-0000-0000BD0E0000}"/>
    <cellStyle name="Percent 6 2" xfId="149" xr:uid="{00000000-0005-0000-0000-0000BE0E0000}"/>
    <cellStyle name="Percent 6 2 10" xfId="2098" xr:uid="{00000000-0005-0000-0000-0000BF0E0000}"/>
    <cellStyle name="Percent 6 2 11" xfId="2364" xr:uid="{00000000-0005-0000-0000-0000C00E0000}"/>
    <cellStyle name="Percent 6 2 12" xfId="2530" xr:uid="{00000000-0005-0000-0000-0000C10E0000}"/>
    <cellStyle name="Percent 6 2 13" xfId="2627" xr:uid="{00000000-0005-0000-0000-0000C20E0000}"/>
    <cellStyle name="Percent 6 2 2" xfId="375" xr:uid="{00000000-0005-0000-0000-0000C30E0000}"/>
    <cellStyle name="Percent 6 2 3" xfId="589" xr:uid="{00000000-0005-0000-0000-0000C40E0000}"/>
    <cellStyle name="Percent 6 2 4" xfId="803" xr:uid="{00000000-0005-0000-0000-0000C50E0000}"/>
    <cellStyle name="Percent 6 2 5" xfId="1019" xr:uid="{00000000-0005-0000-0000-0000C60E0000}"/>
    <cellStyle name="Percent 6 2 6" xfId="1235" xr:uid="{00000000-0005-0000-0000-0000C70E0000}"/>
    <cellStyle name="Percent 6 2 7" xfId="1451" xr:uid="{00000000-0005-0000-0000-0000C80E0000}"/>
    <cellStyle name="Percent 6 2 8" xfId="1667" xr:uid="{00000000-0005-0000-0000-0000C90E0000}"/>
    <cellStyle name="Percent 6 2 9" xfId="1883" xr:uid="{00000000-0005-0000-0000-0000CA0E0000}"/>
    <cellStyle name="Percent 6 3" xfId="151" xr:uid="{00000000-0005-0000-0000-0000CB0E0000}"/>
    <cellStyle name="Percent 6 3 10" xfId="2100" xr:uid="{00000000-0005-0000-0000-0000CC0E0000}"/>
    <cellStyle name="Percent 6 3 11" xfId="2310" xr:uid="{00000000-0005-0000-0000-0000CD0E0000}"/>
    <cellStyle name="Percent 6 3 12" xfId="2532" xr:uid="{00000000-0005-0000-0000-0000CE0E0000}"/>
    <cellStyle name="Percent 6 3 13" xfId="2795" xr:uid="{00000000-0005-0000-0000-0000CF0E0000}"/>
    <cellStyle name="Percent 6 3 2" xfId="377" xr:uid="{00000000-0005-0000-0000-0000D00E0000}"/>
    <cellStyle name="Percent 6 3 3" xfId="591" xr:uid="{00000000-0005-0000-0000-0000D10E0000}"/>
    <cellStyle name="Percent 6 3 4" xfId="805" xr:uid="{00000000-0005-0000-0000-0000D20E0000}"/>
    <cellStyle name="Percent 6 3 5" xfId="1021" xr:uid="{00000000-0005-0000-0000-0000D30E0000}"/>
    <cellStyle name="Percent 6 3 6" xfId="1237" xr:uid="{00000000-0005-0000-0000-0000D40E0000}"/>
    <cellStyle name="Percent 6 3 7" xfId="1453" xr:uid="{00000000-0005-0000-0000-0000D50E0000}"/>
    <cellStyle name="Percent 6 3 8" xfId="1669" xr:uid="{00000000-0005-0000-0000-0000D60E0000}"/>
    <cellStyle name="Percent 6 3 9" xfId="1885" xr:uid="{00000000-0005-0000-0000-0000D70E0000}"/>
    <cellStyle name="Percent 6 4" xfId="152" xr:uid="{00000000-0005-0000-0000-0000D80E0000}"/>
    <cellStyle name="Percent 6 4 10" xfId="2101" xr:uid="{00000000-0005-0000-0000-0000D90E0000}"/>
    <cellStyle name="Percent 6 4 11" xfId="2282" xr:uid="{00000000-0005-0000-0000-0000DA0E0000}"/>
    <cellStyle name="Percent 6 4 12" xfId="2533" xr:uid="{00000000-0005-0000-0000-0000DB0E0000}"/>
    <cellStyle name="Percent 6 4 13" xfId="2779" xr:uid="{00000000-0005-0000-0000-0000DC0E0000}"/>
    <cellStyle name="Percent 6 4 2" xfId="378" xr:uid="{00000000-0005-0000-0000-0000DD0E0000}"/>
    <cellStyle name="Percent 6 4 3" xfId="592" xr:uid="{00000000-0005-0000-0000-0000DE0E0000}"/>
    <cellStyle name="Percent 6 4 4" xfId="806" xr:uid="{00000000-0005-0000-0000-0000DF0E0000}"/>
    <cellStyle name="Percent 6 4 5" xfId="1022" xr:uid="{00000000-0005-0000-0000-0000E00E0000}"/>
    <cellStyle name="Percent 6 4 6" xfId="1238" xr:uid="{00000000-0005-0000-0000-0000E10E0000}"/>
    <cellStyle name="Percent 6 4 7" xfId="1454" xr:uid="{00000000-0005-0000-0000-0000E20E0000}"/>
    <cellStyle name="Percent 6 4 8" xfId="1670" xr:uid="{00000000-0005-0000-0000-0000E30E0000}"/>
    <cellStyle name="Percent 6 4 9" xfId="1886" xr:uid="{00000000-0005-0000-0000-0000E40E0000}"/>
    <cellStyle name="Percent 6 5" xfId="153" xr:uid="{00000000-0005-0000-0000-0000E50E0000}"/>
    <cellStyle name="Percent 6 5 10" xfId="2102" xr:uid="{00000000-0005-0000-0000-0000E60E0000}"/>
    <cellStyle name="Percent 6 5 11" xfId="2255" xr:uid="{00000000-0005-0000-0000-0000E70E0000}"/>
    <cellStyle name="Percent 6 5 12" xfId="2534" xr:uid="{00000000-0005-0000-0000-0000E80E0000}"/>
    <cellStyle name="Percent 6 5 13" xfId="2757" xr:uid="{00000000-0005-0000-0000-0000E90E0000}"/>
    <cellStyle name="Percent 6 5 2" xfId="379" xr:uid="{00000000-0005-0000-0000-0000EA0E0000}"/>
    <cellStyle name="Percent 6 5 3" xfId="593" xr:uid="{00000000-0005-0000-0000-0000EB0E0000}"/>
    <cellStyle name="Percent 6 5 4" xfId="807" xr:uid="{00000000-0005-0000-0000-0000EC0E0000}"/>
    <cellStyle name="Percent 6 5 5" xfId="1023" xr:uid="{00000000-0005-0000-0000-0000ED0E0000}"/>
    <cellStyle name="Percent 6 5 6" xfId="1239" xr:uid="{00000000-0005-0000-0000-0000EE0E0000}"/>
    <cellStyle name="Percent 6 5 7" xfId="1455" xr:uid="{00000000-0005-0000-0000-0000EF0E0000}"/>
    <cellStyle name="Percent 6 5 8" xfId="1671" xr:uid="{00000000-0005-0000-0000-0000F00E0000}"/>
    <cellStyle name="Percent 6 5 9" xfId="1887" xr:uid="{00000000-0005-0000-0000-0000F10E0000}"/>
    <cellStyle name="Percent 6 6" xfId="154" xr:uid="{00000000-0005-0000-0000-0000F20E0000}"/>
    <cellStyle name="Percent 6 6 10" xfId="2103" xr:uid="{00000000-0005-0000-0000-0000F30E0000}"/>
    <cellStyle name="Percent 6 6 11" xfId="2228" xr:uid="{00000000-0005-0000-0000-0000F40E0000}"/>
    <cellStyle name="Percent 6 6 12" xfId="2535" xr:uid="{00000000-0005-0000-0000-0000F50E0000}"/>
    <cellStyle name="Percent 6 6 13" xfId="2735" xr:uid="{00000000-0005-0000-0000-0000F60E0000}"/>
    <cellStyle name="Percent 6 6 2" xfId="380" xr:uid="{00000000-0005-0000-0000-0000F70E0000}"/>
    <cellStyle name="Percent 6 6 3" xfId="594" xr:uid="{00000000-0005-0000-0000-0000F80E0000}"/>
    <cellStyle name="Percent 6 6 4" xfId="808" xr:uid="{00000000-0005-0000-0000-0000F90E0000}"/>
    <cellStyle name="Percent 6 6 5" xfId="1024" xr:uid="{00000000-0005-0000-0000-0000FA0E0000}"/>
    <cellStyle name="Percent 6 6 6" xfId="1240" xr:uid="{00000000-0005-0000-0000-0000FB0E0000}"/>
    <cellStyle name="Percent 6 6 7" xfId="1456" xr:uid="{00000000-0005-0000-0000-0000FC0E0000}"/>
    <cellStyle name="Percent 6 6 8" xfId="1672" xr:uid="{00000000-0005-0000-0000-0000FD0E0000}"/>
    <cellStyle name="Percent 6 6 9" xfId="1888" xr:uid="{00000000-0005-0000-0000-0000FE0E0000}"/>
    <cellStyle name="Percent 6 7" xfId="155" xr:uid="{00000000-0005-0000-0000-0000FF0E0000}"/>
    <cellStyle name="Percent 6 7 10" xfId="2104" xr:uid="{00000000-0005-0000-0000-0000000F0000}"/>
    <cellStyle name="Percent 6 7 11" xfId="2201" xr:uid="{00000000-0005-0000-0000-0000010F0000}"/>
    <cellStyle name="Percent 6 7 12" xfId="2536" xr:uid="{00000000-0005-0000-0000-0000020F0000}"/>
    <cellStyle name="Percent 6 7 13" xfId="2713" xr:uid="{00000000-0005-0000-0000-0000030F0000}"/>
    <cellStyle name="Percent 6 7 2" xfId="381" xr:uid="{00000000-0005-0000-0000-0000040F0000}"/>
    <cellStyle name="Percent 6 7 3" xfId="595" xr:uid="{00000000-0005-0000-0000-0000050F0000}"/>
    <cellStyle name="Percent 6 7 4" xfId="809" xr:uid="{00000000-0005-0000-0000-0000060F0000}"/>
    <cellStyle name="Percent 6 7 5" xfId="1025" xr:uid="{00000000-0005-0000-0000-0000070F0000}"/>
    <cellStyle name="Percent 6 7 6" xfId="1241" xr:uid="{00000000-0005-0000-0000-0000080F0000}"/>
    <cellStyle name="Percent 6 7 7" xfId="1457" xr:uid="{00000000-0005-0000-0000-0000090F0000}"/>
    <cellStyle name="Percent 6 7 8" xfId="1673" xr:uid="{00000000-0005-0000-0000-00000A0F0000}"/>
    <cellStyle name="Percent 6 7 9" xfId="1889" xr:uid="{00000000-0005-0000-0000-00000B0F0000}"/>
    <cellStyle name="Percent 6 8" xfId="156" xr:uid="{00000000-0005-0000-0000-00000C0F0000}"/>
    <cellStyle name="Percent 6 8 10" xfId="2105" xr:uid="{00000000-0005-0000-0000-00000D0F0000}"/>
    <cellStyle name="Percent 6 8 11" xfId="2174" xr:uid="{00000000-0005-0000-0000-00000E0F0000}"/>
    <cellStyle name="Percent 6 8 12" xfId="2537" xr:uid="{00000000-0005-0000-0000-00000F0F0000}"/>
    <cellStyle name="Percent 6 8 13" xfId="2691" xr:uid="{00000000-0005-0000-0000-0000100F0000}"/>
    <cellStyle name="Percent 6 8 2" xfId="382" xr:uid="{00000000-0005-0000-0000-0000110F0000}"/>
    <cellStyle name="Percent 6 8 3" xfId="596" xr:uid="{00000000-0005-0000-0000-0000120F0000}"/>
    <cellStyle name="Percent 6 8 4" xfId="810" xr:uid="{00000000-0005-0000-0000-0000130F0000}"/>
    <cellStyle name="Percent 6 8 5" xfId="1026" xr:uid="{00000000-0005-0000-0000-0000140F0000}"/>
    <cellStyle name="Percent 6 8 6" xfId="1242" xr:uid="{00000000-0005-0000-0000-0000150F0000}"/>
    <cellStyle name="Percent 6 8 7" xfId="1458" xr:uid="{00000000-0005-0000-0000-0000160F0000}"/>
    <cellStyle name="Percent 6 8 8" xfId="1674" xr:uid="{00000000-0005-0000-0000-0000170F0000}"/>
    <cellStyle name="Percent 6 8 9" xfId="1890" xr:uid="{00000000-0005-0000-0000-0000180F0000}"/>
    <cellStyle name="Percent 6 9" xfId="157" xr:uid="{00000000-0005-0000-0000-0000190F0000}"/>
    <cellStyle name="Percent 6 9 10" xfId="2106" xr:uid="{00000000-0005-0000-0000-00001A0F0000}"/>
    <cellStyle name="Percent 6 9 11" xfId="2363" xr:uid="{00000000-0005-0000-0000-00001B0F0000}"/>
    <cellStyle name="Percent 6 9 12" xfId="2538" xr:uid="{00000000-0005-0000-0000-00001C0F0000}"/>
    <cellStyle name="Percent 6 9 13" xfId="2669" xr:uid="{00000000-0005-0000-0000-00001D0F0000}"/>
    <cellStyle name="Percent 6 9 2" xfId="383" xr:uid="{00000000-0005-0000-0000-00001E0F0000}"/>
    <cellStyle name="Percent 6 9 3" xfId="597" xr:uid="{00000000-0005-0000-0000-00001F0F0000}"/>
    <cellStyle name="Percent 6 9 4" xfId="811" xr:uid="{00000000-0005-0000-0000-0000200F0000}"/>
    <cellStyle name="Percent 6 9 5" xfId="1027" xr:uid="{00000000-0005-0000-0000-0000210F0000}"/>
    <cellStyle name="Percent 6 9 6" xfId="1243" xr:uid="{00000000-0005-0000-0000-0000220F0000}"/>
    <cellStyle name="Percent 6 9 7" xfId="1459" xr:uid="{00000000-0005-0000-0000-0000230F0000}"/>
    <cellStyle name="Percent 6 9 8" xfId="1675" xr:uid="{00000000-0005-0000-0000-0000240F0000}"/>
    <cellStyle name="Percent 6 9 9" xfId="1891" xr:uid="{00000000-0005-0000-0000-0000250F0000}"/>
    <cellStyle name="Plain" xfId="223" xr:uid="{00000000-0005-0000-0000-0000260F0000}"/>
    <cellStyle name="Scientific" xfId="224" xr:uid="{00000000-0005-0000-0000-0000270F0000}"/>
    <cellStyle name="Specified value" xfId="3200" xr:uid="{00000000-0005-0000-0000-0000280F0000}"/>
    <cellStyle name="Style 1" xfId="2866" xr:uid="{00000000-0005-0000-0000-0000290F0000}"/>
    <cellStyle name="Title 2" xfId="3111" xr:uid="{00000000-0005-0000-0000-00002A0F0000}"/>
    <cellStyle name="Total 2" xfId="3112" xr:uid="{00000000-0005-0000-0000-00002B0F0000}"/>
    <cellStyle name="Warning Text 2" xfId="3113" xr:uid="{00000000-0005-0000-0000-00002C0F0000}"/>
  </cellStyles>
  <dxfs count="38">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FF0000"/>
      <color rgb="FFE22A26"/>
      <color rgb="FFCBDDDF"/>
      <color rgb="FFFFFFCC"/>
      <color rgb="FFFDFDD1"/>
      <color rgb="FFEDF0DE"/>
      <color rgb="FFF79797"/>
      <color rgb="FFFEDFDA"/>
      <color rgb="FFFAB0B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788758207010699"/>
          <c:y val="0.12784181123138799"/>
          <c:w val="0.56470934753778101"/>
          <c:h val="0.80693447349166703"/>
        </c:manualLayout>
      </c:layout>
      <c:barChart>
        <c:barDir val="col"/>
        <c:grouping val="stacked"/>
        <c:varyColors val="0"/>
        <c:ser>
          <c:idx val="0"/>
          <c:order val="0"/>
          <c:tx>
            <c:strRef>
              <c:f>'Main Input &amp; Output'!$R$15</c:f>
              <c:strCache>
                <c:ptCount val="1"/>
                <c:pt idx="0">
                  <c:v>Electricity</c:v>
                </c:pt>
              </c:strCache>
            </c:strRef>
          </c:tx>
          <c:invertIfNegative val="0"/>
          <c:cat>
            <c:strRef>
              <c:f>'Main Input &amp; Output'!$S$13:$T$13</c:f>
              <c:strCache>
                <c:ptCount val="2"/>
                <c:pt idx="0">
                  <c:v>Coking refinery</c:v>
                </c:pt>
                <c:pt idx="1">
                  <c:v>Hydrocracking refinery</c:v>
                </c:pt>
              </c:strCache>
            </c:strRef>
          </c:cat>
          <c:val>
            <c:numRef>
              <c:f>'Main Input &amp; Output'!$S$15:$T$15</c:f>
              <c:numCache>
                <c:formatCode>#,##0.00</c:formatCode>
                <c:ptCount val="2"/>
                <c:pt idx="0">
                  <c:v>10.771943083429937</c:v>
                </c:pt>
                <c:pt idx="1">
                  <c:v>10.771943083429937</c:v>
                </c:pt>
              </c:numCache>
            </c:numRef>
          </c:val>
          <c:extLst>
            <c:ext xmlns:c16="http://schemas.microsoft.com/office/drawing/2014/chart" uri="{C3380CC4-5D6E-409C-BE32-E72D297353CC}">
              <c16:uniqueId val="{00000000-579D-4D70-9D20-3AB24DEEB202}"/>
            </c:ext>
          </c:extLst>
        </c:ser>
        <c:ser>
          <c:idx val="2"/>
          <c:order val="1"/>
          <c:tx>
            <c:strRef>
              <c:f>'Main Input &amp; Output'!$R$17</c:f>
              <c:strCache>
                <c:ptCount val="1"/>
                <c:pt idx="0">
                  <c:v>Heat (RFG)</c:v>
                </c:pt>
              </c:strCache>
            </c:strRef>
          </c:tx>
          <c:invertIfNegative val="0"/>
          <c:cat>
            <c:strRef>
              <c:f>'Main Input &amp; Output'!$S$13:$T$13</c:f>
              <c:strCache>
                <c:ptCount val="2"/>
                <c:pt idx="0">
                  <c:v>Coking refinery</c:v>
                </c:pt>
                <c:pt idx="1">
                  <c:v>Hydrocracking refinery</c:v>
                </c:pt>
              </c:strCache>
            </c:strRef>
          </c:cat>
          <c:val>
            <c:numRef>
              <c:f>'Main Input &amp; Output'!$S$17:$T$17</c:f>
              <c:numCache>
                <c:formatCode>#,##0.00</c:formatCode>
                <c:ptCount val="2"/>
                <c:pt idx="0">
                  <c:v>115.32544213799221</c:v>
                </c:pt>
                <c:pt idx="1">
                  <c:v>115.32544213799221</c:v>
                </c:pt>
              </c:numCache>
            </c:numRef>
          </c:val>
          <c:extLst>
            <c:ext xmlns:c16="http://schemas.microsoft.com/office/drawing/2014/chart" uri="{C3380CC4-5D6E-409C-BE32-E72D297353CC}">
              <c16:uniqueId val="{00000001-579D-4D70-9D20-3AB24DEEB202}"/>
            </c:ext>
          </c:extLst>
        </c:ser>
        <c:ser>
          <c:idx val="3"/>
          <c:order val="2"/>
          <c:tx>
            <c:strRef>
              <c:f>'Main Input &amp; Output'!$R$18</c:f>
              <c:strCache>
                <c:ptCount val="1"/>
                <c:pt idx="0">
                  <c:v>Heat (Natural Gas)</c:v>
                </c:pt>
              </c:strCache>
            </c:strRef>
          </c:tx>
          <c:invertIfNegative val="0"/>
          <c:cat>
            <c:strRef>
              <c:f>'Main Input &amp; Output'!$S$13:$T$13</c:f>
              <c:strCache>
                <c:ptCount val="2"/>
                <c:pt idx="0">
                  <c:v>Coking refinery</c:v>
                </c:pt>
                <c:pt idx="1">
                  <c:v>Hydrocracking refinery</c:v>
                </c:pt>
              </c:strCache>
            </c:strRef>
          </c:cat>
          <c:val>
            <c:numRef>
              <c:f>'Main Input &amp; Output'!$S$18:$T$18</c:f>
              <c:numCache>
                <c:formatCode>#,##0.00</c:formatCode>
                <c:ptCount val="2"/>
                <c:pt idx="0">
                  <c:v>98.416208744043644</c:v>
                </c:pt>
                <c:pt idx="1">
                  <c:v>98.416208744043644</c:v>
                </c:pt>
              </c:numCache>
            </c:numRef>
          </c:val>
          <c:extLst>
            <c:ext xmlns:c16="http://schemas.microsoft.com/office/drawing/2014/chart" uri="{C3380CC4-5D6E-409C-BE32-E72D297353CC}">
              <c16:uniqueId val="{00000002-579D-4D70-9D20-3AB24DEEB202}"/>
            </c:ext>
          </c:extLst>
        </c:ser>
        <c:ser>
          <c:idx val="5"/>
          <c:order val="3"/>
          <c:tx>
            <c:strRef>
              <c:f>'Main Input &amp; Output'!$R$20</c:f>
              <c:strCache>
                <c:ptCount val="1"/>
                <c:pt idx="0">
                  <c:v>Steam (RFG)</c:v>
                </c:pt>
              </c:strCache>
            </c:strRef>
          </c:tx>
          <c:invertIfNegative val="0"/>
          <c:cat>
            <c:strRef>
              <c:f>'Main Input &amp; Output'!$S$13:$T$13</c:f>
              <c:strCache>
                <c:ptCount val="2"/>
                <c:pt idx="0">
                  <c:v>Coking refinery</c:v>
                </c:pt>
                <c:pt idx="1">
                  <c:v>Hydrocracking refinery</c:v>
                </c:pt>
              </c:strCache>
            </c:strRef>
          </c:cat>
          <c:val>
            <c:numRef>
              <c:f>'Main Input &amp; Output'!$S$20:$T$20</c:f>
              <c:numCache>
                <c:formatCode>#,##0.00</c:formatCode>
                <c:ptCount val="2"/>
                <c:pt idx="0">
                  <c:v>0</c:v>
                </c:pt>
                <c:pt idx="1">
                  <c:v>0</c:v>
                </c:pt>
              </c:numCache>
            </c:numRef>
          </c:val>
          <c:extLst>
            <c:ext xmlns:c16="http://schemas.microsoft.com/office/drawing/2014/chart" uri="{C3380CC4-5D6E-409C-BE32-E72D297353CC}">
              <c16:uniqueId val="{00000003-579D-4D70-9D20-3AB24DEEB202}"/>
            </c:ext>
          </c:extLst>
        </c:ser>
        <c:ser>
          <c:idx val="6"/>
          <c:order val="4"/>
          <c:tx>
            <c:strRef>
              <c:f>'Main Input &amp; Output'!$R$21</c:f>
              <c:strCache>
                <c:ptCount val="1"/>
                <c:pt idx="0">
                  <c:v>Steam (Natural Gas)</c:v>
                </c:pt>
              </c:strCache>
            </c:strRef>
          </c:tx>
          <c:invertIfNegative val="0"/>
          <c:cat>
            <c:strRef>
              <c:f>'Main Input &amp; Output'!$S$13:$T$13</c:f>
              <c:strCache>
                <c:ptCount val="2"/>
                <c:pt idx="0">
                  <c:v>Coking refinery</c:v>
                </c:pt>
                <c:pt idx="1">
                  <c:v>Hydrocracking refinery</c:v>
                </c:pt>
              </c:strCache>
            </c:strRef>
          </c:cat>
          <c:val>
            <c:numRef>
              <c:f>'Main Input &amp; Output'!$S$21:$T$21</c:f>
              <c:numCache>
                <c:formatCode>#,##0.00</c:formatCode>
                <c:ptCount val="2"/>
                <c:pt idx="0">
                  <c:v>24.670678347578679</c:v>
                </c:pt>
                <c:pt idx="1">
                  <c:v>24.670678347578679</c:v>
                </c:pt>
              </c:numCache>
            </c:numRef>
          </c:val>
          <c:extLst>
            <c:ext xmlns:c16="http://schemas.microsoft.com/office/drawing/2014/chart" uri="{C3380CC4-5D6E-409C-BE32-E72D297353CC}">
              <c16:uniqueId val="{00000004-579D-4D70-9D20-3AB24DEEB202}"/>
            </c:ext>
          </c:extLst>
        </c:ser>
        <c:ser>
          <c:idx val="7"/>
          <c:order val="5"/>
          <c:tx>
            <c:strRef>
              <c:f>'Main Input &amp; Output'!$R$22</c:f>
              <c:strCache>
                <c:ptCount val="1"/>
                <c:pt idx="0">
                  <c:v>Steam (Electricity)</c:v>
                </c:pt>
              </c:strCache>
            </c:strRef>
          </c:tx>
          <c:invertIfNegative val="0"/>
          <c:cat>
            <c:strRef>
              <c:f>'Main Input &amp; Output'!$S$13:$T$13</c:f>
              <c:strCache>
                <c:ptCount val="2"/>
                <c:pt idx="0">
                  <c:v>Coking refinery</c:v>
                </c:pt>
                <c:pt idx="1">
                  <c:v>Hydrocracking refinery</c:v>
                </c:pt>
              </c:strCache>
            </c:strRef>
          </c:cat>
          <c:val>
            <c:numRef>
              <c:f>'Main Input &amp; Output'!$S$22:$T$22</c:f>
              <c:numCache>
                <c:formatCode>#,##0.00</c:formatCode>
                <c:ptCount val="2"/>
                <c:pt idx="0">
                  <c:v>0.1229598995278396</c:v>
                </c:pt>
                <c:pt idx="1">
                  <c:v>0.1229598995278396</c:v>
                </c:pt>
              </c:numCache>
            </c:numRef>
          </c:val>
          <c:extLst>
            <c:ext xmlns:c16="http://schemas.microsoft.com/office/drawing/2014/chart" uri="{C3380CC4-5D6E-409C-BE32-E72D297353CC}">
              <c16:uniqueId val="{00000005-579D-4D70-9D20-3AB24DEEB202}"/>
            </c:ext>
          </c:extLst>
        </c:ser>
        <c:ser>
          <c:idx val="9"/>
          <c:order val="6"/>
          <c:tx>
            <c:strRef>
              <c:f>'Main Input &amp; Output'!$R$24</c:f>
              <c:strCache>
                <c:ptCount val="1"/>
                <c:pt idx="0">
                  <c:v>Steam RFG</c:v>
                </c:pt>
              </c:strCache>
            </c:strRef>
          </c:tx>
          <c:invertIfNegative val="0"/>
          <c:cat>
            <c:strRef>
              <c:f>'Main Input &amp; Output'!$S$13:$T$13</c:f>
              <c:strCache>
                <c:ptCount val="2"/>
                <c:pt idx="0">
                  <c:v>Coking refinery</c:v>
                </c:pt>
                <c:pt idx="1">
                  <c:v>Hydrocracking refinery</c:v>
                </c:pt>
              </c:strCache>
            </c:strRef>
          </c:cat>
          <c:val>
            <c:numRef>
              <c:f>'Main Input &amp; Output'!$S$24:$T$24</c:f>
              <c:numCache>
                <c:formatCode>#,##0.00</c:formatCode>
                <c:ptCount val="2"/>
                <c:pt idx="0">
                  <c:v>0</c:v>
                </c:pt>
                <c:pt idx="1">
                  <c:v>0</c:v>
                </c:pt>
              </c:numCache>
            </c:numRef>
          </c:val>
          <c:extLst>
            <c:ext xmlns:c16="http://schemas.microsoft.com/office/drawing/2014/chart" uri="{C3380CC4-5D6E-409C-BE32-E72D297353CC}">
              <c16:uniqueId val="{00000006-579D-4D70-9D20-3AB24DEEB202}"/>
            </c:ext>
          </c:extLst>
        </c:ser>
        <c:ser>
          <c:idx val="10"/>
          <c:order val="7"/>
          <c:tx>
            <c:strRef>
              <c:f>'Main Input &amp; Output'!$R$25</c:f>
              <c:strCache>
                <c:ptCount val="1"/>
                <c:pt idx="0">
                  <c:v>Steam Natural Gas</c:v>
                </c:pt>
              </c:strCache>
            </c:strRef>
          </c:tx>
          <c:invertIfNegative val="0"/>
          <c:cat>
            <c:strRef>
              <c:f>'Main Input &amp; Output'!$S$13:$T$13</c:f>
              <c:strCache>
                <c:ptCount val="2"/>
                <c:pt idx="0">
                  <c:v>Coking refinery</c:v>
                </c:pt>
                <c:pt idx="1">
                  <c:v>Hydrocracking refinery</c:v>
                </c:pt>
              </c:strCache>
            </c:strRef>
          </c:cat>
          <c:val>
            <c:numRef>
              <c:f>'Main Input &amp; Output'!$S$25:$T$25</c:f>
              <c:numCache>
                <c:formatCode>#,##0.00</c:formatCode>
                <c:ptCount val="2"/>
                <c:pt idx="0">
                  <c:v>0</c:v>
                </c:pt>
                <c:pt idx="1">
                  <c:v>0</c:v>
                </c:pt>
              </c:numCache>
            </c:numRef>
          </c:val>
          <c:extLst>
            <c:ext xmlns:c16="http://schemas.microsoft.com/office/drawing/2014/chart" uri="{C3380CC4-5D6E-409C-BE32-E72D297353CC}">
              <c16:uniqueId val="{00000007-579D-4D70-9D20-3AB24DEEB202}"/>
            </c:ext>
          </c:extLst>
        </c:ser>
        <c:ser>
          <c:idx val="11"/>
          <c:order val="8"/>
          <c:tx>
            <c:strRef>
              <c:f>'Main Input &amp; Output'!$R$26</c:f>
              <c:strCache>
                <c:ptCount val="1"/>
                <c:pt idx="0">
                  <c:v>Steam Electricity</c:v>
                </c:pt>
              </c:strCache>
            </c:strRef>
          </c:tx>
          <c:invertIfNegative val="0"/>
          <c:cat>
            <c:strRef>
              <c:f>'Main Input &amp; Output'!$S$13:$T$13</c:f>
              <c:strCache>
                <c:ptCount val="2"/>
                <c:pt idx="0">
                  <c:v>Coking refinery</c:v>
                </c:pt>
                <c:pt idx="1">
                  <c:v>Hydrocracking refinery</c:v>
                </c:pt>
              </c:strCache>
            </c:strRef>
          </c:cat>
          <c:val>
            <c:numRef>
              <c:f>'Main Input &amp; Output'!$S$26:$T$26</c:f>
              <c:numCache>
                <c:formatCode>#,##0.00</c:formatCode>
                <c:ptCount val="2"/>
                <c:pt idx="0">
                  <c:v>0.3431406545364668</c:v>
                </c:pt>
                <c:pt idx="1">
                  <c:v>0.34314065453646719</c:v>
                </c:pt>
              </c:numCache>
            </c:numRef>
          </c:val>
          <c:extLst>
            <c:ext xmlns:c16="http://schemas.microsoft.com/office/drawing/2014/chart" uri="{C3380CC4-5D6E-409C-BE32-E72D297353CC}">
              <c16:uniqueId val="{00000008-579D-4D70-9D20-3AB24DEEB202}"/>
            </c:ext>
          </c:extLst>
        </c:ser>
        <c:ser>
          <c:idx val="12"/>
          <c:order val="9"/>
          <c:tx>
            <c:strRef>
              <c:f>'Main Input &amp; Output'!$R$27</c:f>
              <c:strCache>
                <c:ptCount val="1"/>
                <c:pt idx="0">
                  <c:v>RFG, heat SMR</c:v>
                </c:pt>
              </c:strCache>
            </c:strRef>
          </c:tx>
          <c:invertIfNegative val="0"/>
          <c:cat>
            <c:strRef>
              <c:f>'Main Input &amp; Output'!$S$13:$T$13</c:f>
              <c:strCache>
                <c:ptCount val="2"/>
                <c:pt idx="0">
                  <c:v>Coking refinery</c:v>
                </c:pt>
                <c:pt idx="1">
                  <c:v>Hydrocracking refinery</c:v>
                </c:pt>
              </c:strCache>
            </c:strRef>
          </c:cat>
          <c:val>
            <c:numRef>
              <c:f>'Main Input &amp; Output'!$S$27:$T$27</c:f>
              <c:numCache>
                <c:formatCode>#,##0.00</c:formatCode>
                <c:ptCount val="2"/>
                <c:pt idx="0">
                  <c:v>0</c:v>
                </c:pt>
                <c:pt idx="1">
                  <c:v>0</c:v>
                </c:pt>
              </c:numCache>
            </c:numRef>
          </c:val>
          <c:extLst>
            <c:ext xmlns:c16="http://schemas.microsoft.com/office/drawing/2014/chart" uri="{C3380CC4-5D6E-409C-BE32-E72D297353CC}">
              <c16:uniqueId val="{00000009-579D-4D70-9D20-3AB24DEEB202}"/>
            </c:ext>
          </c:extLst>
        </c:ser>
        <c:ser>
          <c:idx val="13"/>
          <c:order val="10"/>
          <c:tx>
            <c:strRef>
              <c:f>'Main Input &amp; Output'!$R$28</c:f>
              <c:strCache>
                <c:ptCount val="1"/>
                <c:pt idx="0">
                  <c:v>Natural Gas, Heat SMR</c:v>
                </c:pt>
              </c:strCache>
            </c:strRef>
          </c:tx>
          <c:invertIfNegative val="0"/>
          <c:cat>
            <c:strRef>
              <c:f>'Main Input &amp; Output'!$S$13:$T$13</c:f>
              <c:strCache>
                <c:ptCount val="2"/>
                <c:pt idx="0">
                  <c:v>Coking refinery</c:v>
                </c:pt>
                <c:pt idx="1">
                  <c:v>Hydrocracking refinery</c:v>
                </c:pt>
              </c:strCache>
            </c:strRef>
          </c:cat>
          <c:val>
            <c:numRef>
              <c:f>'Main Input &amp; Output'!$S$28:$T$28</c:f>
              <c:numCache>
                <c:formatCode>#,##0.00</c:formatCode>
                <c:ptCount val="2"/>
                <c:pt idx="0">
                  <c:v>30.328088153475587</c:v>
                </c:pt>
                <c:pt idx="1">
                  <c:v>30.328088153475626</c:v>
                </c:pt>
              </c:numCache>
            </c:numRef>
          </c:val>
          <c:extLst>
            <c:ext xmlns:c16="http://schemas.microsoft.com/office/drawing/2014/chart" uri="{C3380CC4-5D6E-409C-BE32-E72D297353CC}">
              <c16:uniqueId val="{0000000A-579D-4D70-9D20-3AB24DEEB202}"/>
            </c:ext>
          </c:extLst>
        </c:ser>
        <c:ser>
          <c:idx val="14"/>
          <c:order val="11"/>
          <c:tx>
            <c:strRef>
              <c:f>'Main Input &amp; Output'!$R$29</c:f>
              <c:strCache>
                <c:ptCount val="1"/>
                <c:pt idx="0">
                  <c:v>RFG, Feed SMR</c:v>
                </c:pt>
              </c:strCache>
            </c:strRef>
          </c:tx>
          <c:invertIfNegative val="0"/>
          <c:cat>
            <c:strRef>
              <c:f>'Main Input &amp; Output'!$S$13:$T$13</c:f>
              <c:strCache>
                <c:ptCount val="2"/>
                <c:pt idx="0">
                  <c:v>Coking refinery</c:v>
                </c:pt>
                <c:pt idx="1">
                  <c:v>Hydrocracking refinery</c:v>
                </c:pt>
              </c:strCache>
            </c:strRef>
          </c:cat>
          <c:val>
            <c:numRef>
              <c:f>'Main Input &amp; Output'!$S$29:$T$29</c:f>
              <c:numCache>
                <c:formatCode>#,##0.00</c:formatCode>
                <c:ptCount val="2"/>
                <c:pt idx="0">
                  <c:v>0</c:v>
                </c:pt>
                <c:pt idx="1">
                  <c:v>0</c:v>
                </c:pt>
              </c:numCache>
            </c:numRef>
          </c:val>
          <c:extLst>
            <c:ext xmlns:c16="http://schemas.microsoft.com/office/drawing/2014/chart" uri="{C3380CC4-5D6E-409C-BE32-E72D297353CC}">
              <c16:uniqueId val="{0000000B-579D-4D70-9D20-3AB24DEEB202}"/>
            </c:ext>
          </c:extLst>
        </c:ser>
        <c:ser>
          <c:idx val="15"/>
          <c:order val="12"/>
          <c:tx>
            <c:strRef>
              <c:f>'Main Input &amp; Output'!$R$30</c:f>
              <c:strCache>
                <c:ptCount val="1"/>
                <c:pt idx="0">
                  <c:v>Natural Gas, Feed SMR</c:v>
                </c:pt>
              </c:strCache>
            </c:strRef>
          </c:tx>
          <c:invertIfNegative val="0"/>
          <c:cat>
            <c:strRef>
              <c:f>'Main Input &amp; Output'!$S$13:$T$13</c:f>
              <c:strCache>
                <c:ptCount val="2"/>
                <c:pt idx="0">
                  <c:v>Coking refinery</c:v>
                </c:pt>
                <c:pt idx="1">
                  <c:v>Hydrocracking refinery</c:v>
                </c:pt>
              </c:strCache>
            </c:strRef>
          </c:cat>
          <c:val>
            <c:numRef>
              <c:f>'Main Input &amp; Output'!$S$30:$T$30</c:f>
              <c:numCache>
                <c:formatCode>#,##0.00</c:formatCode>
                <c:ptCount val="2"/>
                <c:pt idx="0">
                  <c:v>26.867162105376586</c:v>
                </c:pt>
                <c:pt idx="1">
                  <c:v>26.867162105376622</c:v>
                </c:pt>
              </c:numCache>
            </c:numRef>
          </c:val>
          <c:extLst>
            <c:ext xmlns:c16="http://schemas.microsoft.com/office/drawing/2014/chart" uri="{C3380CC4-5D6E-409C-BE32-E72D297353CC}">
              <c16:uniqueId val="{0000000C-579D-4D70-9D20-3AB24DEEB202}"/>
            </c:ext>
          </c:extLst>
        </c:ser>
        <c:ser>
          <c:idx val="16"/>
          <c:order val="13"/>
          <c:tx>
            <c:strRef>
              <c:f>'Main Input &amp; Output'!$R$31</c:f>
              <c:strCache>
                <c:ptCount val="1"/>
                <c:pt idx="0">
                  <c:v>Hydrogen via CNR</c:v>
                </c:pt>
              </c:strCache>
            </c:strRef>
          </c:tx>
          <c:invertIfNegative val="0"/>
          <c:cat>
            <c:strRef>
              <c:f>'Main Input &amp; Output'!$S$13:$T$13</c:f>
              <c:strCache>
                <c:ptCount val="2"/>
                <c:pt idx="0">
                  <c:v>Coking refinery</c:v>
                </c:pt>
                <c:pt idx="1">
                  <c:v>Hydrocracking refinery</c:v>
                </c:pt>
              </c:strCache>
            </c:strRef>
          </c:cat>
          <c:val>
            <c:numRef>
              <c:f>'Main Input &amp; Output'!$S$31:$T$31</c:f>
              <c:numCache>
                <c:formatCode>#,##0.00</c:formatCode>
                <c:ptCount val="2"/>
                <c:pt idx="0">
                  <c:v>63.987061858975409</c:v>
                </c:pt>
                <c:pt idx="1">
                  <c:v>63.987061858975395</c:v>
                </c:pt>
              </c:numCache>
            </c:numRef>
          </c:val>
          <c:extLst>
            <c:ext xmlns:c16="http://schemas.microsoft.com/office/drawing/2014/chart" uri="{C3380CC4-5D6E-409C-BE32-E72D297353CC}">
              <c16:uniqueId val="{0000000D-579D-4D70-9D20-3AB24DEEB202}"/>
            </c:ext>
          </c:extLst>
        </c:ser>
        <c:ser>
          <c:idx val="17"/>
          <c:order val="14"/>
          <c:tx>
            <c:strRef>
              <c:f>'Main Input &amp; Output'!$R$32</c:f>
              <c:strCache>
                <c:ptCount val="1"/>
                <c:pt idx="0">
                  <c:v>FCC Cat. Regeneration</c:v>
                </c:pt>
              </c:strCache>
            </c:strRef>
          </c:tx>
          <c:invertIfNegative val="0"/>
          <c:cat>
            <c:strRef>
              <c:f>'Main Input &amp; Output'!$S$13:$T$13</c:f>
              <c:strCache>
                <c:ptCount val="2"/>
                <c:pt idx="0">
                  <c:v>Coking refinery</c:v>
                </c:pt>
                <c:pt idx="1">
                  <c:v>Hydrocracking refinery</c:v>
                </c:pt>
              </c:strCache>
            </c:strRef>
          </c:cat>
          <c:val>
            <c:numRef>
              <c:f>'Main Input &amp; Output'!$S$32:$T$32</c:f>
              <c:numCache>
                <c:formatCode>#,##0.00</c:formatCode>
                <c:ptCount val="2"/>
                <c:pt idx="0">
                  <c:v>4.1042164730558755E-19</c:v>
                </c:pt>
                <c:pt idx="1">
                  <c:v>3.6208521993155862E-19</c:v>
                </c:pt>
              </c:numCache>
            </c:numRef>
          </c:val>
          <c:extLst>
            <c:ext xmlns:c16="http://schemas.microsoft.com/office/drawing/2014/chart" uri="{C3380CC4-5D6E-409C-BE32-E72D297353CC}">
              <c16:uniqueId val="{0000000E-579D-4D70-9D20-3AB24DEEB202}"/>
            </c:ext>
          </c:extLst>
        </c:ser>
        <c:ser>
          <c:idx val="18"/>
          <c:order val="15"/>
          <c:tx>
            <c:strRef>
              <c:f>'Main Input &amp; Output'!$R$33</c:f>
              <c:strCache>
                <c:ptCount val="1"/>
                <c:pt idx="0">
                  <c:v>Excess of RFG</c:v>
                </c:pt>
              </c:strCache>
            </c:strRef>
          </c:tx>
          <c:invertIfNegative val="0"/>
          <c:cat>
            <c:strRef>
              <c:f>'Main Input &amp; Output'!$S$13:$T$13</c:f>
              <c:strCache>
                <c:ptCount val="2"/>
                <c:pt idx="0">
                  <c:v>Coking refinery</c:v>
                </c:pt>
                <c:pt idx="1">
                  <c:v>Hydrocracking refinery</c:v>
                </c:pt>
              </c:strCache>
            </c:strRef>
          </c:cat>
          <c:val>
            <c:numRef>
              <c:f>'Main Input &amp; Output'!$S$33:$T$33</c:f>
              <c:numCache>
                <c:formatCode>#,##0.00</c:formatCode>
                <c:ptCount val="2"/>
                <c:pt idx="0">
                  <c:v>0</c:v>
                </c:pt>
                <c:pt idx="1">
                  <c:v>0</c:v>
                </c:pt>
              </c:numCache>
            </c:numRef>
          </c:val>
          <c:extLst>
            <c:ext xmlns:c16="http://schemas.microsoft.com/office/drawing/2014/chart" uri="{C3380CC4-5D6E-409C-BE32-E72D297353CC}">
              <c16:uniqueId val="{0000000F-579D-4D70-9D20-3AB24DEEB202}"/>
            </c:ext>
          </c:extLst>
        </c:ser>
        <c:dLbls>
          <c:showLegendKey val="0"/>
          <c:showVal val="0"/>
          <c:showCatName val="0"/>
          <c:showSerName val="0"/>
          <c:showPercent val="0"/>
          <c:showBubbleSize val="0"/>
        </c:dLbls>
        <c:gapWidth val="150"/>
        <c:overlap val="100"/>
        <c:axId val="837115488"/>
        <c:axId val="837115880"/>
      </c:barChart>
      <c:catAx>
        <c:axId val="837115488"/>
        <c:scaling>
          <c:orientation val="minMax"/>
        </c:scaling>
        <c:delete val="0"/>
        <c:axPos val="b"/>
        <c:numFmt formatCode="General" sourceLinked="0"/>
        <c:majorTickMark val="out"/>
        <c:minorTickMark val="none"/>
        <c:tickLblPos val="nextTo"/>
        <c:crossAx val="837115880"/>
        <c:crosses val="autoZero"/>
        <c:auto val="1"/>
        <c:lblAlgn val="ctr"/>
        <c:lblOffset val="100"/>
        <c:noMultiLvlLbl val="0"/>
      </c:catAx>
      <c:valAx>
        <c:axId val="837115880"/>
        <c:scaling>
          <c:orientation val="minMax"/>
        </c:scaling>
        <c:delete val="0"/>
        <c:axPos val="l"/>
        <c:majorGridlines/>
        <c:numFmt formatCode="#,##0.00" sourceLinked="1"/>
        <c:majorTickMark val="out"/>
        <c:minorTickMark val="none"/>
        <c:tickLblPos val="nextTo"/>
        <c:crossAx val="837115488"/>
        <c:crosses val="autoZero"/>
        <c:crossBetween val="between"/>
      </c:valAx>
    </c:plotArea>
    <c:legend>
      <c:legendPos val="r"/>
      <c:overlay val="0"/>
    </c:legend>
    <c:plotVisOnly val="1"/>
    <c:dispBlanksAs val="zero"/>
    <c:showDLblsOverMax val="0"/>
  </c:chart>
  <c:printSettings>
    <c:headerFooter/>
    <c:pageMargins b="0.750000000000003" l="0.70000000000000095" r="0.70000000000000095" t="0.750000000000003"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382669792851299"/>
          <c:y val="0.12784181123138799"/>
          <c:w val="0.56382024082331195"/>
          <c:h val="0.80693447349166703"/>
        </c:manualLayout>
      </c:layout>
      <c:barChart>
        <c:barDir val="col"/>
        <c:grouping val="stacked"/>
        <c:varyColors val="0"/>
        <c:ser>
          <c:idx val="0"/>
          <c:order val="0"/>
          <c:tx>
            <c:strRef>
              <c:f>'Main Input &amp; Output'!$V$15</c:f>
              <c:strCache>
                <c:ptCount val="1"/>
                <c:pt idx="0">
                  <c:v>Electricity</c:v>
                </c:pt>
              </c:strCache>
            </c:strRef>
          </c:tx>
          <c:invertIfNegative val="0"/>
          <c:cat>
            <c:strRef>
              <c:f>'Main Input &amp; Output'!$W$13:$X$13</c:f>
              <c:strCache>
                <c:ptCount val="2"/>
                <c:pt idx="0">
                  <c:v>Coking refinery</c:v>
                </c:pt>
                <c:pt idx="1">
                  <c:v>Hydrocracking refinery</c:v>
                </c:pt>
              </c:strCache>
            </c:strRef>
          </c:cat>
          <c:val>
            <c:numRef>
              <c:f>'Main Input &amp; Output'!$W$15:$X$15</c:f>
              <c:numCache>
                <c:formatCode>0.00</c:formatCode>
                <c:ptCount val="2"/>
                <c:pt idx="0">
                  <c:v>1.6563975765841457</c:v>
                </c:pt>
                <c:pt idx="1">
                  <c:v>1.6563975765841457</c:v>
                </c:pt>
              </c:numCache>
            </c:numRef>
          </c:val>
          <c:extLst>
            <c:ext xmlns:c16="http://schemas.microsoft.com/office/drawing/2014/chart" uri="{C3380CC4-5D6E-409C-BE32-E72D297353CC}">
              <c16:uniqueId val="{00000000-BB6B-4621-877D-FCC99FF78713}"/>
            </c:ext>
          </c:extLst>
        </c:ser>
        <c:ser>
          <c:idx val="2"/>
          <c:order val="1"/>
          <c:tx>
            <c:strRef>
              <c:f>'Main Input &amp; Output'!$V$17</c:f>
              <c:strCache>
                <c:ptCount val="1"/>
                <c:pt idx="0">
                  <c:v>Heat (RFG)</c:v>
                </c:pt>
              </c:strCache>
            </c:strRef>
          </c:tx>
          <c:invertIfNegative val="0"/>
          <c:cat>
            <c:strRef>
              <c:f>'Main Input &amp; Output'!$W$13:$X$13</c:f>
              <c:strCache>
                <c:ptCount val="2"/>
                <c:pt idx="0">
                  <c:v>Coking refinery</c:v>
                </c:pt>
                <c:pt idx="1">
                  <c:v>Hydrocracking refinery</c:v>
                </c:pt>
              </c:strCache>
            </c:strRef>
          </c:cat>
          <c:val>
            <c:numRef>
              <c:f>'Main Input &amp; Output'!$W$17:$X$17</c:f>
              <c:numCache>
                <c:formatCode>0.00</c:formatCode>
                <c:ptCount val="2"/>
                <c:pt idx="0">
                  <c:v>6.9043480317553509</c:v>
                </c:pt>
                <c:pt idx="1">
                  <c:v>6.9043480317553509</c:v>
                </c:pt>
              </c:numCache>
            </c:numRef>
          </c:val>
          <c:extLst>
            <c:ext xmlns:c16="http://schemas.microsoft.com/office/drawing/2014/chart" uri="{C3380CC4-5D6E-409C-BE32-E72D297353CC}">
              <c16:uniqueId val="{00000001-BB6B-4621-877D-FCC99FF78713}"/>
            </c:ext>
          </c:extLst>
        </c:ser>
        <c:ser>
          <c:idx val="3"/>
          <c:order val="2"/>
          <c:tx>
            <c:strRef>
              <c:f>'Main Input &amp; Output'!$V$18</c:f>
              <c:strCache>
                <c:ptCount val="1"/>
                <c:pt idx="0">
                  <c:v>Heat (Natural Gas)</c:v>
                </c:pt>
              </c:strCache>
            </c:strRef>
          </c:tx>
          <c:invertIfNegative val="0"/>
          <c:cat>
            <c:strRef>
              <c:f>'Main Input &amp; Output'!$W$13:$X$13</c:f>
              <c:strCache>
                <c:ptCount val="2"/>
                <c:pt idx="0">
                  <c:v>Coking refinery</c:v>
                </c:pt>
                <c:pt idx="1">
                  <c:v>Hydrocracking refinery</c:v>
                </c:pt>
              </c:strCache>
            </c:strRef>
          </c:cat>
          <c:val>
            <c:numRef>
              <c:f>'Main Input &amp; Output'!$W$18:$X$18</c:f>
              <c:numCache>
                <c:formatCode>0.00</c:formatCode>
                <c:ptCount val="2"/>
                <c:pt idx="0">
                  <c:v>6.6343611787226235</c:v>
                </c:pt>
                <c:pt idx="1">
                  <c:v>6.6343611787226235</c:v>
                </c:pt>
              </c:numCache>
            </c:numRef>
          </c:val>
          <c:extLst>
            <c:ext xmlns:c16="http://schemas.microsoft.com/office/drawing/2014/chart" uri="{C3380CC4-5D6E-409C-BE32-E72D297353CC}">
              <c16:uniqueId val="{00000002-BB6B-4621-877D-FCC99FF78713}"/>
            </c:ext>
          </c:extLst>
        </c:ser>
        <c:ser>
          <c:idx val="5"/>
          <c:order val="3"/>
          <c:tx>
            <c:strRef>
              <c:f>'Main Input &amp; Output'!$V$20</c:f>
              <c:strCache>
                <c:ptCount val="1"/>
                <c:pt idx="0">
                  <c:v>Steam (RFG)</c:v>
                </c:pt>
              </c:strCache>
            </c:strRef>
          </c:tx>
          <c:invertIfNegative val="0"/>
          <c:cat>
            <c:strRef>
              <c:f>'Main Input &amp; Output'!$W$13:$X$13</c:f>
              <c:strCache>
                <c:ptCount val="2"/>
                <c:pt idx="0">
                  <c:v>Coking refinery</c:v>
                </c:pt>
                <c:pt idx="1">
                  <c:v>Hydrocracking refinery</c:v>
                </c:pt>
              </c:strCache>
            </c:strRef>
          </c:cat>
          <c:val>
            <c:numRef>
              <c:f>'Main Input &amp; Output'!$W$20:$X$20</c:f>
              <c:numCache>
                <c:formatCode>0.00</c:formatCode>
                <c:ptCount val="2"/>
                <c:pt idx="0">
                  <c:v>0</c:v>
                </c:pt>
                <c:pt idx="1">
                  <c:v>0</c:v>
                </c:pt>
              </c:numCache>
            </c:numRef>
          </c:val>
          <c:extLst>
            <c:ext xmlns:c16="http://schemas.microsoft.com/office/drawing/2014/chart" uri="{C3380CC4-5D6E-409C-BE32-E72D297353CC}">
              <c16:uniqueId val="{00000003-BB6B-4621-877D-FCC99FF78713}"/>
            </c:ext>
          </c:extLst>
        </c:ser>
        <c:ser>
          <c:idx val="6"/>
          <c:order val="4"/>
          <c:tx>
            <c:strRef>
              <c:f>'Main Input &amp; Output'!$V$21</c:f>
              <c:strCache>
                <c:ptCount val="1"/>
                <c:pt idx="0">
                  <c:v>Steam (Natural Gas)</c:v>
                </c:pt>
              </c:strCache>
            </c:strRef>
          </c:tx>
          <c:invertIfNegative val="0"/>
          <c:cat>
            <c:strRef>
              <c:f>'Main Input &amp; Output'!$W$13:$X$13</c:f>
              <c:strCache>
                <c:ptCount val="2"/>
                <c:pt idx="0">
                  <c:v>Coking refinery</c:v>
                </c:pt>
                <c:pt idx="1">
                  <c:v>Hydrocracking refinery</c:v>
                </c:pt>
              </c:strCache>
            </c:strRef>
          </c:cat>
          <c:val>
            <c:numRef>
              <c:f>'Main Input &amp; Output'!$W$21:$X$21</c:f>
              <c:numCache>
                <c:formatCode>0.00</c:formatCode>
                <c:ptCount val="2"/>
                <c:pt idx="0">
                  <c:v>1.6630816485484126</c:v>
                </c:pt>
                <c:pt idx="1">
                  <c:v>1.6630816485484126</c:v>
                </c:pt>
              </c:numCache>
            </c:numRef>
          </c:val>
          <c:extLst>
            <c:ext xmlns:c16="http://schemas.microsoft.com/office/drawing/2014/chart" uri="{C3380CC4-5D6E-409C-BE32-E72D297353CC}">
              <c16:uniqueId val="{00000004-BB6B-4621-877D-FCC99FF78713}"/>
            </c:ext>
          </c:extLst>
        </c:ser>
        <c:ser>
          <c:idx val="7"/>
          <c:order val="5"/>
          <c:tx>
            <c:strRef>
              <c:f>'Main Input &amp; Output'!$V$22</c:f>
              <c:strCache>
                <c:ptCount val="1"/>
                <c:pt idx="0">
                  <c:v>Steam (Electricity)</c:v>
                </c:pt>
              </c:strCache>
            </c:strRef>
          </c:tx>
          <c:invertIfNegative val="0"/>
          <c:cat>
            <c:strRef>
              <c:f>'Main Input &amp; Output'!$W$13:$X$13</c:f>
              <c:strCache>
                <c:ptCount val="2"/>
                <c:pt idx="0">
                  <c:v>Coking refinery</c:v>
                </c:pt>
                <c:pt idx="1">
                  <c:v>Hydrocracking refinery</c:v>
                </c:pt>
              </c:strCache>
            </c:strRef>
          </c:cat>
          <c:val>
            <c:numRef>
              <c:f>'Main Input &amp; Output'!$W$22:$X$22</c:f>
              <c:numCache>
                <c:formatCode>0.00</c:formatCode>
                <c:ptCount val="2"/>
                <c:pt idx="0">
                  <c:v>1.8907496819978744E-2</c:v>
                </c:pt>
                <c:pt idx="1">
                  <c:v>1.8907496819978744E-2</c:v>
                </c:pt>
              </c:numCache>
            </c:numRef>
          </c:val>
          <c:extLst>
            <c:ext xmlns:c16="http://schemas.microsoft.com/office/drawing/2014/chart" uri="{C3380CC4-5D6E-409C-BE32-E72D297353CC}">
              <c16:uniqueId val="{00000005-BB6B-4621-877D-FCC99FF78713}"/>
            </c:ext>
          </c:extLst>
        </c:ser>
        <c:ser>
          <c:idx val="9"/>
          <c:order val="6"/>
          <c:tx>
            <c:strRef>
              <c:f>'Main Input &amp; Output'!$V$24</c:f>
              <c:strCache>
                <c:ptCount val="1"/>
                <c:pt idx="0">
                  <c:v>Steam RFG</c:v>
                </c:pt>
              </c:strCache>
            </c:strRef>
          </c:tx>
          <c:invertIfNegative val="0"/>
          <c:cat>
            <c:strRef>
              <c:f>'Main Input &amp; Output'!$W$13:$X$13</c:f>
              <c:strCache>
                <c:ptCount val="2"/>
                <c:pt idx="0">
                  <c:v>Coking refinery</c:v>
                </c:pt>
                <c:pt idx="1">
                  <c:v>Hydrocracking refinery</c:v>
                </c:pt>
              </c:strCache>
            </c:strRef>
          </c:cat>
          <c:val>
            <c:numRef>
              <c:f>'Main Input &amp; Output'!$W$24:$X$24</c:f>
              <c:numCache>
                <c:formatCode>0.00</c:formatCode>
                <c:ptCount val="2"/>
                <c:pt idx="0">
                  <c:v>0</c:v>
                </c:pt>
                <c:pt idx="1">
                  <c:v>0</c:v>
                </c:pt>
              </c:numCache>
            </c:numRef>
          </c:val>
          <c:extLst>
            <c:ext xmlns:c16="http://schemas.microsoft.com/office/drawing/2014/chart" uri="{C3380CC4-5D6E-409C-BE32-E72D297353CC}">
              <c16:uniqueId val="{00000006-BB6B-4621-877D-FCC99FF78713}"/>
            </c:ext>
          </c:extLst>
        </c:ser>
        <c:ser>
          <c:idx val="10"/>
          <c:order val="7"/>
          <c:tx>
            <c:strRef>
              <c:f>'Main Input &amp; Output'!$V$25</c:f>
              <c:strCache>
                <c:ptCount val="1"/>
                <c:pt idx="0">
                  <c:v>Steam Natural Gas</c:v>
                </c:pt>
              </c:strCache>
            </c:strRef>
          </c:tx>
          <c:invertIfNegative val="0"/>
          <c:cat>
            <c:strRef>
              <c:f>'Main Input &amp; Output'!$W$13:$X$13</c:f>
              <c:strCache>
                <c:ptCount val="2"/>
                <c:pt idx="0">
                  <c:v>Coking refinery</c:v>
                </c:pt>
                <c:pt idx="1">
                  <c:v>Hydrocracking refinery</c:v>
                </c:pt>
              </c:strCache>
            </c:strRef>
          </c:cat>
          <c:val>
            <c:numRef>
              <c:f>'Main Input &amp; Output'!$W$25:$X$25</c:f>
              <c:numCache>
                <c:formatCode>0.00</c:formatCode>
                <c:ptCount val="2"/>
                <c:pt idx="0">
                  <c:v>0</c:v>
                </c:pt>
                <c:pt idx="1">
                  <c:v>0</c:v>
                </c:pt>
              </c:numCache>
            </c:numRef>
          </c:val>
          <c:extLst>
            <c:ext xmlns:c16="http://schemas.microsoft.com/office/drawing/2014/chart" uri="{C3380CC4-5D6E-409C-BE32-E72D297353CC}">
              <c16:uniqueId val="{00000007-BB6B-4621-877D-FCC99FF78713}"/>
            </c:ext>
          </c:extLst>
        </c:ser>
        <c:ser>
          <c:idx val="11"/>
          <c:order val="8"/>
          <c:tx>
            <c:strRef>
              <c:f>'Main Input &amp; Output'!$V$26</c:f>
              <c:strCache>
                <c:ptCount val="1"/>
                <c:pt idx="0">
                  <c:v>Steam Electricity</c:v>
                </c:pt>
              </c:strCache>
            </c:strRef>
          </c:tx>
          <c:invertIfNegative val="0"/>
          <c:cat>
            <c:strRef>
              <c:f>'Main Input &amp; Output'!$W$13:$X$13</c:f>
              <c:strCache>
                <c:ptCount val="2"/>
                <c:pt idx="0">
                  <c:v>Coking refinery</c:v>
                </c:pt>
                <c:pt idx="1">
                  <c:v>Hydrocracking refinery</c:v>
                </c:pt>
              </c:strCache>
            </c:strRef>
          </c:cat>
          <c:val>
            <c:numRef>
              <c:f>'Main Input &amp; Output'!$W$26:$X$26</c:f>
              <c:numCache>
                <c:formatCode>0.00</c:formatCode>
                <c:ptCount val="2"/>
                <c:pt idx="0">
                  <c:v>5.2764607480707354E-2</c:v>
                </c:pt>
                <c:pt idx="1">
                  <c:v>5.2764607480707409E-2</c:v>
                </c:pt>
              </c:numCache>
            </c:numRef>
          </c:val>
          <c:extLst>
            <c:ext xmlns:c16="http://schemas.microsoft.com/office/drawing/2014/chart" uri="{C3380CC4-5D6E-409C-BE32-E72D297353CC}">
              <c16:uniqueId val="{00000008-BB6B-4621-877D-FCC99FF78713}"/>
            </c:ext>
          </c:extLst>
        </c:ser>
        <c:ser>
          <c:idx val="12"/>
          <c:order val="9"/>
          <c:tx>
            <c:strRef>
              <c:f>'Main Input &amp; Output'!$V$27</c:f>
              <c:strCache>
                <c:ptCount val="1"/>
                <c:pt idx="0">
                  <c:v>RFG, heat SMR</c:v>
                </c:pt>
              </c:strCache>
            </c:strRef>
          </c:tx>
          <c:invertIfNegative val="0"/>
          <c:cat>
            <c:strRef>
              <c:f>'Main Input &amp; Output'!$W$13:$X$13</c:f>
              <c:strCache>
                <c:ptCount val="2"/>
                <c:pt idx="0">
                  <c:v>Coking refinery</c:v>
                </c:pt>
                <c:pt idx="1">
                  <c:v>Hydrocracking refinery</c:v>
                </c:pt>
              </c:strCache>
            </c:strRef>
          </c:cat>
          <c:val>
            <c:numRef>
              <c:f>'Main Input &amp; Output'!$W$27:$X$27</c:f>
              <c:numCache>
                <c:formatCode>0.00</c:formatCode>
                <c:ptCount val="2"/>
                <c:pt idx="0">
                  <c:v>0</c:v>
                </c:pt>
                <c:pt idx="1">
                  <c:v>0</c:v>
                </c:pt>
              </c:numCache>
            </c:numRef>
          </c:val>
          <c:extLst>
            <c:ext xmlns:c16="http://schemas.microsoft.com/office/drawing/2014/chart" uri="{C3380CC4-5D6E-409C-BE32-E72D297353CC}">
              <c16:uniqueId val="{00000009-BB6B-4621-877D-FCC99FF78713}"/>
            </c:ext>
          </c:extLst>
        </c:ser>
        <c:ser>
          <c:idx val="13"/>
          <c:order val="10"/>
          <c:tx>
            <c:strRef>
              <c:f>'Main Input &amp; Output'!$V$28</c:f>
              <c:strCache>
                <c:ptCount val="1"/>
                <c:pt idx="0">
                  <c:v>Natural Gas, Heat SMR</c:v>
                </c:pt>
              </c:strCache>
            </c:strRef>
          </c:tx>
          <c:invertIfNegative val="0"/>
          <c:cat>
            <c:strRef>
              <c:f>'Main Input &amp; Output'!$W$13:$X$13</c:f>
              <c:strCache>
                <c:ptCount val="2"/>
                <c:pt idx="0">
                  <c:v>Coking refinery</c:v>
                </c:pt>
                <c:pt idx="1">
                  <c:v>Hydrocracking refinery</c:v>
                </c:pt>
              </c:strCache>
            </c:strRef>
          </c:cat>
          <c:val>
            <c:numRef>
              <c:f>'Main Input &amp; Output'!$W$28:$X$28</c:f>
              <c:numCache>
                <c:formatCode>0.00</c:formatCode>
                <c:ptCount val="2"/>
                <c:pt idx="0">
                  <c:v>2.0444548031065404</c:v>
                </c:pt>
                <c:pt idx="1">
                  <c:v>2.044454803106543</c:v>
                </c:pt>
              </c:numCache>
            </c:numRef>
          </c:val>
          <c:extLst>
            <c:ext xmlns:c16="http://schemas.microsoft.com/office/drawing/2014/chart" uri="{C3380CC4-5D6E-409C-BE32-E72D297353CC}">
              <c16:uniqueId val="{0000000A-BB6B-4621-877D-FCC99FF78713}"/>
            </c:ext>
          </c:extLst>
        </c:ser>
        <c:ser>
          <c:idx val="14"/>
          <c:order val="11"/>
          <c:tx>
            <c:strRef>
              <c:f>'Main Input &amp; Output'!$V$29</c:f>
              <c:strCache>
                <c:ptCount val="1"/>
                <c:pt idx="0">
                  <c:v>RFG, Feed SMR</c:v>
                </c:pt>
              </c:strCache>
            </c:strRef>
          </c:tx>
          <c:invertIfNegative val="0"/>
          <c:cat>
            <c:strRef>
              <c:f>'Main Input &amp; Output'!$W$13:$X$13</c:f>
              <c:strCache>
                <c:ptCount val="2"/>
                <c:pt idx="0">
                  <c:v>Coking refinery</c:v>
                </c:pt>
                <c:pt idx="1">
                  <c:v>Hydrocracking refinery</c:v>
                </c:pt>
              </c:strCache>
            </c:strRef>
          </c:cat>
          <c:val>
            <c:numRef>
              <c:f>'Main Input &amp; Output'!$W$29:$X$29</c:f>
              <c:numCache>
                <c:formatCode>0.00</c:formatCode>
                <c:ptCount val="2"/>
                <c:pt idx="0">
                  <c:v>0</c:v>
                </c:pt>
                <c:pt idx="1">
                  <c:v>0</c:v>
                </c:pt>
              </c:numCache>
            </c:numRef>
          </c:val>
          <c:extLst>
            <c:ext xmlns:c16="http://schemas.microsoft.com/office/drawing/2014/chart" uri="{C3380CC4-5D6E-409C-BE32-E72D297353CC}">
              <c16:uniqueId val="{0000000B-BB6B-4621-877D-FCC99FF78713}"/>
            </c:ext>
          </c:extLst>
        </c:ser>
        <c:ser>
          <c:idx val="15"/>
          <c:order val="12"/>
          <c:tx>
            <c:strRef>
              <c:f>'Main Input &amp; Output'!$V$30</c:f>
              <c:strCache>
                <c:ptCount val="1"/>
                <c:pt idx="0">
                  <c:v>Natural Gas, Feed SMR</c:v>
                </c:pt>
              </c:strCache>
            </c:strRef>
          </c:tx>
          <c:invertIfNegative val="0"/>
          <c:cat>
            <c:strRef>
              <c:f>'Main Input &amp; Output'!$W$13:$X$13</c:f>
              <c:strCache>
                <c:ptCount val="2"/>
                <c:pt idx="0">
                  <c:v>Coking refinery</c:v>
                </c:pt>
                <c:pt idx="1">
                  <c:v>Hydrocracking refinery</c:v>
                </c:pt>
              </c:strCache>
            </c:strRef>
          </c:cat>
          <c:val>
            <c:numRef>
              <c:f>'Main Input &amp; Output'!$W$30:$X$30</c:f>
              <c:numCache>
                <c:formatCode>0.00</c:formatCode>
                <c:ptCount val="2"/>
                <c:pt idx="0">
                  <c:v>1.8034597373274139</c:v>
                </c:pt>
                <c:pt idx="1">
                  <c:v>1.8034597373274162</c:v>
                </c:pt>
              </c:numCache>
            </c:numRef>
          </c:val>
          <c:extLst>
            <c:ext xmlns:c16="http://schemas.microsoft.com/office/drawing/2014/chart" uri="{C3380CC4-5D6E-409C-BE32-E72D297353CC}">
              <c16:uniqueId val="{0000000C-BB6B-4621-877D-FCC99FF78713}"/>
            </c:ext>
          </c:extLst>
        </c:ser>
        <c:ser>
          <c:idx val="16"/>
          <c:order val="13"/>
          <c:tx>
            <c:strRef>
              <c:f>'Main Input &amp; Output'!$V$31</c:f>
              <c:strCache>
                <c:ptCount val="1"/>
                <c:pt idx="0">
                  <c:v>Hydrogen via CNR</c:v>
                </c:pt>
              </c:strCache>
            </c:strRef>
          </c:tx>
          <c:invertIfNegative val="0"/>
          <c:cat>
            <c:strRef>
              <c:f>'Main Input &amp; Output'!$W$13:$X$13</c:f>
              <c:strCache>
                <c:ptCount val="2"/>
                <c:pt idx="0">
                  <c:v>Coking refinery</c:v>
                </c:pt>
                <c:pt idx="1">
                  <c:v>Hydrocracking refinery</c:v>
                </c:pt>
              </c:strCache>
            </c:strRef>
          </c:cat>
          <c:val>
            <c:numRef>
              <c:f>'Main Input &amp; Output'!$W$31:$X$31</c:f>
              <c:numCache>
                <c:formatCode>0.00</c:formatCode>
                <c:ptCount val="2"/>
                <c:pt idx="0">
                  <c:v>0</c:v>
                </c:pt>
                <c:pt idx="1">
                  <c:v>0</c:v>
                </c:pt>
              </c:numCache>
            </c:numRef>
          </c:val>
          <c:extLst>
            <c:ext xmlns:c16="http://schemas.microsoft.com/office/drawing/2014/chart" uri="{C3380CC4-5D6E-409C-BE32-E72D297353CC}">
              <c16:uniqueId val="{0000000D-BB6B-4621-877D-FCC99FF78713}"/>
            </c:ext>
          </c:extLst>
        </c:ser>
        <c:ser>
          <c:idx val="17"/>
          <c:order val="14"/>
          <c:tx>
            <c:strRef>
              <c:f>'Main Input &amp; Output'!$V$32</c:f>
              <c:strCache>
                <c:ptCount val="1"/>
                <c:pt idx="0">
                  <c:v>FCC Cat. Regeneration</c:v>
                </c:pt>
              </c:strCache>
            </c:strRef>
          </c:tx>
          <c:invertIfNegative val="0"/>
          <c:cat>
            <c:strRef>
              <c:f>'Main Input &amp; Output'!$W$13:$X$13</c:f>
              <c:strCache>
                <c:ptCount val="2"/>
                <c:pt idx="0">
                  <c:v>Coking refinery</c:v>
                </c:pt>
                <c:pt idx="1">
                  <c:v>Hydrocracking refinery</c:v>
                </c:pt>
              </c:strCache>
            </c:strRef>
          </c:cat>
          <c:val>
            <c:numRef>
              <c:f>'Main Input &amp; Output'!$W$32:$X$32</c:f>
              <c:numCache>
                <c:formatCode>0.00</c:formatCode>
                <c:ptCount val="2"/>
                <c:pt idx="0">
                  <c:v>4.1147618201961981E-20</c:v>
                </c:pt>
                <c:pt idx="1">
                  <c:v>3.6301555934314318E-20</c:v>
                </c:pt>
              </c:numCache>
            </c:numRef>
          </c:val>
          <c:extLst>
            <c:ext xmlns:c16="http://schemas.microsoft.com/office/drawing/2014/chart" uri="{C3380CC4-5D6E-409C-BE32-E72D297353CC}">
              <c16:uniqueId val="{0000000E-BB6B-4621-877D-FCC99FF78713}"/>
            </c:ext>
          </c:extLst>
        </c:ser>
        <c:ser>
          <c:idx val="18"/>
          <c:order val="15"/>
          <c:tx>
            <c:strRef>
              <c:f>'Main Input &amp; Output'!$V$33</c:f>
              <c:strCache>
                <c:ptCount val="1"/>
                <c:pt idx="0">
                  <c:v>Excess of RFG</c:v>
                </c:pt>
              </c:strCache>
            </c:strRef>
          </c:tx>
          <c:invertIfNegative val="0"/>
          <c:cat>
            <c:strRef>
              <c:f>'Main Input &amp; Output'!$W$13:$X$13</c:f>
              <c:strCache>
                <c:ptCount val="2"/>
                <c:pt idx="0">
                  <c:v>Coking refinery</c:v>
                </c:pt>
                <c:pt idx="1">
                  <c:v>Hydrocracking refinery</c:v>
                </c:pt>
              </c:strCache>
            </c:strRef>
          </c:cat>
          <c:val>
            <c:numRef>
              <c:f>'Main Input &amp; Output'!$W$33:$X$33</c:f>
              <c:numCache>
                <c:formatCode>0.00</c:formatCode>
                <c:ptCount val="2"/>
                <c:pt idx="0">
                  <c:v>0</c:v>
                </c:pt>
                <c:pt idx="1">
                  <c:v>0</c:v>
                </c:pt>
              </c:numCache>
            </c:numRef>
          </c:val>
          <c:extLst>
            <c:ext xmlns:c16="http://schemas.microsoft.com/office/drawing/2014/chart" uri="{C3380CC4-5D6E-409C-BE32-E72D297353CC}">
              <c16:uniqueId val="{0000000F-BB6B-4621-877D-FCC99FF78713}"/>
            </c:ext>
          </c:extLst>
        </c:ser>
        <c:dLbls>
          <c:showLegendKey val="0"/>
          <c:showVal val="0"/>
          <c:showCatName val="0"/>
          <c:showSerName val="0"/>
          <c:showPercent val="0"/>
          <c:showBubbleSize val="0"/>
        </c:dLbls>
        <c:gapWidth val="150"/>
        <c:overlap val="100"/>
        <c:axId val="837116664"/>
        <c:axId val="837117056"/>
      </c:barChart>
      <c:catAx>
        <c:axId val="837116664"/>
        <c:scaling>
          <c:orientation val="minMax"/>
        </c:scaling>
        <c:delete val="0"/>
        <c:axPos val="b"/>
        <c:numFmt formatCode="General" sourceLinked="0"/>
        <c:majorTickMark val="out"/>
        <c:minorTickMark val="none"/>
        <c:tickLblPos val="nextTo"/>
        <c:crossAx val="837117056"/>
        <c:crosses val="autoZero"/>
        <c:auto val="1"/>
        <c:lblAlgn val="ctr"/>
        <c:lblOffset val="100"/>
        <c:noMultiLvlLbl val="0"/>
      </c:catAx>
      <c:valAx>
        <c:axId val="837117056"/>
        <c:scaling>
          <c:orientation val="minMax"/>
        </c:scaling>
        <c:delete val="0"/>
        <c:axPos val="l"/>
        <c:majorGridlines/>
        <c:numFmt formatCode="0.00" sourceLinked="1"/>
        <c:majorTickMark val="out"/>
        <c:minorTickMark val="none"/>
        <c:tickLblPos val="nextTo"/>
        <c:crossAx val="837116664"/>
        <c:crosses val="autoZero"/>
        <c:crossBetween val="between"/>
      </c:valAx>
    </c:plotArea>
    <c:legend>
      <c:legendPos val="r"/>
      <c:overlay val="0"/>
    </c:legend>
    <c:plotVisOnly val="1"/>
    <c:dispBlanksAs val="zero"/>
    <c:showDLblsOverMax val="0"/>
  </c:chart>
  <c:printSettings>
    <c:headerFooter/>
    <c:pageMargins b="0.750000000000003" l="0.70000000000000095" r="0.70000000000000095" t="0.750000000000003"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r>
              <a:rPr lang="en-US" sz="1050"/>
              <a:t>Hydrotreater output hydrogen</a:t>
            </a:r>
            <a:r>
              <a:rPr lang="en-US" sz="1050" baseline="0"/>
              <a:t> content sensitivity, Coking refinery</a:t>
            </a:r>
            <a:endParaRPr lang="en-US" sz="1050"/>
          </a:p>
        </c:rich>
      </c:tx>
      <c:overlay val="0"/>
      <c:spPr>
        <a:noFill/>
        <a:ln>
          <a:noFill/>
        </a:ln>
        <a:effectLst/>
      </c:spPr>
      <c:txPr>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0555555555555555E-2"/>
          <c:y val="0.15682925051035287"/>
          <c:w val="0.93888888888888888"/>
          <c:h val="0.67914760129752638"/>
        </c:manualLayout>
      </c:layout>
      <c:barChart>
        <c:barDir val="bar"/>
        <c:grouping val="stacked"/>
        <c:varyColors val="0"/>
        <c:ser>
          <c:idx val="3"/>
          <c:order val="0"/>
          <c:tx>
            <c:strRef>
              <c:f>TempSheet!$D$1</c:f>
              <c:strCache>
                <c:ptCount val="1"/>
                <c:pt idx="0">
                  <c:v>Pad l</c:v>
                </c:pt>
              </c:strCache>
            </c:strRef>
          </c:tx>
          <c:spPr>
            <a:noFill/>
            <a:ln>
              <a:noFill/>
            </a:ln>
            <a:effectLst/>
          </c:spPr>
          <c:invertIfNegative val="0"/>
          <c:cat>
            <c:strRef>
              <c:f>TempSheet!$A$2:$A$6</c:f>
              <c:strCache>
                <c:ptCount val="5"/>
                <c:pt idx="0">
                  <c:v>Coker naphtha HT </c:v>
                </c:pt>
                <c:pt idx="1">
                  <c:v>FCC HT</c:v>
                </c:pt>
                <c:pt idx="2">
                  <c:v>Diesel HT</c:v>
                </c:pt>
                <c:pt idx="3">
                  <c:v>Kero HT</c:v>
                </c:pt>
                <c:pt idx="4">
                  <c:v>Naphtha HT</c:v>
                </c:pt>
              </c:strCache>
            </c:strRef>
          </c:cat>
          <c:val>
            <c:numRef>
              <c:f>TempSheet!$D$2:$D$6</c:f>
              <c:numCache>
                <c:formatCode>0.0</c:formatCode>
                <c:ptCount val="5"/>
                <c:pt idx="0">
                  <c:v>64.6302423465104</c:v>
                </c:pt>
                <c:pt idx="1">
                  <c:v>63.537766898454855</c:v>
                </c:pt>
                <c:pt idx="2">
                  <c:v>68.192846508844411</c:v>
                </c:pt>
                <c:pt idx="3">
                  <c:v>70.643353764912192</c:v>
                </c:pt>
                <c:pt idx="4">
                  <c:v>72.736444443813326</c:v>
                </c:pt>
              </c:numCache>
            </c:numRef>
          </c:val>
          <c:extLst>
            <c:ext xmlns:c16="http://schemas.microsoft.com/office/drawing/2014/chart" uri="{C3380CC4-5D6E-409C-BE32-E72D297353CC}">
              <c16:uniqueId val="{00000000-4EF6-4645-91B0-35A91A892E03}"/>
            </c:ext>
          </c:extLst>
        </c:ser>
        <c:ser>
          <c:idx val="1"/>
          <c:order val="1"/>
          <c:tx>
            <c:strRef>
              <c:f>TempSheet!$B$1</c:f>
              <c:strCache>
                <c:ptCount val="1"/>
                <c:pt idx="0">
                  <c:v>Low</c:v>
                </c:pt>
              </c:strCache>
            </c:strRef>
          </c:tx>
          <c:spPr>
            <a:solidFill>
              <a:schemeClr val="accent2"/>
            </a:solidFill>
            <a:ln>
              <a:noFill/>
            </a:ln>
            <a:effectLst/>
          </c:spPr>
          <c:invertIfNegative val="0"/>
          <c:cat>
            <c:strRef>
              <c:f>TempSheet!$A$2:$A$6</c:f>
              <c:strCache>
                <c:ptCount val="5"/>
                <c:pt idx="0">
                  <c:v>Coker naphtha HT </c:v>
                </c:pt>
                <c:pt idx="1">
                  <c:v>FCC HT</c:v>
                </c:pt>
                <c:pt idx="2">
                  <c:v>Diesel HT</c:v>
                </c:pt>
                <c:pt idx="3">
                  <c:v>Kero HT</c:v>
                </c:pt>
                <c:pt idx="4">
                  <c:v>Naphtha HT</c:v>
                </c:pt>
              </c:strCache>
            </c:strRef>
          </c:cat>
          <c:val>
            <c:numRef>
              <c:f>TempSheet!$B$2:$B$6</c:f>
              <c:numCache>
                <c:formatCode>0.0</c:formatCode>
                <c:ptCount val="5"/>
                <c:pt idx="0">
                  <c:v>8.8264766480952517</c:v>
                </c:pt>
                <c:pt idx="1">
                  <c:v>9.9189520961507966</c:v>
                </c:pt>
                <c:pt idx="2">
                  <c:v>5.2638724857612402</c:v>
                </c:pt>
                <c:pt idx="3">
                  <c:v>2.8133652296934599</c:v>
                </c:pt>
                <c:pt idx="4">
                  <c:v>0.72027455079232539</c:v>
                </c:pt>
              </c:numCache>
            </c:numRef>
          </c:val>
          <c:extLst>
            <c:ext xmlns:c16="http://schemas.microsoft.com/office/drawing/2014/chart" uri="{C3380CC4-5D6E-409C-BE32-E72D297353CC}">
              <c16:uniqueId val="{00000001-4EF6-4645-91B0-35A91A892E03}"/>
            </c:ext>
          </c:extLst>
        </c:ser>
        <c:ser>
          <c:idx val="4"/>
          <c:order val="2"/>
          <c:tx>
            <c:strRef>
              <c:f>TempSheet!$F$1</c:f>
              <c:strCache>
                <c:ptCount val="1"/>
                <c:pt idx="0">
                  <c:v>Gap</c:v>
                </c:pt>
              </c:strCache>
            </c:strRef>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TempSheet!$A$2:$A$6</c:f>
              <c:strCache>
                <c:ptCount val="5"/>
                <c:pt idx="0">
                  <c:v>Coker naphtha HT </c:v>
                </c:pt>
                <c:pt idx="1">
                  <c:v>FCC HT</c:v>
                </c:pt>
                <c:pt idx="2">
                  <c:v>Diesel HT</c:v>
                </c:pt>
                <c:pt idx="3">
                  <c:v>Kero HT</c:v>
                </c:pt>
                <c:pt idx="4">
                  <c:v>Naphtha HT</c:v>
                </c:pt>
              </c:strCache>
            </c:strRef>
          </c:cat>
          <c:val>
            <c:numRef>
              <c:f>TempSheet!$F$2:$F$6</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4EF6-4645-91B0-35A91A892E03}"/>
            </c:ext>
          </c:extLst>
        </c:ser>
        <c:ser>
          <c:idx val="0"/>
          <c:order val="3"/>
          <c:tx>
            <c:strRef>
              <c:f>TempSheet!$C$1</c:f>
              <c:strCache>
                <c:ptCount val="1"/>
                <c:pt idx="0">
                  <c:v>High</c:v>
                </c:pt>
              </c:strCache>
            </c:strRef>
          </c:tx>
          <c:spPr>
            <a:solidFill>
              <a:schemeClr val="accent1"/>
            </a:solidFill>
            <a:ln>
              <a:noFill/>
            </a:ln>
            <a:effectLst/>
          </c:spPr>
          <c:invertIfNegative val="0"/>
          <c:cat>
            <c:strRef>
              <c:f>TempSheet!$A$2:$A$6</c:f>
              <c:strCache>
                <c:ptCount val="5"/>
                <c:pt idx="0">
                  <c:v>Coker naphtha HT </c:v>
                </c:pt>
                <c:pt idx="1">
                  <c:v>FCC HT</c:v>
                </c:pt>
                <c:pt idx="2">
                  <c:v>Diesel HT</c:v>
                </c:pt>
                <c:pt idx="3">
                  <c:v>Kero HT</c:v>
                </c:pt>
                <c:pt idx="4">
                  <c:v>Naphtha HT</c:v>
                </c:pt>
              </c:strCache>
            </c:strRef>
          </c:cat>
          <c:val>
            <c:numRef>
              <c:f>TempSheet!$C$2:$C$6</c:f>
              <c:numCache>
                <c:formatCode>0.0</c:formatCode>
                <c:ptCount val="5"/>
                <c:pt idx="0">
                  <c:v>0.64831269562158411</c:v>
                </c:pt>
                <c:pt idx="1">
                  <c:v>8.5377631804681613</c:v>
                </c:pt>
                <c:pt idx="2">
                  <c:v>2.9981931507618356</c:v>
                </c:pt>
                <c:pt idx="3">
                  <c:v>3.9944145242718321</c:v>
                </c:pt>
                <c:pt idx="4">
                  <c:v>1.094410482691103</c:v>
                </c:pt>
              </c:numCache>
            </c:numRef>
          </c:val>
          <c:extLst>
            <c:ext xmlns:c16="http://schemas.microsoft.com/office/drawing/2014/chart" uri="{C3380CC4-5D6E-409C-BE32-E72D297353CC}">
              <c16:uniqueId val="{00000003-4EF6-4645-91B0-35A91A892E03}"/>
            </c:ext>
          </c:extLst>
        </c:ser>
        <c:ser>
          <c:idx val="2"/>
          <c:order val="4"/>
          <c:tx>
            <c:strRef>
              <c:f>TempSheet!$E$1</c:f>
              <c:strCache>
                <c:ptCount val="1"/>
                <c:pt idx="0">
                  <c:v>Pad r</c:v>
                </c:pt>
              </c:strCache>
            </c:strRef>
          </c:tx>
          <c:spPr>
            <a:noFill/>
            <a:ln>
              <a:noFill/>
            </a:ln>
            <a:effectLst/>
          </c:spPr>
          <c:invertIfNegative val="0"/>
          <c:cat>
            <c:strRef>
              <c:f>TempSheet!$A$2:$A$6</c:f>
              <c:strCache>
                <c:ptCount val="5"/>
                <c:pt idx="0">
                  <c:v>Coker naphtha HT </c:v>
                </c:pt>
                <c:pt idx="1">
                  <c:v>FCC HT</c:v>
                </c:pt>
                <c:pt idx="2">
                  <c:v>Diesel HT</c:v>
                </c:pt>
                <c:pt idx="3">
                  <c:v>Kero HT</c:v>
                </c:pt>
                <c:pt idx="4">
                  <c:v>Naphtha HT</c:v>
                </c:pt>
              </c:strCache>
            </c:strRef>
          </c:cat>
          <c:val>
            <c:numRef>
              <c:f>TempSheet!$E$2:$E$6</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4-4EF6-4645-91B0-35A91A892E03}"/>
            </c:ext>
          </c:extLst>
        </c:ser>
        <c:dLbls>
          <c:showLegendKey val="0"/>
          <c:showVal val="0"/>
          <c:showCatName val="0"/>
          <c:showSerName val="0"/>
          <c:showPercent val="0"/>
          <c:showBubbleSize val="0"/>
        </c:dLbls>
        <c:gapWidth val="150"/>
        <c:overlap val="100"/>
        <c:axId val="837117840"/>
        <c:axId val="837118232"/>
      </c:barChart>
      <c:catAx>
        <c:axId val="837117840"/>
        <c:scaling>
          <c:orientation val="minMax"/>
        </c:scaling>
        <c:delete val="1"/>
        <c:axPos val="l"/>
        <c:numFmt formatCode="General" sourceLinked="1"/>
        <c:majorTickMark val="none"/>
        <c:minorTickMark val="none"/>
        <c:tickLblPos val="nextTo"/>
        <c:crossAx val="837118232"/>
        <c:crosses val="autoZero"/>
        <c:auto val="1"/>
        <c:lblAlgn val="ctr"/>
        <c:lblOffset val="100"/>
        <c:noMultiLvlLbl val="0"/>
      </c:catAx>
      <c:valAx>
        <c:axId val="837118232"/>
        <c:scaling>
          <c:orientation val="minMax"/>
          <c:max val="82.994482175073813"/>
          <c:min val="62.537766898454855"/>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8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Total refinery emissions, kgCO2e/bbl</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117840"/>
        <c:crosses val="autoZero"/>
        <c:crossBetween val="between"/>
      </c:valAx>
      <c:spPr>
        <a:noFill/>
        <a:ln>
          <a:noFill/>
        </a:ln>
        <a:effectLst/>
      </c:spPr>
    </c:plotArea>
    <c:legend>
      <c:legendPos val="t"/>
      <c:legendEntry>
        <c:idx val="0"/>
        <c:delete val="1"/>
      </c:legendEntry>
      <c:legendEntry>
        <c:idx val="2"/>
        <c:delete val="1"/>
      </c:legendEntry>
      <c:legendEntry>
        <c:idx val="4"/>
        <c:delete val="1"/>
      </c:legendEntry>
      <c:layout>
        <c:manualLayout>
          <c:xMode val="edge"/>
          <c:yMode val="edge"/>
          <c:x val="0.43989501030244033"/>
          <c:y val="0.12424177544066735"/>
          <c:w val="0.1202098258565151"/>
          <c:h val="8.0360085656830491E-2"/>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r>
              <a:rPr lang="en-US" sz="1050"/>
              <a:t>Hydrotreater output hydrogen</a:t>
            </a:r>
            <a:r>
              <a:rPr lang="en-US" sz="1050" baseline="0"/>
              <a:t> content sensitivity, Hydro refinery</a:t>
            </a:r>
            <a:endParaRPr lang="en-US" sz="1050"/>
          </a:p>
        </c:rich>
      </c:tx>
      <c:overlay val="0"/>
      <c:spPr>
        <a:noFill/>
        <a:ln>
          <a:noFill/>
        </a:ln>
        <a:effectLst/>
      </c:spPr>
      <c:txPr>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0555555555555555E-2"/>
          <c:y val="0.15682925051035287"/>
          <c:w val="0.93888888888888888"/>
          <c:h val="0.6982088768930873"/>
        </c:manualLayout>
      </c:layout>
      <c:barChart>
        <c:barDir val="bar"/>
        <c:grouping val="stacked"/>
        <c:varyColors val="0"/>
        <c:ser>
          <c:idx val="3"/>
          <c:order val="0"/>
          <c:tx>
            <c:strRef>
              <c:f>TempSheet!$D$22</c:f>
              <c:strCache>
                <c:ptCount val="1"/>
                <c:pt idx="0">
                  <c:v>Pad l</c:v>
                </c:pt>
              </c:strCache>
            </c:strRef>
          </c:tx>
          <c:spPr>
            <a:noFill/>
            <a:ln>
              <a:noFill/>
            </a:ln>
            <a:effectLst/>
          </c:spPr>
          <c:invertIfNegative val="0"/>
          <c:cat>
            <c:strRef>
              <c:f>TempSheet!$A$23:$A$27</c:f>
              <c:strCache>
                <c:ptCount val="5"/>
                <c:pt idx="0">
                  <c:v>HC Naphtha HT</c:v>
                </c:pt>
                <c:pt idx="1">
                  <c:v>FCC HT</c:v>
                </c:pt>
                <c:pt idx="2">
                  <c:v>Diesel HT</c:v>
                </c:pt>
                <c:pt idx="3">
                  <c:v>Kero HT</c:v>
                </c:pt>
                <c:pt idx="4">
                  <c:v>Naphtha HT</c:v>
                </c:pt>
              </c:strCache>
            </c:strRef>
          </c:cat>
          <c:val>
            <c:numRef>
              <c:f>TempSheet!$D$23:$D$27</c:f>
              <c:numCache>
                <c:formatCode>0.0</c:formatCode>
                <c:ptCount val="5"/>
                <c:pt idx="0">
                  <c:v>94.933722939989892</c:v>
                </c:pt>
                <c:pt idx="1">
                  <c:v>92.1039806096597</c:v>
                </c:pt>
                <c:pt idx="2">
                  <c:v>93.201902078044895</c:v>
                </c:pt>
                <c:pt idx="3">
                  <c:v>98.482487137239374</c:v>
                </c:pt>
                <c:pt idx="4">
                  <c:v>100.5498296719915</c:v>
                </c:pt>
              </c:numCache>
            </c:numRef>
          </c:val>
          <c:extLst>
            <c:ext xmlns:c16="http://schemas.microsoft.com/office/drawing/2014/chart" uri="{C3380CC4-5D6E-409C-BE32-E72D297353CC}">
              <c16:uniqueId val="{00000000-FD03-42F2-854E-D87B50C80FBE}"/>
            </c:ext>
          </c:extLst>
        </c:ser>
        <c:ser>
          <c:idx val="1"/>
          <c:order val="1"/>
          <c:tx>
            <c:strRef>
              <c:f>TempSheet!$B$22</c:f>
              <c:strCache>
                <c:ptCount val="1"/>
                <c:pt idx="0">
                  <c:v>Low</c:v>
                </c:pt>
              </c:strCache>
            </c:strRef>
          </c:tx>
          <c:spPr>
            <a:solidFill>
              <a:schemeClr val="accent2"/>
            </a:solidFill>
            <a:ln>
              <a:noFill/>
            </a:ln>
            <a:effectLst/>
          </c:spPr>
          <c:invertIfNegative val="0"/>
          <c:cat>
            <c:strRef>
              <c:f>TempSheet!$A$23:$A$27</c:f>
              <c:strCache>
                <c:ptCount val="5"/>
                <c:pt idx="0">
                  <c:v>HC Naphtha HT</c:v>
                </c:pt>
                <c:pt idx="1">
                  <c:v>FCC HT</c:v>
                </c:pt>
                <c:pt idx="2">
                  <c:v>Diesel HT</c:v>
                </c:pt>
                <c:pt idx="3">
                  <c:v>Kero HT</c:v>
                </c:pt>
                <c:pt idx="4">
                  <c:v>Naphtha HT</c:v>
                </c:pt>
              </c:strCache>
            </c:strRef>
          </c:cat>
          <c:val>
            <c:numRef>
              <c:f>TempSheet!$B$23:$B$27</c:f>
              <c:numCache>
                <c:formatCode>0.0</c:formatCode>
                <c:ptCount val="5"/>
                <c:pt idx="0">
                  <c:v>5.7130011845756314</c:v>
                </c:pt>
                <c:pt idx="1">
                  <c:v>8.5427435149058226</c:v>
                </c:pt>
                <c:pt idx="2">
                  <c:v>7.4448220465206276</c:v>
                </c:pt>
                <c:pt idx="3">
                  <c:v>2.1642369873261487</c:v>
                </c:pt>
                <c:pt idx="4">
                  <c:v>9.6894452574019851E-2</c:v>
                </c:pt>
              </c:numCache>
            </c:numRef>
          </c:val>
          <c:extLst>
            <c:ext xmlns:c16="http://schemas.microsoft.com/office/drawing/2014/chart" uri="{C3380CC4-5D6E-409C-BE32-E72D297353CC}">
              <c16:uniqueId val="{00000001-FD03-42F2-854E-D87B50C80FBE}"/>
            </c:ext>
          </c:extLst>
        </c:ser>
        <c:ser>
          <c:idx val="4"/>
          <c:order val="2"/>
          <c:tx>
            <c:strRef>
              <c:f>TempSheet!$F$22</c:f>
              <c:strCache>
                <c:ptCount val="1"/>
                <c:pt idx="0">
                  <c:v>Gap</c:v>
                </c:pt>
              </c:strCache>
            </c:strRef>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TempSheet!$A$23:$A$27</c:f>
              <c:strCache>
                <c:ptCount val="5"/>
                <c:pt idx="0">
                  <c:v>HC Naphtha HT</c:v>
                </c:pt>
                <c:pt idx="1">
                  <c:v>FCC HT</c:v>
                </c:pt>
                <c:pt idx="2">
                  <c:v>Diesel HT</c:v>
                </c:pt>
                <c:pt idx="3">
                  <c:v>Kero HT</c:v>
                </c:pt>
                <c:pt idx="4">
                  <c:v>Naphtha HT</c:v>
                </c:pt>
              </c:strCache>
            </c:strRef>
          </c:cat>
          <c:val>
            <c:numRef>
              <c:f>TempSheet!$F$23:$F$27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FD03-42F2-854E-D87B50C80FBE}"/>
            </c:ext>
          </c:extLst>
        </c:ser>
        <c:ser>
          <c:idx val="0"/>
          <c:order val="3"/>
          <c:tx>
            <c:strRef>
              <c:f>TempSheet!$C$22</c:f>
              <c:strCache>
                <c:ptCount val="1"/>
                <c:pt idx="0">
                  <c:v>High</c:v>
                </c:pt>
              </c:strCache>
            </c:strRef>
          </c:tx>
          <c:spPr>
            <a:solidFill>
              <a:schemeClr val="accent1"/>
            </a:solidFill>
            <a:ln>
              <a:noFill/>
            </a:ln>
            <a:effectLst/>
          </c:spPr>
          <c:invertIfNegative val="0"/>
          <c:cat>
            <c:strRef>
              <c:f>TempSheet!$A$23:$A$27</c:f>
              <c:strCache>
                <c:ptCount val="5"/>
                <c:pt idx="0">
                  <c:v>HC Naphtha HT</c:v>
                </c:pt>
                <c:pt idx="1">
                  <c:v>FCC HT</c:v>
                </c:pt>
                <c:pt idx="2">
                  <c:v>Diesel HT</c:v>
                </c:pt>
                <c:pt idx="3">
                  <c:v>Kero HT</c:v>
                </c:pt>
                <c:pt idx="4">
                  <c:v>Naphtha HT</c:v>
                </c:pt>
              </c:strCache>
            </c:strRef>
          </c:cat>
          <c:val>
            <c:numRef>
              <c:f>TempSheet!$C$23:$C$27</c:f>
              <c:numCache>
                <c:formatCode>0.0</c:formatCode>
                <c:ptCount val="5"/>
                <c:pt idx="0">
                  <c:v>0.57277682100907157</c:v>
                </c:pt>
                <c:pt idx="1">
                  <c:v>8.4342995048911149</c:v>
                </c:pt>
                <c:pt idx="2">
                  <c:v>6.0933660766829689</c:v>
                </c:pt>
                <c:pt idx="3">
                  <c:v>3.0640373782360228</c:v>
                </c:pt>
                <c:pt idx="4">
                  <c:v>0.15811120126089406</c:v>
                </c:pt>
              </c:numCache>
            </c:numRef>
          </c:val>
          <c:extLst>
            <c:ext xmlns:c16="http://schemas.microsoft.com/office/drawing/2014/chart" uri="{C3380CC4-5D6E-409C-BE32-E72D297353CC}">
              <c16:uniqueId val="{00000003-FD03-42F2-854E-D87B50C80FBE}"/>
            </c:ext>
          </c:extLst>
        </c:ser>
        <c:ser>
          <c:idx val="2"/>
          <c:order val="4"/>
          <c:tx>
            <c:strRef>
              <c:f>TempSheet!$E$22</c:f>
              <c:strCache>
                <c:ptCount val="1"/>
                <c:pt idx="0">
                  <c:v>Pad r</c:v>
                </c:pt>
              </c:strCache>
            </c:strRef>
          </c:tx>
          <c:spPr>
            <a:noFill/>
            <a:ln>
              <a:noFill/>
            </a:ln>
            <a:effectLst/>
          </c:spPr>
          <c:invertIfNegative val="0"/>
          <c:cat>
            <c:strRef>
              <c:f>TempSheet!$A$23:$A$27</c:f>
              <c:strCache>
                <c:ptCount val="5"/>
                <c:pt idx="0">
                  <c:v>HC Naphtha HT</c:v>
                </c:pt>
                <c:pt idx="1">
                  <c:v>FCC HT</c:v>
                </c:pt>
                <c:pt idx="2">
                  <c:v>Diesel HT</c:v>
                </c:pt>
                <c:pt idx="3">
                  <c:v>Kero HT</c:v>
                </c:pt>
                <c:pt idx="4">
                  <c:v>Naphtha HT</c:v>
                </c:pt>
              </c:strCache>
            </c:strRef>
          </c:cat>
          <c:val>
            <c:numRef>
              <c:f>TempSheet!$E$23:$E$27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4-FD03-42F2-854E-D87B50C80FBE}"/>
            </c:ext>
          </c:extLst>
        </c:ser>
        <c:dLbls>
          <c:showLegendKey val="0"/>
          <c:showVal val="0"/>
          <c:showCatName val="0"/>
          <c:showSerName val="0"/>
          <c:showPercent val="0"/>
          <c:showBubbleSize val="0"/>
        </c:dLbls>
        <c:gapWidth val="150"/>
        <c:overlap val="100"/>
        <c:axId val="837119016"/>
        <c:axId val="837119408"/>
      </c:barChart>
      <c:catAx>
        <c:axId val="837119016"/>
        <c:scaling>
          <c:orientation val="minMax"/>
        </c:scaling>
        <c:delete val="1"/>
        <c:axPos val="l"/>
        <c:numFmt formatCode="General" sourceLinked="1"/>
        <c:majorTickMark val="none"/>
        <c:minorTickMark val="none"/>
        <c:tickLblPos val="nextTo"/>
        <c:crossAx val="837119408"/>
        <c:crosses val="autoZero"/>
        <c:auto val="1"/>
        <c:lblAlgn val="ctr"/>
        <c:lblOffset val="100"/>
        <c:noMultiLvlLbl val="0"/>
      </c:catAx>
      <c:valAx>
        <c:axId val="837119408"/>
        <c:scaling>
          <c:orientation val="minMax"/>
          <c:max val="110.08102362945664"/>
          <c:min val="91.1039806096597"/>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8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Total refinery emissions, kgCO2e/bbl</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119016"/>
        <c:crosses val="autoZero"/>
        <c:crossBetween val="between"/>
      </c:valAx>
      <c:spPr>
        <a:noFill/>
        <a:ln>
          <a:noFill/>
        </a:ln>
        <a:effectLst/>
      </c:spPr>
    </c:plotArea>
    <c:legend>
      <c:legendPos val="t"/>
      <c:legendEntry>
        <c:idx val="0"/>
        <c:delete val="1"/>
      </c:legendEntry>
      <c:legendEntry>
        <c:idx val="2"/>
        <c:delete val="1"/>
      </c:legendEntry>
      <c:legendEntry>
        <c:idx val="4"/>
        <c:delete val="1"/>
      </c:legendEntry>
      <c:layout>
        <c:manualLayout>
          <c:xMode val="edge"/>
          <c:yMode val="edge"/>
          <c:x val="0.43989501030244033"/>
          <c:y val="0.10992765032238719"/>
          <c:w val="0.1202098258565151"/>
          <c:h val="8.0339631129104819E-2"/>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r>
              <a:rPr lang="en-US" sz="1050"/>
              <a:t>Hydrotreater output hydrogen</a:t>
            </a:r>
            <a:r>
              <a:rPr lang="en-US" sz="1050" baseline="0"/>
              <a:t> content sensitivity, Hydro refinery</a:t>
            </a:r>
            <a:endParaRPr lang="en-US" sz="1050"/>
          </a:p>
        </c:rich>
      </c:tx>
      <c:overlay val="0"/>
      <c:spPr>
        <a:noFill/>
        <a:ln>
          <a:noFill/>
        </a:ln>
        <a:effectLst/>
      </c:spPr>
      <c:txPr>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0555555555555555E-2"/>
          <c:y val="0.15682925051035287"/>
          <c:w val="0.93888888888888888"/>
          <c:h val="0.6982088768930873"/>
        </c:manualLayout>
      </c:layout>
      <c:barChart>
        <c:barDir val="bar"/>
        <c:grouping val="stacked"/>
        <c:varyColors val="0"/>
        <c:ser>
          <c:idx val="3"/>
          <c:order val="0"/>
          <c:tx>
            <c:strRef>
              <c:f>TempSheet!$D$22</c:f>
              <c:strCache>
                <c:ptCount val="1"/>
                <c:pt idx="0">
                  <c:v>Pad l</c:v>
                </c:pt>
              </c:strCache>
            </c:strRef>
          </c:tx>
          <c:spPr>
            <a:noFill/>
            <a:ln>
              <a:noFill/>
            </a:ln>
            <a:effectLst/>
          </c:spPr>
          <c:invertIfNegative val="0"/>
          <c:cat>
            <c:strRef>
              <c:f>TempSheet!$A$23:$A$27</c:f>
              <c:strCache>
                <c:ptCount val="5"/>
                <c:pt idx="0">
                  <c:v>HC Naphtha HT</c:v>
                </c:pt>
                <c:pt idx="1">
                  <c:v>FCC HT</c:v>
                </c:pt>
                <c:pt idx="2">
                  <c:v>Diesel HT</c:v>
                </c:pt>
                <c:pt idx="3">
                  <c:v>Kero HT</c:v>
                </c:pt>
                <c:pt idx="4">
                  <c:v>Naphtha HT</c:v>
                </c:pt>
              </c:strCache>
            </c:strRef>
          </c:cat>
          <c:val>
            <c:numRef>
              <c:f>TempSheet!$D$23:$D$27</c:f>
              <c:numCache>
                <c:formatCode>0.0</c:formatCode>
                <c:ptCount val="5"/>
                <c:pt idx="0">
                  <c:v>94.933722939989892</c:v>
                </c:pt>
                <c:pt idx="1">
                  <c:v>92.1039806096597</c:v>
                </c:pt>
                <c:pt idx="2">
                  <c:v>93.201902078044895</c:v>
                </c:pt>
                <c:pt idx="3">
                  <c:v>98.482487137239374</c:v>
                </c:pt>
                <c:pt idx="4">
                  <c:v>100.5498296719915</c:v>
                </c:pt>
              </c:numCache>
            </c:numRef>
          </c:val>
          <c:extLst>
            <c:ext xmlns:c16="http://schemas.microsoft.com/office/drawing/2014/chart" uri="{C3380CC4-5D6E-409C-BE32-E72D297353CC}">
              <c16:uniqueId val="{00000000-DD8F-4DF8-8ADE-7A76FC2EBE59}"/>
            </c:ext>
          </c:extLst>
        </c:ser>
        <c:ser>
          <c:idx val="1"/>
          <c:order val="1"/>
          <c:tx>
            <c:strRef>
              <c:f>TempSheet!$B$22</c:f>
              <c:strCache>
                <c:ptCount val="1"/>
                <c:pt idx="0">
                  <c:v>Low</c:v>
                </c:pt>
              </c:strCache>
            </c:strRef>
          </c:tx>
          <c:spPr>
            <a:solidFill>
              <a:schemeClr val="accent2"/>
            </a:solidFill>
            <a:ln>
              <a:noFill/>
            </a:ln>
            <a:effectLst/>
          </c:spPr>
          <c:invertIfNegative val="0"/>
          <c:cat>
            <c:strRef>
              <c:f>TempSheet!$A$23:$A$27</c:f>
              <c:strCache>
                <c:ptCount val="5"/>
                <c:pt idx="0">
                  <c:v>HC Naphtha HT</c:v>
                </c:pt>
                <c:pt idx="1">
                  <c:v>FCC HT</c:v>
                </c:pt>
                <c:pt idx="2">
                  <c:v>Diesel HT</c:v>
                </c:pt>
                <c:pt idx="3">
                  <c:v>Kero HT</c:v>
                </c:pt>
                <c:pt idx="4">
                  <c:v>Naphtha HT</c:v>
                </c:pt>
              </c:strCache>
            </c:strRef>
          </c:cat>
          <c:val>
            <c:numRef>
              <c:f>TempSheet!$B$23:$B$27</c:f>
              <c:numCache>
                <c:formatCode>0.0</c:formatCode>
                <c:ptCount val="5"/>
                <c:pt idx="0">
                  <c:v>5.7130011845756314</c:v>
                </c:pt>
                <c:pt idx="1">
                  <c:v>8.5427435149058226</c:v>
                </c:pt>
                <c:pt idx="2">
                  <c:v>7.4448220465206276</c:v>
                </c:pt>
                <c:pt idx="3">
                  <c:v>2.1642369873261487</c:v>
                </c:pt>
                <c:pt idx="4">
                  <c:v>9.6894452574019851E-2</c:v>
                </c:pt>
              </c:numCache>
            </c:numRef>
          </c:val>
          <c:extLst>
            <c:ext xmlns:c16="http://schemas.microsoft.com/office/drawing/2014/chart" uri="{C3380CC4-5D6E-409C-BE32-E72D297353CC}">
              <c16:uniqueId val="{00000001-DD8F-4DF8-8ADE-7A76FC2EBE59}"/>
            </c:ext>
          </c:extLst>
        </c:ser>
        <c:ser>
          <c:idx val="4"/>
          <c:order val="2"/>
          <c:tx>
            <c:strRef>
              <c:f>TempSheet!$F$22</c:f>
              <c:strCache>
                <c:ptCount val="1"/>
                <c:pt idx="0">
                  <c:v>Gap</c:v>
                </c:pt>
              </c:strCache>
            </c:strRef>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TempSheet!$A$23:$A$27</c:f>
              <c:strCache>
                <c:ptCount val="5"/>
                <c:pt idx="0">
                  <c:v>HC Naphtha HT</c:v>
                </c:pt>
                <c:pt idx="1">
                  <c:v>FCC HT</c:v>
                </c:pt>
                <c:pt idx="2">
                  <c:v>Diesel HT</c:v>
                </c:pt>
                <c:pt idx="3">
                  <c:v>Kero HT</c:v>
                </c:pt>
                <c:pt idx="4">
                  <c:v>Naphtha HT</c:v>
                </c:pt>
              </c:strCache>
            </c:strRef>
          </c:cat>
          <c:val>
            <c:numRef>
              <c:f>TempSheet!$F$23:$F$27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DD8F-4DF8-8ADE-7A76FC2EBE59}"/>
            </c:ext>
          </c:extLst>
        </c:ser>
        <c:ser>
          <c:idx val="0"/>
          <c:order val="3"/>
          <c:tx>
            <c:strRef>
              <c:f>TempSheet!$C$22</c:f>
              <c:strCache>
                <c:ptCount val="1"/>
                <c:pt idx="0">
                  <c:v>High</c:v>
                </c:pt>
              </c:strCache>
            </c:strRef>
          </c:tx>
          <c:spPr>
            <a:solidFill>
              <a:schemeClr val="accent1"/>
            </a:solidFill>
            <a:ln>
              <a:noFill/>
            </a:ln>
            <a:effectLst/>
          </c:spPr>
          <c:invertIfNegative val="0"/>
          <c:cat>
            <c:strRef>
              <c:f>TempSheet!$A$23:$A$27</c:f>
              <c:strCache>
                <c:ptCount val="5"/>
                <c:pt idx="0">
                  <c:v>HC Naphtha HT</c:v>
                </c:pt>
                <c:pt idx="1">
                  <c:v>FCC HT</c:v>
                </c:pt>
                <c:pt idx="2">
                  <c:v>Diesel HT</c:v>
                </c:pt>
                <c:pt idx="3">
                  <c:v>Kero HT</c:v>
                </c:pt>
                <c:pt idx="4">
                  <c:v>Naphtha HT</c:v>
                </c:pt>
              </c:strCache>
            </c:strRef>
          </c:cat>
          <c:val>
            <c:numRef>
              <c:f>TempSheet!$C$23:$C$27</c:f>
              <c:numCache>
                <c:formatCode>0.0</c:formatCode>
                <c:ptCount val="5"/>
                <c:pt idx="0">
                  <c:v>0.57277682100907157</c:v>
                </c:pt>
                <c:pt idx="1">
                  <c:v>8.4342995048911149</c:v>
                </c:pt>
                <c:pt idx="2">
                  <c:v>6.0933660766829689</c:v>
                </c:pt>
                <c:pt idx="3">
                  <c:v>3.0640373782360228</c:v>
                </c:pt>
                <c:pt idx="4">
                  <c:v>0.15811120126089406</c:v>
                </c:pt>
              </c:numCache>
            </c:numRef>
          </c:val>
          <c:extLst>
            <c:ext xmlns:c16="http://schemas.microsoft.com/office/drawing/2014/chart" uri="{C3380CC4-5D6E-409C-BE32-E72D297353CC}">
              <c16:uniqueId val="{00000003-DD8F-4DF8-8ADE-7A76FC2EBE59}"/>
            </c:ext>
          </c:extLst>
        </c:ser>
        <c:ser>
          <c:idx val="2"/>
          <c:order val="4"/>
          <c:tx>
            <c:strRef>
              <c:f>TempSheet!$E$22</c:f>
              <c:strCache>
                <c:ptCount val="1"/>
                <c:pt idx="0">
                  <c:v>Pad r</c:v>
                </c:pt>
              </c:strCache>
            </c:strRef>
          </c:tx>
          <c:spPr>
            <a:noFill/>
            <a:ln>
              <a:noFill/>
            </a:ln>
            <a:effectLst/>
          </c:spPr>
          <c:invertIfNegative val="0"/>
          <c:cat>
            <c:strRef>
              <c:f>TempSheet!$A$23:$A$27</c:f>
              <c:strCache>
                <c:ptCount val="5"/>
                <c:pt idx="0">
                  <c:v>HC Naphtha HT</c:v>
                </c:pt>
                <c:pt idx="1">
                  <c:v>FCC HT</c:v>
                </c:pt>
                <c:pt idx="2">
                  <c:v>Diesel HT</c:v>
                </c:pt>
                <c:pt idx="3">
                  <c:v>Kero HT</c:v>
                </c:pt>
                <c:pt idx="4">
                  <c:v>Naphtha HT</c:v>
                </c:pt>
              </c:strCache>
            </c:strRef>
          </c:cat>
          <c:val>
            <c:numRef>
              <c:f>TempSheet!$E$23:$E$27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4-DD8F-4DF8-8ADE-7A76FC2EBE59}"/>
            </c:ext>
          </c:extLst>
        </c:ser>
        <c:dLbls>
          <c:showLegendKey val="0"/>
          <c:showVal val="0"/>
          <c:showCatName val="0"/>
          <c:showSerName val="0"/>
          <c:showPercent val="0"/>
          <c:showBubbleSize val="0"/>
        </c:dLbls>
        <c:gapWidth val="150"/>
        <c:overlap val="100"/>
        <c:axId val="837120584"/>
        <c:axId val="837120976"/>
      </c:barChart>
      <c:catAx>
        <c:axId val="837120584"/>
        <c:scaling>
          <c:orientation val="minMax"/>
        </c:scaling>
        <c:delete val="1"/>
        <c:axPos val="l"/>
        <c:numFmt formatCode="General" sourceLinked="1"/>
        <c:majorTickMark val="none"/>
        <c:minorTickMark val="none"/>
        <c:tickLblPos val="nextTo"/>
        <c:crossAx val="837120976"/>
        <c:crosses val="autoZero"/>
        <c:auto val="1"/>
        <c:lblAlgn val="ctr"/>
        <c:lblOffset val="100"/>
        <c:noMultiLvlLbl val="0"/>
      </c:catAx>
      <c:valAx>
        <c:axId val="837120976"/>
        <c:scaling>
          <c:orientation val="minMax"/>
          <c:max val="110.08102362945664"/>
          <c:min val="91.1039806096597"/>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8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Total refinery emissions, kgCO2e/bbl</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120584"/>
        <c:crosses val="autoZero"/>
        <c:crossBetween val="between"/>
      </c:valAx>
      <c:spPr>
        <a:noFill/>
        <a:ln>
          <a:noFill/>
        </a:ln>
        <a:effectLst/>
      </c:spPr>
    </c:plotArea>
    <c:legend>
      <c:legendPos val="t"/>
      <c:legendEntry>
        <c:idx val="0"/>
        <c:delete val="1"/>
      </c:legendEntry>
      <c:legendEntry>
        <c:idx val="2"/>
        <c:delete val="1"/>
      </c:legendEntry>
      <c:legendEntry>
        <c:idx val="4"/>
        <c:delete val="1"/>
      </c:legendEntry>
      <c:layout>
        <c:manualLayout>
          <c:xMode val="edge"/>
          <c:yMode val="edge"/>
          <c:x val="0.43989501030244033"/>
          <c:y val="0.10992765032238719"/>
          <c:w val="0.1202098258565151"/>
          <c:h val="8.0339631129104819E-2"/>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r>
              <a:rPr lang="en-US" sz="1050"/>
              <a:t>Hydrotreater output hydrogen</a:t>
            </a:r>
            <a:r>
              <a:rPr lang="en-US" sz="1050" baseline="0"/>
              <a:t> content sensitivity, Coking refinery</a:t>
            </a:r>
            <a:endParaRPr lang="en-US" sz="1050"/>
          </a:p>
        </c:rich>
      </c:tx>
      <c:overlay val="0"/>
      <c:spPr>
        <a:noFill/>
        <a:ln>
          <a:noFill/>
        </a:ln>
        <a:effectLst/>
      </c:spPr>
      <c:txPr>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0555555555555555E-2"/>
          <c:y val="0.15682925051035287"/>
          <c:w val="0.93888888888888888"/>
          <c:h val="0.67914760129752638"/>
        </c:manualLayout>
      </c:layout>
      <c:barChart>
        <c:barDir val="bar"/>
        <c:grouping val="stacked"/>
        <c:varyColors val="0"/>
        <c:ser>
          <c:idx val="3"/>
          <c:order val="0"/>
          <c:tx>
            <c:strRef>
              <c:f>TempSheet!$D$1</c:f>
              <c:strCache>
                <c:ptCount val="1"/>
                <c:pt idx="0">
                  <c:v>Pad l</c:v>
                </c:pt>
              </c:strCache>
            </c:strRef>
          </c:tx>
          <c:spPr>
            <a:noFill/>
            <a:ln>
              <a:noFill/>
            </a:ln>
            <a:effectLst/>
          </c:spPr>
          <c:invertIfNegative val="0"/>
          <c:cat>
            <c:strRef>
              <c:f>TempSheet!$A$2:$A$6</c:f>
              <c:strCache>
                <c:ptCount val="5"/>
                <c:pt idx="0">
                  <c:v>Coker naphtha HT </c:v>
                </c:pt>
                <c:pt idx="1">
                  <c:v>FCC HT</c:v>
                </c:pt>
                <c:pt idx="2">
                  <c:v>Diesel HT</c:v>
                </c:pt>
                <c:pt idx="3">
                  <c:v>Kero HT</c:v>
                </c:pt>
                <c:pt idx="4">
                  <c:v>Naphtha HT</c:v>
                </c:pt>
              </c:strCache>
            </c:strRef>
          </c:cat>
          <c:val>
            <c:numRef>
              <c:f>TempSheet!$D$2:$D$6</c:f>
              <c:numCache>
                <c:formatCode>0.0</c:formatCode>
                <c:ptCount val="5"/>
                <c:pt idx="0">
                  <c:v>64.6302423465104</c:v>
                </c:pt>
                <c:pt idx="1">
                  <c:v>63.537766898454855</c:v>
                </c:pt>
                <c:pt idx="2">
                  <c:v>68.192846508844411</c:v>
                </c:pt>
                <c:pt idx="3">
                  <c:v>70.643353764912192</c:v>
                </c:pt>
                <c:pt idx="4">
                  <c:v>72.736444443813326</c:v>
                </c:pt>
              </c:numCache>
            </c:numRef>
          </c:val>
          <c:extLst>
            <c:ext xmlns:c16="http://schemas.microsoft.com/office/drawing/2014/chart" uri="{C3380CC4-5D6E-409C-BE32-E72D297353CC}">
              <c16:uniqueId val="{00000000-D214-4A1A-A1CD-E85BA1B51DCF}"/>
            </c:ext>
          </c:extLst>
        </c:ser>
        <c:ser>
          <c:idx val="1"/>
          <c:order val="1"/>
          <c:tx>
            <c:strRef>
              <c:f>TempSheet!$B$1</c:f>
              <c:strCache>
                <c:ptCount val="1"/>
                <c:pt idx="0">
                  <c:v>Low</c:v>
                </c:pt>
              </c:strCache>
            </c:strRef>
          </c:tx>
          <c:spPr>
            <a:solidFill>
              <a:schemeClr val="accent2"/>
            </a:solidFill>
            <a:ln>
              <a:noFill/>
            </a:ln>
            <a:effectLst/>
          </c:spPr>
          <c:invertIfNegative val="0"/>
          <c:cat>
            <c:strRef>
              <c:f>TempSheet!$A$2:$A$6</c:f>
              <c:strCache>
                <c:ptCount val="5"/>
                <c:pt idx="0">
                  <c:v>Coker naphtha HT </c:v>
                </c:pt>
                <c:pt idx="1">
                  <c:v>FCC HT</c:v>
                </c:pt>
                <c:pt idx="2">
                  <c:v>Diesel HT</c:v>
                </c:pt>
                <c:pt idx="3">
                  <c:v>Kero HT</c:v>
                </c:pt>
                <c:pt idx="4">
                  <c:v>Naphtha HT</c:v>
                </c:pt>
              </c:strCache>
            </c:strRef>
          </c:cat>
          <c:val>
            <c:numRef>
              <c:f>TempSheet!$B$2:$B$6</c:f>
              <c:numCache>
                <c:formatCode>0.0</c:formatCode>
                <c:ptCount val="5"/>
                <c:pt idx="0">
                  <c:v>8.8264766480952517</c:v>
                </c:pt>
                <c:pt idx="1">
                  <c:v>9.9189520961507966</c:v>
                </c:pt>
                <c:pt idx="2">
                  <c:v>5.2638724857612402</c:v>
                </c:pt>
                <c:pt idx="3">
                  <c:v>2.8133652296934599</c:v>
                </c:pt>
                <c:pt idx="4">
                  <c:v>0.72027455079232539</c:v>
                </c:pt>
              </c:numCache>
            </c:numRef>
          </c:val>
          <c:extLst>
            <c:ext xmlns:c16="http://schemas.microsoft.com/office/drawing/2014/chart" uri="{C3380CC4-5D6E-409C-BE32-E72D297353CC}">
              <c16:uniqueId val="{00000001-D214-4A1A-A1CD-E85BA1B51DCF}"/>
            </c:ext>
          </c:extLst>
        </c:ser>
        <c:ser>
          <c:idx val="4"/>
          <c:order val="2"/>
          <c:tx>
            <c:strRef>
              <c:f>TempSheet!$F$1</c:f>
              <c:strCache>
                <c:ptCount val="1"/>
                <c:pt idx="0">
                  <c:v>Gap</c:v>
                </c:pt>
              </c:strCache>
            </c:strRef>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TempSheet!$A$2:$A$6</c:f>
              <c:strCache>
                <c:ptCount val="5"/>
                <c:pt idx="0">
                  <c:v>Coker naphtha HT </c:v>
                </c:pt>
                <c:pt idx="1">
                  <c:v>FCC HT</c:v>
                </c:pt>
                <c:pt idx="2">
                  <c:v>Diesel HT</c:v>
                </c:pt>
                <c:pt idx="3">
                  <c:v>Kero HT</c:v>
                </c:pt>
                <c:pt idx="4">
                  <c:v>Naphtha HT</c:v>
                </c:pt>
              </c:strCache>
            </c:strRef>
          </c:cat>
          <c:val>
            <c:numRef>
              <c:f>TempSheet!$F$2:$F$6</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D214-4A1A-A1CD-E85BA1B51DCF}"/>
            </c:ext>
          </c:extLst>
        </c:ser>
        <c:ser>
          <c:idx val="0"/>
          <c:order val="3"/>
          <c:tx>
            <c:strRef>
              <c:f>TempSheet!$C$1</c:f>
              <c:strCache>
                <c:ptCount val="1"/>
                <c:pt idx="0">
                  <c:v>High</c:v>
                </c:pt>
              </c:strCache>
            </c:strRef>
          </c:tx>
          <c:spPr>
            <a:solidFill>
              <a:schemeClr val="accent1"/>
            </a:solidFill>
            <a:ln>
              <a:noFill/>
            </a:ln>
            <a:effectLst/>
          </c:spPr>
          <c:invertIfNegative val="0"/>
          <c:cat>
            <c:strRef>
              <c:f>TempSheet!$A$2:$A$6</c:f>
              <c:strCache>
                <c:ptCount val="5"/>
                <c:pt idx="0">
                  <c:v>Coker naphtha HT </c:v>
                </c:pt>
                <c:pt idx="1">
                  <c:v>FCC HT</c:v>
                </c:pt>
                <c:pt idx="2">
                  <c:v>Diesel HT</c:v>
                </c:pt>
                <c:pt idx="3">
                  <c:v>Kero HT</c:v>
                </c:pt>
                <c:pt idx="4">
                  <c:v>Naphtha HT</c:v>
                </c:pt>
              </c:strCache>
            </c:strRef>
          </c:cat>
          <c:val>
            <c:numRef>
              <c:f>TempSheet!$C$2:$C$6</c:f>
              <c:numCache>
                <c:formatCode>0.0</c:formatCode>
                <c:ptCount val="5"/>
                <c:pt idx="0">
                  <c:v>0.64831269562158411</c:v>
                </c:pt>
                <c:pt idx="1">
                  <c:v>8.5377631804681613</c:v>
                </c:pt>
                <c:pt idx="2">
                  <c:v>2.9981931507618356</c:v>
                </c:pt>
                <c:pt idx="3">
                  <c:v>3.9944145242718321</c:v>
                </c:pt>
                <c:pt idx="4">
                  <c:v>1.094410482691103</c:v>
                </c:pt>
              </c:numCache>
            </c:numRef>
          </c:val>
          <c:extLst>
            <c:ext xmlns:c16="http://schemas.microsoft.com/office/drawing/2014/chart" uri="{C3380CC4-5D6E-409C-BE32-E72D297353CC}">
              <c16:uniqueId val="{00000003-D214-4A1A-A1CD-E85BA1B51DCF}"/>
            </c:ext>
          </c:extLst>
        </c:ser>
        <c:ser>
          <c:idx val="2"/>
          <c:order val="4"/>
          <c:tx>
            <c:strRef>
              <c:f>TempSheet!$E$1</c:f>
              <c:strCache>
                <c:ptCount val="1"/>
                <c:pt idx="0">
                  <c:v>Pad r</c:v>
                </c:pt>
              </c:strCache>
            </c:strRef>
          </c:tx>
          <c:spPr>
            <a:noFill/>
            <a:ln>
              <a:noFill/>
            </a:ln>
            <a:effectLst/>
          </c:spPr>
          <c:invertIfNegative val="0"/>
          <c:cat>
            <c:strRef>
              <c:f>TempSheet!$A$2:$A$6</c:f>
              <c:strCache>
                <c:ptCount val="5"/>
                <c:pt idx="0">
                  <c:v>Coker naphtha HT </c:v>
                </c:pt>
                <c:pt idx="1">
                  <c:v>FCC HT</c:v>
                </c:pt>
                <c:pt idx="2">
                  <c:v>Diesel HT</c:v>
                </c:pt>
                <c:pt idx="3">
                  <c:v>Kero HT</c:v>
                </c:pt>
                <c:pt idx="4">
                  <c:v>Naphtha HT</c:v>
                </c:pt>
              </c:strCache>
            </c:strRef>
          </c:cat>
          <c:val>
            <c:numRef>
              <c:f>TempSheet!$E$2:$E$6</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4-D214-4A1A-A1CD-E85BA1B51DCF}"/>
            </c:ext>
          </c:extLst>
        </c:ser>
        <c:dLbls>
          <c:showLegendKey val="0"/>
          <c:showVal val="0"/>
          <c:showCatName val="0"/>
          <c:showSerName val="0"/>
          <c:showPercent val="0"/>
          <c:showBubbleSize val="0"/>
        </c:dLbls>
        <c:gapWidth val="150"/>
        <c:overlap val="100"/>
        <c:axId val="837121760"/>
        <c:axId val="837122152"/>
      </c:barChart>
      <c:catAx>
        <c:axId val="837121760"/>
        <c:scaling>
          <c:orientation val="minMax"/>
        </c:scaling>
        <c:delete val="1"/>
        <c:axPos val="l"/>
        <c:numFmt formatCode="General" sourceLinked="1"/>
        <c:majorTickMark val="none"/>
        <c:minorTickMark val="none"/>
        <c:tickLblPos val="nextTo"/>
        <c:crossAx val="837122152"/>
        <c:crosses val="autoZero"/>
        <c:auto val="1"/>
        <c:lblAlgn val="ctr"/>
        <c:lblOffset val="100"/>
        <c:noMultiLvlLbl val="0"/>
      </c:catAx>
      <c:valAx>
        <c:axId val="837122152"/>
        <c:scaling>
          <c:orientation val="minMax"/>
          <c:max val="82.994482175073813"/>
          <c:min val="62.537766898454855"/>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8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Total refinery emissions, kgCO2e/bbl</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121760"/>
        <c:crosses val="autoZero"/>
        <c:crossBetween val="between"/>
      </c:valAx>
      <c:spPr>
        <a:noFill/>
        <a:ln>
          <a:noFill/>
        </a:ln>
        <a:effectLst/>
      </c:spPr>
    </c:plotArea>
    <c:legend>
      <c:legendPos val="t"/>
      <c:legendEntry>
        <c:idx val="0"/>
        <c:delete val="1"/>
      </c:legendEntry>
      <c:legendEntry>
        <c:idx val="2"/>
        <c:delete val="1"/>
      </c:legendEntry>
      <c:legendEntry>
        <c:idx val="4"/>
        <c:delete val="1"/>
      </c:legendEntry>
      <c:layout>
        <c:manualLayout>
          <c:xMode val="edge"/>
          <c:yMode val="edge"/>
          <c:x val="0.43989501030244033"/>
          <c:y val="0.12424177544066735"/>
          <c:w val="0.1202098258565151"/>
          <c:h val="8.0360085656830491E-2"/>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atin typeface="+mn-lt"/>
                <a:cs typeface="Times New Roman" pitchFamily="18" charset="0"/>
              </a:defRPr>
            </a:pPr>
            <a:r>
              <a:rPr lang="en-US" sz="1800" b="1" i="0" baseline="0"/>
              <a:t>Contributors to the coking refinery's GHG emissions</a:t>
            </a:r>
            <a:endParaRPr lang="en-US"/>
          </a:p>
        </c:rich>
      </c:tx>
      <c:layout>
        <c:manualLayout>
          <c:xMode val="edge"/>
          <c:yMode val="edge"/>
          <c:x val="0.36430562394919902"/>
          <c:y val="2.4432807758628598E-2"/>
        </c:manualLayout>
      </c:layout>
      <c:overlay val="1"/>
    </c:title>
    <c:autoTitleDeleted val="0"/>
    <c:plotArea>
      <c:layout>
        <c:manualLayout>
          <c:layoutTarget val="inner"/>
          <c:xMode val="edge"/>
          <c:yMode val="edge"/>
          <c:x val="0.23950992199875701"/>
          <c:y val="0.13406801054804701"/>
          <c:w val="0.48692746751784899"/>
          <c:h val="0.71091755966655201"/>
        </c:manualLayout>
      </c:layout>
      <c:barChart>
        <c:barDir val="bar"/>
        <c:grouping val="stacked"/>
        <c:varyColors val="0"/>
        <c:ser>
          <c:idx val="0"/>
          <c:order val="0"/>
          <c:tx>
            <c:strRef>
              <c:f>'CokingRefinery Detailed Results'!$E$41:$E$41</c:f>
              <c:strCache>
                <c:ptCount val="1"/>
                <c:pt idx="0">
                  <c:v> Power Requirement </c:v>
                </c:pt>
              </c:strCache>
            </c:strRef>
          </c:tx>
          <c:invertIfNegative val="0"/>
          <c:cat>
            <c:strRef>
              <c:f>'CokingRefinery Detailed Results'!$C$44:$C$65</c:f>
              <c:strCache>
                <c:ptCount val="22"/>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Cracker </c:v>
                </c:pt>
                <c:pt idx="17">
                  <c:v> Fluid Catalytic Cracker Main Fractionator </c:v>
                </c:pt>
                <c:pt idx="18">
                  <c:v> Alkylation Unit </c:v>
                </c:pt>
                <c:pt idx="19">
                  <c:v> Catalytic naphtha reformer  </c:v>
                </c:pt>
                <c:pt idx="20">
                  <c:v> Isomerization Unit </c:v>
                </c:pt>
                <c:pt idx="21">
                  <c:v>Fuel gas treatment and sulphur recovery</c:v>
                </c:pt>
              </c:strCache>
            </c:strRef>
          </c:cat>
          <c:val>
            <c:numRef>
              <c:f>'CokingRefinery Detailed Results'!$E$44:$E$65</c:f>
              <c:numCache>
                <c:formatCode>_(* #,##0_);_(* \(#,##0\);_(* "-"_);_(@_)</c:formatCode>
                <c:ptCount val="22"/>
                <c:pt idx="0">
                  <c:v>0.82359321901136406</c:v>
                </c:pt>
                <c:pt idx="1">
                  <c:v>0</c:v>
                </c:pt>
                <c:pt idx="2">
                  <c:v>4.9415593140681837</c:v>
                </c:pt>
                <c:pt idx="3">
                  <c:v>0</c:v>
                </c:pt>
                <c:pt idx="4">
                  <c:v>0</c:v>
                </c:pt>
                <c:pt idx="5">
                  <c:v>57.514509816423875</c:v>
                </c:pt>
                <c:pt idx="6">
                  <c:v>44.648916151424345</c:v>
                </c:pt>
                <c:pt idx="7">
                  <c:v>1.5340406248714036</c:v>
                </c:pt>
                <c:pt idx="8">
                  <c:v>0</c:v>
                </c:pt>
                <c:pt idx="9">
                  <c:v>0</c:v>
                </c:pt>
                <c:pt idx="10">
                  <c:v>20.800113399612222</c:v>
                </c:pt>
                <c:pt idx="11">
                  <c:v>0</c:v>
                </c:pt>
                <c:pt idx="12">
                  <c:v>0</c:v>
                </c:pt>
                <c:pt idx="13">
                  <c:v>0</c:v>
                </c:pt>
                <c:pt idx="14">
                  <c:v>0</c:v>
                </c:pt>
                <c:pt idx="15">
                  <c:v>0</c:v>
                </c:pt>
                <c:pt idx="16">
                  <c:v>0</c:v>
                </c:pt>
                <c:pt idx="17">
                  <c:v>0</c:v>
                </c:pt>
                <c:pt idx="18">
                  <c:v>0</c:v>
                </c:pt>
                <c:pt idx="19">
                  <c:v>29.39059014688829</c:v>
                </c:pt>
                <c:pt idx="20">
                  <c:v>4.1736962565114837</c:v>
                </c:pt>
                <c:pt idx="21">
                  <c:v>0.45058586903973558</c:v>
                </c:pt>
              </c:numCache>
            </c:numRef>
          </c:val>
          <c:extLst>
            <c:ext xmlns:c16="http://schemas.microsoft.com/office/drawing/2014/chart" uri="{C3380CC4-5D6E-409C-BE32-E72D297353CC}">
              <c16:uniqueId val="{00000000-09FF-432D-8F41-24753DD8E3A4}"/>
            </c:ext>
          </c:extLst>
        </c:ser>
        <c:ser>
          <c:idx val="1"/>
          <c:order val="1"/>
          <c:tx>
            <c:strRef>
              <c:f>'CokingRefinery Detailed Results'!$F$41</c:f>
              <c:strCache>
                <c:ptCount val="1"/>
                <c:pt idx="0">
                  <c:v> Net Natural Gas Requirement </c:v>
                </c:pt>
              </c:strCache>
            </c:strRef>
          </c:tx>
          <c:invertIfNegative val="0"/>
          <c:cat>
            <c:strRef>
              <c:f>'CokingRefinery Detailed Results'!$C$44:$C$65</c:f>
              <c:strCache>
                <c:ptCount val="22"/>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Cracker </c:v>
                </c:pt>
                <c:pt idx="17">
                  <c:v> Fluid Catalytic Cracker Main Fractionator </c:v>
                </c:pt>
                <c:pt idx="18">
                  <c:v> Alkylation Unit </c:v>
                </c:pt>
                <c:pt idx="19">
                  <c:v> Catalytic naphtha reformer  </c:v>
                </c:pt>
                <c:pt idx="20">
                  <c:v> Isomerization Unit </c:v>
                </c:pt>
                <c:pt idx="21">
                  <c:v>Fuel gas treatment and sulphur recovery</c:v>
                </c:pt>
              </c:strCache>
            </c:strRef>
          </c:cat>
          <c:val>
            <c:numRef>
              <c:f>'CokingRefinery Detailed Results'!$F$44:$F$65</c:f>
              <c:numCache>
                <c:formatCode>_(* #,##0_);_(* \(#,##0\);_(* "-"_);_(@_)</c:formatCode>
                <c:ptCount val="22"/>
                <c:pt idx="0">
                  <c:v>0</c:v>
                </c:pt>
                <c:pt idx="1">
                  <c:v>283.96539814850593</c:v>
                </c:pt>
                <c:pt idx="2">
                  <c:v>0</c:v>
                </c:pt>
                <c:pt idx="3">
                  <c:v>4.4598510206424369E-19</c:v>
                </c:pt>
                <c:pt idx="4">
                  <c:v>0</c:v>
                </c:pt>
                <c:pt idx="5">
                  <c:v>232.66305459420607</c:v>
                </c:pt>
                <c:pt idx="6">
                  <c:v>263.54740004012791</c:v>
                </c:pt>
                <c:pt idx="7">
                  <c:v>0</c:v>
                </c:pt>
                <c:pt idx="8">
                  <c:v>0</c:v>
                </c:pt>
                <c:pt idx="9">
                  <c:v>0</c:v>
                </c:pt>
                <c:pt idx="10">
                  <c:v>122.2874825633636</c:v>
                </c:pt>
                <c:pt idx="11">
                  <c:v>9.9768672963677239E-17</c:v>
                </c:pt>
                <c:pt idx="12">
                  <c:v>0</c:v>
                </c:pt>
                <c:pt idx="13">
                  <c:v>0</c:v>
                </c:pt>
                <c:pt idx="14">
                  <c:v>7.7256105301110039E-20</c:v>
                </c:pt>
                <c:pt idx="15">
                  <c:v>1.4167831958383894E-16</c:v>
                </c:pt>
                <c:pt idx="16">
                  <c:v>0</c:v>
                </c:pt>
                <c:pt idx="17">
                  <c:v>0</c:v>
                </c:pt>
                <c:pt idx="18">
                  <c:v>0</c:v>
                </c:pt>
                <c:pt idx="19">
                  <c:v>0</c:v>
                </c:pt>
                <c:pt idx="20">
                  <c:v>78.204084140003403</c:v>
                </c:pt>
                <c:pt idx="21">
                  <c:v>2.6897166995150461</c:v>
                </c:pt>
              </c:numCache>
            </c:numRef>
          </c:val>
          <c:extLst>
            <c:ext xmlns:c16="http://schemas.microsoft.com/office/drawing/2014/chart" uri="{C3380CC4-5D6E-409C-BE32-E72D297353CC}">
              <c16:uniqueId val="{00000001-09FF-432D-8F41-24753DD8E3A4}"/>
            </c:ext>
          </c:extLst>
        </c:ser>
        <c:ser>
          <c:idx val="7"/>
          <c:order val="2"/>
          <c:tx>
            <c:strRef>
              <c:f>'CokingRefinery Detailed Results'!$G$41</c:f>
              <c:strCache>
                <c:ptCount val="1"/>
                <c:pt idx="0">
                  <c:v> RFG Requirement </c:v>
                </c:pt>
              </c:strCache>
            </c:strRef>
          </c:tx>
          <c:invertIfNegative val="0"/>
          <c:val>
            <c:numRef>
              <c:f>'CokingRefinery Detailed Results'!$G$44:$G$65</c:f>
              <c:numCache>
                <c:formatCode>_(* #,##0_);_(* \(#,##0\);_(* "-"_);_(@_)</c:formatCode>
                <c:ptCount val="22"/>
                <c:pt idx="0">
                  <c:v>0</c:v>
                </c:pt>
                <c:pt idx="1">
                  <c:v>0</c:v>
                </c:pt>
                <c:pt idx="2">
                  <c:v>0</c:v>
                </c:pt>
                <c:pt idx="3">
                  <c:v>0</c:v>
                </c:pt>
                <c:pt idx="4">
                  <c:v>0</c:v>
                </c:pt>
                <c:pt idx="5">
                  <c:v>12.112903237159923</c:v>
                </c:pt>
                <c:pt idx="6">
                  <c:v>20.256413376918204</c:v>
                </c:pt>
                <c:pt idx="7">
                  <c:v>0</c:v>
                </c:pt>
                <c:pt idx="8">
                  <c:v>7.0633802759813424E-11</c:v>
                </c:pt>
                <c:pt idx="9">
                  <c:v>0</c:v>
                </c:pt>
                <c:pt idx="10">
                  <c:v>9.8705038459293046</c:v>
                </c:pt>
                <c:pt idx="11">
                  <c:v>0</c:v>
                </c:pt>
                <c:pt idx="12">
                  <c:v>0</c:v>
                </c:pt>
                <c:pt idx="13">
                  <c:v>0</c:v>
                </c:pt>
                <c:pt idx="14">
                  <c:v>8.4245747995373747E-21</c:v>
                </c:pt>
                <c:pt idx="15">
                  <c:v>1.4505990867444452E-19</c:v>
                </c:pt>
                <c:pt idx="16">
                  <c:v>1.2487791384692307E-18</c:v>
                </c:pt>
                <c:pt idx="17">
                  <c:v>0</c:v>
                </c:pt>
                <c:pt idx="18">
                  <c:v>0</c:v>
                </c:pt>
                <c:pt idx="19">
                  <c:v>329.55706741195411</c:v>
                </c:pt>
                <c:pt idx="20">
                  <c:v>23.990764358469349</c:v>
                </c:pt>
                <c:pt idx="21">
                  <c:v>0</c:v>
                </c:pt>
              </c:numCache>
            </c:numRef>
          </c:val>
          <c:extLst>
            <c:ext xmlns:c16="http://schemas.microsoft.com/office/drawing/2014/chart" uri="{C3380CC4-5D6E-409C-BE32-E72D297353CC}">
              <c16:uniqueId val="{00000002-09FF-432D-8F41-24753DD8E3A4}"/>
            </c:ext>
          </c:extLst>
        </c:ser>
        <c:ser>
          <c:idx val="2"/>
          <c:order val="3"/>
          <c:tx>
            <c:strRef>
              <c:f>'CokingRefinery Detailed Results'!$H$41</c:f>
              <c:strCache>
                <c:ptCount val="1"/>
                <c:pt idx="0">
                  <c:v> Total Steam requirement </c:v>
                </c:pt>
              </c:strCache>
            </c:strRef>
          </c:tx>
          <c:invertIfNegative val="0"/>
          <c:cat>
            <c:strRef>
              <c:f>'CokingRefinery Detailed Results'!$C$44:$C$65</c:f>
              <c:strCache>
                <c:ptCount val="22"/>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Cracker </c:v>
                </c:pt>
                <c:pt idx="17">
                  <c:v> Fluid Catalytic Cracker Main Fractionator </c:v>
                </c:pt>
                <c:pt idx="18">
                  <c:v> Alkylation Unit </c:v>
                </c:pt>
                <c:pt idx="19">
                  <c:v> Catalytic naphtha reformer  </c:v>
                </c:pt>
                <c:pt idx="20">
                  <c:v> Isomerization Unit </c:v>
                </c:pt>
                <c:pt idx="21">
                  <c:v>Fuel gas treatment and sulphur recovery</c:v>
                </c:pt>
              </c:strCache>
            </c:strRef>
          </c:cat>
          <c:val>
            <c:numRef>
              <c:f>'CokingRefinery Detailed Results'!$H$44:$H$65</c:f>
              <c:numCache>
                <c:formatCode>_(* #,##0_);_(* \(#,##0\);_(* "-"_);_(@_)</c:formatCode>
                <c:ptCount val="22"/>
                <c:pt idx="0">
                  <c:v>0</c:v>
                </c:pt>
                <c:pt idx="1">
                  <c:v>0</c:v>
                </c:pt>
                <c:pt idx="2">
                  <c:v>59.083155958973833</c:v>
                </c:pt>
                <c:pt idx="3">
                  <c:v>0</c:v>
                </c:pt>
                <c:pt idx="4">
                  <c:v>1.7170101927159425E-17</c:v>
                </c:pt>
                <c:pt idx="5">
                  <c:v>18.751830850344483</c:v>
                </c:pt>
                <c:pt idx="6">
                  <c:v>23.291483863674006</c:v>
                </c:pt>
                <c:pt idx="7">
                  <c:v>0</c:v>
                </c:pt>
                <c:pt idx="8">
                  <c:v>0</c:v>
                </c:pt>
                <c:pt idx="9">
                  <c:v>7.4685097460253616E-11</c:v>
                </c:pt>
                <c:pt idx="10">
                  <c:v>10.850554668933494</c:v>
                </c:pt>
                <c:pt idx="11">
                  <c:v>0</c:v>
                </c:pt>
                <c:pt idx="12">
                  <c:v>0</c:v>
                </c:pt>
                <c:pt idx="13">
                  <c:v>2.247895991971182E-20</c:v>
                </c:pt>
                <c:pt idx="14">
                  <c:v>7.96250925007135E-21</c:v>
                </c:pt>
                <c:pt idx="15">
                  <c:v>1.3020384365195294E-17</c:v>
                </c:pt>
                <c:pt idx="16">
                  <c:v>0</c:v>
                </c:pt>
                <c:pt idx="17">
                  <c:v>2.3358248715039436E-20</c:v>
                </c:pt>
                <c:pt idx="18">
                  <c:v>2.5282529570582765E-19</c:v>
                </c:pt>
                <c:pt idx="19">
                  <c:v>57.494435068856681</c:v>
                </c:pt>
                <c:pt idx="20">
                  <c:v>0</c:v>
                </c:pt>
                <c:pt idx="21">
                  <c:v>0</c:v>
                </c:pt>
              </c:numCache>
            </c:numRef>
          </c:val>
          <c:extLst>
            <c:ext xmlns:c16="http://schemas.microsoft.com/office/drawing/2014/chart" uri="{C3380CC4-5D6E-409C-BE32-E72D297353CC}">
              <c16:uniqueId val="{00000003-09FF-432D-8F41-24753DD8E3A4}"/>
            </c:ext>
          </c:extLst>
        </c:ser>
        <c:ser>
          <c:idx val="3"/>
          <c:order val="4"/>
          <c:tx>
            <c:strRef>
              <c:f>'CokingRefinery Detailed Results'!$J$41:$J$41</c:f>
              <c:strCache>
                <c:ptCount val="1"/>
                <c:pt idx="0">
                  <c:v> Total Hydrogen requirement </c:v>
                </c:pt>
              </c:strCache>
            </c:strRef>
          </c:tx>
          <c:invertIfNegative val="0"/>
          <c:cat>
            <c:strRef>
              <c:f>'CokingRefinery Detailed Results'!$C$44:$C$65</c:f>
              <c:strCache>
                <c:ptCount val="22"/>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Cracker </c:v>
                </c:pt>
                <c:pt idx="17">
                  <c:v> Fluid Catalytic Cracker Main Fractionator </c:v>
                </c:pt>
                <c:pt idx="18">
                  <c:v> Alkylation Unit </c:v>
                </c:pt>
                <c:pt idx="19">
                  <c:v> Catalytic naphtha reformer  </c:v>
                </c:pt>
                <c:pt idx="20">
                  <c:v> Isomerization Unit </c:v>
                </c:pt>
                <c:pt idx="21">
                  <c:v>Fuel gas treatment and sulphur recovery</c:v>
                </c:pt>
              </c:strCache>
            </c:strRef>
          </c:cat>
          <c:val>
            <c:numRef>
              <c:f>'CokingRefinery Detailed Results'!$J$44:$J$65</c:f>
              <c:numCache>
                <c:formatCode>_(* #,##0_);_(* \(#,##0\);_(* "-"_);_(@_)</c:formatCode>
                <c:ptCount val="22"/>
                <c:pt idx="0">
                  <c:v>0</c:v>
                </c:pt>
                <c:pt idx="1">
                  <c:v>0</c:v>
                </c:pt>
                <c:pt idx="2">
                  <c:v>0</c:v>
                </c:pt>
                <c:pt idx="3">
                  <c:v>0</c:v>
                </c:pt>
                <c:pt idx="4">
                  <c:v>0</c:v>
                </c:pt>
                <c:pt idx="5">
                  <c:v>572.42510569852868</c:v>
                </c:pt>
                <c:pt idx="6">
                  <c:v>228.09106642811645</c:v>
                </c:pt>
                <c:pt idx="7">
                  <c:v>0</c:v>
                </c:pt>
                <c:pt idx="8">
                  <c:v>6.1062784659357576E-10</c:v>
                </c:pt>
                <c:pt idx="9">
                  <c:v>0</c:v>
                </c:pt>
                <c:pt idx="10">
                  <c:v>121.75015122877394</c:v>
                </c:pt>
                <c:pt idx="11">
                  <c:v>0</c:v>
                </c:pt>
                <c:pt idx="12">
                  <c:v>0</c:v>
                </c:pt>
                <c:pt idx="13">
                  <c:v>0</c:v>
                </c:pt>
                <c:pt idx="14">
                  <c:v>0</c:v>
                </c:pt>
                <c:pt idx="15">
                  <c:v>0</c:v>
                </c:pt>
                <c:pt idx="16">
                  <c:v>0</c:v>
                </c:pt>
                <c:pt idx="17">
                  <c:v>0</c:v>
                </c:pt>
                <c:pt idx="18">
                  <c:v>0</c:v>
                </c:pt>
                <c:pt idx="19">
                  <c:v>0</c:v>
                </c:pt>
                <c:pt idx="20">
                  <c:v>177.54690194306727</c:v>
                </c:pt>
                <c:pt idx="21">
                  <c:v>0</c:v>
                </c:pt>
              </c:numCache>
            </c:numRef>
          </c:val>
          <c:extLst>
            <c:ext xmlns:c16="http://schemas.microsoft.com/office/drawing/2014/chart" uri="{C3380CC4-5D6E-409C-BE32-E72D297353CC}">
              <c16:uniqueId val="{00000004-09FF-432D-8F41-24753DD8E3A4}"/>
            </c:ext>
          </c:extLst>
        </c:ser>
        <c:ser>
          <c:idx val="8"/>
          <c:order val="5"/>
          <c:tx>
            <c:strRef>
              <c:f>'CokingRefinery Detailed Results'!$I$41</c:f>
              <c:strCache>
                <c:ptCount val="1"/>
                <c:pt idx="0">
                  <c:v> Coke burn off </c:v>
                </c:pt>
              </c:strCache>
            </c:strRef>
          </c:tx>
          <c:invertIfNegative val="0"/>
          <c:val>
            <c:numRef>
              <c:f>'CokingRefinery Detailed Results'!$I$44:$I$65</c:f>
              <c:numCache>
                <c:formatCode>_(* #,##0_);_(* \(#,##0\);_(* "-"_);_(@_)</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4.0809237207981241E-18</c:v>
                </c:pt>
                <c:pt idx="17">
                  <c:v>0</c:v>
                </c:pt>
                <c:pt idx="18">
                  <c:v>0</c:v>
                </c:pt>
                <c:pt idx="19">
                  <c:v>0</c:v>
                </c:pt>
                <c:pt idx="20">
                  <c:v>0</c:v>
                </c:pt>
                <c:pt idx="21">
                  <c:v>0</c:v>
                </c:pt>
              </c:numCache>
            </c:numRef>
          </c:val>
          <c:extLst>
            <c:ext xmlns:c16="http://schemas.microsoft.com/office/drawing/2014/chart" uri="{C3380CC4-5D6E-409C-BE32-E72D297353CC}">
              <c16:uniqueId val="{00000005-09FF-432D-8F41-24753DD8E3A4}"/>
            </c:ext>
          </c:extLst>
        </c:ser>
        <c:ser>
          <c:idx val="4"/>
          <c:order val="6"/>
          <c:tx>
            <c:strRef>
              <c:f>'CokingRefinery Detailed Results'!$K$41</c:f>
              <c:strCache>
                <c:ptCount val="1"/>
                <c:pt idx="0">
                  <c:v> RFG Offsets NG Upstream </c:v>
                </c:pt>
              </c:strCache>
            </c:strRef>
          </c:tx>
          <c:invertIfNegative val="0"/>
          <c:cat>
            <c:strRef>
              <c:f>'CokingRefinery Detailed Results'!$C$44:$C$65</c:f>
              <c:strCache>
                <c:ptCount val="22"/>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Cracker </c:v>
                </c:pt>
                <c:pt idx="17">
                  <c:v> Fluid Catalytic Cracker Main Fractionator </c:v>
                </c:pt>
                <c:pt idx="18">
                  <c:v> Alkylation Unit </c:v>
                </c:pt>
                <c:pt idx="19">
                  <c:v> Catalytic naphtha reformer  </c:v>
                </c:pt>
                <c:pt idx="20">
                  <c:v> Isomerization Unit </c:v>
                </c:pt>
                <c:pt idx="21">
                  <c:v>Fuel gas treatment and sulphur recovery</c:v>
                </c:pt>
              </c:strCache>
            </c:strRef>
          </c:cat>
          <c:val>
            <c:numRef>
              <c:f>'CokingRefinery Detailed Results'!$K$44:$K$65</c:f>
              <c:numCache>
                <c:formatCode>_(* #,##0_);_(* \(#,##0\);_(* "-"_);_(@_)</c:formatCode>
                <c:ptCount val="22"/>
                <c:pt idx="0">
                  <c:v>0</c:v>
                </c:pt>
                <c:pt idx="1">
                  <c:v>0</c:v>
                </c:pt>
                <c:pt idx="2">
                  <c:v>0</c:v>
                </c:pt>
                <c:pt idx="3">
                  <c:v>0</c:v>
                </c:pt>
                <c:pt idx="4">
                  <c:v>0</c:v>
                </c:pt>
                <c:pt idx="5">
                  <c:v>0</c:v>
                </c:pt>
                <c:pt idx="6">
                  <c:v>0</c:v>
                </c:pt>
                <c:pt idx="7">
                  <c:v>0</c:v>
                </c:pt>
                <c:pt idx="8">
                  <c:v>-4.0322930672102351E-12</c:v>
                </c:pt>
                <c:pt idx="9">
                  <c:v>0</c:v>
                </c:pt>
                <c:pt idx="10">
                  <c:v>0</c:v>
                </c:pt>
                <c:pt idx="11">
                  <c:v>0</c:v>
                </c:pt>
                <c:pt idx="12">
                  <c:v>-3.310592149146848E-19</c:v>
                </c:pt>
                <c:pt idx="13">
                  <c:v>0</c:v>
                </c:pt>
                <c:pt idx="14">
                  <c:v>0</c:v>
                </c:pt>
                <c:pt idx="15">
                  <c:v>0</c:v>
                </c:pt>
                <c:pt idx="16">
                  <c:v>-1.7818074981459087E-19</c:v>
                </c:pt>
                <c:pt idx="17">
                  <c:v>0</c:v>
                </c:pt>
                <c:pt idx="18">
                  <c:v>0</c:v>
                </c:pt>
                <c:pt idx="19">
                  <c:v>-35.95503946608477</c:v>
                </c:pt>
                <c:pt idx="20">
                  <c:v>0</c:v>
                </c:pt>
                <c:pt idx="21">
                  <c:v>0</c:v>
                </c:pt>
              </c:numCache>
            </c:numRef>
          </c:val>
          <c:extLst>
            <c:ext xmlns:c16="http://schemas.microsoft.com/office/drawing/2014/chart" uri="{C3380CC4-5D6E-409C-BE32-E72D297353CC}">
              <c16:uniqueId val="{00000006-09FF-432D-8F41-24753DD8E3A4}"/>
            </c:ext>
          </c:extLst>
        </c:ser>
        <c:ser>
          <c:idx val="5"/>
          <c:order val="7"/>
          <c:tx>
            <c:strRef>
              <c:f>'CokingRefinery Detailed Results'!$L$41</c:f>
              <c:strCache>
                <c:ptCount val="1"/>
                <c:pt idx="0">
                  <c:v> Hydrogen Production </c:v>
                </c:pt>
              </c:strCache>
            </c:strRef>
          </c:tx>
          <c:invertIfNegative val="0"/>
          <c:cat>
            <c:strRef>
              <c:f>'CokingRefinery Detailed Results'!$C$44:$C$65</c:f>
              <c:strCache>
                <c:ptCount val="22"/>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Cracker </c:v>
                </c:pt>
                <c:pt idx="17">
                  <c:v> Fluid Catalytic Cracker Main Fractionator </c:v>
                </c:pt>
                <c:pt idx="18">
                  <c:v> Alkylation Unit </c:v>
                </c:pt>
                <c:pt idx="19">
                  <c:v> Catalytic naphtha reformer  </c:v>
                </c:pt>
                <c:pt idx="20">
                  <c:v> Isomerization Unit </c:v>
                </c:pt>
                <c:pt idx="21">
                  <c:v>Fuel gas treatment and sulphur recovery</c:v>
                </c:pt>
              </c:strCache>
            </c:strRef>
          </c:cat>
          <c:val>
            <c:numRef>
              <c:f>'CokingRefinery Detailed Results'!$L$44:$L$65</c:f>
              <c:numCache>
                <c:formatCode>_(* #,##0_);_(* \(#,##0\);_(* "-"_);_(@_)</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-712.95306771193066</c:v>
                </c:pt>
                <c:pt idx="20">
                  <c:v>0</c:v>
                </c:pt>
                <c:pt idx="21">
                  <c:v>0</c:v>
                </c:pt>
              </c:numCache>
            </c:numRef>
          </c:val>
          <c:extLst>
            <c:ext xmlns:c16="http://schemas.microsoft.com/office/drawing/2014/chart" uri="{C3380CC4-5D6E-409C-BE32-E72D297353CC}">
              <c16:uniqueId val="{00000007-09FF-432D-8F41-24753DD8E3A4}"/>
            </c:ext>
          </c:extLst>
        </c:ser>
        <c:ser>
          <c:idx val="6"/>
          <c:order val="8"/>
          <c:tx>
            <c:strRef>
              <c:f>'CokingRefinery Detailed Results'!$M$41</c:f>
              <c:strCache>
                <c:ptCount val="1"/>
                <c:pt idx="0">
                  <c:v> Steam Production </c:v>
                </c:pt>
              </c:strCache>
            </c:strRef>
          </c:tx>
          <c:invertIfNegative val="0"/>
          <c:cat>
            <c:strRef>
              <c:f>'CokingRefinery Detailed Results'!$C$44:$C$65</c:f>
              <c:strCache>
                <c:ptCount val="22"/>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Cracker </c:v>
                </c:pt>
                <c:pt idx="17">
                  <c:v> Fluid Catalytic Cracker Main Fractionator </c:v>
                </c:pt>
                <c:pt idx="18">
                  <c:v> Alkylation Unit </c:v>
                </c:pt>
                <c:pt idx="19">
                  <c:v> Catalytic naphtha reformer  </c:v>
                </c:pt>
                <c:pt idx="20">
                  <c:v> Isomerization Unit </c:v>
                </c:pt>
                <c:pt idx="21">
                  <c:v>Fuel gas treatment and sulphur recovery</c:v>
                </c:pt>
              </c:strCache>
            </c:strRef>
          </c:cat>
          <c:val>
            <c:numRef>
              <c:f>'CokingRefinery Detailed Results'!$M$44:$M$65</c:f>
              <c:numCache>
                <c:formatCode>_(* #,##0_);_(* \(#,##0\);_(* "-"_);_(@_)</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-2.6557441823162864</c:v>
                </c:pt>
              </c:numCache>
            </c:numRef>
          </c:val>
          <c:extLst>
            <c:ext xmlns:c16="http://schemas.microsoft.com/office/drawing/2014/chart" uri="{C3380CC4-5D6E-409C-BE32-E72D297353CC}">
              <c16:uniqueId val="{00000008-09FF-432D-8F41-24753DD8E3A4}"/>
            </c:ext>
          </c:extLst>
        </c:ser>
        <c:dLbls>
          <c:showLegendKey val="0"/>
          <c:showVal val="0"/>
          <c:showCatName val="0"/>
          <c:showSerName val="0"/>
          <c:showPercent val="0"/>
          <c:showBubbleSize val="0"/>
        </c:dLbls>
        <c:gapWidth val="150"/>
        <c:overlap val="100"/>
        <c:axId val="837123328"/>
        <c:axId val="837123720"/>
      </c:barChart>
      <c:catAx>
        <c:axId val="837123328"/>
        <c:scaling>
          <c:orientation val="minMax"/>
        </c:scaling>
        <c:delete val="0"/>
        <c:axPos val="l"/>
        <c:numFmt formatCode="General" sourceLinked="1"/>
        <c:majorTickMark val="out"/>
        <c:minorTickMark val="none"/>
        <c:tickLblPos val="nextTo"/>
        <c:txPr>
          <a:bodyPr/>
          <a:lstStyle/>
          <a:p>
            <a:pPr>
              <a:defRPr>
                <a:latin typeface="+mn-lt"/>
                <a:cs typeface="Times New Roman" pitchFamily="18" charset="0"/>
              </a:defRPr>
            </a:pPr>
            <a:endParaRPr lang="en-US"/>
          </a:p>
        </c:txPr>
        <c:crossAx val="837123720"/>
        <c:crossesAt val="-3000"/>
        <c:auto val="1"/>
        <c:lblAlgn val="ctr"/>
        <c:lblOffset val="100"/>
        <c:tickLblSkip val="1"/>
        <c:noMultiLvlLbl val="0"/>
      </c:catAx>
      <c:valAx>
        <c:axId val="837123720"/>
        <c:scaling>
          <c:orientation val="minMax"/>
        </c:scaling>
        <c:delete val="0"/>
        <c:axPos val="b"/>
        <c:majorGridlines/>
        <c:title>
          <c:tx>
            <c:rich>
              <a:bodyPr/>
              <a:lstStyle/>
              <a:p>
                <a:pPr>
                  <a:defRPr/>
                </a:pPr>
                <a:r>
                  <a:rPr lang="en-US"/>
                  <a:t>Process Unit  GHG emissions (t CO</a:t>
                </a:r>
                <a:r>
                  <a:rPr lang="en-US" baseline="-25000"/>
                  <a:t>2 </a:t>
                </a:r>
                <a:r>
                  <a:rPr lang="en-US"/>
                  <a:t>eq per day)</a:t>
                </a:r>
              </a:p>
            </c:rich>
          </c:tx>
          <c:layout>
            <c:manualLayout>
              <c:xMode val="edge"/>
              <c:yMode val="edge"/>
              <c:x val="0.370162655130098"/>
              <c:y val="0.92600170701675599"/>
            </c:manualLayout>
          </c:layout>
          <c:overlay val="0"/>
        </c:title>
        <c:numFmt formatCode="_(* #,##0_);_(* \(#,##0\);_(* &quot;-&quot;_);_(@_)" sourceLinked="0"/>
        <c:majorTickMark val="out"/>
        <c:minorTickMark val="none"/>
        <c:tickLblPos val="nextTo"/>
        <c:txPr>
          <a:bodyPr/>
          <a:lstStyle/>
          <a:p>
            <a:pPr>
              <a:defRPr>
                <a:latin typeface="Times New Roman" pitchFamily="18" charset="0"/>
                <a:cs typeface="Times New Roman" pitchFamily="18" charset="0"/>
              </a:defRPr>
            </a:pPr>
            <a:endParaRPr lang="en-US"/>
          </a:p>
        </c:txPr>
        <c:crossAx val="837123328"/>
        <c:crosses val="autoZero"/>
        <c:crossBetween val="between"/>
      </c:valAx>
    </c:plotArea>
    <c:legend>
      <c:legendPos val="r"/>
      <c:layout>
        <c:manualLayout>
          <c:xMode val="edge"/>
          <c:yMode val="edge"/>
          <c:x val="0.75974422263209296"/>
          <c:y val="0.245909669023952"/>
          <c:w val="0.19723371521679001"/>
          <c:h val="0.51593105638803705"/>
        </c:manualLayout>
      </c:layout>
      <c:overlay val="0"/>
      <c:txPr>
        <a:bodyPr/>
        <a:lstStyle/>
        <a:p>
          <a:pPr>
            <a:defRPr>
              <a:latin typeface="+mn-lt"/>
              <a:cs typeface="Times New Roman" pitchFamily="18" charset="0"/>
            </a:defRPr>
          </a:pPr>
          <a:endParaRPr lang="en-US"/>
        </a:p>
      </c:txPr>
    </c:legend>
    <c:plotVisOnly val="1"/>
    <c:dispBlanksAs val="gap"/>
    <c:showDLblsOverMax val="0"/>
  </c:chart>
  <c:printSettings>
    <c:headerFooter/>
    <c:pageMargins b="0.75000000000000999" l="0.70000000000000095" r="0.70000000000000095" t="0.75000000000000999"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atin typeface="+mn-lt"/>
                <a:cs typeface="Times New Roman" pitchFamily="18" charset="0"/>
              </a:defRPr>
            </a:pPr>
            <a:r>
              <a:rPr lang="en-US" sz="1800" b="1" i="0" baseline="0"/>
              <a:t>Contributors to the hydrocracking refinery's GHG emissions</a:t>
            </a:r>
          </a:p>
        </c:rich>
      </c:tx>
      <c:overlay val="1"/>
    </c:title>
    <c:autoTitleDeleted val="0"/>
    <c:plotArea>
      <c:layout>
        <c:manualLayout>
          <c:layoutTarget val="inner"/>
          <c:xMode val="edge"/>
          <c:yMode val="edge"/>
          <c:x val="0.20855181932973901"/>
          <c:y val="0.116965043747708"/>
          <c:w val="0.51480843254104802"/>
          <c:h val="0.72802046766094197"/>
        </c:manualLayout>
      </c:layout>
      <c:barChart>
        <c:barDir val="bar"/>
        <c:grouping val="stacked"/>
        <c:varyColors val="0"/>
        <c:ser>
          <c:idx val="0"/>
          <c:order val="0"/>
          <c:tx>
            <c:strRef>
              <c:f>'HydroRefinery Detailed Results'!$E$41</c:f>
              <c:strCache>
                <c:ptCount val="1"/>
                <c:pt idx="0">
                  <c:v> Power Requirement </c:v>
                </c:pt>
              </c:strCache>
            </c:strRef>
          </c:tx>
          <c:invertIfNegative val="0"/>
          <c:cat>
            <c:strRef>
              <c:f>'CokingRefinery Detailed Results'!$C$44:$C$65</c:f>
              <c:strCache>
                <c:ptCount val="22"/>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Cracker </c:v>
                </c:pt>
                <c:pt idx="17">
                  <c:v> Fluid Catalytic Cracker Main Fractionator </c:v>
                </c:pt>
                <c:pt idx="18">
                  <c:v> Alkylation Unit </c:v>
                </c:pt>
                <c:pt idx="19">
                  <c:v> Catalytic naphtha reformer  </c:v>
                </c:pt>
                <c:pt idx="20">
                  <c:v> Isomerization Unit </c:v>
                </c:pt>
                <c:pt idx="21">
                  <c:v>Fuel gas treatment and sulphur recovery</c:v>
                </c:pt>
              </c:strCache>
            </c:strRef>
          </c:cat>
          <c:val>
            <c:numRef>
              <c:f>'HydroRefinery Detailed Results'!$E$44:$E$65</c:f>
              <c:numCache>
                <c:formatCode>_-* #,##0.0_-;\-* #,##0.0_-;_-* "-"_-;_-@_-</c:formatCode>
                <c:ptCount val="22"/>
                <c:pt idx="0">
                  <c:v>0.82359321901136406</c:v>
                </c:pt>
                <c:pt idx="1">
                  <c:v>0</c:v>
                </c:pt>
                <c:pt idx="2">
                  <c:v>4.9415593140681837</c:v>
                </c:pt>
                <c:pt idx="3">
                  <c:v>0</c:v>
                </c:pt>
                <c:pt idx="4">
                  <c:v>0</c:v>
                </c:pt>
                <c:pt idx="5">
                  <c:v>57.514509816423875</c:v>
                </c:pt>
                <c:pt idx="6">
                  <c:v>44.648916151424345</c:v>
                </c:pt>
                <c:pt idx="7">
                  <c:v>1.5340406248714036</c:v>
                </c:pt>
                <c:pt idx="8">
                  <c:v>0</c:v>
                </c:pt>
                <c:pt idx="9">
                  <c:v>0</c:v>
                </c:pt>
                <c:pt idx="10">
                  <c:v>20.800113399612222</c:v>
                </c:pt>
                <c:pt idx="11">
                  <c:v>0</c:v>
                </c:pt>
                <c:pt idx="12">
                  <c:v>0</c:v>
                </c:pt>
                <c:pt idx="13">
                  <c:v>0</c:v>
                </c:pt>
                <c:pt idx="14">
                  <c:v>0</c:v>
                </c:pt>
                <c:pt idx="15">
                  <c:v>0</c:v>
                </c:pt>
                <c:pt idx="16">
                  <c:v>0</c:v>
                </c:pt>
                <c:pt idx="17">
                  <c:v>0</c:v>
                </c:pt>
                <c:pt idx="18">
                  <c:v>0</c:v>
                </c:pt>
                <c:pt idx="19">
                  <c:v>29.39059014688829</c:v>
                </c:pt>
                <c:pt idx="20">
                  <c:v>4.1736962565114837</c:v>
                </c:pt>
                <c:pt idx="21">
                  <c:v>0</c:v>
                </c:pt>
              </c:numCache>
            </c:numRef>
          </c:val>
          <c:extLst>
            <c:ext xmlns:c16="http://schemas.microsoft.com/office/drawing/2014/chart" uri="{C3380CC4-5D6E-409C-BE32-E72D297353CC}">
              <c16:uniqueId val="{00000000-8EBE-4EDC-893E-F8C65D4EB0E8}"/>
            </c:ext>
          </c:extLst>
        </c:ser>
        <c:ser>
          <c:idx val="1"/>
          <c:order val="1"/>
          <c:tx>
            <c:strRef>
              <c:f>'HydroRefinery Detailed Results'!$F$41</c:f>
              <c:strCache>
                <c:ptCount val="1"/>
                <c:pt idx="0">
                  <c:v> Net Natural Gas Requirement </c:v>
                </c:pt>
              </c:strCache>
            </c:strRef>
          </c:tx>
          <c:invertIfNegative val="0"/>
          <c:cat>
            <c:strRef>
              <c:f>'CokingRefinery Detailed Results'!$C$44:$C$65</c:f>
              <c:strCache>
                <c:ptCount val="22"/>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Cracker </c:v>
                </c:pt>
                <c:pt idx="17">
                  <c:v> Fluid Catalytic Cracker Main Fractionator </c:v>
                </c:pt>
                <c:pt idx="18">
                  <c:v> Alkylation Unit </c:v>
                </c:pt>
                <c:pt idx="19">
                  <c:v> Catalytic naphtha reformer  </c:v>
                </c:pt>
                <c:pt idx="20">
                  <c:v> Isomerization Unit </c:v>
                </c:pt>
                <c:pt idx="21">
                  <c:v>Fuel gas treatment and sulphur recovery</c:v>
                </c:pt>
              </c:strCache>
            </c:strRef>
          </c:cat>
          <c:val>
            <c:numRef>
              <c:f>'HydroRefinery Detailed Results'!$F$44:$F$65</c:f>
              <c:numCache>
                <c:formatCode>_-* #,##0.0_-;\-* #,##0.0_-;_-* "-"_-;_-@_-</c:formatCode>
                <c:ptCount val="22"/>
                <c:pt idx="0">
                  <c:v>0</c:v>
                </c:pt>
                <c:pt idx="1">
                  <c:v>283.96539814850593</c:v>
                </c:pt>
                <c:pt idx="2">
                  <c:v>0</c:v>
                </c:pt>
                <c:pt idx="3">
                  <c:v>4.4598510206424369E-19</c:v>
                </c:pt>
                <c:pt idx="4">
                  <c:v>0</c:v>
                </c:pt>
                <c:pt idx="5">
                  <c:v>232.66305459420607</c:v>
                </c:pt>
                <c:pt idx="6">
                  <c:v>263.54740004012791</c:v>
                </c:pt>
                <c:pt idx="7">
                  <c:v>0</c:v>
                </c:pt>
                <c:pt idx="8">
                  <c:v>0</c:v>
                </c:pt>
                <c:pt idx="9">
                  <c:v>0</c:v>
                </c:pt>
                <c:pt idx="10">
                  <c:v>122.2874825633636</c:v>
                </c:pt>
                <c:pt idx="11">
                  <c:v>2.9764925510665868E-17</c:v>
                </c:pt>
                <c:pt idx="12">
                  <c:v>0</c:v>
                </c:pt>
                <c:pt idx="13">
                  <c:v>1.9428005400557676E-19</c:v>
                </c:pt>
                <c:pt idx="14">
                  <c:v>6.6599975565035732E-20</c:v>
                </c:pt>
                <c:pt idx="15">
                  <c:v>1.4153767918898552E-16</c:v>
                </c:pt>
                <c:pt idx="16">
                  <c:v>0</c:v>
                </c:pt>
                <c:pt idx="17">
                  <c:v>0</c:v>
                </c:pt>
                <c:pt idx="18">
                  <c:v>0</c:v>
                </c:pt>
                <c:pt idx="19">
                  <c:v>0</c:v>
                </c:pt>
                <c:pt idx="20">
                  <c:v>78.204084140003403</c:v>
                </c:pt>
                <c:pt idx="21">
                  <c:v>0</c:v>
                </c:pt>
              </c:numCache>
            </c:numRef>
          </c:val>
          <c:extLst>
            <c:ext xmlns:c16="http://schemas.microsoft.com/office/drawing/2014/chart" uri="{C3380CC4-5D6E-409C-BE32-E72D297353CC}">
              <c16:uniqueId val="{00000001-8EBE-4EDC-893E-F8C65D4EB0E8}"/>
            </c:ext>
          </c:extLst>
        </c:ser>
        <c:ser>
          <c:idx val="7"/>
          <c:order val="2"/>
          <c:tx>
            <c:strRef>
              <c:f>'HydroRefinery Detailed Results'!$G$41</c:f>
              <c:strCache>
                <c:ptCount val="1"/>
                <c:pt idx="0">
                  <c:v> RFG Requirement </c:v>
                </c:pt>
              </c:strCache>
            </c:strRef>
          </c:tx>
          <c:invertIfNegative val="0"/>
          <c:val>
            <c:numRef>
              <c:f>'HydroRefinery Detailed Results'!$G$44:$G$65</c:f>
              <c:numCache>
                <c:formatCode>_-* #,##0.0_-;\-* #,##0.0_-;_-* "-"_-;_-@_-</c:formatCode>
                <c:ptCount val="22"/>
                <c:pt idx="0">
                  <c:v>0</c:v>
                </c:pt>
                <c:pt idx="1">
                  <c:v>0</c:v>
                </c:pt>
                <c:pt idx="2">
                  <c:v>0</c:v>
                </c:pt>
                <c:pt idx="3">
                  <c:v>0</c:v>
                </c:pt>
                <c:pt idx="4">
                  <c:v>0</c:v>
                </c:pt>
                <c:pt idx="5">
                  <c:v>12.112903237159923</c:v>
                </c:pt>
                <c:pt idx="6">
                  <c:v>20.256413376918204</c:v>
                </c:pt>
                <c:pt idx="7">
                  <c:v>0</c:v>
                </c:pt>
                <c:pt idx="8">
                  <c:v>7.0633802759813424E-11</c:v>
                </c:pt>
                <c:pt idx="9">
                  <c:v>0</c:v>
                </c:pt>
                <c:pt idx="10">
                  <c:v>9.8705038459293046</c:v>
                </c:pt>
                <c:pt idx="11">
                  <c:v>0</c:v>
                </c:pt>
                <c:pt idx="12">
                  <c:v>4.3435883987899058E-20</c:v>
                </c:pt>
                <c:pt idx="13">
                  <c:v>0</c:v>
                </c:pt>
                <c:pt idx="14">
                  <c:v>6.8834882653674194E-21</c:v>
                </c:pt>
                <c:pt idx="15">
                  <c:v>1.2636333392387284E-19</c:v>
                </c:pt>
                <c:pt idx="16">
                  <c:v>1.1017071637595804E-18</c:v>
                </c:pt>
                <c:pt idx="17">
                  <c:v>0</c:v>
                </c:pt>
                <c:pt idx="18">
                  <c:v>0</c:v>
                </c:pt>
                <c:pt idx="19">
                  <c:v>329.55706741195411</c:v>
                </c:pt>
                <c:pt idx="20">
                  <c:v>23.990764358469349</c:v>
                </c:pt>
                <c:pt idx="21">
                  <c:v>0</c:v>
                </c:pt>
              </c:numCache>
            </c:numRef>
          </c:val>
          <c:extLst>
            <c:ext xmlns:c16="http://schemas.microsoft.com/office/drawing/2014/chart" uri="{C3380CC4-5D6E-409C-BE32-E72D297353CC}">
              <c16:uniqueId val="{00000002-8EBE-4EDC-893E-F8C65D4EB0E8}"/>
            </c:ext>
          </c:extLst>
        </c:ser>
        <c:ser>
          <c:idx val="2"/>
          <c:order val="3"/>
          <c:tx>
            <c:strRef>
              <c:f>'HydroRefinery Detailed Results'!$H$41</c:f>
              <c:strCache>
                <c:ptCount val="1"/>
                <c:pt idx="0">
                  <c:v> Total Steam requirement </c:v>
                </c:pt>
              </c:strCache>
            </c:strRef>
          </c:tx>
          <c:invertIfNegative val="0"/>
          <c:cat>
            <c:strRef>
              <c:f>'CokingRefinery Detailed Results'!$C$44:$C$65</c:f>
              <c:strCache>
                <c:ptCount val="22"/>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Cracker </c:v>
                </c:pt>
                <c:pt idx="17">
                  <c:v> Fluid Catalytic Cracker Main Fractionator </c:v>
                </c:pt>
                <c:pt idx="18">
                  <c:v> Alkylation Unit </c:v>
                </c:pt>
                <c:pt idx="19">
                  <c:v> Catalytic naphtha reformer  </c:v>
                </c:pt>
                <c:pt idx="20">
                  <c:v> Isomerization Unit </c:v>
                </c:pt>
                <c:pt idx="21">
                  <c:v>Fuel gas treatment and sulphur recovery</c:v>
                </c:pt>
              </c:strCache>
            </c:strRef>
          </c:cat>
          <c:val>
            <c:numRef>
              <c:f>'HydroRefinery Detailed Results'!$H$44:$H$65</c:f>
              <c:numCache>
                <c:formatCode>_-* #,##0.0_-;\-* #,##0.0_-;_-* "-"_-;_-@_-</c:formatCode>
                <c:ptCount val="22"/>
                <c:pt idx="0">
                  <c:v>0</c:v>
                </c:pt>
                <c:pt idx="1">
                  <c:v>0</c:v>
                </c:pt>
                <c:pt idx="2">
                  <c:v>59.083155958973833</c:v>
                </c:pt>
                <c:pt idx="3">
                  <c:v>0</c:v>
                </c:pt>
                <c:pt idx="4">
                  <c:v>1.7170101927159425E-17</c:v>
                </c:pt>
                <c:pt idx="5">
                  <c:v>18.751830850344483</c:v>
                </c:pt>
                <c:pt idx="6">
                  <c:v>23.291483863674006</c:v>
                </c:pt>
                <c:pt idx="7">
                  <c:v>0</c:v>
                </c:pt>
                <c:pt idx="8">
                  <c:v>0</c:v>
                </c:pt>
                <c:pt idx="9">
                  <c:v>7.4685097460253616E-11</c:v>
                </c:pt>
                <c:pt idx="10">
                  <c:v>10.850554668933494</c:v>
                </c:pt>
                <c:pt idx="11">
                  <c:v>0</c:v>
                </c:pt>
                <c:pt idx="12">
                  <c:v>0</c:v>
                </c:pt>
                <c:pt idx="13">
                  <c:v>9.4043853564008909E-21</c:v>
                </c:pt>
                <c:pt idx="14">
                  <c:v>6.8250399978154867E-21</c:v>
                </c:pt>
                <c:pt idx="15">
                  <c:v>1.3005541761975394E-17</c:v>
                </c:pt>
                <c:pt idx="16">
                  <c:v>0</c:v>
                </c:pt>
                <c:pt idx="17">
                  <c:v>2.0607286868822911E-20</c:v>
                </c:pt>
                <c:pt idx="18">
                  <c:v>2.2304940151401144E-19</c:v>
                </c:pt>
                <c:pt idx="19">
                  <c:v>57.494435068856681</c:v>
                </c:pt>
                <c:pt idx="20">
                  <c:v>0</c:v>
                </c:pt>
                <c:pt idx="21">
                  <c:v>0</c:v>
                </c:pt>
              </c:numCache>
            </c:numRef>
          </c:val>
          <c:extLst>
            <c:ext xmlns:c16="http://schemas.microsoft.com/office/drawing/2014/chart" uri="{C3380CC4-5D6E-409C-BE32-E72D297353CC}">
              <c16:uniqueId val="{00000003-8EBE-4EDC-893E-F8C65D4EB0E8}"/>
            </c:ext>
          </c:extLst>
        </c:ser>
        <c:ser>
          <c:idx val="3"/>
          <c:order val="4"/>
          <c:tx>
            <c:strRef>
              <c:f>'HydroRefinery Detailed Results'!$J$41:$J$41</c:f>
              <c:strCache>
                <c:ptCount val="1"/>
                <c:pt idx="0">
                  <c:v> Total Hydrogen requirement </c:v>
                </c:pt>
              </c:strCache>
            </c:strRef>
          </c:tx>
          <c:invertIfNegative val="0"/>
          <c:cat>
            <c:strRef>
              <c:f>'CokingRefinery Detailed Results'!$C$44:$C$65</c:f>
              <c:strCache>
                <c:ptCount val="22"/>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Cracker </c:v>
                </c:pt>
                <c:pt idx="17">
                  <c:v> Fluid Catalytic Cracker Main Fractionator </c:v>
                </c:pt>
                <c:pt idx="18">
                  <c:v> Alkylation Unit </c:v>
                </c:pt>
                <c:pt idx="19">
                  <c:v> Catalytic naphtha reformer  </c:v>
                </c:pt>
                <c:pt idx="20">
                  <c:v> Isomerization Unit </c:v>
                </c:pt>
                <c:pt idx="21">
                  <c:v>Fuel gas treatment and sulphur recovery</c:v>
                </c:pt>
              </c:strCache>
            </c:strRef>
          </c:cat>
          <c:val>
            <c:numRef>
              <c:f>'HydroRefinery Detailed Results'!$J$44:$J$65</c:f>
              <c:numCache>
                <c:formatCode>_-* #,##0.0_-;\-* #,##0.0_-;_-* "-"_-;_-@_-</c:formatCode>
                <c:ptCount val="22"/>
                <c:pt idx="0">
                  <c:v>0</c:v>
                </c:pt>
                <c:pt idx="1">
                  <c:v>0</c:v>
                </c:pt>
                <c:pt idx="2">
                  <c:v>0</c:v>
                </c:pt>
                <c:pt idx="3">
                  <c:v>0</c:v>
                </c:pt>
                <c:pt idx="4">
                  <c:v>0</c:v>
                </c:pt>
                <c:pt idx="5">
                  <c:v>572.42510569852868</c:v>
                </c:pt>
                <c:pt idx="6">
                  <c:v>228.09106642811687</c:v>
                </c:pt>
                <c:pt idx="7">
                  <c:v>0</c:v>
                </c:pt>
                <c:pt idx="8">
                  <c:v>6.1062784659357597E-10</c:v>
                </c:pt>
                <c:pt idx="9">
                  <c:v>0</c:v>
                </c:pt>
                <c:pt idx="10">
                  <c:v>121.75015122877394</c:v>
                </c:pt>
                <c:pt idx="11">
                  <c:v>0</c:v>
                </c:pt>
                <c:pt idx="12">
                  <c:v>5.6405445048992515E-18</c:v>
                </c:pt>
                <c:pt idx="13">
                  <c:v>0</c:v>
                </c:pt>
                <c:pt idx="14">
                  <c:v>0</c:v>
                </c:pt>
                <c:pt idx="15">
                  <c:v>0</c:v>
                </c:pt>
                <c:pt idx="16">
                  <c:v>0</c:v>
                </c:pt>
                <c:pt idx="17">
                  <c:v>0</c:v>
                </c:pt>
                <c:pt idx="18">
                  <c:v>0</c:v>
                </c:pt>
                <c:pt idx="19">
                  <c:v>0</c:v>
                </c:pt>
                <c:pt idx="20">
                  <c:v>177.54690194306727</c:v>
                </c:pt>
                <c:pt idx="21">
                  <c:v>0</c:v>
                </c:pt>
              </c:numCache>
            </c:numRef>
          </c:val>
          <c:extLst>
            <c:ext xmlns:c16="http://schemas.microsoft.com/office/drawing/2014/chart" uri="{C3380CC4-5D6E-409C-BE32-E72D297353CC}">
              <c16:uniqueId val="{00000004-8EBE-4EDC-893E-F8C65D4EB0E8}"/>
            </c:ext>
          </c:extLst>
        </c:ser>
        <c:ser>
          <c:idx val="8"/>
          <c:order val="5"/>
          <c:tx>
            <c:strRef>
              <c:f>'HydroRefinery Detailed Results'!$I$41</c:f>
              <c:strCache>
                <c:ptCount val="1"/>
                <c:pt idx="0">
                  <c:v> Coke burn off </c:v>
                </c:pt>
              </c:strCache>
            </c:strRef>
          </c:tx>
          <c:invertIfNegative val="0"/>
          <c:val>
            <c:numRef>
              <c:f>'HydroRefinery Detailed Results'!$I$44:$I$65</c:f>
              <c:numCache>
                <c:formatCode>_-* #,##0.0_-;\-* #,##0.0_-;_-* "-"_-;_-@_-</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3.6003026952155274E-18</c:v>
                </c:pt>
                <c:pt idx="17">
                  <c:v>0</c:v>
                </c:pt>
                <c:pt idx="18">
                  <c:v>0</c:v>
                </c:pt>
                <c:pt idx="19">
                  <c:v>0</c:v>
                </c:pt>
                <c:pt idx="20">
                  <c:v>0</c:v>
                </c:pt>
                <c:pt idx="21">
                  <c:v>0</c:v>
                </c:pt>
              </c:numCache>
            </c:numRef>
          </c:val>
          <c:extLst>
            <c:ext xmlns:c16="http://schemas.microsoft.com/office/drawing/2014/chart" uri="{C3380CC4-5D6E-409C-BE32-E72D297353CC}">
              <c16:uniqueId val="{00000005-8EBE-4EDC-893E-F8C65D4EB0E8}"/>
            </c:ext>
          </c:extLst>
        </c:ser>
        <c:ser>
          <c:idx val="4"/>
          <c:order val="6"/>
          <c:tx>
            <c:strRef>
              <c:f>'HydroRefinery Detailed Results'!$K$41</c:f>
              <c:strCache>
                <c:ptCount val="1"/>
                <c:pt idx="0">
                  <c:v> RFG Offsets NG Upstream </c:v>
                </c:pt>
              </c:strCache>
            </c:strRef>
          </c:tx>
          <c:invertIfNegative val="0"/>
          <c:cat>
            <c:strRef>
              <c:f>'CokingRefinery Detailed Results'!$C$44:$C$65</c:f>
              <c:strCache>
                <c:ptCount val="22"/>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Cracker </c:v>
                </c:pt>
                <c:pt idx="17">
                  <c:v> Fluid Catalytic Cracker Main Fractionator </c:v>
                </c:pt>
                <c:pt idx="18">
                  <c:v> Alkylation Unit </c:v>
                </c:pt>
                <c:pt idx="19">
                  <c:v> Catalytic naphtha reformer  </c:v>
                </c:pt>
                <c:pt idx="20">
                  <c:v> Isomerization Unit </c:v>
                </c:pt>
                <c:pt idx="21">
                  <c:v>Fuel gas treatment and sulphur recovery</c:v>
                </c:pt>
              </c:strCache>
            </c:strRef>
          </c:cat>
          <c:val>
            <c:numRef>
              <c:f>'HydroRefinery Detailed Results'!$K$44:$K$65</c:f>
              <c:numCache>
                <c:formatCode>_-* #,##0.0_-;\-* #,##0.0_-;_-* "-"_-;_-@_-</c:formatCode>
                <c:ptCount val="22"/>
                <c:pt idx="0">
                  <c:v>0</c:v>
                </c:pt>
                <c:pt idx="1">
                  <c:v>0</c:v>
                </c:pt>
                <c:pt idx="2">
                  <c:v>0</c:v>
                </c:pt>
                <c:pt idx="3">
                  <c:v>0</c:v>
                </c:pt>
                <c:pt idx="4">
                  <c:v>0</c:v>
                </c:pt>
                <c:pt idx="5">
                  <c:v>0</c:v>
                </c:pt>
                <c:pt idx="6">
                  <c:v>0</c:v>
                </c:pt>
                <c:pt idx="7">
                  <c:v>0</c:v>
                </c:pt>
                <c:pt idx="8">
                  <c:v>-4.0322930672102351E-12</c:v>
                </c:pt>
                <c:pt idx="9">
                  <c:v>0</c:v>
                </c:pt>
                <c:pt idx="10">
                  <c:v>0</c:v>
                </c:pt>
                <c:pt idx="11">
                  <c:v>0</c:v>
                </c:pt>
                <c:pt idx="12">
                  <c:v>-3.0453195049381163E-19</c:v>
                </c:pt>
                <c:pt idx="13">
                  <c:v>0</c:v>
                </c:pt>
                <c:pt idx="14">
                  <c:v>0</c:v>
                </c:pt>
                <c:pt idx="15">
                  <c:v>0</c:v>
                </c:pt>
                <c:pt idx="16">
                  <c:v>-1.571959383910105E-19</c:v>
                </c:pt>
                <c:pt idx="17">
                  <c:v>0</c:v>
                </c:pt>
                <c:pt idx="18">
                  <c:v>0</c:v>
                </c:pt>
                <c:pt idx="19">
                  <c:v>-35.95503946608477</c:v>
                </c:pt>
                <c:pt idx="20">
                  <c:v>0</c:v>
                </c:pt>
                <c:pt idx="21">
                  <c:v>0</c:v>
                </c:pt>
              </c:numCache>
            </c:numRef>
          </c:val>
          <c:extLst>
            <c:ext xmlns:c16="http://schemas.microsoft.com/office/drawing/2014/chart" uri="{C3380CC4-5D6E-409C-BE32-E72D297353CC}">
              <c16:uniqueId val="{00000006-8EBE-4EDC-893E-F8C65D4EB0E8}"/>
            </c:ext>
          </c:extLst>
        </c:ser>
        <c:ser>
          <c:idx val="5"/>
          <c:order val="7"/>
          <c:tx>
            <c:strRef>
              <c:f>'HydroRefinery Detailed Results'!$L$41</c:f>
              <c:strCache>
                <c:ptCount val="1"/>
                <c:pt idx="0">
                  <c:v> Hydrogen Production </c:v>
                </c:pt>
              </c:strCache>
            </c:strRef>
          </c:tx>
          <c:invertIfNegative val="0"/>
          <c:cat>
            <c:strRef>
              <c:f>'CokingRefinery Detailed Results'!$C$44:$C$65</c:f>
              <c:strCache>
                <c:ptCount val="22"/>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Cracker </c:v>
                </c:pt>
                <c:pt idx="17">
                  <c:v> Fluid Catalytic Cracker Main Fractionator </c:v>
                </c:pt>
                <c:pt idx="18">
                  <c:v> Alkylation Unit </c:v>
                </c:pt>
                <c:pt idx="19">
                  <c:v> Catalytic naphtha reformer  </c:v>
                </c:pt>
                <c:pt idx="20">
                  <c:v> Isomerization Unit </c:v>
                </c:pt>
                <c:pt idx="21">
                  <c:v>Fuel gas treatment and sulphur recovery</c:v>
                </c:pt>
              </c:strCache>
            </c:strRef>
          </c:cat>
          <c:val>
            <c:numRef>
              <c:f>'HydroRefinery Detailed Results'!$L$44:$L$65</c:f>
              <c:numCache>
                <c:formatCode>_-* #,##0.0_-;\-* #,##0.0_-;_-* "-"_-;_-@_-</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-712.95306771193066</c:v>
                </c:pt>
                <c:pt idx="20">
                  <c:v>0</c:v>
                </c:pt>
                <c:pt idx="21">
                  <c:v>0</c:v>
                </c:pt>
              </c:numCache>
            </c:numRef>
          </c:val>
          <c:extLst>
            <c:ext xmlns:c16="http://schemas.microsoft.com/office/drawing/2014/chart" uri="{C3380CC4-5D6E-409C-BE32-E72D297353CC}">
              <c16:uniqueId val="{00000007-8EBE-4EDC-893E-F8C65D4EB0E8}"/>
            </c:ext>
          </c:extLst>
        </c:ser>
        <c:ser>
          <c:idx val="6"/>
          <c:order val="8"/>
          <c:tx>
            <c:strRef>
              <c:f>'HydroRefinery Detailed Results'!$M$41</c:f>
              <c:strCache>
                <c:ptCount val="1"/>
                <c:pt idx="0">
                  <c:v> Steam Production </c:v>
                </c:pt>
              </c:strCache>
            </c:strRef>
          </c:tx>
          <c:invertIfNegative val="0"/>
          <c:cat>
            <c:strRef>
              <c:f>'CokingRefinery Detailed Results'!$C$44:$C$65</c:f>
              <c:strCache>
                <c:ptCount val="22"/>
                <c:pt idx="0">
                  <c:v> Desalter </c:v>
                </c:pt>
                <c:pt idx="1">
                  <c:v> Atmospheric Tower Furnace </c:v>
                </c:pt>
                <c:pt idx="2">
                  <c:v> Atmospheric Tower </c:v>
                </c:pt>
                <c:pt idx="3">
                  <c:v> Vacuum Tower Furnace </c:v>
                </c:pt>
                <c:pt idx="4">
                  <c:v> Vacuum Tower </c:v>
                </c:pt>
                <c:pt idx="5">
                  <c:v> Naphtha Hydrotreater </c:v>
                </c:pt>
                <c:pt idx="6">
                  <c:v> Kerosene Hydrotreater </c:v>
                </c:pt>
                <c:pt idx="7">
                  <c:v> Kerosene Merox Unit </c:v>
                </c:pt>
                <c:pt idx="8">
                  <c:v> Gas Oil Hydrocracker </c:v>
                </c:pt>
                <c:pt idx="9">
                  <c:v> Gas Oil Hydrocracker Fractionator </c:v>
                </c:pt>
                <c:pt idx="10">
                  <c:v> Diesel Hydrotreater </c:v>
                </c:pt>
                <c:pt idx="11">
                  <c:v> Coker Furnace </c:v>
                </c:pt>
                <c:pt idx="12">
                  <c:v> Coker </c:v>
                </c:pt>
                <c:pt idx="13">
                  <c:v> Coker Fractionator  </c:v>
                </c:pt>
                <c:pt idx="14">
                  <c:v> Coker Naphtha Hydrotreater </c:v>
                </c:pt>
                <c:pt idx="15">
                  <c:v> Fluid Catalytic Cracking Feed Hydrotreater </c:v>
                </c:pt>
                <c:pt idx="16">
                  <c:v> Fluid Catalytic Cracker </c:v>
                </c:pt>
                <c:pt idx="17">
                  <c:v> Fluid Catalytic Cracker Main Fractionator </c:v>
                </c:pt>
                <c:pt idx="18">
                  <c:v> Alkylation Unit </c:v>
                </c:pt>
                <c:pt idx="19">
                  <c:v> Catalytic naphtha reformer  </c:v>
                </c:pt>
                <c:pt idx="20">
                  <c:v> Isomerization Unit </c:v>
                </c:pt>
                <c:pt idx="21">
                  <c:v>Fuel gas treatment and sulphur recovery</c:v>
                </c:pt>
              </c:strCache>
            </c:strRef>
          </c:cat>
          <c:val>
            <c:numRef>
              <c:f>'HydroRefinery Detailed Results'!$M$44:$M$65</c:f>
              <c:numCache>
                <c:formatCode>_-* #,##0.0_-;\-* #,##0.0_-;_-* "-"_-;_-@_-</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8-8EBE-4EDC-893E-F8C65D4EB0E8}"/>
            </c:ext>
          </c:extLst>
        </c:ser>
        <c:dLbls>
          <c:showLegendKey val="0"/>
          <c:showVal val="0"/>
          <c:showCatName val="0"/>
          <c:showSerName val="0"/>
          <c:showPercent val="0"/>
          <c:showBubbleSize val="0"/>
        </c:dLbls>
        <c:gapWidth val="150"/>
        <c:overlap val="100"/>
        <c:axId val="837124504"/>
        <c:axId val="837124896"/>
      </c:barChart>
      <c:catAx>
        <c:axId val="837124504"/>
        <c:scaling>
          <c:orientation val="minMax"/>
        </c:scaling>
        <c:delete val="0"/>
        <c:axPos val="l"/>
        <c:numFmt formatCode="General" sourceLinked="1"/>
        <c:majorTickMark val="out"/>
        <c:minorTickMark val="none"/>
        <c:tickLblPos val="nextTo"/>
        <c:txPr>
          <a:bodyPr/>
          <a:lstStyle/>
          <a:p>
            <a:pPr>
              <a:defRPr>
                <a:latin typeface="+mn-lt"/>
                <a:cs typeface="Times New Roman" pitchFamily="18" charset="0"/>
              </a:defRPr>
            </a:pPr>
            <a:endParaRPr lang="en-US"/>
          </a:p>
        </c:txPr>
        <c:crossAx val="837124896"/>
        <c:crossesAt val="-3000"/>
        <c:auto val="1"/>
        <c:lblAlgn val="ctr"/>
        <c:lblOffset val="100"/>
        <c:tickLblSkip val="1"/>
        <c:noMultiLvlLbl val="0"/>
      </c:catAx>
      <c:valAx>
        <c:axId val="837124896"/>
        <c:scaling>
          <c:orientation val="minMax"/>
        </c:scaling>
        <c:delete val="0"/>
        <c:axPos val="b"/>
        <c:majorGridlines/>
        <c:title>
          <c:tx>
            <c:rich>
              <a:bodyPr/>
              <a:lstStyle/>
              <a:p>
                <a:pPr>
                  <a:defRPr/>
                </a:pPr>
                <a:r>
                  <a:rPr lang="en-US"/>
                  <a:t>Process Unit  GHG emissions (t CO</a:t>
                </a:r>
                <a:r>
                  <a:rPr lang="en-US" baseline="-25000"/>
                  <a:t>2 </a:t>
                </a:r>
                <a:r>
                  <a:rPr lang="en-US"/>
                  <a:t>eq per day)</a:t>
                </a:r>
              </a:p>
            </c:rich>
          </c:tx>
          <c:layout>
            <c:manualLayout>
              <c:xMode val="edge"/>
              <c:yMode val="edge"/>
              <c:x val="0.370162655130098"/>
              <c:y val="0.92600170701675599"/>
            </c:manualLayout>
          </c:layout>
          <c:overlay val="0"/>
        </c:title>
        <c:numFmt formatCode="_(* #,##0_);_(* \(#,##0\);_(* &quot;-&quot;_);_(@_)" sourceLinked="0"/>
        <c:majorTickMark val="out"/>
        <c:minorTickMark val="none"/>
        <c:tickLblPos val="nextTo"/>
        <c:txPr>
          <a:bodyPr/>
          <a:lstStyle/>
          <a:p>
            <a:pPr>
              <a:defRPr>
                <a:latin typeface="Times New Roman" pitchFamily="18" charset="0"/>
                <a:cs typeface="Times New Roman" pitchFamily="18" charset="0"/>
              </a:defRPr>
            </a:pPr>
            <a:endParaRPr lang="en-US"/>
          </a:p>
        </c:txPr>
        <c:crossAx val="837124504"/>
        <c:crosses val="autoZero"/>
        <c:crossBetween val="between"/>
      </c:valAx>
    </c:plotArea>
    <c:legend>
      <c:legendPos val="r"/>
      <c:layout>
        <c:manualLayout>
          <c:xMode val="edge"/>
          <c:yMode val="edge"/>
          <c:x val="0.77150336138174602"/>
          <c:y val="0.126486232034977"/>
          <c:w val="0.18482032641314"/>
          <c:h val="0.68454386906130105"/>
        </c:manualLayout>
      </c:layout>
      <c:overlay val="0"/>
      <c:txPr>
        <a:bodyPr/>
        <a:lstStyle/>
        <a:p>
          <a:pPr>
            <a:defRPr>
              <a:latin typeface="+mn-lt"/>
              <a:cs typeface="Times New Roman" pitchFamily="18" charset="0"/>
            </a:defRPr>
          </a:pPr>
          <a:endParaRPr lang="en-US"/>
        </a:p>
      </c:txPr>
    </c:legend>
    <c:plotVisOnly val="1"/>
    <c:dispBlanksAs val="gap"/>
    <c:showDLblsOverMax val="0"/>
  </c:chart>
  <c:printSettings>
    <c:headerFooter/>
    <c:pageMargins b="0.75000000000000999" l="0.70000000000000095" r="0.70000000000000095" t="0.75000000000000999"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93" dropStyle="combo" dx="16" fmlaLink="'Assay Inventory'!$T$11" fmlaRange="'Assay Inventory'!$R$15:$R$129" sel="17" val="51"/>
</file>

<file path=xl/ctrlProps/ctrlProp2.xml><?xml version="1.0" encoding="utf-8"?>
<formControlPr xmlns="http://schemas.microsoft.com/office/spreadsheetml/2009/9/main" objectType="Drop" dropLines="82" dropStyle="combo" dx="16" fmlaLink="CokingRefineryPFD!$E$27" fmlaRange="CokingRefineryPFD!$C$28:$D$29" sel="1" val="0"/>
</file>

<file path=xl/ctrlProps/ctrlProp3.xml><?xml version="1.0" encoding="utf-8"?>
<formControlPr xmlns="http://schemas.microsoft.com/office/spreadsheetml/2009/9/main" objectType="Drop" dropLines="2" dropStyle="combo" dx="16" fmlaLink="CokingRefineryPFD!$E$37" fmlaRange="CokingRefineryPFD!$C$38:$C$39" sel="1" val="0"/>
</file>

<file path=xl/ctrlProps/ctrlProp4.xml><?xml version="1.0" encoding="utf-8"?>
<formControlPr xmlns="http://schemas.microsoft.com/office/spreadsheetml/2009/9/main" objectType="Drop" dropLines="82" dropStyle="combo" dx="16" fmlaLink="CokingRefineryPFD!$E$20" fmlaRange="CokingRefineryPFD!$C$21:$C$24" sel="4" val="0"/>
</file>

<file path=xl/ctrlProps/ctrlProp5.xml><?xml version="1.0" encoding="utf-8"?>
<formControlPr xmlns="http://schemas.microsoft.com/office/spreadsheetml/2009/9/main" objectType="CheckBox" fmlaLink="CokingRefineryPFD!$E$46" lockText="1"/>
</file>

<file path=xl/ctrlProps/ctrlProp6.xml><?xml version="1.0" encoding="utf-8"?>
<formControlPr xmlns="http://schemas.microsoft.com/office/spreadsheetml/2009/9/main" objectType="CheckBox" fmlaLink="CokingRefineryPFD!$E$48" lockText="1"/>
</file>

<file path=xl/ctrlProps/ctrlProp7.xml><?xml version="1.0" encoding="utf-8"?>
<formControlPr xmlns="http://schemas.microsoft.com/office/spreadsheetml/2009/9/main" objectType="CheckBox" fmlaLink="CokingRefineryPFD!$E$51" lockText="1"/>
</file>

<file path=xl/ctrlProps/ctrlProp8.xml><?xml version="1.0" encoding="utf-8"?>
<formControlPr xmlns="http://schemas.microsoft.com/office/spreadsheetml/2009/9/main" objectType="CheckBox" fmlaLink="CokingRefineryPFD!$E$47" lockText="1"/>
</file>

<file path=xl/ctrlProps/ctrlProp9.xml><?xml version="1.0" encoding="utf-8"?>
<formControlPr xmlns="http://schemas.microsoft.com/office/spreadsheetml/2009/9/main" objectType="CheckBox" fmlaLink="CokingRefineryPFD!$E$49" lockText="1"/>
</file>

<file path=xl/ctrlProps/ctrlProp10.xml><?xml version="1.0" encoding="utf-8"?>
<formControlPr xmlns="http://schemas.microsoft.com/office/spreadsheetml/2009/9/main" objectType="Drop" dropLines="82" dropStyle="combo" dx="16" fmlaLink="'HydroRefineryPFD '!$E$10" fmlaRange="'HydroRefineryPFD '!$C$11:$C$18" sel="1" val="0"/>
</file>

<file path=xl/ctrlProps/ctrlProp11.xml><?xml version="1.0" encoding="utf-8"?>
<formControlPr xmlns="http://schemas.microsoft.com/office/spreadsheetml/2009/9/main" objectType="Drop" dropLines="93" dropStyle="combo" dx="16" fmlaLink="CokingRefineryPFD!$E$9" fmlaRange="CokingRefineryPFD!$C$10:$C$17" sel="1" val="0"/>
</file>

<file path=xl/ctrlProps/ctrlProp12.xml><?xml version="1.0" encoding="utf-8"?>
<formControlPr xmlns="http://schemas.microsoft.com/office/spreadsheetml/2009/9/main" objectType="Drop" dropLines="93" dropStyle="combo" dx="16" fmlaLink="'Energy &amp; Unit Conversions'!$E$10" fmlaRange="'Energy &amp; Unit Conversions'!$D$11:$D$12" sel="1" val="0"/>
</file>

<file path=xl/ctrlProps/ctrlProp13.xml><?xml version="1.0" encoding="utf-8"?>
<formControlPr xmlns="http://schemas.microsoft.com/office/spreadsheetml/2009/9/main" objectType="Drop" dropLines="82" dropStyle="combo" dx="16" fmlaLink="'Emission Factors'!$D$7" fmlaRange="'Emission Factors'!$C$8:$C$12" sel="4" val="0"/>
</file>

<file path=xl/ctrlProps/ctrlProp14.xml><?xml version="1.0" encoding="utf-8"?>
<formControlPr xmlns="http://schemas.microsoft.com/office/spreadsheetml/2009/9/main" objectType="Drop" dropLines="82" dropStyle="combo" dx="16" fmlaLink="'Emission Factors'!$D$36" fmlaRange="'Emission Factors'!$C$37:$C$39" sel="2" val="0"/>
</file>

<file path=xl/ctrlProps/ctrlProp15.xml><?xml version="1.0" encoding="utf-8"?>
<formControlPr xmlns="http://schemas.microsoft.com/office/spreadsheetml/2009/9/main" objectType="Scroll" dx="22" fmlaLink="'Main Input &amp; Output'!$E$121" horiz="1" max="100" page="10" val="0"/>
</file>

<file path=xl/ctrlProps/ctrlProp16.xml><?xml version="1.0" encoding="utf-8"?>
<formControlPr xmlns="http://schemas.microsoft.com/office/spreadsheetml/2009/9/main" objectType="Scroll" dx="22" fmlaLink="$E$128" horiz="1" max="100" page="10" val="0"/>
</file>

<file path=xl/ctrlProps/ctrlProp17.xml><?xml version="1.0" encoding="utf-8"?>
<formControlPr xmlns="http://schemas.microsoft.com/office/spreadsheetml/2009/9/main" objectType="CheckBox" fmlaLink="CokingRefineryPFD!$E$52" lockText="1"/>
</file>

<file path=xl/ctrlProps/ctrlProp18.xml><?xml version="1.0" encoding="utf-8"?>
<formControlPr xmlns="http://schemas.microsoft.com/office/spreadsheetml/2009/9/main" objectType="CheckBox" fmlaLink="CokingRefineryPFD!$E$53" lockText="1"/>
</file>

<file path=xl/ctrlProps/ctrlProp19.xml><?xml version="1.0" encoding="utf-8"?>
<formControlPr xmlns="http://schemas.microsoft.com/office/spreadsheetml/2009/9/main" objectType="CheckBox" fmlaLink="CokingRefineryPFD!$E$54" lockText="1"/>
</file>

<file path=xl/ctrlProps/ctrlProp20.xml><?xml version="1.0" encoding="utf-8"?>
<formControlPr xmlns="http://schemas.microsoft.com/office/spreadsheetml/2009/9/main" objectType="CheckBox" fmlaLink="CokingRefineryPFD!$E$55" lockText="1"/>
</file>

<file path=xl/ctrlProps/ctrlProp21.xml><?xml version="1.0" encoding="utf-8"?>
<formControlPr xmlns="http://schemas.microsoft.com/office/spreadsheetml/2009/9/main" objectType="Scroll" dx="22" fmlaLink="$E$137" horiz="1" max="1" page="10" val="0"/>
</file>

<file path=xl/ctrlProps/ctrlProp22.xml><?xml version="1.0" encoding="utf-8"?>
<formControlPr xmlns="http://schemas.microsoft.com/office/spreadsheetml/2009/9/main" objectType="Scroll" dx="22" fmlaLink="$E$143" horiz="1" max="1" page="10" val="0"/>
</file>

<file path=xl/ctrlProps/ctrlProp23.xml><?xml version="1.0" encoding="utf-8"?>
<formControlPr xmlns="http://schemas.microsoft.com/office/spreadsheetml/2009/9/main" objectType="Drop" dropLines="66" dropStyle="combo" dx="16" fmlaLink="CokingRefineryControls!$F$46" fmlaRange="CokingRefineryControls!$E$47:$E$48" noThreeD="1" sel="2" val="0"/>
</file>

<file path=xl/drawings/_rels/drawing1.xml.rels><?xml version="1.0" encoding="UTF-8" standalone="yes"?>
<Relationships xmlns="http://schemas.openxmlformats.org/package/2006/relationships"><Relationship Id="rId8" Type="http://schemas.openxmlformats.org/officeDocument/2006/relationships/hyperlink" Target="#'Results All Assays'!A1"/><Relationship Id="rId13" Type="http://schemas.openxmlformats.org/officeDocument/2006/relationships/hyperlink" Target="#'Emission Factors'!A1"/><Relationship Id="rId3" Type="http://schemas.openxmlformats.org/officeDocument/2006/relationships/hyperlink" Target="#CokingRefineryPFD!A1"/><Relationship Id="rId7" Type="http://schemas.openxmlformats.org/officeDocument/2006/relationships/hyperlink" Target="#'Results Single Assay'!A1"/><Relationship Id="rId12" Type="http://schemas.openxmlformats.org/officeDocument/2006/relationships/hyperlink" Target="#'Process Correlations'!A1"/><Relationship Id="rId17" Type="http://schemas.openxmlformats.org/officeDocument/2006/relationships/hyperlink" Target="#HydroRefineryControls!A1"/><Relationship Id="rId2" Type="http://schemas.openxmlformats.org/officeDocument/2006/relationships/hyperlink" Target="#'HydrorefineryPFD '!A1"/><Relationship Id="rId16" Type="http://schemas.openxmlformats.org/officeDocument/2006/relationships/hyperlink" Target="#CokingRefineryControls!A1"/><Relationship Id="rId1" Type="http://schemas.openxmlformats.org/officeDocument/2006/relationships/hyperlink" Target="#'Main Input &amp; Output'!A1"/><Relationship Id="rId6" Type="http://schemas.openxmlformats.org/officeDocument/2006/relationships/hyperlink" Target="#'Expert Input'!A1"/><Relationship Id="rId11" Type="http://schemas.openxmlformats.org/officeDocument/2006/relationships/hyperlink" Target="#'Energy &amp; Unit Conversions'!A1"/><Relationship Id="rId5" Type="http://schemas.openxmlformats.org/officeDocument/2006/relationships/hyperlink" Target="#HydroRefineryCalcs!A1"/><Relationship Id="rId15" Type="http://schemas.openxmlformats.org/officeDocument/2006/relationships/hyperlink" Target="#'Assay Inventory'!A1"/><Relationship Id="rId10" Type="http://schemas.openxmlformats.org/officeDocument/2006/relationships/hyperlink" Target="#'HydroRefinery Detailed Results'!A1"/><Relationship Id="rId4" Type="http://schemas.openxmlformats.org/officeDocument/2006/relationships/hyperlink" Target="#CokingRefineryCalcs!A1"/><Relationship Id="rId9" Type="http://schemas.openxmlformats.org/officeDocument/2006/relationships/hyperlink" Target="#'CokingRefinery Detailed Results'!A1"/><Relationship Id="rId14" Type="http://schemas.openxmlformats.org/officeDocument/2006/relationships/hyperlink" Target="#Constants!A1"/></Relationships>
</file>

<file path=xl/drawings/_rels/drawing2.xml.rels><?xml version="1.0" encoding="UTF-8" standalone="yes"?>
<Relationships xmlns="http://schemas.openxmlformats.org/package/2006/relationships"><Relationship Id="rId8" Type="http://schemas.openxmlformats.org/officeDocument/2006/relationships/chart" Target="../charts/chart3.xml"/><Relationship Id="rId3" Type="http://schemas.openxmlformats.org/officeDocument/2006/relationships/hyperlink" Target="#'Expert Input'!Print_Area"/><Relationship Id="rId7" Type="http://schemas.openxmlformats.org/officeDocument/2006/relationships/chart" Target="../charts/chart2.xml"/><Relationship Id="rId2" Type="http://schemas.openxmlformats.org/officeDocument/2006/relationships/hyperlink" Target="#'Results Single Assay'!A1"/><Relationship Id="rId1" Type="http://schemas.openxmlformats.org/officeDocument/2006/relationships/hyperlink" Target="#'Assay Inventory'!A1"/><Relationship Id="rId6" Type="http://schemas.openxmlformats.org/officeDocument/2006/relationships/chart" Target="../charts/chart1.xml"/><Relationship Id="rId5" Type="http://schemas.openxmlformats.org/officeDocument/2006/relationships/hyperlink" Target="#'Expert Input'!C24"/><Relationship Id="rId4" Type="http://schemas.openxmlformats.org/officeDocument/2006/relationships/hyperlink" Target="#'Results Single Assay'!Print_Area"/><Relationship Id="rId9" Type="http://schemas.openxmlformats.org/officeDocument/2006/relationships/chart" Target="../charts/chart4.xml"/></Relationships>
</file>

<file path=xl/drawings/_rels/drawing7.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3" Type="http://schemas.openxmlformats.org/officeDocument/2006/relationships/hyperlink" Target="#'Results Single Assay'!A112"/><Relationship Id="rId2" Type="http://schemas.openxmlformats.org/officeDocument/2006/relationships/hyperlink" Target="#'HydroRefinery Detailed Results'!A1"/><Relationship Id="rId1" Type="http://schemas.openxmlformats.org/officeDocument/2006/relationships/hyperlink" Target="#'CokingRefinery Detailed Results'!A1"/></Relationships>
</file>

<file path=xl/drawings/_rels/drawing1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5.xml.rels><?xml version="1.0" encoding="UTF-8" standalone="yes"?>
<Relationships xmlns="http://schemas.openxmlformats.org/package/2006/relationships"><Relationship Id="rId8" Type="http://schemas.openxmlformats.org/officeDocument/2006/relationships/hyperlink" Target="#Unit_Naphtha_Hydrotreater"/><Relationship Id="rId13" Type="http://schemas.openxmlformats.org/officeDocument/2006/relationships/hyperlink" Target="#Unit_Coker_Furnace"/><Relationship Id="rId18" Type="http://schemas.openxmlformats.org/officeDocument/2006/relationships/hyperlink" Target="#Unit_Atm_Tow_Furnace"/><Relationship Id="rId3" Type="http://schemas.openxmlformats.org/officeDocument/2006/relationships/hyperlink" Target="#Unit_desalter"/><Relationship Id="rId7" Type="http://schemas.openxmlformats.org/officeDocument/2006/relationships/hyperlink" Target="#Unit_Naphta_catalytic_reformer"/><Relationship Id="rId12" Type="http://schemas.openxmlformats.org/officeDocument/2006/relationships/hyperlink" Target="#Unit_FCC_Feed_Hydrotreater"/><Relationship Id="rId17" Type="http://schemas.openxmlformats.org/officeDocument/2006/relationships/hyperlink" Target="#Unit_Atm_Tow"/><Relationship Id="rId2" Type="http://schemas.openxmlformats.org/officeDocument/2006/relationships/hyperlink" Target="#Unit_Coker_Naptha_Hydrotreater"/><Relationship Id="rId16" Type="http://schemas.openxmlformats.org/officeDocument/2006/relationships/hyperlink" Target="#Unit_Vac_Tow_Furnace"/><Relationship Id="rId20" Type="http://schemas.openxmlformats.org/officeDocument/2006/relationships/hyperlink" Target="#Unit_Vac_Tower"/><Relationship Id="rId1" Type="http://schemas.openxmlformats.org/officeDocument/2006/relationships/hyperlink" Target="#Unit_Coker__and_Coker_Fractionator"/><Relationship Id="rId6" Type="http://schemas.openxmlformats.org/officeDocument/2006/relationships/hyperlink" Target="#Unit_Isomerisation_Unit"/><Relationship Id="rId11" Type="http://schemas.openxmlformats.org/officeDocument/2006/relationships/hyperlink" Target="#Unit_FCC"/><Relationship Id="rId5" Type="http://schemas.openxmlformats.org/officeDocument/2006/relationships/hyperlink" Target="#Unit_Kero_Merox_Unit"/><Relationship Id="rId15" Type="http://schemas.openxmlformats.org/officeDocument/2006/relationships/hyperlink" Target="#Unit_FCC_Main_Fractionator"/><Relationship Id="rId10" Type="http://schemas.openxmlformats.org/officeDocument/2006/relationships/hyperlink" Target="#Unit_Diesel_Hydrotreater_and_Blending"/><Relationship Id="rId19" Type="http://schemas.openxmlformats.org/officeDocument/2006/relationships/hyperlink" Target="#Unit_Gas_Oil_Hydrocracker"/><Relationship Id="rId4" Type="http://schemas.openxmlformats.org/officeDocument/2006/relationships/hyperlink" Target="#Unit_Alkylation_Unit"/><Relationship Id="rId9" Type="http://schemas.openxmlformats.org/officeDocument/2006/relationships/hyperlink" Target="#Unit_Kero_Hydrotreater"/><Relationship Id="rId14" Type="http://schemas.openxmlformats.org/officeDocument/2006/relationships/hyperlink" Target="#Unit_Gas_Oil_Hydrocracker_Fractionator"/></Relationships>
</file>

<file path=xl/drawings/_rels/drawing16.xml.rels><?xml version="1.0" encoding="UTF-8" standalone="yes"?>
<Relationships xmlns="http://schemas.openxmlformats.org/package/2006/relationships"><Relationship Id="rId8" Type="http://schemas.openxmlformats.org/officeDocument/2006/relationships/hyperlink" Target="#Hydro_Kero_Hydrotreater"/><Relationship Id="rId13" Type="http://schemas.openxmlformats.org/officeDocument/2006/relationships/hyperlink" Target="#Hydro_Gas_Oil_Hydrocracker_Fractionator"/><Relationship Id="rId18" Type="http://schemas.openxmlformats.org/officeDocument/2006/relationships/hyperlink" Target="#Hydro_Resid_Hydrocracker"/><Relationship Id="rId3" Type="http://schemas.openxmlformats.org/officeDocument/2006/relationships/hyperlink" Target="#Hydro_Naphtha_Hydrotreater"/><Relationship Id="rId21" Type="http://schemas.openxmlformats.org/officeDocument/2006/relationships/image" Target="../media/image2.gif"/><Relationship Id="rId7" Type="http://schemas.openxmlformats.org/officeDocument/2006/relationships/hyperlink" Target="#Hydro_Kero_Merox_Unit"/><Relationship Id="rId12" Type="http://schemas.openxmlformats.org/officeDocument/2006/relationships/hyperlink" Target="#Hydro_FCC_Feed_Hydrotreater"/><Relationship Id="rId17" Type="http://schemas.openxmlformats.org/officeDocument/2006/relationships/hyperlink" Target="#Hydro_Resid_Hydrocracker_Furnace"/><Relationship Id="rId2" Type="http://schemas.openxmlformats.org/officeDocument/2006/relationships/hyperlink" Target="#Hydro_Vacuum_tower"/><Relationship Id="rId16" Type="http://schemas.openxmlformats.org/officeDocument/2006/relationships/hyperlink" Target="#Hydro_Vacuum_tower_furnace"/><Relationship Id="rId20" Type="http://schemas.openxmlformats.org/officeDocument/2006/relationships/hyperlink" Target="#Hydro_Atmospheric_Tower_Furnace"/><Relationship Id="rId1" Type="http://schemas.openxmlformats.org/officeDocument/2006/relationships/hyperlink" Target="#Hydro_Atmospheric_tower"/><Relationship Id="rId6" Type="http://schemas.openxmlformats.org/officeDocument/2006/relationships/hyperlink" Target="#Hydro_Diesel_Hydrotreater_and_Blending"/><Relationship Id="rId11" Type="http://schemas.openxmlformats.org/officeDocument/2006/relationships/hyperlink" Target="#Hydro_Fluid_Catalytic_Cracking"/><Relationship Id="rId5" Type="http://schemas.openxmlformats.org/officeDocument/2006/relationships/hyperlink" Target="#Hydro_Reformer"/><Relationship Id="rId15" Type="http://schemas.openxmlformats.org/officeDocument/2006/relationships/hyperlink" Target="#Hydro_Resid_Hydrocracker_Fractionator"/><Relationship Id="rId10" Type="http://schemas.openxmlformats.org/officeDocument/2006/relationships/hyperlink" Target="#Hydro_Fluid_Catalytic_Cracking_Main_Fractionator"/><Relationship Id="rId19" Type="http://schemas.openxmlformats.org/officeDocument/2006/relationships/hyperlink" Target="#Hydro_Desalter"/><Relationship Id="rId4" Type="http://schemas.openxmlformats.org/officeDocument/2006/relationships/hyperlink" Target="#Hydro_Isomerisation_Unit"/><Relationship Id="rId9" Type="http://schemas.openxmlformats.org/officeDocument/2006/relationships/hyperlink" Target="#Hydro_Alkylation_Unit"/><Relationship Id="rId14" Type="http://schemas.openxmlformats.org/officeDocument/2006/relationships/hyperlink" Target="#Hydro_Gas_Oil_Hydrocracker"/></Relationships>
</file>

<file path=xl/drawings/_rels/drawing17.xml.rels><?xml version="1.0" encoding="UTF-8" standalone="yes"?>
<Relationships xmlns="http://schemas.openxmlformats.org/package/2006/relationships"><Relationship Id="rId1" Type="http://schemas.openxmlformats.org/officeDocument/2006/relationships/image" Target="../media/image3.png"/></Relationships>
</file>

<file path=xl/drawings/_rels/drawing18.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2</xdr:col>
      <xdr:colOff>333376</xdr:colOff>
      <xdr:row>34</xdr:row>
      <xdr:rowOff>219074</xdr:rowOff>
    </xdr:from>
    <xdr:to>
      <xdr:col>2</xdr:col>
      <xdr:colOff>1449376</xdr:colOff>
      <xdr:row>37</xdr:row>
      <xdr:rowOff>1274</xdr:rowOff>
    </xdr:to>
    <xdr:sp macro="" textlink="">
      <xdr:nvSpPr>
        <xdr:cNvPr id="14" name="Rounded Rectangle 13" descr="cb644243-7918-47e3-8582-8b58a95c7843">
          <a:hlinkClick xmlns:r="http://schemas.openxmlformats.org/officeDocument/2006/relationships" r:id="rId1"/>
          <a:extLst>
            <a:ext uri="{FF2B5EF4-FFF2-40B4-BE49-F238E27FC236}">
              <a16:creationId xmlns:a16="http://schemas.microsoft.com/office/drawing/2014/main" id="{00000000-0008-0000-0000-00000E000000}"/>
            </a:ext>
          </a:extLst>
        </xdr:cNvPr>
        <xdr:cNvSpPr/>
      </xdr:nvSpPr>
      <xdr:spPr bwMode="auto">
        <a:xfrm>
          <a:off x="790576" y="7762874"/>
          <a:ext cx="1116000" cy="468000"/>
        </a:xfrm>
        <a:prstGeom prst="roundRect">
          <a:avLst/>
        </a:prstGeom>
        <a:solidFill>
          <a:srgbClr val="FF0000"/>
        </a:solidFill>
        <a:ln w="25400" cap="flat" cmpd="sng" algn="ctr">
          <a:solidFill>
            <a:srgbClr val="C00000"/>
          </a:solidFill>
          <a:prstDash val="solid"/>
          <a:round/>
          <a:headEnd type="none" w="med" len="med"/>
          <a:tailEnd type="triangle" w="med" len="med"/>
        </a:ln>
        <a:effectLst/>
      </xdr:spPr>
      <xdr:txBody>
        <a:bodyPr vertOverflow="clip" wrap="square" lIns="0" tIns="0" rIns="0" bIns="0" rtlCol="0" anchor="ctr" upright="1"/>
        <a:lstStyle/>
        <a:p>
          <a:pPr algn="ctr"/>
          <a:r>
            <a:rPr lang="en-US" sz="1300" b="1">
              <a:solidFill>
                <a:schemeClr val="bg1"/>
              </a:solidFill>
            </a:rPr>
            <a:t>Main Input</a:t>
          </a:r>
        </a:p>
        <a:p>
          <a:pPr algn="ctr"/>
          <a:r>
            <a:rPr lang="en-US" sz="1300" b="1">
              <a:solidFill>
                <a:schemeClr val="bg1"/>
              </a:solidFill>
            </a:rPr>
            <a:t>&amp; Output</a:t>
          </a:r>
        </a:p>
      </xdr:txBody>
    </xdr:sp>
    <xdr:clientData/>
  </xdr:twoCellAnchor>
  <xdr:twoCellAnchor>
    <xdr:from>
      <xdr:col>2</xdr:col>
      <xdr:colOff>123825</xdr:colOff>
      <xdr:row>78</xdr:row>
      <xdr:rowOff>171449</xdr:rowOff>
    </xdr:from>
    <xdr:to>
      <xdr:col>2</xdr:col>
      <xdr:colOff>1671825</xdr:colOff>
      <xdr:row>80</xdr:row>
      <xdr:rowOff>2249</xdr:rowOff>
    </xdr:to>
    <xdr:sp macro="" textlink="">
      <xdr:nvSpPr>
        <xdr:cNvPr id="18" name="Rounded Rectangle 17" descr="a7cbcaf9-ce1a-4491-868a-79d468355593">
          <a:hlinkClick xmlns:r="http://schemas.openxmlformats.org/officeDocument/2006/relationships" r:id="rId2"/>
          <a:extLst>
            <a:ext uri="{FF2B5EF4-FFF2-40B4-BE49-F238E27FC236}">
              <a16:creationId xmlns:a16="http://schemas.microsoft.com/office/drawing/2014/main" id="{00000000-0008-0000-0000-000012000000}"/>
            </a:ext>
          </a:extLst>
        </xdr:cNvPr>
        <xdr:cNvSpPr/>
      </xdr:nvSpPr>
      <xdr:spPr bwMode="auto">
        <a:xfrm>
          <a:off x="581025" y="15944849"/>
          <a:ext cx="1548000" cy="288000"/>
        </a:xfrm>
        <a:prstGeom prst="roundRect">
          <a:avLst/>
        </a:prstGeom>
        <a:solidFill>
          <a:schemeClr val="tx2"/>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Hydror</a:t>
          </a:r>
          <a:r>
            <a:rPr lang="en-US" sz="1300" b="1" baseline="0">
              <a:solidFill>
                <a:schemeClr val="bg1"/>
              </a:solidFill>
            </a:rPr>
            <a:t>efinery PFD</a:t>
          </a:r>
          <a:endParaRPr lang="en-US" sz="1300" b="1">
            <a:solidFill>
              <a:schemeClr val="bg1"/>
            </a:solidFill>
          </a:endParaRPr>
        </a:p>
      </xdr:txBody>
    </xdr:sp>
    <xdr:clientData/>
  </xdr:twoCellAnchor>
  <xdr:twoCellAnchor>
    <xdr:from>
      <xdr:col>2</xdr:col>
      <xdr:colOff>123825</xdr:colOff>
      <xdr:row>77</xdr:row>
      <xdr:rowOff>19050</xdr:rowOff>
    </xdr:from>
    <xdr:to>
      <xdr:col>2</xdr:col>
      <xdr:colOff>1671825</xdr:colOff>
      <xdr:row>78</xdr:row>
      <xdr:rowOff>78450</xdr:rowOff>
    </xdr:to>
    <xdr:sp macro="" textlink="">
      <xdr:nvSpPr>
        <xdr:cNvPr id="21" name="Rounded Rectangle 20" descr="f08c805f-fede-4a2d-91d4-7680203d6768">
          <a:hlinkClick xmlns:r="http://schemas.openxmlformats.org/officeDocument/2006/relationships" r:id="rId3"/>
          <a:extLst>
            <a:ext uri="{FF2B5EF4-FFF2-40B4-BE49-F238E27FC236}">
              <a16:creationId xmlns:a16="http://schemas.microsoft.com/office/drawing/2014/main" id="{00000000-0008-0000-0000-000015000000}"/>
            </a:ext>
          </a:extLst>
        </xdr:cNvPr>
        <xdr:cNvSpPr/>
      </xdr:nvSpPr>
      <xdr:spPr bwMode="auto">
        <a:xfrm>
          <a:off x="581025" y="15563850"/>
          <a:ext cx="1548000" cy="288000"/>
        </a:xfrm>
        <a:prstGeom prst="roundRect">
          <a:avLst/>
        </a:prstGeom>
        <a:solidFill>
          <a:schemeClr val="tx2"/>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Coking</a:t>
          </a:r>
          <a:r>
            <a:rPr lang="en-US" sz="1300" b="1" baseline="0">
              <a:solidFill>
                <a:schemeClr val="bg1"/>
              </a:solidFill>
            </a:rPr>
            <a:t>Refinery PFD</a:t>
          </a:r>
          <a:endParaRPr lang="en-US" sz="1300" b="1">
            <a:solidFill>
              <a:schemeClr val="bg1"/>
            </a:solidFill>
          </a:endParaRPr>
        </a:p>
      </xdr:txBody>
    </xdr:sp>
    <xdr:clientData/>
  </xdr:twoCellAnchor>
  <xdr:twoCellAnchor>
    <xdr:from>
      <xdr:col>2</xdr:col>
      <xdr:colOff>123826</xdr:colOff>
      <xdr:row>81</xdr:row>
      <xdr:rowOff>19049</xdr:rowOff>
    </xdr:from>
    <xdr:to>
      <xdr:col>2</xdr:col>
      <xdr:colOff>1671826</xdr:colOff>
      <xdr:row>82</xdr:row>
      <xdr:rowOff>78449</xdr:rowOff>
    </xdr:to>
    <xdr:sp macro="" textlink="">
      <xdr:nvSpPr>
        <xdr:cNvPr id="23" name="Rounded Rectangle 22" descr="ae01e437-7eb8-43e3-8c95-a56b58edf7b6">
          <a:hlinkClick xmlns:r="http://schemas.openxmlformats.org/officeDocument/2006/relationships" r:id="rId4"/>
          <a:extLst>
            <a:ext uri="{FF2B5EF4-FFF2-40B4-BE49-F238E27FC236}">
              <a16:creationId xmlns:a16="http://schemas.microsoft.com/office/drawing/2014/main" id="{00000000-0008-0000-0000-000017000000}"/>
            </a:ext>
          </a:extLst>
        </xdr:cNvPr>
        <xdr:cNvSpPr/>
      </xdr:nvSpPr>
      <xdr:spPr bwMode="auto">
        <a:xfrm>
          <a:off x="581026" y="16478249"/>
          <a:ext cx="1548000" cy="288000"/>
        </a:xfrm>
        <a:prstGeom prst="roundRect">
          <a:avLst/>
        </a:prstGeom>
        <a:solidFill>
          <a:schemeClr val="tx2"/>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CokingRefineryCalcs</a:t>
          </a:r>
        </a:p>
      </xdr:txBody>
    </xdr:sp>
    <xdr:clientData/>
  </xdr:twoCellAnchor>
  <xdr:twoCellAnchor>
    <xdr:from>
      <xdr:col>2</xdr:col>
      <xdr:colOff>123825</xdr:colOff>
      <xdr:row>82</xdr:row>
      <xdr:rowOff>152400</xdr:rowOff>
    </xdr:from>
    <xdr:to>
      <xdr:col>2</xdr:col>
      <xdr:colOff>1671825</xdr:colOff>
      <xdr:row>83</xdr:row>
      <xdr:rowOff>211800</xdr:rowOff>
    </xdr:to>
    <xdr:sp macro="" textlink="">
      <xdr:nvSpPr>
        <xdr:cNvPr id="24" name="Rounded Rectangle 23" descr="e4bbb1cd-37ee-44bb-ac20-e47602cf6474">
          <a:hlinkClick xmlns:r="http://schemas.openxmlformats.org/officeDocument/2006/relationships" r:id="rId5"/>
          <a:extLst>
            <a:ext uri="{FF2B5EF4-FFF2-40B4-BE49-F238E27FC236}">
              <a16:creationId xmlns:a16="http://schemas.microsoft.com/office/drawing/2014/main" id="{00000000-0008-0000-0000-000018000000}"/>
            </a:ext>
          </a:extLst>
        </xdr:cNvPr>
        <xdr:cNvSpPr/>
      </xdr:nvSpPr>
      <xdr:spPr bwMode="auto">
        <a:xfrm>
          <a:off x="581025" y="16840200"/>
          <a:ext cx="1548000" cy="288000"/>
        </a:xfrm>
        <a:prstGeom prst="roundRect">
          <a:avLst/>
        </a:prstGeom>
        <a:solidFill>
          <a:schemeClr val="tx2"/>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HydroRefineryCalcs</a:t>
          </a:r>
        </a:p>
      </xdr:txBody>
    </xdr:sp>
    <xdr:clientData/>
  </xdr:twoCellAnchor>
  <xdr:twoCellAnchor>
    <xdr:from>
      <xdr:col>2</xdr:col>
      <xdr:colOff>292736</xdr:colOff>
      <xdr:row>52</xdr:row>
      <xdr:rowOff>200025</xdr:rowOff>
    </xdr:from>
    <xdr:to>
      <xdr:col>2</xdr:col>
      <xdr:colOff>1408736</xdr:colOff>
      <xdr:row>54</xdr:row>
      <xdr:rowOff>30825</xdr:rowOff>
    </xdr:to>
    <xdr:sp macro="" textlink="">
      <xdr:nvSpPr>
        <xdr:cNvPr id="28" name="Rounded Rectangle 27" descr="90a51467-d16d-4fb9-8c07-74eb937a9877">
          <a:hlinkClick xmlns:r="http://schemas.openxmlformats.org/officeDocument/2006/relationships" r:id="rId6"/>
          <a:extLst>
            <a:ext uri="{FF2B5EF4-FFF2-40B4-BE49-F238E27FC236}">
              <a16:creationId xmlns:a16="http://schemas.microsoft.com/office/drawing/2014/main" id="{00000000-0008-0000-0000-00001C000000}"/>
            </a:ext>
          </a:extLst>
        </xdr:cNvPr>
        <xdr:cNvSpPr/>
      </xdr:nvSpPr>
      <xdr:spPr bwMode="auto">
        <a:xfrm>
          <a:off x="821056" y="10481945"/>
          <a:ext cx="1116000" cy="298160"/>
        </a:xfrm>
        <a:prstGeom prst="roundRect">
          <a:avLst/>
        </a:prstGeom>
        <a:solidFill>
          <a:srgbClr val="FF0000"/>
        </a:solidFill>
        <a:ln w="25400" cap="flat" cmpd="sng" algn="ctr">
          <a:solidFill>
            <a:srgbClr val="C00000"/>
          </a:solid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Expert Input</a:t>
          </a:r>
        </a:p>
      </xdr:txBody>
    </xdr:sp>
    <xdr:clientData/>
  </xdr:twoCellAnchor>
  <xdr:twoCellAnchor>
    <xdr:from>
      <xdr:col>2</xdr:col>
      <xdr:colOff>333375</xdr:colOff>
      <xdr:row>57</xdr:row>
      <xdr:rowOff>104775</xdr:rowOff>
    </xdr:from>
    <xdr:to>
      <xdr:col>2</xdr:col>
      <xdr:colOff>1449375</xdr:colOff>
      <xdr:row>59</xdr:row>
      <xdr:rowOff>115575</xdr:rowOff>
    </xdr:to>
    <xdr:sp macro="" textlink="">
      <xdr:nvSpPr>
        <xdr:cNvPr id="29" name="Rounded Rectangle 28" descr="a6408f28-2ff9-47fa-ab85-f0fdf775fd37">
          <a:hlinkClick xmlns:r="http://schemas.openxmlformats.org/officeDocument/2006/relationships" r:id="rId7"/>
          <a:extLst>
            <a:ext uri="{FF2B5EF4-FFF2-40B4-BE49-F238E27FC236}">
              <a16:creationId xmlns:a16="http://schemas.microsoft.com/office/drawing/2014/main" id="{00000000-0008-0000-0000-00001D000000}"/>
            </a:ext>
          </a:extLst>
        </xdr:cNvPr>
        <xdr:cNvSpPr/>
      </xdr:nvSpPr>
      <xdr:spPr bwMode="auto">
        <a:xfrm>
          <a:off x="790575" y="11306175"/>
          <a:ext cx="1116000" cy="468000"/>
        </a:xfrm>
        <a:prstGeom prst="roundRect">
          <a:avLst/>
        </a:prstGeom>
        <a:solidFill>
          <a:srgbClr val="FF0000"/>
        </a:solidFill>
        <a:ln w="25400" cap="flat" cmpd="sng" algn="ctr">
          <a:solidFill>
            <a:srgbClr val="C00000"/>
          </a:solid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Results Single Assay</a:t>
          </a:r>
        </a:p>
      </xdr:txBody>
    </xdr:sp>
    <xdr:clientData/>
  </xdr:twoCellAnchor>
  <xdr:twoCellAnchor>
    <xdr:from>
      <xdr:col>2</xdr:col>
      <xdr:colOff>333375</xdr:colOff>
      <xdr:row>64</xdr:row>
      <xdr:rowOff>106997</xdr:rowOff>
    </xdr:from>
    <xdr:to>
      <xdr:col>2</xdr:col>
      <xdr:colOff>1449375</xdr:colOff>
      <xdr:row>66</xdr:row>
      <xdr:rowOff>117797</xdr:rowOff>
    </xdr:to>
    <xdr:sp macro="" textlink="">
      <xdr:nvSpPr>
        <xdr:cNvPr id="31" name="Rounded Rectangle 30" descr="b6b2df40-77d7-427c-92be-c2bb80906f86">
          <a:hlinkClick xmlns:r="http://schemas.openxmlformats.org/officeDocument/2006/relationships" r:id="rId8"/>
          <a:extLst>
            <a:ext uri="{FF2B5EF4-FFF2-40B4-BE49-F238E27FC236}">
              <a16:creationId xmlns:a16="http://schemas.microsoft.com/office/drawing/2014/main" id="{00000000-0008-0000-0000-00001F000000}"/>
            </a:ext>
          </a:extLst>
        </xdr:cNvPr>
        <xdr:cNvSpPr/>
      </xdr:nvSpPr>
      <xdr:spPr bwMode="auto">
        <a:xfrm>
          <a:off x="790575" y="12908597"/>
          <a:ext cx="1116000" cy="468000"/>
        </a:xfrm>
        <a:prstGeom prst="roundRect">
          <a:avLst/>
        </a:prstGeom>
        <a:solidFill>
          <a:srgbClr val="FF0000"/>
        </a:solidFill>
        <a:ln w="25400" cap="flat" cmpd="sng" algn="ctr">
          <a:solidFill>
            <a:srgbClr val="C00000"/>
          </a:solid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Results All Assays</a:t>
          </a:r>
        </a:p>
      </xdr:txBody>
    </xdr:sp>
    <xdr:clientData/>
  </xdr:twoCellAnchor>
  <xdr:twoCellAnchor>
    <xdr:from>
      <xdr:col>2</xdr:col>
      <xdr:colOff>276224</xdr:colOff>
      <xdr:row>68</xdr:row>
      <xdr:rowOff>114300</xdr:rowOff>
    </xdr:from>
    <xdr:to>
      <xdr:col>2</xdr:col>
      <xdr:colOff>1500224</xdr:colOff>
      <xdr:row>70</xdr:row>
      <xdr:rowOff>125100</xdr:rowOff>
    </xdr:to>
    <xdr:sp macro="" textlink="">
      <xdr:nvSpPr>
        <xdr:cNvPr id="33" name="Rounded Rectangle 32" descr="c73bd8d2-054e-4577-9623-37108ae9858d">
          <a:hlinkClick xmlns:r="http://schemas.openxmlformats.org/officeDocument/2006/relationships" r:id="rId9"/>
          <a:extLst>
            <a:ext uri="{FF2B5EF4-FFF2-40B4-BE49-F238E27FC236}">
              <a16:creationId xmlns:a16="http://schemas.microsoft.com/office/drawing/2014/main" id="{00000000-0008-0000-0000-000021000000}"/>
            </a:ext>
          </a:extLst>
        </xdr:cNvPr>
        <xdr:cNvSpPr/>
      </xdr:nvSpPr>
      <xdr:spPr bwMode="auto">
        <a:xfrm>
          <a:off x="733424" y="13601700"/>
          <a:ext cx="1224000" cy="468000"/>
        </a:xfrm>
        <a:prstGeom prst="roundRect">
          <a:avLst/>
        </a:prstGeom>
        <a:solidFill>
          <a:srgbClr val="FF0000"/>
        </a:solidFill>
        <a:ln w="25400" cap="flat" cmpd="sng" algn="ctr">
          <a:solidFill>
            <a:srgbClr val="C00000"/>
          </a:solid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Coking refinery:</a:t>
          </a:r>
          <a:r>
            <a:rPr lang="en-US" sz="1300" b="1" baseline="0">
              <a:solidFill>
                <a:schemeClr val="bg1"/>
              </a:solidFill>
            </a:rPr>
            <a:t> </a:t>
          </a:r>
          <a:r>
            <a:rPr lang="en-US" sz="1300" b="1">
              <a:solidFill>
                <a:schemeClr val="bg1"/>
              </a:solidFill>
            </a:rPr>
            <a:t>detailed results</a:t>
          </a:r>
        </a:p>
      </xdr:txBody>
    </xdr:sp>
    <xdr:clientData/>
  </xdr:twoCellAnchor>
  <xdr:twoCellAnchor>
    <xdr:from>
      <xdr:col>2</xdr:col>
      <xdr:colOff>276224</xdr:colOff>
      <xdr:row>71</xdr:row>
      <xdr:rowOff>133350</xdr:rowOff>
    </xdr:from>
    <xdr:to>
      <xdr:col>2</xdr:col>
      <xdr:colOff>1500224</xdr:colOff>
      <xdr:row>73</xdr:row>
      <xdr:rowOff>142874</xdr:rowOff>
    </xdr:to>
    <xdr:sp macro="" textlink="">
      <xdr:nvSpPr>
        <xdr:cNvPr id="34" name="Rounded Rectangle 33" descr="75628706-0c3f-4fa2-8ee9-cd5d830ec381">
          <a:hlinkClick xmlns:r="http://schemas.openxmlformats.org/officeDocument/2006/relationships" r:id="rId10"/>
          <a:extLst>
            <a:ext uri="{FF2B5EF4-FFF2-40B4-BE49-F238E27FC236}">
              <a16:creationId xmlns:a16="http://schemas.microsoft.com/office/drawing/2014/main" id="{00000000-0008-0000-0000-000022000000}"/>
            </a:ext>
          </a:extLst>
        </xdr:cNvPr>
        <xdr:cNvSpPr/>
      </xdr:nvSpPr>
      <xdr:spPr bwMode="auto">
        <a:xfrm>
          <a:off x="733424" y="14306550"/>
          <a:ext cx="1224000" cy="466724"/>
        </a:xfrm>
        <a:prstGeom prst="roundRect">
          <a:avLst/>
        </a:prstGeom>
        <a:solidFill>
          <a:srgbClr val="FF0000"/>
        </a:solidFill>
        <a:ln w="25400" cap="flat" cmpd="sng" algn="ctr">
          <a:solidFill>
            <a:srgbClr val="C00000"/>
          </a:solid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Hydro</a:t>
          </a:r>
          <a:r>
            <a:rPr lang="en-US" sz="1300" b="1" baseline="0">
              <a:solidFill>
                <a:schemeClr val="bg1"/>
              </a:solidFill>
            </a:rPr>
            <a:t> </a:t>
          </a:r>
          <a:r>
            <a:rPr lang="en-US" sz="1300" b="1">
              <a:solidFill>
                <a:schemeClr val="bg1"/>
              </a:solidFill>
            </a:rPr>
            <a:t>refinery: detailed results</a:t>
          </a:r>
        </a:p>
      </xdr:txBody>
    </xdr:sp>
    <xdr:clientData/>
  </xdr:twoCellAnchor>
  <xdr:twoCellAnchor>
    <xdr:from>
      <xdr:col>2</xdr:col>
      <xdr:colOff>123824</xdr:colOff>
      <xdr:row>91</xdr:row>
      <xdr:rowOff>228599</xdr:rowOff>
    </xdr:from>
    <xdr:to>
      <xdr:col>2</xdr:col>
      <xdr:colOff>1671824</xdr:colOff>
      <xdr:row>94</xdr:row>
      <xdr:rowOff>10799</xdr:rowOff>
    </xdr:to>
    <xdr:sp macro="" textlink="">
      <xdr:nvSpPr>
        <xdr:cNvPr id="15" name="Rounded Rectangle 14" descr="a51e9102-fd2c-426f-9b62-4c59b09ef323">
          <a:hlinkClick xmlns:r="http://schemas.openxmlformats.org/officeDocument/2006/relationships" r:id="rId11"/>
          <a:extLst>
            <a:ext uri="{FF2B5EF4-FFF2-40B4-BE49-F238E27FC236}">
              <a16:creationId xmlns:a16="http://schemas.microsoft.com/office/drawing/2014/main" id="{00000000-0008-0000-0000-00000F000000}"/>
            </a:ext>
          </a:extLst>
        </xdr:cNvPr>
        <xdr:cNvSpPr/>
      </xdr:nvSpPr>
      <xdr:spPr bwMode="auto">
        <a:xfrm>
          <a:off x="581024" y="18059399"/>
          <a:ext cx="1548000" cy="468000"/>
        </a:xfrm>
        <a:prstGeom prst="roundRect">
          <a:avLst/>
        </a:prstGeom>
        <a:solidFill>
          <a:srgbClr val="00B050"/>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Energy and Unit Conversions</a:t>
          </a:r>
        </a:p>
      </xdr:txBody>
    </xdr:sp>
    <xdr:clientData/>
  </xdr:twoCellAnchor>
  <xdr:twoCellAnchor>
    <xdr:from>
      <xdr:col>2</xdr:col>
      <xdr:colOff>123824</xdr:colOff>
      <xdr:row>94</xdr:row>
      <xdr:rowOff>200024</xdr:rowOff>
    </xdr:from>
    <xdr:to>
      <xdr:col>2</xdr:col>
      <xdr:colOff>1671824</xdr:colOff>
      <xdr:row>96</xdr:row>
      <xdr:rowOff>30824</xdr:rowOff>
    </xdr:to>
    <xdr:sp macro="" textlink="">
      <xdr:nvSpPr>
        <xdr:cNvPr id="16" name="Rounded Rectangle 15" descr="8c70197f-5999-48f2-b10c-3eb9ad524934">
          <a:hlinkClick xmlns:r="http://schemas.openxmlformats.org/officeDocument/2006/relationships" r:id="rId12"/>
          <a:extLst>
            <a:ext uri="{FF2B5EF4-FFF2-40B4-BE49-F238E27FC236}">
              <a16:creationId xmlns:a16="http://schemas.microsoft.com/office/drawing/2014/main" id="{00000000-0008-0000-0000-000010000000}"/>
            </a:ext>
          </a:extLst>
        </xdr:cNvPr>
        <xdr:cNvSpPr/>
      </xdr:nvSpPr>
      <xdr:spPr bwMode="auto">
        <a:xfrm>
          <a:off x="581024" y="18716624"/>
          <a:ext cx="1548000" cy="288000"/>
        </a:xfrm>
        <a:prstGeom prst="roundRect">
          <a:avLst/>
        </a:prstGeom>
        <a:solidFill>
          <a:srgbClr val="00B050"/>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Process Correlations</a:t>
          </a:r>
        </a:p>
      </xdr:txBody>
    </xdr:sp>
    <xdr:clientData/>
  </xdr:twoCellAnchor>
  <xdr:twoCellAnchor>
    <xdr:from>
      <xdr:col>2</xdr:col>
      <xdr:colOff>133349</xdr:colOff>
      <xdr:row>96</xdr:row>
      <xdr:rowOff>209550</xdr:rowOff>
    </xdr:from>
    <xdr:to>
      <xdr:col>2</xdr:col>
      <xdr:colOff>1681349</xdr:colOff>
      <xdr:row>98</xdr:row>
      <xdr:rowOff>40350</xdr:rowOff>
    </xdr:to>
    <xdr:sp macro="" textlink="">
      <xdr:nvSpPr>
        <xdr:cNvPr id="17" name="Rounded Rectangle 16" descr="0b0366a0-dca4-4e73-98cf-4fb728aa042b">
          <a:hlinkClick xmlns:r="http://schemas.openxmlformats.org/officeDocument/2006/relationships" r:id="rId13"/>
          <a:extLst>
            <a:ext uri="{FF2B5EF4-FFF2-40B4-BE49-F238E27FC236}">
              <a16:creationId xmlns:a16="http://schemas.microsoft.com/office/drawing/2014/main" id="{00000000-0008-0000-0000-000011000000}"/>
            </a:ext>
          </a:extLst>
        </xdr:cNvPr>
        <xdr:cNvSpPr/>
      </xdr:nvSpPr>
      <xdr:spPr bwMode="auto">
        <a:xfrm>
          <a:off x="590549" y="18954750"/>
          <a:ext cx="1548000" cy="288000"/>
        </a:xfrm>
        <a:prstGeom prst="roundRect">
          <a:avLst/>
        </a:prstGeom>
        <a:solidFill>
          <a:srgbClr val="00B050"/>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Emission Factors</a:t>
          </a:r>
        </a:p>
      </xdr:txBody>
    </xdr:sp>
    <xdr:clientData/>
  </xdr:twoCellAnchor>
  <xdr:twoCellAnchor>
    <xdr:from>
      <xdr:col>2</xdr:col>
      <xdr:colOff>133349</xdr:colOff>
      <xdr:row>98</xdr:row>
      <xdr:rowOff>219075</xdr:rowOff>
    </xdr:from>
    <xdr:to>
      <xdr:col>2</xdr:col>
      <xdr:colOff>1681349</xdr:colOff>
      <xdr:row>100</xdr:row>
      <xdr:rowOff>38100</xdr:rowOff>
    </xdr:to>
    <xdr:sp macro="" textlink="">
      <xdr:nvSpPr>
        <xdr:cNvPr id="19" name="Rounded Rectangle 18" descr="f8d6a861-1f74-42a4-9a0b-3dff72f125a1">
          <a:hlinkClick xmlns:r="http://schemas.openxmlformats.org/officeDocument/2006/relationships" r:id="rId14"/>
          <a:extLst>
            <a:ext uri="{FF2B5EF4-FFF2-40B4-BE49-F238E27FC236}">
              <a16:creationId xmlns:a16="http://schemas.microsoft.com/office/drawing/2014/main" id="{00000000-0008-0000-0000-000013000000}"/>
            </a:ext>
          </a:extLst>
        </xdr:cNvPr>
        <xdr:cNvSpPr/>
      </xdr:nvSpPr>
      <xdr:spPr bwMode="auto">
        <a:xfrm>
          <a:off x="590549" y="19650075"/>
          <a:ext cx="1548000" cy="276225"/>
        </a:xfrm>
        <a:prstGeom prst="roundRect">
          <a:avLst/>
        </a:prstGeom>
        <a:solidFill>
          <a:srgbClr val="00B050"/>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Constants</a:t>
          </a:r>
        </a:p>
      </xdr:txBody>
    </xdr:sp>
    <xdr:clientData/>
  </xdr:twoCellAnchor>
  <xdr:twoCellAnchor>
    <xdr:from>
      <xdr:col>2</xdr:col>
      <xdr:colOff>142874</xdr:colOff>
      <xdr:row>101</xdr:row>
      <xdr:rowOff>0</xdr:rowOff>
    </xdr:from>
    <xdr:to>
      <xdr:col>2</xdr:col>
      <xdr:colOff>1690874</xdr:colOff>
      <xdr:row>102</xdr:row>
      <xdr:rowOff>30825</xdr:rowOff>
    </xdr:to>
    <xdr:sp macro="" textlink="">
      <xdr:nvSpPr>
        <xdr:cNvPr id="22" name="Rounded Rectangle 21" descr="56b516e4-b9bb-4300-8dc3-7a97f7a9465f">
          <a:hlinkClick xmlns:r="http://schemas.openxmlformats.org/officeDocument/2006/relationships" r:id="rId15"/>
          <a:extLst>
            <a:ext uri="{FF2B5EF4-FFF2-40B4-BE49-F238E27FC236}">
              <a16:creationId xmlns:a16="http://schemas.microsoft.com/office/drawing/2014/main" id="{00000000-0008-0000-0000-000016000000}"/>
            </a:ext>
          </a:extLst>
        </xdr:cNvPr>
        <xdr:cNvSpPr/>
      </xdr:nvSpPr>
      <xdr:spPr bwMode="auto">
        <a:xfrm>
          <a:off x="600074" y="20316825"/>
          <a:ext cx="1548000" cy="288000"/>
        </a:xfrm>
        <a:prstGeom prst="roundRect">
          <a:avLst/>
        </a:prstGeom>
        <a:solidFill>
          <a:srgbClr val="00B050"/>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Assay Inventory</a:t>
          </a:r>
        </a:p>
      </xdr:txBody>
    </xdr:sp>
    <xdr:clientData/>
  </xdr:twoCellAnchor>
  <xdr:twoCellAnchor>
    <xdr:from>
      <xdr:col>2</xdr:col>
      <xdr:colOff>144144</xdr:colOff>
      <xdr:row>84</xdr:row>
      <xdr:rowOff>198120</xdr:rowOff>
    </xdr:from>
    <xdr:to>
      <xdr:col>2</xdr:col>
      <xdr:colOff>1899919</xdr:colOff>
      <xdr:row>86</xdr:row>
      <xdr:rowOff>23840</xdr:rowOff>
    </xdr:to>
    <xdr:sp macro="" textlink="">
      <xdr:nvSpPr>
        <xdr:cNvPr id="20" name="Rounded Rectangle 19" descr="d1259792-1086-4f7e-8bc2-2dc70051780e">
          <a:hlinkClick xmlns:r="http://schemas.openxmlformats.org/officeDocument/2006/relationships" r:id="rId16"/>
          <a:extLst>
            <a:ext uri="{FF2B5EF4-FFF2-40B4-BE49-F238E27FC236}">
              <a16:creationId xmlns:a16="http://schemas.microsoft.com/office/drawing/2014/main" id="{00000000-0008-0000-0000-000014000000}"/>
            </a:ext>
          </a:extLst>
        </xdr:cNvPr>
        <xdr:cNvSpPr/>
      </xdr:nvSpPr>
      <xdr:spPr bwMode="auto">
        <a:xfrm>
          <a:off x="672464" y="17957800"/>
          <a:ext cx="1755775" cy="293080"/>
        </a:xfrm>
        <a:prstGeom prst="roundRect">
          <a:avLst/>
        </a:prstGeom>
        <a:solidFill>
          <a:schemeClr val="tx2"/>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CokingRefineryControls</a:t>
          </a:r>
        </a:p>
      </xdr:txBody>
    </xdr:sp>
    <xdr:clientData/>
  </xdr:twoCellAnchor>
  <xdr:twoCellAnchor>
    <xdr:from>
      <xdr:col>2</xdr:col>
      <xdr:colOff>154304</xdr:colOff>
      <xdr:row>86</xdr:row>
      <xdr:rowOff>116840</xdr:rowOff>
    </xdr:from>
    <xdr:to>
      <xdr:col>2</xdr:col>
      <xdr:colOff>1910079</xdr:colOff>
      <xdr:row>87</xdr:row>
      <xdr:rowOff>176240</xdr:rowOff>
    </xdr:to>
    <xdr:sp macro="" textlink="">
      <xdr:nvSpPr>
        <xdr:cNvPr id="26" name="Rounded Rectangle 25" descr="401e9dc7-2e6a-4b17-ada4-7ecc05764b40">
          <a:hlinkClick xmlns:r="http://schemas.openxmlformats.org/officeDocument/2006/relationships" r:id="rId17"/>
          <a:extLst>
            <a:ext uri="{FF2B5EF4-FFF2-40B4-BE49-F238E27FC236}">
              <a16:creationId xmlns:a16="http://schemas.microsoft.com/office/drawing/2014/main" id="{00000000-0008-0000-0000-00001A000000}"/>
            </a:ext>
          </a:extLst>
        </xdr:cNvPr>
        <xdr:cNvSpPr/>
      </xdr:nvSpPr>
      <xdr:spPr bwMode="auto">
        <a:xfrm>
          <a:off x="682624" y="18343880"/>
          <a:ext cx="1755775" cy="293080"/>
        </a:xfrm>
        <a:prstGeom prst="roundRect">
          <a:avLst/>
        </a:prstGeom>
        <a:solidFill>
          <a:schemeClr val="tx2"/>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HydroRefineryControls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373243</xdr:colOff>
      <xdr:row>40</xdr:row>
      <xdr:rowOff>84911</xdr:rowOff>
    </xdr:from>
    <xdr:to>
      <xdr:col>3</xdr:col>
      <xdr:colOff>643781</xdr:colOff>
      <xdr:row>42</xdr:row>
      <xdr:rowOff>203215</xdr:rowOff>
    </xdr:to>
    <xdr:sp macro="" textlink="">
      <xdr:nvSpPr>
        <xdr:cNvPr id="2" name="Rounded Rectangle 1" descr="3a7d2747-8e97-432e-815e-3961bc735a2c">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bwMode="auto">
        <a:xfrm>
          <a:off x="821478" y="9049617"/>
          <a:ext cx="1323891" cy="566539"/>
        </a:xfrm>
        <a:prstGeom prst="roundRect">
          <a:avLst/>
        </a:prstGeom>
        <a:solidFill>
          <a:schemeClr val="tx2"/>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a:solidFill>
                <a:schemeClr val="bg1"/>
              </a:solidFill>
            </a:rPr>
            <a:t>View </a:t>
          </a:r>
          <a:r>
            <a:rPr lang="en-US" sz="1300" b="1" baseline="0">
              <a:solidFill>
                <a:schemeClr val="bg1"/>
              </a:solidFill>
            </a:rPr>
            <a:t>assay inventory</a:t>
          </a:r>
        </a:p>
      </xdr:txBody>
    </xdr:sp>
    <xdr:clientData/>
  </xdr:twoCellAnchor>
  <xdr:twoCellAnchor>
    <xdr:from>
      <xdr:col>8</xdr:col>
      <xdr:colOff>196712</xdr:colOff>
      <xdr:row>42</xdr:row>
      <xdr:rowOff>22188</xdr:rowOff>
    </xdr:from>
    <xdr:to>
      <xdr:col>9</xdr:col>
      <xdr:colOff>436303</xdr:colOff>
      <xdr:row>44</xdr:row>
      <xdr:rowOff>147915</xdr:rowOff>
    </xdr:to>
    <xdr:sp macro="" textlink="">
      <xdr:nvSpPr>
        <xdr:cNvPr id="3" name="Rounded Rectangle 2" descr="fdb6d07d-41ed-4506-956c-cec30d66b507">
          <a:hlinkClick xmlns:r="http://schemas.openxmlformats.org/officeDocument/2006/relationships" r:id="rId2"/>
          <a:extLst>
            <a:ext uri="{FF2B5EF4-FFF2-40B4-BE49-F238E27FC236}">
              <a16:creationId xmlns:a16="http://schemas.microsoft.com/office/drawing/2014/main" id="{00000000-0008-0000-0200-000003000000}"/>
            </a:ext>
          </a:extLst>
        </xdr:cNvPr>
        <xdr:cNvSpPr/>
      </xdr:nvSpPr>
      <xdr:spPr bwMode="auto">
        <a:xfrm>
          <a:off x="8858112" y="9089988"/>
          <a:ext cx="1433391" cy="557527"/>
        </a:xfrm>
        <a:prstGeom prst="roundRect">
          <a:avLst/>
        </a:prstGeom>
        <a:solidFill>
          <a:schemeClr val="tx2"/>
        </a:solidFill>
        <a:ln>
          <a:solidFill>
            <a:schemeClr val="tx2"/>
          </a:solidFill>
          <a:headEnd type="none" w="med" len="med"/>
          <a:tailEnd type="triangl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1400" b="1">
              <a:solidFill>
                <a:schemeClr val="bg1"/>
              </a:solidFill>
            </a:rPr>
            <a:t>Current</a:t>
          </a:r>
          <a:r>
            <a:rPr lang="en-US" sz="1400" b="1" baseline="0">
              <a:solidFill>
                <a:schemeClr val="bg1"/>
              </a:solidFill>
            </a:rPr>
            <a:t> assay</a:t>
          </a:r>
          <a:endParaRPr lang="en-US" sz="1400" b="1">
            <a:solidFill>
              <a:schemeClr val="bg1"/>
            </a:solidFill>
          </a:endParaRPr>
        </a:p>
      </xdr:txBody>
    </xdr:sp>
    <xdr:clientData/>
  </xdr:twoCellAnchor>
  <xdr:twoCellAnchor>
    <xdr:from>
      <xdr:col>3</xdr:col>
      <xdr:colOff>888702</xdr:colOff>
      <xdr:row>40</xdr:row>
      <xdr:rowOff>81812</xdr:rowOff>
    </xdr:from>
    <xdr:to>
      <xdr:col>4</xdr:col>
      <xdr:colOff>882222</xdr:colOff>
      <xdr:row>42</xdr:row>
      <xdr:rowOff>207538</xdr:rowOff>
    </xdr:to>
    <xdr:sp macro="" textlink="">
      <xdr:nvSpPr>
        <xdr:cNvPr id="10" name="Rounded Rectangle 9" descr="237edfaa-3c32-4aba-a813-4c00ed9f549b">
          <a:hlinkClick xmlns:r="http://schemas.openxmlformats.org/officeDocument/2006/relationships" r:id="rId3"/>
          <a:extLst>
            <a:ext uri="{FF2B5EF4-FFF2-40B4-BE49-F238E27FC236}">
              <a16:creationId xmlns:a16="http://schemas.microsoft.com/office/drawing/2014/main" id="{00000000-0008-0000-0200-00000A000000}"/>
            </a:ext>
          </a:extLst>
        </xdr:cNvPr>
        <xdr:cNvSpPr/>
      </xdr:nvSpPr>
      <xdr:spPr bwMode="auto">
        <a:xfrm>
          <a:off x="2390290" y="9046518"/>
          <a:ext cx="1327020" cy="573961"/>
        </a:xfrm>
        <a:prstGeom prst="roundRect">
          <a:avLst/>
        </a:prstGeom>
        <a:solidFill>
          <a:schemeClr val="tx2"/>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300" b="1" baseline="0">
              <a:solidFill>
                <a:schemeClr val="bg1"/>
              </a:solidFill>
            </a:rPr>
            <a:t>Input custom assay</a:t>
          </a:r>
        </a:p>
      </xdr:txBody>
    </xdr:sp>
    <xdr:clientData/>
  </xdr:twoCellAnchor>
  <xdr:twoCellAnchor>
    <xdr:from>
      <xdr:col>18</xdr:col>
      <xdr:colOff>1020535</xdr:colOff>
      <xdr:row>38</xdr:row>
      <xdr:rowOff>29696</xdr:rowOff>
    </xdr:from>
    <xdr:to>
      <xdr:col>20</xdr:col>
      <xdr:colOff>137273</xdr:colOff>
      <xdr:row>39</xdr:row>
      <xdr:rowOff>212354</xdr:rowOff>
    </xdr:to>
    <xdr:sp macro="" textlink="">
      <xdr:nvSpPr>
        <xdr:cNvPr id="9" name="Rounded Rectangle 8" descr="6f1a0d41-624f-4c78-98a7-2043cdc85fd0">
          <a:hlinkClick xmlns:r="http://schemas.openxmlformats.org/officeDocument/2006/relationships" r:id="rId4"/>
          <a:extLst>
            <a:ext uri="{FF2B5EF4-FFF2-40B4-BE49-F238E27FC236}">
              <a16:creationId xmlns:a16="http://schemas.microsoft.com/office/drawing/2014/main" id="{00000000-0008-0000-0200-000009000000}"/>
            </a:ext>
          </a:extLst>
        </xdr:cNvPr>
        <xdr:cNvSpPr/>
      </xdr:nvSpPr>
      <xdr:spPr bwMode="auto">
        <a:xfrm>
          <a:off x="18410464" y="6778839"/>
          <a:ext cx="1620452" cy="400372"/>
        </a:xfrm>
        <a:prstGeom prst="roundRect">
          <a:avLst/>
        </a:prstGeom>
        <a:solidFill>
          <a:srgbClr val="CC0000"/>
        </a:solidFill>
        <a:ln w="25400" cap="flat" cmpd="sng" algn="ctr">
          <a:solidFill>
            <a:srgbClr val="C00000"/>
          </a:solidFill>
          <a:prstDash val="solid"/>
          <a:round/>
          <a:headEnd type="none" w="med" len="med"/>
          <a:tailEnd type="triangle" w="med" len="med"/>
        </a:ln>
        <a:effectLst/>
      </xdr:spPr>
      <xdr:txBody>
        <a:bodyPr vertOverflow="clip" wrap="square" lIns="18288" tIns="0" rIns="0" bIns="0" rtlCol="0" anchor="ctr" upright="1"/>
        <a:lstStyle/>
        <a:p>
          <a:pPr algn="ctr"/>
          <a:r>
            <a:rPr lang="en-US" sz="1600" b="1">
              <a:solidFill>
                <a:schemeClr val="bg1"/>
              </a:solidFill>
            </a:rPr>
            <a:t>See more results</a:t>
          </a:r>
          <a:endParaRPr lang="en-US" sz="1600" b="1" baseline="0">
            <a:solidFill>
              <a:schemeClr val="bg1"/>
            </a:solidFill>
          </a:endParaRPr>
        </a:p>
      </xdr:txBody>
    </xdr:sp>
    <xdr:clientData/>
  </xdr:twoCellAnchor>
  <xdr:twoCellAnchor>
    <xdr:from>
      <xdr:col>4</xdr:col>
      <xdr:colOff>1127068</xdr:colOff>
      <xdr:row>40</xdr:row>
      <xdr:rowOff>90936</xdr:rowOff>
    </xdr:from>
    <xdr:to>
      <xdr:col>5</xdr:col>
      <xdr:colOff>1120588</xdr:colOff>
      <xdr:row>42</xdr:row>
      <xdr:rowOff>216662</xdr:rowOff>
    </xdr:to>
    <xdr:sp macro="" textlink="">
      <xdr:nvSpPr>
        <xdr:cNvPr id="13" name="Rounded Rectangle 12" descr="a22153eb-0f19-4f7d-b95c-55091d927efa">
          <a:hlinkClick xmlns:r="http://schemas.openxmlformats.org/officeDocument/2006/relationships" r:id="rId5"/>
          <a:extLst>
            <a:ext uri="{FF2B5EF4-FFF2-40B4-BE49-F238E27FC236}">
              <a16:creationId xmlns:a16="http://schemas.microsoft.com/office/drawing/2014/main" id="{00000000-0008-0000-0200-00000D000000}"/>
            </a:ext>
          </a:extLst>
        </xdr:cNvPr>
        <xdr:cNvSpPr/>
      </xdr:nvSpPr>
      <xdr:spPr bwMode="auto">
        <a:xfrm>
          <a:off x="3962156" y="9055642"/>
          <a:ext cx="1327020" cy="573961"/>
        </a:xfrm>
        <a:prstGeom prst="roundRect">
          <a:avLst/>
        </a:prstGeom>
        <a:solidFill>
          <a:schemeClr val="tx2"/>
        </a:solid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r>
            <a:rPr lang="en-US" sz="1400" b="1" baseline="0">
              <a:solidFill>
                <a:schemeClr val="bg1"/>
              </a:solidFill>
            </a:rPr>
            <a:t>Create crude blend</a:t>
          </a:r>
        </a:p>
      </xdr:txBody>
    </xdr:sp>
    <xdr:clientData/>
  </xdr:twoCellAnchor>
  <xdr:twoCellAnchor>
    <xdr:from>
      <xdr:col>7</xdr:col>
      <xdr:colOff>707571</xdr:colOff>
      <xdr:row>13</xdr:row>
      <xdr:rowOff>188897</xdr:rowOff>
    </xdr:from>
    <xdr:to>
      <xdr:col>17</xdr:col>
      <xdr:colOff>74440</xdr:colOff>
      <xdr:row>18</xdr:row>
      <xdr:rowOff>69635</xdr:rowOff>
    </xdr:to>
    <xdr:sp macro="" textlink="">
      <xdr:nvSpPr>
        <xdr:cNvPr id="4" name="Right Arrow 3" descr="c3b47465-d79c-4628-9b26-062f03bab08f">
          <a:extLst>
            <a:ext uri="{FF2B5EF4-FFF2-40B4-BE49-F238E27FC236}">
              <a16:creationId xmlns:a16="http://schemas.microsoft.com/office/drawing/2014/main" id="{00000000-0008-0000-0200-000004000000}"/>
            </a:ext>
          </a:extLst>
        </xdr:cNvPr>
        <xdr:cNvSpPr/>
      </xdr:nvSpPr>
      <xdr:spPr bwMode="auto">
        <a:xfrm>
          <a:off x="7252607" y="3019183"/>
          <a:ext cx="7653619" cy="969309"/>
        </a:xfrm>
        <a:prstGeom prst="rightArrow">
          <a:avLst/>
        </a:prstGeom>
        <a:solidFill>
          <a:srgbClr val="FF0000"/>
        </a:solidFill>
        <a:ln>
          <a:solidFill>
            <a:schemeClr val="bg1"/>
          </a:solidFill>
          <a:headEnd type="none" w="med" len="med"/>
          <a:tailEnd type="triangle" w="med" len="med"/>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ctr"/>
          <a:endParaRPr lang="en-CA" sz="1400">
            <a:solidFill>
              <a:schemeClr val="bg1"/>
            </a:solidFill>
          </a:endParaRPr>
        </a:p>
      </xdr:txBody>
    </xdr:sp>
    <xdr:clientData/>
  </xdr:twoCellAnchor>
  <xdr:twoCellAnchor>
    <xdr:from>
      <xdr:col>9</xdr:col>
      <xdr:colOff>777125</xdr:colOff>
      <xdr:row>42</xdr:row>
      <xdr:rowOff>28620</xdr:rowOff>
    </xdr:from>
    <xdr:to>
      <xdr:col>10</xdr:col>
      <xdr:colOff>877016</xdr:colOff>
      <xdr:row>44</xdr:row>
      <xdr:rowOff>154347</xdr:rowOff>
    </xdr:to>
    <xdr:sp macro="[0]!Float_all_assays" textlink="">
      <xdr:nvSpPr>
        <xdr:cNvPr id="27" name="Rounded Rectangle 26" descr="e06fadf0-6fc9-46fa-a8cb-7783c73f18af">
          <a:extLst>
            <a:ext uri="{FF2B5EF4-FFF2-40B4-BE49-F238E27FC236}">
              <a16:creationId xmlns:a16="http://schemas.microsoft.com/office/drawing/2014/main" id="{00000000-0008-0000-0200-00001B000000}"/>
            </a:ext>
          </a:extLst>
        </xdr:cNvPr>
        <xdr:cNvSpPr/>
      </xdr:nvSpPr>
      <xdr:spPr bwMode="auto">
        <a:xfrm>
          <a:off x="10632325" y="9096420"/>
          <a:ext cx="1433391" cy="557527"/>
        </a:xfrm>
        <a:prstGeom prst="roundRect">
          <a:avLst/>
        </a:prstGeom>
        <a:solidFill>
          <a:schemeClr val="tx2"/>
        </a:solidFill>
        <a:ln>
          <a:solidFill>
            <a:schemeClr val="tx2"/>
          </a:solidFill>
          <a:headEnd type="none" w="med" len="med"/>
          <a:tailEnd type="triangl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1400" b="1">
              <a:solidFill>
                <a:schemeClr val="bg1"/>
              </a:solidFill>
            </a:rPr>
            <a:t>All assays in inventory</a:t>
          </a:r>
        </a:p>
      </xdr:txBody>
    </xdr:sp>
    <xdr:clientData/>
  </xdr:twoCellAnchor>
  <xdr:twoCellAnchor>
    <xdr:from>
      <xdr:col>4</xdr:col>
      <xdr:colOff>314576</xdr:colOff>
      <xdr:row>13</xdr:row>
      <xdr:rowOff>190498</xdr:rowOff>
    </xdr:from>
    <xdr:to>
      <xdr:col>7</xdr:col>
      <xdr:colOff>1000537</xdr:colOff>
      <xdr:row>18</xdr:row>
      <xdr:rowOff>71236</xdr:rowOff>
    </xdr:to>
    <xdr:sp macro="" textlink="">
      <xdr:nvSpPr>
        <xdr:cNvPr id="26" name="Right Arrow 25" descr="474da13f-c102-43c1-8a92-a0e22066ab16">
          <a:extLst>
            <a:ext uri="{FF2B5EF4-FFF2-40B4-BE49-F238E27FC236}">
              <a16:creationId xmlns:a16="http://schemas.microsoft.com/office/drawing/2014/main" id="{00000000-0008-0000-0200-00001A000000}"/>
            </a:ext>
          </a:extLst>
        </xdr:cNvPr>
        <xdr:cNvSpPr/>
      </xdr:nvSpPr>
      <xdr:spPr bwMode="auto">
        <a:xfrm>
          <a:off x="3348289" y="3038473"/>
          <a:ext cx="4667411" cy="976113"/>
        </a:xfrm>
        <a:prstGeom prst="rightArrow">
          <a:avLst/>
        </a:prstGeom>
        <a:solidFill>
          <a:srgbClr val="FF0000"/>
        </a:solidFill>
        <a:ln>
          <a:solidFill>
            <a:schemeClr val="bg1"/>
          </a:solidFill>
          <a:headEnd type="none" w="med" len="med"/>
          <a:tailEnd type="triangle" w="med" len="med"/>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ctr"/>
          <a:r>
            <a:rPr lang="en-CA" sz="1400">
              <a:solidFill>
                <a:schemeClr val="bg1"/>
              </a:solidFill>
            </a:rPr>
            <a:t>Visualize</a:t>
          </a:r>
          <a:r>
            <a:rPr lang="en-CA" sz="1400" baseline="0">
              <a:solidFill>
                <a:schemeClr val="bg1"/>
              </a:solidFill>
            </a:rPr>
            <a:t> main results in the right panel</a:t>
          </a:r>
          <a:br>
            <a:rPr lang="en-CA" sz="1400" baseline="0">
              <a:solidFill>
                <a:schemeClr val="bg1"/>
              </a:solidFill>
            </a:rPr>
          </a:br>
          <a:r>
            <a:rPr lang="en-CA" sz="1400" baseline="0">
              <a:solidFill>
                <a:schemeClr val="bg1"/>
              </a:solidFill>
            </a:rPr>
            <a:t>(results updated in real-time)</a:t>
          </a:r>
          <a:endParaRPr lang="en-CA" sz="1400">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4</xdr:col>
          <xdr:colOff>85725</xdr:colOff>
          <xdr:row>11</xdr:row>
          <xdr:rowOff>200025</xdr:rowOff>
        </xdr:from>
        <xdr:to>
          <xdr:col>6</xdr:col>
          <xdr:colOff>952500</xdr:colOff>
          <xdr:row>13</xdr:row>
          <xdr:rowOff>9525</xdr:rowOff>
        </xdr:to>
        <xdr:sp macro="" textlink="">
          <xdr:nvSpPr>
            <xdr:cNvPr id="3208260" name="Drop Down 68" hidden="1">
              <a:extLst>
                <a:ext uri="{63B3BB69-23CF-44E3-9099-C40C66FF867C}">
                  <a14:compatExt spid="_x0000_s3208260"/>
                </a:ext>
                <a:ext uri="{FF2B5EF4-FFF2-40B4-BE49-F238E27FC236}">
                  <a16:creationId xmlns:a16="http://schemas.microsoft.com/office/drawing/2014/main" id="{00000000-0008-0000-0200-000044F43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952500</xdr:colOff>
          <xdr:row>81</xdr:row>
          <xdr:rowOff>76200</xdr:rowOff>
        </xdr:from>
        <xdr:to>
          <xdr:col>6</xdr:col>
          <xdr:colOff>990600</xdr:colOff>
          <xdr:row>82</xdr:row>
          <xdr:rowOff>104775</xdr:rowOff>
        </xdr:to>
        <xdr:sp macro="" textlink="">
          <xdr:nvSpPr>
            <xdr:cNvPr id="3208261" name="Drop Down 69" hidden="1">
              <a:extLst>
                <a:ext uri="{63B3BB69-23CF-44E3-9099-C40C66FF867C}">
                  <a14:compatExt spid="_x0000_s3208261"/>
                </a:ext>
                <a:ext uri="{FF2B5EF4-FFF2-40B4-BE49-F238E27FC236}">
                  <a16:creationId xmlns:a16="http://schemas.microsoft.com/office/drawing/2014/main" id="{00000000-0008-0000-0200-000045F43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942975</xdr:colOff>
          <xdr:row>84</xdr:row>
          <xdr:rowOff>85725</xdr:rowOff>
        </xdr:from>
        <xdr:to>
          <xdr:col>6</xdr:col>
          <xdr:colOff>990600</xdr:colOff>
          <xdr:row>85</xdr:row>
          <xdr:rowOff>104775</xdr:rowOff>
        </xdr:to>
        <xdr:sp macro="" textlink="">
          <xdr:nvSpPr>
            <xdr:cNvPr id="3208262" name="Drop Down 70" hidden="1">
              <a:extLst>
                <a:ext uri="{63B3BB69-23CF-44E3-9099-C40C66FF867C}">
                  <a14:compatExt spid="_x0000_s3208262"/>
                </a:ext>
                <a:ext uri="{FF2B5EF4-FFF2-40B4-BE49-F238E27FC236}">
                  <a16:creationId xmlns:a16="http://schemas.microsoft.com/office/drawing/2014/main" id="{00000000-0008-0000-0200-000046F43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952500</xdr:colOff>
          <xdr:row>90</xdr:row>
          <xdr:rowOff>85725</xdr:rowOff>
        </xdr:from>
        <xdr:to>
          <xdr:col>6</xdr:col>
          <xdr:colOff>1009650</xdr:colOff>
          <xdr:row>91</xdr:row>
          <xdr:rowOff>104775</xdr:rowOff>
        </xdr:to>
        <xdr:sp macro="" textlink="">
          <xdr:nvSpPr>
            <xdr:cNvPr id="3208263" name="Drop Down 71" hidden="1">
              <a:extLst>
                <a:ext uri="{63B3BB69-23CF-44E3-9099-C40C66FF867C}">
                  <a14:compatExt spid="_x0000_s3208263"/>
                </a:ext>
                <a:ext uri="{FF2B5EF4-FFF2-40B4-BE49-F238E27FC236}">
                  <a16:creationId xmlns:a16="http://schemas.microsoft.com/office/drawing/2014/main" id="{00000000-0008-0000-0200-000047F43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914400</xdr:colOff>
          <xdr:row>105</xdr:row>
          <xdr:rowOff>104775</xdr:rowOff>
        </xdr:from>
        <xdr:to>
          <xdr:col>6</xdr:col>
          <xdr:colOff>962025</xdr:colOff>
          <xdr:row>106</xdr:row>
          <xdr:rowOff>123825</xdr:rowOff>
        </xdr:to>
        <xdr:sp macro="" textlink="">
          <xdr:nvSpPr>
            <xdr:cNvPr id="3208264" name="Drop Down 72" hidden="1">
              <a:extLst>
                <a:ext uri="{63B3BB69-23CF-44E3-9099-C40C66FF867C}">
                  <a14:compatExt spid="_x0000_s3208264"/>
                </a:ext>
                <a:ext uri="{FF2B5EF4-FFF2-40B4-BE49-F238E27FC236}">
                  <a16:creationId xmlns:a16="http://schemas.microsoft.com/office/drawing/2014/main" id="{00000000-0008-0000-0200-000048F43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161925</xdr:colOff>
          <xdr:row>97</xdr:row>
          <xdr:rowOff>9525</xdr:rowOff>
        </xdr:from>
        <xdr:to>
          <xdr:col>3</xdr:col>
          <xdr:colOff>657225</xdr:colOff>
          <xdr:row>98</xdr:row>
          <xdr:rowOff>152400</xdr:rowOff>
        </xdr:to>
        <xdr:sp macro="" textlink="">
          <xdr:nvSpPr>
            <xdr:cNvPr id="3208265" name="Check Box 73" hidden="1">
              <a:extLst>
                <a:ext uri="{63B3BB69-23CF-44E3-9099-C40C66FF867C}">
                  <a14:compatExt spid="_x0000_s3208265"/>
                </a:ext>
                <a:ext uri="{FF2B5EF4-FFF2-40B4-BE49-F238E27FC236}">
                  <a16:creationId xmlns:a16="http://schemas.microsoft.com/office/drawing/2014/main" id="{00000000-0008-0000-0200-000049F43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Fuel Oil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99</xdr:row>
          <xdr:rowOff>123825</xdr:rowOff>
        </xdr:from>
        <xdr:to>
          <xdr:col>3</xdr:col>
          <xdr:colOff>600075</xdr:colOff>
          <xdr:row>101</xdr:row>
          <xdr:rowOff>57150</xdr:rowOff>
        </xdr:to>
        <xdr:sp macro="" textlink="">
          <xdr:nvSpPr>
            <xdr:cNvPr id="3208266" name="Check Box 74" hidden="1">
              <a:extLst>
                <a:ext uri="{63B3BB69-23CF-44E3-9099-C40C66FF867C}">
                  <a14:compatExt spid="_x0000_s3208266"/>
                </a:ext>
                <a:ext uri="{FF2B5EF4-FFF2-40B4-BE49-F238E27FC236}">
                  <a16:creationId xmlns:a16="http://schemas.microsoft.com/office/drawing/2014/main" id="{00000000-0008-0000-0200-00004AF43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Coke / HC Residue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99</xdr:row>
          <xdr:rowOff>152400</xdr:rowOff>
        </xdr:from>
        <xdr:to>
          <xdr:col>4</xdr:col>
          <xdr:colOff>828675</xdr:colOff>
          <xdr:row>101</xdr:row>
          <xdr:rowOff>85725</xdr:rowOff>
        </xdr:to>
        <xdr:sp macro="" textlink="">
          <xdr:nvSpPr>
            <xdr:cNvPr id="3208267" name="Check Box 75" hidden="1">
              <a:extLst>
                <a:ext uri="{63B3BB69-23CF-44E3-9099-C40C66FF867C}">
                  <a14:compatExt spid="_x0000_s3208267"/>
                </a:ext>
                <a:ext uri="{FF2B5EF4-FFF2-40B4-BE49-F238E27FC236}">
                  <a16:creationId xmlns:a16="http://schemas.microsoft.com/office/drawing/2014/main" id="{00000000-0008-0000-0200-00004BF43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Sulphur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97</xdr:row>
          <xdr:rowOff>0</xdr:rowOff>
        </xdr:from>
        <xdr:to>
          <xdr:col>4</xdr:col>
          <xdr:colOff>914400</xdr:colOff>
          <xdr:row>98</xdr:row>
          <xdr:rowOff>152400</xdr:rowOff>
        </xdr:to>
        <xdr:sp macro="" textlink="">
          <xdr:nvSpPr>
            <xdr:cNvPr id="3208268" name="Check Box 76" descr="Liquid Heavy Ends&#10;" hidden="1">
              <a:extLst>
                <a:ext uri="{63B3BB69-23CF-44E3-9099-C40C66FF867C}">
                  <a14:compatExt spid="_x0000_s3208268"/>
                </a:ext>
                <a:ext uri="{FF2B5EF4-FFF2-40B4-BE49-F238E27FC236}">
                  <a16:creationId xmlns:a16="http://schemas.microsoft.com/office/drawing/2014/main" id="{00000000-0008-0000-0200-00004CF43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Liquid Heavy Ends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97</xdr:row>
          <xdr:rowOff>9525</xdr:rowOff>
        </xdr:from>
        <xdr:to>
          <xdr:col>6</xdr:col>
          <xdr:colOff>657225</xdr:colOff>
          <xdr:row>98</xdr:row>
          <xdr:rowOff>152400</xdr:rowOff>
        </xdr:to>
        <xdr:sp macro="" textlink="">
          <xdr:nvSpPr>
            <xdr:cNvPr id="3208269" name="Check Box 77" hidden="1">
              <a:extLst>
                <a:ext uri="{63B3BB69-23CF-44E3-9099-C40C66FF867C}">
                  <a14:compatExt spid="_x0000_s3208269"/>
                </a:ext>
                <a:ext uri="{FF2B5EF4-FFF2-40B4-BE49-F238E27FC236}">
                  <a16:creationId xmlns:a16="http://schemas.microsoft.com/office/drawing/2014/main" id="{00000000-0008-0000-0200-00004DF43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Surplus NCR Hydrogen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371475</xdr:colOff>
          <xdr:row>59</xdr:row>
          <xdr:rowOff>104775</xdr:rowOff>
        </xdr:from>
        <xdr:to>
          <xdr:col>6</xdr:col>
          <xdr:colOff>866775</xdr:colOff>
          <xdr:row>60</xdr:row>
          <xdr:rowOff>123825</xdr:rowOff>
        </xdr:to>
        <xdr:sp macro="" textlink="">
          <xdr:nvSpPr>
            <xdr:cNvPr id="3208277" name="Drop Down 85" hidden="1">
              <a:extLst>
                <a:ext uri="{63B3BB69-23CF-44E3-9099-C40C66FF867C}">
                  <a14:compatExt spid="_x0000_s3208277"/>
                </a:ext>
                <a:ext uri="{FF2B5EF4-FFF2-40B4-BE49-F238E27FC236}">
                  <a16:creationId xmlns:a16="http://schemas.microsoft.com/office/drawing/2014/main" id="{00000000-0008-0000-0200-000055F43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371475</xdr:colOff>
          <xdr:row>57</xdr:row>
          <xdr:rowOff>123825</xdr:rowOff>
        </xdr:from>
        <xdr:to>
          <xdr:col>6</xdr:col>
          <xdr:colOff>885825</xdr:colOff>
          <xdr:row>58</xdr:row>
          <xdr:rowOff>152400</xdr:rowOff>
        </xdr:to>
        <xdr:sp macro="" textlink="">
          <xdr:nvSpPr>
            <xdr:cNvPr id="3208282" name="Drop Down 90" hidden="1">
              <a:extLst>
                <a:ext uri="{63B3BB69-23CF-44E3-9099-C40C66FF867C}">
                  <a14:compatExt spid="_x0000_s3208282"/>
                </a:ext>
                <a:ext uri="{FF2B5EF4-FFF2-40B4-BE49-F238E27FC236}">
                  <a16:creationId xmlns:a16="http://schemas.microsoft.com/office/drawing/2014/main" id="{00000000-0008-0000-0200-00005AF43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962025</xdr:colOff>
          <xdr:row>109</xdr:row>
          <xdr:rowOff>85725</xdr:rowOff>
        </xdr:from>
        <xdr:to>
          <xdr:col>6</xdr:col>
          <xdr:colOff>1019175</xdr:colOff>
          <xdr:row>110</xdr:row>
          <xdr:rowOff>104775</xdr:rowOff>
        </xdr:to>
        <xdr:sp macro="" textlink="">
          <xdr:nvSpPr>
            <xdr:cNvPr id="3208286" name="Drop Down 94" hidden="1">
              <a:extLst>
                <a:ext uri="{63B3BB69-23CF-44E3-9099-C40C66FF867C}">
                  <a14:compatExt spid="_x0000_s3208286"/>
                </a:ext>
                <a:ext uri="{FF2B5EF4-FFF2-40B4-BE49-F238E27FC236}">
                  <a16:creationId xmlns:a16="http://schemas.microsoft.com/office/drawing/2014/main" id="{00000000-0008-0000-0200-00005EF43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17</xdr:col>
      <xdr:colOff>0</xdr:colOff>
      <xdr:row>41</xdr:row>
      <xdr:rowOff>0</xdr:rowOff>
    </xdr:from>
    <xdr:to>
      <xdr:col>19</xdr:col>
      <xdr:colOff>1180541</xdr:colOff>
      <xdr:row>60</xdr:row>
      <xdr:rowOff>48745</xdr:rowOff>
    </xdr:to>
    <xdr:graphicFrame macro="">
      <xdr:nvGraphicFramePr>
        <xdr:cNvPr id="34" name="Chart 33">
          <a:extLst>
            <a:ext uri="{FF2B5EF4-FFF2-40B4-BE49-F238E27FC236}">
              <a16:creationId xmlns:a16="http://schemas.microsoft.com/office/drawing/2014/main" id="{00000000-0008-0000-02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323291</xdr:colOff>
      <xdr:row>41</xdr:row>
      <xdr:rowOff>0</xdr:rowOff>
    </xdr:from>
    <xdr:to>
      <xdr:col>23</xdr:col>
      <xdr:colOff>1250858</xdr:colOff>
      <xdr:row>60</xdr:row>
      <xdr:rowOff>48745</xdr:rowOff>
    </xdr:to>
    <xdr:graphicFrame macro="">
      <xdr:nvGraphicFramePr>
        <xdr:cNvPr id="35" name="Chart 34">
          <a:extLst>
            <a:ext uri="{FF2B5EF4-FFF2-40B4-BE49-F238E27FC236}">
              <a16:creationId xmlns:a16="http://schemas.microsoft.com/office/drawing/2014/main" id="{00000000-0008-0000-02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367391</xdr:colOff>
      <xdr:row>43</xdr:row>
      <xdr:rowOff>68037</xdr:rowOff>
    </xdr:from>
    <xdr:to>
      <xdr:col>3</xdr:col>
      <xdr:colOff>622067</xdr:colOff>
      <xdr:row>45</xdr:row>
      <xdr:rowOff>193764</xdr:rowOff>
    </xdr:to>
    <xdr:sp macro="[0]!Calluserform" textlink="">
      <xdr:nvSpPr>
        <xdr:cNvPr id="33" name="Rounded Rectangle 32" descr="fdb6d07d-41ed-4506-956c-cec30d66b507">
          <a:extLst>
            <a:ext uri="{FF2B5EF4-FFF2-40B4-BE49-F238E27FC236}">
              <a16:creationId xmlns:a16="http://schemas.microsoft.com/office/drawing/2014/main" id="{00000000-0008-0000-0200-000021000000}"/>
            </a:ext>
          </a:extLst>
        </xdr:cNvPr>
        <xdr:cNvSpPr/>
      </xdr:nvSpPr>
      <xdr:spPr bwMode="auto">
        <a:xfrm>
          <a:off x="815626" y="9705096"/>
          <a:ext cx="1308029" cy="573962"/>
        </a:xfrm>
        <a:prstGeom prst="roundRect">
          <a:avLst/>
        </a:prstGeom>
        <a:solidFill>
          <a:schemeClr val="tx2"/>
        </a:solidFill>
        <a:ln>
          <a:solidFill>
            <a:schemeClr val="tx2"/>
          </a:solidFill>
          <a:headEnd type="none" w="med" len="med"/>
          <a:tailEnd type="triangl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1100" b="1" baseline="0">
              <a:solidFill>
                <a:schemeClr val="bg1"/>
              </a:solidFill>
            </a:rPr>
            <a:t>Hydrotreater hydrogen sensitivity, Coking refinery</a:t>
          </a:r>
        </a:p>
      </xdr:txBody>
    </xdr:sp>
    <xdr:clientData/>
  </xdr:twoCellAnchor>
  <mc:AlternateContent xmlns:mc="http://schemas.openxmlformats.org/markup-compatibility/2006">
    <mc:Choice xmlns:a14="http://schemas.microsoft.com/office/drawing/2010/main" Requires="a14">
      <xdr:twoCellAnchor editAs="oneCell">
        <xdr:from>
          <xdr:col>4</xdr:col>
          <xdr:colOff>942975</xdr:colOff>
          <xdr:row>87</xdr:row>
          <xdr:rowOff>85725</xdr:rowOff>
        </xdr:from>
        <xdr:to>
          <xdr:col>6</xdr:col>
          <xdr:colOff>990600</xdr:colOff>
          <xdr:row>88</xdr:row>
          <xdr:rowOff>104775</xdr:rowOff>
        </xdr:to>
        <xdr:sp macro="" textlink="">
          <xdr:nvSpPr>
            <xdr:cNvPr id="3208288" name="Drop Down 96" hidden="1">
              <a:extLst>
                <a:ext uri="{63B3BB69-23CF-44E3-9099-C40C66FF867C}">
                  <a14:compatExt spid="_x0000_s3208288"/>
                </a:ext>
                <a:ext uri="{FF2B5EF4-FFF2-40B4-BE49-F238E27FC236}">
                  <a16:creationId xmlns:a16="http://schemas.microsoft.com/office/drawing/2014/main" id="{00000000-0008-0000-0200-000060F43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903670</xdr:colOff>
      <xdr:row>43</xdr:row>
      <xdr:rowOff>68037</xdr:rowOff>
    </xdr:from>
    <xdr:to>
      <xdr:col>4</xdr:col>
      <xdr:colOff>885266</xdr:colOff>
      <xdr:row>45</xdr:row>
      <xdr:rowOff>193764</xdr:rowOff>
    </xdr:to>
    <xdr:sp macro="[0]!Calluserform_HCR" textlink="">
      <xdr:nvSpPr>
        <xdr:cNvPr id="29" name="Rounded Rectangle 28" descr="fdb6d07d-41ed-4506-956c-cec30d66b507">
          <a:extLst>
            <a:ext uri="{FF2B5EF4-FFF2-40B4-BE49-F238E27FC236}">
              <a16:creationId xmlns:a16="http://schemas.microsoft.com/office/drawing/2014/main" id="{00000000-0008-0000-0200-00001D000000}"/>
            </a:ext>
          </a:extLst>
        </xdr:cNvPr>
        <xdr:cNvSpPr/>
      </xdr:nvSpPr>
      <xdr:spPr bwMode="auto">
        <a:xfrm>
          <a:off x="2405258" y="9705096"/>
          <a:ext cx="1315096" cy="573962"/>
        </a:xfrm>
        <a:prstGeom prst="roundRect">
          <a:avLst/>
        </a:prstGeom>
        <a:solidFill>
          <a:schemeClr val="tx2"/>
        </a:solidFill>
        <a:ln>
          <a:solidFill>
            <a:schemeClr val="tx2"/>
          </a:solidFill>
          <a:headEnd type="none" w="med" len="med"/>
          <a:tailEnd type="triangl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1100" b="1" baseline="0">
              <a:solidFill>
                <a:schemeClr val="bg1"/>
              </a:solidFill>
            </a:rPr>
            <a:t>Hydrotreater hydrogen sensitivity, Hydro refinery</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116</xdr:row>
          <xdr:rowOff>9525</xdr:rowOff>
        </xdr:from>
        <xdr:to>
          <xdr:col>7</xdr:col>
          <xdr:colOff>0</xdr:colOff>
          <xdr:row>120</xdr:row>
          <xdr:rowOff>28575</xdr:rowOff>
        </xdr:to>
        <xdr:sp macro="" textlink="">
          <xdr:nvSpPr>
            <xdr:cNvPr id="3208291" name="Scroll Bar 99" hidden="1">
              <a:extLst>
                <a:ext uri="{63B3BB69-23CF-44E3-9099-C40C66FF867C}">
                  <a14:compatExt spid="_x0000_s3208291"/>
                </a:ext>
                <a:ext uri="{FF2B5EF4-FFF2-40B4-BE49-F238E27FC236}">
                  <a16:creationId xmlns:a16="http://schemas.microsoft.com/office/drawing/2014/main" id="{00000000-0008-0000-0200-000063F43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123</xdr:row>
          <xdr:rowOff>9525</xdr:rowOff>
        </xdr:from>
        <xdr:to>
          <xdr:col>7</xdr:col>
          <xdr:colOff>0</xdr:colOff>
          <xdr:row>127</xdr:row>
          <xdr:rowOff>28575</xdr:rowOff>
        </xdr:to>
        <xdr:sp macro="" textlink="">
          <xdr:nvSpPr>
            <xdr:cNvPr id="3208292" name="Scroll Bar 100" hidden="1">
              <a:extLst>
                <a:ext uri="{63B3BB69-23CF-44E3-9099-C40C66FF867C}">
                  <a14:compatExt spid="_x0000_s3208292"/>
                </a:ext>
                <a:ext uri="{FF2B5EF4-FFF2-40B4-BE49-F238E27FC236}">
                  <a16:creationId xmlns:a16="http://schemas.microsoft.com/office/drawing/2014/main" id="{00000000-0008-0000-0200-000064F43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16</xdr:col>
      <xdr:colOff>58511</xdr:colOff>
      <xdr:row>98</xdr:row>
      <xdr:rowOff>0</xdr:rowOff>
    </xdr:from>
    <xdr:to>
      <xdr:col>20</xdr:col>
      <xdr:colOff>316340</xdr:colOff>
      <xdr:row>110</xdr:row>
      <xdr:rowOff>95196</xdr:rowOff>
    </xdr:to>
    <xdr:graphicFrame macro="">
      <xdr:nvGraphicFramePr>
        <xdr:cNvPr id="37" name="HTHSensitivity">
          <a:extLst>
            <a:ext uri="{FF2B5EF4-FFF2-40B4-BE49-F238E27FC236}">
              <a16:creationId xmlns:a16="http://schemas.microsoft.com/office/drawing/2014/main" id="{00000000-0008-0000-02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20</xdr:col>
      <xdr:colOff>338818</xdr:colOff>
      <xdr:row>98</xdr:row>
      <xdr:rowOff>0</xdr:rowOff>
    </xdr:from>
    <xdr:to>
      <xdr:col>24</xdr:col>
      <xdr:colOff>192514</xdr:colOff>
      <xdr:row>110</xdr:row>
      <xdr:rowOff>95196</xdr:rowOff>
    </xdr:to>
    <xdr:graphicFrame macro="">
      <xdr:nvGraphicFramePr>
        <xdr:cNvPr id="38" name="HCR_HTHSensitivity">
          <a:extLst>
            <a:ext uri="{FF2B5EF4-FFF2-40B4-BE49-F238E27FC236}">
              <a16:creationId xmlns:a16="http://schemas.microsoft.com/office/drawing/2014/main" id="{00000000-0008-0000-02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171450</xdr:colOff>
          <xdr:row>102</xdr:row>
          <xdr:rowOff>95250</xdr:rowOff>
        </xdr:from>
        <xdr:to>
          <xdr:col>3</xdr:col>
          <xdr:colOff>228600</xdr:colOff>
          <xdr:row>104</xdr:row>
          <xdr:rowOff>28575</xdr:rowOff>
        </xdr:to>
        <xdr:sp macro="" textlink="">
          <xdr:nvSpPr>
            <xdr:cNvPr id="3208293" name="Check Box 101" hidden="1">
              <a:extLst>
                <a:ext uri="{63B3BB69-23CF-44E3-9099-C40C66FF867C}">
                  <a14:compatExt spid="_x0000_s3208293"/>
                </a:ext>
                <a:ext uri="{FF2B5EF4-FFF2-40B4-BE49-F238E27FC236}">
                  <a16:creationId xmlns:a16="http://schemas.microsoft.com/office/drawing/2014/main" id="{00000000-0008-0000-0200-000065F43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LPG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1066800</xdr:colOff>
          <xdr:row>102</xdr:row>
          <xdr:rowOff>85725</xdr:rowOff>
        </xdr:from>
        <xdr:to>
          <xdr:col>4</xdr:col>
          <xdr:colOff>838200</xdr:colOff>
          <xdr:row>104</xdr:row>
          <xdr:rowOff>19050</xdr:rowOff>
        </xdr:to>
        <xdr:sp macro="" textlink="">
          <xdr:nvSpPr>
            <xdr:cNvPr id="3208294" name="Check Box 102" hidden="1">
              <a:extLst>
                <a:ext uri="{63B3BB69-23CF-44E3-9099-C40C66FF867C}">
                  <a14:compatExt spid="_x0000_s3208294"/>
                </a:ext>
                <a:ext uri="{FF2B5EF4-FFF2-40B4-BE49-F238E27FC236}">
                  <a16:creationId xmlns:a16="http://schemas.microsoft.com/office/drawing/2014/main" id="{00000000-0008-0000-0200-000066F43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Petrochemical Feedstocks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102</xdr:row>
          <xdr:rowOff>57150</xdr:rowOff>
        </xdr:from>
        <xdr:to>
          <xdr:col>6</xdr:col>
          <xdr:colOff>38100</xdr:colOff>
          <xdr:row>103</xdr:row>
          <xdr:rowOff>209550</xdr:rowOff>
        </xdr:to>
        <xdr:sp macro="" textlink="">
          <xdr:nvSpPr>
            <xdr:cNvPr id="3208295" name="Check Box 103" hidden="1">
              <a:extLst>
                <a:ext uri="{63B3BB69-23CF-44E3-9099-C40C66FF867C}">
                  <a14:compatExt spid="_x0000_s3208295"/>
                </a:ext>
                <a:ext uri="{FF2B5EF4-FFF2-40B4-BE49-F238E27FC236}">
                  <a16:creationId xmlns:a16="http://schemas.microsoft.com/office/drawing/2014/main" id="{00000000-0008-0000-0200-000067F43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Asphalt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99</xdr:row>
          <xdr:rowOff>142875</xdr:rowOff>
        </xdr:from>
        <xdr:to>
          <xdr:col>6</xdr:col>
          <xdr:colOff>38100</xdr:colOff>
          <xdr:row>101</xdr:row>
          <xdr:rowOff>76200</xdr:rowOff>
        </xdr:to>
        <xdr:sp macro="" textlink="">
          <xdr:nvSpPr>
            <xdr:cNvPr id="3208296" name="Check Box 104" hidden="1">
              <a:extLst>
                <a:ext uri="{63B3BB69-23CF-44E3-9099-C40C66FF867C}">
                  <a14:compatExt spid="_x0000_s3208296"/>
                </a:ext>
                <a:ext uri="{FF2B5EF4-FFF2-40B4-BE49-F238E27FC236}">
                  <a16:creationId xmlns:a16="http://schemas.microsoft.com/office/drawing/2014/main" id="{00000000-0008-0000-0200-000068F43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Surplus RFG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132</xdr:row>
          <xdr:rowOff>9525</xdr:rowOff>
        </xdr:from>
        <xdr:to>
          <xdr:col>7</xdr:col>
          <xdr:colOff>0</xdr:colOff>
          <xdr:row>136</xdr:row>
          <xdr:rowOff>28575</xdr:rowOff>
        </xdr:to>
        <xdr:sp macro="" textlink="">
          <xdr:nvSpPr>
            <xdr:cNvPr id="3208300" name="Scroll Bar 108" hidden="1">
              <a:extLst>
                <a:ext uri="{63B3BB69-23CF-44E3-9099-C40C66FF867C}">
                  <a14:compatExt spid="_x0000_s3208300"/>
                </a:ext>
                <a:ext uri="{FF2B5EF4-FFF2-40B4-BE49-F238E27FC236}">
                  <a16:creationId xmlns:a16="http://schemas.microsoft.com/office/drawing/2014/main" id="{00000000-0008-0000-0200-00006CF43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138</xdr:row>
          <xdr:rowOff>19050</xdr:rowOff>
        </xdr:from>
        <xdr:to>
          <xdr:col>7</xdr:col>
          <xdr:colOff>0</xdr:colOff>
          <xdr:row>142</xdr:row>
          <xdr:rowOff>38100</xdr:rowOff>
        </xdr:to>
        <xdr:sp macro="" textlink="">
          <xdr:nvSpPr>
            <xdr:cNvPr id="3208301" name="Scroll Bar 109" hidden="1">
              <a:extLst>
                <a:ext uri="{63B3BB69-23CF-44E3-9099-C40C66FF867C}">
                  <a14:compatExt spid="_x0000_s3208301"/>
                </a:ext>
                <a:ext uri="{FF2B5EF4-FFF2-40B4-BE49-F238E27FC236}">
                  <a16:creationId xmlns:a16="http://schemas.microsoft.com/office/drawing/2014/main" id="{00000000-0008-0000-0200-00006DF43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0.20217</cdr:x>
      <cdr:y>0.01976</cdr:y>
    </cdr:from>
    <cdr:to>
      <cdr:x>0.81717</cdr:x>
      <cdr:y>0.09786</cdr:y>
    </cdr:to>
    <cdr:sp macro="" textlink="">
      <cdr:nvSpPr>
        <cdr:cNvPr id="2" name="TextBox 1"/>
        <cdr:cNvSpPr txBox="1"/>
      </cdr:nvSpPr>
      <cdr:spPr>
        <a:xfrm xmlns:a="http://schemas.openxmlformats.org/drawingml/2006/main">
          <a:off x="1399615" y="96371"/>
          <a:ext cx="4257675" cy="38099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algn="ctr"/>
          <a:r>
            <a:rPr lang="en-US" sz="1500"/>
            <a:t>Energy use (MJ/bbl Crude)</a:t>
          </a:r>
        </a:p>
      </cdr:txBody>
    </cdr:sp>
  </cdr:relSizeAnchor>
</c:userShapes>
</file>

<file path=xl/drawings/drawing4.xml><?xml version="1.0" encoding="utf-8"?>
<c:userShapes xmlns:c="http://schemas.openxmlformats.org/drawingml/2006/chart">
  <cdr:relSizeAnchor xmlns:cdr="http://schemas.openxmlformats.org/drawingml/2006/chartDrawing">
    <cdr:from>
      <cdr:x>0.21122</cdr:x>
      <cdr:y>0.01953</cdr:y>
    </cdr:from>
    <cdr:to>
      <cdr:x>0.82036</cdr:x>
      <cdr:y>0.09763</cdr:y>
    </cdr:to>
    <cdr:sp macro="" textlink="">
      <cdr:nvSpPr>
        <cdr:cNvPr id="2" name="TextBox 1"/>
        <cdr:cNvSpPr txBox="1"/>
      </cdr:nvSpPr>
      <cdr:spPr>
        <a:xfrm xmlns:a="http://schemas.openxmlformats.org/drawingml/2006/main">
          <a:off x="1476375" y="95250"/>
          <a:ext cx="4257675" cy="380999"/>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500"/>
            <a:t>GHG emissions (kg CO2eq/bbl Crude)</a:t>
          </a:r>
        </a:p>
      </cdr:txBody>
    </cdr:sp>
  </cdr:relSizeAnchor>
</c:userShapes>
</file>

<file path=xl/drawings/drawing5.xml><?xml version="1.0" encoding="utf-8"?>
<c:userShapes xmlns:c="http://schemas.openxmlformats.org/drawingml/2006/chart">
  <cdr:relSizeAnchor xmlns:cdr="http://schemas.openxmlformats.org/drawingml/2006/chartDrawing">
    <cdr:from>
      <cdr:x>0.91156</cdr:x>
      <cdr:y>0.32308</cdr:y>
    </cdr:from>
    <cdr:to>
      <cdr:x>1</cdr:x>
      <cdr:y>0.42432</cdr:y>
    </cdr:to>
    <cdr:sp macro="" textlink="">
      <cdr:nvSpPr>
        <cdr:cNvPr id="3" name="TextBox 3"/>
        <cdr:cNvSpPr txBox="1"/>
      </cdr:nvSpPr>
      <cdr:spPr>
        <a:xfrm xmlns:a="http://schemas.openxmlformats.org/drawingml/2006/main">
          <a:off x="5076201" y="874814"/>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0.91156</cdr:x>
      <cdr:y>0.4511</cdr:y>
    </cdr:from>
    <cdr:to>
      <cdr:x>1</cdr:x>
      <cdr:y>0.55234</cdr:y>
    </cdr:to>
    <cdr:sp macro="" textlink="">
      <cdr:nvSpPr>
        <cdr:cNvPr id="4" name="TextBox 4"/>
        <cdr:cNvSpPr txBox="1"/>
      </cdr:nvSpPr>
      <cdr:spPr>
        <a:xfrm xmlns:a="http://schemas.openxmlformats.org/drawingml/2006/main">
          <a:off x="5076201" y="1221484"/>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0.91156</cdr:x>
      <cdr:y>0.59321</cdr:y>
    </cdr:from>
    <cdr:to>
      <cdr:x>1</cdr:x>
      <cdr:y>0.69445</cdr:y>
    </cdr:to>
    <cdr:sp macro="" textlink="">
      <cdr:nvSpPr>
        <cdr:cNvPr id="5" name="TextBox 5"/>
        <cdr:cNvSpPr txBox="1"/>
      </cdr:nvSpPr>
      <cdr:spPr>
        <a:xfrm xmlns:a="http://schemas.openxmlformats.org/drawingml/2006/main">
          <a:off x="5076201" y="1606281"/>
          <a:ext cx="492495" cy="2741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0.91156</cdr:x>
      <cdr:y>0.72124</cdr:y>
    </cdr:from>
    <cdr:to>
      <cdr:x>1</cdr:x>
      <cdr:y>0.82248</cdr:y>
    </cdr:to>
    <cdr:sp macro="" textlink="">
      <cdr:nvSpPr>
        <cdr:cNvPr id="6" name="TextBox 10"/>
        <cdr:cNvSpPr txBox="1"/>
      </cdr:nvSpPr>
      <cdr:spPr>
        <a:xfrm xmlns:a="http://schemas.openxmlformats.org/drawingml/2006/main">
          <a:off x="5076201" y="1952952"/>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16.00</a:t>
          </a:r>
        </a:p>
      </cdr:txBody>
    </cdr:sp>
  </cdr:relSizeAnchor>
  <cdr:relSizeAnchor xmlns:cdr="http://schemas.openxmlformats.org/drawingml/2006/chartDrawing">
    <cdr:from>
      <cdr:x>0.00852</cdr:x>
      <cdr:y>0.32308</cdr:y>
    </cdr:from>
    <cdr:to>
      <cdr:x>0.09696</cdr:x>
      <cdr:y>0.42432</cdr:y>
    </cdr:to>
    <cdr:sp macro="" textlink="">
      <cdr:nvSpPr>
        <cdr:cNvPr id="7" name="TextBox 7"/>
        <cdr:cNvSpPr txBox="1"/>
      </cdr:nvSpPr>
      <cdr:spPr>
        <a:xfrm xmlns:a="http://schemas.openxmlformats.org/drawingml/2006/main">
          <a:off x="47443" y="874814"/>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12.29</a:t>
          </a:r>
        </a:p>
      </cdr:txBody>
    </cdr:sp>
  </cdr:relSizeAnchor>
  <cdr:relSizeAnchor xmlns:cdr="http://schemas.openxmlformats.org/drawingml/2006/chartDrawing">
    <cdr:from>
      <cdr:x>0.00852</cdr:x>
      <cdr:y>0.4511</cdr:y>
    </cdr:from>
    <cdr:to>
      <cdr:x>0.09696</cdr:x>
      <cdr:y>0.55234</cdr:y>
    </cdr:to>
    <cdr:sp macro="" textlink="">
      <cdr:nvSpPr>
        <cdr:cNvPr id="8" name="TextBox 8"/>
        <cdr:cNvSpPr txBox="1"/>
      </cdr:nvSpPr>
      <cdr:spPr>
        <a:xfrm xmlns:a="http://schemas.openxmlformats.org/drawingml/2006/main">
          <a:off x="47443" y="1221484"/>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11.14</a:t>
          </a:r>
        </a:p>
      </cdr:txBody>
    </cdr:sp>
  </cdr:relSizeAnchor>
  <cdr:relSizeAnchor xmlns:cdr="http://schemas.openxmlformats.org/drawingml/2006/chartDrawing">
    <cdr:from>
      <cdr:x>0.00852</cdr:x>
      <cdr:y>0.59321</cdr:y>
    </cdr:from>
    <cdr:to>
      <cdr:x>0.09696</cdr:x>
      <cdr:y>0.69445</cdr:y>
    </cdr:to>
    <cdr:sp macro="" textlink="">
      <cdr:nvSpPr>
        <cdr:cNvPr id="9" name="TextBox 9"/>
        <cdr:cNvSpPr txBox="1"/>
      </cdr:nvSpPr>
      <cdr:spPr>
        <a:xfrm xmlns:a="http://schemas.openxmlformats.org/drawingml/2006/main">
          <a:off x="47443" y="1606281"/>
          <a:ext cx="492495" cy="2741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11.04</a:t>
          </a:r>
        </a:p>
      </cdr:txBody>
    </cdr:sp>
  </cdr:relSizeAnchor>
  <cdr:relSizeAnchor xmlns:cdr="http://schemas.openxmlformats.org/drawingml/2006/chartDrawing">
    <cdr:from>
      <cdr:x>0.00852</cdr:x>
      <cdr:y>0.72123</cdr:y>
    </cdr:from>
    <cdr:to>
      <cdr:x>0.09696</cdr:x>
      <cdr:y>0.82248</cdr:y>
    </cdr:to>
    <cdr:sp macro="" textlink="">
      <cdr:nvSpPr>
        <cdr:cNvPr id="10" name="TextBox 11"/>
        <cdr:cNvSpPr txBox="1"/>
      </cdr:nvSpPr>
      <cdr:spPr>
        <a:xfrm xmlns:a="http://schemas.openxmlformats.org/drawingml/2006/main">
          <a:off x="47443" y="1952925"/>
          <a:ext cx="492495" cy="27416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12.00</a:t>
          </a:r>
        </a:p>
      </cdr:txBody>
    </cdr:sp>
  </cdr:relSizeAnchor>
  <cdr:relSizeAnchor xmlns:cdr="http://schemas.openxmlformats.org/drawingml/2006/chartDrawing">
    <cdr:from>
      <cdr:x>0.91156</cdr:x>
      <cdr:y>0.17706</cdr:y>
    </cdr:from>
    <cdr:to>
      <cdr:x>1</cdr:x>
      <cdr:y>0.2783</cdr:y>
    </cdr:to>
    <cdr:sp macro="" textlink="">
      <cdr:nvSpPr>
        <cdr:cNvPr id="11" name="TextBox 2"/>
        <cdr:cNvSpPr txBox="1"/>
      </cdr:nvSpPr>
      <cdr:spPr>
        <a:xfrm xmlns:a="http://schemas.openxmlformats.org/drawingml/2006/main">
          <a:off x="5076201" y="479425"/>
          <a:ext cx="492495" cy="27413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CA" sz="900"/>
            <a:t>16.00</a:t>
          </a:r>
        </a:p>
      </cdr:txBody>
    </cdr:sp>
  </cdr:relSizeAnchor>
  <cdr:relSizeAnchor xmlns:cdr="http://schemas.openxmlformats.org/drawingml/2006/chartDrawing">
    <cdr:from>
      <cdr:x>0.00852</cdr:x>
      <cdr:y>0.17706</cdr:y>
    </cdr:from>
    <cdr:to>
      <cdr:x>0.09696</cdr:x>
      <cdr:y>0.2783</cdr:y>
    </cdr:to>
    <cdr:sp macro="" textlink="">
      <cdr:nvSpPr>
        <cdr:cNvPr id="12" name="TextBox 6"/>
        <cdr:cNvSpPr txBox="1"/>
      </cdr:nvSpPr>
      <cdr:spPr>
        <a:xfrm xmlns:a="http://schemas.openxmlformats.org/drawingml/2006/main">
          <a:off x="47443" y="479425"/>
          <a:ext cx="492495" cy="27413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CA" sz="900"/>
            <a:t>14.33</a:t>
          </a:r>
        </a:p>
      </cdr:txBody>
    </cdr:sp>
  </cdr:relSizeAnchor>
</c:userShapes>
</file>

<file path=xl/drawings/drawing6.xml><?xml version="1.0" encoding="utf-8"?>
<c:userShapes xmlns:c="http://schemas.openxmlformats.org/drawingml/2006/chart">
  <cdr:relSizeAnchor xmlns:cdr="http://schemas.openxmlformats.org/drawingml/2006/chartDrawing">
    <cdr:from>
      <cdr:x>0.91156</cdr:x>
      <cdr:y>0.17549</cdr:y>
    </cdr:from>
    <cdr:to>
      <cdr:x>1</cdr:x>
      <cdr:y>0.27673</cdr:y>
    </cdr:to>
    <cdr:sp macro="" textlink="">
      <cdr:nvSpPr>
        <cdr:cNvPr id="3" name="TextBox 2"/>
        <cdr:cNvSpPr txBox="1"/>
      </cdr:nvSpPr>
      <cdr:spPr>
        <a:xfrm xmlns:a="http://schemas.openxmlformats.org/drawingml/2006/main">
          <a:off x="5076201" y="475189"/>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16.00</a:t>
          </a:r>
        </a:p>
      </cdr:txBody>
    </cdr:sp>
  </cdr:relSizeAnchor>
  <cdr:relSizeAnchor xmlns:cdr="http://schemas.openxmlformats.org/drawingml/2006/chartDrawing">
    <cdr:from>
      <cdr:x>0.91156</cdr:x>
      <cdr:y>0.31641</cdr:y>
    </cdr:from>
    <cdr:to>
      <cdr:x>1</cdr:x>
      <cdr:y>0.41765</cdr:y>
    </cdr:to>
    <cdr:sp macro="" textlink="">
      <cdr:nvSpPr>
        <cdr:cNvPr id="4" name="TextBox 3"/>
        <cdr:cNvSpPr txBox="1"/>
      </cdr:nvSpPr>
      <cdr:spPr>
        <a:xfrm xmlns:a="http://schemas.openxmlformats.org/drawingml/2006/main">
          <a:off x="5076201" y="856764"/>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0.91156</cdr:x>
      <cdr:y>0.45749</cdr:y>
    </cdr:from>
    <cdr:to>
      <cdr:x>1</cdr:x>
      <cdr:y>0.55873</cdr:y>
    </cdr:to>
    <cdr:sp macro="" textlink="">
      <cdr:nvSpPr>
        <cdr:cNvPr id="5" name="TextBox 4"/>
        <cdr:cNvSpPr txBox="1"/>
      </cdr:nvSpPr>
      <cdr:spPr>
        <a:xfrm xmlns:a="http://schemas.openxmlformats.org/drawingml/2006/main">
          <a:off x="5076201" y="1238764"/>
          <a:ext cx="492495" cy="2741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0.91156</cdr:x>
      <cdr:y>0.60203</cdr:y>
    </cdr:from>
    <cdr:to>
      <cdr:x>1</cdr:x>
      <cdr:y>0.70327</cdr:y>
    </cdr:to>
    <cdr:sp macro="" textlink="">
      <cdr:nvSpPr>
        <cdr:cNvPr id="6" name="TextBox 5"/>
        <cdr:cNvSpPr txBox="1"/>
      </cdr:nvSpPr>
      <cdr:spPr>
        <a:xfrm xmlns:a="http://schemas.openxmlformats.org/drawingml/2006/main">
          <a:off x="5076201" y="1630148"/>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0.01755</cdr:x>
      <cdr:y>0.17549</cdr:y>
    </cdr:from>
    <cdr:to>
      <cdr:x>0.10599</cdr:x>
      <cdr:y>0.27673</cdr:y>
    </cdr:to>
    <cdr:sp macro="" textlink="">
      <cdr:nvSpPr>
        <cdr:cNvPr id="7" name="TextBox 6"/>
        <cdr:cNvSpPr txBox="1"/>
      </cdr:nvSpPr>
      <cdr:spPr>
        <a:xfrm xmlns:a="http://schemas.openxmlformats.org/drawingml/2006/main">
          <a:off x="97731" y="475189"/>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14.33</a:t>
          </a:r>
        </a:p>
      </cdr:txBody>
    </cdr:sp>
  </cdr:relSizeAnchor>
  <cdr:relSizeAnchor xmlns:cdr="http://schemas.openxmlformats.org/drawingml/2006/chartDrawing">
    <cdr:from>
      <cdr:x>0.01755</cdr:x>
      <cdr:y>0.31641</cdr:y>
    </cdr:from>
    <cdr:to>
      <cdr:x>0.10599</cdr:x>
      <cdr:y>0.41765</cdr:y>
    </cdr:to>
    <cdr:sp macro="" textlink="">
      <cdr:nvSpPr>
        <cdr:cNvPr id="8" name="TextBox 7"/>
        <cdr:cNvSpPr txBox="1"/>
      </cdr:nvSpPr>
      <cdr:spPr>
        <a:xfrm xmlns:a="http://schemas.openxmlformats.org/drawingml/2006/main">
          <a:off x="97731" y="856764"/>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12.29</a:t>
          </a:r>
        </a:p>
      </cdr:txBody>
    </cdr:sp>
  </cdr:relSizeAnchor>
  <cdr:relSizeAnchor xmlns:cdr="http://schemas.openxmlformats.org/drawingml/2006/chartDrawing">
    <cdr:from>
      <cdr:x>0.01755</cdr:x>
      <cdr:y>0.45749</cdr:y>
    </cdr:from>
    <cdr:to>
      <cdr:x>0.10599</cdr:x>
      <cdr:y>0.55873</cdr:y>
    </cdr:to>
    <cdr:sp macro="" textlink="">
      <cdr:nvSpPr>
        <cdr:cNvPr id="9" name="TextBox 8"/>
        <cdr:cNvSpPr txBox="1"/>
      </cdr:nvSpPr>
      <cdr:spPr>
        <a:xfrm xmlns:a="http://schemas.openxmlformats.org/drawingml/2006/main">
          <a:off x="97731" y="1238764"/>
          <a:ext cx="492495" cy="2741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11.83</a:t>
          </a:r>
        </a:p>
      </cdr:txBody>
    </cdr:sp>
  </cdr:relSizeAnchor>
  <cdr:relSizeAnchor xmlns:cdr="http://schemas.openxmlformats.org/drawingml/2006/chartDrawing">
    <cdr:from>
      <cdr:x>0.01755</cdr:x>
      <cdr:y>0.60202</cdr:y>
    </cdr:from>
    <cdr:to>
      <cdr:x>0.10599</cdr:x>
      <cdr:y>0.70327</cdr:y>
    </cdr:to>
    <cdr:sp macro="" textlink="">
      <cdr:nvSpPr>
        <cdr:cNvPr id="10" name="TextBox 9"/>
        <cdr:cNvSpPr txBox="1"/>
      </cdr:nvSpPr>
      <cdr:spPr>
        <a:xfrm xmlns:a="http://schemas.openxmlformats.org/drawingml/2006/main">
          <a:off x="97731" y="1630121"/>
          <a:ext cx="492495" cy="27416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11.24</a:t>
          </a:r>
        </a:p>
      </cdr:txBody>
    </cdr:sp>
  </cdr:relSizeAnchor>
  <cdr:relSizeAnchor xmlns:cdr="http://schemas.openxmlformats.org/drawingml/2006/chartDrawing">
    <cdr:from>
      <cdr:x>0.91156</cdr:x>
      <cdr:y>0.73989</cdr:y>
    </cdr:from>
    <cdr:to>
      <cdr:x>1</cdr:x>
      <cdr:y>0.84113</cdr:y>
    </cdr:to>
    <cdr:sp macro="" textlink="">
      <cdr:nvSpPr>
        <cdr:cNvPr id="11" name="TextBox 10"/>
        <cdr:cNvSpPr txBox="1"/>
      </cdr:nvSpPr>
      <cdr:spPr>
        <a:xfrm xmlns:a="http://schemas.openxmlformats.org/drawingml/2006/main">
          <a:off x="5076201" y="2003452"/>
          <a:ext cx="492495" cy="27413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CA" sz="900"/>
            <a:t>16.00</a:t>
          </a:r>
        </a:p>
      </cdr:txBody>
    </cdr:sp>
  </cdr:relSizeAnchor>
  <cdr:relSizeAnchor xmlns:cdr="http://schemas.openxmlformats.org/drawingml/2006/chartDrawing">
    <cdr:from>
      <cdr:x>0.01755</cdr:x>
      <cdr:y>0.73988</cdr:y>
    </cdr:from>
    <cdr:to>
      <cdr:x>0.10599</cdr:x>
      <cdr:y>0.84113</cdr:y>
    </cdr:to>
    <cdr:sp macro="" textlink="">
      <cdr:nvSpPr>
        <cdr:cNvPr id="12" name="TextBox 11"/>
        <cdr:cNvSpPr txBox="1"/>
      </cdr:nvSpPr>
      <cdr:spPr>
        <a:xfrm xmlns:a="http://schemas.openxmlformats.org/drawingml/2006/main">
          <a:off x="97731" y="2003425"/>
          <a:ext cx="492495" cy="27416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CA" sz="900"/>
            <a:t>13.18</a:t>
          </a:r>
        </a:p>
      </cdr:txBody>
    </cdr:sp>
  </cdr:relSizeAnchor>
</c:userShapes>
</file>

<file path=xl/drawings/drawing7.xml><?xml version="1.0" encoding="utf-8"?>
<xdr:wsDr xmlns:xdr="http://schemas.openxmlformats.org/drawingml/2006/spreadsheetDrawing" xmlns:a="http://schemas.openxmlformats.org/drawingml/2006/main">
  <xdr:twoCellAnchor>
    <xdr:from>
      <xdr:col>7</xdr:col>
      <xdr:colOff>9525</xdr:colOff>
      <xdr:row>16</xdr:row>
      <xdr:rowOff>142875</xdr:rowOff>
    </xdr:from>
    <xdr:to>
      <xdr:col>16</xdr:col>
      <xdr:colOff>91821</xdr:colOff>
      <xdr:row>32</xdr:row>
      <xdr:rowOff>88392</xdr:rowOff>
    </xdr:to>
    <xdr:graphicFrame macro="">
      <xdr:nvGraphicFramePr>
        <xdr:cNvPr id="4" name="HCR_HTHSensitivity">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581025</xdr:colOff>
      <xdr:row>0</xdr:row>
      <xdr:rowOff>19049</xdr:rowOff>
    </xdr:from>
    <xdr:to>
      <xdr:col>16</xdr:col>
      <xdr:colOff>53721</xdr:colOff>
      <xdr:row>15</xdr:row>
      <xdr:rowOff>126491</xdr:rowOff>
    </xdr:to>
    <xdr:graphicFrame macro="">
      <xdr:nvGraphicFramePr>
        <xdr:cNvPr id="6" name="HTHSensitivity">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0.91156</cdr:x>
      <cdr:y>0.17549</cdr:y>
    </cdr:from>
    <cdr:to>
      <cdr:x>1</cdr:x>
      <cdr:y>0.27673</cdr:y>
    </cdr:to>
    <cdr:sp macro="" textlink="">
      <cdr:nvSpPr>
        <cdr:cNvPr id="3" name="TextBox 2"/>
        <cdr:cNvSpPr txBox="1"/>
      </cdr:nvSpPr>
      <cdr:spPr>
        <a:xfrm xmlns:a="http://schemas.openxmlformats.org/drawingml/2006/main">
          <a:off x="5076201" y="475189"/>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16.00</a:t>
          </a:r>
        </a:p>
      </cdr:txBody>
    </cdr:sp>
  </cdr:relSizeAnchor>
  <cdr:relSizeAnchor xmlns:cdr="http://schemas.openxmlformats.org/drawingml/2006/chartDrawing">
    <cdr:from>
      <cdr:x>0.91156</cdr:x>
      <cdr:y>0.31641</cdr:y>
    </cdr:from>
    <cdr:to>
      <cdr:x>1</cdr:x>
      <cdr:y>0.41765</cdr:y>
    </cdr:to>
    <cdr:sp macro="" textlink="">
      <cdr:nvSpPr>
        <cdr:cNvPr id="4" name="TextBox 3"/>
        <cdr:cNvSpPr txBox="1"/>
      </cdr:nvSpPr>
      <cdr:spPr>
        <a:xfrm xmlns:a="http://schemas.openxmlformats.org/drawingml/2006/main">
          <a:off x="5076201" y="856764"/>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0.91156</cdr:x>
      <cdr:y>0.45749</cdr:y>
    </cdr:from>
    <cdr:to>
      <cdr:x>1</cdr:x>
      <cdr:y>0.55873</cdr:y>
    </cdr:to>
    <cdr:sp macro="" textlink="">
      <cdr:nvSpPr>
        <cdr:cNvPr id="5" name="TextBox 4"/>
        <cdr:cNvSpPr txBox="1"/>
      </cdr:nvSpPr>
      <cdr:spPr>
        <a:xfrm xmlns:a="http://schemas.openxmlformats.org/drawingml/2006/main">
          <a:off x="5076201" y="1238764"/>
          <a:ext cx="492495" cy="2741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0.91156</cdr:x>
      <cdr:y>0.60203</cdr:y>
    </cdr:from>
    <cdr:to>
      <cdr:x>1</cdr:x>
      <cdr:y>0.70327</cdr:y>
    </cdr:to>
    <cdr:sp macro="" textlink="">
      <cdr:nvSpPr>
        <cdr:cNvPr id="6" name="TextBox 5"/>
        <cdr:cNvSpPr txBox="1"/>
      </cdr:nvSpPr>
      <cdr:spPr>
        <a:xfrm xmlns:a="http://schemas.openxmlformats.org/drawingml/2006/main">
          <a:off x="5076201" y="1630148"/>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0.01755</cdr:x>
      <cdr:y>0.17549</cdr:y>
    </cdr:from>
    <cdr:to>
      <cdr:x>0.10599</cdr:x>
      <cdr:y>0.27673</cdr:y>
    </cdr:to>
    <cdr:sp macro="" textlink="">
      <cdr:nvSpPr>
        <cdr:cNvPr id="7" name="TextBox 6"/>
        <cdr:cNvSpPr txBox="1"/>
      </cdr:nvSpPr>
      <cdr:spPr>
        <a:xfrm xmlns:a="http://schemas.openxmlformats.org/drawingml/2006/main">
          <a:off x="97731" y="475189"/>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14.33</a:t>
          </a:r>
        </a:p>
      </cdr:txBody>
    </cdr:sp>
  </cdr:relSizeAnchor>
  <cdr:relSizeAnchor xmlns:cdr="http://schemas.openxmlformats.org/drawingml/2006/chartDrawing">
    <cdr:from>
      <cdr:x>0.01755</cdr:x>
      <cdr:y>0.31641</cdr:y>
    </cdr:from>
    <cdr:to>
      <cdr:x>0.10599</cdr:x>
      <cdr:y>0.41765</cdr:y>
    </cdr:to>
    <cdr:sp macro="" textlink="">
      <cdr:nvSpPr>
        <cdr:cNvPr id="8" name="TextBox 7"/>
        <cdr:cNvSpPr txBox="1"/>
      </cdr:nvSpPr>
      <cdr:spPr>
        <a:xfrm xmlns:a="http://schemas.openxmlformats.org/drawingml/2006/main">
          <a:off x="97731" y="856764"/>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12.29</a:t>
          </a:r>
        </a:p>
      </cdr:txBody>
    </cdr:sp>
  </cdr:relSizeAnchor>
  <cdr:relSizeAnchor xmlns:cdr="http://schemas.openxmlformats.org/drawingml/2006/chartDrawing">
    <cdr:from>
      <cdr:x>0.01755</cdr:x>
      <cdr:y>0.45749</cdr:y>
    </cdr:from>
    <cdr:to>
      <cdr:x>0.10599</cdr:x>
      <cdr:y>0.55873</cdr:y>
    </cdr:to>
    <cdr:sp macro="" textlink="">
      <cdr:nvSpPr>
        <cdr:cNvPr id="9" name="TextBox 8"/>
        <cdr:cNvSpPr txBox="1"/>
      </cdr:nvSpPr>
      <cdr:spPr>
        <a:xfrm xmlns:a="http://schemas.openxmlformats.org/drawingml/2006/main">
          <a:off x="97731" y="1238764"/>
          <a:ext cx="492495" cy="2741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11.83</a:t>
          </a:r>
        </a:p>
      </cdr:txBody>
    </cdr:sp>
  </cdr:relSizeAnchor>
  <cdr:relSizeAnchor xmlns:cdr="http://schemas.openxmlformats.org/drawingml/2006/chartDrawing">
    <cdr:from>
      <cdr:x>0.01755</cdr:x>
      <cdr:y>0.60202</cdr:y>
    </cdr:from>
    <cdr:to>
      <cdr:x>0.10599</cdr:x>
      <cdr:y>0.70327</cdr:y>
    </cdr:to>
    <cdr:sp macro="" textlink="">
      <cdr:nvSpPr>
        <cdr:cNvPr id="10" name="TextBox 9"/>
        <cdr:cNvSpPr txBox="1"/>
      </cdr:nvSpPr>
      <cdr:spPr>
        <a:xfrm xmlns:a="http://schemas.openxmlformats.org/drawingml/2006/main">
          <a:off x="97731" y="1630121"/>
          <a:ext cx="492495" cy="27416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11.24</a:t>
          </a:r>
        </a:p>
      </cdr:txBody>
    </cdr:sp>
  </cdr:relSizeAnchor>
  <cdr:relSizeAnchor xmlns:cdr="http://schemas.openxmlformats.org/drawingml/2006/chartDrawing">
    <cdr:from>
      <cdr:x>0.91156</cdr:x>
      <cdr:y>0.73989</cdr:y>
    </cdr:from>
    <cdr:to>
      <cdr:x>1</cdr:x>
      <cdr:y>0.84113</cdr:y>
    </cdr:to>
    <cdr:sp macro="" textlink="">
      <cdr:nvSpPr>
        <cdr:cNvPr id="11" name="TextBox 10"/>
        <cdr:cNvSpPr txBox="1"/>
      </cdr:nvSpPr>
      <cdr:spPr>
        <a:xfrm xmlns:a="http://schemas.openxmlformats.org/drawingml/2006/main">
          <a:off x="5076201" y="2003452"/>
          <a:ext cx="492495" cy="27413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CA" sz="900"/>
            <a:t>16.00</a:t>
          </a:r>
        </a:p>
      </cdr:txBody>
    </cdr:sp>
  </cdr:relSizeAnchor>
  <cdr:relSizeAnchor xmlns:cdr="http://schemas.openxmlformats.org/drawingml/2006/chartDrawing">
    <cdr:from>
      <cdr:x>0.01755</cdr:x>
      <cdr:y>0.73988</cdr:y>
    </cdr:from>
    <cdr:to>
      <cdr:x>0.10599</cdr:x>
      <cdr:y>0.84113</cdr:y>
    </cdr:to>
    <cdr:sp macro="" textlink="">
      <cdr:nvSpPr>
        <cdr:cNvPr id="12" name="TextBox 11"/>
        <cdr:cNvSpPr txBox="1"/>
      </cdr:nvSpPr>
      <cdr:spPr>
        <a:xfrm xmlns:a="http://schemas.openxmlformats.org/drawingml/2006/main">
          <a:off x="97731" y="2003425"/>
          <a:ext cx="492495" cy="27416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CA" sz="900"/>
            <a:t>13.18</a:t>
          </a:r>
        </a:p>
      </cdr:txBody>
    </cdr:sp>
  </cdr:relSizeAnchor>
</c:userShapes>
</file>

<file path=xl/drawings/drawing9.xml><?xml version="1.0" encoding="utf-8"?>
<c:userShapes xmlns:c="http://schemas.openxmlformats.org/drawingml/2006/chart">
  <cdr:relSizeAnchor xmlns:cdr="http://schemas.openxmlformats.org/drawingml/2006/chartDrawing">
    <cdr:from>
      <cdr:x>0.91156</cdr:x>
      <cdr:y>0.32308</cdr:y>
    </cdr:from>
    <cdr:to>
      <cdr:x>1</cdr:x>
      <cdr:y>0.42432</cdr:y>
    </cdr:to>
    <cdr:sp macro="" textlink="">
      <cdr:nvSpPr>
        <cdr:cNvPr id="3" name="TextBox 3"/>
        <cdr:cNvSpPr txBox="1"/>
      </cdr:nvSpPr>
      <cdr:spPr>
        <a:xfrm xmlns:a="http://schemas.openxmlformats.org/drawingml/2006/main">
          <a:off x="5076201" y="874814"/>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0.91156</cdr:x>
      <cdr:y>0.4511</cdr:y>
    </cdr:from>
    <cdr:to>
      <cdr:x>1</cdr:x>
      <cdr:y>0.55234</cdr:y>
    </cdr:to>
    <cdr:sp macro="" textlink="">
      <cdr:nvSpPr>
        <cdr:cNvPr id="4" name="TextBox 4"/>
        <cdr:cNvSpPr txBox="1"/>
      </cdr:nvSpPr>
      <cdr:spPr>
        <a:xfrm xmlns:a="http://schemas.openxmlformats.org/drawingml/2006/main">
          <a:off x="5076201" y="1221484"/>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0.91156</cdr:x>
      <cdr:y>0.59321</cdr:y>
    </cdr:from>
    <cdr:to>
      <cdr:x>1</cdr:x>
      <cdr:y>0.69445</cdr:y>
    </cdr:to>
    <cdr:sp macro="" textlink="">
      <cdr:nvSpPr>
        <cdr:cNvPr id="5" name="TextBox 5"/>
        <cdr:cNvSpPr txBox="1"/>
      </cdr:nvSpPr>
      <cdr:spPr>
        <a:xfrm xmlns:a="http://schemas.openxmlformats.org/drawingml/2006/main">
          <a:off x="5076201" y="1606281"/>
          <a:ext cx="492495" cy="2741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14.00</a:t>
          </a:r>
        </a:p>
      </cdr:txBody>
    </cdr:sp>
  </cdr:relSizeAnchor>
  <cdr:relSizeAnchor xmlns:cdr="http://schemas.openxmlformats.org/drawingml/2006/chartDrawing">
    <cdr:from>
      <cdr:x>0.91156</cdr:x>
      <cdr:y>0.72124</cdr:y>
    </cdr:from>
    <cdr:to>
      <cdr:x>1</cdr:x>
      <cdr:y>0.82248</cdr:y>
    </cdr:to>
    <cdr:sp macro="" textlink="">
      <cdr:nvSpPr>
        <cdr:cNvPr id="6" name="TextBox 10"/>
        <cdr:cNvSpPr txBox="1"/>
      </cdr:nvSpPr>
      <cdr:spPr>
        <a:xfrm xmlns:a="http://schemas.openxmlformats.org/drawingml/2006/main">
          <a:off x="5076201" y="1952952"/>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16.00</a:t>
          </a:r>
        </a:p>
      </cdr:txBody>
    </cdr:sp>
  </cdr:relSizeAnchor>
  <cdr:relSizeAnchor xmlns:cdr="http://schemas.openxmlformats.org/drawingml/2006/chartDrawing">
    <cdr:from>
      <cdr:x>0.00852</cdr:x>
      <cdr:y>0.32308</cdr:y>
    </cdr:from>
    <cdr:to>
      <cdr:x>0.09696</cdr:x>
      <cdr:y>0.42432</cdr:y>
    </cdr:to>
    <cdr:sp macro="" textlink="">
      <cdr:nvSpPr>
        <cdr:cNvPr id="7" name="TextBox 7"/>
        <cdr:cNvSpPr txBox="1"/>
      </cdr:nvSpPr>
      <cdr:spPr>
        <a:xfrm xmlns:a="http://schemas.openxmlformats.org/drawingml/2006/main">
          <a:off x="47443" y="874814"/>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12.29</a:t>
          </a:r>
        </a:p>
      </cdr:txBody>
    </cdr:sp>
  </cdr:relSizeAnchor>
  <cdr:relSizeAnchor xmlns:cdr="http://schemas.openxmlformats.org/drawingml/2006/chartDrawing">
    <cdr:from>
      <cdr:x>0.00852</cdr:x>
      <cdr:y>0.4511</cdr:y>
    </cdr:from>
    <cdr:to>
      <cdr:x>0.09696</cdr:x>
      <cdr:y>0.55234</cdr:y>
    </cdr:to>
    <cdr:sp macro="" textlink="">
      <cdr:nvSpPr>
        <cdr:cNvPr id="8" name="TextBox 8"/>
        <cdr:cNvSpPr txBox="1"/>
      </cdr:nvSpPr>
      <cdr:spPr>
        <a:xfrm xmlns:a="http://schemas.openxmlformats.org/drawingml/2006/main">
          <a:off x="47443" y="1221484"/>
          <a:ext cx="492495" cy="2741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11.14</a:t>
          </a:r>
        </a:p>
      </cdr:txBody>
    </cdr:sp>
  </cdr:relSizeAnchor>
  <cdr:relSizeAnchor xmlns:cdr="http://schemas.openxmlformats.org/drawingml/2006/chartDrawing">
    <cdr:from>
      <cdr:x>0.00852</cdr:x>
      <cdr:y>0.59321</cdr:y>
    </cdr:from>
    <cdr:to>
      <cdr:x>0.09696</cdr:x>
      <cdr:y>0.69445</cdr:y>
    </cdr:to>
    <cdr:sp macro="" textlink="">
      <cdr:nvSpPr>
        <cdr:cNvPr id="9" name="TextBox 9"/>
        <cdr:cNvSpPr txBox="1"/>
      </cdr:nvSpPr>
      <cdr:spPr>
        <a:xfrm xmlns:a="http://schemas.openxmlformats.org/drawingml/2006/main">
          <a:off x="47443" y="1606281"/>
          <a:ext cx="492495" cy="2741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11.04</a:t>
          </a:r>
        </a:p>
      </cdr:txBody>
    </cdr:sp>
  </cdr:relSizeAnchor>
  <cdr:relSizeAnchor xmlns:cdr="http://schemas.openxmlformats.org/drawingml/2006/chartDrawing">
    <cdr:from>
      <cdr:x>0.00852</cdr:x>
      <cdr:y>0.72123</cdr:y>
    </cdr:from>
    <cdr:to>
      <cdr:x>0.09696</cdr:x>
      <cdr:y>0.82248</cdr:y>
    </cdr:to>
    <cdr:sp macro="" textlink="">
      <cdr:nvSpPr>
        <cdr:cNvPr id="10" name="TextBox 11"/>
        <cdr:cNvSpPr txBox="1"/>
      </cdr:nvSpPr>
      <cdr:spPr>
        <a:xfrm xmlns:a="http://schemas.openxmlformats.org/drawingml/2006/main">
          <a:off x="47443" y="1952925"/>
          <a:ext cx="492495" cy="27416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CA" sz="900"/>
            <a:t>12.00</a:t>
          </a:r>
        </a:p>
      </cdr:txBody>
    </cdr:sp>
  </cdr:relSizeAnchor>
  <cdr:relSizeAnchor xmlns:cdr="http://schemas.openxmlformats.org/drawingml/2006/chartDrawing">
    <cdr:from>
      <cdr:x>0.91156</cdr:x>
      <cdr:y>0.17706</cdr:y>
    </cdr:from>
    <cdr:to>
      <cdr:x>1</cdr:x>
      <cdr:y>0.2783</cdr:y>
    </cdr:to>
    <cdr:sp macro="" textlink="">
      <cdr:nvSpPr>
        <cdr:cNvPr id="11" name="TextBox 2"/>
        <cdr:cNvSpPr txBox="1"/>
      </cdr:nvSpPr>
      <cdr:spPr>
        <a:xfrm xmlns:a="http://schemas.openxmlformats.org/drawingml/2006/main">
          <a:off x="5076201" y="479425"/>
          <a:ext cx="492495" cy="27413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CA" sz="900"/>
            <a:t>16.00</a:t>
          </a:r>
        </a:p>
      </cdr:txBody>
    </cdr:sp>
  </cdr:relSizeAnchor>
  <cdr:relSizeAnchor xmlns:cdr="http://schemas.openxmlformats.org/drawingml/2006/chartDrawing">
    <cdr:from>
      <cdr:x>0.00852</cdr:x>
      <cdr:y>0.17706</cdr:y>
    </cdr:from>
    <cdr:to>
      <cdr:x>0.09696</cdr:x>
      <cdr:y>0.2783</cdr:y>
    </cdr:to>
    <cdr:sp macro="" textlink="">
      <cdr:nvSpPr>
        <cdr:cNvPr id="12" name="TextBox 6"/>
        <cdr:cNvSpPr txBox="1"/>
      </cdr:nvSpPr>
      <cdr:spPr>
        <a:xfrm xmlns:a="http://schemas.openxmlformats.org/drawingml/2006/main">
          <a:off x="47443" y="479425"/>
          <a:ext cx="492495" cy="27413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CA" sz="900"/>
            <a:t>14.33</a:t>
          </a:r>
        </a:p>
      </cdr:txBody>
    </cdr:sp>
  </cdr:relSizeAnchor>
</c:userShapes>
</file>

<file path=xl/drawings/drawing10.xml><?xml version="1.0" encoding="utf-8"?>
<xdr:wsDr xmlns:xdr="http://schemas.openxmlformats.org/drawingml/2006/spreadsheetDrawing" xmlns:a="http://schemas.openxmlformats.org/drawingml/2006/main">
  <xdr:twoCellAnchor>
    <xdr:from>
      <xdr:col>3</xdr:col>
      <xdr:colOff>806824</xdr:colOff>
      <xdr:row>40</xdr:row>
      <xdr:rowOff>22413</xdr:rowOff>
    </xdr:from>
    <xdr:to>
      <xdr:col>5</xdr:col>
      <xdr:colOff>11206</xdr:colOff>
      <xdr:row>41</xdr:row>
      <xdr:rowOff>134473</xdr:rowOff>
    </xdr:to>
    <xdr:sp macro="[0]!Blending_WeightAverageMethod" textlink="">
      <xdr:nvSpPr>
        <xdr:cNvPr id="6" name="Rounded Rectangle 5" descr="cc66e1fc-f988-40ba-b1a6-d2f48848045c">
          <a:extLst>
            <a:ext uri="{FF2B5EF4-FFF2-40B4-BE49-F238E27FC236}">
              <a16:creationId xmlns:a16="http://schemas.microsoft.com/office/drawing/2014/main" id="{00000000-0008-0000-0400-000006000000}"/>
            </a:ext>
          </a:extLst>
        </xdr:cNvPr>
        <xdr:cNvSpPr/>
      </xdr:nvSpPr>
      <xdr:spPr bwMode="auto">
        <a:xfrm>
          <a:off x="2532530" y="10387854"/>
          <a:ext cx="1389529" cy="392207"/>
        </a:xfrm>
        <a:prstGeom prst="roundRect">
          <a:avLst/>
        </a:prstGeom>
        <a:solidFill>
          <a:srgbClr val="C00000"/>
        </a:solidFill>
        <a:ln>
          <a:noFill/>
          <a:headEnd type="none" w="med" len="med"/>
          <a:tailEnd type="triangl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CA" sz="1600" b="1">
              <a:solidFill>
                <a:schemeClr val="bg1"/>
              </a:solidFill>
            </a:rPr>
            <a:t>Create Blend</a:t>
          </a: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71</xdr:row>
          <xdr:rowOff>9525</xdr:rowOff>
        </xdr:from>
        <xdr:to>
          <xdr:col>6</xdr:col>
          <xdr:colOff>0</xdr:colOff>
          <xdr:row>71</xdr:row>
          <xdr:rowOff>228600</xdr:rowOff>
        </xdr:to>
        <xdr:sp macro="" textlink="">
          <xdr:nvSpPr>
            <xdr:cNvPr id="3292180" name="Drop Down 20" hidden="1">
              <a:extLst>
                <a:ext uri="{63B3BB69-23CF-44E3-9099-C40C66FF867C}">
                  <a14:compatExt spid="_x0000_s3292180"/>
                </a:ext>
                <a:ext uri="{FF2B5EF4-FFF2-40B4-BE49-F238E27FC236}">
                  <a16:creationId xmlns:a16="http://schemas.microsoft.com/office/drawing/2014/main" id="{00000000-0008-0000-0400-0000143C3200}"/>
                </a:ext>
              </a:extLst>
            </xdr:cNvPr>
            <xdr:cNvSpPr/>
          </xdr:nvSpPr>
          <xdr:spPr bwMode="auto">
            <a:xfrm>
              <a:off x="0" y="0"/>
              <a:ext cx="0" cy="0"/>
            </a:xfrm>
            <a:prstGeom prst="rect">
              <a:avLst/>
            </a:prstGeom>
            <a:noFill/>
            <a:ln>
              <a:noFill/>
            </a:ln>
            <a:extLst>
              <a:ext uri="{91240B29-F687-4F45-9708-019B960494DF}">
                <a14:hiddenLine w="25400">
                  <a:noFill/>
                  <a:miter lim="800000"/>
                  <a:headEnd/>
                  <a:tailEnd/>
                </a14:hiddenLine>
              </a:ext>
            </a:extLst>
          </xdr:spPr>
        </xdr:sp>
        <xdr:clientData/>
      </xdr:twoCellAnchor>
    </mc:Choice>
    <mc:Fallback/>
  </mc:AlternateContent>
  <xdr:twoCellAnchor editAs="oneCell">
    <xdr:from>
      <xdr:col>4</xdr:col>
      <xdr:colOff>40822</xdr:colOff>
      <xdr:row>72</xdr:row>
      <xdr:rowOff>190500</xdr:rowOff>
    </xdr:from>
    <xdr:to>
      <xdr:col>6</xdr:col>
      <xdr:colOff>16193</xdr:colOff>
      <xdr:row>74</xdr:row>
      <xdr:rowOff>237577</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3415393" y="20233821"/>
          <a:ext cx="2206943" cy="591363"/>
        </a:xfrm>
        <a:prstGeom prst="rect">
          <a:avLst/>
        </a:prstGeom>
      </xdr:spPr>
    </xdr:pic>
    <xdr:clientData/>
  </xdr:twoCellAnchor>
  <xdr:twoCellAnchor editAs="oneCell">
    <xdr:from>
      <xdr:col>4</xdr:col>
      <xdr:colOff>40821</xdr:colOff>
      <xdr:row>78</xdr:row>
      <xdr:rowOff>258535</xdr:rowOff>
    </xdr:from>
    <xdr:to>
      <xdr:col>6</xdr:col>
      <xdr:colOff>16192</xdr:colOff>
      <xdr:row>80</xdr:row>
      <xdr:rowOff>237577</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
        <a:stretch>
          <a:fillRect/>
        </a:stretch>
      </xdr:blipFill>
      <xdr:spPr>
        <a:xfrm>
          <a:off x="3415392" y="21934714"/>
          <a:ext cx="2206943" cy="591363"/>
        </a:xfrm>
        <a:prstGeom prst="rect">
          <a:avLst/>
        </a:prstGeom>
      </xdr:spPr>
    </xdr:pic>
    <xdr:clientData/>
  </xdr:twoCellAnchor>
  <xdr:twoCellAnchor editAs="oneCell">
    <xdr:from>
      <xdr:col>4</xdr:col>
      <xdr:colOff>81643</xdr:colOff>
      <xdr:row>95</xdr:row>
      <xdr:rowOff>176892</xdr:rowOff>
    </xdr:from>
    <xdr:to>
      <xdr:col>6</xdr:col>
      <xdr:colOff>57014</xdr:colOff>
      <xdr:row>97</xdr:row>
      <xdr:rowOff>223969</xdr:rowOff>
    </xdr:to>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
        <a:stretch>
          <a:fillRect/>
        </a:stretch>
      </xdr:blipFill>
      <xdr:spPr>
        <a:xfrm>
          <a:off x="3456214" y="26547535"/>
          <a:ext cx="2206943" cy="591363"/>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5</xdr:col>
      <xdr:colOff>190499</xdr:colOff>
      <xdr:row>5</xdr:row>
      <xdr:rowOff>134468</xdr:rowOff>
    </xdr:from>
    <xdr:to>
      <xdr:col>8</xdr:col>
      <xdr:colOff>347382</xdr:colOff>
      <xdr:row>8</xdr:row>
      <xdr:rowOff>78440</xdr:rowOff>
    </xdr:to>
    <xdr:sp macro="" textlink="">
      <xdr:nvSpPr>
        <xdr:cNvPr id="2" name="Rounded Rectangle 1" descr="2b54e438-cda6-4560-a49a-5ec782a583fe">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bwMode="auto">
        <a:xfrm>
          <a:off x="6689911" y="1255056"/>
          <a:ext cx="2173942" cy="616325"/>
        </a:xfrm>
        <a:prstGeom prst="roundRect">
          <a:avLst/>
        </a:prstGeom>
        <a:solidFill>
          <a:schemeClr val="accent1">
            <a:lumMod val="75000"/>
          </a:schemeClr>
        </a:solidFill>
        <a:ln>
          <a:solidFill>
            <a:schemeClr val="accent1">
              <a:lumMod val="50000"/>
            </a:schemeClr>
          </a:solidFill>
          <a:headEnd type="none" w="med" len="med"/>
          <a:tailEnd type="triangl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1400" b="1">
              <a:solidFill>
                <a:schemeClr val="bg1"/>
              </a:solidFill>
            </a:rPr>
            <a:t>Display</a:t>
          </a:r>
          <a:r>
            <a:rPr lang="en-US" sz="1400" b="1" baseline="0">
              <a:solidFill>
                <a:schemeClr val="bg1"/>
              </a:solidFill>
            </a:rPr>
            <a:t> </a:t>
          </a:r>
          <a:r>
            <a:rPr lang="en-US" sz="1400" b="1">
              <a:solidFill>
                <a:schemeClr val="bg1"/>
              </a:solidFill>
            </a:rPr>
            <a:t>detailed results for the coking refinery</a:t>
          </a:r>
        </a:p>
      </xdr:txBody>
    </xdr:sp>
    <xdr:clientData/>
  </xdr:twoCellAnchor>
  <xdr:twoCellAnchor>
    <xdr:from>
      <xdr:col>5</xdr:col>
      <xdr:colOff>129988</xdr:colOff>
      <xdr:row>120</xdr:row>
      <xdr:rowOff>197222</xdr:rowOff>
    </xdr:from>
    <xdr:to>
      <xdr:col>8</xdr:col>
      <xdr:colOff>286871</xdr:colOff>
      <xdr:row>123</xdr:row>
      <xdr:rowOff>141195</xdr:rowOff>
    </xdr:to>
    <xdr:sp macro="" textlink="">
      <xdr:nvSpPr>
        <xdr:cNvPr id="3" name="Rounded Rectangle 2" descr="2b365836-c6f3-47bc-958e-199c4821bf90">
          <a:hlinkClick xmlns:r="http://schemas.openxmlformats.org/officeDocument/2006/relationships" r:id="rId2"/>
          <a:extLst>
            <a:ext uri="{FF2B5EF4-FFF2-40B4-BE49-F238E27FC236}">
              <a16:creationId xmlns:a16="http://schemas.microsoft.com/office/drawing/2014/main" id="{00000000-0008-0000-0500-000003000000}"/>
            </a:ext>
          </a:extLst>
        </xdr:cNvPr>
        <xdr:cNvSpPr/>
      </xdr:nvSpPr>
      <xdr:spPr bwMode="auto">
        <a:xfrm>
          <a:off x="6629400" y="24626046"/>
          <a:ext cx="2173942" cy="616325"/>
        </a:xfrm>
        <a:prstGeom prst="roundRect">
          <a:avLst/>
        </a:prstGeom>
        <a:solidFill>
          <a:srgbClr val="C00000"/>
        </a:solidFill>
        <a:ln>
          <a:solidFill>
            <a:srgbClr val="C00000"/>
          </a:solidFill>
          <a:headEnd type="none" w="med" len="med"/>
          <a:tailEnd type="triangl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1400" b="1">
              <a:solidFill>
                <a:schemeClr val="bg1"/>
              </a:solidFill>
            </a:rPr>
            <a:t>Display detailed results for the hydrocracking refinery</a:t>
          </a:r>
        </a:p>
      </xdr:txBody>
    </xdr:sp>
    <xdr:clientData/>
  </xdr:twoCellAnchor>
  <xdr:twoCellAnchor>
    <xdr:from>
      <xdr:col>5</xdr:col>
      <xdr:colOff>208429</xdr:colOff>
      <xdr:row>8</xdr:row>
      <xdr:rowOff>208427</xdr:rowOff>
    </xdr:from>
    <xdr:to>
      <xdr:col>8</xdr:col>
      <xdr:colOff>365312</xdr:colOff>
      <xdr:row>12</xdr:row>
      <xdr:rowOff>100853</xdr:rowOff>
    </xdr:to>
    <xdr:sp macro="" textlink="">
      <xdr:nvSpPr>
        <xdr:cNvPr id="4" name="Rounded Rectangle 3" descr="2287d596-ab2b-4a15-b392-1eccfd0133f4">
          <a:hlinkClick xmlns:r="http://schemas.openxmlformats.org/officeDocument/2006/relationships" r:id="rId3"/>
          <a:extLst>
            <a:ext uri="{FF2B5EF4-FFF2-40B4-BE49-F238E27FC236}">
              <a16:creationId xmlns:a16="http://schemas.microsoft.com/office/drawing/2014/main" id="{00000000-0008-0000-0500-000004000000}"/>
            </a:ext>
          </a:extLst>
        </xdr:cNvPr>
        <xdr:cNvSpPr/>
      </xdr:nvSpPr>
      <xdr:spPr bwMode="auto">
        <a:xfrm>
          <a:off x="6606988" y="2001368"/>
          <a:ext cx="2173942" cy="788897"/>
        </a:xfrm>
        <a:prstGeom prst="roundRect">
          <a:avLst/>
        </a:prstGeom>
        <a:solidFill>
          <a:srgbClr val="C00000"/>
        </a:solidFill>
        <a:ln>
          <a:solidFill>
            <a:srgbClr val="C00000"/>
          </a:solidFill>
          <a:headEnd type="none" w="med" len="med"/>
          <a:tailEnd type="triangl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1400" b="1">
              <a:solidFill>
                <a:schemeClr val="bg1"/>
              </a:solidFill>
            </a:rPr>
            <a:t>Jump down to the hydrocracking refinery results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295274</xdr:colOff>
      <xdr:row>0</xdr:row>
      <xdr:rowOff>222998</xdr:rowOff>
    </xdr:from>
    <xdr:to>
      <xdr:col>0</xdr:col>
      <xdr:colOff>1504949</xdr:colOff>
      <xdr:row>2</xdr:row>
      <xdr:rowOff>33619</xdr:rowOff>
    </xdr:to>
    <xdr:sp macro="[0]!Erase_Results" textlink="">
      <xdr:nvSpPr>
        <xdr:cNvPr id="2" name="Rounded Rectangle 1" descr="88e75acd-6c19-4261-bc82-dd8d71b973e2">
          <a:extLst>
            <a:ext uri="{FF2B5EF4-FFF2-40B4-BE49-F238E27FC236}">
              <a16:creationId xmlns:a16="http://schemas.microsoft.com/office/drawing/2014/main" id="{00000000-0008-0000-0600-000002000000}"/>
            </a:ext>
          </a:extLst>
        </xdr:cNvPr>
        <xdr:cNvSpPr/>
      </xdr:nvSpPr>
      <xdr:spPr bwMode="auto">
        <a:xfrm>
          <a:off x="295274" y="222998"/>
          <a:ext cx="1209675" cy="258856"/>
        </a:xfrm>
        <a:prstGeom prst="roundRect">
          <a:avLst/>
        </a:prstGeom>
        <a:solidFill>
          <a:srgbClr val="FF0000"/>
        </a:solidFill>
        <a:ln>
          <a:solidFill>
            <a:srgbClr val="C00000"/>
          </a:solidFill>
          <a:headEnd type="none" w="med" len="med"/>
          <a:tailEnd type="triangl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1600" b="1">
              <a:solidFill>
                <a:schemeClr val="bg1"/>
              </a:solidFill>
            </a:rPr>
            <a:t>Erase</a:t>
          </a:r>
          <a:r>
            <a:rPr lang="en-US" sz="1600" b="1" baseline="0">
              <a:solidFill>
                <a:schemeClr val="bg1"/>
              </a:solidFill>
            </a:rPr>
            <a:t> results</a:t>
          </a:r>
          <a:endParaRPr lang="en-US" sz="1600" b="1">
            <a:solidFill>
              <a:schemeClr val="bg1"/>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27216</xdr:colOff>
      <xdr:row>68</xdr:row>
      <xdr:rowOff>187779</xdr:rowOff>
    </xdr:from>
    <xdr:to>
      <xdr:col>17</xdr:col>
      <xdr:colOff>908276</xdr:colOff>
      <xdr:row>99</xdr:row>
      <xdr:rowOff>111579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2</xdr:col>
      <xdr:colOff>19050</xdr:colOff>
      <xdr:row>68</xdr:row>
      <xdr:rowOff>114300</xdr:rowOff>
    </xdr:from>
    <xdr:to>
      <xdr:col>18</xdr:col>
      <xdr:colOff>266700</xdr:colOff>
      <xdr:row>101</xdr:row>
      <xdr:rowOff>190500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56</xdr:col>
      <xdr:colOff>428626</xdr:colOff>
      <xdr:row>211</xdr:row>
      <xdr:rowOff>1</xdr:rowOff>
    </xdr:from>
    <xdr:to>
      <xdr:col>59</xdr:col>
      <xdr:colOff>74838</xdr:colOff>
      <xdr:row>257</xdr:row>
      <xdr:rowOff>68036</xdr:rowOff>
    </xdr:to>
    <xdr:grpSp>
      <xdr:nvGrpSpPr>
        <xdr:cNvPr id="300" name="Group 299">
          <a:hlinkClick xmlns:r="http://schemas.openxmlformats.org/officeDocument/2006/relationships" r:id="rId1"/>
          <a:extLst>
            <a:ext uri="{FF2B5EF4-FFF2-40B4-BE49-F238E27FC236}">
              <a16:creationId xmlns:a16="http://schemas.microsoft.com/office/drawing/2014/main" id="{00000000-0008-0000-0900-00002C010000}"/>
            </a:ext>
          </a:extLst>
        </xdr:cNvPr>
        <xdr:cNvGrpSpPr>
          <a:grpSpLocks/>
        </xdr:cNvGrpSpPr>
      </xdr:nvGrpSpPr>
      <xdr:grpSpPr bwMode="auto">
        <a:xfrm>
          <a:off x="50755262" y="37597774"/>
          <a:ext cx="2105394" cy="7826580"/>
          <a:chOff x="2256" y="1008"/>
          <a:chExt cx="480" cy="1536"/>
        </a:xfrm>
        <a:gradFill>
          <a:gsLst>
            <a:gs pos="0">
              <a:srgbClr val="D6B19C"/>
            </a:gs>
            <a:gs pos="30000">
              <a:srgbClr val="D49E6C">
                <a:alpha val="44000"/>
              </a:srgbClr>
            </a:gs>
            <a:gs pos="70000">
              <a:srgbClr val="A65528">
                <a:alpha val="44000"/>
              </a:srgbClr>
            </a:gs>
            <a:gs pos="100000">
              <a:srgbClr val="663012"/>
            </a:gs>
          </a:gsLst>
          <a:lin ang="5400000" scaled="0"/>
        </a:gradFill>
      </xdr:grpSpPr>
      <xdr:sp macro="" textlink="">
        <xdr:nvSpPr>
          <xdr:cNvPr id="302" name="AutoShape 43">
            <a:extLst>
              <a:ext uri="{FF2B5EF4-FFF2-40B4-BE49-F238E27FC236}">
                <a16:creationId xmlns:a16="http://schemas.microsoft.com/office/drawing/2014/main" id="{00000000-0008-0000-0900-00002E010000}"/>
              </a:ext>
            </a:extLst>
          </xdr:cNvPr>
          <xdr:cNvSpPr>
            <a:spLocks noChangeArrowheads="1"/>
          </xdr:cNvSpPr>
        </xdr:nvSpPr>
        <xdr:spPr bwMode="auto">
          <a:xfrm>
            <a:off x="2256" y="1008"/>
            <a:ext cx="480" cy="1536"/>
          </a:xfrm>
          <a:prstGeom prst="roundRect">
            <a:avLst>
              <a:gd name="adj" fmla="val 18440"/>
            </a:avLst>
          </a:prstGeom>
          <a:grpFill/>
          <a:ln w="9525">
            <a:solidFill>
              <a:schemeClr val="tx1"/>
            </a:solidFill>
            <a:round/>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nvGrpSpPr>
          <xdr:cNvPr id="303" name="Group 302">
            <a:extLst>
              <a:ext uri="{FF2B5EF4-FFF2-40B4-BE49-F238E27FC236}">
                <a16:creationId xmlns:a16="http://schemas.microsoft.com/office/drawing/2014/main" id="{00000000-0008-0000-0900-00002F010000}"/>
              </a:ext>
            </a:extLst>
          </xdr:cNvPr>
          <xdr:cNvGrpSpPr>
            <a:grpSpLocks/>
          </xdr:cNvGrpSpPr>
        </xdr:nvGrpSpPr>
        <xdr:grpSpPr bwMode="auto">
          <a:xfrm>
            <a:off x="2256" y="1384"/>
            <a:ext cx="288" cy="48"/>
            <a:chOff x="2592" y="1152"/>
            <a:chExt cx="432" cy="48"/>
          </a:xfrm>
          <a:grpFill/>
        </xdr:grpSpPr>
        <xdr:sp macro="" textlink="">
          <xdr:nvSpPr>
            <xdr:cNvPr id="429" name="Line 45">
              <a:extLst>
                <a:ext uri="{FF2B5EF4-FFF2-40B4-BE49-F238E27FC236}">
                  <a16:creationId xmlns:a16="http://schemas.microsoft.com/office/drawing/2014/main" id="{00000000-0008-0000-0900-0000AD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34" name="Line 46">
              <a:extLst>
                <a:ext uri="{FF2B5EF4-FFF2-40B4-BE49-F238E27FC236}">
                  <a16:creationId xmlns:a16="http://schemas.microsoft.com/office/drawing/2014/main" id="{00000000-0008-0000-0900-0000B2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04" name="Group 303">
            <a:extLst>
              <a:ext uri="{FF2B5EF4-FFF2-40B4-BE49-F238E27FC236}">
                <a16:creationId xmlns:a16="http://schemas.microsoft.com/office/drawing/2014/main" id="{00000000-0008-0000-0900-000030010000}"/>
              </a:ext>
            </a:extLst>
          </xdr:cNvPr>
          <xdr:cNvGrpSpPr>
            <a:grpSpLocks/>
          </xdr:cNvGrpSpPr>
        </xdr:nvGrpSpPr>
        <xdr:grpSpPr bwMode="auto">
          <a:xfrm>
            <a:off x="2256" y="2008"/>
            <a:ext cx="288" cy="48"/>
            <a:chOff x="2592" y="1152"/>
            <a:chExt cx="432" cy="48"/>
          </a:xfrm>
          <a:grpFill/>
        </xdr:grpSpPr>
        <xdr:sp macro="" textlink="">
          <xdr:nvSpPr>
            <xdr:cNvPr id="423" name="Line 48">
              <a:extLst>
                <a:ext uri="{FF2B5EF4-FFF2-40B4-BE49-F238E27FC236}">
                  <a16:creationId xmlns:a16="http://schemas.microsoft.com/office/drawing/2014/main" id="{00000000-0008-0000-0900-0000A7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24" name="Line 49">
              <a:extLst>
                <a:ext uri="{FF2B5EF4-FFF2-40B4-BE49-F238E27FC236}">
                  <a16:creationId xmlns:a16="http://schemas.microsoft.com/office/drawing/2014/main" id="{00000000-0008-0000-0900-0000A8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07" name="Group 306">
            <a:extLst>
              <a:ext uri="{FF2B5EF4-FFF2-40B4-BE49-F238E27FC236}">
                <a16:creationId xmlns:a16="http://schemas.microsoft.com/office/drawing/2014/main" id="{00000000-0008-0000-0900-000033010000}"/>
              </a:ext>
            </a:extLst>
          </xdr:cNvPr>
          <xdr:cNvGrpSpPr>
            <a:grpSpLocks/>
          </xdr:cNvGrpSpPr>
        </xdr:nvGrpSpPr>
        <xdr:grpSpPr bwMode="auto">
          <a:xfrm>
            <a:off x="2256" y="1808"/>
            <a:ext cx="288" cy="48"/>
            <a:chOff x="2592" y="1152"/>
            <a:chExt cx="432" cy="48"/>
          </a:xfrm>
          <a:grpFill/>
        </xdr:grpSpPr>
        <xdr:sp macro="" textlink="">
          <xdr:nvSpPr>
            <xdr:cNvPr id="421" name="Line 51">
              <a:extLst>
                <a:ext uri="{FF2B5EF4-FFF2-40B4-BE49-F238E27FC236}">
                  <a16:creationId xmlns:a16="http://schemas.microsoft.com/office/drawing/2014/main" id="{00000000-0008-0000-0900-0000A5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22" name="Line 52">
              <a:extLst>
                <a:ext uri="{FF2B5EF4-FFF2-40B4-BE49-F238E27FC236}">
                  <a16:creationId xmlns:a16="http://schemas.microsoft.com/office/drawing/2014/main" id="{00000000-0008-0000-0900-0000A6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08" name="Group 307">
            <a:extLst>
              <a:ext uri="{FF2B5EF4-FFF2-40B4-BE49-F238E27FC236}">
                <a16:creationId xmlns:a16="http://schemas.microsoft.com/office/drawing/2014/main" id="{00000000-0008-0000-0900-000034010000}"/>
              </a:ext>
            </a:extLst>
          </xdr:cNvPr>
          <xdr:cNvGrpSpPr>
            <a:grpSpLocks/>
          </xdr:cNvGrpSpPr>
        </xdr:nvGrpSpPr>
        <xdr:grpSpPr bwMode="auto">
          <a:xfrm>
            <a:off x="2256" y="1600"/>
            <a:ext cx="288" cy="48"/>
            <a:chOff x="2592" y="1152"/>
            <a:chExt cx="432" cy="48"/>
          </a:xfrm>
          <a:grpFill/>
        </xdr:grpSpPr>
        <xdr:sp macro="" textlink="">
          <xdr:nvSpPr>
            <xdr:cNvPr id="409" name="Line 54">
              <a:extLst>
                <a:ext uri="{FF2B5EF4-FFF2-40B4-BE49-F238E27FC236}">
                  <a16:creationId xmlns:a16="http://schemas.microsoft.com/office/drawing/2014/main" id="{00000000-0008-0000-0900-000099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10" name="Line 55">
              <a:extLst>
                <a:ext uri="{FF2B5EF4-FFF2-40B4-BE49-F238E27FC236}">
                  <a16:creationId xmlns:a16="http://schemas.microsoft.com/office/drawing/2014/main" id="{00000000-0008-0000-0900-00009A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10" name="Group 309">
            <a:extLst>
              <a:ext uri="{FF2B5EF4-FFF2-40B4-BE49-F238E27FC236}">
                <a16:creationId xmlns:a16="http://schemas.microsoft.com/office/drawing/2014/main" id="{00000000-0008-0000-0900-000036010000}"/>
              </a:ext>
            </a:extLst>
          </xdr:cNvPr>
          <xdr:cNvGrpSpPr>
            <a:grpSpLocks/>
          </xdr:cNvGrpSpPr>
        </xdr:nvGrpSpPr>
        <xdr:grpSpPr bwMode="auto">
          <a:xfrm>
            <a:off x="2256" y="2248"/>
            <a:ext cx="288" cy="48"/>
            <a:chOff x="2592" y="1152"/>
            <a:chExt cx="432" cy="48"/>
          </a:xfrm>
          <a:grpFill/>
        </xdr:grpSpPr>
        <xdr:sp macro="" textlink="">
          <xdr:nvSpPr>
            <xdr:cNvPr id="388" name="Line 57">
              <a:extLst>
                <a:ext uri="{FF2B5EF4-FFF2-40B4-BE49-F238E27FC236}">
                  <a16:creationId xmlns:a16="http://schemas.microsoft.com/office/drawing/2014/main" id="{00000000-0008-0000-0900-000084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08" name="Line 58">
              <a:extLst>
                <a:ext uri="{FF2B5EF4-FFF2-40B4-BE49-F238E27FC236}">
                  <a16:creationId xmlns:a16="http://schemas.microsoft.com/office/drawing/2014/main" id="{00000000-0008-0000-0900-000098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11" name="Group 310">
            <a:extLst>
              <a:ext uri="{FF2B5EF4-FFF2-40B4-BE49-F238E27FC236}">
                <a16:creationId xmlns:a16="http://schemas.microsoft.com/office/drawing/2014/main" id="{00000000-0008-0000-0900-000037010000}"/>
              </a:ext>
            </a:extLst>
          </xdr:cNvPr>
          <xdr:cNvGrpSpPr>
            <a:grpSpLocks/>
          </xdr:cNvGrpSpPr>
        </xdr:nvGrpSpPr>
        <xdr:grpSpPr bwMode="auto">
          <a:xfrm>
            <a:off x="2256" y="1152"/>
            <a:ext cx="288" cy="48"/>
            <a:chOff x="2592" y="1152"/>
            <a:chExt cx="432" cy="48"/>
          </a:xfrm>
          <a:grpFill/>
        </xdr:grpSpPr>
        <xdr:sp macro="" textlink="">
          <xdr:nvSpPr>
            <xdr:cNvPr id="386" name="Line 60">
              <a:extLst>
                <a:ext uri="{FF2B5EF4-FFF2-40B4-BE49-F238E27FC236}">
                  <a16:creationId xmlns:a16="http://schemas.microsoft.com/office/drawing/2014/main" id="{00000000-0008-0000-0900-000082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387" name="Line 61">
              <a:extLst>
                <a:ext uri="{FF2B5EF4-FFF2-40B4-BE49-F238E27FC236}">
                  <a16:creationId xmlns:a16="http://schemas.microsoft.com/office/drawing/2014/main" id="{00000000-0008-0000-0900-000083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27" name="Group 326">
            <a:extLst>
              <a:ext uri="{FF2B5EF4-FFF2-40B4-BE49-F238E27FC236}">
                <a16:creationId xmlns:a16="http://schemas.microsoft.com/office/drawing/2014/main" id="{00000000-0008-0000-0900-000047010000}"/>
              </a:ext>
            </a:extLst>
          </xdr:cNvPr>
          <xdr:cNvGrpSpPr>
            <a:grpSpLocks/>
          </xdr:cNvGrpSpPr>
        </xdr:nvGrpSpPr>
        <xdr:grpSpPr bwMode="auto">
          <a:xfrm flipH="1">
            <a:off x="2352" y="1496"/>
            <a:ext cx="376" cy="48"/>
            <a:chOff x="2592" y="1152"/>
            <a:chExt cx="432" cy="48"/>
          </a:xfrm>
          <a:grpFill/>
        </xdr:grpSpPr>
        <xdr:sp macro="" textlink="">
          <xdr:nvSpPr>
            <xdr:cNvPr id="384" name="Line 63">
              <a:extLst>
                <a:ext uri="{FF2B5EF4-FFF2-40B4-BE49-F238E27FC236}">
                  <a16:creationId xmlns:a16="http://schemas.microsoft.com/office/drawing/2014/main" id="{00000000-0008-0000-0900-000080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385" name="Line 64">
              <a:extLst>
                <a:ext uri="{FF2B5EF4-FFF2-40B4-BE49-F238E27FC236}">
                  <a16:creationId xmlns:a16="http://schemas.microsoft.com/office/drawing/2014/main" id="{00000000-0008-0000-0900-000081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28" name="Group 327">
            <a:extLst>
              <a:ext uri="{FF2B5EF4-FFF2-40B4-BE49-F238E27FC236}">
                <a16:creationId xmlns:a16="http://schemas.microsoft.com/office/drawing/2014/main" id="{00000000-0008-0000-0900-000048010000}"/>
              </a:ext>
            </a:extLst>
          </xdr:cNvPr>
          <xdr:cNvGrpSpPr>
            <a:grpSpLocks/>
          </xdr:cNvGrpSpPr>
        </xdr:nvGrpSpPr>
        <xdr:grpSpPr bwMode="auto">
          <a:xfrm flipH="1">
            <a:off x="2352" y="2136"/>
            <a:ext cx="376" cy="48"/>
            <a:chOff x="2592" y="1152"/>
            <a:chExt cx="432" cy="48"/>
          </a:xfrm>
          <a:grpFill/>
        </xdr:grpSpPr>
        <xdr:sp macro="" textlink="">
          <xdr:nvSpPr>
            <xdr:cNvPr id="380" name="Line 66">
              <a:extLst>
                <a:ext uri="{FF2B5EF4-FFF2-40B4-BE49-F238E27FC236}">
                  <a16:creationId xmlns:a16="http://schemas.microsoft.com/office/drawing/2014/main" id="{00000000-0008-0000-0900-00007C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381" name="Line 67">
              <a:extLst>
                <a:ext uri="{FF2B5EF4-FFF2-40B4-BE49-F238E27FC236}">
                  <a16:creationId xmlns:a16="http://schemas.microsoft.com/office/drawing/2014/main" id="{00000000-0008-0000-0900-00007D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29" name="Group 328">
            <a:extLst>
              <a:ext uri="{FF2B5EF4-FFF2-40B4-BE49-F238E27FC236}">
                <a16:creationId xmlns:a16="http://schemas.microsoft.com/office/drawing/2014/main" id="{00000000-0008-0000-0900-000049010000}"/>
              </a:ext>
            </a:extLst>
          </xdr:cNvPr>
          <xdr:cNvGrpSpPr>
            <a:grpSpLocks/>
          </xdr:cNvGrpSpPr>
        </xdr:nvGrpSpPr>
        <xdr:grpSpPr bwMode="auto">
          <a:xfrm flipH="1">
            <a:off x="2352" y="1904"/>
            <a:ext cx="376" cy="48"/>
            <a:chOff x="2592" y="1152"/>
            <a:chExt cx="432" cy="48"/>
          </a:xfrm>
          <a:grpFill/>
        </xdr:grpSpPr>
        <xdr:sp macro="" textlink="">
          <xdr:nvSpPr>
            <xdr:cNvPr id="367" name="Line 69">
              <a:extLst>
                <a:ext uri="{FF2B5EF4-FFF2-40B4-BE49-F238E27FC236}">
                  <a16:creationId xmlns:a16="http://schemas.microsoft.com/office/drawing/2014/main" id="{00000000-0008-0000-0900-00006F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369" name="Line 70">
              <a:extLst>
                <a:ext uri="{FF2B5EF4-FFF2-40B4-BE49-F238E27FC236}">
                  <a16:creationId xmlns:a16="http://schemas.microsoft.com/office/drawing/2014/main" id="{00000000-0008-0000-0900-000071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30" name="Group 329">
            <a:extLst>
              <a:ext uri="{FF2B5EF4-FFF2-40B4-BE49-F238E27FC236}">
                <a16:creationId xmlns:a16="http://schemas.microsoft.com/office/drawing/2014/main" id="{00000000-0008-0000-0900-00004A010000}"/>
              </a:ext>
            </a:extLst>
          </xdr:cNvPr>
          <xdr:cNvGrpSpPr>
            <a:grpSpLocks/>
          </xdr:cNvGrpSpPr>
        </xdr:nvGrpSpPr>
        <xdr:grpSpPr bwMode="auto">
          <a:xfrm flipH="1">
            <a:off x="2352" y="1712"/>
            <a:ext cx="376" cy="48"/>
            <a:chOff x="2592" y="1152"/>
            <a:chExt cx="432" cy="48"/>
          </a:xfrm>
          <a:grpFill/>
        </xdr:grpSpPr>
        <xdr:sp macro="" textlink="">
          <xdr:nvSpPr>
            <xdr:cNvPr id="365" name="Line 72">
              <a:extLst>
                <a:ext uri="{FF2B5EF4-FFF2-40B4-BE49-F238E27FC236}">
                  <a16:creationId xmlns:a16="http://schemas.microsoft.com/office/drawing/2014/main" id="{00000000-0008-0000-0900-00006D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366" name="Line 73">
              <a:extLst>
                <a:ext uri="{FF2B5EF4-FFF2-40B4-BE49-F238E27FC236}">
                  <a16:creationId xmlns:a16="http://schemas.microsoft.com/office/drawing/2014/main" id="{00000000-0008-0000-0900-00006E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32" name="Group 331">
            <a:extLst>
              <a:ext uri="{FF2B5EF4-FFF2-40B4-BE49-F238E27FC236}">
                <a16:creationId xmlns:a16="http://schemas.microsoft.com/office/drawing/2014/main" id="{00000000-0008-0000-0900-00004C010000}"/>
              </a:ext>
            </a:extLst>
          </xdr:cNvPr>
          <xdr:cNvGrpSpPr>
            <a:grpSpLocks/>
          </xdr:cNvGrpSpPr>
        </xdr:nvGrpSpPr>
        <xdr:grpSpPr bwMode="auto">
          <a:xfrm flipH="1">
            <a:off x="2352" y="2352"/>
            <a:ext cx="376" cy="48"/>
            <a:chOff x="2592" y="1152"/>
            <a:chExt cx="432" cy="48"/>
          </a:xfrm>
          <a:grpFill/>
        </xdr:grpSpPr>
        <xdr:sp macro="" textlink="">
          <xdr:nvSpPr>
            <xdr:cNvPr id="361" name="Line 75">
              <a:extLst>
                <a:ext uri="{FF2B5EF4-FFF2-40B4-BE49-F238E27FC236}">
                  <a16:creationId xmlns:a16="http://schemas.microsoft.com/office/drawing/2014/main" id="{00000000-0008-0000-0900-000069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363" name="Line 76">
              <a:extLst>
                <a:ext uri="{FF2B5EF4-FFF2-40B4-BE49-F238E27FC236}">
                  <a16:creationId xmlns:a16="http://schemas.microsoft.com/office/drawing/2014/main" id="{00000000-0008-0000-0900-00006B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33" name="Group 332">
            <a:extLst>
              <a:ext uri="{FF2B5EF4-FFF2-40B4-BE49-F238E27FC236}">
                <a16:creationId xmlns:a16="http://schemas.microsoft.com/office/drawing/2014/main" id="{00000000-0008-0000-0900-00004D010000}"/>
              </a:ext>
            </a:extLst>
          </xdr:cNvPr>
          <xdr:cNvGrpSpPr>
            <a:grpSpLocks/>
          </xdr:cNvGrpSpPr>
        </xdr:nvGrpSpPr>
        <xdr:grpSpPr bwMode="auto">
          <a:xfrm flipH="1">
            <a:off x="2352" y="1272"/>
            <a:ext cx="376" cy="48"/>
            <a:chOff x="2592" y="1152"/>
            <a:chExt cx="432" cy="48"/>
          </a:xfrm>
          <a:grpFill/>
        </xdr:grpSpPr>
        <xdr:sp macro="" textlink="">
          <xdr:nvSpPr>
            <xdr:cNvPr id="334" name="Line 78">
              <a:extLst>
                <a:ext uri="{FF2B5EF4-FFF2-40B4-BE49-F238E27FC236}">
                  <a16:creationId xmlns:a16="http://schemas.microsoft.com/office/drawing/2014/main" id="{00000000-0008-0000-0900-00004E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341" name="Line 79">
              <a:extLst>
                <a:ext uri="{FF2B5EF4-FFF2-40B4-BE49-F238E27FC236}">
                  <a16:creationId xmlns:a16="http://schemas.microsoft.com/office/drawing/2014/main" id="{00000000-0008-0000-0900-000055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clientData/>
  </xdr:twoCellAnchor>
  <xdr:twoCellAnchor>
    <xdr:from>
      <xdr:col>64</xdr:col>
      <xdr:colOff>35626</xdr:colOff>
      <xdr:row>172</xdr:row>
      <xdr:rowOff>20697</xdr:rowOff>
    </xdr:from>
    <xdr:to>
      <xdr:col>67</xdr:col>
      <xdr:colOff>115344</xdr:colOff>
      <xdr:row>191</xdr:row>
      <xdr:rowOff>11288</xdr:rowOff>
    </xdr:to>
    <xdr:sp macro="" textlink="">
      <xdr:nvSpPr>
        <xdr:cNvPr id="6211" name="AutoShape 67" descr="774a0480-05a2-4444-aac5-f30c8438e848">
          <a:hlinkClick xmlns:r="http://schemas.openxmlformats.org/officeDocument/2006/relationships" r:id="rId2"/>
          <a:extLst>
            <a:ext uri="{FF2B5EF4-FFF2-40B4-BE49-F238E27FC236}">
              <a16:creationId xmlns:a16="http://schemas.microsoft.com/office/drawing/2014/main" id="{00000000-0008-0000-0900-000043180000}"/>
            </a:ext>
          </a:extLst>
        </xdr:cNvPr>
        <xdr:cNvSpPr>
          <a:spLocks noChangeArrowheads="1"/>
        </xdr:cNvSpPr>
      </xdr:nvSpPr>
      <xdr:spPr bwMode="auto">
        <a:xfrm>
          <a:off x="55592353" y="27262197"/>
          <a:ext cx="3110400" cy="2952000"/>
        </a:xfrm>
        <a:prstGeom prst="roundRect">
          <a:avLst>
            <a:gd name="adj" fmla="val 16667"/>
          </a:avLst>
        </a:prstGeom>
        <a:gradFill>
          <a:gsLst>
            <a:gs pos="0">
              <a:srgbClr val="D6B19C">
                <a:alpha val="0"/>
              </a:srgbClr>
            </a:gs>
            <a:gs pos="30000">
              <a:srgbClr val="D49E6C">
                <a:alpha val="18000"/>
              </a:srgbClr>
            </a:gs>
            <a:gs pos="70000">
              <a:srgbClr val="A65528">
                <a:alpha val="57000"/>
              </a:srgbClr>
            </a:gs>
            <a:gs pos="100000">
              <a:srgbClr val="663012"/>
            </a:gs>
          </a:gsLst>
          <a:lin ang="5400000" scaled="0"/>
        </a:gradFill>
        <a:ln w="25400">
          <a:solidFill>
            <a:schemeClr val="accent6">
              <a:lumMod val="40000"/>
              <a:lumOff val="60000"/>
            </a:schemeClr>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Coker Naphtha Hydrotreater</a:t>
          </a:r>
        </a:p>
      </xdr:txBody>
    </xdr:sp>
    <xdr:clientData/>
  </xdr:twoCellAnchor>
  <xdr:twoCellAnchor>
    <xdr:from>
      <xdr:col>117</xdr:col>
      <xdr:colOff>344578</xdr:colOff>
      <xdr:row>50</xdr:row>
      <xdr:rowOff>147987</xdr:rowOff>
    </xdr:from>
    <xdr:to>
      <xdr:col>118</xdr:col>
      <xdr:colOff>188567</xdr:colOff>
      <xdr:row>54</xdr:row>
      <xdr:rowOff>11964</xdr:rowOff>
    </xdr:to>
    <xdr:sp macro="" textlink="">
      <xdr:nvSpPr>
        <xdr:cNvPr id="479" name="AutoShape 788" descr="552d3153-717e-4a57-a9ee-cc7d1cf6c5b1">
          <a:extLst>
            <a:ext uri="{FF2B5EF4-FFF2-40B4-BE49-F238E27FC236}">
              <a16:creationId xmlns:a16="http://schemas.microsoft.com/office/drawing/2014/main" id="{00000000-0008-0000-0900-0000DF010000}"/>
            </a:ext>
          </a:extLst>
        </xdr:cNvPr>
        <xdr:cNvSpPr>
          <a:spLocks noChangeArrowheads="1"/>
        </xdr:cNvSpPr>
      </xdr:nvSpPr>
      <xdr:spPr bwMode="auto">
        <a:xfrm>
          <a:off x="110744931" y="7398193"/>
          <a:ext cx="874930" cy="491506"/>
        </a:xfrm>
        <a:prstGeom prst="flowChartDecision">
          <a:avLst/>
        </a:prstGeom>
        <a:solidFill>
          <a:srgbClr val="FFFFFF"/>
        </a:solidFill>
        <a:ln w="6350">
          <a:solidFill>
            <a:srgbClr val="000000"/>
          </a:solidFill>
          <a:miter lim="800000"/>
          <a:headEnd/>
          <a:tailEnd/>
        </a:ln>
      </xdr:spPr>
      <xdr:txBody>
        <a:bodyPr vertOverflow="clip" wrap="square" lIns="18288" tIns="18288" rIns="18288" bIns="0" anchor="t" upright="1"/>
        <a:lstStyle/>
        <a:p>
          <a:pPr algn="ctr" rtl="0">
            <a:defRPr sz="1000"/>
          </a:pPr>
          <a:r>
            <a:rPr lang="en-CA" sz="500" b="0" i="0" u="none" strike="noStrike" baseline="0">
              <a:solidFill>
                <a:srgbClr val="000000"/>
              </a:solidFill>
              <a:latin typeface="Arial"/>
              <a:cs typeface="Arial"/>
            </a:rPr>
            <a:t>Treated gases to  incinerator</a:t>
          </a:r>
        </a:p>
      </xdr:txBody>
    </xdr:sp>
    <xdr:clientData/>
  </xdr:twoCellAnchor>
  <xdr:twoCellAnchor>
    <xdr:from>
      <xdr:col>118</xdr:col>
      <xdr:colOff>168113</xdr:colOff>
      <xdr:row>48</xdr:row>
      <xdr:rowOff>11207</xdr:rowOff>
    </xdr:from>
    <xdr:to>
      <xdr:col>119</xdr:col>
      <xdr:colOff>49500</xdr:colOff>
      <xdr:row>54</xdr:row>
      <xdr:rowOff>121228</xdr:rowOff>
    </xdr:to>
    <xdr:grpSp>
      <xdr:nvGrpSpPr>
        <xdr:cNvPr id="342" name="Group 341">
          <a:extLst>
            <a:ext uri="{FF2B5EF4-FFF2-40B4-BE49-F238E27FC236}">
              <a16:creationId xmlns:a16="http://schemas.microsoft.com/office/drawing/2014/main" id="{00000000-0008-0000-0900-000056010000}"/>
            </a:ext>
          </a:extLst>
        </xdr:cNvPr>
        <xdr:cNvGrpSpPr/>
      </xdr:nvGrpSpPr>
      <xdr:grpSpPr>
        <a:xfrm>
          <a:off x="119854068" y="9259116"/>
          <a:ext cx="781932" cy="1253021"/>
          <a:chOff x="111599407" y="6947648"/>
          <a:chExt cx="777858" cy="1051315"/>
        </a:xfrm>
      </xdr:grpSpPr>
      <xdr:cxnSp macro="">
        <xdr:nvCxnSpPr>
          <xdr:cNvPr id="478" name="AutoShape 161">
            <a:extLst>
              <a:ext uri="{FF2B5EF4-FFF2-40B4-BE49-F238E27FC236}">
                <a16:creationId xmlns:a16="http://schemas.microsoft.com/office/drawing/2014/main" id="{00000000-0008-0000-0900-0000DE010000}"/>
              </a:ext>
            </a:extLst>
          </xdr:cNvPr>
          <xdr:cNvCxnSpPr>
            <a:cxnSpLocks noChangeShapeType="1"/>
            <a:stCxn id="362" idx="0"/>
          </xdr:cNvCxnSpPr>
        </xdr:nvCxnSpPr>
        <xdr:spPr bwMode="auto">
          <a:xfrm rot="5400000" flipH="1" flipV="1">
            <a:off x="111847701" y="7469399"/>
            <a:ext cx="1051315" cy="7813"/>
          </a:xfrm>
          <a:prstGeom prst="straightConnector1">
            <a:avLst/>
          </a:prstGeom>
          <a:noFill/>
          <a:ln w="25400">
            <a:solidFill>
              <a:srgbClr val="000000"/>
            </a:solidFill>
            <a:round/>
            <a:headEnd/>
            <a:tailEnd type="triangle" w="med" len="med"/>
          </a:ln>
        </xdr:spPr>
      </xdr:cxnSp>
      <xdr:sp macro="" textlink="">
        <xdr:nvSpPr>
          <xdr:cNvPr id="480" name="Line 792">
            <a:extLst>
              <a:ext uri="{FF2B5EF4-FFF2-40B4-BE49-F238E27FC236}">
                <a16:creationId xmlns:a16="http://schemas.microsoft.com/office/drawing/2014/main" id="{00000000-0008-0000-0900-0000E0010000}"/>
              </a:ext>
            </a:extLst>
          </xdr:cNvPr>
          <xdr:cNvSpPr>
            <a:spLocks noChangeShapeType="1"/>
          </xdr:cNvSpPr>
        </xdr:nvSpPr>
        <xdr:spPr bwMode="auto">
          <a:xfrm>
            <a:off x="111599407" y="7650396"/>
            <a:ext cx="772957" cy="0"/>
          </a:xfrm>
          <a:prstGeom prst="line">
            <a:avLst/>
          </a:prstGeom>
          <a:noFill/>
          <a:ln w="6350">
            <a:solidFill>
              <a:srgbClr val="000000"/>
            </a:solidFill>
            <a:round/>
            <a:headEnd/>
            <a:tailEnd type="triangle" w="med" len="med"/>
          </a:ln>
        </xdr:spPr>
      </xdr:sp>
    </xdr:grpSp>
    <xdr:clientData/>
  </xdr:twoCellAnchor>
  <xdr:twoCellAnchor>
    <xdr:from>
      <xdr:col>5</xdr:col>
      <xdr:colOff>571500</xdr:colOff>
      <xdr:row>115</xdr:row>
      <xdr:rowOff>105554</xdr:rowOff>
    </xdr:from>
    <xdr:to>
      <xdr:col>8</xdr:col>
      <xdr:colOff>155864</xdr:colOff>
      <xdr:row>125</xdr:row>
      <xdr:rowOff>77666</xdr:rowOff>
    </xdr:to>
    <xdr:sp macro="" textlink="">
      <xdr:nvSpPr>
        <xdr:cNvPr id="6147" name="AutoShape 3" descr="3785e1cd-0c78-45ec-8bff-d195af6cb1a0">
          <a:hlinkClick xmlns:r="http://schemas.openxmlformats.org/officeDocument/2006/relationships" r:id="rId3"/>
          <a:extLst>
            <a:ext uri="{FF2B5EF4-FFF2-40B4-BE49-F238E27FC236}">
              <a16:creationId xmlns:a16="http://schemas.microsoft.com/office/drawing/2014/main" id="{00000000-0008-0000-0900-000003180000}"/>
            </a:ext>
          </a:extLst>
        </xdr:cNvPr>
        <xdr:cNvSpPr>
          <a:spLocks noChangeArrowheads="1"/>
        </xdr:cNvSpPr>
      </xdr:nvSpPr>
      <xdr:spPr bwMode="auto">
        <a:xfrm>
          <a:off x="4277591" y="22861645"/>
          <a:ext cx="2130137" cy="1721248"/>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9525">
          <a:solidFill>
            <a:srgbClr val="000000"/>
          </a:solidFill>
          <a:round/>
          <a:headEnd/>
          <a:tailEnd/>
        </a:ln>
      </xdr:spPr>
      <xdr:txBody>
        <a:bodyPr vertOverflow="clip" wrap="square" lIns="27432" tIns="18288" rIns="27432" bIns="0" anchor="t" upright="1"/>
        <a:lstStyle/>
        <a:p>
          <a:pPr algn="ctr" rtl="0">
            <a:defRPr sz="1000"/>
          </a:pPr>
          <a:r>
            <a:rPr lang="en-US" sz="1000" b="1" i="0" strike="noStrike">
              <a:solidFill>
                <a:srgbClr val="000000"/>
              </a:solidFill>
              <a:latin typeface="Arial"/>
              <a:ea typeface="Arial"/>
              <a:cs typeface="Arial"/>
            </a:rPr>
            <a:t>Desalter</a:t>
          </a:r>
        </a:p>
      </xdr:txBody>
    </xdr:sp>
    <xdr:clientData/>
  </xdr:twoCellAnchor>
  <xdr:twoCellAnchor>
    <xdr:from>
      <xdr:col>20</xdr:col>
      <xdr:colOff>822614</xdr:colOff>
      <xdr:row>116</xdr:row>
      <xdr:rowOff>53499</xdr:rowOff>
    </xdr:from>
    <xdr:to>
      <xdr:col>21</xdr:col>
      <xdr:colOff>114299</xdr:colOff>
      <xdr:row>177</xdr:row>
      <xdr:rowOff>152186</xdr:rowOff>
    </xdr:to>
    <xdr:cxnSp macro="">
      <xdr:nvCxnSpPr>
        <xdr:cNvPr id="3176864" name="AutoShape 14" descr="336d3820-f030-4506-b41b-8169eaca7dbc">
          <a:extLst>
            <a:ext uri="{FF2B5EF4-FFF2-40B4-BE49-F238E27FC236}">
              <a16:creationId xmlns:a16="http://schemas.microsoft.com/office/drawing/2014/main" id="{00000000-0008-0000-0900-0000A0793000}"/>
            </a:ext>
          </a:extLst>
        </xdr:cNvPr>
        <xdr:cNvCxnSpPr>
          <a:cxnSpLocks noChangeShapeType="1"/>
          <a:stCxn id="152" idx="1"/>
          <a:endCxn id="1704" idx="2"/>
        </xdr:cNvCxnSpPr>
      </xdr:nvCxnSpPr>
      <xdr:spPr bwMode="auto">
        <a:xfrm rot="10800000" flipV="1">
          <a:off x="15976023" y="17562181"/>
          <a:ext cx="313458" cy="10004687"/>
        </a:xfrm>
        <a:prstGeom prst="bentConnector3">
          <a:avLst>
            <a:gd name="adj1" fmla="val 333150"/>
          </a:avLst>
        </a:prstGeom>
        <a:noFill/>
        <a:ln w="25400">
          <a:solidFill>
            <a:srgbClr val="7030A0"/>
          </a:solidFill>
          <a:miter lim="800000"/>
          <a:headEnd/>
          <a:tailEnd type="triangle" w="med" len="med"/>
        </a:ln>
      </xdr:spPr>
    </xdr:cxnSp>
    <xdr:clientData/>
  </xdr:twoCellAnchor>
  <xdr:twoCellAnchor>
    <xdr:from>
      <xdr:col>43</xdr:col>
      <xdr:colOff>6802</xdr:colOff>
      <xdr:row>241</xdr:row>
      <xdr:rowOff>114300</xdr:rowOff>
    </xdr:from>
    <xdr:to>
      <xdr:col>49</xdr:col>
      <xdr:colOff>528944</xdr:colOff>
      <xdr:row>245</xdr:row>
      <xdr:rowOff>46722</xdr:rowOff>
    </xdr:to>
    <xdr:cxnSp macro="">
      <xdr:nvCxnSpPr>
        <xdr:cNvPr id="3176869" name="AutoShape 23" descr="991f03b1-1d31-4abd-a92a-b1629bd6e23f">
          <a:extLst>
            <a:ext uri="{FF2B5EF4-FFF2-40B4-BE49-F238E27FC236}">
              <a16:creationId xmlns:a16="http://schemas.microsoft.com/office/drawing/2014/main" id="{00000000-0008-0000-0900-0000A5793000}"/>
            </a:ext>
          </a:extLst>
        </xdr:cNvPr>
        <xdr:cNvCxnSpPr>
          <a:cxnSpLocks noChangeShapeType="1"/>
          <a:stCxn id="436" idx="3"/>
          <a:endCxn id="566" idx="1"/>
        </xdr:cNvCxnSpPr>
      </xdr:nvCxnSpPr>
      <xdr:spPr bwMode="auto">
        <a:xfrm flipV="1">
          <a:off x="36825257" y="39409255"/>
          <a:ext cx="6341051" cy="555876"/>
        </a:xfrm>
        <a:prstGeom prst="bentConnector4">
          <a:avLst>
            <a:gd name="adj1" fmla="val 43228"/>
            <a:gd name="adj2" fmla="val 1676"/>
          </a:avLst>
        </a:prstGeom>
        <a:noFill/>
        <a:ln w="25400">
          <a:solidFill>
            <a:schemeClr val="accent6">
              <a:lumMod val="75000"/>
            </a:schemeClr>
          </a:solidFill>
          <a:miter lim="800000"/>
          <a:headEnd/>
          <a:tailEnd type="triangle" w="med" len="med"/>
        </a:ln>
      </xdr:spPr>
    </xdr:cxnSp>
    <xdr:clientData/>
  </xdr:twoCellAnchor>
  <xdr:twoCellAnchor>
    <xdr:from>
      <xdr:col>68</xdr:col>
      <xdr:colOff>677447</xdr:colOff>
      <xdr:row>206</xdr:row>
      <xdr:rowOff>212</xdr:rowOff>
    </xdr:from>
    <xdr:to>
      <xdr:col>73</xdr:col>
      <xdr:colOff>301731</xdr:colOff>
      <xdr:row>206</xdr:row>
      <xdr:rowOff>5567</xdr:rowOff>
    </xdr:to>
    <xdr:cxnSp macro="">
      <xdr:nvCxnSpPr>
        <xdr:cNvPr id="3176875" name="AutoShape 58" descr="fe6dee40-28a2-45ee-83f2-e608812e7e4c">
          <a:extLst>
            <a:ext uri="{FF2B5EF4-FFF2-40B4-BE49-F238E27FC236}">
              <a16:creationId xmlns:a16="http://schemas.microsoft.com/office/drawing/2014/main" id="{00000000-0008-0000-0900-0000AB793000}"/>
            </a:ext>
          </a:extLst>
        </xdr:cNvPr>
        <xdr:cNvCxnSpPr>
          <a:cxnSpLocks noChangeShapeType="1"/>
          <a:stCxn id="903" idx="6"/>
          <a:endCxn id="6232" idx="1"/>
        </xdr:cNvCxnSpPr>
      </xdr:nvCxnSpPr>
      <xdr:spPr bwMode="auto">
        <a:xfrm flipV="1">
          <a:off x="60321265" y="32939394"/>
          <a:ext cx="4075057" cy="5355"/>
        </a:xfrm>
        <a:prstGeom prst="straightConnector1">
          <a:avLst/>
        </a:prstGeom>
        <a:noFill/>
        <a:ln w="25400">
          <a:solidFill>
            <a:schemeClr val="accent3">
              <a:lumMod val="75000"/>
            </a:schemeClr>
          </a:solidFill>
          <a:round/>
          <a:headEnd/>
          <a:tailEnd type="triangle" w="med" len="med"/>
        </a:ln>
      </xdr:spPr>
    </xdr:cxnSp>
    <xdr:clientData/>
  </xdr:twoCellAnchor>
  <xdr:twoCellAnchor>
    <xdr:from>
      <xdr:col>76</xdr:col>
      <xdr:colOff>633016</xdr:colOff>
      <xdr:row>248</xdr:row>
      <xdr:rowOff>63969</xdr:rowOff>
    </xdr:from>
    <xdr:to>
      <xdr:col>81</xdr:col>
      <xdr:colOff>744682</xdr:colOff>
      <xdr:row>248</xdr:row>
      <xdr:rowOff>68525</xdr:rowOff>
    </xdr:to>
    <xdr:cxnSp macro="">
      <xdr:nvCxnSpPr>
        <xdr:cNvPr id="3176876" name="AutoShape 66" descr="f47daddb-5c98-422c-a256-73297458dada">
          <a:extLst>
            <a:ext uri="{FF2B5EF4-FFF2-40B4-BE49-F238E27FC236}">
              <a16:creationId xmlns:a16="http://schemas.microsoft.com/office/drawing/2014/main" id="{00000000-0008-0000-0900-0000AC793000}"/>
            </a:ext>
          </a:extLst>
        </xdr:cNvPr>
        <xdr:cNvCxnSpPr>
          <a:cxnSpLocks noChangeShapeType="1"/>
          <a:stCxn id="6201" idx="3"/>
          <a:endCxn id="729" idx="0"/>
        </xdr:cNvCxnSpPr>
      </xdr:nvCxnSpPr>
      <xdr:spPr bwMode="auto">
        <a:xfrm>
          <a:off x="67914152" y="40449969"/>
          <a:ext cx="5636166" cy="4556"/>
        </a:xfrm>
        <a:prstGeom prst="straightConnector1">
          <a:avLst/>
        </a:prstGeom>
        <a:noFill/>
        <a:ln w="25400">
          <a:solidFill>
            <a:schemeClr val="accent3">
              <a:lumMod val="75000"/>
            </a:schemeClr>
          </a:solidFill>
          <a:round/>
          <a:headEnd/>
          <a:tailEnd type="triangle" w="med" len="med"/>
        </a:ln>
      </xdr:spPr>
    </xdr:cxnSp>
    <xdr:clientData/>
  </xdr:twoCellAnchor>
  <xdr:twoCellAnchor>
    <xdr:from>
      <xdr:col>41</xdr:col>
      <xdr:colOff>420453</xdr:colOff>
      <xdr:row>125</xdr:row>
      <xdr:rowOff>77684</xdr:rowOff>
    </xdr:from>
    <xdr:to>
      <xdr:col>63</xdr:col>
      <xdr:colOff>966109</xdr:colOff>
      <xdr:row>141</xdr:row>
      <xdr:rowOff>104717</xdr:rowOff>
    </xdr:to>
    <xdr:cxnSp macro="">
      <xdr:nvCxnSpPr>
        <xdr:cNvPr id="3176881" name="AutoShape 83" descr="b47f506d-84b9-4ebd-a2bb-9513a33f4957">
          <a:extLst>
            <a:ext uri="{FF2B5EF4-FFF2-40B4-BE49-F238E27FC236}">
              <a16:creationId xmlns:a16="http://schemas.microsoft.com/office/drawing/2014/main" id="{00000000-0008-0000-0900-0000B1793000}"/>
            </a:ext>
          </a:extLst>
        </xdr:cNvPr>
        <xdr:cNvCxnSpPr>
          <a:cxnSpLocks noChangeShapeType="1"/>
          <a:stCxn id="635" idx="7"/>
          <a:endCxn id="235" idx="1"/>
        </xdr:cNvCxnSpPr>
      </xdr:nvCxnSpPr>
      <xdr:spPr bwMode="auto">
        <a:xfrm rot="5400000" flipH="1" flipV="1">
          <a:off x="42973741" y="11066803"/>
          <a:ext cx="2789283" cy="19923078"/>
        </a:xfrm>
        <a:prstGeom prst="bentConnector2">
          <a:avLst/>
        </a:prstGeom>
        <a:noFill/>
        <a:ln w="25400">
          <a:solidFill>
            <a:schemeClr val="accent3">
              <a:lumMod val="75000"/>
            </a:schemeClr>
          </a:solidFill>
          <a:miter lim="800000"/>
          <a:headEnd/>
          <a:tailEnd type="triangle" w="med" len="med"/>
        </a:ln>
      </xdr:spPr>
    </xdr:cxnSp>
    <xdr:clientData/>
  </xdr:twoCellAnchor>
  <xdr:twoCellAnchor>
    <xdr:from>
      <xdr:col>23</xdr:col>
      <xdr:colOff>495300</xdr:colOff>
      <xdr:row>103</xdr:row>
      <xdr:rowOff>95294</xdr:rowOff>
    </xdr:from>
    <xdr:to>
      <xdr:col>38</xdr:col>
      <xdr:colOff>1333500</xdr:colOff>
      <xdr:row>104</xdr:row>
      <xdr:rowOff>0</xdr:rowOff>
    </xdr:to>
    <xdr:cxnSp macro="">
      <xdr:nvCxnSpPr>
        <xdr:cNvPr id="3176883" name="AutoShape 93" descr="1a06b3d3-6dc6-4af7-88da-0584a6e50018">
          <a:extLst>
            <a:ext uri="{FF2B5EF4-FFF2-40B4-BE49-F238E27FC236}">
              <a16:creationId xmlns:a16="http://schemas.microsoft.com/office/drawing/2014/main" id="{00000000-0008-0000-0900-0000B3793000}"/>
            </a:ext>
          </a:extLst>
        </xdr:cNvPr>
        <xdr:cNvCxnSpPr>
          <a:cxnSpLocks noChangeShapeType="1"/>
          <a:endCxn id="622" idx="2"/>
        </xdr:cNvCxnSpPr>
      </xdr:nvCxnSpPr>
      <xdr:spPr bwMode="auto">
        <a:xfrm flipV="1">
          <a:off x="19850100" y="15220994"/>
          <a:ext cx="13411200" cy="57106"/>
        </a:xfrm>
        <a:prstGeom prst="bentConnector3">
          <a:avLst>
            <a:gd name="adj1" fmla="val 50000"/>
          </a:avLst>
        </a:prstGeom>
        <a:noFill/>
        <a:ln w="25400">
          <a:solidFill>
            <a:srgbClr val="7030A0"/>
          </a:solidFill>
          <a:miter lim="800000"/>
          <a:headEnd/>
          <a:tailEnd type="triangle" w="med" len="med"/>
        </a:ln>
      </xdr:spPr>
    </xdr:cxnSp>
    <xdr:clientData/>
  </xdr:twoCellAnchor>
  <xdr:twoCellAnchor>
    <xdr:from>
      <xdr:col>42</xdr:col>
      <xdr:colOff>217714</xdr:colOff>
      <xdr:row>133</xdr:row>
      <xdr:rowOff>50721</xdr:rowOff>
    </xdr:from>
    <xdr:to>
      <xdr:col>66</xdr:col>
      <xdr:colOff>680363</xdr:colOff>
      <xdr:row>180</xdr:row>
      <xdr:rowOff>132404</xdr:rowOff>
    </xdr:to>
    <xdr:cxnSp macro="">
      <xdr:nvCxnSpPr>
        <xdr:cNvPr id="3176884" name="AutoShape 95" descr="cd1d107c-36d5-4425-9db2-a00e6315d44b">
          <a:extLst>
            <a:ext uri="{FF2B5EF4-FFF2-40B4-BE49-F238E27FC236}">
              <a16:creationId xmlns:a16="http://schemas.microsoft.com/office/drawing/2014/main" id="{00000000-0008-0000-0900-0000B4793000}"/>
            </a:ext>
          </a:extLst>
        </xdr:cNvPr>
        <xdr:cNvCxnSpPr>
          <a:cxnSpLocks noChangeShapeType="1"/>
          <a:stCxn id="639" idx="6"/>
        </xdr:cNvCxnSpPr>
      </xdr:nvCxnSpPr>
      <xdr:spPr bwMode="auto">
        <a:xfrm flipV="1">
          <a:off x="35962441" y="20468857"/>
          <a:ext cx="22248922" cy="8151956"/>
        </a:xfrm>
        <a:prstGeom prst="bentConnector3">
          <a:avLst>
            <a:gd name="adj1" fmla="val 45612"/>
          </a:avLst>
        </a:prstGeom>
        <a:noFill/>
        <a:ln w="25400">
          <a:solidFill>
            <a:schemeClr val="accent3">
              <a:lumMod val="75000"/>
            </a:schemeClr>
          </a:solidFill>
          <a:miter lim="800000"/>
          <a:headEnd/>
          <a:tailEnd type="triangle" w="med" len="med"/>
        </a:ln>
      </xdr:spPr>
    </xdr:cxnSp>
    <xdr:clientData/>
  </xdr:twoCellAnchor>
  <xdr:twoCellAnchor>
    <xdr:from>
      <xdr:col>67</xdr:col>
      <xdr:colOff>217715</xdr:colOff>
      <xdr:row>125</xdr:row>
      <xdr:rowOff>105398</xdr:rowOff>
    </xdr:from>
    <xdr:to>
      <xdr:col>74</xdr:col>
      <xdr:colOff>30736</xdr:colOff>
      <xdr:row>125</xdr:row>
      <xdr:rowOff>109053</xdr:rowOff>
    </xdr:to>
    <xdr:cxnSp macro="">
      <xdr:nvCxnSpPr>
        <xdr:cNvPr id="3176888" name="AutoShape 108" descr="e39ffed5-18fa-4e60-abf1-cafb13f3e03b">
          <a:extLst>
            <a:ext uri="{FF2B5EF4-FFF2-40B4-BE49-F238E27FC236}">
              <a16:creationId xmlns:a16="http://schemas.microsoft.com/office/drawing/2014/main" id="{00000000-0008-0000-0900-0000B8793000}"/>
            </a:ext>
          </a:extLst>
        </xdr:cNvPr>
        <xdr:cNvCxnSpPr>
          <a:cxnSpLocks noChangeShapeType="1"/>
          <a:stCxn id="235" idx="3"/>
          <a:endCxn id="709" idx="1"/>
        </xdr:cNvCxnSpPr>
      </xdr:nvCxnSpPr>
      <xdr:spPr bwMode="auto">
        <a:xfrm flipV="1">
          <a:off x="51217286" y="19971827"/>
          <a:ext cx="5623271" cy="3655"/>
        </a:xfrm>
        <a:prstGeom prst="straightConnector1">
          <a:avLst/>
        </a:prstGeom>
        <a:noFill/>
        <a:ln w="25400">
          <a:solidFill>
            <a:schemeClr val="accent3">
              <a:lumMod val="75000"/>
            </a:schemeClr>
          </a:solidFill>
          <a:round/>
          <a:headEnd/>
          <a:tailEnd type="triangle" w="lg" len="lg"/>
        </a:ln>
      </xdr:spPr>
    </xdr:cxnSp>
    <xdr:clientData/>
  </xdr:twoCellAnchor>
  <xdr:twoCellAnchor>
    <xdr:from>
      <xdr:col>91</xdr:col>
      <xdr:colOff>561223</xdr:colOff>
      <xdr:row>163</xdr:row>
      <xdr:rowOff>136072</xdr:rowOff>
    </xdr:from>
    <xdr:to>
      <xdr:col>95</xdr:col>
      <xdr:colOff>272142</xdr:colOff>
      <xdr:row>182</xdr:row>
      <xdr:rowOff>104775</xdr:rowOff>
    </xdr:to>
    <xdr:grpSp>
      <xdr:nvGrpSpPr>
        <xdr:cNvPr id="487" name="Group 486">
          <a:hlinkClick xmlns:r="http://schemas.openxmlformats.org/officeDocument/2006/relationships" r:id="rId4"/>
          <a:extLst>
            <a:ext uri="{FF2B5EF4-FFF2-40B4-BE49-F238E27FC236}">
              <a16:creationId xmlns:a16="http://schemas.microsoft.com/office/drawing/2014/main" id="{00000000-0008-0000-0900-0000E7010000}"/>
            </a:ext>
          </a:extLst>
        </xdr:cNvPr>
        <xdr:cNvGrpSpPr/>
      </xdr:nvGrpSpPr>
      <xdr:grpSpPr>
        <a:xfrm>
          <a:off x="85333723" y="29247936"/>
          <a:ext cx="3382374" cy="3189884"/>
          <a:chOff x="82925260" y="26765250"/>
          <a:chExt cx="3384848" cy="3370489"/>
        </a:xfrm>
      </xdr:grpSpPr>
      <xdr:sp macro="" textlink="">
        <xdr:nvSpPr>
          <xdr:cNvPr id="6255" name="AutoShape 111">
            <a:extLst>
              <a:ext uri="{FF2B5EF4-FFF2-40B4-BE49-F238E27FC236}">
                <a16:creationId xmlns:a16="http://schemas.microsoft.com/office/drawing/2014/main" id="{00000000-0008-0000-0900-00006F180000}"/>
              </a:ext>
            </a:extLst>
          </xdr:cNvPr>
          <xdr:cNvSpPr>
            <a:spLocks noChangeArrowheads="1"/>
          </xdr:cNvSpPr>
        </xdr:nvSpPr>
        <xdr:spPr bwMode="auto">
          <a:xfrm>
            <a:off x="82925260" y="26765250"/>
            <a:ext cx="3384848" cy="3370489"/>
          </a:xfrm>
          <a:prstGeom prst="roundRect">
            <a:avLst>
              <a:gd name="adj" fmla="val 16667"/>
            </a:avLst>
          </a:prstGeom>
          <a:gradFill>
            <a:gsLst>
              <a:gs pos="32000">
                <a:schemeClr val="accent3">
                  <a:lumMod val="40000"/>
                  <a:lumOff val="60000"/>
                  <a:alpha val="0"/>
                </a:schemeClr>
              </a:gs>
              <a:gs pos="50000">
                <a:srgbClr val="9CB86E">
                  <a:alpha val="27000"/>
                </a:srgbClr>
              </a:gs>
              <a:gs pos="100000">
                <a:srgbClr val="156B13"/>
              </a:gs>
            </a:gsLst>
            <a:lin ang="5400000" scaled="1"/>
          </a:gradFill>
          <a:ln w="25400">
            <a:solidFill>
              <a:srgbClr val="00000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Alkylation Unit</a:t>
            </a:r>
          </a:p>
        </xdr:txBody>
      </xdr:sp>
      <xdr:sp macro="" textlink="">
        <xdr:nvSpPr>
          <xdr:cNvPr id="3176962" name="AutoShape 112">
            <a:extLst>
              <a:ext uri="{FF2B5EF4-FFF2-40B4-BE49-F238E27FC236}">
                <a16:creationId xmlns:a16="http://schemas.microsoft.com/office/drawing/2014/main" id="{00000000-0008-0000-0900-0000027A3000}"/>
              </a:ext>
            </a:extLst>
          </xdr:cNvPr>
          <xdr:cNvSpPr>
            <a:spLocks noChangeArrowheads="1"/>
          </xdr:cNvSpPr>
        </xdr:nvSpPr>
        <xdr:spPr bwMode="auto">
          <a:xfrm>
            <a:off x="83117734" y="29568078"/>
            <a:ext cx="2566452" cy="390267"/>
          </a:xfrm>
          <a:prstGeom prst="roundRect">
            <a:avLst>
              <a:gd name="adj" fmla="val 16667"/>
            </a:avLst>
          </a:prstGeom>
          <a:noFill/>
          <a:ln w="25400">
            <a:noFill/>
            <a:round/>
            <a:headEnd/>
            <a:tailEnd/>
          </a:ln>
        </xdr:spPr>
      </xdr:sp>
      <xdr:sp macro="" textlink="">
        <xdr:nvSpPr>
          <xdr:cNvPr id="3176963" name="AutoShape 113">
            <a:extLst>
              <a:ext uri="{FF2B5EF4-FFF2-40B4-BE49-F238E27FC236}">
                <a16:creationId xmlns:a16="http://schemas.microsoft.com/office/drawing/2014/main" id="{00000000-0008-0000-0900-0000037A3000}"/>
              </a:ext>
            </a:extLst>
          </xdr:cNvPr>
          <xdr:cNvSpPr>
            <a:spLocks noChangeArrowheads="1"/>
          </xdr:cNvSpPr>
        </xdr:nvSpPr>
        <xdr:spPr bwMode="auto">
          <a:xfrm>
            <a:off x="83457908" y="29130014"/>
            <a:ext cx="2811380" cy="390267"/>
          </a:xfrm>
          <a:prstGeom prst="roundRect">
            <a:avLst>
              <a:gd name="adj" fmla="val 16667"/>
            </a:avLst>
          </a:prstGeom>
          <a:noFill/>
          <a:ln w="25400">
            <a:noFill/>
            <a:round/>
            <a:headEnd/>
            <a:tailEnd/>
          </a:ln>
        </xdr:spPr>
      </xdr:sp>
    </xdr:grpSp>
    <xdr:clientData/>
  </xdr:twoCellAnchor>
  <xdr:twoCellAnchor>
    <xdr:from>
      <xdr:col>73</xdr:col>
      <xdr:colOff>723612</xdr:colOff>
      <xdr:row>65</xdr:row>
      <xdr:rowOff>17320</xdr:rowOff>
    </xdr:from>
    <xdr:to>
      <xdr:col>77</xdr:col>
      <xdr:colOff>190500</xdr:colOff>
      <xdr:row>80</xdr:row>
      <xdr:rowOff>51956</xdr:rowOff>
    </xdr:to>
    <xdr:sp macro="" textlink="">
      <xdr:nvSpPr>
        <xdr:cNvPr id="6271" name="AutoShape 127" descr="dcc883d5-0051-4111-b7f9-14ec603ddbc6">
          <a:hlinkClick xmlns:r="http://schemas.openxmlformats.org/officeDocument/2006/relationships" r:id="rId5"/>
          <a:extLst>
            <a:ext uri="{FF2B5EF4-FFF2-40B4-BE49-F238E27FC236}">
              <a16:creationId xmlns:a16="http://schemas.microsoft.com/office/drawing/2014/main" id="{00000000-0008-0000-0900-00007F180000}"/>
            </a:ext>
          </a:extLst>
        </xdr:cNvPr>
        <xdr:cNvSpPr>
          <a:spLocks noChangeArrowheads="1"/>
        </xdr:cNvSpPr>
      </xdr:nvSpPr>
      <xdr:spPr bwMode="auto">
        <a:xfrm>
          <a:off x="56176430" y="9559638"/>
          <a:ext cx="3432752" cy="2372591"/>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Merox Unit</a:t>
          </a:r>
        </a:p>
      </xdr:txBody>
    </xdr:sp>
    <xdr:clientData/>
  </xdr:twoCellAnchor>
  <xdr:twoCellAnchor>
    <xdr:from>
      <xdr:col>64</xdr:col>
      <xdr:colOff>140441</xdr:colOff>
      <xdr:row>72</xdr:row>
      <xdr:rowOff>116281</xdr:rowOff>
    </xdr:from>
    <xdr:to>
      <xdr:col>73</xdr:col>
      <xdr:colOff>723612</xdr:colOff>
      <xdr:row>72</xdr:row>
      <xdr:rowOff>128201</xdr:rowOff>
    </xdr:to>
    <xdr:cxnSp macro="">
      <xdr:nvCxnSpPr>
        <xdr:cNvPr id="3176898" name="AutoShape 128" descr="5095681e-c26d-486b-b21d-b9946d743fc6">
          <a:extLst>
            <a:ext uri="{FF2B5EF4-FFF2-40B4-BE49-F238E27FC236}">
              <a16:creationId xmlns:a16="http://schemas.microsoft.com/office/drawing/2014/main" id="{00000000-0008-0000-0900-0000C2793000}"/>
            </a:ext>
          </a:extLst>
        </xdr:cNvPr>
        <xdr:cNvCxnSpPr>
          <a:cxnSpLocks noChangeShapeType="1"/>
          <a:stCxn id="6269" idx="3"/>
          <a:endCxn id="6271" idx="1"/>
        </xdr:cNvCxnSpPr>
      </xdr:nvCxnSpPr>
      <xdr:spPr bwMode="auto">
        <a:xfrm flipV="1">
          <a:off x="55848084" y="11246924"/>
          <a:ext cx="9155671" cy="11920"/>
        </a:xfrm>
        <a:prstGeom prst="straightConnector1">
          <a:avLst/>
        </a:prstGeom>
        <a:noFill/>
        <a:ln w="25400">
          <a:solidFill>
            <a:srgbClr val="7030A0"/>
          </a:solidFill>
          <a:round/>
          <a:headEnd/>
          <a:tailEnd type="triangle" w="med" len="med"/>
        </a:ln>
      </xdr:spPr>
    </xdr:cxnSp>
    <xdr:clientData/>
  </xdr:twoCellAnchor>
  <xdr:twoCellAnchor>
    <xdr:from>
      <xdr:col>23</xdr:col>
      <xdr:colOff>457200</xdr:colOff>
      <xdr:row>44</xdr:row>
      <xdr:rowOff>121506</xdr:rowOff>
    </xdr:from>
    <xdr:to>
      <xdr:col>48</xdr:col>
      <xdr:colOff>409842</xdr:colOff>
      <xdr:row>55</xdr:row>
      <xdr:rowOff>76200</xdr:rowOff>
    </xdr:to>
    <xdr:cxnSp macro="">
      <xdr:nvCxnSpPr>
        <xdr:cNvPr id="3176900" name="AutoShape 130" descr="49eed0a7-115d-4376-bfa1-635500a8a55c">
          <a:extLst>
            <a:ext uri="{FF2B5EF4-FFF2-40B4-BE49-F238E27FC236}">
              <a16:creationId xmlns:a16="http://schemas.microsoft.com/office/drawing/2014/main" id="{00000000-0008-0000-0900-0000C4793000}"/>
            </a:ext>
          </a:extLst>
        </xdr:cNvPr>
        <xdr:cNvCxnSpPr>
          <a:cxnSpLocks noChangeShapeType="1"/>
          <a:endCxn id="6273" idx="1"/>
        </xdr:cNvCxnSpPr>
      </xdr:nvCxnSpPr>
      <xdr:spPr bwMode="auto">
        <a:xfrm flipV="1">
          <a:off x="18440400" y="6255606"/>
          <a:ext cx="20145642" cy="1631094"/>
        </a:xfrm>
        <a:prstGeom prst="bentConnector3">
          <a:avLst>
            <a:gd name="adj1" fmla="val 50000"/>
          </a:avLst>
        </a:prstGeom>
        <a:noFill/>
        <a:ln w="25400">
          <a:solidFill>
            <a:srgbClr val="7030A0"/>
          </a:solidFill>
          <a:miter lim="800000"/>
          <a:headEnd/>
          <a:tailEnd type="triangle" w="med" len="med"/>
        </a:ln>
      </xdr:spPr>
    </xdr:cxnSp>
    <xdr:clientData/>
  </xdr:twoCellAnchor>
  <xdr:twoCellAnchor>
    <xdr:from>
      <xdr:col>68</xdr:col>
      <xdr:colOff>966108</xdr:colOff>
      <xdr:row>17</xdr:row>
      <xdr:rowOff>4</xdr:rowOff>
    </xdr:from>
    <xdr:to>
      <xdr:col>72</xdr:col>
      <xdr:colOff>1</xdr:colOff>
      <xdr:row>27</xdr:row>
      <xdr:rowOff>86591</xdr:rowOff>
    </xdr:to>
    <xdr:sp macro="" textlink="">
      <xdr:nvSpPr>
        <xdr:cNvPr id="6275" name="AutoShape 131" descr="8845311a-c60f-44ee-92a0-020c374a345d">
          <a:hlinkClick xmlns:r="http://schemas.openxmlformats.org/officeDocument/2006/relationships" r:id="rId6"/>
          <a:extLst>
            <a:ext uri="{FF2B5EF4-FFF2-40B4-BE49-F238E27FC236}">
              <a16:creationId xmlns:a16="http://schemas.microsoft.com/office/drawing/2014/main" id="{00000000-0008-0000-0900-000083180000}"/>
            </a:ext>
          </a:extLst>
        </xdr:cNvPr>
        <xdr:cNvSpPr>
          <a:spLocks noChangeArrowheads="1"/>
        </xdr:cNvSpPr>
      </xdr:nvSpPr>
      <xdr:spPr bwMode="auto">
        <a:xfrm>
          <a:off x="60769501" y="2149933"/>
          <a:ext cx="2952750" cy="1719444"/>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Isomerisation Unit</a:t>
          </a:r>
        </a:p>
      </xdr:txBody>
    </xdr:sp>
    <xdr:clientData/>
  </xdr:twoCellAnchor>
  <xdr:twoCellAnchor>
    <xdr:from>
      <xdr:col>68</xdr:col>
      <xdr:colOff>707572</xdr:colOff>
      <xdr:row>37</xdr:row>
      <xdr:rowOff>34686</xdr:rowOff>
    </xdr:from>
    <xdr:to>
      <xdr:col>72</xdr:col>
      <xdr:colOff>244929</xdr:colOff>
      <xdr:row>52</xdr:row>
      <xdr:rowOff>34638</xdr:rowOff>
    </xdr:to>
    <xdr:sp macro="" textlink="">
      <xdr:nvSpPr>
        <xdr:cNvPr id="6276" name="AutoShape 132" descr="9876745b-0e26-4884-9eb4-6b47152f3c69">
          <a:hlinkClick xmlns:r="http://schemas.openxmlformats.org/officeDocument/2006/relationships" r:id="rId7"/>
          <a:extLst>
            <a:ext uri="{FF2B5EF4-FFF2-40B4-BE49-F238E27FC236}">
              <a16:creationId xmlns:a16="http://schemas.microsoft.com/office/drawing/2014/main" id="{00000000-0008-0000-0900-000084180000}"/>
            </a:ext>
          </a:extLst>
        </xdr:cNvPr>
        <xdr:cNvSpPr>
          <a:spLocks noChangeArrowheads="1"/>
        </xdr:cNvSpPr>
      </xdr:nvSpPr>
      <xdr:spPr bwMode="auto">
        <a:xfrm>
          <a:off x="60510965" y="5450329"/>
          <a:ext cx="3456214" cy="2449238"/>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Reformer</a:t>
          </a:r>
        </a:p>
      </xdr:txBody>
    </xdr:sp>
    <xdr:clientData/>
  </xdr:twoCellAnchor>
  <xdr:twoCellAnchor>
    <xdr:from>
      <xdr:col>72</xdr:col>
      <xdr:colOff>1</xdr:colOff>
      <xdr:row>22</xdr:row>
      <xdr:rowOff>43298</xdr:rowOff>
    </xdr:from>
    <xdr:to>
      <xdr:col>99</xdr:col>
      <xdr:colOff>261165</xdr:colOff>
      <xdr:row>30</xdr:row>
      <xdr:rowOff>142876</xdr:rowOff>
    </xdr:to>
    <xdr:cxnSp macro="">
      <xdr:nvCxnSpPr>
        <xdr:cNvPr id="3176905" name="AutoShape 145" descr="591b8115-1b78-4003-be80-21a6d1c06bb2">
          <a:extLst>
            <a:ext uri="{FF2B5EF4-FFF2-40B4-BE49-F238E27FC236}">
              <a16:creationId xmlns:a16="http://schemas.microsoft.com/office/drawing/2014/main" id="{00000000-0008-0000-0900-0000C9793000}"/>
            </a:ext>
          </a:extLst>
        </xdr:cNvPr>
        <xdr:cNvCxnSpPr>
          <a:cxnSpLocks noChangeShapeType="1"/>
          <a:stCxn id="6275" idx="3"/>
          <a:endCxn id="1107" idx="0"/>
        </xdr:cNvCxnSpPr>
      </xdr:nvCxnSpPr>
      <xdr:spPr bwMode="auto">
        <a:xfrm>
          <a:off x="63722251" y="3009655"/>
          <a:ext cx="24522700" cy="1405864"/>
        </a:xfrm>
        <a:prstGeom prst="bentConnector2">
          <a:avLst/>
        </a:prstGeom>
        <a:noFill/>
        <a:ln w="25400">
          <a:solidFill>
            <a:srgbClr val="7030A0"/>
          </a:solidFill>
          <a:miter lim="800000"/>
          <a:headEnd/>
          <a:tailEnd type="triangle" w="med" len="med"/>
        </a:ln>
      </xdr:spPr>
    </xdr:cxnSp>
    <xdr:clientData/>
  </xdr:twoCellAnchor>
  <xdr:twoCellAnchor>
    <xdr:from>
      <xdr:col>70</xdr:col>
      <xdr:colOff>432954</xdr:colOff>
      <xdr:row>32</xdr:row>
      <xdr:rowOff>21442</xdr:rowOff>
    </xdr:from>
    <xdr:to>
      <xdr:col>98</xdr:col>
      <xdr:colOff>903928</xdr:colOff>
      <xdr:row>52</xdr:row>
      <xdr:rowOff>34638</xdr:rowOff>
    </xdr:to>
    <xdr:cxnSp macro="">
      <xdr:nvCxnSpPr>
        <xdr:cNvPr id="3176906" name="AutoShape 146" descr="665ce4a3-d13a-41e7-86bb-cd83e062dc89">
          <a:extLst>
            <a:ext uri="{FF2B5EF4-FFF2-40B4-BE49-F238E27FC236}">
              <a16:creationId xmlns:a16="http://schemas.microsoft.com/office/drawing/2014/main" id="{00000000-0008-0000-0900-0000CA793000}"/>
            </a:ext>
          </a:extLst>
        </xdr:cNvPr>
        <xdr:cNvCxnSpPr>
          <a:cxnSpLocks noChangeShapeType="1"/>
          <a:stCxn id="6276" idx="2"/>
          <a:endCxn id="1107" idx="1"/>
        </xdr:cNvCxnSpPr>
      </xdr:nvCxnSpPr>
      <xdr:spPr bwMode="auto">
        <a:xfrm rot="5400000" flipH="1" flipV="1">
          <a:off x="74402661" y="-7914038"/>
          <a:ext cx="3130469" cy="27799065"/>
        </a:xfrm>
        <a:prstGeom prst="bentConnector5">
          <a:avLst>
            <a:gd name="adj1" fmla="val -7302"/>
            <a:gd name="adj2" fmla="val 52662"/>
            <a:gd name="adj3" fmla="val 107302"/>
          </a:avLst>
        </a:prstGeom>
        <a:noFill/>
        <a:ln w="25400">
          <a:solidFill>
            <a:srgbClr val="7030A0"/>
          </a:solidFill>
          <a:miter lim="800000"/>
          <a:headEnd/>
          <a:tailEnd type="triangle" w="med" len="med"/>
        </a:ln>
      </xdr:spPr>
    </xdr:cxnSp>
    <xdr:clientData/>
  </xdr:twoCellAnchor>
  <xdr:twoCellAnchor>
    <xdr:from>
      <xdr:col>84</xdr:col>
      <xdr:colOff>293836</xdr:colOff>
      <xdr:row>38</xdr:row>
      <xdr:rowOff>5075</xdr:rowOff>
    </xdr:from>
    <xdr:to>
      <xdr:col>99</xdr:col>
      <xdr:colOff>836858</xdr:colOff>
      <xdr:row>238</xdr:row>
      <xdr:rowOff>22532</xdr:rowOff>
    </xdr:to>
    <xdr:cxnSp macro="">
      <xdr:nvCxnSpPr>
        <xdr:cNvPr id="3176907" name="AutoShape 147" descr="30191b71-bad5-4cc6-aa87-697d0dfb7681">
          <a:extLst>
            <a:ext uri="{FF2B5EF4-FFF2-40B4-BE49-F238E27FC236}">
              <a16:creationId xmlns:a16="http://schemas.microsoft.com/office/drawing/2014/main" id="{00000000-0008-0000-0900-0000CB793000}"/>
            </a:ext>
          </a:extLst>
        </xdr:cNvPr>
        <xdr:cNvCxnSpPr>
          <a:cxnSpLocks noChangeShapeType="1"/>
          <a:stCxn id="705" idx="0"/>
          <a:endCxn id="1107" idx="5"/>
        </xdr:cNvCxnSpPr>
      </xdr:nvCxnSpPr>
      <xdr:spPr bwMode="auto">
        <a:xfrm rot="5400000" flipH="1" flipV="1">
          <a:off x="66755368" y="14263588"/>
          <a:ext cx="33337639" cy="15488613"/>
        </a:xfrm>
        <a:prstGeom prst="bentConnector3">
          <a:avLst>
            <a:gd name="adj1" fmla="val -686"/>
          </a:avLst>
        </a:prstGeom>
        <a:noFill/>
        <a:ln w="25400">
          <a:solidFill>
            <a:schemeClr val="accent3">
              <a:lumMod val="75000"/>
            </a:schemeClr>
          </a:solidFill>
          <a:miter lim="800000"/>
          <a:headEnd/>
          <a:tailEnd type="triangle" w="med" len="med"/>
        </a:ln>
      </xdr:spPr>
    </xdr:cxnSp>
    <xdr:clientData/>
  </xdr:twoCellAnchor>
  <xdr:twoCellAnchor>
    <xdr:from>
      <xdr:col>67</xdr:col>
      <xdr:colOff>115344</xdr:colOff>
      <xdr:row>60</xdr:row>
      <xdr:rowOff>112315</xdr:rowOff>
    </xdr:from>
    <xdr:to>
      <xdr:col>79</xdr:col>
      <xdr:colOff>996207</xdr:colOff>
      <xdr:row>181</xdr:row>
      <xdr:rowOff>93924</xdr:rowOff>
    </xdr:to>
    <xdr:cxnSp macro="">
      <xdr:nvCxnSpPr>
        <xdr:cNvPr id="3176908" name="AutoShape 148" descr="d9af2607-b2c4-4935-b4bb-3c6e6ca7a3f2">
          <a:extLst>
            <a:ext uri="{FF2B5EF4-FFF2-40B4-BE49-F238E27FC236}">
              <a16:creationId xmlns:a16="http://schemas.microsoft.com/office/drawing/2014/main" id="{00000000-0008-0000-0900-0000CC793000}"/>
            </a:ext>
          </a:extLst>
        </xdr:cNvPr>
        <xdr:cNvCxnSpPr>
          <a:cxnSpLocks noChangeShapeType="1"/>
          <a:stCxn id="6211" idx="3"/>
          <a:endCxn id="1093" idx="4"/>
        </xdr:cNvCxnSpPr>
      </xdr:nvCxnSpPr>
      <xdr:spPr bwMode="auto">
        <a:xfrm flipV="1">
          <a:off x="58702753" y="8875315"/>
          <a:ext cx="11808636" cy="19862882"/>
        </a:xfrm>
        <a:prstGeom prst="bentConnector2">
          <a:avLst/>
        </a:prstGeom>
        <a:noFill/>
        <a:ln w="25400">
          <a:solidFill>
            <a:schemeClr val="accent6">
              <a:lumMod val="75000"/>
            </a:schemeClr>
          </a:solidFill>
          <a:miter lim="800000"/>
          <a:headEnd/>
          <a:tailEnd type="triangle" w="med" len="med"/>
        </a:ln>
      </xdr:spPr>
    </xdr:cxnSp>
    <xdr:clientData/>
  </xdr:twoCellAnchor>
  <xdr:twoCellAnchor>
    <xdr:from>
      <xdr:col>95</xdr:col>
      <xdr:colOff>231322</xdr:colOff>
      <xdr:row>39</xdr:row>
      <xdr:rowOff>39504</xdr:rowOff>
    </xdr:from>
    <xdr:to>
      <xdr:col>99</xdr:col>
      <xdr:colOff>261165</xdr:colOff>
      <xdr:row>177</xdr:row>
      <xdr:rowOff>110613</xdr:rowOff>
    </xdr:to>
    <xdr:cxnSp macro="">
      <xdr:nvCxnSpPr>
        <xdr:cNvPr id="3176909" name="AutoShape 149" descr="da11fec1-59b0-4f30-a622-2ca2f9c3cc7b">
          <a:extLst>
            <a:ext uri="{FF2B5EF4-FFF2-40B4-BE49-F238E27FC236}">
              <a16:creationId xmlns:a16="http://schemas.microsoft.com/office/drawing/2014/main" id="{00000000-0008-0000-0900-0000CD793000}"/>
            </a:ext>
          </a:extLst>
        </xdr:cNvPr>
        <xdr:cNvCxnSpPr>
          <a:cxnSpLocks noChangeShapeType="1"/>
          <a:stCxn id="3176963" idx="3"/>
          <a:endCxn id="1107" idx="4"/>
        </xdr:cNvCxnSpPr>
      </xdr:nvCxnSpPr>
      <xdr:spPr bwMode="auto">
        <a:xfrm flipV="1">
          <a:off x="86405358" y="5781718"/>
          <a:ext cx="4220843" cy="23475395"/>
        </a:xfrm>
        <a:prstGeom prst="bentConnector2">
          <a:avLst/>
        </a:prstGeom>
        <a:noFill/>
        <a:ln w="25400">
          <a:solidFill>
            <a:schemeClr val="accent3">
              <a:lumMod val="75000"/>
            </a:schemeClr>
          </a:solidFill>
          <a:miter lim="800000"/>
          <a:headEnd/>
          <a:tailEnd type="triangle" w="med" len="med"/>
        </a:ln>
      </xdr:spPr>
    </xdr:cxnSp>
    <xdr:clientData/>
  </xdr:twoCellAnchor>
  <xdr:twoCellAnchor>
    <xdr:from>
      <xdr:col>77</xdr:col>
      <xdr:colOff>190500</xdr:colOff>
      <xdr:row>72</xdr:row>
      <xdr:rowOff>94168</xdr:rowOff>
    </xdr:from>
    <xdr:to>
      <xdr:col>102</xdr:col>
      <xdr:colOff>413470</xdr:colOff>
      <xdr:row>72</xdr:row>
      <xdr:rowOff>117982</xdr:rowOff>
    </xdr:to>
    <xdr:cxnSp macro="">
      <xdr:nvCxnSpPr>
        <xdr:cNvPr id="3176910" name="AutoShape 151" descr="8d4328d5-476e-41ce-a85f-c1bd6e0c71ff">
          <a:extLst>
            <a:ext uri="{FF2B5EF4-FFF2-40B4-BE49-F238E27FC236}">
              <a16:creationId xmlns:a16="http://schemas.microsoft.com/office/drawing/2014/main" id="{00000000-0008-0000-0900-0000CE793000}"/>
            </a:ext>
          </a:extLst>
        </xdr:cNvPr>
        <xdr:cNvCxnSpPr>
          <a:cxnSpLocks noChangeShapeType="1"/>
          <a:stCxn id="6271" idx="3"/>
          <a:endCxn id="669" idx="1"/>
        </xdr:cNvCxnSpPr>
      </xdr:nvCxnSpPr>
      <xdr:spPr bwMode="auto">
        <a:xfrm flipV="1">
          <a:off x="63031688" y="11452731"/>
          <a:ext cx="23773532" cy="23814"/>
        </a:xfrm>
        <a:prstGeom prst="straightConnector1">
          <a:avLst/>
        </a:prstGeom>
        <a:noFill/>
        <a:ln w="25400">
          <a:solidFill>
            <a:srgbClr val="7030A0"/>
          </a:solidFill>
          <a:round/>
          <a:headEnd/>
          <a:tailEnd type="triangle" w="lg" len="lg"/>
        </a:ln>
      </xdr:spPr>
    </xdr:cxnSp>
    <xdr:clientData/>
  </xdr:twoCellAnchor>
  <xdr:twoCellAnchor>
    <xdr:from>
      <xdr:col>51</xdr:col>
      <xdr:colOff>256472</xdr:colOff>
      <xdr:row>238</xdr:row>
      <xdr:rowOff>2165</xdr:rowOff>
    </xdr:from>
    <xdr:to>
      <xdr:col>103</xdr:col>
      <xdr:colOff>190500</xdr:colOff>
      <xdr:row>314</xdr:row>
      <xdr:rowOff>0</xdr:rowOff>
    </xdr:to>
    <xdr:cxnSp macro="">
      <xdr:nvCxnSpPr>
        <xdr:cNvPr id="3176911" name="AutoShape 153" descr="cb33d0a2-0530-43f2-abfb-cb427f6ac9cf">
          <a:extLst>
            <a:ext uri="{FF2B5EF4-FFF2-40B4-BE49-F238E27FC236}">
              <a16:creationId xmlns:a16="http://schemas.microsoft.com/office/drawing/2014/main" id="{00000000-0008-0000-0900-0000CF793000}"/>
            </a:ext>
          </a:extLst>
        </xdr:cNvPr>
        <xdr:cNvCxnSpPr>
          <a:cxnSpLocks noChangeShapeType="1"/>
        </xdr:cNvCxnSpPr>
      </xdr:nvCxnSpPr>
      <xdr:spPr bwMode="auto">
        <a:xfrm>
          <a:off x="40832972" y="45626915"/>
          <a:ext cx="46225528" cy="14666335"/>
        </a:xfrm>
        <a:prstGeom prst="bentConnector3">
          <a:avLst>
            <a:gd name="adj1" fmla="val -71"/>
          </a:avLst>
        </a:prstGeom>
        <a:noFill/>
        <a:ln w="25400">
          <a:solidFill>
            <a:schemeClr val="accent6">
              <a:lumMod val="75000"/>
            </a:schemeClr>
          </a:solidFill>
          <a:miter lim="800000"/>
          <a:headEnd/>
          <a:tailEnd type="triangle" w="med" len="med"/>
        </a:ln>
      </xdr:spPr>
    </xdr:cxnSp>
    <xdr:clientData/>
  </xdr:twoCellAnchor>
  <xdr:twoCellAnchor>
    <xdr:from>
      <xdr:col>76</xdr:col>
      <xdr:colOff>62994</xdr:colOff>
      <xdr:row>148</xdr:row>
      <xdr:rowOff>163286</xdr:rowOff>
    </xdr:from>
    <xdr:to>
      <xdr:col>103</xdr:col>
      <xdr:colOff>183696</xdr:colOff>
      <xdr:row>156</xdr:row>
      <xdr:rowOff>145145</xdr:rowOff>
    </xdr:to>
    <xdr:cxnSp macro="">
      <xdr:nvCxnSpPr>
        <xdr:cNvPr id="3176916" name="AutoShape 160" descr="ab5fdc6b-f1fc-485c-a3b1-610b32db239e">
          <a:extLst>
            <a:ext uri="{FF2B5EF4-FFF2-40B4-BE49-F238E27FC236}">
              <a16:creationId xmlns:a16="http://schemas.microsoft.com/office/drawing/2014/main" id="{00000000-0008-0000-0900-0000D4793000}"/>
            </a:ext>
          </a:extLst>
        </xdr:cNvPr>
        <xdr:cNvCxnSpPr>
          <a:cxnSpLocks noChangeShapeType="1"/>
          <a:endCxn id="727" idx="1"/>
        </xdr:cNvCxnSpPr>
      </xdr:nvCxnSpPr>
      <xdr:spPr bwMode="auto">
        <a:xfrm>
          <a:off x="61856432" y="24523474"/>
          <a:ext cx="25338139" cy="1315359"/>
        </a:xfrm>
        <a:prstGeom prst="bentConnector3">
          <a:avLst>
            <a:gd name="adj1" fmla="val -91"/>
          </a:avLst>
        </a:prstGeom>
        <a:noFill/>
        <a:ln w="25400">
          <a:solidFill>
            <a:schemeClr val="accent3">
              <a:lumMod val="75000"/>
            </a:schemeClr>
          </a:solidFill>
          <a:miter lim="800000"/>
          <a:headEnd/>
          <a:tailEnd type="triangle" w="med" len="med"/>
        </a:ln>
      </xdr:spPr>
    </xdr:cxnSp>
    <xdr:clientData/>
  </xdr:twoCellAnchor>
  <xdr:twoCellAnchor>
    <xdr:from>
      <xdr:col>50</xdr:col>
      <xdr:colOff>543609</xdr:colOff>
      <xdr:row>22</xdr:row>
      <xdr:rowOff>43299</xdr:rowOff>
    </xdr:from>
    <xdr:to>
      <xdr:col>68</xdr:col>
      <xdr:colOff>966107</xdr:colOff>
      <xdr:row>35</xdr:row>
      <xdr:rowOff>49269</xdr:rowOff>
    </xdr:to>
    <xdr:cxnSp macro="">
      <xdr:nvCxnSpPr>
        <xdr:cNvPr id="3176919" name="AutoShape 163" descr="996a8322-ed45-4421-8fa3-a368f01200f2">
          <a:extLst>
            <a:ext uri="{FF2B5EF4-FFF2-40B4-BE49-F238E27FC236}">
              <a16:creationId xmlns:a16="http://schemas.microsoft.com/office/drawing/2014/main" id="{00000000-0008-0000-0900-0000D7793000}"/>
            </a:ext>
          </a:extLst>
        </xdr:cNvPr>
        <xdr:cNvCxnSpPr>
          <a:cxnSpLocks noChangeShapeType="1"/>
          <a:stCxn id="6273" idx="0"/>
          <a:endCxn id="6275" idx="1"/>
        </xdr:cNvCxnSpPr>
      </xdr:nvCxnSpPr>
      <xdr:spPr bwMode="auto">
        <a:xfrm rot="5400000" flipH="1" flipV="1">
          <a:off x="51343231" y="-4287930"/>
          <a:ext cx="2128684" cy="16723855"/>
        </a:xfrm>
        <a:prstGeom prst="bentConnector2">
          <a:avLst/>
        </a:prstGeom>
        <a:noFill/>
        <a:ln w="25400">
          <a:solidFill>
            <a:srgbClr val="7030A0"/>
          </a:solidFill>
          <a:miter lim="800000"/>
          <a:headEnd/>
          <a:tailEnd type="triangle" w="med" len="med"/>
        </a:ln>
      </xdr:spPr>
    </xdr:cxnSp>
    <xdr:clientData/>
  </xdr:twoCellAnchor>
  <xdr:twoCellAnchor>
    <xdr:from>
      <xdr:col>71</xdr:col>
      <xdr:colOff>1061357</xdr:colOff>
      <xdr:row>19</xdr:row>
      <xdr:rowOff>68036</xdr:rowOff>
    </xdr:from>
    <xdr:to>
      <xdr:col>84</xdr:col>
      <xdr:colOff>149678</xdr:colOff>
      <xdr:row>39</xdr:row>
      <xdr:rowOff>68036</xdr:rowOff>
    </xdr:to>
    <xdr:cxnSp macro="">
      <xdr:nvCxnSpPr>
        <xdr:cNvPr id="3176920" name="AutoShape 164" descr="d7a8d7ba-bb5c-4849-a1e6-64f88db84ae8">
          <a:extLst>
            <a:ext uri="{FF2B5EF4-FFF2-40B4-BE49-F238E27FC236}">
              <a16:creationId xmlns:a16="http://schemas.microsoft.com/office/drawing/2014/main" id="{00000000-0008-0000-0900-0000D8793000}"/>
            </a:ext>
          </a:extLst>
        </xdr:cNvPr>
        <xdr:cNvCxnSpPr>
          <a:cxnSpLocks noChangeShapeType="1"/>
        </xdr:cNvCxnSpPr>
      </xdr:nvCxnSpPr>
      <xdr:spPr bwMode="auto">
        <a:xfrm flipV="1">
          <a:off x="63708643" y="2544536"/>
          <a:ext cx="11157856" cy="3265714"/>
        </a:xfrm>
        <a:prstGeom prst="bentConnector3">
          <a:avLst>
            <a:gd name="adj1" fmla="val 50000"/>
          </a:avLst>
        </a:prstGeom>
        <a:noFill/>
        <a:ln w="127000">
          <a:solidFill>
            <a:srgbClr val="0000FF"/>
          </a:solidFill>
          <a:miter lim="800000"/>
          <a:headEnd/>
          <a:tailEnd type="triangle" w="med" len="med"/>
        </a:ln>
      </xdr:spPr>
    </xdr:cxnSp>
    <xdr:clientData/>
  </xdr:twoCellAnchor>
  <xdr:twoCellAnchor>
    <xdr:from>
      <xdr:col>39</xdr:col>
      <xdr:colOff>627166</xdr:colOff>
      <xdr:row>99</xdr:row>
      <xdr:rowOff>68037</xdr:rowOff>
    </xdr:from>
    <xdr:to>
      <xdr:col>63</xdr:col>
      <xdr:colOff>917863</xdr:colOff>
      <xdr:row>120</xdr:row>
      <xdr:rowOff>17319</xdr:rowOff>
    </xdr:to>
    <xdr:cxnSp macro="">
      <xdr:nvCxnSpPr>
        <xdr:cNvPr id="3176923" name="Elbow Connector 123" descr="ba1eec66-2905-403b-a4e0-d7711a24689b">
          <a:extLst>
            <a:ext uri="{FF2B5EF4-FFF2-40B4-BE49-F238E27FC236}">
              <a16:creationId xmlns:a16="http://schemas.microsoft.com/office/drawing/2014/main" id="{00000000-0008-0000-0900-0000DB793000}"/>
            </a:ext>
          </a:extLst>
        </xdr:cNvPr>
        <xdr:cNvCxnSpPr>
          <a:cxnSpLocks noChangeShapeType="1"/>
          <a:stCxn id="622" idx="0"/>
        </xdr:cNvCxnSpPr>
      </xdr:nvCxnSpPr>
      <xdr:spPr bwMode="auto">
        <a:xfrm rot="16200000" flipH="1">
          <a:off x="42984965" y="5664284"/>
          <a:ext cx="3239736" cy="21730606"/>
        </a:xfrm>
        <a:prstGeom prst="bentConnector4">
          <a:avLst>
            <a:gd name="adj1" fmla="val -7056"/>
            <a:gd name="adj2" fmla="val 63836"/>
          </a:avLst>
        </a:prstGeom>
        <a:noFill/>
        <a:ln w="25400" algn="ctr">
          <a:solidFill>
            <a:schemeClr val="accent3">
              <a:lumMod val="75000"/>
            </a:schemeClr>
          </a:solidFill>
          <a:round/>
          <a:headEnd/>
          <a:tailEnd type="triangle" w="med" len="med"/>
        </a:ln>
      </xdr:spPr>
    </xdr:cxnSp>
    <xdr:clientData/>
  </xdr:twoCellAnchor>
  <xdr:twoCellAnchor>
    <xdr:from>
      <xdr:col>40</xdr:col>
      <xdr:colOff>353786</xdr:colOff>
      <xdr:row>103</xdr:row>
      <xdr:rowOff>95295</xdr:rowOff>
    </xdr:from>
    <xdr:to>
      <xdr:col>68</xdr:col>
      <xdr:colOff>27702</xdr:colOff>
      <xdr:row>206</xdr:row>
      <xdr:rowOff>5567</xdr:rowOff>
    </xdr:to>
    <xdr:cxnSp macro="">
      <xdr:nvCxnSpPr>
        <xdr:cNvPr id="3176924" name="Elbow Connector 125" descr="d2863ebc-839e-4941-970a-978216aa9bc2">
          <a:extLst>
            <a:ext uri="{FF2B5EF4-FFF2-40B4-BE49-F238E27FC236}">
              <a16:creationId xmlns:a16="http://schemas.microsoft.com/office/drawing/2014/main" id="{00000000-0008-0000-0900-0000DC793000}"/>
            </a:ext>
          </a:extLst>
        </xdr:cNvPr>
        <xdr:cNvCxnSpPr>
          <a:cxnSpLocks noChangeShapeType="1"/>
        </xdr:cNvCxnSpPr>
      </xdr:nvCxnSpPr>
      <xdr:spPr bwMode="auto">
        <a:xfrm>
          <a:off x="36624986" y="18002295"/>
          <a:ext cx="25162816" cy="17321972"/>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34</xdr:col>
      <xdr:colOff>294412</xdr:colOff>
      <xdr:row>144</xdr:row>
      <xdr:rowOff>86591</xdr:rowOff>
    </xdr:from>
    <xdr:to>
      <xdr:col>39</xdr:col>
      <xdr:colOff>1262743</xdr:colOff>
      <xdr:row>144</xdr:row>
      <xdr:rowOff>97768</xdr:rowOff>
    </xdr:to>
    <xdr:cxnSp macro="">
      <xdr:nvCxnSpPr>
        <xdr:cNvPr id="3176927" name="Elbow Connector 145" descr="80dc2641-c298-4478-9ee5-1f1c76195b17">
          <a:extLst>
            <a:ext uri="{FF2B5EF4-FFF2-40B4-BE49-F238E27FC236}">
              <a16:creationId xmlns:a16="http://schemas.microsoft.com/office/drawing/2014/main" id="{00000000-0008-0000-0900-0000DF793000}"/>
            </a:ext>
          </a:extLst>
        </xdr:cNvPr>
        <xdr:cNvCxnSpPr>
          <a:cxnSpLocks noChangeShapeType="1"/>
          <a:endCxn id="635" idx="2"/>
        </xdr:cNvCxnSpPr>
      </xdr:nvCxnSpPr>
      <xdr:spPr bwMode="auto">
        <a:xfrm>
          <a:off x="26739276" y="22219227"/>
          <a:ext cx="5990603" cy="11177"/>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34</xdr:col>
      <xdr:colOff>415636</xdr:colOff>
      <xdr:row>181</xdr:row>
      <xdr:rowOff>0</xdr:rowOff>
    </xdr:from>
    <xdr:to>
      <xdr:col>40</xdr:col>
      <xdr:colOff>68035</xdr:colOff>
      <xdr:row>181</xdr:row>
      <xdr:rowOff>2474</xdr:rowOff>
    </xdr:to>
    <xdr:cxnSp macro="">
      <xdr:nvCxnSpPr>
        <xdr:cNvPr id="3176928" name="Elbow Connector 147" descr="d9455b57-2a69-4099-a180-201f7981967c">
          <a:extLst>
            <a:ext uri="{FF2B5EF4-FFF2-40B4-BE49-F238E27FC236}">
              <a16:creationId xmlns:a16="http://schemas.microsoft.com/office/drawing/2014/main" id="{00000000-0008-0000-0900-0000E0793000}"/>
            </a:ext>
          </a:extLst>
        </xdr:cNvPr>
        <xdr:cNvCxnSpPr>
          <a:cxnSpLocks noChangeShapeType="1"/>
        </xdr:cNvCxnSpPr>
      </xdr:nvCxnSpPr>
      <xdr:spPr bwMode="auto">
        <a:xfrm>
          <a:off x="28505727" y="28644273"/>
          <a:ext cx="6060126" cy="2474"/>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42</xdr:col>
      <xdr:colOff>1</xdr:colOff>
      <xdr:row>144</xdr:row>
      <xdr:rowOff>102097</xdr:rowOff>
    </xdr:from>
    <xdr:to>
      <xdr:col>67</xdr:col>
      <xdr:colOff>571500</xdr:colOff>
      <xdr:row>203</xdr:row>
      <xdr:rowOff>0</xdr:rowOff>
    </xdr:to>
    <xdr:cxnSp macro="">
      <xdr:nvCxnSpPr>
        <xdr:cNvPr id="3176929" name="Elbow Connector 155" descr="d3d6b75c-6cab-4dc3-ab66-ae8f349b09eb">
          <a:extLst>
            <a:ext uri="{FF2B5EF4-FFF2-40B4-BE49-F238E27FC236}">
              <a16:creationId xmlns:a16="http://schemas.microsoft.com/office/drawing/2014/main" id="{00000000-0008-0000-0900-0000E1793000}"/>
            </a:ext>
          </a:extLst>
        </xdr:cNvPr>
        <xdr:cNvCxnSpPr>
          <a:cxnSpLocks noChangeShapeType="1"/>
          <a:stCxn id="635" idx="6"/>
        </xdr:cNvCxnSpPr>
      </xdr:nvCxnSpPr>
      <xdr:spPr bwMode="auto">
        <a:xfrm>
          <a:off x="36195001" y="26962597"/>
          <a:ext cx="23050499" cy="11423153"/>
        </a:xfrm>
        <a:prstGeom prst="bentConnector3">
          <a:avLst>
            <a:gd name="adj1" fmla="val 54545"/>
          </a:avLst>
        </a:prstGeom>
        <a:noFill/>
        <a:ln w="25400" algn="ctr">
          <a:solidFill>
            <a:schemeClr val="accent3">
              <a:lumMod val="75000"/>
            </a:schemeClr>
          </a:solidFill>
          <a:round/>
          <a:headEnd/>
          <a:tailEnd type="triangle" w="med" len="med"/>
        </a:ln>
      </xdr:spPr>
    </xdr:cxnSp>
    <xdr:clientData/>
  </xdr:twoCellAnchor>
  <xdr:twoCellAnchor>
    <xdr:from>
      <xdr:col>58</xdr:col>
      <xdr:colOff>190500</xdr:colOff>
      <xdr:row>257</xdr:row>
      <xdr:rowOff>0</xdr:rowOff>
    </xdr:from>
    <xdr:to>
      <xdr:col>64</xdr:col>
      <xdr:colOff>98653</xdr:colOff>
      <xdr:row>274</xdr:row>
      <xdr:rowOff>69352</xdr:rowOff>
    </xdr:to>
    <xdr:cxnSp macro="">
      <xdr:nvCxnSpPr>
        <xdr:cNvPr id="3176931" name="Shape 163" descr="e6bbd7eb-adee-4d06-8fea-f91ac16a4210">
          <a:extLst>
            <a:ext uri="{FF2B5EF4-FFF2-40B4-BE49-F238E27FC236}">
              <a16:creationId xmlns:a16="http://schemas.microsoft.com/office/drawing/2014/main" id="{00000000-0008-0000-0900-0000E3793000}"/>
            </a:ext>
          </a:extLst>
        </xdr:cNvPr>
        <xdr:cNvCxnSpPr>
          <a:cxnSpLocks noChangeShapeType="1"/>
          <a:endCxn id="687" idx="2"/>
        </xdr:cNvCxnSpPr>
      </xdr:nvCxnSpPr>
      <xdr:spPr bwMode="auto">
        <a:xfrm>
          <a:off x="46269088" y="41260059"/>
          <a:ext cx="5399036" cy="2736352"/>
        </a:xfrm>
        <a:prstGeom prst="bentConnector3">
          <a:avLst>
            <a:gd name="adj1" fmla="val 27646"/>
          </a:avLst>
        </a:prstGeom>
        <a:noFill/>
        <a:ln w="25400" algn="ctr">
          <a:solidFill>
            <a:schemeClr val="accent6">
              <a:lumMod val="75000"/>
            </a:schemeClr>
          </a:solidFill>
          <a:round/>
          <a:headEnd/>
          <a:tailEnd type="arrow" w="med" len="med"/>
        </a:ln>
      </xdr:spPr>
    </xdr:cxnSp>
    <xdr:clientData/>
  </xdr:twoCellAnchor>
  <xdr:twoCellAnchor>
    <xdr:from>
      <xdr:col>59</xdr:col>
      <xdr:colOff>39748</xdr:colOff>
      <xdr:row>181</xdr:row>
      <xdr:rowOff>93924</xdr:rowOff>
    </xdr:from>
    <xdr:to>
      <xdr:col>64</xdr:col>
      <xdr:colOff>35626</xdr:colOff>
      <xdr:row>218</xdr:row>
      <xdr:rowOff>145330</xdr:rowOff>
    </xdr:to>
    <xdr:cxnSp macro="">
      <xdr:nvCxnSpPr>
        <xdr:cNvPr id="3176932" name="Elbow Connector 168" descr="ae63100b-8546-4d52-a5ad-accee60c5e28">
          <a:extLst>
            <a:ext uri="{FF2B5EF4-FFF2-40B4-BE49-F238E27FC236}">
              <a16:creationId xmlns:a16="http://schemas.microsoft.com/office/drawing/2014/main" id="{00000000-0008-0000-0900-0000E4793000}"/>
            </a:ext>
          </a:extLst>
        </xdr:cNvPr>
        <xdr:cNvCxnSpPr>
          <a:cxnSpLocks noChangeShapeType="1"/>
          <a:stCxn id="334" idx="0"/>
          <a:endCxn id="6211" idx="1"/>
        </xdr:cNvCxnSpPr>
      </xdr:nvCxnSpPr>
      <xdr:spPr bwMode="auto">
        <a:xfrm rot="5400000" flipH="1" flipV="1">
          <a:off x="49836393" y="29891643"/>
          <a:ext cx="6909406" cy="4602514"/>
        </a:xfrm>
        <a:prstGeom prst="bentConnector4">
          <a:avLst>
            <a:gd name="adj1" fmla="val -3309"/>
            <a:gd name="adj2" fmla="val 50000"/>
          </a:avLst>
        </a:prstGeom>
        <a:noFill/>
        <a:ln w="25400" algn="ctr">
          <a:solidFill>
            <a:schemeClr val="accent6">
              <a:lumMod val="75000"/>
            </a:schemeClr>
          </a:solidFill>
          <a:round/>
          <a:headEnd/>
          <a:tailEnd type="triangle" w="med" len="med"/>
        </a:ln>
      </xdr:spPr>
    </xdr:cxnSp>
    <xdr:clientData/>
  </xdr:twoCellAnchor>
  <xdr:twoCellAnchor>
    <xdr:from>
      <xdr:col>75</xdr:col>
      <xdr:colOff>137826</xdr:colOff>
      <xdr:row>212</xdr:row>
      <xdr:rowOff>21484</xdr:rowOff>
    </xdr:from>
    <xdr:to>
      <xdr:col>75</xdr:col>
      <xdr:colOff>142432</xdr:colOff>
      <xdr:row>239</xdr:row>
      <xdr:rowOff>109923</xdr:rowOff>
    </xdr:to>
    <xdr:cxnSp macro="">
      <xdr:nvCxnSpPr>
        <xdr:cNvPr id="3176933" name="Elbow Connector 174" descr="b2ac7d5a-55d4-45e7-a0d5-75c7ac1f8080">
          <a:extLst>
            <a:ext uri="{FF2B5EF4-FFF2-40B4-BE49-F238E27FC236}">
              <a16:creationId xmlns:a16="http://schemas.microsoft.com/office/drawing/2014/main" id="{00000000-0008-0000-0900-0000E5793000}"/>
            </a:ext>
          </a:extLst>
        </xdr:cNvPr>
        <xdr:cNvCxnSpPr>
          <a:cxnSpLocks noChangeShapeType="1"/>
          <a:stCxn id="6232" idx="2"/>
          <a:endCxn id="6201" idx="0"/>
        </xdr:cNvCxnSpPr>
      </xdr:nvCxnSpPr>
      <xdr:spPr bwMode="auto">
        <a:xfrm rot="5400000">
          <a:off x="63904750" y="36665378"/>
          <a:ext cx="4504575" cy="4606"/>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41</xdr:col>
      <xdr:colOff>0</xdr:colOff>
      <xdr:row>185</xdr:row>
      <xdr:rowOff>0</xdr:rowOff>
    </xdr:from>
    <xdr:to>
      <xdr:col>68</xdr:col>
      <xdr:colOff>152550</xdr:colOff>
      <xdr:row>208</xdr:row>
      <xdr:rowOff>8659</xdr:rowOff>
    </xdr:to>
    <xdr:cxnSp macro="">
      <xdr:nvCxnSpPr>
        <xdr:cNvPr id="3176934" name="Elbow Connector 176" descr="d57537d5-6e85-47df-8097-9951efeb19b9">
          <a:extLst>
            <a:ext uri="{FF2B5EF4-FFF2-40B4-BE49-F238E27FC236}">
              <a16:creationId xmlns:a16="http://schemas.microsoft.com/office/drawing/2014/main" id="{00000000-0008-0000-0900-0000E6793000}"/>
            </a:ext>
          </a:extLst>
        </xdr:cNvPr>
        <xdr:cNvCxnSpPr>
          <a:cxnSpLocks noChangeShapeType="1"/>
          <a:endCxn id="903" idx="4"/>
        </xdr:cNvCxnSpPr>
      </xdr:nvCxnSpPr>
      <xdr:spPr bwMode="auto">
        <a:xfrm>
          <a:off x="35528250" y="34766250"/>
          <a:ext cx="24346050" cy="4675909"/>
        </a:xfrm>
        <a:prstGeom prst="bentConnector4">
          <a:avLst>
            <a:gd name="adj1" fmla="val 50878"/>
            <a:gd name="adj2" fmla="val 104889"/>
          </a:avLst>
        </a:prstGeom>
        <a:noFill/>
        <a:ln w="25400" algn="ctr">
          <a:solidFill>
            <a:schemeClr val="accent3">
              <a:lumMod val="75000"/>
            </a:schemeClr>
          </a:solidFill>
          <a:round/>
          <a:headEnd/>
          <a:tailEnd type="triangle" w="med" len="med"/>
        </a:ln>
      </xdr:spPr>
    </xdr:cxnSp>
    <xdr:clientData/>
  </xdr:twoCellAnchor>
  <xdr:twoCellAnchor>
    <xdr:from>
      <xdr:col>64</xdr:col>
      <xdr:colOff>192536</xdr:colOff>
      <xdr:row>132</xdr:row>
      <xdr:rowOff>103909</xdr:rowOff>
    </xdr:from>
    <xdr:to>
      <xdr:col>67</xdr:col>
      <xdr:colOff>259773</xdr:colOff>
      <xdr:row>274</xdr:row>
      <xdr:rowOff>69861</xdr:rowOff>
    </xdr:to>
    <xdr:cxnSp macro="">
      <xdr:nvCxnSpPr>
        <xdr:cNvPr id="3176935" name="Elbow Connector 180" descr="15ef56bc-6a02-41df-856c-2eb5f72f3f35">
          <a:extLst>
            <a:ext uri="{FF2B5EF4-FFF2-40B4-BE49-F238E27FC236}">
              <a16:creationId xmlns:a16="http://schemas.microsoft.com/office/drawing/2014/main" id="{00000000-0008-0000-0900-0000E7793000}"/>
            </a:ext>
          </a:extLst>
        </xdr:cNvPr>
        <xdr:cNvCxnSpPr>
          <a:cxnSpLocks noChangeShapeType="1"/>
          <a:stCxn id="687" idx="6"/>
        </xdr:cNvCxnSpPr>
      </xdr:nvCxnSpPr>
      <xdr:spPr bwMode="auto">
        <a:xfrm flipV="1">
          <a:off x="55749263" y="20366182"/>
          <a:ext cx="3097919" cy="24142134"/>
        </a:xfrm>
        <a:prstGeom prst="bentConnector2">
          <a:avLst/>
        </a:prstGeom>
        <a:noFill/>
        <a:ln w="25400" algn="ctr">
          <a:solidFill>
            <a:schemeClr val="accent6">
              <a:lumMod val="75000"/>
            </a:schemeClr>
          </a:solidFill>
          <a:round/>
          <a:headEnd/>
          <a:tailEnd type="triangle" w="med" len="med"/>
        </a:ln>
      </xdr:spPr>
    </xdr:cxnSp>
    <xdr:clientData/>
  </xdr:twoCellAnchor>
  <xdr:twoCellAnchor>
    <xdr:from>
      <xdr:col>94</xdr:col>
      <xdr:colOff>59434</xdr:colOff>
      <xdr:row>89</xdr:row>
      <xdr:rowOff>9021</xdr:rowOff>
    </xdr:from>
    <xdr:to>
      <xdr:col>102</xdr:col>
      <xdr:colOff>336176</xdr:colOff>
      <xdr:row>89</xdr:row>
      <xdr:rowOff>26162</xdr:rowOff>
    </xdr:to>
    <xdr:cxnSp macro="">
      <xdr:nvCxnSpPr>
        <xdr:cNvPr id="3176936" name="Elbow Connector 197" descr="9725d0eb-5e9b-4f6f-9e6a-930556c915a6">
          <a:extLst>
            <a:ext uri="{FF2B5EF4-FFF2-40B4-BE49-F238E27FC236}">
              <a16:creationId xmlns:a16="http://schemas.microsoft.com/office/drawing/2014/main" id="{00000000-0008-0000-0900-0000E8793000}"/>
            </a:ext>
          </a:extLst>
        </xdr:cNvPr>
        <xdr:cNvCxnSpPr>
          <a:cxnSpLocks noChangeShapeType="1"/>
          <a:stCxn id="6263" idx="3"/>
          <a:endCxn id="724" idx="1"/>
        </xdr:cNvCxnSpPr>
      </xdr:nvCxnSpPr>
      <xdr:spPr bwMode="auto">
        <a:xfrm flipV="1">
          <a:off x="84804720" y="13915521"/>
          <a:ext cx="7474920" cy="17141"/>
        </a:xfrm>
        <a:prstGeom prst="bentConnector3">
          <a:avLst>
            <a:gd name="adj1" fmla="val 50000"/>
          </a:avLst>
        </a:prstGeom>
        <a:noFill/>
        <a:ln w="25400" algn="ctr">
          <a:solidFill>
            <a:srgbClr val="7030A0"/>
          </a:solidFill>
          <a:round/>
          <a:headEnd/>
          <a:tailEnd type="triangle" w="med" len="med"/>
        </a:ln>
      </xdr:spPr>
    </xdr:cxnSp>
    <xdr:clientData/>
  </xdr:twoCellAnchor>
  <xdr:twoCellAnchor>
    <xdr:from>
      <xdr:col>17</xdr:col>
      <xdr:colOff>464441</xdr:colOff>
      <xdr:row>108</xdr:row>
      <xdr:rowOff>0</xdr:rowOff>
    </xdr:from>
    <xdr:to>
      <xdr:col>21</xdr:col>
      <xdr:colOff>163284</xdr:colOff>
      <xdr:row>120</xdr:row>
      <xdr:rowOff>121628</xdr:rowOff>
    </xdr:to>
    <xdr:cxnSp macro="">
      <xdr:nvCxnSpPr>
        <xdr:cNvPr id="181" name="Elbow Connector 180" descr="c1549922-52b6-46df-a319-2fe60c3eacf3">
          <a:extLst>
            <a:ext uri="{FF2B5EF4-FFF2-40B4-BE49-F238E27FC236}">
              <a16:creationId xmlns:a16="http://schemas.microsoft.com/office/drawing/2014/main" id="{00000000-0008-0000-0900-0000B5000000}"/>
            </a:ext>
          </a:extLst>
        </xdr:cNvPr>
        <xdr:cNvCxnSpPr>
          <a:stCxn id="1840" idx="3"/>
        </xdr:cNvCxnSpPr>
      </xdr:nvCxnSpPr>
      <xdr:spPr bwMode="auto">
        <a:xfrm flipV="1">
          <a:off x="13813048" y="17008929"/>
          <a:ext cx="3604093" cy="2094663"/>
        </a:xfrm>
        <a:prstGeom prst="bentConnector3">
          <a:avLst>
            <a:gd name="adj1" fmla="val 4535"/>
          </a:avLst>
        </a:prstGeom>
        <a:solidFill>
          <a:srgbClr val="FFFFFF"/>
        </a:solidFill>
        <a:ln w="25400" cap="flat" cmpd="sng" algn="ctr">
          <a:solidFill>
            <a:srgbClr val="000000"/>
          </a:solidFill>
          <a:prstDash val="solid"/>
          <a:round/>
          <a:headEnd type="none" w="med" len="med"/>
          <a:tailEnd type="arrow"/>
        </a:ln>
        <a:effectLst/>
      </xdr:spPr>
    </xdr:cxnSp>
    <xdr:clientData/>
  </xdr:twoCellAnchor>
  <xdr:twoCellAnchor>
    <xdr:from>
      <xdr:col>8</xdr:col>
      <xdr:colOff>155864</xdr:colOff>
      <xdr:row>120</xdr:row>
      <xdr:rowOff>123740</xdr:rowOff>
    </xdr:from>
    <xdr:to>
      <xdr:col>14</xdr:col>
      <xdr:colOff>202504</xdr:colOff>
      <xdr:row>120</xdr:row>
      <xdr:rowOff>125629</xdr:rowOff>
    </xdr:to>
    <xdr:cxnSp macro="">
      <xdr:nvCxnSpPr>
        <xdr:cNvPr id="194" name="Elbow Connector 193" descr="52f6fcb9-bad9-4e67-9af0-eaeda192ea39">
          <a:extLst>
            <a:ext uri="{FF2B5EF4-FFF2-40B4-BE49-F238E27FC236}">
              <a16:creationId xmlns:a16="http://schemas.microsoft.com/office/drawing/2014/main" id="{00000000-0008-0000-0900-0000C2000000}"/>
            </a:ext>
          </a:extLst>
        </xdr:cNvPr>
        <xdr:cNvCxnSpPr>
          <a:stCxn id="6147" idx="3"/>
          <a:endCxn id="1840" idx="1"/>
        </xdr:cNvCxnSpPr>
      </xdr:nvCxnSpPr>
      <xdr:spPr bwMode="auto">
        <a:xfrm flipV="1">
          <a:off x="5598721" y="19105704"/>
          <a:ext cx="5203747" cy="1889"/>
        </a:xfrm>
        <a:prstGeom prst="bentConnector3">
          <a:avLst>
            <a:gd name="adj1" fmla="val 50000"/>
          </a:avLst>
        </a:prstGeom>
        <a:solidFill>
          <a:srgbClr val="FFFFFF"/>
        </a:solidFill>
        <a:ln w="25400" cap="flat" cmpd="sng" algn="ctr">
          <a:solidFill>
            <a:srgbClr val="000000"/>
          </a:solidFill>
          <a:prstDash val="solid"/>
          <a:round/>
          <a:headEnd type="none" w="med" len="med"/>
          <a:tailEnd type="arrow"/>
        </a:ln>
        <a:effectLst/>
      </xdr:spPr>
    </xdr:cxnSp>
    <xdr:clientData/>
  </xdr:twoCellAnchor>
  <xdr:twoCellAnchor>
    <xdr:from>
      <xdr:col>26</xdr:col>
      <xdr:colOff>833437</xdr:colOff>
      <xdr:row>178</xdr:row>
      <xdr:rowOff>34636</xdr:rowOff>
    </xdr:from>
    <xdr:to>
      <xdr:col>32</xdr:col>
      <xdr:colOff>259773</xdr:colOff>
      <xdr:row>179</xdr:row>
      <xdr:rowOff>40050</xdr:rowOff>
    </xdr:to>
    <xdr:cxnSp macro="">
      <xdr:nvCxnSpPr>
        <xdr:cNvPr id="305" name="Elbow Connector 147" descr="dee7429c-e7e8-438b-986d-2bdf54a03231">
          <a:extLst>
            <a:ext uri="{FF2B5EF4-FFF2-40B4-BE49-F238E27FC236}">
              <a16:creationId xmlns:a16="http://schemas.microsoft.com/office/drawing/2014/main" id="{00000000-0008-0000-0900-000031010000}"/>
            </a:ext>
          </a:extLst>
        </xdr:cNvPr>
        <xdr:cNvCxnSpPr>
          <a:cxnSpLocks noChangeShapeType="1"/>
          <a:stCxn id="1771" idx="3"/>
        </xdr:cNvCxnSpPr>
      </xdr:nvCxnSpPr>
      <xdr:spPr bwMode="auto">
        <a:xfrm flipV="1">
          <a:off x="23069982" y="28245954"/>
          <a:ext cx="4535200" cy="161278"/>
        </a:xfrm>
        <a:prstGeom prst="bentConnector3">
          <a:avLst>
            <a:gd name="adj1" fmla="val 50000"/>
          </a:avLst>
        </a:prstGeom>
        <a:noFill/>
        <a:ln w="25400" algn="ctr">
          <a:solidFill>
            <a:srgbClr val="000000"/>
          </a:solidFill>
          <a:round/>
          <a:headEnd/>
          <a:tailEnd type="triangle" w="med" len="med"/>
        </a:ln>
      </xdr:spPr>
    </xdr:cxnSp>
    <xdr:clientData/>
  </xdr:twoCellAnchor>
  <xdr:twoCellAnchor>
    <xdr:from>
      <xdr:col>48</xdr:col>
      <xdr:colOff>432472</xdr:colOff>
      <xdr:row>35</xdr:row>
      <xdr:rowOff>49268</xdr:rowOff>
    </xdr:from>
    <xdr:to>
      <xdr:col>52</xdr:col>
      <xdr:colOff>437034</xdr:colOff>
      <xdr:row>54</xdr:row>
      <xdr:rowOff>40153</xdr:rowOff>
    </xdr:to>
    <xdr:sp macro="" textlink="">
      <xdr:nvSpPr>
        <xdr:cNvPr id="6273" name="AutoShape 129" descr="760c5908-b06c-4cc2-a0e6-210965f85f9e">
          <a:hlinkClick xmlns:r="http://schemas.openxmlformats.org/officeDocument/2006/relationships" r:id="rId8"/>
          <a:extLst>
            <a:ext uri="{FF2B5EF4-FFF2-40B4-BE49-F238E27FC236}">
              <a16:creationId xmlns:a16="http://schemas.microsoft.com/office/drawing/2014/main" id="{00000000-0008-0000-0900-000081180000}"/>
            </a:ext>
          </a:extLst>
        </xdr:cNvPr>
        <xdr:cNvSpPr>
          <a:spLocks noChangeArrowheads="1"/>
        </xdr:cNvSpPr>
      </xdr:nvSpPr>
      <xdr:spPr bwMode="auto">
        <a:xfrm>
          <a:off x="38463199" y="4915677"/>
          <a:ext cx="2983290" cy="2952294"/>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Naphtha Hydrotreating</a:t>
          </a:r>
        </a:p>
      </xdr:txBody>
    </xdr:sp>
    <xdr:clientData/>
  </xdr:twoCellAnchor>
  <xdr:twoCellAnchor>
    <xdr:from>
      <xdr:col>60</xdr:col>
      <xdr:colOff>734784</xdr:colOff>
      <xdr:row>63</xdr:row>
      <xdr:rowOff>51573</xdr:rowOff>
    </xdr:from>
    <xdr:to>
      <xdr:col>64</xdr:col>
      <xdr:colOff>140441</xdr:colOff>
      <xdr:row>82</xdr:row>
      <xdr:rowOff>41544</xdr:rowOff>
    </xdr:to>
    <xdr:sp macro="" textlink="">
      <xdr:nvSpPr>
        <xdr:cNvPr id="6269" name="AutoShape 125" descr="0a7a9eb6-c455-420a-93e1-09a9aa6b21cf">
          <a:hlinkClick xmlns:r="http://schemas.openxmlformats.org/officeDocument/2006/relationships" r:id="rId9"/>
          <a:extLst>
            <a:ext uri="{FF2B5EF4-FFF2-40B4-BE49-F238E27FC236}">
              <a16:creationId xmlns:a16="http://schemas.microsoft.com/office/drawing/2014/main" id="{00000000-0008-0000-0900-00007D180000}"/>
            </a:ext>
          </a:extLst>
        </xdr:cNvPr>
        <xdr:cNvSpPr>
          <a:spLocks noChangeArrowheads="1"/>
        </xdr:cNvSpPr>
      </xdr:nvSpPr>
      <xdr:spPr bwMode="auto">
        <a:xfrm>
          <a:off x="52741284" y="9712644"/>
          <a:ext cx="3106800" cy="3092400"/>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Kero Hydrotreater</a:t>
          </a:r>
        </a:p>
      </xdr:txBody>
    </xdr:sp>
    <xdr:clientData/>
  </xdr:twoCellAnchor>
  <xdr:twoCellAnchor>
    <xdr:from>
      <xdr:col>90</xdr:col>
      <xdr:colOff>939527</xdr:colOff>
      <xdr:row>79</xdr:row>
      <xdr:rowOff>112819</xdr:rowOff>
    </xdr:from>
    <xdr:to>
      <xdr:col>94</xdr:col>
      <xdr:colOff>59434</xdr:colOff>
      <xdr:row>98</xdr:row>
      <xdr:rowOff>102791</xdr:rowOff>
    </xdr:to>
    <xdr:sp macro="" textlink="">
      <xdr:nvSpPr>
        <xdr:cNvPr id="6263" name="AutoShape 119" descr="9b47d5e6-c7a1-45c0-af75-13f108137348">
          <a:hlinkClick xmlns:r="http://schemas.openxmlformats.org/officeDocument/2006/relationships" r:id="rId10"/>
          <a:extLst>
            <a:ext uri="{FF2B5EF4-FFF2-40B4-BE49-F238E27FC236}">
              <a16:creationId xmlns:a16="http://schemas.microsoft.com/office/drawing/2014/main" id="{00000000-0008-0000-0900-000077180000}"/>
            </a:ext>
          </a:extLst>
        </xdr:cNvPr>
        <xdr:cNvSpPr>
          <a:spLocks noChangeArrowheads="1"/>
        </xdr:cNvSpPr>
      </xdr:nvSpPr>
      <xdr:spPr bwMode="auto">
        <a:xfrm>
          <a:off x="81697920" y="12386462"/>
          <a:ext cx="3106800" cy="3092400"/>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254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Diesel Hydrotreater</a:t>
          </a:r>
        </a:p>
      </xdr:txBody>
    </xdr:sp>
    <xdr:clientData/>
  </xdr:twoCellAnchor>
  <xdr:twoCellAnchor>
    <xdr:from>
      <xdr:col>73</xdr:col>
      <xdr:colOff>300724</xdr:colOff>
      <xdr:row>239</xdr:row>
      <xdr:rowOff>109924</xdr:rowOff>
    </xdr:from>
    <xdr:to>
      <xdr:col>76</xdr:col>
      <xdr:colOff>633016</xdr:colOff>
      <xdr:row>258</xdr:row>
      <xdr:rowOff>35332</xdr:rowOff>
    </xdr:to>
    <xdr:sp macro="" textlink="">
      <xdr:nvSpPr>
        <xdr:cNvPr id="6201" name="AutoShape 57" descr="b42004a8-365b-4934-a2dc-38bc1f34d7e8">
          <a:hlinkClick xmlns:r="http://schemas.openxmlformats.org/officeDocument/2006/relationships" r:id="rId11"/>
          <a:extLst>
            <a:ext uri="{FF2B5EF4-FFF2-40B4-BE49-F238E27FC236}">
              <a16:creationId xmlns:a16="http://schemas.microsoft.com/office/drawing/2014/main" id="{00000000-0008-0000-0900-000039180000}"/>
            </a:ext>
          </a:extLst>
        </xdr:cNvPr>
        <xdr:cNvSpPr>
          <a:spLocks noChangeArrowheads="1"/>
        </xdr:cNvSpPr>
      </xdr:nvSpPr>
      <xdr:spPr bwMode="auto">
        <a:xfrm>
          <a:off x="64395315" y="38919969"/>
          <a:ext cx="3518837" cy="3059999"/>
        </a:xfrm>
        <a:prstGeom prst="roundRect">
          <a:avLst>
            <a:gd name="adj" fmla="val 16667"/>
          </a:avLst>
        </a:prstGeom>
        <a:gradFill flip="none" rotWithShape="1">
          <a:gsLst>
            <a:gs pos="32000">
              <a:schemeClr val="accent3">
                <a:lumMod val="40000"/>
                <a:lumOff val="60000"/>
                <a:alpha val="43000"/>
              </a:schemeClr>
            </a:gs>
            <a:gs pos="50000">
              <a:srgbClr val="9CB86E">
                <a:alpha val="44000"/>
              </a:srgbClr>
            </a:gs>
            <a:gs pos="100000">
              <a:srgbClr val="156B13"/>
            </a:gs>
          </a:gsLst>
          <a:lin ang="5400000" scaled="1"/>
          <a:tileRect/>
        </a:gradFill>
        <a:ln w="25400">
          <a:solidFill>
            <a:srgbClr val="00000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FCC</a:t>
          </a:r>
        </a:p>
      </xdr:txBody>
    </xdr:sp>
    <xdr:clientData/>
  </xdr:twoCellAnchor>
  <xdr:twoCellAnchor>
    <xdr:from>
      <xdr:col>73</xdr:col>
      <xdr:colOff>301731</xdr:colOff>
      <xdr:row>196</xdr:row>
      <xdr:rowOff>82849</xdr:rowOff>
    </xdr:from>
    <xdr:to>
      <xdr:col>76</xdr:col>
      <xdr:colOff>641222</xdr:colOff>
      <xdr:row>212</xdr:row>
      <xdr:rowOff>21485</xdr:rowOff>
    </xdr:to>
    <xdr:sp macro="" textlink="">
      <xdr:nvSpPr>
        <xdr:cNvPr id="6232" name="AutoShape 88" descr="7d7c5731-a705-42c4-a07e-a85439dd21be">
          <a:hlinkClick xmlns:r="http://schemas.openxmlformats.org/officeDocument/2006/relationships" r:id="rId12"/>
          <a:extLst>
            <a:ext uri="{FF2B5EF4-FFF2-40B4-BE49-F238E27FC236}">
              <a16:creationId xmlns:a16="http://schemas.microsoft.com/office/drawing/2014/main" id="{00000000-0008-0000-0900-000058180000}"/>
            </a:ext>
          </a:extLst>
        </xdr:cNvPr>
        <xdr:cNvSpPr>
          <a:spLocks noChangeArrowheads="1"/>
        </xdr:cNvSpPr>
      </xdr:nvSpPr>
      <xdr:spPr bwMode="auto">
        <a:xfrm>
          <a:off x="64396322" y="31463394"/>
          <a:ext cx="3526036" cy="2952000"/>
        </a:xfrm>
        <a:prstGeom prst="roundRect">
          <a:avLst>
            <a:gd name="adj" fmla="val 16667"/>
          </a:avLst>
        </a:prstGeom>
        <a:gradFill flip="none" rotWithShape="1">
          <a:gsLst>
            <a:gs pos="0">
              <a:schemeClr val="accent3">
                <a:lumMod val="40000"/>
                <a:lumOff val="60000"/>
                <a:alpha val="0"/>
              </a:schemeClr>
            </a:gs>
            <a:gs pos="50000">
              <a:srgbClr val="9CB86E">
                <a:alpha val="41000"/>
              </a:srgbClr>
            </a:gs>
            <a:gs pos="100000">
              <a:srgbClr val="156B13"/>
            </a:gs>
          </a:gsLst>
          <a:lin ang="5400000" scaled="1"/>
          <a:tileRect/>
        </a:gradFill>
        <a:ln w="25400">
          <a:solidFill>
            <a:srgbClr val="00000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FCC Feed Hydrotreater</a:t>
          </a:r>
        </a:p>
      </xdr:txBody>
    </xdr:sp>
    <xdr:clientData/>
  </xdr:twoCellAnchor>
  <xdr:twoCellAnchor>
    <xdr:from>
      <xdr:col>52</xdr:col>
      <xdr:colOff>437034</xdr:colOff>
      <xdr:row>44</xdr:row>
      <xdr:rowOff>116305</xdr:rowOff>
    </xdr:from>
    <xdr:to>
      <xdr:col>68</xdr:col>
      <xdr:colOff>707572</xdr:colOff>
      <xdr:row>44</xdr:row>
      <xdr:rowOff>126353</xdr:rowOff>
    </xdr:to>
    <xdr:cxnSp macro="">
      <xdr:nvCxnSpPr>
        <xdr:cNvPr id="462" name="Elbow Connector 461" descr="283a84fa-3e22-4062-92bf-500e073c88bc">
          <a:extLst>
            <a:ext uri="{FF2B5EF4-FFF2-40B4-BE49-F238E27FC236}">
              <a16:creationId xmlns:a16="http://schemas.microsoft.com/office/drawing/2014/main" id="{00000000-0008-0000-0900-0000CE010000}"/>
            </a:ext>
          </a:extLst>
        </xdr:cNvPr>
        <xdr:cNvCxnSpPr>
          <a:stCxn id="6273" idx="3"/>
          <a:endCxn id="6276" idx="1"/>
        </xdr:cNvCxnSpPr>
      </xdr:nvCxnSpPr>
      <xdr:spPr bwMode="auto">
        <a:xfrm flipV="1">
          <a:off x="45599141" y="6674948"/>
          <a:ext cx="14911824" cy="10048"/>
        </a:xfrm>
        <a:prstGeom prst="bentConnector3">
          <a:avLst>
            <a:gd name="adj1" fmla="val 50000"/>
          </a:avLst>
        </a:prstGeom>
        <a:solidFill>
          <a:srgbClr val="FFFFFF"/>
        </a:solidFill>
        <a:ln w="25400" cap="flat" cmpd="sng" algn="ctr">
          <a:solidFill>
            <a:srgbClr val="7030A0"/>
          </a:solidFill>
          <a:prstDash val="solid"/>
          <a:round/>
          <a:headEnd type="none" w="med" len="med"/>
          <a:tailEnd type="arrow"/>
        </a:ln>
        <a:effectLst/>
      </xdr:spPr>
    </xdr:cxnSp>
    <xdr:clientData/>
  </xdr:twoCellAnchor>
  <xdr:twoCellAnchor>
    <xdr:from>
      <xdr:col>120</xdr:col>
      <xdr:colOff>95250</xdr:colOff>
      <xdr:row>98</xdr:row>
      <xdr:rowOff>0</xdr:rowOff>
    </xdr:from>
    <xdr:to>
      <xdr:col>128</xdr:col>
      <xdr:colOff>0</xdr:colOff>
      <xdr:row>98</xdr:row>
      <xdr:rowOff>1588</xdr:rowOff>
    </xdr:to>
    <xdr:cxnSp macro="">
      <xdr:nvCxnSpPr>
        <xdr:cNvPr id="474" name="Elbow Connector 197" descr="597b6bc7-ce6e-4143-abf1-3c229c1963ec">
          <a:extLst>
            <a:ext uri="{FF2B5EF4-FFF2-40B4-BE49-F238E27FC236}">
              <a16:creationId xmlns:a16="http://schemas.microsoft.com/office/drawing/2014/main" id="{00000000-0008-0000-0900-0000DA010000}"/>
            </a:ext>
          </a:extLst>
        </xdr:cNvPr>
        <xdr:cNvCxnSpPr>
          <a:cxnSpLocks noChangeShapeType="1"/>
        </xdr:cNvCxnSpPr>
      </xdr:nvCxnSpPr>
      <xdr:spPr bwMode="auto">
        <a:xfrm>
          <a:off x="86290897" y="14746941"/>
          <a:ext cx="8297956" cy="1588"/>
        </a:xfrm>
        <a:prstGeom prst="bentConnector3">
          <a:avLst>
            <a:gd name="adj1" fmla="val 50000"/>
          </a:avLst>
        </a:prstGeom>
        <a:noFill/>
        <a:ln w="25400" algn="ctr">
          <a:solidFill>
            <a:srgbClr val="000000"/>
          </a:solidFill>
          <a:round/>
          <a:headEnd/>
          <a:tailEnd type="triangle" w="med" len="med"/>
        </a:ln>
      </xdr:spPr>
    </xdr:cxnSp>
    <xdr:clientData/>
  </xdr:twoCellAnchor>
  <xdr:twoCellAnchor>
    <xdr:from>
      <xdr:col>120</xdr:col>
      <xdr:colOff>214313</xdr:colOff>
      <xdr:row>125</xdr:row>
      <xdr:rowOff>142874</xdr:rowOff>
    </xdr:from>
    <xdr:to>
      <xdr:col>128</xdr:col>
      <xdr:colOff>470647</xdr:colOff>
      <xdr:row>125</xdr:row>
      <xdr:rowOff>145676</xdr:rowOff>
    </xdr:to>
    <xdr:cxnSp macro="">
      <xdr:nvCxnSpPr>
        <xdr:cNvPr id="475" name="Elbow Connector 197" descr="1e6bea74-657e-47bd-8eb4-50c57dca513f">
          <a:extLst>
            <a:ext uri="{FF2B5EF4-FFF2-40B4-BE49-F238E27FC236}">
              <a16:creationId xmlns:a16="http://schemas.microsoft.com/office/drawing/2014/main" id="{00000000-0008-0000-0900-0000DB010000}"/>
            </a:ext>
          </a:extLst>
        </xdr:cNvPr>
        <xdr:cNvCxnSpPr>
          <a:cxnSpLocks noChangeShapeType="1"/>
        </xdr:cNvCxnSpPr>
      </xdr:nvCxnSpPr>
      <xdr:spPr bwMode="auto">
        <a:xfrm>
          <a:off x="86409960" y="19125639"/>
          <a:ext cx="8649540" cy="2802"/>
        </a:xfrm>
        <a:prstGeom prst="bentConnector3">
          <a:avLst>
            <a:gd name="adj1" fmla="val 50000"/>
          </a:avLst>
        </a:prstGeom>
        <a:noFill/>
        <a:ln w="25400" algn="ctr">
          <a:solidFill>
            <a:srgbClr val="000000"/>
          </a:solidFill>
          <a:round/>
          <a:headEnd/>
          <a:tailEnd type="triangle" w="med" len="med"/>
        </a:ln>
      </xdr:spPr>
    </xdr:cxnSp>
    <xdr:clientData/>
  </xdr:twoCellAnchor>
  <xdr:twoCellAnchor>
    <xdr:from>
      <xdr:col>118</xdr:col>
      <xdr:colOff>248405</xdr:colOff>
      <xdr:row>54</xdr:row>
      <xdr:rowOff>121227</xdr:rowOff>
    </xdr:from>
    <xdr:to>
      <xdr:col>120</xdr:col>
      <xdr:colOff>103910</xdr:colOff>
      <xdr:row>170</xdr:row>
      <xdr:rowOff>17318</xdr:rowOff>
    </xdr:to>
    <xdr:sp macro="" textlink="">
      <xdr:nvSpPr>
        <xdr:cNvPr id="362" name="Rectangle 742" descr="87fb32fe-97ba-4a61-a104-612b640c8e74">
          <a:extLst>
            <a:ext uri="{FF2B5EF4-FFF2-40B4-BE49-F238E27FC236}">
              <a16:creationId xmlns:a16="http://schemas.microsoft.com/office/drawing/2014/main" id="{00000000-0008-0000-0900-00006A010000}"/>
            </a:ext>
          </a:extLst>
        </xdr:cNvPr>
        <xdr:cNvSpPr>
          <a:spLocks noChangeArrowheads="1"/>
        </xdr:cNvSpPr>
      </xdr:nvSpPr>
      <xdr:spPr bwMode="auto">
        <a:xfrm>
          <a:off x="79963996" y="7914409"/>
          <a:ext cx="1500732" cy="18288000"/>
        </a:xfrm>
        <a:prstGeom prst="rect">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9525">
          <a:solidFill>
            <a:srgbClr val="000000"/>
          </a:solidFill>
          <a:miter lim="800000"/>
          <a:headEnd/>
          <a:tailEnd/>
        </a:ln>
        <a:effectLst/>
      </xdr:spPr>
      <xdr:txBody>
        <a:bodyPr vertOverflow="clip" vert="horz" wrap="square" lIns="18288" tIns="0" rIns="18288" bIns="0" anchor="t" anchorCtr="0" upright="1"/>
        <a:lstStyle/>
        <a:p>
          <a:pPr algn="l" rtl="0">
            <a:defRPr sz="1000"/>
          </a:pPr>
          <a:r>
            <a:rPr lang="en-CA" sz="1000" b="1" i="0" u="none" strike="noStrike" baseline="0">
              <a:solidFill>
                <a:srgbClr val="000000"/>
              </a:solidFill>
              <a:latin typeface="Arial"/>
              <a:cs typeface="Arial"/>
            </a:rPr>
            <a:t>Fuel Gas Treatment, Sulfur Recovery and Pollution control</a:t>
          </a:r>
        </a:p>
      </xdr:txBody>
    </xdr:sp>
    <xdr:clientData/>
  </xdr:twoCellAnchor>
  <xdr:twoCellAnchor>
    <xdr:from>
      <xdr:col>31</xdr:col>
      <xdr:colOff>225138</xdr:colOff>
      <xdr:row>190</xdr:row>
      <xdr:rowOff>139627</xdr:rowOff>
    </xdr:from>
    <xdr:to>
      <xdr:col>31</xdr:col>
      <xdr:colOff>571503</xdr:colOff>
      <xdr:row>244</xdr:row>
      <xdr:rowOff>139949</xdr:rowOff>
    </xdr:to>
    <xdr:cxnSp macro="">
      <xdr:nvCxnSpPr>
        <xdr:cNvPr id="326" name="AutoShape 153" descr="4a9d3674-9685-420b-8bca-09dc0a658a1a">
          <a:extLst>
            <a:ext uri="{FF2B5EF4-FFF2-40B4-BE49-F238E27FC236}">
              <a16:creationId xmlns:a16="http://schemas.microsoft.com/office/drawing/2014/main" id="{00000000-0008-0000-0900-000046010000}"/>
            </a:ext>
          </a:extLst>
        </xdr:cNvPr>
        <xdr:cNvCxnSpPr>
          <a:cxnSpLocks noChangeShapeType="1"/>
          <a:stCxn id="360" idx="1"/>
          <a:endCxn id="1995" idx="2"/>
        </xdr:cNvCxnSpPr>
      </xdr:nvCxnSpPr>
      <xdr:spPr bwMode="auto">
        <a:xfrm rot="10800000" flipV="1">
          <a:off x="27622502" y="33719582"/>
          <a:ext cx="346365" cy="9750458"/>
        </a:xfrm>
        <a:prstGeom prst="bentConnector3">
          <a:avLst>
            <a:gd name="adj1" fmla="val 166000"/>
          </a:avLst>
        </a:prstGeom>
        <a:noFill/>
        <a:ln w="25400">
          <a:solidFill>
            <a:schemeClr val="accent3">
              <a:lumMod val="75000"/>
            </a:schemeClr>
          </a:solidFill>
          <a:miter lim="800000"/>
          <a:headEnd/>
          <a:tailEnd type="triangle" w="med" len="med"/>
        </a:ln>
      </xdr:spPr>
    </xdr:cxnSp>
    <xdr:clientData/>
  </xdr:twoCellAnchor>
  <xdr:twoCellAnchor>
    <xdr:from>
      <xdr:col>21</xdr:col>
      <xdr:colOff>358668</xdr:colOff>
      <xdr:row>181</xdr:row>
      <xdr:rowOff>53260</xdr:rowOff>
    </xdr:from>
    <xdr:to>
      <xdr:col>102</xdr:col>
      <xdr:colOff>476249</xdr:colOff>
      <xdr:row>294</xdr:row>
      <xdr:rowOff>138031</xdr:rowOff>
    </xdr:to>
    <xdr:cxnSp macro="">
      <xdr:nvCxnSpPr>
        <xdr:cNvPr id="306" name="AutoShape 153" descr="964bec7a-e9d8-4288-a53d-fcbf030ff46c">
          <a:extLst>
            <a:ext uri="{FF2B5EF4-FFF2-40B4-BE49-F238E27FC236}">
              <a16:creationId xmlns:a16="http://schemas.microsoft.com/office/drawing/2014/main" id="{00000000-0008-0000-0900-000032010000}"/>
            </a:ext>
          </a:extLst>
        </xdr:cNvPr>
        <xdr:cNvCxnSpPr>
          <a:cxnSpLocks noChangeShapeType="1"/>
          <a:stCxn id="1704" idx="4"/>
          <a:endCxn id="1720" idx="1"/>
        </xdr:cNvCxnSpPr>
      </xdr:nvCxnSpPr>
      <xdr:spPr bwMode="auto">
        <a:xfrm rot="16200000" flipH="1">
          <a:off x="42051278" y="2573968"/>
          <a:ext cx="18996226" cy="70031081"/>
        </a:xfrm>
        <a:prstGeom prst="bentConnector2">
          <a:avLst/>
        </a:prstGeom>
        <a:noFill/>
        <a:ln w="25400">
          <a:solidFill>
            <a:srgbClr val="7030A0"/>
          </a:solidFill>
          <a:miter lim="800000"/>
          <a:headEnd/>
          <a:tailEnd type="triangle" w="med" len="med"/>
        </a:ln>
      </xdr:spPr>
    </xdr:cxnSp>
    <xdr:clientData/>
  </xdr:twoCellAnchor>
  <xdr:twoCellAnchor>
    <xdr:from>
      <xdr:col>56</xdr:col>
      <xdr:colOff>142870</xdr:colOff>
      <xdr:row>218</xdr:row>
      <xdr:rowOff>242885</xdr:rowOff>
    </xdr:from>
    <xdr:to>
      <xdr:col>58</xdr:col>
      <xdr:colOff>161917</xdr:colOff>
      <xdr:row>247</xdr:row>
      <xdr:rowOff>57146</xdr:rowOff>
    </xdr:to>
    <xdr:grpSp>
      <xdr:nvGrpSpPr>
        <xdr:cNvPr id="407" name="Group 406">
          <a:extLst>
            <a:ext uri="{FF2B5EF4-FFF2-40B4-BE49-F238E27FC236}">
              <a16:creationId xmlns:a16="http://schemas.microsoft.com/office/drawing/2014/main" id="{00000000-0008-0000-0900-000097010000}"/>
            </a:ext>
          </a:extLst>
        </xdr:cNvPr>
        <xdr:cNvGrpSpPr/>
      </xdr:nvGrpSpPr>
      <xdr:grpSpPr>
        <a:xfrm>
          <a:off x="50469506" y="39201867"/>
          <a:ext cx="1577684" cy="4652961"/>
          <a:chOff x="35909250" y="46005750"/>
          <a:chExt cx="1400172" cy="4652961"/>
        </a:xfrm>
      </xdr:grpSpPr>
      <xdr:sp macro="" textlink="">
        <xdr:nvSpPr>
          <xdr:cNvPr id="389" name="Rectangle 388">
            <a:extLst>
              <a:ext uri="{FF2B5EF4-FFF2-40B4-BE49-F238E27FC236}">
                <a16:creationId xmlns:a16="http://schemas.microsoft.com/office/drawing/2014/main" id="{00000000-0008-0000-0900-000085010000}"/>
              </a:ext>
            </a:extLst>
          </xdr:cNvPr>
          <xdr:cNvSpPr/>
        </xdr:nvSpPr>
        <xdr:spPr bwMode="auto">
          <a:xfrm>
            <a:off x="35918772" y="46005750"/>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sp macro="" textlink="">
        <xdr:nvSpPr>
          <xdr:cNvPr id="390" name="Rectangle 389">
            <a:extLst>
              <a:ext uri="{FF2B5EF4-FFF2-40B4-BE49-F238E27FC236}">
                <a16:creationId xmlns:a16="http://schemas.microsoft.com/office/drawing/2014/main" id="{00000000-0008-0000-0900-000086010000}"/>
              </a:ext>
            </a:extLst>
          </xdr:cNvPr>
          <xdr:cNvSpPr/>
        </xdr:nvSpPr>
        <xdr:spPr bwMode="auto">
          <a:xfrm>
            <a:off x="35928294" y="46491532"/>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sp macro="" textlink="">
        <xdr:nvSpPr>
          <xdr:cNvPr id="392" name="Rectangle 391">
            <a:extLst>
              <a:ext uri="{FF2B5EF4-FFF2-40B4-BE49-F238E27FC236}">
                <a16:creationId xmlns:a16="http://schemas.microsoft.com/office/drawing/2014/main" id="{00000000-0008-0000-0900-000088010000}"/>
              </a:ext>
            </a:extLst>
          </xdr:cNvPr>
          <xdr:cNvSpPr/>
        </xdr:nvSpPr>
        <xdr:spPr bwMode="auto">
          <a:xfrm>
            <a:off x="35914003" y="46953501"/>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sp macro="" textlink="">
        <xdr:nvSpPr>
          <xdr:cNvPr id="393" name="Rectangle 392">
            <a:extLst>
              <a:ext uri="{FF2B5EF4-FFF2-40B4-BE49-F238E27FC236}">
                <a16:creationId xmlns:a16="http://schemas.microsoft.com/office/drawing/2014/main" id="{00000000-0008-0000-0900-000089010000}"/>
              </a:ext>
            </a:extLst>
          </xdr:cNvPr>
          <xdr:cNvSpPr/>
        </xdr:nvSpPr>
        <xdr:spPr bwMode="auto">
          <a:xfrm>
            <a:off x="35928297" y="47420213"/>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sp macro="" textlink="">
        <xdr:nvSpPr>
          <xdr:cNvPr id="394" name="Rectangle 393">
            <a:extLst>
              <a:ext uri="{FF2B5EF4-FFF2-40B4-BE49-F238E27FC236}">
                <a16:creationId xmlns:a16="http://schemas.microsoft.com/office/drawing/2014/main" id="{00000000-0008-0000-0900-00008A010000}"/>
              </a:ext>
            </a:extLst>
          </xdr:cNvPr>
          <xdr:cNvSpPr/>
        </xdr:nvSpPr>
        <xdr:spPr bwMode="auto">
          <a:xfrm>
            <a:off x="35914006" y="47882182"/>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sp macro="" textlink="">
        <xdr:nvSpPr>
          <xdr:cNvPr id="398" name="Rectangle 397">
            <a:extLst>
              <a:ext uri="{FF2B5EF4-FFF2-40B4-BE49-F238E27FC236}">
                <a16:creationId xmlns:a16="http://schemas.microsoft.com/office/drawing/2014/main" id="{00000000-0008-0000-0900-00008E010000}"/>
              </a:ext>
            </a:extLst>
          </xdr:cNvPr>
          <xdr:cNvSpPr/>
        </xdr:nvSpPr>
        <xdr:spPr bwMode="auto">
          <a:xfrm>
            <a:off x="35923528" y="48344151"/>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sp macro="" textlink="">
        <xdr:nvSpPr>
          <xdr:cNvPr id="399" name="Rectangle 398">
            <a:extLst>
              <a:ext uri="{FF2B5EF4-FFF2-40B4-BE49-F238E27FC236}">
                <a16:creationId xmlns:a16="http://schemas.microsoft.com/office/drawing/2014/main" id="{00000000-0008-0000-0900-00008F010000}"/>
              </a:ext>
            </a:extLst>
          </xdr:cNvPr>
          <xdr:cNvSpPr/>
        </xdr:nvSpPr>
        <xdr:spPr bwMode="auto">
          <a:xfrm>
            <a:off x="35923541" y="48791811"/>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sp macro="" textlink="">
        <xdr:nvSpPr>
          <xdr:cNvPr id="400" name="Rectangle 399">
            <a:extLst>
              <a:ext uri="{FF2B5EF4-FFF2-40B4-BE49-F238E27FC236}">
                <a16:creationId xmlns:a16="http://schemas.microsoft.com/office/drawing/2014/main" id="{00000000-0008-0000-0900-000090010000}"/>
              </a:ext>
            </a:extLst>
          </xdr:cNvPr>
          <xdr:cNvSpPr/>
        </xdr:nvSpPr>
        <xdr:spPr bwMode="auto">
          <a:xfrm>
            <a:off x="35909250" y="49277593"/>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sp macro="" textlink="">
        <xdr:nvSpPr>
          <xdr:cNvPr id="401" name="Rectangle 400">
            <a:extLst>
              <a:ext uri="{FF2B5EF4-FFF2-40B4-BE49-F238E27FC236}">
                <a16:creationId xmlns:a16="http://schemas.microsoft.com/office/drawing/2014/main" id="{00000000-0008-0000-0900-000091010000}"/>
              </a:ext>
            </a:extLst>
          </xdr:cNvPr>
          <xdr:cNvSpPr/>
        </xdr:nvSpPr>
        <xdr:spPr bwMode="auto">
          <a:xfrm>
            <a:off x="35918772" y="49739562"/>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sp macro="" textlink="">
        <xdr:nvSpPr>
          <xdr:cNvPr id="402" name="Rectangle 401">
            <a:extLst>
              <a:ext uri="{FF2B5EF4-FFF2-40B4-BE49-F238E27FC236}">
                <a16:creationId xmlns:a16="http://schemas.microsoft.com/office/drawing/2014/main" id="{00000000-0008-0000-0900-000092010000}"/>
              </a:ext>
            </a:extLst>
          </xdr:cNvPr>
          <xdr:cNvSpPr/>
        </xdr:nvSpPr>
        <xdr:spPr bwMode="auto">
          <a:xfrm>
            <a:off x="35909253" y="50206274"/>
            <a:ext cx="1381125" cy="452437"/>
          </a:xfrm>
          <a:prstGeom prst="rect">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grpSp>
    <xdr:clientData/>
  </xdr:twoCellAnchor>
  <xdr:twoCellAnchor>
    <xdr:from>
      <xdr:col>38</xdr:col>
      <xdr:colOff>1333500</xdr:colOff>
      <xdr:row>99</xdr:row>
      <xdr:rowOff>68037</xdr:rowOff>
    </xdr:from>
    <xdr:to>
      <xdr:col>39</xdr:col>
      <xdr:colOff>1306286</xdr:colOff>
      <xdr:row>107</xdr:row>
      <xdr:rowOff>122551</xdr:rowOff>
    </xdr:to>
    <xdr:sp macro="" textlink="">
      <xdr:nvSpPr>
        <xdr:cNvPr id="622" name="Flowchart: Or 621" descr="33fb8f67-c9d5-41e0-80c6-ae79187d6331">
          <a:extLst>
            <a:ext uri="{FF2B5EF4-FFF2-40B4-BE49-F238E27FC236}">
              <a16:creationId xmlns:a16="http://schemas.microsoft.com/office/drawing/2014/main" id="{00000000-0008-0000-0900-00006E020000}"/>
            </a:ext>
          </a:extLst>
        </xdr:cNvPr>
        <xdr:cNvSpPr/>
      </xdr:nvSpPr>
      <xdr:spPr bwMode="auto">
        <a:xfrm>
          <a:off x="29350607" y="15607394"/>
          <a:ext cx="1360715" cy="1360800"/>
        </a:xfrm>
        <a:prstGeom prst="flowChartOr">
          <a:avLst/>
        </a:prstGeom>
        <a:solidFill>
          <a:srgbClr val="FFFFFF"/>
        </a:solidFill>
        <a:ln w="25400" cap="flat" cmpd="sng" algn="ctr">
          <a:solidFill>
            <a:srgbClr val="7030A0"/>
          </a:solidFill>
          <a:prstDash val="solid"/>
          <a:round/>
          <a:headEnd type="none" w="med" len="med"/>
          <a:tailEnd type="triangle" w="med" len="med"/>
        </a:ln>
        <a:effectLst/>
      </xdr:spPr>
      <xdr:txBody>
        <a:bodyPr vertOverflow="clip" wrap="square" lIns="18288" tIns="0" rIns="0" bIns="0" rtlCol="0" anchor="ctr" upright="1"/>
        <a:lstStyle/>
        <a:p>
          <a:pPr algn="ctr"/>
          <a:r>
            <a:rPr lang="en-CA" sz="1400"/>
            <a:t>AGO FLOW SPLITTER</a:t>
          </a:r>
        </a:p>
      </xdr:txBody>
    </xdr:sp>
    <xdr:clientData/>
  </xdr:twoCellAnchor>
  <xdr:twoCellAnchor>
    <xdr:from>
      <xdr:col>39</xdr:col>
      <xdr:colOff>1262743</xdr:colOff>
      <xdr:row>140</xdr:row>
      <xdr:rowOff>68036</xdr:rowOff>
    </xdr:from>
    <xdr:to>
      <xdr:col>42</xdr:col>
      <xdr:colOff>1</xdr:colOff>
      <xdr:row>148</xdr:row>
      <xdr:rowOff>40907</xdr:rowOff>
    </xdr:to>
    <xdr:sp macro="" textlink="">
      <xdr:nvSpPr>
        <xdr:cNvPr id="635" name="Flowchart: Or 634" descr="5bb7d23e-ce6e-40dd-b218-2e2b803b3c01">
          <a:extLst>
            <a:ext uri="{FF2B5EF4-FFF2-40B4-BE49-F238E27FC236}">
              <a16:creationId xmlns:a16="http://schemas.microsoft.com/office/drawing/2014/main" id="{00000000-0008-0000-0900-00007B020000}"/>
            </a:ext>
          </a:extLst>
        </xdr:cNvPr>
        <xdr:cNvSpPr/>
      </xdr:nvSpPr>
      <xdr:spPr bwMode="auto">
        <a:xfrm>
          <a:off x="30675943" y="21137336"/>
          <a:ext cx="1328058" cy="1306371"/>
        </a:xfrm>
        <a:prstGeom prst="flowChartOr">
          <a:avLst/>
        </a:prstGeom>
        <a:solidFill>
          <a:srgbClr val="FFFFFF"/>
        </a:solidFill>
        <a:ln w="25400" cap="flat" cmpd="sng" algn="ctr">
          <a:solidFill>
            <a:schemeClr val="accent3">
              <a:lumMod val="75000"/>
            </a:schemeClr>
          </a:solidFill>
          <a:prstDash val="solid"/>
          <a:round/>
          <a:headEnd type="none" w="med" len="med"/>
          <a:tailEnd type="triangle" w="med" len="med"/>
        </a:ln>
        <a:effectLst/>
      </xdr:spPr>
      <xdr:txBody>
        <a:bodyPr vertOverflow="clip" wrap="square" lIns="18288" tIns="0" rIns="0" bIns="0" rtlCol="0" anchor="ctr" upright="1"/>
        <a:lstStyle/>
        <a:p>
          <a:pPr algn="ctr"/>
          <a:r>
            <a:rPr lang="en-CA" sz="1400"/>
            <a:t>LVGO FLOW SPLITTER</a:t>
          </a:r>
        </a:p>
      </xdr:txBody>
    </xdr:sp>
    <xdr:clientData/>
  </xdr:twoCellAnchor>
  <xdr:twoCellAnchor>
    <xdr:from>
      <xdr:col>40</xdr:col>
      <xdr:colOff>108856</xdr:colOff>
      <xdr:row>176</xdr:row>
      <xdr:rowOff>105147</xdr:rowOff>
    </xdr:from>
    <xdr:to>
      <xdr:col>42</xdr:col>
      <xdr:colOff>217714</xdr:colOff>
      <xdr:row>184</xdr:row>
      <xdr:rowOff>152238</xdr:rowOff>
    </xdr:to>
    <xdr:sp macro="" textlink="">
      <xdr:nvSpPr>
        <xdr:cNvPr id="639" name="Flowchart: Or 638" descr="2357e2ba-8cd6-4405-a537-85c916a3ab37">
          <a:extLst>
            <a:ext uri="{FF2B5EF4-FFF2-40B4-BE49-F238E27FC236}">
              <a16:creationId xmlns:a16="http://schemas.microsoft.com/office/drawing/2014/main" id="{00000000-0008-0000-0900-00007F020000}"/>
            </a:ext>
          </a:extLst>
        </xdr:cNvPr>
        <xdr:cNvSpPr/>
      </xdr:nvSpPr>
      <xdr:spPr bwMode="auto">
        <a:xfrm>
          <a:off x="34606674" y="27970102"/>
          <a:ext cx="1355767" cy="1294000"/>
        </a:xfrm>
        <a:prstGeom prst="flowChartOr">
          <a:avLst/>
        </a:prstGeom>
        <a:solidFill>
          <a:srgbClr val="FFFFFF"/>
        </a:solidFill>
        <a:ln w="25400" cap="flat" cmpd="sng" algn="ctr">
          <a:solidFill>
            <a:schemeClr val="accent3">
              <a:lumMod val="75000"/>
            </a:schemeClr>
          </a:solidFill>
          <a:prstDash val="solid"/>
          <a:round/>
          <a:headEnd type="none" w="med" len="med"/>
          <a:tailEnd type="triangle" w="med" len="med"/>
        </a:ln>
        <a:effectLst/>
      </xdr:spPr>
      <xdr:txBody>
        <a:bodyPr vertOverflow="clip" wrap="square" lIns="18288" tIns="0" rIns="0" bIns="0" rtlCol="0" anchor="ctr" upright="1"/>
        <a:lstStyle/>
        <a:p>
          <a:pPr algn="ctr"/>
          <a:r>
            <a:rPr lang="en-CA" sz="1400"/>
            <a:t>HVGO FLOW SPLITTER</a:t>
          </a:r>
        </a:p>
      </xdr:txBody>
    </xdr:sp>
    <xdr:clientData/>
  </xdr:twoCellAnchor>
  <xdr:twoCellAnchor>
    <xdr:from>
      <xdr:col>102</xdr:col>
      <xdr:colOff>413470</xdr:colOff>
      <xdr:row>69</xdr:row>
      <xdr:rowOff>142876</xdr:rowOff>
    </xdr:from>
    <xdr:to>
      <xdr:col>104</xdr:col>
      <xdr:colOff>904876</xdr:colOff>
      <xdr:row>75</xdr:row>
      <xdr:rowOff>45461</xdr:rowOff>
    </xdr:to>
    <xdr:sp macro="" textlink="">
      <xdr:nvSpPr>
        <xdr:cNvPr id="669" name="Right Arrow 668" descr="648e0ac5-1992-4aa3-87f5-c68bef576284">
          <a:extLst>
            <a:ext uri="{FF2B5EF4-FFF2-40B4-BE49-F238E27FC236}">
              <a16:creationId xmlns:a16="http://schemas.microsoft.com/office/drawing/2014/main" id="{00000000-0008-0000-0900-00009D020000}"/>
            </a:ext>
          </a:extLst>
        </xdr:cNvPr>
        <xdr:cNvSpPr/>
      </xdr:nvSpPr>
      <xdr:spPr bwMode="auto">
        <a:xfrm>
          <a:off x="86805220" y="11001376"/>
          <a:ext cx="1729656" cy="902710"/>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2000"/>
            <a:t>JET</a:t>
          </a:r>
          <a:r>
            <a:rPr lang="en-CA" sz="2000" baseline="0"/>
            <a:t> FUEL</a:t>
          </a:r>
          <a:endParaRPr lang="en-CA" sz="2000"/>
        </a:p>
      </xdr:txBody>
    </xdr:sp>
    <xdr:clientData/>
  </xdr:twoCellAnchor>
  <xdr:twoCellAnchor>
    <xdr:from>
      <xdr:col>63</xdr:col>
      <xdr:colOff>98653</xdr:colOff>
      <xdr:row>270</xdr:row>
      <xdr:rowOff>156882</xdr:rowOff>
    </xdr:from>
    <xdr:to>
      <xdr:col>64</xdr:col>
      <xdr:colOff>192536</xdr:colOff>
      <xdr:row>277</xdr:row>
      <xdr:rowOff>138705</xdr:rowOff>
    </xdr:to>
    <xdr:sp macro="" textlink="">
      <xdr:nvSpPr>
        <xdr:cNvPr id="687" name="Flowchart: Or 686" descr="d1530b05-ca7f-4f76-bd0a-6483f56890cc">
          <a:extLst>
            <a:ext uri="{FF2B5EF4-FFF2-40B4-BE49-F238E27FC236}">
              <a16:creationId xmlns:a16="http://schemas.microsoft.com/office/drawing/2014/main" id="{00000000-0008-0000-0900-0000AF020000}"/>
            </a:ext>
          </a:extLst>
        </xdr:cNvPr>
        <xdr:cNvSpPr/>
      </xdr:nvSpPr>
      <xdr:spPr bwMode="auto">
        <a:xfrm>
          <a:off x="51668124" y="43456411"/>
          <a:ext cx="1080000" cy="1080000"/>
        </a:xfrm>
        <a:prstGeom prst="flowChartOr">
          <a:avLst/>
        </a:prstGeom>
        <a:solidFill>
          <a:srgbClr val="FFFFFF"/>
        </a:solidFill>
        <a:ln w="25400" cap="flat" cmpd="sng" algn="ctr">
          <a:solidFill>
            <a:schemeClr val="accent6">
              <a:lumMod val="75000"/>
            </a:schemeClr>
          </a:solidFill>
          <a:prstDash val="solid"/>
          <a:round/>
          <a:headEnd type="none" w="med" len="med"/>
          <a:tailEnd type="none" w="med" len="med"/>
        </a:ln>
        <a:effectLst/>
      </xdr:spPr>
      <xdr:txBody>
        <a:bodyPr vertOverflow="clip" wrap="square" lIns="18288" tIns="0" rIns="0" bIns="0" rtlCol="0" anchor="ctr" upright="1"/>
        <a:lstStyle/>
        <a:p>
          <a:pPr algn="ctr"/>
          <a:r>
            <a:rPr lang="en-CA" sz="1400"/>
            <a:t>CGO FLOW SPLITTER</a:t>
          </a:r>
        </a:p>
      </xdr:txBody>
    </xdr:sp>
    <xdr:clientData/>
  </xdr:twoCellAnchor>
  <xdr:twoCellAnchor>
    <xdr:from>
      <xdr:col>102</xdr:col>
      <xdr:colOff>336176</xdr:colOff>
      <xdr:row>86</xdr:row>
      <xdr:rowOff>56027</xdr:rowOff>
    </xdr:from>
    <xdr:to>
      <xdr:col>104</xdr:col>
      <xdr:colOff>829526</xdr:colOff>
      <xdr:row>91</xdr:row>
      <xdr:rowOff>125300</xdr:rowOff>
    </xdr:to>
    <xdr:sp macro="" textlink="">
      <xdr:nvSpPr>
        <xdr:cNvPr id="724" name="Right Arrow 723" descr="c4959f03-fc6a-4916-9bf1-f369bbbcfe1b">
          <a:extLst>
            <a:ext uri="{FF2B5EF4-FFF2-40B4-BE49-F238E27FC236}">
              <a16:creationId xmlns:a16="http://schemas.microsoft.com/office/drawing/2014/main" id="{00000000-0008-0000-0900-0000D4020000}"/>
            </a:ext>
          </a:extLst>
        </xdr:cNvPr>
        <xdr:cNvSpPr/>
      </xdr:nvSpPr>
      <xdr:spPr bwMode="auto">
        <a:xfrm>
          <a:off x="91449605" y="13472670"/>
          <a:ext cx="1717992" cy="885701"/>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2000"/>
            <a:t>ULSD</a:t>
          </a:r>
          <a:r>
            <a:rPr lang="en-CA" sz="2000" baseline="0"/>
            <a:t> </a:t>
          </a:r>
          <a:endParaRPr lang="en-CA" sz="2000"/>
        </a:p>
      </xdr:txBody>
    </xdr:sp>
    <xdr:clientData/>
  </xdr:twoCellAnchor>
  <xdr:twoCellAnchor>
    <xdr:from>
      <xdr:col>103</xdr:col>
      <xdr:colOff>183696</xdr:colOff>
      <xdr:row>154</xdr:row>
      <xdr:rowOff>13608</xdr:rowOff>
    </xdr:from>
    <xdr:to>
      <xdr:col>105</xdr:col>
      <xdr:colOff>105546</xdr:colOff>
      <xdr:row>159</xdr:row>
      <xdr:rowOff>109994</xdr:rowOff>
    </xdr:to>
    <xdr:sp macro="" textlink="">
      <xdr:nvSpPr>
        <xdr:cNvPr id="727" name="Right Arrow 726" descr="5990411a-12ae-455d-989b-6ee0e5baf819">
          <a:extLst>
            <a:ext uri="{FF2B5EF4-FFF2-40B4-BE49-F238E27FC236}">
              <a16:creationId xmlns:a16="http://schemas.microsoft.com/office/drawing/2014/main" id="{00000000-0008-0000-0900-0000D7020000}"/>
            </a:ext>
          </a:extLst>
        </xdr:cNvPr>
        <xdr:cNvSpPr/>
      </xdr:nvSpPr>
      <xdr:spPr bwMode="auto">
        <a:xfrm>
          <a:off x="87194571" y="25373921"/>
          <a:ext cx="1731600" cy="929823"/>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0" tIns="0" rIns="0" bIns="0" rtlCol="0" anchor="ctr" upright="1"/>
        <a:lstStyle/>
        <a:p>
          <a:pPr algn="ctr"/>
          <a:r>
            <a:rPr lang="en-CA" sz="1400" b="1"/>
            <a:t>HEATING</a:t>
          </a:r>
          <a:r>
            <a:rPr lang="en-CA" sz="1400" b="1" baseline="0"/>
            <a:t> </a:t>
          </a:r>
        </a:p>
        <a:p>
          <a:pPr algn="ctr"/>
          <a:r>
            <a:rPr lang="en-CA" sz="1400" b="1" baseline="0"/>
            <a:t>FUEL OIL</a:t>
          </a:r>
          <a:endParaRPr lang="en-CA" sz="1400" b="1"/>
        </a:p>
      </xdr:txBody>
    </xdr:sp>
    <xdr:clientData/>
  </xdr:twoCellAnchor>
  <xdr:twoCellAnchor>
    <xdr:from>
      <xdr:col>39</xdr:col>
      <xdr:colOff>792615</xdr:colOff>
      <xdr:row>233</xdr:row>
      <xdr:rowOff>5382</xdr:rowOff>
    </xdr:from>
    <xdr:to>
      <xdr:col>43</xdr:col>
      <xdr:colOff>6802</xdr:colOff>
      <xdr:row>249</xdr:row>
      <xdr:rowOff>619</xdr:rowOff>
    </xdr:to>
    <xdr:grpSp>
      <xdr:nvGrpSpPr>
        <xdr:cNvPr id="435" name="Group 434">
          <a:hlinkClick xmlns:r="http://schemas.openxmlformats.org/officeDocument/2006/relationships" r:id="rId13"/>
          <a:extLst>
            <a:ext uri="{FF2B5EF4-FFF2-40B4-BE49-F238E27FC236}">
              <a16:creationId xmlns:a16="http://schemas.microsoft.com/office/drawing/2014/main" id="{00000000-0008-0000-0900-0000B3010000}"/>
            </a:ext>
          </a:extLst>
        </xdr:cNvPr>
        <xdr:cNvGrpSpPr>
          <a:grpSpLocks/>
        </xdr:cNvGrpSpPr>
      </xdr:nvGrpSpPr>
      <xdr:grpSpPr bwMode="auto">
        <a:xfrm>
          <a:off x="35758024" y="41447791"/>
          <a:ext cx="2920278" cy="2662237"/>
          <a:chOff x="336" y="2220"/>
          <a:chExt cx="528" cy="996"/>
        </a:xfrm>
        <a:gradFill>
          <a:gsLst>
            <a:gs pos="0">
              <a:srgbClr val="D6B19C"/>
            </a:gs>
            <a:gs pos="30000">
              <a:srgbClr val="D49E6C">
                <a:alpha val="44000"/>
              </a:srgbClr>
            </a:gs>
            <a:gs pos="70000">
              <a:srgbClr val="A65528">
                <a:alpha val="44000"/>
              </a:srgbClr>
            </a:gs>
            <a:gs pos="100000">
              <a:srgbClr val="663012"/>
            </a:gs>
          </a:gsLst>
          <a:lin ang="5400000" scaled="0"/>
        </a:gradFill>
      </xdr:grpSpPr>
      <xdr:sp macro="" textlink="">
        <xdr:nvSpPr>
          <xdr:cNvPr id="436" name="Rectangle 435">
            <a:extLst>
              <a:ext uri="{FF2B5EF4-FFF2-40B4-BE49-F238E27FC236}">
                <a16:creationId xmlns:a16="http://schemas.microsoft.com/office/drawing/2014/main" id="{00000000-0008-0000-0900-0000B4010000}"/>
              </a:ext>
            </a:extLst>
          </xdr:cNvPr>
          <xdr:cNvSpPr>
            <a:spLocks noChangeArrowheads="1"/>
          </xdr:cNvSpPr>
        </xdr:nvSpPr>
        <xdr:spPr bwMode="auto">
          <a:xfrm>
            <a:off x="336" y="2784"/>
            <a:ext cx="528" cy="432"/>
          </a:xfrm>
          <a:prstGeom prst="rect">
            <a:avLst/>
          </a:prstGeom>
          <a:grp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37" name="AutoShape 28">
            <a:extLst>
              <a:ext uri="{FF2B5EF4-FFF2-40B4-BE49-F238E27FC236}">
                <a16:creationId xmlns:a16="http://schemas.microsoft.com/office/drawing/2014/main" id="{00000000-0008-0000-0900-0000B5010000}"/>
              </a:ext>
            </a:extLst>
          </xdr:cNvPr>
          <xdr:cNvSpPr>
            <a:spLocks noChangeArrowheads="1"/>
          </xdr:cNvSpPr>
        </xdr:nvSpPr>
        <xdr:spPr bwMode="auto">
          <a:xfrm>
            <a:off x="336" y="2256"/>
            <a:ext cx="528" cy="528"/>
          </a:xfrm>
          <a:prstGeom prst="triangle">
            <a:avLst>
              <a:gd name="adj" fmla="val 50000"/>
            </a:avLst>
          </a:prstGeom>
          <a:grp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50" name="Rectangle 449">
            <a:extLst>
              <a:ext uri="{FF2B5EF4-FFF2-40B4-BE49-F238E27FC236}">
                <a16:creationId xmlns:a16="http://schemas.microsoft.com/office/drawing/2014/main" id="{00000000-0008-0000-0900-0000C2010000}"/>
              </a:ext>
            </a:extLst>
          </xdr:cNvPr>
          <xdr:cNvSpPr>
            <a:spLocks noChangeArrowheads="1"/>
          </xdr:cNvSpPr>
        </xdr:nvSpPr>
        <xdr:spPr bwMode="auto">
          <a:xfrm>
            <a:off x="504" y="2220"/>
            <a:ext cx="192" cy="240"/>
          </a:xfrm>
          <a:prstGeom prst="rect">
            <a:avLst/>
          </a:prstGeom>
          <a:grp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clientData/>
  </xdr:twoCellAnchor>
  <xdr:twoCellAnchor>
    <xdr:from>
      <xdr:col>47</xdr:col>
      <xdr:colOff>717869</xdr:colOff>
      <xdr:row>213</xdr:row>
      <xdr:rowOff>8164</xdr:rowOff>
    </xdr:from>
    <xdr:to>
      <xdr:col>51</xdr:col>
      <xdr:colOff>395721</xdr:colOff>
      <xdr:row>241</xdr:row>
      <xdr:rowOff>114300</xdr:rowOff>
    </xdr:to>
    <xdr:grpSp>
      <xdr:nvGrpSpPr>
        <xdr:cNvPr id="579" name="Group 578">
          <a:hlinkClick xmlns:r="http://schemas.openxmlformats.org/officeDocument/2006/relationships" r:id="rId1"/>
          <a:extLst>
            <a:ext uri="{FF2B5EF4-FFF2-40B4-BE49-F238E27FC236}">
              <a16:creationId xmlns:a16="http://schemas.microsoft.com/office/drawing/2014/main" id="{00000000-0008-0000-0900-000043020000}"/>
            </a:ext>
          </a:extLst>
        </xdr:cNvPr>
        <xdr:cNvGrpSpPr/>
      </xdr:nvGrpSpPr>
      <xdr:grpSpPr>
        <a:xfrm>
          <a:off x="43666960" y="38090846"/>
          <a:ext cx="2518034" cy="4885954"/>
          <a:chOff x="38420787" y="31930521"/>
          <a:chExt cx="2467317" cy="4963886"/>
        </a:xfrm>
        <a:gradFill>
          <a:gsLst>
            <a:gs pos="0">
              <a:schemeClr val="accent6">
                <a:lumMod val="40000"/>
                <a:lumOff val="60000"/>
                <a:alpha val="0"/>
              </a:schemeClr>
            </a:gs>
            <a:gs pos="64999">
              <a:srgbClr val="F0EBD5"/>
            </a:gs>
            <a:gs pos="100000">
              <a:srgbClr val="D1C39F"/>
            </a:gs>
          </a:gsLst>
          <a:lin ang="5400000" scaled="1"/>
        </a:gradFill>
      </xdr:grpSpPr>
      <xdr:grpSp>
        <xdr:nvGrpSpPr>
          <xdr:cNvPr id="520" name="Group 519">
            <a:extLst>
              <a:ext uri="{FF2B5EF4-FFF2-40B4-BE49-F238E27FC236}">
                <a16:creationId xmlns:a16="http://schemas.microsoft.com/office/drawing/2014/main" id="{00000000-0008-0000-0900-000008020000}"/>
              </a:ext>
            </a:extLst>
          </xdr:cNvPr>
          <xdr:cNvGrpSpPr>
            <a:grpSpLocks/>
          </xdr:cNvGrpSpPr>
        </xdr:nvGrpSpPr>
        <xdr:grpSpPr bwMode="auto">
          <a:xfrm>
            <a:off x="38420787" y="32457681"/>
            <a:ext cx="894193" cy="3807523"/>
            <a:chOff x="3696" y="1200"/>
            <a:chExt cx="432" cy="2379"/>
          </a:xfrm>
          <a:grpFill/>
        </xdr:grpSpPr>
        <xdr:sp macro="" textlink="">
          <xdr:nvSpPr>
            <xdr:cNvPr id="527" name="Line 193">
              <a:extLst>
                <a:ext uri="{FF2B5EF4-FFF2-40B4-BE49-F238E27FC236}">
                  <a16:creationId xmlns:a16="http://schemas.microsoft.com/office/drawing/2014/main" id="{00000000-0008-0000-0900-00000F020000}"/>
                </a:ext>
              </a:extLst>
            </xdr:cNvPr>
            <xdr:cNvSpPr>
              <a:spLocks noChangeShapeType="1"/>
            </xdr:cNvSpPr>
          </xdr:nvSpPr>
          <xdr:spPr bwMode="auto">
            <a:xfrm>
              <a:off x="3696" y="1200"/>
              <a:ext cx="0" cy="2064"/>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28" name="Line 194">
              <a:extLst>
                <a:ext uri="{FF2B5EF4-FFF2-40B4-BE49-F238E27FC236}">
                  <a16:creationId xmlns:a16="http://schemas.microsoft.com/office/drawing/2014/main" id="{00000000-0008-0000-0900-000010020000}"/>
                </a:ext>
              </a:extLst>
            </xdr:cNvPr>
            <xdr:cNvSpPr>
              <a:spLocks noChangeShapeType="1"/>
            </xdr:cNvSpPr>
          </xdr:nvSpPr>
          <xdr:spPr bwMode="auto">
            <a:xfrm>
              <a:off x="4128" y="1200"/>
              <a:ext cx="0" cy="2064"/>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29" name="Line 195">
              <a:extLst>
                <a:ext uri="{FF2B5EF4-FFF2-40B4-BE49-F238E27FC236}">
                  <a16:creationId xmlns:a16="http://schemas.microsoft.com/office/drawing/2014/main" id="{00000000-0008-0000-0900-000011020000}"/>
                </a:ext>
              </a:extLst>
            </xdr:cNvPr>
            <xdr:cNvSpPr>
              <a:spLocks noChangeShapeType="1"/>
            </xdr:cNvSpPr>
          </xdr:nvSpPr>
          <xdr:spPr bwMode="auto">
            <a:xfrm>
              <a:off x="3696" y="3264"/>
              <a:ext cx="144" cy="28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30" name="Line 196">
              <a:extLst>
                <a:ext uri="{FF2B5EF4-FFF2-40B4-BE49-F238E27FC236}">
                  <a16:creationId xmlns:a16="http://schemas.microsoft.com/office/drawing/2014/main" id="{00000000-0008-0000-0900-000012020000}"/>
                </a:ext>
              </a:extLst>
            </xdr:cNvPr>
            <xdr:cNvSpPr>
              <a:spLocks noChangeShapeType="1"/>
            </xdr:cNvSpPr>
          </xdr:nvSpPr>
          <xdr:spPr bwMode="auto">
            <a:xfrm flipH="1">
              <a:off x="3984" y="3264"/>
              <a:ext cx="144" cy="28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31" name="Line 197">
              <a:extLst>
                <a:ext uri="{FF2B5EF4-FFF2-40B4-BE49-F238E27FC236}">
                  <a16:creationId xmlns:a16="http://schemas.microsoft.com/office/drawing/2014/main" id="{00000000-0008-0000-0900-000013020000}"/>
                </a:ext>
              </a:extLst>
            </xdr:cNvPr>
            <xdr:cNvSpPr>
              <a:spLocks noChangeShapeType="1"/>
            </xdr:cNvSpPr>
          </xdr:nvSpPr>
          <xdr:spPr bwMode="auto">
            <a:xfrm>
              <a:off x="3792" y="3552"/>
              <a:ext cx="240" cy="0"/>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32" name="Line 198">
              <a:extLst>
                <a:ext uri="{FF2B5EF4-FFF2-40B4-BE49-F238E27FC236}">
                  <a16:creationId xmlns:a16="http://schemas.microsoft.com/office/drawing/2014/main" id="{00000000-0008-0000-0900-000014020000}"/>
                </a:ext>
              </a:extLst>
            </xdr:cNvPr>
            <xdr:cNvSpPr>
              <a:spLocks noChangeShapeType="1"/>
            </xdr:cNvSpPr>
          </xdr:nvSpPr>
          <xdr:spPr bwMode="auto">
            <a:xfrm>
              <a:off x="3795" y="3579"/>
              <a:ext cx="240" cy="0"/>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33" name="Line 199">
              <a:extLst>
                <a:ext uri="{FF2B5EF4-FFF2-40B4-BE49-F238E27FC236}">
                  <a16:creationId xmlns:a16="http://schemas.microsoft.com/office/drawing/2014/main" id="{00000000-0008-0000-0900-000015020000}"/>
                </a:ext>
              </a:extLst>
            </xdr:cNvPr>
            <xdr:cNvSpPr>
              <a:spLocks noChangeShapeType="1"/>
            </xdr:cNvSpPr>
          </xdr:nvSpPr>
          <xdr:spPr bwMode="auto">
            <a:xfrm>
              <a:off x="3696" y="1200"/>
              <a:ext cx="432" cy="0"/>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sp macro="" textlink="">
        <xdr:nvSpPr>
          <xdr:cNvPr id="521" name="Freeform 520" descr="Trellis">
            <a:extLst>
              <a:ext uri="{FF2B5EF4-FFF2-40B4-BE49-F238E27FC236}">
                <a16:creationId xmlns:a16="http://schemas.microsoft.com/office/drawing/2014/main" id="{00000000-0008-0000-0900-000009020000}"/>
              </a:ext>
            </a:extLst>
          </xdr:cNvPr>
          <xdr:cNvSpPr>
            <a:spLocks/>
          </xdr:cNvSpPr>
        </xdr:nvSpPr>
        <xdr:spPr bwMode="auto">
          <a:xfrm>
            <a:off x="40050309" y="34555041"/>
            <a:ext cx="783548" cy="1589156"/>
          </a:xfrm>
          <a:custGeom>
            <a:avLst/>
            <a:gdLst/>
            <a:ahLst/>
            <a:cxnLst>
              <a:cxn ang="0">
                <a:pos x="144" y="912"/>
              </a:cxn>
              <a:cxn ang="0">
                <a:pos x="288" y="912"/>
              </a:cxn>
              <a:cxn ang="0">
                <a:pos x="432" y="624"/>
              </a:cxn>
              <a:cxn ang="0">
                <a:pos x="432" y="0"/>
              </a:cxn>
              <a:cxn ang="0">
                <a:pos x="0" y="0"/>
              </a:cxn>
              <a:cxn ang="0">
                <a:pos x="0" y="624"/>
              </a:cxn>
              <a:cxn ang="0">
                <a:pos x="144" y="912"/>
              </a:cxn>
            </a:cxnLst>
            <a:rect l="0" t="0" r="r" b="b"/>
            <a:pathLst>
              <a:path w="432" h="912">
                <a:moveTo>
                  <a:pt x="144" y="912"/>
                </a:moveTo>
                <a:lnTo>
                  <a:pt x="288" y="912"/>
                </a:lnTo>
                <a:lnTo>
                  <a:pt x="432" y="624"/>
                </a:lnTo>
                <a:lnTo>
                  <a:pt x="432" y="0"/>
                </a:lnTo>
                <a:lnTo>
                  <a:pt x="0" y="0"/>
                </a:lnTo>
                <a:lnTo>
                  <a:pt x="0" y="624"/>
                </a:lnTo>
                <a:lnTo>
                  <a:pt x="144" y="912"/>
                </a:lnTo>
                <a:close/>
              </a:path>
            </a:pathLst>
          </a:custGeom>
          <a:gradFill>
            <a:gsLst>
              <a:gs pos="0">
                <a:srgbClr val="D6B19C"/>
              </a:gs>
              <a:gs pos="30000">
                <a:srgbClr val="D49E6C"/>
              </a:gs>
              <a:gs pos="70000">
                <a:srgbClr val="A65528"/>
              </a:gs>
              <a:gs pos="100000">
                <a:srgbClr val="663012"/>
              </a:gs>
            </a:gsLst>
            <a:lin ang="5400000" scaled="0"/>
          </a:grad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22" name="Line 205">
            <a:extLst>
              <a:ext uri="{FF2B5EF4-FFF2-40B4-BE49-F238E27FC236}">
                <a16:creationId xmlns:a16="http://schemas.microsoft.com/office/drawing/2014/main" id="{00000000-0008-0000-0900-00000A020000}"/>
              </a:ext>
            </a:extLst>
          </xdr:cNvPr>
          <xdr:cNvSpPr>
            <a:spLocks noChangeShapeType="1"/>
          </xdr:cNvSpPr>
        </xdr:nvSpPr>
        <xdr:spPr bwMode="auto">
          <a:xfrm>
            <a:off x="39744927" y="36894407"/>
            <a:ext cx="715239" cy="0"/>
          </a:xfrm>
          <a:prstGeom prst="line">
            <a:avLst/>
          </a:prstGeom>
          <a:grpFill/>
          <a:ln w="9525">
            <a:solidFill>
              <a:schemeClr val="accent6">
                <a:lumMod val="75000"/>
              </a:schemeClr>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23" name="Line 208">
            <a:extLst>
              <a:ext uri="{FF2B5EF4-FFF2-40B4-BE49-F238E27FC236}">
                <a16:creationId xmlns:a16="http://schemas.microsoft.com/office/drawing/2014/main" id="{00000000-0008-0000-0900-00000B020000}"/>
              </a:ext>
            </a:extLst>
          </xdr:cNvPr>
          <xdr:cNvSpPr>
            <a:spLocks noChangeShapeType="1"/>
          </xdr:cNvSpPr>
        </xdr:nvSpPr>
        <xdr:spPr bwMode="auto">
          <a:xfrm flipV="1">
            <a:off x="38893070" y="36273266"/>
            <a:ext cx="0" cy="621141"/>
          </a:xfrm>
          <a:prstGeom prst="line">
            <a:avLst/>
          </a:prstGeom>
          <a:grpFill/>
          <a:ln w="9525">
            <a:solidFill>
              <a:schemeClr val="accent6">
                <a:lumMod val="75000"/>
              </a:schemeClr>
            </a:solidFill>
            <a:round/>
            <a:headEnd/>
            <a:tailEnd type="triangle" w="med" len="me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24" name="Line 209">
            <a:extLst>
              <a:ext uri="{FF2B5EF4-FFF2-40B4-BE49-F238E27FC236}">
                <a16:creationId xmlns:a16="http://schemas.microsoft.com/office/drawing/2014/main" id="{00000000-0008-0000-0900-00000C020000}"/>
              </a:ext>
            </a:extLst>
          </xdr:cNvPr>
          <xdr:cNvSpPr>
            <a:spLocks noChangeShapeType="1"/>
          </xdr:cNvSpPr>
        </xdr:nvSpPr>
        <xdr:spPr bwMode="auto">
          <a:xfrm flipV="1">
            <a:off x="40472220" y="36273266"/>
            <a:ext cx="0" cy="621141"/>
          </a:xfrm>
          <a:prstGeom prst="line">
            <a:avLst/>
          </a:prstGeom>
          <a:grpFill/>
          <a:ln w="9525">
            <a:solidFill>
              <a:schemeClr val="accent6">
                <a:lumMod val="75000"/>
              </a:schemeClr>
            </a:solidFill>
            <a:round/>
            <a:headEnd/>
            <a:tailEnd type="triangle" w="med" len="me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25" name="Line 216">
            <a:extLst>
              <a:ext uri="{FF2B5EF4-FFF2-40B4-BE49-F238E27FC236}">
                <a16:creationId xmlns:a16="http://schemas.microsoft.com/office/drawing/2014/main" id="{00000000-0008-0000-0900-00000D020000}"/>
              </a:ext>
            </a:extLst>
          </xdr:cNvPr>
          <xdr:cNvSpPr>
            <a:spLocks noChangeShapeType="1"/>
          </xdr:cNvSpPr>
        </xdr:nvSpPr>
        <xdr:spPr bwMode="auto">
          <a:xfrm>
            <a:off x="38862933" y="31941407"/>
            <a:ext cx="0" cy="500140"/>
          </a:xfrm>
          <a:prstGeom prst="line">
            <a:avLst/>
          </a:prstGeom>
          <a:grpFill/>
          <a:ln w="9525">
            <a:solidFill>
              <a:schemeClr val="accent6">
                <a:lumMod val="75000"/>
              </a:schemeClr>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26" name="Line 217">
            <a:extLst>
              <a:ext uri="{FF2B5EF4-FFF2-40B4-BE49-F238E27FC236}">
                <a16:creationId xmlns:a16="http://schemas.microsoft.com/office/drawing/2014/main" id="{00000000-0008-0000-0900-00000E020000}"/>
              </a:ext>
            </a:extLst>
          </xdr:cNvPr>
          <xdr:cNvSpPr>
            <a:spLocks noChangeShapeType="1"/>
          </xdr:cNvSpPr>
        </xdr:nvSpPr>
        <xdr:spPr bwMode="auto">
          <a:xfrm>
            <a:off x="40424002" y="31941409"/>
            <a:ext cx="0" cy="508208"/>
          </a:xfrm>
          <a:prstGeom prst="line">
            <a:avLst/>
          </a:prstGeom>
          <a:grpFill/>
          <a:ln w="9525">
            <a:solidFill>
              <a:schemeClr val="accent6">
                <a:lumMod val="75000"/>
              </a:schemeClr>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nvGrpSpPr>
          <xdr:cNvPr id="542" name="Group 541">
            <a:extLst>
              <a:ext uri="{FF2B5EF4-FFF2-40B4-BE49-F238E27FC236}">
                <a16:creationId xmlns:a16="http://schemas.microsoft.com/office/drawing/2014/main" id="{00000000-0008-0000-0900-00001E020000}"/>
              </a:ext>
            </a:extLst>
          </xdr:cNvPr>
          <xdr:cNvGrpSpPr>
            <a:grpSpLocks/>
          </xdr:cNvGrpSpPr>
        </xdr:nvGrpSpPr>
        <xdr:grpSpPr bwMode="auto">
          <a:xfrm>
            <a:off x="39999937" y="32465747"/>
            <a:ext cx="888167" cy="3799455"/>
            <a:chOff x="3696" y="1200"/>
            <a:chExt cx="432" cy="2379"/>
          </a:xfrm>
          <a:grpFill/>
        </xdr:grpSpPr>
        <xdr:sp macro="" textlink="">
          <xdr:nvSpPr>
            <xdr:cNvPr id="543" name="Line 193">
              <a:extLst>
                <a:ext uri="{FF2B5EF4-FFF2-40B4-BE49-F238E27FC236}">
                  <a16:creationId xmlns:a16="http://schemas.microsoft.com/office/drawing/2014/main" id="{00000000-0008-0000-0900-00001F020000}"/>
                </a:ext>
              </a:extLst>
            </xdr:cNvPr>
            <xdr:cNvSpPr>
              <a:spLocks noChangeShapeType="1"/>
            </xdr:cNvSpPr>
          </xdr:nvSpPr>
          <xdr:spPr bwMode="auto">
            <a:xfrm>
              <a:off x="3696" y="1200"/>
              <a:ext cx="0" cy="2064"/>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44" name="Line 194">
              <a:extLst>
                <a:ext uri="{FF2B5EF4-FFF2-40B4-BE49-F238E27FC236}">
                  <a16:creationId xmlns:a16="http://schemas.microsoft.com/office/drawing/2014/main" id="{00000000-0008-0000-0900-000020020000}"/>
                </a:ext>
              </a:extLst>
            </xdr:cNvPr>
            <xdr:cNvSpPr>
              <a:spLocks noChangeShapeType="1"/>
            </xdr:cNvSpPr>
          </xdr:nvSpPr>
          <xdr:spPr bwMode="auto">
            <a:xfrm>
              <a:off x="4128" y="1200"/>
              <a:ext cx="0" cy="2064"/>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45" name="Line 195">
              <a:extLst>
                <a:ext uri="{FF2B5EF4-FFF2-40B4-BE49-F238E27FC236}">
                  <a16:creationId xmlns:a16="http://schemas.microsoft.com/office/drawing/2014/main" id="{00000000-0008-0000-0900-000021020000}"/>
                </a:ext>
              </a:extLst>
            </xdr:cNvPr>
            <xdr:cNvSpPr>
              <a:spLocks noChangeShapeType="1"/>
            </xdr:cNvSpPr>
          </xdr:nvSpPr>
          <xdr:spPr bwMode="auto">
            <a:xfrm>
              <a:off x="3696" y="3264"/>
              <a:ext cx="144" cy="28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46" name="Line 196">
              <a:extLst>
                <a:ext uri="{FF2B5EF4-FFF2-40B4-BE49-F238E27FC236}">
                  <a16:creationId xmlns:a16="http://schemas.microsoft.com/office/drawing/2014/main" id="{00000000-0008-0000-0900-000022020000}"/>
                </a:ext>
              </a:extLst>
            </xdr:cNvPr>
            <xdr:cNvSpPr>
              <a:spLocks noChangeShapeType="1"/>
            </xdr:cNvSpPr>
          </xdr:nvSpPr>
          <xdr:spPr bwMode="auto">
            <a:xfrm flipH="1">
              <a:off x="3984" y="3264"/>
              <a:ext cx="144" cy="28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47" name="Line 197">
              <a:extLst>
                <a:ext uri="{FF2B5EF4-FFF2-40B4-BE49-F238E27FC236}">
                  <a16:creationId xmlns:a16="http://schemas.microsoft.com/office/drawing/2014/main" id="{00000000-0008-0000-0900-000023020000}"/>
                </a:ext>
              </a:extLst>
            </xdr:cNvPr>
            <xdr:cNvSpPr>
              <a:spLocks noChangeShapeType="1"/>
            </xdr:cNvSpPr>
          </xdr:nvSpPr>
          <xdr:spPr bwMode="auto">
            <a:xfrm>
              <a:off x="3792" y="3552"/>
              <a:ext cx="240" cy="0"/>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48" name="Line 198">
              <a:extLst>
                <a:ext uri="{FF2B5EF4-FFF2-40B4-BE49-F238E27FC236}">
                  <a16:creationId xmlns:a16="http://schemas.microsoft.com/office/drawing/2014/main" id="{00000000-0008-0000-0900-000024020000}"/>
                </a:ext>
              </a:extLst>
            </xdr:cNvPr>
            <xdr:cNvSpPr>
              <a:spLocks noChangeShapeType="1"/>
            </xdr:cNvSpPr>
          </xdr:nvSpPr>
          <xdr:spPr bwMode="auto">
            <a:xfrm>
              <a:off x="3795" y="3579"/>
              <a:ext cx="240" cy="0"/>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49" name="Line 199">
              <a:extLst>
                <a:ext uri="{FF2B5EF4-FFF2-40B4-BE49-F238E27FC236}">
                  <a16:creationId xmlns:a16="http://schemas.microsoft.com/office/drawing/2014/main" id="{00000000-0008-0000-0900-000025020000}"/>
                </a:ext>
              </a:extLst>
            </xdr:cNvPr>
            <xdr:cNvSpPr>
              <a:spLocks noChangeShapeType="1"/>
            </xdr:cNvSpPr>
          </xdr:nvSpPr>
          <xdr:spPr bwMode="auto">
            <a:xfrm>
              <a:off x="3696" y="1200"/>
              <a:ext cx="432" cy="0"/>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sp macro="" textlink="">
        <xdr:nvSpPr>
          <xdr:cNvPr id="550" name="Line 205">
            <a:extLst>
              <a:ext uri="{FF2B5EF4-FFF2-40B4-BE49-F238E27FC236}">
                <a16:creationId xmlns:a16="http://schemas.microsoft.com/office/drawing/2014/main" id="{00000000-0008-0000-0900-000026020000}"/>
              </a:ext>
            </a:extLst>
          </xdr:cNvPr>
          <xdr:cNvSpPr>
            <a:spLocks noChangeShapeType="1"/>
          </xdr:cNvSpPr>
        </xdr:nvSpPr>
        <xdr:spPr bwMode="auto">
          <a:xfrm>
            <a:off x="38872980" y="31941407"/>
            <a:ext cx="774000" cy="0"/>
          </a:xfrm>
          <a:prstGeom prst="line">
            <a:avLst/>
          </a:prstGeom>
          <a:grpFill/>
          <a:ln w="9525">
            <a:solidFill>
              <a:schemeClr val="accent6">
                <a:lumMod val="75000"/>
              </a:schemeClr>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66" name="Line 205">
            <a:extLst>
              <a:ext uri="{FF2B5EF4-FFF2-40B4-BE49-F238E27FC236}">
                <a16:creationId xmlns:a16="http://schemas.microsoft.com/office/drawing/2014/main" id="{00000000-0008-0000-0900-000036020000}"/>
              </a:ext>
            </a:extLst>
          </xdr:cNvPr>
          <xdr:cNvSpPr>
            <a:spLocks noChangeShapeType="1"/>
          </xdr:cNvSpPr>
        </xdr:nvSpPr>
        <xdr:spPr bwMode="auto">
          <a:xfrm>
            <a:off x="38901106" y="36894407"/>
            <a:ext cx="835784" cy="0"/>
          </a:xfrm>
          <a:prstGeom prst="line">
            <a:avLst/>
          </a:prstGeom>
          <a:grpFill/>
          <a:ln w="9525">
            <a:solidFill>
              <a:schemeClr val="accent6">
                <a:lumMod val="75000"/>
              </a:schemeClr>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78" name="Line 205">
            <a:extLst>
              <a:ext uri="{FF2B5EF4-FFF2-40B4-BE49-F238E27FC236}">
                <a16:creationId xmlns:a16="http://schemas.microsoft.com/office/drawing/2014/main" id="{00000000-0008-0000-0900-000042020000}"/>
              </a:ext>
            </a:extLst>
          </xdr:cNvPr>
          <xdr:cNvSpPr>
            <a:spLocks noChangeShapeType="1"/>
          </xdr:cNvSpPr>
        </xdr:nvSpPr>
        <xdr:spPr bwMode="auto">
          <a:xfrm>
            <a:off x="39651308" y="31930521"/>
            <a:ext cx="774000" cy="0"/>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clientData/>
  </xdr:twoCellAnchor>
  <xdr:twoCellAnchor>
    <xdr:from>
      <xdr:col>49</xdr:col>
      <xdr:colOff>485623</xdr:colOff>
      <xdr:row>213</xdr:row>
      <xdr:rowOff>127905</xdr:rowOff>
    </xdr:from>
    <xdr:to>
      <xdr:col>56</xdr:col>
      <xdr:colOff>394610</xdr:colOff>
      <xdr:row>243</xdr:row>
      <xdr:rowOff>54430</xdr:rowOff>
    </xdr:to>
    <xdr:cxnSp macro="">
      <xdr:nvCxnSpPr>
        <xdr:cNvPr id="581" name="Shape 163" descr="fc947093-8117-4eac-ba27-ecbb72dbee0f">
          <a:extLst>
            <a:ext uri="{FF2B5EF4-FFF2-40B4-BE49-F238E27FC236}">
              <a16:creationId xmlns:a16="http://schemas.microsoft.com/office/drawing/2014/main" id="{00000000-0008-0000-0900-000045020000}"/>
            </a:ext>
          </a:extLst>
        </xdr:cNvPr>
        <xdr:cNvCxnSpPr>
          <a:cxnSpLocks noChangeShapeType="1"/>
        </xdr:cNvCxnSpPr>
      </xdr:nvCxnSpPr>
      <xdr:spPr bwMode="auto">
        <a:xfrm>
          <a:off x="44844909" y="38159869"/>
          <a:ext cx="5760058" cy="5233311"/>
        </a:xfrm>
        <a:prstGeom prst="bentConnector3">
          <a:avLst>
            <a:gd name="adj1" fmla="val 35354"/>
          </a:avLst>
        </a:prstGeom>
        <a:noFill/>
        <a:ln w="25400" algn="ctr">
          <a:solidFill>
            <a:schemeClr val="accent6">
              <a:lumMod val="75000"/>
            </a:schemeClr>
          </a:solidFill>
          <a:round/>
          <a:headEnd/>
          <a:tailEnd type="arrow" w="med" len="med"/>
        </a:ln>
      </xdr:spPr>
    </xdr:cxnSp>
    <xdr:clientData/>
  </xdr:twoCellAnchor>
  <xdr:twoCellAnchor>
    <xdr:from>
      <xdr:col>73</xdr:col>
      <xdr:colOff>855008</xdr:colOff>
      <xdr:row>100</xdr:row>
      <xdr:rowOff>140074</xdr:rowOff>
    </xdr:from>
    <xdr:to>
      <xdr:col>77</xdr:col>
      <xdr:colOff>285750</xdr:colOff>
      <xdr:row>148</xdr:row>
      <xdr:rowOff>95250</xdr:rowOff>
    </xdr:to>
    <xdr:grpSp>
      <xdr:nvGrpSpPr>
        <xdr:cNvPr id="604" name="Group 603">
          <a:hlinkClick xmlns:r="http://schemas.openxmlformats.org/officeDocument/2006/relationships" r:id="rId14"/>
          <a:extLst>
            <a:ext uri="{FF2B5EF4-FFF2-40B4-BE49-F238E27FC236}">
              <a16:creationId xmlns:a16="http://schemas.microsoft.com/office/drawing/2014/main" id="{00000000-0008-0000-0900-00005C020000}"/>
            </a:ext>
          </a:extLst>
        </xdr:cNvPr>
        <xdr:cNvGrpSpPr>
          <a:grpSpLocks/>
        </xdr:cNvGrpSpPr>
      </xdr:nvGrpSpPr>
      <xdr:grpSpPr bwMode="auto">
        <a:xfrm>
          <a:off x="66975826" y="18964938"/>
          <a:ext cx="3777606" cy="7731039"/>
          <a:chOff x="2256" y="1008"/>
          <a:chExt cx="480" cy="1536"/>
        </a:xfrm>
        <a:gradFill>
          <a:gsLst>
            <a:gs pos="0">
              <a:srgbClr val="DDEBCF">
                <a:alpha val="0"/>
              </a:srgbClr>
            </a:gs>
            <a:gs pos="50000">
              <a:srgbClr val="9CB86E">
                <a:alpha val="72000"/>
              </a:srgbClr>
            </a:gs>
            <a:gs pos="100000">
              <a:srgbClr val="156B13"/>
            </a:gs>
          </a:gsLst>
          <a:lin ang="5400000" scaled="0"/>
        </a:gradFill>
      </xdr:grpSpPr>
      <xdr:sp macro="" textlink="">
        <xdr:nvSpPr>
          <xdr:cNvPr id="605" name="AutoShape 43">
            <a:extLst>
              <a:ext uri="{FF2B5EF4-FFF2-40B4-BE49-F238E27FC236}">
                <a16:creationId xmlns:a16="http://schemas.microsoft.com/office/drawing/2014/main" id="{00000000-0008-0000-0900-00005D020000}"/>
              </a:ext>
            </a:extLst>
          </xdr:cNvPr>
          <xdr:cNvSpPr>
            <a:spLocks noChangeArrowheads="1"/>
          </xdr:cNvSpPr>
        </xdr:nvSpPr>
        <xdr:spPr bwMode="auto">
          <a:xfrm>
            <a:off x="2256" y="1008"/>
            <a:ext cx="480" cy="1536"/>
          </a:xfrm>
          <a:prstGeom prst="roundRect">
            <a:avLst>
              <a:gd name="adj" fmla="val 18440"/>
            </a:avLst>
          </a:prstGeom>
          <a:grpFill/>
          <a:ln w="9525">
            <a:solidFill>
              <a:schemeClr val="tx1"/>
            </a:solidFill>
            <a:round/>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nvGrpSpPr>
          <xdr:cNvPr id="606" name="Group 302">
            <a:extLst>
              <a:ext uri="{FF2B5EF4-FFF2-40B4-BE49-F238E27FC236}">
                <a16:creationId xmlns:a16="http://schemas.microsoft.com/office/drawing/2014/main" id="{00000000-0008-0000-0900-00005E020000}"/>
              </a:ext>
            </a:extLst>
          </xdr:cNvPr>
          <xdr:cNvGrpSpPr>
            <a:grpSpLocks/>
          </xdr:cNvGrpSpPr>
        </xdr:nvGrpSpPr>
        <xdr:grpSpPr bwMode="auto">
          <a:xfrm>
            <a:off x="2256" y="1384"/>
            <a:ext cx="288" cy="48"/>
            <a:chOff x="2592" y="1152"/>
            <a:chExt cx="432" cy="48"/>
          </a:xfrm>
          <a:grpFill/>
        </xdr:grpSpPr>
        <xdr:sp macro="" textlink="">
          <xdr:nvSpPr>
            <xdr:cNvPr id="643" name="Line 45">
              <a:extLst>
                <a:ext uri="{FF2B5EF4-FFF2-40B4-BE49-F238E27FC236}">
                  <a16:creationId xmlns:a16="http://schemas.microsoft.com/office/drawing/2014/main" id="{00000000-0008-0000-0900-000083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44" name="Line 46">
              <a:extLst>
                <a:ext uri="{FF2B5EF4-FFF2-40B4-BE49-F238E27FC236}">
                  <a16:creationId xmlns:a16="http://schemas.microsoft.com/office/drawing/2014/main" id="{00000000-0008-0000-0900-000084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07" name="Group 303">
            <a:extLst>
              <a:ext uri="{FF2B5EF4-FFF2-40B4-BE49-F238E27FC236}">
                <a16:creationId xmlns:a16="http://schemas.microsoft.com/office/drawing/2014/main" id="{00000000-0008-0000-0900-00005F020000}"/>
              </a:ext>
            </a:extLst>
          </xdr:cNvPr>
          <xdr:cNvGrpSpPr>
            <a:grpSpLocks/>
          </xdr:cNvGrpSpPr>
        </xdr:nvGrpSpPr>
        <xdr:grpSpPr bwMode="auto">
          <a:xfrm>
            <a:off x="2256" y="2008"/>
            <a:ext cx="288" cy="48"/>
            <a:chOff x="2592" y="1152"/>
            <a:chExt cx="432" cy="48"/>
          </a:xfrm>
          <a:grpFill/>
        </xdr:grpSpPr>
        <xdr:sp macro="" textlink="">
          <xdr:nvSpPr>
            <xdr:cNvPr id="641" name="Line 48">
              <a:extLst>
                <a:ext uri="{FF2B5EF4-FFF2-40B4-BE49-F238E27FC236}">
                  <a16:creationId xmlns:a16="http://schemas.microsoft.com/office/drawing/2014/main" id="{00000000-0008-0000-0900-000081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42" name="Line 49">
              <a:extLst>
                <a:ext uri="{FF2B5EF4-FFF2-40B4-BE49-F238E27FC236}">
                  <a16:creationId xmlns:a16="http://schemas.microsoft.com/office/drawing/2014/main" id="{00000000-0008-0000-0900-000082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08" name="Group 306">
            <a:extLst>
              <a:ext uri="{FF2B5EF4-FFF2-40B4-BE49-F238E27FC236}">
                <a16:creationId xmlns:a16="http://schemas.microsoft.com/office/drawing/2014/main" id="{00000000-0008-0000-0900-000060020000}"/>
              </a:ext>
            </a:extLst>
          </xdr:cNvPr>
          <xdr:cNvGrpSpPr>
            <a:grpSpLocks/>
          </xdr:cNvGrpSpPr>
        </xdr:nvGrpSpPr>
        <xdr:grpSpPr bwMode="auto">
          <a:xfrm>
            <a:off x="2256" y="1808"/>
            <a:ext cx="288" cy="48"/>
            <a:chOff x="2592" y="1152"/>
            <a:chExt cx="432" cy="48"/>
          </a:xfrm>
          <a:grpFill/>
        </xdr:grpSpPr>
        <xdr:sp macro="" textlink="">
          <xdr:nvSpPr>
            <xdr:cNvPr id="638" name="Line 51">
              <a:extLst>
                <a:ext uri="{FF2B5EF4-FFF2-40B4-BE49-F238E27FC236}">
                  <a16:creationId xmlns:a16="http://schemas.microsoft.com/office/drawing/2014/main" id="{00000000-0008-0000-0900-00007E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40" name="Line 52">
              <a:extLst>
                <a:ext uri="{FF2B5EF4-FFF2-40B4-BE49-F238E27FC236}">
                  <a16:creationId xmlns:a16="http://schemas.microsoft.com/office/drawing/2014/main" id="{00000000-0008-0000-0900-000080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09" name="Group 307">
            <a:extLst>
              <a:ext uri="{FF2B5EF4-FFF2-40B4-BE49-F238E27FC236}">
                <a16:creationId xmlns:a16="http://schemas.microsoft.com/office/drawing/2014/main" id="{00000000-0008-0000-0900-000061020000}"/>
              </a:ext>
            </a:extLst>
          </xdr:cNvPr>
          <xdr:cNvGrpSpPr>
            <a:grpSpLocks/>
          </xdr:cNvGrpSpPr>
        </xdr:nvGrpSpPr>
        <xdr:grpSpPr bwMode="auto">
          <a:xfrm>
            <a:off x="2256" y="1600"/>
            <a:ext cx="288" cy="48"/>
            <a:chOff x="2592" y="1152"/>
            <a:chExt cx="432" cy="48"/>
          </a:xfrm>
          <a:grpFill/>
        </xdr:grpSpPr>
        <xdr:sp macro="" textlink="">
          <xdr:nvSpPr>
            <xdr:cNvPr id="636" name="Line 54">
              <a:extLst>
                <a:ext uri="{FF2B5EF4-FFF2-40B4-BE49-F238E27FC236}">
                  <a16:creationId xmlns:a16="http://schemas.microsoft.com/office/drawing/2014/main" id="{00000000-0008-0000-0900-00007C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37" name="Line 55">
              <a:extLst>
                <a:ext uri="{FF2B5EF4-FFF2-40B4-BE49-F238E27FC236}">
                  <a16:creationId xmlns:a16="http://schemas.microsoft.com/office/drawing/2014/main" id="{00000000-0008-0000-0900-00007D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10" name="Group 309">
            <a:extLst>
              <a:ext uri="{FF2B5EF4-FFF2-40B4-BE49-F238E27FC236}">
                <a16:creationId xmlns:a16="http://schemas.microsoft.com/office/drawing/2014/main" id="{00000000-0008-0000-0900-000062020000}"/>
              </a:ext>
            </a:extLst>
          </xdr:cNvPr>
          <xdr:cNvGrpSpPr>
            <a:grpSpLocks/>
          </xdr:cNvGrpSpPr>
        </xdr:nvGrpSpPr>
        <xdr:grpSpPr bwMode="auto">
          <a:xfrm>
            <a:off x="2256" y="2248"/>
            <a:ext cx="288" cy="48"/>
            <a:chOff x="2592" y="1152"/>
            <a:chExt cx="432" cy="48"/>
          </a:xfrm>
          <a:grpFill/>
        </xdr:grpSpPr>
        <xdr:sp macro="" textlink="">
          <xdr:nvSpPr>
            <xdr:cNvPr id="633" name="Line 57">
              <a:extLst>
                <a:ext uri="{FF2B5EF4-FFF2-40B4-BE49-F238E27FC236}">
                  <a16:creationId xmlns:a16="http://schemas.microsoft.com/office/drawing/2014/main" id="{00000000-0008-0000-0900-000079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34" name="Line 58">
              <a:extLst>
                <a:ext uri="{FF2B5EF4-FFF2-40B4-BE49-F238E27FC236}">
                  <a16:creationId xmlns:a16="http://schemas.microsoft.com/office/drawing/2014/main" id="{00000000-0008-0000-0900-00007A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11" name="Group 310">
            <a:extLst>
              <a:ext uri="{FF2B5EF4-FFF2-40B4-BE49-F238E27FC236}">
                <a16:creationId xmlns:a16="http://schemas.microsoft.com/office/drawing/2014/main" id="{00000000-0008-0000-0900-000063020000}"/>
              </a:ext>
            </a:extLst>
          </xdr:cNvPr>
          <xdr:cNvGrpSpPr>
            <a:grpSpLocks/>
          </xdr:cNvGrpSpPr>
        </xdr:nvGrpSpPr>
        <xdr:grpSpPr bwMode="auto">
          <a:xfrm>
            <a:off x="2256" y="1152"/>
            <a:ext cx="288" cy="48"/>
            <a:chOff x="2592" y="1152"/>
            <a:chExt cx="432" cy="48"/>
          </a:xfrm>
          <a:grpFill/>
        </xdr:grpSpPr>
        <xdr:sp macro="" textlink="">
          <xdr:nvSpPr>
            <xdr:cNvPr id="631" name="Line 60">
              <a:extLst>
                <a:ext uri="{FF2B5EF4-FFF2-40B4-BE49-F238E27FC236}">
                  <a16:creationId xmlns:a16="http://schemas.microsoft.com/office/drawing/2014/main" id="{00000000-0008-0000-0900-000077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32" name="Line 61">
              <a:extLst>
                <a:ext uri="{FF2B5EF4-FFF2-40B4-BE49-F238E27FC236}">
                  <a16:creationId xmlns:a16="http://schemas.microsoft.com/office/drawing/2014/main" id="{00000000-0008-0000-0900-000078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12" name="Group 326">
            <a:extLst>
              <a:ext uri="{FF2B5EF4-FFF2-40B4-BE49-F238E27FC236}">
                <a16:creationId xmlns:a16="http://schemas.microsoft.com/office/drawing/2014/main" id="{00000000-0008-0000-0900-000064020000}"/>
              </a:ext>
            </a:extLst>
          </xdr:cNvPr>
          <xdr:cNvGrpSpPr>
            <a:grpSpLocks/>
          </xdr:cNvGrpSpPr>
        </xdr:nvGrpSpPr>
        <xdr:grpSpPr bwMode="auto">
          <a:xfrm flipH="1">
            <a:off x="2352" y="1496"/>
            <a:ext cx="376" cy="48"/>
            <a:chOff x="2592" y="1152"/>
            <a:chExt cx="432" cy="48"/>
          </a:xfrm>
          <a:grpFill/>
        </xdr:grpSpPr>
        <xdr:sp macro="" textlink="">
          <xdr:nvSpPr>
            <xdr:cNvPr id="629" name="Line 63">
              <a:extLst>
                <a:ext uri="{FF2B5EF4-FFF2-40B4-BE49-F238E27FC236}">
                  <a16:creationId xmlns:a16="http://schemas.microsoft.com/office/drawing/2014/main" id="{00000000-0008-0000-0900-000075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30" name="Line 64">
              <a:extLst>
                <a:ext uri="{FF2B5EF4-FFF2-40B4-BE49-F238E27FC236}">
                  <a16:creationId xmlns:a16="http://schemas.microsoft.com/office/drawing/2014/main" id="{00000000-0008-0000-0900-000076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13" name="Group 327">
            <a:extLst>
              <a:ext uri="{FF2B5EF4-FFF2-40B4-BE49-F238E27FC236}">
                <a16:creationId xmlns:a16="http://schemas.microsoft.com/office/drawing/2014/main" id="{00000000-0008-0000-0900-000065020000}"/>
              </a:ext>
            </a:extLst>
          </xdr:cNvPr>
          <xdr:cNvGrpSpPr>
            <a:grpSpLocks/>
          </xdr:cNvGrpSpPr>
        </xdr:nvGrpSpPr>
        <xdr:grpSpPr bwMode="auto">
          <a:xfrm flipH="1">
            <a:off x="2352" y="2136"/>
            <a:ext cx="376" cy="48"/>
            <a:chOff x="2592" y="1152"/>
            <a:chExt cx="432" cy="48"/>
          </a:xfrm>
          <a:grpFill/>
        </xdr:grpSpPr>
        <xdr:sp macro="" textlink="">
          <xdr:nvSpPr>
            <xdr:cNvPr id="627" name="Line 66">
              <a:extLst>
                <a:ext uri="{FF2B5EF4-FFF2-40B4-BE49-F238E27FC236}">
                  <a16:creationId xmlns:a16="http://schemas.microsoft.com/office/drawing/2014/main" id="{00000000-0008-0000-0900-000073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28" name="Line 67">
              <a:extLst>
                <a:ext uri="{FF2B5EF4-FFF2-40B4-BE49-F238E27FC236}">
                  <a16:creationId xmlns:a16="http://schemas.microsoft.com/office/drawing/2014/main" id="{00000000-0008-0000-0900-000074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14" name="Group 328">
            <a:extLst>
              <a:ext uri="{FF2B5EF4-FFF2-40B4-BE49-F238E27FC236}">
                <a16:creationId xmlns:a16="http://schemas.microsoft.com/office/drawing/2014/main" id="{00000000-0008-0000-0900-000066020000}"/>
              </a:ext>
            </a:extLst>
          </xdr:cNvPr>
          <xdr:cNvGrpSpPr>
            <a:grpSpLocks/>
          </xdr:cNvGrpSpPr>
        </xdr:nvGrpSpPr>
        <xdr:grpSpPr bwMode="auto">
          <a:xfrm flipH="1">
            <a:off x="2352" y="1904"/>
            <a:ext cx="376" cy="48"/>
            <a:chOff x="2592" y="1152"/>
            <a:chExt cx="432" cy="48"/>
          </a:xfrm>
          <a:grpFill/>
        </xdr:grpSpPr>
        <xdr:sp macro="" textlink="">
          <xdr:nvSpPr>
            <xdr:cNvPr id="625" name="Line 69">
              <a:extLst>
                <a:ext uri="{FF2B5EF4-FFF2-40B4-BE49-F238E27FC236}">
                  <a16:creationId xmlns:a16="http://schemas.microsoft.com/office/drawing/2014/main" id="{00000000-0008-0000-0900-000071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26" name="Line 70">
              <a:extLst>
                <a:ext uri="{FF2B5EF4-FFF2-40B4-BE49-F238E27FC236}">
                  <a16:creationId xmlns:a16="http://schemas.microsoft.com/office/drawing/2014/main" id="{00000000-0008-0000-0900-000072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15" name="Group 329">
            <a:extLst>
              <a:ext uri="{FF2B5EF4-FFF2-40B4-BE49-F238E27FC236}">
                <a16:creationId xmlns:a16="http://schemas.microsoft.com/office/drawing/2014/main" id="{00000000-0008-0000-0900-000067020000}"/>
              </a:ext>
            </a:extLst>
          </xdr:cNvPr>
          <xdr:cNvGrpSpPr>
            <a:grpSpLocks/>
          </xdr:cNvGrpSpPr>
        </xdr:nvGrpSpPr>
        <xdr:grpSpPr bwMode="auto">
          <a:xfrm flipH="1">
            <a:off x="2352" y="1712"/>
            <a:ext cx="376" cy="48"/>
            <a:chOff x="2592" y="1152"/>
            <a:chExt cx="432" cy="48"/>
          </a:xfrm>
          <a:grpFill/>
        </xdr:grpSpPr>
        <xdr:sp macro="" textlink="">
          <xdr:nvSpPr>
            <xdr:cNvPr id="623" name="Line 72">
              <a:extLst>
                <a:ext uri="{FF2B5EF4-FFF2-40B4-BE49-F238E27FC236}">
                  <a16:creationId xmlns:a16="http://schemas.microsoft.com/office/drawing/2014/main" id="{00000000-0008-0000-0900-00006F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24" name="Line 73">
              <a:extLst>
                <a:ext uri="{FF2B5EF4-FFF2-40B4-BE49-F238E27FC236}">
                  <a16:creationId xmlns:a16="http://schemas.microsoft.com/office/drawing/2014/main" id="{00000000-0008-0000-0900-000070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16" name="Group 331">
            <a:extLst>
              <a:ext uri="{FF2B5EF4-FFF2-40B4-BE49-F238E27FC236}">
                <a16:creationId xmlns:a16="http://schemas.microsoft.com/office/drawing/2014/main" id="{00000000-0008-0000-0900-000068020000}"/>
              </a:ext>
            </a:extLst>
          </xdr:cNvPr>
          <xdr:cNvGrpSpPr>
            <a:grpSpLocks/>
          </xdr:cNvGrpSpPr>
        </xdr:nvGrpSpPr>
        <xdr:grpSpPr bwMode="auto">
          <a:xfrm flipH="1">
            <a:off x="2352" y="2352"/>
            <a:ext cx="376" cy="48"/>
            <a:chOff x="2592" y="1152"/>
            <a:chExt cx="432" cy="48"/>
          </a:xfrm>
          <a:grpFill/>
        </xdr:grpSpPr>
        <xdr:sp macro="" textlink="">
          <xdr:nvSpPr>
            <xdr:cNvPr id="620" name="Line 75">
              <a:extLst>
                <a:ext uri="{FF2B5EF4-FFF2-40B4-BE49-F238E27FC236}">
                  <a16:creationId xmlns:a16="http://schemas.microsoft.com/office/drawing/2014/main" id="{00000000-0008-0000-0900-00006C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21" name="Line 76">
              <a:extLst>
                <a:ext uri="{FF2B5EF4-FFF2-40B4-BE49-F238E27FC236}">
                  <a16:creationId xmlns:a16="http://schemas.microsoft.com/office/drawing/2014/main" id="{00000000-0008-0000-0900-00006D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17" name="Group 332">
            <a:extLst>
              <a:ext uri="{FF2B5EF4-FFF2-40B4-BE49-F238E27FC236}">
                <a16:creationId xmlns:a16="http://schemas.microsoft.com/office/drawing/2014/main" id="{00000000-0008-0000-0900-000069020000}"/>
              </a:ext>
            </a:extLst>
          </xdr:cNvPr>
          <xdr:cNvGrpSpPr>
            <a:grpSpLocks/>
          </xdr:cNvGrpSpPr>
        </xdr:nvGrpSpPr>
        <xdr:grpSpPr bwMode="auto">
          <a:xfrm flipH="1">
            <a:off x="2352" y="1272"/>
            <a:ext cx="376" cy="48"/>
            <a:chOff x="2592" y="1152"/>
            <a:chExt cx="432" cy="48"/>
          </a:xfrm>
          <a:grpFill/>
        </xdr:grpSpPr>
        <xdr:sp macro="" textlink="">
          <xdr:nvSpPr>
            <xdr:cNvPr id="618" name="Line 78">
              <a:extLst>
                <a:ext uri="{FF2B5EF4-FFF2-40B4-BE49-F238E27FC236}">
                  <a16:creationId xmlns:a16="http://schemas.microsoft.com/office/drawing/2014/main" id="{00000000-0008-0000-0900-00006A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19" name="Line 79">
              <a:extLst>
                <a:ext uri="{FF2B5EF4-FFF2-40B4-BE49-F238E27FC236}">
                  <a16:creationId xmlns:a16="http://schemas.microsoft.com/office/drawing/2014/main" id="{00000000-0008-0000-0900-00006B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clientData/>
  </xdr:twoCellAnchor>
  <xdr:twoCellAnchor>
    <xdr:from>
      <xdr:col>81</xdr:col>
      <xdr:colOff>744682</xdr:colOff>
      <xdr:row>211</xdr:row>
      <xdr:rowOff>95250</xdr:rowOff>
    </xdr:from>
    <xdr:to>
      <xdr:col>84</xdr:col>
      <xdr:colOff>335215</xdr:colOff>
      <xdr:row>267</xdr:row>
      <xdr:rowOff>38100</xdr:rowOff>
    </xdr:to>
    <xdr:grpSp>
      <xdr:nvGrpSpPr>
        <xdr:cNvPr id="686" name="Group 685">
          <a:hlinkClick xmlns:r="http://schemas.openxmlformats.org/officeDocument/2006/relationships" r:id="rId15"/>
          <a:extLst>
            <a:ext uri="{FF2B5EF4-FFF2-40B4-BE49-F238E27FC236}">
              <a16:creationId xmlns:a16="http://schemas.microsoft.com/office/drawing/2014/main" id="{00000000-0008-0000-0900-0000AE020000}"/>
            </a:ext>
          </a:extLst>
        </xdr:cNvPr>
        <xdr:cNvGrpSpPr>
          <a:grpSpLocks/>
        </xdr:cNvGrpSpPr>
      </xdr:nvGrpSpPr>
      <xdr:grpSpPr bwMode="auto">
        <a:xfrm>
          <a:off x="75576546" y="37693023"/>
          <a:ext cx="2482669" cy="9260032"/>
          <a:chOff x="2256" y="1008"/>
          <a:chExt cx="480" cy="1536"/>
        </a:xfrm>
        <a:gradFill>
          <a:gsLst>
            <a:gs pos="0">
              <a:schemeClr val="accent3">
                <a:lumMod val="40000"/>
                <a:lumOff val="60000"/>
                <a:alpha val="0"/>
              </a:schemeClr>
            </a:gs>
            <a:gs pos="50000">
              <a:srgbClr val="9CB86E"/>
            </a:gs>
            <a:gs pos="100000">
              <a:srgbClr val="156B13"/>
            </a:gs>
          </a:gsLst>
          <a:lin ang="5400000" scaled="1"/>
        </a:gradFill>
      </xdr:grpSpPr>
      <xdr:sp macro="" textlink="">
        <xdr:nvSpPr>
          <xdr:cNvPr id="688" name="AutoShape 43">
            <a:extLst>
              <a:ext uri="{FF2B5EF4-FFF2-40B4-BE49-F238E27FC236}">
                <a16:creationId xmlns:a16="http://schemas.microsoft.com/office/drawing/2014/main" id="{00000000-0008-0000-0900-0000B0020000}"/>
              </a:ext>
            </a:extLst>
          </xdr:cNvPr>
          <xdr:cNvSpPr>
            <a:spLocks noChangeArrowheads="1"/>
          </xdr:cNvSpPr>
        </xdr:nvSpPr>
        <xdr:spPr bwMode="auto">
          <a:xfrm>
            <a:off x="2256" y="1008"/>
            <a:ext cx="480" cy="1536"/>
          </a:xfrm>
          <a:prstGeom prst="roundRect">
            <a:avLst>
              <a:gd name="adj" fmla="val 18440"/>
            </a:avLst>
          </a:prstGeom>
          <a:grpFill/>
          <a:ln w="9525">
            <a:solidFill>
              <a:schemeClr val="tx1"/>
            </a:solidFill>
            <a:round/>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nvGrpSpPr>
          <xdr:cNvPr id="689" name="Group 302">
            <a:extLst>
              <a:ext uri="{FF2B5EF4-FFF2-40B4-BE49-F238E27FC236}">
                <a16:creationId xmlns:a16="http://schemas.microsoft.com/office/drawing/2014/main" id="{00000000-0008-0000-0900-0000B1020000}"/>
              </a:ext>
            </a:extLst>
          </xdr:cNvPr>
          <xdr:cNvGrpSpPr>
            <a:grpSpLocks/>
          </xdr:cNvGrpSpPr>
        </xdr:nvGrpSpPr>
        <xdr:grpSpPr bwMode="auto">
          <a:xfrm>
            <a:off x="2256" y="1384"/>
            <a:ext cx="288" cy="48"/>
            <a:chOff x="2592" y="1152"/>
            <a:chExt cx="432" cy="48"/>
          </a:xfrm>
          <a:grpFill/>
        </xdr:grpSpPr>
        <xdr:sp macro="" textlink="">
          <xdr:nvSpPr>
            <xdr:cNvPr id="731" name="Line 45">
              <a:extLst>
                <a:ext uri="{FF2B5EF4-FFF2-40B4-BE49-F238E27FC236}">
                  <a16:creationId xmlns:a16="http://schemas.microsoft.com/office/drawing/2014/main" id="{00000000-0008-0000-0900-0000DB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32" name="Line 46">
              <a:extLst>
                <a:ext uri="{FF2B5EF4-FFF2-40B4-BE49-F238E27FC236}">
                  <a16:creationId xmlns:a16="http://schemas.microsoft.com/office/drawing/2014/main" id="{00000000-0008-0000-0900-0000DC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0" name="Group 303">
            <a:extLst>
              <a:ext uri="{FF2B5EF4-FFF2-40B4-BE49-F238E27FC236}">
                <a16:creationId xmlns:a16="http://schemas.microsoft.com/office/drawing/2014/main" id="{00000000-0008-0000-0900-0000B2020000}"/>
              </a:ext>
            </a:extLst>
          </xdr:cNvPr>
          <xdr:cNvGrpSpPr>
            <a:grpSpLocks/>
          </xdr:cNvGrpSpPr>
        </xdr:nvGrpSpPr>
        <xdr:grpSpPr bwMode="auto">
          <a:xfrm>
            <a:off x="2256" y="2008"/>
            <a:ext cx="288" cy="48"/>
            <a:chOff x="2592" y="1152"/>
            <a:chExt cx="432" cy="48"/>
          </a:xfrm>
          <a:grpFill/>
        </xdr:grpSpPr>
        <xdr:sp macro="" textlink="">
          <xdr:nvSpPr>
            <xdr:cNvPr id="729" name="Line 48">
              <a:extLst>
                <a:ext uri="{FF2B5EF4-FFF2-40B4-BE49-F238E27FC236}">
                  <a16:creationId xmlns:a16="http://schemas.microsoft.com/office/drawing/2014/main" id="{00000000-0008-0000-0900-0000D9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30" name="Line 49">
              <a:extLst>
                <a:ext uri="{FF2B5EF4-FFF2-40B4-BE49-F238E27FC236}">
                  <a16:creationId xmlns:a16="http://schemas.microsoft.com/office/drawing/2014/main" id="{00000000-0008-0000-0900-0000DA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1" name="Group 306">
            <a:extLst>
              <a:ext uri="{FF2B5EF4-FFF2-40B4-BE49-F238E27FC236}">
                <a16:creationId xmlns:a16="http://schemas.microsoft.com/office/drawing/2014/main" id="{00000000-0008-0000-0900-0000B3020000}"/>
              </a:ext>
            </a:extLst>
          </xdr:cNvPr>
          <xdr:cNvGrpSpPr>
            <a:grpSpLocks/>
          </xdr:cNvGrpSpPr>
        </xdr:nvGrpSpPr>
        <xdr:grpSpPr bwMode="auto">
          <a:xfrm>
            <a:off x="2256" y="1808"/>
            <a:ext cx="288" cy="48"/>
            <a:chOff x="2592" y="1152"/>
            <a:chExt cx="432" cy="48"/>
          </a:xfrm>
          <a:grpFill/>
        </xdr:grpSpPr>
        <xdr:sp macro="" textlink="">
          <xdr:nvSpPr>
            <xdr:cNvPr id="726" name="Line 51">
              <a:extLst>
                <a:ext uri="{FF2B5EF4-FFF2-40B4-BE49-F238E27FC236}">
                  <a16:creationId xmlns:a16="http://schemas.microsoft.com/office/drawing/2014/main" id="{00000000-0008-0000-0900-0000D6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28" name="Line 52">
              <a:extLst>
                <a:ext uri="{FF2B5EF4-FFF2-40B4-BE49-F238E27FC236}">
                  <a16:creationId xmlns:a16="http://schemas.microsoft.com/office/drawing/2014/main" id="{00000000-0008-0000-0900-0000D8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2" name="Group 307">
            <a:extLst>
              <a:ext uri="{FF2B5EF4-FFF2-40B4-BE49-F238E27FC236}">
                <a16:creationId xmlns:a16="http://schemas.microsoft.com/office/drawing/2014/main" id="{00000000-0008-0000-0900-0000B4020000}"/>
              </a:ext>
            </a:extLst>
          </xdr:cNvPr>
          <xdr:cNvGrpSpPr>
            <a:grpSpLocks/>
          </xdr:cNvGrpSpPr>
        </xdr:nvGrpSpPr>
        <xdr:grpSpPr bwMode="auto">
          <a:xfrm>
            <a:off x="2256" y="1600"/>
            <a:ext cx="288" cy="48"/>
            <a:chOff x="2592" y="1152"/>
            <a:chExt cx="432" cy="48"/>
          </a:xfrm>
          <a:grpFill/>
        </xdr:grpSpPr>
        <xdr:sp macro="" textlink="">
          <xdr:nvSpPr>
            <xdr:cNvPr id="723" name="Line 54">
              <a:extLst>
                <a:ext uri="{FF2B5EF4-FFF2-40B4-BE49-F238E27FC236}">
                  <a16:creationId xmlns:a16="http://schemas.microsoft.com/office/drawing/2014/main" id="{00000000-0008-0000-0900-0000D3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25" name="Line 55">
              <a:extLst>
                <a:ext uri="{FF2B5EF4-FFF2-40B4-BE49-F238E27FC236}">
                  <a16:creationId xmlns:a16="http://schemas.microsoft.com/office/drawing/2014/main" id="{00000000-0008-0000-0900-0000D5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3" name="Group 309">
            <a:extLst>
              <a:ext uri="{FF2B5EF4-FFF2-40B4-BE49-F238E27FC236}">
                <a16:creationId xmlns:a16="http://schemas.microsoft.com/office/drawing/2014/main" id="{00000000-0008-0000-0900-0000B5020000}"/>
              </a:ext>
            </a:extLst>
          </xdr:cNvPr>
          <xdr:cNvGrpSpPr>
            <a:grpSpLocks/>
          </xdr:cNvGrpSpPr>
        </xdr:nvGrpSpPr>
        <xdr:grpSpPr bwMode="auto">
          <a:xfrm>
            <a:off x="2256" y="2248"/>
            <a:ext cx="288" cy="48"/>
            <a:chOff x="2592" y="1152"/>
            <a:chExt cx="432" cy="48"/>
          </a:xfrm>
          <a:grpFill/>
        </xdr:grpSpPr>
        <xdr:sp macro="" textlink="">
          <xdr:nvSpPr>
            <xdr:cNvPr id="721" name="Line 57">
              <a:extLst>
                <a:ext uri="{FF2B5EF4-FFF2-40B4-BE49-F238E27FC236}">
                  <a16:creationId xmlns:a16="http://schemas.microsoft.com/office/drawing/2014/main" id="{00000000-0008-0000-0900-0000D1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22" name="Line 58">
              <a:extLst>
                <a:ext uri="{FF2B5EF4-FFF2-40B4-BE49-F238E27FC236}">
                  <a16:creationId xmlns:a16="http://schemas.microsoft.com/office/drawing/2014/main" id="{00000000-0008-0000-0900-0000D2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4" name="Group 310">
            <a:extLst>
              <a:ext uri="{FF2B5EF4-FFF2-40B4-BE49-F238E27FC236}">
                <a16:creationId xmlns:a16="http://schemas.microsoft.com/office/drawing/2014/main" id="{00000000-0008-0000-0900-0000B6020000}"/>
              </a:ext>
            </a:extLst>
          </xdr:cNvPr>
          <xdr:cNvGrpSpPr>
            <a:grpSpLocks/>
          </xdr:cNvGrpSpPr>
        </xdr:nvGrpSpPr>
        <xdr:grpSpPr bwMode="auto">
          <a:xfrm>
            <a:off x="2256" y="1152"/>
            <a:ext cx="288" cy="48"/>
            <a:chOff x="2592" y="1152"/>
            <a:chExt cx="432" cy="48"/>
          </a:xfrm>
          <a:grpFill/>
        </xdr:grpSpPr>
        <xdr:sp macro="" textlink="">
          <xdr:nvSpPr>
            <xdr:cNvPr id="719" name="Line 60">
              <a:extLst>
                <a:ext uri="{FF2B5EF4-FFF2-40B4-BE49-F238E27FC236}">
                  <a16:creationId xmlns:a16="http://schemas.microsoft.com/office/drawing/2014/main" id="{00000000-0008-0000-0900-0000CF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20" name="Line 61">
              <a:extLst>
                <a:ext uri="{FF2B5EF4-FFF2-40B4-BE49-F238E27FC236}">
                  <a16:creationId xmlns:a16="http://schemas.microsoft.com/office/drawing/2014/main" id="{00000000-0008-0000-0900-0000D0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5" name="Group 326">
            <a:extLst>
              <a:ext uri="{FF2B5EF4-FFF2-40B4-BE49-F238E27FC236}">
                <a16:creationId xmlns:a16="http://schemas.microsoft.com/office/drawing/2014/main" id="{00000000-0008-0000-0900-0000B7020000}"/>
              </a:ext>
            </a:extLst>
          </xdr:cNvPr>
          <xdr:cNvGrpSpPr>
            <a:grpSpLocks/>
          </xdr:cNvGrpSpPr>
        </xdr:nvGrpSpPr>
        <xdr:grpSpPr bwMode="auto">
          <a:xfrm flipH="1">
            <a:off x="2352" y="1496"/>
            <a:ext cx="376" cy="48"/>
            <a:chOff x="2592" y="1152"/>
            <a:chExt cx="432" cy="48"/>
          </a:xfrm>
          <a:grpFill/>
        </xdr:grpSpPr>
        <xdr:sp macro="" textlink="">
          <xdr:nvSpPr>
            <xdr:cNvPr id="716" name="Line 63">
              <a:extLst>
                <a:ext uri="{FF2B5EF4-FFF2-40B4-BE49-F238E27FC236}">
                  <a16:creationId xmlns:a16="http://schemas.microsoft.com/office/drawing/2014/main" id="{00000000-0008-0000-0900-0000CC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17" name="Line 64">
              <a:extLst>
                <a:ext uri="{FF2B5EF4-FFF2-40B4-BE49-F238E27FC236}">
                  <a16:creationId xmlns:a16="http://schemas.microsoft.com/office/drawing/2014/main" id="{00000000-0008-0000-0900-0000CD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6" name="Group 327">
            <a:extLst>
              <a:ext uri="{FF2B5EF4-FFF2-40B4-BE49-F238E27FC236}">
                <a16:creationId xmlns:a16="http://schemas.microsoft.com/office/drawing/2014/main" id="{00000000-0008-0000-0900-0000B8020000}"/>
              </a:ext>
            </a:extLst>
          </xdr:cNvPr>
          <xdr:cNvGrpSpPr>
            <a:grpSpLocks/>
          </xdr:cNvGrpSpPr>
        </xdr:nvGrpSpPr>
        <xdr:grpSpPr bwMode="auto">
          <a:xfrm flipH="1">
            <a:off x="2352" y="2136"/>
            <a:ext cx="376" cy="48"/>
            <a:chOff x="2592" y="1152"/>
            <a:chExt cx="432" cy="48"/>
          </a:xfrm>
          <a:grpFill/>
        </xdr:grpSpPr>
        <xdr:sp macro="" textlink="">
          <xdr:nvSpPr>
            <xdr:cNvPr id="714" name="Line 66">
              <a:extLst>
                <a:ext uri="{FF2B5EF4-FFF2-40B4-BE49-F238E27FC236}">
                  <a16:creationId xmlns:a16="http://schemas.microsoft.com/office/drawing/2014/main" id="{00000000-0008-0000-0900-0000CA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15" name="Line 67">
              <a:extLst>
                <a:ext uri="{FF2B5EF4-FFF2-40B4-BE49-F238E27FC236}">
                  <a16:creationId xmlns:a16="http://schemas.microsoft.com/office/drawing/2014/main" id="{00000000-0008-0000-0900-0000CB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7" name="Group 328">
            <a:extLst>
              <a:ext uri="{FF2B5EF4-FFF2-40B4-BE49-F238E27FC236}">
                <a16:creationId xmlns:a16="http://schemas.microsoft.com/office/drawing/2014/main" id="{00000000-0008-0000-0900-0000B9020000}"/>
              </a:ext>
            </a:extLst>
          </xdr:cNvPr>
          <xdr:cNvGrpSpPr>
            <a:grpSpLocks/>
          </xdr:cNvGrpSpPr>
        </xdr:nvGrpSpPr>
        <xdr:grpSpPr bwMode="auto">
          <a:xfrm flipH="1">
            <a:off x="2352" y="1904"/>
            <a:ext cx="376" cy="48"/>
            <a:chOff x="2592" y="1152"/>
            <a:chExt cx="432" cy="48"/>
          </a:xfrm>
          <a:grpFill/>
        </xdr:grpSpPr>
        <xdr:sp macro="" textlink="">
          <xdr:nvSpPr>
            <xdr:cNvPr id="707" name="Line 69">
              <a:extLst>
                <a:ext uri="{FF2B5EF4-FFF2-40B4-BE49-F238E27FC236}">
                  <a16:creationId xmlns:a16="http://schemas.microsoft.com/office/drawing/2014/main" id="{00000000-0008-0000-0900-0000C3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08" name="Line 70">
              <a:extLst>
                <a:ext uri="{FF2B5EF4-FFF2-40B4-BE49-F238E27FC236}">
                  <a16:creationId xmlns:a16="http://schemas.microsoft.com/office/drawing/2014/main" id="{00000000-0008-0000-0900-0000C4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8" name="Group 329">
            <a:extLst>
              <a:ext uri="{FF2B5EF4-FFF2-40B4-BE49-F238E27FC236}">
                <a16:creationId xmlns:a16="http://schemas.microsoft.com/office/drawing/2014/main" id="{00000000-0008-0000-0900-0000BA020000}"/>
              </a:ext>
            </a:extLst>
          </xdr:cNvPr>
          <xdr:cNvGrpSpPr>
            <a:grpSpLocks/>
          </xdr:cNvGrpSpPr>
        </xdr:nvGrpSpPr>
        <xdr:grpSpPr bwMode="auto">
          <a:xfrm flipH="1">
            <a:off x="2352" y="1712"/>
            <a:ext cx="376" cy="48"/>
            <a:chOff x="2592" y="1152"/>
            <a:chExt cx="432" cy="48"/>
          </a:xfrm>
          <a:grpFill/>
        </xdr:grpSpPr>
        <xdr:sp macro="" textlink="">
          <xdr:nvSpPr>
            <xdr:cNvPr id="705" name="Line 72">
              <a:extLst>
                <a:ext uri="{FF2B5EF4-FFF2-40B4-BE49-F238E27FC236}">
                  <a16:creationId xmlns:a16="http://schemas.microsoft.com/office/drawing/2014/main" id="{00000000-0008-0000-0900-0000C1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06" name="Line 73">
              <a:extLst>
                <a:ext uri="{FF2B5EF4-FFF2-40B4-BE49-F238E27FC236}">
                  <a16:creationId xmlns:a16="http://schemas.microsoft.com/office/drawing/2014/main" id="{00000000-0008-0000-0900-0000C2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699" name="Group 331">
            <a:extLst>
              <a:ext uri="{FF2B5EF4-FFF2-40B4-BE49-F238E27FC236}">
                <a16:creationId xmlns:a16="http://schemas.microsoft.com/office/drawing/2014/main" id="{00000000-0008-0000-0900-0000BB020000}"/>
              </a:ext>
            </a:extLst>
          </xdr:cNvPr>
          <xdr:cNvGrpSpPr>
            <a:grpSpLocks/>
          </xdr:cNvGrpSpPr>
        </xdr:nvGrpSpPr>
        <xdr:grpSpPr bwMode="auto">
          <a:xfrm flipH="1">
            <a:off x="2352" y="2352"/>
            <a:ext cx="376" cy="48"/>
            <a:chOff x="2592" y="1152"/>
            <a:chExt cx="432" cy="48"/>
          </a:xfrm>
          <a:grpFill/>
        </xdr:grpSpPr>
        <xdr:sp macro="" textlink="">
          <xdr:nvSpPr>
            <xdr:cNvPr id="703" name="Line 75">
              <a:extLst>
                <a:ext uri="{FF2B5EF4-FFF2-40B4-BE49-F238E27FC236}">
                  <a16:creationId xmlns:a16="http://schemas.microsoft.com/office/drawing/2014/main" id="{00000000-0008-0000-0900-0000BF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04" name="Line 76">
              <a:extLst>
                <a:ext uri="{FF2B5EF4-FFF2-40B4-BE49-F238E27FC236}">
                  <a16:creationId xmlns:a16="http://schemas.microsoft.com/office/drawing/2014/main" id="{00000000-0008-0000-0900-0000C0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700" name="Group 332">
            <a:extLst>
              <a:ext uri="{FF2B5EF4-FFF2-40B4-BE49-F238E27FC236}">
                <a16:creationId xmlns:a16="http://schemas.microsoft.com/office/drawing/2014/main" id="{00000000-0008-0000-0900-0000BC020000}"/>
              </a:ext>
            </a:extLst>
          </xdr:cNvPr>
          <xdr:cNvGrpSpPr>
            <a:grpSpLocks/>
          </xdr:cNvGrpSpPr>
        </xdr:nvGrpSpPr>
        <xdr:grpSpPr bwMode="auto">
          <a:xfrm flipH="1">
            <a:off x="2352" y="1272"/>
            <a:ext cx="376" cy="48"/>
            <a:chOff x="2592" y="1152"/>
            <a:chExt cx="432" cy="48"/>
          </a:xfrm>
          <a:grpFill/>
        </xdr:grpSpPr>
        <xdr:sp macro="" textlink="">
          <xdr:nvSpPr>
            <xdr:cNvPr id="701" name="Line 78">
              <a:extLst>
                <a:ext uri="{FF2B5EF4-FFF2-40B4-BE49-F238E27FC236}">
                  <a16:creationId xmlns:a16="http://schemas.microsoft.com/office/drawing/2014/main" id="{00000000-0008-0000-0900-0000BD02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702" name="Line 79">
              <a:extLst>
                <a:ext uri="{FF2B5EF4-FFF2-40B4-BE49-F238E27FC236}">
                  <a16:creationId xmlns:a16="http://schemas.microsoft.com/office/drawing/2014/main" id="{00000000-0008-0000-0900-0000BE02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clientData/>
  </xdr:twoCellAnchor>
  <xdr:twoCellAnchor>
    <xdr:from>
      <xdr:col>64</xdr:col>
      <xdr:colOff>31325</xdr:colOff>
      <xdr:row>207</xdr:row>
      <xdr:rowOff>187226</xdr:rowOff>
    </xdr:from>
    <xdr:to>
      <xdr:col>68</xdr:col>
      <xdr:colOff>521714</xdr:colOff>
      <xdr:row>276</xdr:row>
      <xdr:rowOff>137265</xdr:rowOff>
    </xdr:to>
    <xdr:cxnSp macro="">
      <xdr:nvCxnSpPr>
        <xdr:cNvPr id="900" name="AutoShape 154" descr="24db6fa2-1dcb-4f7e-a137-db5706ad5d91">
          <a:extLst>
            <a:ext uri="{FF2B5EF4-FFF2-40B4-BE49-F238E27FC236}">
              <a16:creationId xmlns:a16="http://schemas.microsoft.com/office/drawing/2014/main" id="{00000000-0008-0000-0900-000084030000}"/>
            </a:ext>
          </a:extLst>
        </xdr:cNvPr>
        <xdr:cNvCxnSpPr>
          <a:cxnSpLocks noChangeShapeType="1"/>
          <a:stCxn id="687" idx="5"/>
          <a:endCxn id="903" idx="5"/>
        </xdr:cNvCxnSpPr>
      </xdr:nvCxnSpPr>
      <xdr:spPr bwMode="auto">
        <a:xfrm rot="5400000" flipH="1" flipV="1">
          <a:off x="51981429" y="38370836"/>
          <a:ext cx="12101218" cy="4586139"/>
        </a:xfrm>
        <a:prstGeom prst="bentConnector3">
          <a:avLst>
            <a:gd name="adj1" fmla="val -3250"/>
          </a:avLst>
        </a:prstGeom>
        <a:noFill/>
        <a:ln w="25400">
          <a:solidFill>
            <a:schemeClr val="accent6">
              <a:lumMod val="75000"/>
            </a:schemeClr>
          </a:solidFill>
          <a:miter lim="800000"/>
          <a:headEnd/>
          <a:tailEnd type="triangle" w="med" len="med"/>
        </a:ln>
      </xdr:spPr>
    </xdr:cxnSp>
    <xdr:clientData/>
  </xdr:twoCellAnchor>
  <xdr:twoCellAnchor>
    <xdr:from>
      <xdr:col>67</xdr:col>
      <xdr:colOff>675402</xdr:colOff>
      <xdr:row>202</xdr:row>
      <xdr:rowOff>141020</xdr:rowOff>
    </xdr:from>
    <xdr:to>
      <xdr:col>68</xdr:col>
      <xdr:colOff>677447</xdr:colOff>
      <xdr:row>208</xdr:row>
      <xdr:rowOff>8659</xdr:rowOff>
    </xdr:to>
    <xdr:sp macro="" textlink="">
      <xdr:nvSpPr>
        <xdr:cNvPr id="903" name="Flowchart: Summing Junction 902" descr="deec3ca1-8590-474b-b129-d0ec6e12bf97">
          <a:extLst>
            <a:ext uri="{FF2B5EF4-FFF2-40B4-BE49-F238E27FC236}">
              <a16:creationId xmlns:a16="http://schemas.microsoft.com/office/drawing/2014/main" id="{00000000-0008-0000-0900-000087030000}"/>
            </a:ext>
          </a:extLst>
        </xdr:cNvPr>
        <xdr:cNvSpPr/>
      </xdr:nvSpPr>
      <xdr:spPr bwMode="auto">
        <a:xfrm>
          <a:off x="59262811" y="32456747"/>
          <a:ext cx="1058454" cy="976003"/>
        </a:xfrm>
        <a:prstGeom prst="flowChartSummingJunction">
          <a:avLst/>
        </a:prstGeom>
        <a:solidFill>
          <a:srgbClr val="FFFFFF"/>
        </a:solidFill>
        <a:ln w="25400" cap="flat" cmpd="sng" algn="ctr">
          <a:solidFill>
            <a:schemeClr val="accent3">
              <a:lumMod val="75000"/>
            </a:schemeClr>
          </a:solidFill>
          <a:prstDash val="solid"/>
          <a:round/>
          <a:headEnd type="none" w="med" len="med"/>
          <a:tailEnd type="none" w="med" len="med"/>
        </a:ln>
        <a:effectLst/>
      </xdr:spPr>
      <xdr:txBody>
        <a:bodyPr vertOverflow="clip" wrap="square" lIns="18288" tIns="0" rIns="0" bIns="0" rtlCol="0" anchor="ctr" upright="1"/>
        <a:lstStyle/>
        <a:p>
          <a:pPr algn="ctr"/>
          <a:endParaRPr lang="en-CA" sz="1100"/>
        </a:p>
      </xdr:txBody>
    </xdr:sp>
    <xdr:clientData/>
  </xdr:twoCellAnchor>
  <xdr:twoCellAnchor>
    <xdr:from>
      <xdr:col>84</xdr:col>
      <xdr:colOff>293837</xdr:colOff>
      <xdr:row>180</xdr:row>
      <xdr:rowOff>50537</xdr:rowOff>
    </xdr:from>
    <xdr:to>
      <xdr:col>91</xdr:col>
      <xdr:colOff>753556</xdr:colOff>
      <xdr:row>221</xdr:row>
      <xdr:rowOff>29523</xdr:rowOff>
    </xdr:to>
    <xdr:cxnSp macro="">
      <xdr:nvCxnSpPr>
        <xdr:cNvPr id="1081" name="AutoShape 148" descr="572ab0e5-f2d5-4a8c-adf4-b9a18e7e5344">
          <a:extLst>
            <a:ext uri="{FF2B5EF4-FFF2-40B4-BE49-F238E27FC236}">
              <a16:creationId xmlns:a16="http://schemas.microsoft.com/office/drawing/2014/main" id="{00000000-0008-0000-0900-000039040000}"/>
            </a:ext>
          </a:extLst>
        </xdr:cNvPr>
        <xdr:cNvCxnSpPr>
          <a:cxnSpLocks noChangeShapeType="1"/>
          <a:stCxn id="701" idx="0"/>
          <a:endCxn id="3176962" idx="1"/>
        </xdr:cNvCxnSpPr>
      </xdr:nvCxnSpPr>
      <xdr:spPr bwMode="auto">
        <a:xfrm rot="5400000" flipH="1" flipV="1">
          <a:off x="75695112" y="28523716"/>
          <a:ext cx="7495077" cy="7525538"/>
        </a:xfrm>
        <a:prstGeom prst="bentConnector4">
          <a:avLst>
            <a:gd name="adj1" fmla="val -3050"/>
            <a:gd name="adj2" fmla="val 50000"/>
          </a:avLst>
        </a:prstGeom>
        <a:noFill/>
        <a:ln w="25400">
          <a:solidFill>
            <a:schemeClr val="accent3">
              <a:lumMod val="75000"/>
            </a:schemeClr>
          </a:solidFill>
          <a:miter lim="800000"/>
          <a:headEnd/>
          <a:tailEnd type="triangle" w="med" len="med"/>
        </a:ln>
      </xdr:spPr>
    </xdr:cxnSp>
    <xdr:clientData/>
  </xdr:twoCellAnchor>
  <xdr:twoCellAnchor>
    <xdr:from>
      <xdr:col>79</xdr:col>
      <xdr:colOff>474207</xdr:colOff>
      <xdr:row>54</xdr:row>
      <xdr:rowOff>1906</xdr:rowOff>
    </xdr:from>
    <xdr:to>
      <xdr:col>80</xdr:col>
      <xdr:colOff>167389</xdr:colOff>
      <xdr:row>60</xdr:row>
      <xdr:rowOff>112315</xdr:rowOff>
    </xdr:to>
    <xdr:sp macro="" textlink="">
      <xdr:nvSpPr>
        <xdr:cNvPr id="1093" name="Flowchart: Or 1092" descr="50ee01e0-0074-437d-9068-a33701067e74">
          <a:extLst>
            <a:ext uri="{FF2B5EF4-FFF2-40B4-BE49-F238E27FC236}">
              <a16:creationId xmlns:a16="http://schemas.microsoft.com/office/drawing/2014/main" id="{00000000-0008-0000-0900-000045040000}"/>
            </a:ext>
          </a:extLst>
        </xdr:cNvPr>
        <xdr:cNvSpPr/>
      </xdr:nvSpPr>
      <xdr:spPr bwMode="auto">
        <a:xfrm>
          <a:off x="69989389" y="7829724"/>
          <a:ext cx="1044000" cy="1045591"/>
        </a:xfrm>
        <a:prstGeom prst="flowChartOr">
          <a:avLst/>
        </a:prstGeom>
        <a:solidFill>
          <a:srgbClr val="FFFFFF"/>
        </a:solidFill>
        <a:ln w="25400" cap="flat" cmpd="sng" algn="ctr">
          <a:solidFill>
            <a:schemeClr val="accent6">
              <a:lumMod val="75000"/>
            </a:schemeClr>
          </a:solidFill>
          <a:prstDash val="solid"/>
          <a:round/>
          <a:headEnd type="none" w="med" len="med"/>
          <a:tailEnd type="triangle" w="med" len="med"/>
        </a:ln>
        <a:effectLst/>
      </xdr:spPr>
      <xdr:txBody>
        <a:bodyPr vertOverflow="clip" wrap="square" lIns="18288" tIns="0" rIns="0" bIns="0" rtlCol="0" anchor="ctr" upright="1"/>
        <a:lstStyle/>
        <a:p>
          <a:pPr algn="ctr"/>
          <a:r>
            <a:rPr lang="en-CA" sz="1400"/>
            <a:t>NAPHTHA FLOW SPLITTER</a:t>
          </a:r>
        </a:p>
      </xdr:txBody>
    </xdr:sp>
    <xdr:clientData/>
  </xdr:twoCellAnchor>
  <xdr:twoCellAnchor>
    <xdr:from>
      <xdr:col>68</xdr:col>
      <xdr:colOff>707573</xdr:colOff>
      <xdr:row>44</xdr:row>
      <xdr:rowOff>112594</xdr:rowOff>
    </xdr:from>
    <xdr:to>
      <xdr:col>79</xdr:col>
      <xdr:colOff>474208</xdr:colOff>
      <xdr:row>57</xdr:row>
      <xdr:rowOff>57111</xdr:rowOff>
    </xdr:to>
    <xdr:cxnSp macro="">
      <xdr:nvCxnSpPr>
        <xdr:cNvPr id="1095" name="AutoShape 148" descr="e65ca484-52ac-48d4-86c8-0b4aa7d7b8bf">
          <a:extLst>
            <a:ext uri="{FF2B5EF4-FFF2-40B4-BE49-F238E27FC236}">
              <a16:creationId xmlns:a16="http://schemas.microsoft.com/office/drawing/2014/main" id="{00000000-0008-0000-0900-000047040000}"/>
            </a:ext>
          </a:extLst>
        </xdr:cNvPr>
        <xdr:cNvCxnSpPr>
          <a:cxnSpLocks noChangeShapeType="1"/>
          <a:stCxn id="1093" idx="2"/>
          <a:endCxn id="6276" idx="1"/>
        </xdr:cNvCxnSpPr>
      </xdr:nvCxnSpPr>
      <xdr:spPr bwMode="auto">
        <a:xfrm rot="10800000">
          <a:off x="60351391" y="6381776"/>
          <a:ext cx="9637999" cy="1970744"/>
        </a:xfrm>
        <a:prstGeom prst="bentConnector3">
          <a:avLst>
            <a:gd name="adj1" fmla="val 102372"/>
          </a:avLst>
        </a:prstGeom>
        <a:noFill/>
        <a:ln w="25400">
          <a:solidFill>
            <a:schemeClr val="accent6">
              <a:lumMod val="75000"/>
            </a:schemeClr>
          </a:solidFill>
          <a:miter lim="800000"/>
          <a:headEnd/>
          <a:tailEnd type="triangle" w="med" len="med"/>
        </a:ln>
      </xdr:spPr>
    </xdr:cxnSp>
    <xdr:clientData/>
  </xdr:twoCellAnchor>
  <xdr:twoCellAnchor>
    <xdr:from>
      <xdr:col>80</xdr:col>
      <xdr:colOff>167389</xdr:colOff>
      <xdr:row>38</xdr:row>
      <xdr:rowOff>5075</xdr:rowOff>
    </xdr:from>
    <xdr:to>
      <xdr:col>98</xdr:col>
      <xdr:colOff>903929</xdr:colOff>
      <xdr:row>57</xdr:row>
      <xdr:rowOff>57111</xdr:rowOff>
    </xdr:to>
    <xdr:cxnSp macro="">
      <xdr:nvCxnSpPr>
        <xdr:cNvPr id="1099" name="AutoShape 148" descr="d2cfbf3c-d55c-4501-98d9-95cddecf9644">
          <a:extLst>
            <a:ext uri="{FF2B5EF4-FFF2-40B4-BE49-F238E27FC236}">
              <a16:creationId xmlns:a16="http://schemas.microsoft.com/office/drawing/2014/main" id="{00000000-0008-0000-0900-00004B040000}"/>
            </a:ext>
          </a:extLst>
        </xdr:cNvPr>
        <xdr:cNvCxnSpPr>
          <a:cxnSpLocks noChangeShapeType="1"/>
          <a:stCxn id="1093" idx="6"/>
          <a:endCxn id="1107" idx="3"/>
        </xdr:cNvCxnSpPr>
      </xdr:nvCxnSpPr>
      <xdr:spPr bwMode="auto">
        <a:xfrm flipV="1">
          <a:off x="71033389" y="5339075"/>
          <a:ext cx="18574267" cy="3013445"/>
        </a:xfrm>
        <a:prstGeom prst="bentConnector2">
          <a:avLst/>
        </a:prstGeom>
        <a:noFill/>
        <a:ln w="25400">
          <a:solidFill>
            <a:schemeClr val="accent6">
              <a:lumMod val="75000"/>
            </a:schemeClr>
          </a:solidFill>
          <a:miter lim="800000"/>
          <a:headEnd/>
          <a:tailEnd type="triangle" w="med" len="med"/>
        </a:ln>
      </xdr:spPr>
    </xdr:cxnSp>
    <xdr:clientData/>
  </xdr:twoCellAnchor>
  <xdr:twoCellAnchor>
    <xdr:from>
      <xdr:col>102</xdr:col>
      <xdr:colOff>285746</xdr:colOff>
      <xdr:row>32</xdr:row>
      <xdr:rowOff>58448</xdr:rowOff>
    </xdr:from>
    <xdr:to>
      <xdr:col>104</xdr:col>
      <xdr:colOff>779096</xdr:colOff>
      <xdr:row>37</xdr:row>
      <xdr:rowOff>127721</xdr:rowOff>
    </xdr:to>
    <xdr:sp macro="" textlink="">
      <xdr:nvSpPr>
        <xdr:cNvPr id="1102" name="Right Arrow 1101" descr="98585941-8e29-424c-862d-d679a98f4025">
          <a:extLst>
            <a:ext uri="{FF2B5EF4-FFF2-40B4-BE49-F238E27FC236}">
              <a16:creationId xmlns:a16="http://schemas.microsoft.com/office/drawing/2014/main" id="{00000000-0008-0000-0900-00004E040000}"/>
            </a:ext>
          </a:extLst>
        </xdr:cNvPr>
        <xdr:cNvSpPr/>
      </xdr:nvSpPr>
      <xdr:spPr bwMode="auto">
        <a:xfrm>
          <a:off x="86391746" y="4749511"/>
          <a:ext cx="1731600" cy="902710"/>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2000"/>
            <a:t>Gasoline</a:t>
          </a:r>
        </a:p>
      </xdr:txBody>
    </xdr:sp>
    <xdr:clientData/>
  </xdr:twoCellAnchor>
  <xdr:twoCellAnchor>
    <xdr:from>
      <xdr:col>98</xdr:col>
      <xdr:colOff>666749</xdr:colOff>
      <xdr:row>30</xdr:row>
      <xdr:rowOff>142876</xdr:rowOff>
    </xdr:from>
    <xdr:to>
      <xdr:col>100</xdr:col>
      <xdr:colOff>86902</xdr:colOff>
      <xdr:row>39</xdr:row>
      <xdr:rowOff>39504</xdr:rowOff>
    </xdr:to>
    <xdr:sp macro="" textlink="">
      <xdr:nvSpPr>
        <xdr:cNvPr id="1107" name="Flowchart: Summing Junction 1106" descr="01440b56-ba63-4632-a9ab-1b204b4154e2">
          <a:extLst>
            <a:ext uri="{FF2B5EF4-FFF2-40B4-BE49-F238E27FC236}">
              <a16:creationId xmlns:a16="http://schemas.microsoft.com/office/drawing/2014/main" id="{00000000-0008-0000-0900-000053040000}"/>
            </a:ext>
          </a:extLst>
        </xdr:cNvPr>
        <xdr:cNvSpPr/>
      </xdr:nvSpPr>
      <xdr:spPr bwMode="auto">
        <a:xfrm>
          <a:off x="83057999" y="4500564"/>
          <a:ext cx="1396591" cy="1396815"/>
        </a:xfrm>
        <a:prstGeom prst="flowChartSummingJunction">
          <a:avLst/>
        </a:prstGeom>
        <a:solidFill>
          <a:srgbClr val="FFFFFF"/>
        </a:solidFill>
        <a:ln w="25400" cap="flat" cmpd="sng" algn="ctr">
          <a:solidFill>
            <a:schemeClr val="accent3">
              <a:lumMod val="75000"/>
            </a:schemeClr>
          </a:solidFill>
          <a:prstDash val="solid"/>
          <a:round/>
          <a:headEnd type="none" w="med" len="med"/>
          <a:tailEnd type="none" w="med" len="med"/>
        </a:ln>
        <a:effectLst/>
      </xdr:spPr>
      <xdr:txBody>
        <a:bodyPr vertOverflow="clip" wrap="square" lIns="18288" tIns="0" rIns="0" bIns="0" rtlCol="0" anchor="ctr" upright="1"/>
        <a:lstStyle/>
        <a:p>
          <a:pPr algn="ctr"/>
          <a:endParaRPr lang="en-CA" sz="1100"/>
        </a:p>
      </xdr:txBody>
    </xdr:sp>
    <xdr:clientData/>
  </xdr:twoCellAnchor>
  <xdr:twoCellAnchor>
    <xdr:from>
      <xdr:col>77</xdr:col>
      <xdr:colOff>304800</xdr:colOff>
      <xdr:row>35</xdr:row>
      <xdr:rowOff>14990</xdr:rowOff>
    </xdr:from>
    <xdr:to>
      <xdr:col>98</xdr:col>
      <xdr:colOff>666749</xdr:colOff>
      <xdr:row>107</xdr:row>
      <xdr:rowOff>38100</xdr:rowOff>
    </xdr:to>
    <xdr:cxnSp macro="">
      <xdr:nvCxnSpPr>
        <xdr:cNvPr id="1429" name="AutoShape 146" descr="6d7b8618-0fa8-4ca3-ade7-2637e5d38373">
          <a:extLst>
            <a:ext uri="{FF2B5EF4-FFF2-40B4-BE49-F238E27FC236}">
              <a16:creationId xmlns:a16="http://schemas.microsoft.com/office/drawing/2014/main" id="{00000000-0008-0000-0900-000095050000}"/>
            </a:ext>
          </a:extLst>
        </xdr:cNvPr>
        <xdr:cNvCxnSpPr>
          <a:cxnSpLocks noChangeShapeType="1"/>
          <a:endCxn id="1107" idx="2"/>
        </xdr:cNvCxnSpPr>
      </xdr:nvCxnSpPr>
      <xdr:spPr bwMode="auto">
        <a:xfrm flipV="1">
          <a:off x="68313300" y="4777490"/>
          <a:ext cx="20326349" cy="10995910"/>
        </a:xfrm>
        <a:prstGeom prst="bentConnector3">
          <a:avLst>
            <a:gd name="adj1" fmla="val 54499"/>
          </a:avLst>
        </a:prstGeom>
        <a:noFill/>
        <a:ln w="25400">
          <a:solidFill>
            <a:schemeClr val="accent3">
              <a:lumMod val="75000"/>
            </a:schemeClr>
          </a:solidFill>
          <a:miter lim="800000"/>
          <a:headEnd/>
          <a:tailEnd type="triangle" w="med" len="med"/>
        </a:ln>
      </xdr:spPr>
    </xdr:cxnSp>
    <xdr:clientData/>
  </xdr:twoCellAnchor>
  <xdr:twoCellAnchor>
    <xdr:from>
      <xdr:col>77</xdr:col>
      <xdr:colOff>266700</xdr:colOff>
      <xdr:row>91</xdr:row>
      <xdr:rowOff>125300</xdr:rowOff>
    </xdr:from>
    <xdr:to>
      <xdr:col>104</xdr:col>
      <xdr:colOff>413890</xdr:colOff>
      <xdr:row>134</xdr:row>
      <xdr:rowOff>76200</xdr:rowOff>
    </xdr:to>
    <xdr:cxnSp macro="">
      <xdr:nvCxnSpPr>
        <xdr:cNvPr id="1651" name="AutoShape 146" descr="395d68e4-0d30-49c3-876e-55bd22b5a85a">
          <a:extLst>
            <a:ext uri="{FF2B5EF4-FFF2-40B4-BE49-F238E27FC236}">
              <a16:creationId xmlns:a16="http://schemas.microsoft.com/office/drawing/2014/main" id="{00000000-0008-0000-0900-000073060000}"/>
            </a:ext>
          </a:extLst>
        </xdr:cNvPr>
        <xdr:cNvCxnSpPr>
          <a:cxnSpLocks noChangeShapeType="1"/>
          <a:endCxn id="724" idx="2"/>
        </xdr:cNvCxnSpPr>
      </xdr:nvCxnSpPr>
      <xdr:spPr bwMode="auto">
        <a:xfrm flipV="1">
          <a:off x="68275200" y="13422200"/>
          <a:ext cx="25559890" cy="6808900"/>
        </a:xfrm>
        <a:prstGeom prst="bentConnector2">
          <a:avLst/>
        </a:prstGeom>
        <a:noFill/>
        <a:ln w="25400">
          <a:solidFill>
            <a:schemeClr val="accent3">
              <a:lumMod val="75000"/>
            </a:schemeClr>
          </a:solidFill>
          <a:miter lim="800000"/>
          <a:headEnd/>
          <a:tailEnd type="triangle" w="med" len="med"/>
        </a:ln>
      </xdr:spPr>
    </xdr:cxnSp>
    <xdr:clientData/>
  </xdr:twoCellAnchor>
  <xdr:twoCellAnchor>
    <xdr:from>
      <xdr:col>100</xdr:col>
      <xdr:colOff>86902</xdr:colOff>
      <xdr:row>35</xdr:row>
      <xdr:rowOff>7847</xdr:rowOff>
    </xdr:from>
    <xdr:to>
      <xdr:col>102</xdr:col>
      <xdr:colOff>285746</xdr:colOff>
      <xdr:row>35</xdr:row>
      <xdr:rowOff>9741</xdr:rowOff>
    </xdr:to>
    <xdr:cxnSp macro="">
      <xdr:nvCxnSpPr>
        <xdr:cNvPr id="1687" name="Elbow Connector 1686" descr="a85c9360-390a-4e16-b4d6-f13e54a7e90a">
          <a:extLst>
            <a:ext uri="{FF2B5EF4-FFF2-40B4-BE49-F238E27FC236}">
              <a16:creationId xmlns:a16="http://schemas.microsoft.com/office/drawing/2014/main" id="{00000000-0008-0000-0900-000097060000}"/>
            </a:ext>
          </a:extLst>
        </xdr:cNvPr>
        <xdr:cNvCxnSpPr>
          <a:stCxn id="1107" idx="6"/>
          <a:endCxn id="1102" idx="1"/>
        </xdr:cNvCxnSpPr>
      </xdr:nvCxnSpPr>
      <xdr:spPr bwMode="auto">
        <a:xfrm>
          <a:off x="84168840" y="5198972"/>
          <a:ext cx="2222906" cy="1894"/>
        </a:xfrm>
        <a:prstGeom prst="bentConnector3">
          <a:avLst>
            <a:gd name="adj1" fmla="val 50000"/>
          </a:avLst>
        </a:prstGeom>
        <a:solidFill>
          <a:srgbClr val="FFFFFF"/>
        </a:solidFill>
        <a:ln w="25400" cap="flat" cmpd="sng" algn="ctr">
          <a:solidFill>
            <a:srgbClr val="000000"/>
          </a:solidFill>
          <a:prstDash val="solid"/>
          <a:round/>
          <a:headEnd type="none" w="med" len="med"/>
          <a:tailEnd type="triangle" w="med" len="med"/>
        </a:ln>
        <a:effectLst/>
      </xdr:spPr>
    </xdr:cxnSp>
    <xdr:clientData/>
  </xdr:twoCellAnchor>
  <xdr:twoCellAnchor>
    <xdr:from>
      <xdr:col>39</xdr:col>
      <xdr:colOff>629330</xdr:colOff>
      <xdr:row>107</xdr:row>
      <xdr:rowOff>122551</xdr:rowOff>
    </xdr:from>
    <xdr:to>
      <xdr:col>104</xdr:col>
      <xdr:colOff>831259</xdr:colOff>
      <xdr:row>159</xdr:row>
      <xdr:rowOff>109994</xdr:rowOff>
    </xdr:to>
    <xdr:cxnSp macro="">
      <xdr:nvCxnSpPr>
        <xdr:cNvPr id="1698" name="AutoShape 93" descr="a25a7d27-6bbe-4eed-a446-844886a8d634">
          <a:extLst>
            <a:ext uri="{FF2B5EF4-FFF2-40B4-BE49-F238E27FC236}">
              <a16:creationId xmlns:a16="http://schemas.microsoft.com/office/drawing/2014/main" id="{00000000-0008-0000-0900-0000A2060000}"/>
            </a:ext>
          </a:extLst>
        </xdr:cNvPr>
        <xdr:cNvCxnSpPr>
          <a:cxnSpLocks noChangeShapeType="1"/>
          <a:stCxn id="622" idx="4"/>
          <a:endCxn id="727" idx="2"/>
        </xdr:cNvCxnSpPr>
      </xdr:nvCxnSpPr>
      <xdr:spPr bwMode="auto">
        <a:xfrm rot="16200000" flipH="1">
          <a:off x="54659980" y="-7330849"/>
          <a:ext cx="8988568" cy="58280617"/>
        </a:xfrm>
        <a:prstGeom prst="bentConnector3">
          <a:avLst>
            <a:gd name="adj1" fmla="val 102543"/>
          </a:avLst>
        </a:prstGeom>
        <a:noFill/>
        <a:ln w="25400">
          <a:solidFill>
            <a:srgbClr val="7030A0"/>
          </a:solidFill>
          <a:miter lim="800000"/>
          <a:headEnd/>
          <a:tailEnd type="triangle" w="med" len="med"/>
        </a:ln>
      </xdr:spPr>
    </xdr:cxnSp>
    <xdr:clientData/>
  </xdr:twoCellAnchor>
  <xdr:twoCellAnchor>
    <xdr:from>
      <xdr:col>20</xdr:col>
      <xdr:colOff>822614</xdr:colOff>
      <xdr:row>174</xdr:row>
      <xdr:rowOff>95250</xdr:rowOff>
    </xdr:from>
    <xdr:to>
      <xdr:col>21</xdr:col>
      <xdr:colOff>916497</xdr:colOff>
      <xdr:row>181</xdr:row>
      <xdr:rowOff>53260</xdr:rowOff>
    </xdr:to>
    <xdr:sp macro="" textlink="">
      <xdr:nvSpPr>
        <xdr:cNvPr id="1704" name="Flowchart: Or 1703" descr="4bbfca0a-320e-4d1b-92b7-8e491c980a4b">
          <a:extLst>
            <a:ext uri="{FF2B5EF4-FFF2-40B4-BE49-F238E27FC236}">
              <a16:creationId xmlns:a16="http://schemas.microsoft.com/office/drawing/2014/main" id="{00000000-0008-0000-0900-0000A8060000}"/>
            </a:ext>
          </a:extLst>
        </xdr:cNvPr>
        <xdr:cNvSpPr/>
      </xdr:nvSpPr>
      <xdr:spPr bwMode="auto">
        <a:xfrm>
          <a:off x="15976023" y="27042341"/>
          <a:ext cx="1115656" cy="1049055"/>
        </a:xfrm>
        <a:prstGeom prst="flowChartOr">
          <a:avLst/>
        </a:prstGeom>
        <a:noFill/>
        <a:ln w="25400" cap="flat" cmpd="sng" algn="ctr">
          <a:solidFill>
            <a:srgbClr val="7030A0"/>
          </a:solidFill>
          <a:prstDash val="solid"/>
          <a:round/>
          <a:headEnd type="none" w="med" len="med"/>
          <a:tailEnd type="triangle" w="med" len="med"/>
        </a:ln>
        <a:effectLst/>
      </xdr:spPr>
      <xdr:txBody>
        <a:bodyPr vertOverflow="clip" wrap="square" lIns="18288" tIns="0" rIns="0" bIns="0" rtlCol="0" anchor="ctr" upright="1"/>
        <a:lstStyle/>
        <a:p>
          <a:pPr algn="ctr"/>
          <a:r>
            <a:rPr lang="en-CA" sz="1400"/>
            <a:t>AR</a:t>
          </a:r>
          <a:r>
            <a:rPr lang="en-CA" sz="1400" baseline="0"/>
            <a:t> </a:t>
          </a:r>
          <a:r>
            <a:rPr lang="en-CA" sz="1400"/>
            <a:t>FLOW SPLITTER</a:t>
          </a:r>
        </a:p>
      </xdr:txBody>
    </xdr:sp>
    <xdr:clientData/>
  </xdr:twoCellAnchor>
  <xdr:twoCellAnchor>
    <xdr:from>
      <xdr:col>103</xdr:col>
      <xdr:colOff>75766</xdr:colOff>
      <xdr:row>311</xdr:row>
      <xdr:rowOff>32471</xdr:rowOff>
    </xdr:from>
    <xdr:to>
      <xdr:col>104</xdr:col>
      <xdr:colOff>1140616</xdr:colOff>
      <xdr:row>316</xdr:row>
      <xdr:rowOff>118033</xdr:rowOff>
    </xdr:to>
    <xdr:sp macro="" textlink="">
      <xdr:nvSpPr>
        <xdr:cNvPr id="1707" name="Right Arrow 1706" descr="c72f60a9-1863-4905-bdc7-62fe1d08c0cf">
          <a:extLst>
            <a:ext uri="{FF2B5EF4-FFF2-40B4-BE49-F238E27FC236}">
              <a16:creationId xmlns:a16="http://schemas.microsoft.com/office/drawing/2014/main" id="{00000000-0008-0000-0900-0000AB060000}"/>
            </a:ext>
          </a:extLst>
        </xdr:cNvPr>
        <xdr:cNvSpPr/>
      </xdr:nvSpPr>
      <xdr:spPr bwMode="auto">
        <a:xfrm>
          <a:off x="86770584" y="49631744"/>
          <a:ext cx="1670987" cy="864880"/>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0" tIns="0" rIns="0" bIns="0" rtlCol="0" anchor="ctr" upright="1"/>
        <a:lstStyle/>
        <a:p>
          <a:pPr algn="ctr"/>
          <a:r>
            <a:rPr lang="en-CA" sz="1400" b="1"/>
            <a:t>COKE</a:t>
          </a:r>
        </a:p>
      </xdr:txBody>
    </xdr:sp>
    <xdr:clientData/>
  </xdr:twoCellAnchor>
  <xdr:twoCellAnchor>
    <xdr:from>
      <xdr:col>21</xdr:col>
      <xdr:colOff>916497</xdr:colOff>
      <xdr:row>177</xdr:row>
      <xdr:rowOff>152187</xdr:rowOff>
    </xdr:from>
    <xdr:to>
      <xdr:col>23</xdr:col>
      <xdr:colOff>34637</xdr:colOff>
      <xdr:row>178</xdr:row>
      <xdr:rowOff>0</xdr:rowOff>
    </xdr:to>
    <xdr:cxnSp macro="">
      <xdr:nvCxnSpPr>
        <xdr:cNvPr id="1719" name="Straight Connector 1718">
          <a:extLst>
            <a:ext uri="{FF2B5EF4-FFF2-40B4-BE49-F238E27FC236}">
              <a16:creationId xmlns:a16="http://schemas.microsoft.com/office/drawing/2014/main" id="{00000000-0008-0000-0900-0000B7060000}"/>
            </a:ext>
          </a:extLst>
        </xdr:cNvPr>
        <xdr:cNvCxnSpPr>
          <a:stCxn id="1704" idx="6"/>
        </xdr:cNvCxnSpPr>
      </xdr:nvCxnSpPr>
      <xdr:spPr bwMode="auto">
        <a:xfrm>
          <a:off x="18096133" y="28207642"/>
          <a:ext cx="1196322" cy="3676"/>
        </a:xfrm>
        <a:prstGeom prst="line">
          <a:avLst/>
        </a:prstGeom>
        <a:solidFill>
          <a:srgbClr val="FFFFFF"/>
        </a:solidFill>
        <a:ln w="25400" cap="flat" cmpd="sng" algn="ctr">
          <a:solidFill>
            <a:schemeClr val="accent3">
              <a:lumMod val="75000"/>
            </a:schemeClr>
          </a:solidFill>
          <a:prstDash val="solid"/>
          <a:round/>
          <a:headEnd type="none" w="med" len="med"/>
          <a:tailEnd type="triangle" w="med" len="med"/>
        </a:ln>
        <a:effectLst/>
      </xdr:spPr>
    </xdr:cxnSp>
    <xdr:clientData/>
  </xdr:twoCellAnchor>
  <xdr:twoCellAnchor>
    <xdr:from>
      <xdr:col>102</xdr:col>
      <xdr:colOff>476250</xdr:colOff>
      <xdr:row>292</xdr:row>
      <xdr:rowOff>0</xdr:rowOff>
    </xdr:from>
    <xdr:to>
      <xdr:col>104</xdr:col>
      <xdr:colOff>969600</xdr:colOff>
      <xdr:row>297</xdr:row>
      <xdr:rowOff>120198</xdr:rowOff>
    </xdr:to>
    <xdr:sp macro="" textlink="">
      <xdr:nvSpPr>
        <xdr:cNvPr id="1720" name="Right Arrow 1719" descr="16613c4e-ff33-4717-8d94-ed03602fde16">
          <a:extLst>
            <a:ext uri="{FF2B5EF4-FFF2-40B4-BE49-F238E27FC236}">
              <a16:creationId xmlns:a16="http://schemas.microsoft.com/office/drawing/2014/main" id="{00000000-0008-0000-0900-0000B8060000}"/>
            </a:ext>
          </a:extLst>
        </xdr:cNvPr>
        <xdr:cNvSpPr/>
      </xdr:nvSpPr>
      <xdr:spPr bwMode="auto">
        <a:xfrm>
          <a:off x="86772750" y="56102250"/>
          <a:ext cx="1636350" cy="1072698"/>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0" tIns="0" rIns="0" bIns="0" rtlCol="0" anchor="ctr" upright="1"/>
        <a:lstStyle/>
        <a:p>
          <a:pPr algn="ctr"/>
          <a:r>
            <a:rPr lang="en-CA" sz="1400" b="1"/>
            <a:t>HEAVY</a:t>
          </a:r>
          <a:endParaRPr lang="en-CA" sz="1400" b="1" baseline="0"/>
        </a:p>
        <a:p>
          <a:pPr algn="ctr"/>
          <a:r>
            <a:rPr lang="en-CA" sz="1400" b="1" baseline="0"/>
            <a:t>FUEL OIL</a:t>
          </a:r>
          <a:endParaRPr lang="en-CA" sz="1400" b="1"/>
        </a:p>
      </xdr:txBody>
    </xdr:sp>
    <xdr:clientData/>
  </xdr:twoCellAnchor>
  <xdr:twoCellAnchor>
    <xdr:from>
      <xdr:col>117</xdr:col>
      <xdr:colOff>593911</xdr:colOff>
      <xdr:row>81</xdr:row>
      <xdr:rowOff>123265</xdr:rowOff>
    </xdr:from>
    <xdr:to>
      <xdr:col>118</xdr:col>
      <xdr:colOff>235323</xdr:colOff>
      <xdr:row>84</xdr:row>
      <xdr:rowOff>137250</xdr:rowOff>
    </xdr:to>
    <xdr:sp macro="" textlink="">
      <xdr:nvSpPr>
        <xdr:cNvPr id="1724" name="Right Arrow 1723" descr="3459fdbc-71ce-4861-ad19-3ce1c6dc1459">
          <a:extLst>
            <a:ext uri="{FF2B5EF4-FFF2-40B4-BE49-F238E27FC236}">
              <a16:creationId xmlns:a16="http://schemas.microsoft.com/office/drawing/2014/main" id="{00000000-0008-0000-0900-0000BC060000}"/>
            </a:ext>
          </a:extLst>
        </xdr:cNvPr>
        <xdr:cNvSpPr/>
      </xdr:nvSpPr>
      <xdr:spPr bwMode="auto">
        <a:xfrm>
          <a:off x="103788882" y="8785412"/>
          <a:ext cx="672353" cy="484632"/>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NHT</a:t>
          </a:r>
          <a:r>
            <a:rPr lang="en-CA" sz="800" baseline="0"/>
            <a:t> RFG</a:t>
          </a:r>
          <a:endParaRPr lang="en-CA" sz="800"/>
        </a:p>
      </xdr:txBody>
    </xdr:sp>
    <xdr:clientData/>
  </xdr:twoCellAnchor>
  <xdr:twoCellAnchor>
    <xdr:from>
      <xdr:col>117</xdr:col>
      <xdr:colOff>582706</xdr:colOff>
      <xdr:row>90</xdr:row>
      <xdr:rowOff>112060</xdr:rowOff>
    </xdr:from>
    <xdr:to>
      <xdr:col>118</xdr:col>
      <xdr:colOff>224118</xdr:colOff>
      <xdr:row>93</xdr:row>
      <xdr:rowOff>126045</xdr:rowOff>
    </xdr:to>
    <xdr:sp macro="" textlink="">
      <xdr:nvSpPr>
        <xdr:cNvPr id="1725" name="Right Arrow 1724" descr="1fbe022d-4073-4614-8a03-c402edf3daaa">
          <a:extLst>
            <a:ext uri="{FF2B5EF4-FFF2-40B4-BE49-F238E27FC236}">
              <a16:creationId xmlns:a16="http://schemas.microsoft.com/office/drawing/2014/main" id="{00000000-0008-0000-0900-0000BD060000}"/>
            </a:ext>
          </a:extLst>
        </xdr:cNvPr>
        <xdr:cNvSpPr/>
      </xdr:nvSpPr>
      <xdr:spPr bwMode="auto">
        <a:xfrm>
          <a:off x="103777677" y="10186148"/>
          <a:ext cx="672353" cy="484632"/>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1100"/>
            <a:t>KHT</a:t>
          </a:r>
          <a:r>
            <a:rPr lang="en-CA" sz="1100" baseline="0"/>
            <a:t> </a:t>
          </a:r>
          <a:r>
            <a:rPr lang="en-CA" sz="800" baseline="0"/>
            <a:t>RFG</a:t>
          </a:r>
          <a:endParaRPr lang="en-CA" sz="800"/>
        </a:p>
      </xdr:txBody>
    </xdr:sp>
    <xdr:clientData/>
  </xdr:twoCellAnchor>
  <xdr:twoCellAnchor>
    <xdr:from>
      <xdr:col>49</xdr:col>
      <xdr:colOff>145814</xdr:colOff>
      <xdr:row>29</xdr:row>
      <xdr:rowOff>118632</xdr:rowOff>
    </xdr:from>
    <xdr:to>
      <xdr:col>50</xdr:col>
      <xdr:colOff>57442</xdr:colOff>
      <xdr:row>35</xdr:row>
      <xdr:rowOff>17318</xdr:rowOff>
    </xdr:to>
    <xdr:sp macro="" textlink="">
      <xdr:nvSpPr>
        <xdr:cNvPr id="1726" name="Right Arrow 1725" descr="b6103754-29a4-4c9e-9c3f-e2fc29edd08f">
          <a:extLst>
            <a:ext uri="{FF2B5EF4-FFF2-40B4-BE49-F238E27FC236}">
              <a16:creationId xmlns:a16="http://schemas.microsoft.com/office/drawing/2014/main" id="{00000000-0008-0000-0900-0000BE060000}"/>
            </a:ext>
          </a:extLst>
        </xdr:cNvPr>
        <xdr:cNvSpPr/>
      </xdr:nvSpPr>
      <xdr:spPr bwMode="auto">
        <a:xfrm rot="16200000">
          <a:off x="42810678" y="4357589"/>
          <a:ext cx="878400"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1100" baseline="0"/>
            <a:t>NHT RFG</a:t>
          </a:r>
          <a:endParaRPr lang="en-CA" sz="1100"/>
        </a:p>
      </xdr:txBody>
    </xdr:sp>
    <xdr:clientData/>
  </xdr:twoCellAnchor>
  <xdr:twoCellAnchor>
    <xdr:from>
      <xdr:col>117</xdr:col>
      <xdr:colOff>593910</xdr:colOff>
      <xdr:row>101</xdr:row>
      <xdr:rowOff>67235</xdr:rowOff>
    </xdr:from>
    <xdr:to>
      <xdr:col>118</xdr:col>
      <xdr:colOff>235324</xdr:colOff>
      <xdr:row>104</xdr:row>
      <xdr:rowOff>82588</xdr:rowOff>
    </xdr:to>
    <xdr:sp macro="" textlink="">
      <xdr:nvSpPr>
        <xdr:cNvPr id="1727" name="Right Arrow 1726" descr="e9774bb3-82e9-4e2b-9bdd-8cba64bcc8f9">
          <a:extLst>
            <a:ext uri="{FF2B5EF4-FFF2-40B4-BE49-F238E27FC236}">
              <a16:creationId xmlns:a16="http://schemas.microsoft.com/office/drawing/2014/main" id="{00000000-0008-0000-0900-0000BF060000}"/>
            </a:ext>
          </a:extLst>
        </xdr:cNvPr>
        <xdr:cNvSpPr/>
      </xdr:nvSpPr>
      <xdr:spPr bwMode="auto">
        <a:xfrm>
          <a:off x="103788881" y="11867029"/>
          <a:ext cx="672355" cy="486000"/>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GO-HC</a:t>
          </a:r>
          <a:r>
            <a:rPr lang="en-CA" sz="800" baseline="0"/>
            <a:t> RFG</a:t>
          </a:r>
          <a:endParaRPr lang="en-CA" sz="800"/>
        </a:p>
      </xdr:txBody>
    </xdr:sp>
    <xdr:clientData/>
  </xdr:twoCellAnchor>
  <xdr:twoCellAnchor>
    <xdr:from>
      <xdr:col>117</xdr:col>
      <xdr:colOff>593912</xdr:colOff>
      <xdr:row>111</xdr:row>
      <xdr:rowOff>134470</xdr:rowOff>
    </xdr:from>
    <xdr:to>
      <xdr:col>118</xdr:col>
      <xdr:colOff>235326</xdr:colOff>
      <xdr:row>114</xdr:row>
      <xdr:rowOff>149823</xdr:rowOff>
    </xdr:to>
    <xdr:sp macro="" textlink="">
      <xdr:nvSpPr>
        <xdr:cNvPr id="1728" name="Right Arrow 1727" descr="46f1aeb5-f547-40eb-92e0-3cb9425ff553">
          <a:extLst>
            <a:ext uri="{FF2B5EF4-FFF2-40B4-BE49-F238E27FC236}">
              <a16:creationId xmlns:a16="http://schemas.microsoft.com/office/drawing/2014/main" id="{00000000-0008-0000-0900-0000C0060000}"/>
            </a:ext>
          </a:extLst>
        </xdr:cNvPr>
        <xdr:cNvSpPr/>
      </xdr:nvSpPr>
      <xdr:spPr bwMode="auto">
        <a:xfrm>
          <a:off x="103788883" y="13503088"/>
          <a:ext cx="672355" cy="486000"/>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DHT</a:t>
          </a:r>
          <a:r>
            <a:rPr lang="en-CA" sz="800" baseline="0"/>
            <a:t> RFG</a:t>
          </a:r>
          <a:endParaRPr lang="en-CA" sz="800"/>
        </a:p>
      </xdr:txBody>
    </xdr:sp>
    <xdr:clientData/>
  </xdr:twoCellAnchor>
  <xdr:twoCellAnchor>
    <xdr:from>
      <xdr:col>117</xdr:col>
      <xdr:colOff>593911</xdr:colOff>
      <xdr:row>123</xdr:row>
      <xdr:rowOff>89646</xdr:rowOff>
    </xdr:from>
    <xdr:to>
      <xdr:col>118</xdr:col>
      <xdr:colOff>235325</xdr:colOff>
      <xdr:row>126</xdr:row>
      <xdr:rowOff>104999</xdr:rowOff>
    </xdr:to>
    <xdr:sp macro="" textlink="">
      <xdr:nvSpPr>
        <xdr:cNvPr id="1729" name="Right Arrow 1728" descr="fb43093a-aa78-4329-8723-6e5534107190">
          <a:extLst>
            <a:ext uri="{FF2B5EF4-FFF2-40B4-BE49-F238E27FC236}">
              <a16:creationId xmlns:a16="http://schemas.microsoft.com/office/drawing/2014/main" id="{00000000-0008-0000-0900-0000C1060000}"/>
            </a:ext>
          </a:extLst>
        </xdr:cNvPr>
        <xdr:cNvSpPr/>
      </xdr:nvSpPr>
      <xdr:spPr bwMode="auto">
        <a:xfrm>
          <a:off x="103788882" y="15340852"/>
          <a:ext cx="672355" cy="486000"/>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COKER</a:t>
          </a:r>
          <a:r>
            <a:rPr lang="en-CA" sz="800" baseline="0"/>
            <a:t> RFG</a:t>
          </a:r>
          <a:endParaRPr lang="en-CA" sz="800"/>
        </a:p>
      </xdr:txBody>
    </xdr:sp>
    <xdr:clientData/>
  </xdr:twoCellAnchor>
  <xdr:twoCellAnchor>
    <xdr:from>
      <xdr:col>117</xdr:col>
      <xdr:colOff>605117</xdr:colOff>
      <xdr:row>136</xdr:row>
      <xdr:rowOff>0</xdr:rowOff>
    </xdr:from>
    <xdr:to>
      <xdr:col>118</xdr:col>
      <xdr:colOff>246531</xdr:colOff>
      <xdr:row>139</xdr:row>
      <xdr:rowOff>15353</xdr:rowOff>
    </xdr:to>
    <xdr:sp macro="" textlink="">
      <xdr:nvSpPr>
        <xdr:cNvPr id="1730" name="Right Arrow 1729" descr="c9b843d7-941c-4f82-ba9d-a2a8e41bde93">
          <a:extLst>
            <a:ext uri="{FF2B5EF4-FFF2-40B4-BE49-F238E27FC236}">
              <a16:creationId xmlns:a16="http://schemas.microsoft.com/office/drawing/2014/main" id="{00000000-0008-0000-0900-0000C2060000}"/>
            </a:ext>
          </a:extLst>
        </xdr:cNvPr>
        <xdr:cNvSpPr/>
      </xdr:nvSpPr>
      <xdr:spPr bwMode="auto">
        <a:xfrm>
          <a:off x="103800088" y="17301882"/>
          <a:ext cx="672355" cy="486000"/>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CNHT</a:t>
          </a:r>
          <a:r>
            <a:rPr lang="en-CA" sz="800" baseline="0"/>
            <a:t> RFG</a:t>
          </a:r>
          <a:endParaRPr lang="en-CA" sz="800"/>
        </a:p>
      </xdr:txBody>
    </xdr:sp>
    <xdr:clientData/>
  </xdr:twoCellAnchor>
  <xdr:twoCellAnchor>
    <xdr:from>
      <xdr:col>117</xdr:col>
      <xdr:colOff>606517</xdr:colOff>
      <xdr:row>146</xdr:row>
      <xdr:rowOff>105054</xdr:rowOff>
    </xdr:from>
    <xdr:to>
      <xdr:col>118</xdr:col>
      <xdr:colOff>247931</xdr:colOff>
      <xdr:row>149</xdr:row>
      <xdr:rowOff>120406</xdr:rowOff>
    </xdr:to>
    <xdr:sp macro="" textlink="">
      <xdr:nvSpPr>
        <xdr:cNvPr id="1731" name="Right Arrow 1730" descr="d5f4f338-aff1-4f67-a209-371b7f35d22a">
          <a:extLst>
            <a:ext uri="{FF2B5EF4-FFF2-40B4-BE49-F238E27FC236}">
              <a16:creationId xmlns:a16="http://schemas.microsoft.com/office/drawing/2014/main" id="{00000000-0008-0000-0900-0000C3060000}"/>
            </a:ext>
          </a:extLst>
        </xdr:cNvPr>
        <xdr:cNvSpPr/>
      </xdr:nvSpPr>
      <xdr:spPr bwMode="auto">
        <a:xfrm>
          <a:off x="111263205" y="20202804"/>
          <a:ext cx="665351" cy="515415"/>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FCC FHT</a:t>
          </a:r>
          <a:r>
            <a:rPr lang="en-CA" sz="800" baseline="0"/>
            <a:t> RFG</a:t>
          </a:r>
          <a:endParaRPr lang="en-CA" sz="800"/>
        </a:p>
      </xdr:txBody>
    </xdr:sp>
    <xdr:clientData/>
  </xdr:twoCellAnchor>
  <xdr:twoCellAnchor>
    <xdr:from>
      <xdr:col>117</xdr:col>
      <xdr:colOff>593912</xdr:colOff>
      <xdr:row>158</xdr:row>
      <xdr:rowOff>81243</xdr:rowOff>
    </xdr:from>
    <xdr:to>
      <xdr:col>118</xdr:col>
      <xdr:colOff>235326</xdr:colOff>
      <xdr:row>161</xdr:row>
      <xdr:rowOff>96595</xdr:rowOff>
    </xdr:to>
    <xdr:sp macro="" textlink="">
      <xdr:nvSpPr>
        <xdr:cNvPr id="1732" name="Right Arrow 1731" descr="f7d13100-e844-47af-84c5-03e077b584d2">
          <a:extLst>
            <a:ext uri="{FF2B5EF4-FFF2-40B4-BE49-F238E27FC236}">
              <a16:creationId xmlns:a16="http://schemas.microsoft.com/office/drawing/2014/main" id="{00000000-0008-0000-0900-0000C4060000}"/>
            </a:ext>
          </a:extLst>
        </xdr:cNvPr>
        <xdr:cNvSpPr/>
      </xdr:nvSpPr>
      <xdr:spPr bwMode="auto">
        <a:xfrm>
          <a:off x="111250600" y="22369743"/>
          <a:ext cx="665351" cy="515415"/>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FCC</a:t>
          </a:r>
          <a:r>
            <a:rPr lang="en-CA" sz="800" baseline="0"/>
            <a:t> RFG</a:t>
          </a:r>
          <a:endParaRPr lang="en-CA" sz="800"/>
        </a:p>
      </xdr:txBody>
    </xdr:sp>
    <xdr:clientData/>
  </xdr:twoCellAnchor>
  <xdr:twoCellAnchor>
    <xdr:from>
      <xdr:col>117</xdr:col>
      <xdr:colOff>558894</xdr:colOff>
      <xdr:row>55</xdr:row>
      <xdr:rowOff>159685</xdr:rowOff>
    </xdr:from>
    <xdr:to>
      <xdr:col>118</xdr:col>
      <xdr:colOff>200308</xdr:colOff>
      <xdr:row>59</xdr:row>
      <xdr:rowOff>8350</xdr:rowOff>
    </xdr:to>
    <xdr:sp macro="" textlink="">
      <xdr:nvSpPr>
        <xdr:cNvPr id="1733" name="Right Arrow 1732" descr="ce105e06-0280-44d3-ae21-f4f87a12838a">
          <a:extLst>
            <a:ext uri="{FF2B5EF4-FFF2-40B4-BE49-F238E27FC236}">
              <a16:creationId xmlns:a16="http://schemas.microsoft.com/office/drawing/2014/main" id="{00000000-0008-0000-0900-0000C5060000}"/>
            </a:ext>
          </a:extLst>
        </xdr:cNvPr>
        <xdr:cNvSpPr/>
      </xdr:nvSpPr>
      <xdr:spPr bwMode="auto">
        <a:xfrm>
          <a:off x="111215582" y="24353185"/>
          <a:ext cx="665351" cy="515415"/>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REF</a:t>
          </a:r>
          <a:r>
            <a:rPr lang="en-CA" sz="800" baseline="0"/>
            <a:t> RFG</a:t>
          </a:r>
          <a:endParaRPr lang="en-CA" sz="800"/>
        </a:p>
      </xdr:txBody>
    </xdr:sp>
    <xdr:clientData/>
  </xdr:twoCellAnchor>
  <xdr:twoCellAnchor>
    <xdr:from>
      <xdr:col>117</xdr:col>
      <xdr:colOff>536481</xdr:colOff>
      <xdr:row>68</xdr:row>
      <xdr:rowOff>158282</xdr:rowOff>
    </xdr:from>
    <xdr:to>
      <xdr:col>118</xdr:col>
      <xdr:colOff>177895</xdr:colOff>
      <xdr:row>71</xdr:row>
      <xdr:rowOff>126011</xdr:rowOff>
    </xdr:to>
    <xdr:sp macro="" textlink="">
      <xdr:nvSpPr>
        <xdr:cNvPr id="1734" name="Right Arrow 1733" descr="fd3fb292-bb7b-496e-b88a-f09f94658a9a">
          <a:extLst>
            <a:ext uri="{FF2B5EF4-FFF2-40B4-BE49-F238E27FC236}">
              <a16:creationId xmlns:a16="http://schemas.microsoft.com/office/drawing/2014/main" id="{00000000-0008-0000-0900-0000C6060000}"/>
            </a:ext>
          </a:extLst>
        </xdr:cNvPr>
        <xdr:cNvSpPr/>
      </xdr:nvSpPr>
      <xdr:spPr bwMode="auto">
        <a:xfrm>
          <a:off x="111193169" y="26613970"/>
          <a:ext cx="665351" cy="610666"/>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ISOM</a:t>
          </a:r>
          <a:r>
            <a:rPr lang="en-CA" sz="800" baseline="0"/>
            <a:t>RFG</a:t>
          </a:r>
          <a:endParaRPr lang="en-CA" sz="800"/>
        </a:p>
      </xdr:txBody>
    </xdr:sp>
    <xdr:clientData/>
  </xdr:twoCellAnchor>
  <xdr:twoCellAnchor>
    <xdr:from>
      <xdr:col>60</xdr:col>
      <xdr:colOff>852303</xdr:colOff>
      <xdr:row>57</xdr:row>
      <xdr:rowOff>122343</xdr:rowOff>
    </xdr:from>
    <xdr:to>
      <xdr:col>61</xdr:col>
      <xdr:colOff>573432</xdr:colOff>
      <xdr:row>63</xdr:row>
      <xdr:rowOff>21029</xdr:rowOff>
    </xdr:to>
    <xdr:sp macro="" textlink="">
      <xdr:nvSpPr>
        <xdr:cNvPr id="1735" name="Right Arrow 1734" descr="28207ae9-b95a-496c-941b-81e33a0d1237">
          <a:extLst>
            <a:ext uri="{FF2B5EF4-FFF2-40B4-BE49-F238E27FC236}">
              <a16:creationId xmlns:a16="http://schemas.microsoft.com/office/drawing/2014/main" id="{00000000-0008-0000-0900-0000C7060000}"/>
            </a:ext>
          </a:extLst>
        </xdr:cNvPr>
        <xdr:cNvSpPr/>
      </xdr:nvSpPr>
      <xdr:spPr bwMode="auto">
        <a:xfrm rot="16200000">
          <a:off x="52729203" y="8933300"/>
          <a:ext cx="878400"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KHT RFG</a:t>
          </a:r>
          <a:endParaRPr lang="en-CA" sz="800"/>
        </a:p>
      </xdr:txBody>
    </xdr:sp>
    <xdr:clientData/>
  </xdr:twoCellAnchor>
  <xdr:twoCellAnchor>
    <xdr:from>
      <xdr:col>64</xdr:col>
      <xdr:colOff>276436</xdr:colOff>
      <xdr:row>107</xdr:row>
      <xdr:rowOff>145475</xdr:rowOff>
    </xdr:from>
    <xdr:to>
      <xdr:col>64</xdr:col>
      <xdr:colOff>895636</xdr:colOff>
      <xdr:row>113</xdr:row>
      <xdr:rowOff>30554</xdr:rowOff>
    </xdr:to>
    <xdr:sp macro="" textlink="">
      <xdr:nvSpPr>
        <xdr:cNvPr id="1736" name="Right Arrow 1735" descr="a51afb68-8781-4d55-83e2-bba8a0a2a34a">
          <a:extLst>
            <a:ext uri="{FF2B5EF4-FFF2-40B4-BE49-F238E27FC236}">
              <a16:creationId xmlns:a16="http://schemas.microsoft.com/office/drawing/2014/main" id="{00000000-0008-0000-0900-0000C8060000}"/>
            </a:ext>
          </a:extLst>
        </xdr:cNvPr>
        <xdr:cNvSpPr/>
      </xdr:nvSpPr>
      <xdr:spPr bwMode="auto">
        <a:xfrm rot="16200000">
          <a:off x="55854479" y="17120718"/>
          <a:ext cx="878400"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GO-HT RFG</a:t>
          </a:r>
          <a:endParaRPr lang="en-CA" sz="800"/>
        </a:p>
      </xdr:txBody>
    </xdr:sp>
    <xdr:clientData/>
  </xdr:twoCellAnchor>
  <xdr:twoCellAnchor>
    <xdr:from>
      <xdr:col>64</xdr:col>
      <xdr:colOff>190502</xdr:colOff>
      <xdr:row>166</xdr:row>
      <xdr:rowOff>160690</xdr:rowOff>
    </xdr:from>
    <xdr:to>
      <xdr:col>64</xdr:col>
      <xdr:colOff>900547</xdr:colOff>
      <xdr:row>171</xdr:row>
      <xdr:rowOff>34636</xdr:rowOff>
    </xdr:to>
    <xdr:sp macro="" textlink="">
      <xdr:nvSpPr>
        <xdr:cNvPr id="1737" name="Right Arrow 1736" descr="bae9386c-4d6a-4dff-ba21-4f91f5cd0e1f">
          <a:extLst>
            <a:ext uri="{FF2B5EF4-FFF2-40B4-BE49-F238E27FC236}">
              <a16:creationId xmlns:a16="http://schemas.microsoft.com/office/drawing/2014/main" id="{00000000-0008-0000-0900-0000C9060000}"/>
            </a:ext>
          </a:extLst>
        </xdr:cNvPr>
        <xdr:cNvSpPr/>
      </xdr:nvSpPr>
      <xdr:spPr bwMode="auto">
        <a:xfrm rot="16200000">
          <a:off x="55663052" y="26326049"/>
          <a:ext cx="878400" cy="710045"/>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1100" baseline="0"/>
            <a:t>CNHT RFG</a:t>
          </a:r>
          <a:endParaRPr lang="en-CA" sz="1100"/>
        </a:p>
      </xdr:txBody>
    </xdr:sp>
    <xdr:clientData/>
  </xdr:twoCellAnchor>
  <xdr:twoCellAnchor>
    <xdr:from>
      <xdr:col>73</xdr:col>
      <xdr:colOff>450275</xdr:colOff>
      <xdr:row>192</xdr:row>
      <xdr:rowOff>108737</xdr:rowOff>
    </xdr:from>
    <xdr:to>
      <xdr:col>74</xdr:col>
      <xdr:colOff>47702</xdr:colOff>
      <xdr:row>196</xdr:row>
      <xdr:rowOff>34637</xdr:rowOff>
    </xdr:to>
    <xdr:sp macro="" textlink="">
      <xdr:nvSpPr>
        <xdr:cNvPr id="1738" name="Right Arrow 1737" descr="9c231c6a-7019-4d3b-a89e-f9a5f4f30677">
          <a:extLst>
            <a:ext uri="{FF2B5EF4-FFF2-40B4-BE49-F238E27FC236}">
              <a16:creationId xmlns:a16="http://schemas.microsoft.com/office/drawing/2014/main" id="{00000000-0008-0000-0900-0000CA060000}"/>
            </a:ext>
          </a:extLst>
        </xdr:cNvPr>
        <xdr:cNvSpPr/>
      </xdr:nvSpPr>
      <xdr:spPr bwMode="auto">
        <a:xfrm rot="16200000">
          <a:off x="64415266" y="30666382"/>
          <a:ext cx="878400"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FCC FHT RFG</a:t>
          </a:r>
          <a:endParaRPr lang="en-CA" sz="800"/>
        </a:p>
      </xdr:txBody>
    </xdr:sp>
    <xdr:clientData/>
  </xdr:twoCellAnchor>
  <xdr:twoCellAnchor>
    <xdr:from>
      <xdr:col>73</xdr:col>
      <xdr:colOff>533155</xdr:colOff>
      <xdr:row>233</xdr:row>
      <xdr:rowOff>107744</xdr:rowOff>
    </xdr:from>
    <xdr:to>
      <xdr:col>74</xdr:col>
      <xdr:colOff>130582</xdr:colOff>
      <xdr:row>239</xdr:row>
      <xdr:rowOff>50963</xdr:rowOff>
    </xdr:to>
    <xdr:sp macro="" textlink="">
      <xdr:nvSpPr>
        <xdr:cNvPr id="1749" name="Right Arrow 1748" descr="c3373085-b56b-4900-809a-84b873e95a41">
          <a:extLst>
            <a:ext uri="{FF2B5EF4-FFF2-40B4-BE49-F238E27FC236}">
              <a16:creationId xmlns:a16="http://schemas.microsoft.com/office/drawing/2014/main" id="{00000000-0008-0000-0900-0000D5060000}"/>
            </a:ext>
          </a:extLst>
        </xdr:cNvPr>
        <xdr:cNvSpPr/>
      </xdr:nvSpPr>
      <xdr:spPr bwMode="auto">
        <a:xfrm rot="16200000">
          <a:off x="64498146" y="38112208"/>
          <a:ext cx="878400"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FCC  RFG</a:t>
          </a:r>
          <a:endParaRPr lang="en-CA" sz="800"/>
        </a:p>
      </xdr:txBody>
    </xdr:sp>
    <xdr:clientData/>
  </xdr:twoCellAnchor>
  <xdr:twoCellAnchor>
    <xdr:from>
      <xdr:col>50</xdr:col>
      <xdr:colOff>381000</xdr:colOff>
      <xdr:row>208</xdr:row>
      <xdr:rowOff>237384</xdr:rowOff>
    </xdr:from>
    <xdr:to>
      <xdr:col>51</xdr:col>
      <xdr:colOff>387879</xdr:colOff>
      <xdr:row>212</xdr:row>
      <xdr:rowOff>122463</xdr:rowOff>
    </xdr:to>
    <xdr:sp macro="" textlink="">
      <xdr:nvSpPr>
        <xdr:cNvPr id="1750" name="Right Arrow 1749" descr="c79680c7-0474-4481-9eba-7a388d3de9b3">
          <a:extLst>
            <a:ext uri="{FF2B5EF4-FFF2-40B4-BE49-F238E27FC236}">
              <a16:creationId xmlns:a16="http://schemas.microsoft.com/office/drawing/2014/main" id="{00000000-0008-0000-0900-0000D6060000}"/>
            </a:ext>
          </a:extLst>
        </xdr:cNvPr>
        <xdr:cNvSpPr/>
      </xdr:nvSpPr>
      <xdr:spPr bwMode="auto">
        <a:xfrm rot="16200000">
          <a:off x="43753436" y="35119627"/>
          <a:ext cx="878400"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COKER RFG</a:t>
          </a:r>
          <a:endParaRPr lang="en-CA" sz="800"/>
        </a:p>
      </xdr:txBody>
    </xdr:sp>
    <xdr:clientData/>
  </xdr:twoCellAnchor>
  <xdr:twoCellAnchor>
    <xdr:from>
      <xdr:col>23</xdr:col>
      <xdr:colOff>533400</xdr:colOff>
      <xdr:row>89</xdr:row>
      <xdr:rowOff>31605</xdr:rowOff>
    </xdr:from>
    <xdr:to>
      <xdr:col>90</xdr:col>
      <xdr:colOff>939527</xdr:colOff>
      <xdr:row>89</xdr:row>
      <xdr:rowOff>38100</xdr:rowOff>
    </xdr:to>
    <xdr:cxnSp macro="">
      <xdr:nvCxnSpPr>
        <xdr:cNvPr id="1757" name="Straight Connector 1756">
          <a:extLst>
            <a:ext uri="{FF2B5EF4-FFF2-40B4-BE49-F238E27FC236}">
              <a16:creationId xmlns:a16="http://schemas.microsoft.com/office/drawing/2014/main" id="{00000000-0008-0000-0900-0000DD060000}"/>
            </a:ext>
          </a:extLst>
        </xdr:cNvPr>
        <xdr:cNvCxnSpPr>
          <a:endCxn id="6263" idx="1"/>
        </xdr:cNvCxnSpPr>
      </xdr:nvCxnSpPr>
      <xdr:spPr bwMode="auto">
        <a:xfrm flipV="1">
          <a:off x="19888200" y="13023705"/>
          <a:ext cx="63156827" cy="6495"/>
        </a:xfrm>
        <a:prstGeom prst="line">
          <a:avLst/>
        </a:prstGeom>
        <a:solidFill>
          <a:srgbClr val="FFFFFF"/>
        </a:solidFill>
        <a:ln w="25400" cap="flat" cmpd="sng" algn="ctr">
          <a:solidFill>
            <a:srgbClr val="7030A0"/>
          </a:solidFill>
          <a:prstDash val="solid"/>
          <a:round/>
          <a:headEnd type="none" w="med" len="med"/>
          <a:tailEnd type="triangle" w="med" len="med"/>
        </a:ln>
        <a:effectLst/>
      </xdr:spPr>
    </xdr:cxnSp>
    <xdr:clientData/>
  </xdr:twoCellAnchor>
  <xdr:twoCellAnchor>
    <xdr:from>
      <xdr:col>23</xdr:col>
      <xdr:colOff>498348</xdr:colOff>
      <xdr:row>72</xdr:row>
      <xdr:rowOff>107573</xdr:rowOff>
    </xdr:from>
    <xdr:to>
      <xdr:col>60</xdr:col>
      <xdr:colOff>734784</xdr:colOff>
      <xdr:row>72</xdr:row>
      <xdr:rowOff>122759</xdr:rowOff>
    </xdr:to>
    <xdr:cxnSp macro="">
      <xdr:nvCxnSpPr>
        <xdr:cNvPr id="1765" name="Straight Connector 1764">
          <a:extLst>
            <a:ext uri="{FF2B5EF4-FFF2-40B4-BE49-F238E27FC236}">
              <a16:creationId xmlns:a16="http://schemas.microsoft.com/office/drawing/2014/main" id="{00000000-0008-0000-0900-0000E5060000}"/>
            </a:ext>
          </a:extLst>
        </xdr:cNvPr>
        <xdr:cNvCxnSpPr>
          <a:stCxn id="1819" idx="1"/>
          <a:endCxn id="6269" idx="1"/>
        </xdr:cNvCxnSpPr>
      </xdr:nvCxnSpPr>
      <xdr:spPr bwMode="auto">
        <a:xfrm rot="16200000" flipH="1">
          <a:off x="36327723" y="-5965702"/>
          <a:ext cx="15186" cy="32964336"/>
        </a:xfrm>
        <a:prstGeom prst="line">
          <a:avLst/>
        </a:prstGeom>
        <a:solidFill>
          <a:srgbClr val="FFFFFF"/>
        </a:solidFill>
        <a:ln w="25400" cap="flat" cmpd="sng" algn="ctr">
          <a:solidFill>
            <a:srgbClr val="7030A0"/>
          </a:solidFill>
          <a:prstDash val="solid"/>
          <a:round/>
          <a:headEnd type="none" w="med" len="med"/>
          <a:tailEnd type="triangle" w="med" len="med"/>
        </a:ln>
        <a:effectLst/>
      </xdr:spPr>
    </xdr:cxnSp>
    <xdr:clientData/>
  </xdr:twoCellAnchor>
  <xdr:twoCellAnchor>
    <xdr:from>
      <xdr:col>23</xdr:col>
      <xdr:colOff>0</xdr:colOff>
      <xdr:row>166</xdr:row>
      <xdr:rowOff>103912</xdr:rowOff>
    </xdr:from>
    <xdr:to>
      <xdr:col>26</xdr:col>
      <xdr:colOff>833437</xdr:colOff>
      <xdr:row>183</xdr:row>
      <xdr:rowOff>62781</xdr:rowOff>
    </xdr:to>
    <xdr:grpSp>
      <xdr:nvGrpSpPr>
        <xdr:cNvPr id="1770" name="Group 1769">
          <a:hlinkClick xmlns:r="http://schemas.openxmlformats.org/officeDocument/2006/relationships" r:id="rId16"/>
          <a:extLst>
            <a:ext uri="{FF2B5EF4-FFF2-40B4-BE49-F238E27FC236}">
              <a16:creationId xmlns:a16="http://schemas.microsoft.com/office/drawing/2014/main" id="{00000000-0008-0000-0900-0000EA060000}"/>
            </a:ext>
          </a:extLst>
        </xdr:cNvPr>
        <xdr:cNvGrpSpPr>
          <a:grpSpLocks/>
        </xdr:cNvGrpSpPr>
      </xdr:nvGrpSpPr>
      <xdr:grpSpPr bwMode="auto">
        <a:xfrm>
          <a:off x="20071773" y="29804594"/>
          <a:ext cx="3794846" cy="2747096"/>
          <a:chOff x="336" y="2220"/>
          <a:chExt cx="528" cy="996"/>
        </a:xfrm>
      </xdr:grpSpPr>
      <xdr:sp macro="" textlink="">
        <xdr:nvSpPr>
          <xdr:cNvPr id="1771" name="Rectangle 1770">
            <a:extLst>
              <a:ext uri="{FF2B5EF4-FFF2-40B4-BE49-F238E27FC236}">
                <a16:creationId xmlns:a16="http://schemas.microsoft.com/office/drawing/2014/main" id="{00000000-0008-0000-0900-0000EB060000}"/>
              </a:ext>
            </a:extLst>
          </xdr:cNvPr>
          <xdr:cNvSpPr>
            <a:spLocks noChangeArrowheads="1"/>
          </xdr:cNvSpPr>
        </xdr:nvSpPr>
        <xdr:spPr bwMode="auto">
          <a:xfrm>
            <a:off x="336" y="2762"/>
            <a:ext cx="528" cy="454"/>
          </a:xfrm>
          <a:prstGeom prst="rect">
            <a:avLst/>
          </a:prstGeom>
          <a:gradFill flip="none" rotWithShape="1">
            <a:gsLst>
              <a:gs pos="0">
                <a:schemeClr val="accent3">
                  <a:lumMod val="60000"/>
                  <a:lumOff val="40000"/>
                  <a:alpha val="0"/>
                </a:schemeClr>
              </a:gs>
              <a:gs pos="50000">
                <a:srgbClr val="9CB86E">
                  <a:alpha val="20000"/>
                </a:srgbClr>
              </a:gs>
              <a:gs pos="100000">
                <a:srgbClr val="156B13"/>
              </a:gs>
            </a:gsLst>
            <a:lin ang="5400000" scaled="0"/>
            <a:tileRect/>
          </a:grad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772" name="AutoShape 28">
            <a:extLst>
              <a:ext uri="{FF2B5EF4-FFF2-40B4-BE49-F238E27FC236}">
                <a16:creationId xmlns:a16="http://schemas.microsoft.com/office/drawing/2014/main" id="{00000000-0008-0000-0900-0000EC060000}"/>
              </a:ext>
            </a:extLst>
          </xdr:cNvPr>
          <xdr:cNvSpPr>
            <a:spLocks noChangeArrowheads="1"/>
          </xdr:cNvSpPr>
        </xdr:nvSpPr>
        <xdr:spPr bwMode="auto">
          <a:xfrm>
            <a:off x="336" y="2238"/>
            <a:ext cx="528" cy="528"/>
          </a:xfrm>
          <a:prstGeom prst="triangle">
            <a:avLst>
              <a:gd name="adj" fmla="val 50000"/>
            </a:avLst>
          </a:prstGeom>
          <a:gradFill flip="none" rotWithShape="1">
            <a:gsLst>
              <a:gs pos="0">
                <a:schemeClr val="accent3">
                  <a:lumMod val="60000"/>
                  <a:lumOff val="40000"/>
                </a:schemeClr>
              </a:gs>
              <a:gs pos="50000">
                <a:srgbClr val="9CB86E"/>
              </a:gs>
              <a:gs pos="100000">
                <a:srgbClr val="156B13"/>
              </a:gs>
            </a:gsLst>
            <a:lin ang="16200000" scaled="0"/>
            <a:tileRect/>
          </a:grad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773" name="Rectangle 1772">
            <a:extLst>
              <a:ext uri="{FF2B5EF4-FFF2-40B4-BE49-F238E27FC236}">
                <a16:creationId xmlns:a16="http://schemas.microsoft.com/office/drawing/2014/main" id="{00000000-0008-0000-0900-0000ED060000}"/>
              </a:ext>
            </a:extLst>
          </xdr:cNvPr>
          <xdr:cNvSpPr>
            <a:spLocks noChangeArrowheads="1"/>
          </xdr:cNvSpPr>
        </xdr:nvSpPr>
        <xdr:spPr bwMode="auto">
          <a:xfrm>
            <a:off x="504" y="2220"/>
            <a:ext cx="192" cy="240"/>
          </a:xfrm>
          <a:prstGeom prst="rect">
            <a:avLst/>
          </a:prstGeom>
          <a:gradFill flip="none" rotWithShape="1">
            <a:gsLst>
              <a:gs pos="0">
                <a:schemeClr val="accent3">
                  <a:lumMod val="60000"/>
                  <a:lumOff val="40000"/>
                  <a:alpha val="0"/>
                </a:schemeClr>
              </a:gs>
              <a:gs pos="50000">
                <a:srgbClr val="9CB86E"/>
              </a:gs>
              <a:gs pos="100000">
                <a:srgbClr val="156B13"/>
              </a:gs>
            </a:gsLst>
            <a:lin ang="5400000" scaled="0"/>
            <a:tileRect/>
          </a:grad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clientData/>
  </xdr:twoCellAnchor>
  <xdr:twoCellAnchor>
    <xdr:from>
      <xdr:col>20</xdr:col>
      <xdr:colOff>952500</xdr:colOff>
      <xdr:row>37</xdr:row>
      <xdr:rowOff>68035</xdr:rowOff>
    </xdr:from>
    <xdr:to>
      <xdr:col>24</xdr:col>
      <xdr:colOff>0</xdr:colOff>
      <xdr:row>118</xdr:row>
      <xdr:rowOff>68035</xdr:rowOff>
    </xdr:to>
    <xdr:grpSp>
      <xdr:nvGrpSpPr>
        <xdr:cNvPr id="1812" name="Group 1811">
          <a:hlinkClick xmlns:r="http://schemas.openxmlformats.org/officeDocument/2006/relationships" r:id="rId17"/>
          <a:extLst>
            <a:ext uri="{FF2B5EF4-FFF2-40B4-BE49-F238E27FC236}">
              <a16:creationId xmlns:a16="http://schemas.microsoft.com/office/drawing/2014/main" id="{00000000-0008-0000-0900-000014070000}"/>
            </a:ext>
          </a:extLst>
        </xdr:cNvPr>
        <xdr:cNvGrpSpPr/>
      </xdr:nvGrpSpPr>
      <xdr:grpSpPr>
        <a:xfrm>
          <a:off x="17924318" y="7203126"/>
          <a:ext cx="2753591" cy="14512636"/>
          <a:chOff x="21978938" y="20812126"/>
          <a:chExt cx="1694351" cy="10263187"/>
        </a:xfr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xdr:grpSpPr>
      <xdr:grpSp>
        <xdr:nvGrpSpPr>
          <xdr:cNvPr id="1813" name="Group 1113">
            <a:extLst>
              <a:ext uri="{FF2B5EF4-FFF2-40B4-BE49-F238E27FC236}">
                <a16:creationId xmlns:a16="http://schemas.microsoft.com/office/drawing/2014/main" id="{00000000-0008-0000-0900-000015070000}"/>
              </a:ext>
            </a:extLst>
          </xdr:cNvPr>
          <xdr:cNvGrpSpPr>
            <a:grpSpLocks/>
          </xdr:cNvGrpSpPr>
        </xdr:nvGrpSpPr>
        <xdr:grpSpPr bwMode="auto">
          <a:xfrm>
            <a:off x="21978938" y="20812126"/>
            <a:ext cx="1694351" cy="10263187"/>
            <a:chOff x="151" y="40"/>
            <a:chExt cx="25" cy="159"/>
          </a:xfrm>
          <a:grpFill/>
        </xdr:grpSpPr>
        <xdr:grpSp>
          <xdr:nvGrpSpPr>
            <xdr:cNvPr id="1815" name="Group 1114">
              <a:extLst>
                <a:ext uri="{FF2B5EF4-FFF2-40B4-BE49-F238E27FC236}">
                  <a16:creationId xmlns:a16="http://schemas.microsoft.com/office/drawing/2014/main" id="{00000000-0008-0000-0900-000017070000}"/>
                </a:ext>
              </a:extLst>
            </xdr:cNvPr>
            <xdr:cNvGrpSpPr>
              <a:grpSpLocks/>
            </xdr:cNvGrpSpPr>
          </xdr:nvGrpSpPr>
          <xdr:grpSpPr bwMode="auto">
            <a:xfrm>
              <a:off x="151" y="40"/>
              <a:ext cx="25" cy="159"/>
              <a:chOff x="151" y="26"/>
              <a:chExt cx="25" cy="159"/>
            </a:xfrm>
            <a:grpFill/>
          </xdr:grpSpPr>
          <xdr:grpSp>
            <xdr:nvGrpSpPr>
              <xdr:cNvPr id="1824" name="Group 1115">
                <a:extLst>
                  <a:ext uri="{FF2B5EF4-FFF2-40B4-BE49-F238E27FC236}">
                    <a16:creationId xmlns:a16="http://schemas.microsoft.com/office/drawing/2014/main" id="{00000000-0008-0000-0900-000020070000}"/>
                  </a:ext>
                </a:extLst>
              </xdr:cNvPr>
              <xdr:cNvGrpSpPr>
                <a:grpSpLocks/>
              </xdr:cNvGrpSpPr>
            </xdr:nvGrpSpPr>
            <xdr:grpSpPr bwMode="auto">
              <a:xfrm>
                <a:off x="152" y="26"/>
                <a:ext cx="23" cy="159"/>
                <a:chOff x="154" y="32"/>
                <a:chExt cx="23" cy="159"/>
              </a:xfrm>
              <a:grpFill/>
            </xdr:grpSpPr>
            <xdr:grpSp>
              <xdr:nvGrpSpPr>
                <xdr:cNvPr id="1827" name="Group 1116">
                  <a:extLst>
                    <a:ext uri="{FF2B5EF4-FFF2-40B4-BE49-F238E27FC236}">
                      <a16:creationId xmlns:a16="http://schemas.microsoft.com/office/drawing/2014/main" id="{00000000-0008-0000-0900-000023070000}"/>
                    </a:ext>
                  </a:extLst>
                </xdr:cNvPr>
                <xdr:cNvGrpSpPr>
                  <a:grpSpLocks/>
                </xdr:cNvGrpSpPr>
              </xdr:nvGrpSpPr>
              <xdr:grpSpPr bwMode="auto">
                <a:xfrm>
                  <a:off x="154" y="32"/>
                  <a:ext cx="23" cy="159"/>
                  <a:chOff x="146" y="33"/>
                  <a:chExt cx="23" cy="159"/>
                </a:xfrm>
                <a:grpFill/>
              </xdr:grpSpPr>
              <xdr:grpSp>
                <xdr:nvGrpSpPr>
                  <xdr:cNvPr id="1830" name="Group 1117">
                    <a:extLst>
                      <a:ext uri="{FF2B5EF4-FFF2-40B4-BE49-F238E27FC236}">
                        <a16:creationId xmlns:a16="http://schemas.microsoft.com/office/drawing/2014/main" id="{00000000-0008-0000-0900-000026070000}"/>
                      </a:ext>
                    </a:extLst>
                  </xdr:cNvPr>
                  <xdr:cNvGrpSpPr>
                    <a:grpSpLocks/>
                  </xdr:cNvGrpSpPr>
                </xdr:nvGrpSpPr>
                <xdr:grpSpPr bwMode="auto">
                  <a:xfrm>
                    <a:off x="146" y="33"/>
                    <a:ext cx="23" cy="159"/>
                    <a:chOff x="146" y="33"/>
                    <a:chExt cx="23" cy="159"/>
                  </a:xfrm>
                  <a:grpFill/>
                </xdr:grpSpPr>
                <xdr:sp macro="" textlink="">
                  <xdr:nvSpPr>
                    <xdr:cNvPr id="1833" name="Rectangle 1118">
                      <a:extLst>
                        <a:ext uri="{FF2B5EF4-FFF2-40B4-BE49-F238E27FC236}">
                          <a16:creationId xmlns:a16="http://schemas.microsoft.com/office/drawing/2014/main" id="{00000000-0008-0000-0900-000029070000}"/>
                        </a:ext>
                      </a:extLst>
                    </xdr:cNvPr>
                    <xdr:cNvSpPr>
                      <a:spLocks noChangeArrowheads="1"/>
                    </xdr:cNvSpPr>
                  </xdr:nvSpPr>
                  <xdr:spPr bwMode="auto">
                    <a:xfrm>
                      <a:off x="146" y="41"/>
                      <a:ext cx="23" cy="146"/>
                    </a:xfrm>
                    <a:prstGeom prst="rect">
                      <a:avLst/>
                    </a:prstGeom>
                    <a:grpFill/>
                    <a:ln w="9525">
                      <a:solidFill>
                        <a:srgbClr val="000000"/>
                      </a:solidFill>
                      <a:miter lim="800000"/>
                      <a:headEnd/>
                      <a:tailEnd/>
                    </a:ln>
                  </xdr:spPr>
                </xdr:sp>
                <xdr:sp macro="" textlink="">
                  <xdr:nvSpPr>
                    <xdr:cNvPr id="1834" name="Oval 1119">
                      <a:extLst>
                        <a:ext uri="{FF2B5EF4-FFF2-40B4-BE49-F238E27FC236}">
                          <a16:creationId xmlns:a16="http://schemas.microsoft.com/office/drawing/2014/main" id="{00000000-0008-0000-0900-00002A070000}"/>
                        </a:ext>
                      </a:extLst>
                    </xdr:cNvPr>
                    <xdr:cNvSpPr>
                      <a:spLocks noChangeArrowheads="1"/>
                    </xdr:cNvSpPr>
                  </xdr:nvSpPr>
                  <xdr:spPr bwMode="auto">
                    <a:xfrm>
                      <a:off x="146" y="33"/>
                      <a:ext cx="23" cy="15"/>
                    </a:xfrm>
                    <a:prstGeom prst="ellipse">
                      <a:avLst/>
                    </a:prstGeom>
                    <a:grpFill/>
                    <a:ln w="9525">
                      <a:solidFill>
                        <a:srgbClr val="000000"/>
                      </a:solidFill>
                      <a:round/>
                      <a:headEnd/>
                      <a:tailEnd/>
                    </a:ln>
                  </xdr:spPr>
                </xdr:sp>
                <xdr:sp macro="" textlink="">
                  <xdr:nvSpPr>
                    <xdr:cNvPr id="1835" name="Oval 1120">
                      <a:extLst>
                        <a:ext uri="{FF2B5EF4-FFF2-40B4-BE49-F238E27FC236}">
                          <a16:creationId xmlns:a16="http://schemas.microsoft.com/office/drawing/2014/main" id="{00000000-0008-0000-0900-00002B070000}"/>
                        </a:ext>
                      </a:extLst>
                    </xdr:cNvPr>
                    <xdr:cNvSpPr>
                      <a:spLocks noChangeArrowheads="1"/>
                    </xdr:cNvSpPr>
                  </xdr:nvSpPr>
                  <xdr:spPr bwMode="auto">
                    <a:xfrm>
                      <a:off x="146" y="177"/>
                      <a:ext cx="23" cy="15"/>
                    </a:xfrm>
                    <a:prstGeom prst="ellipse">
                      <a:avLst/>
                    </a:prstGeom>
                    <a:grpFill/>
                    <a:ln w="9525">
                      <a:solidFill>
                        <a:srgbClr val="000000"/>
                      </a:solidFill>
                      <a:round/>
                      <a:headEnd/>
                      <a:tailEnd/>
                    </a:ln>
                  </xdr:spPr>
                </xdr:sp>
                <xdr:sp macro="" textlink="">
                  <xdr:nvSpPr>
                    <xdr:cNvPr id="1836" name="Line 1121">
                      <a:extLst>
                        <a:ext uri="{FF2B5EF4-FFF2-40B4-BE49-F238E27FC236}">
                          <a16:creationId xmlns:a16="http://schemas.microsoft.com/office/drawing/2014/main" id="{00000000-0008-0000-0900-00002C070000}"/>
                        </a:ext>
                      </a:extLst>
                    </xdr:cNvPr>
                    <xdr:cNvSpPr>
                      <a:spLocks noChangeShapeType="1"/>
                    </xdr:cNvSpPr>
                  </xdr:nvSpPr>
                  <xdr:spPr bwMode="auto">
                    <a:xfrm>
                      <a:off x="146" y="40"/>
                      <a:ext cx="0" cy="15"/>
                    </a:xfrm>
                    <a:prstGeom prst="line">
                      <a:avLst/>
                    </a:prstGeom>
                    <a:grpFill/>
                    <a:ln w="9525">
                      <a:solidFill>
                        <a:srgbClr val="000000"/>
                      </a:solidFill>
                      <a:round/>
                      <a:headEnd/>
                      <a:tailEnd/>
                    </a:ln>
                  </xdr:spPr>
                </xdr:sp>
                <xdr:sp macro="" textlink="">
                  <xdr:nvSpPr>
                    <xdr:cNvPr id="1837" name="Line 1122">
                      <a:extLst>
                        <a:ext uri="{FF2B5EF4-FFF2-40B4-BE49-F238E27FC236}">
                          <a16:creationId xmlns:a16="http://schemas.microsoft.com/office/drawing/2014/main" id="{00000000-0008-0000-0900-00002D070000}"/>
                        </a:ext>
                      </a:extLst>
                    </xdr:cNvPr>
                    <xdr:cNvSpPr>
                      <a:spLocks noChangeShapeType="1"/>
                    </xdr:cNvSpPr>
                  </xdr:nvSpPr>
                  <xdr:spPr bwMode="auto">
                    <a:xfrm>
                      <a:off x="146" y="166"/>
                      <a:ext cx="0" cy="21"/>
                    </a:xfrm>
                    <a:prstGeom prst="line">
                      <a:avLst/>
                    </a:prstGeom>
                    <a:grpFill/>
                    <a:ln w="9525">
                      <a:solidFill>
                        <a:srgbClr val="000000"/>
                      </a:solidFill>
                      <a:round/>
                      <a:headEnd/>
                      <a:tailEnd/>
                    </a:ln>
                  </xdr:spPr>
                </xdr:sp>
                <xdr:sp macro="" textlink="">
                  <xdr:nvSpPr>
                    <xdr:cNvPr id="1838" name="Line 1123">
                      <a:extLst>
                        <a:ext uri="{FF2B5EF4-FFF2-40B4-BE49-F238E27FC236}">
                          <a16:creationId xmlns:a16="http://schemas.microsoft.com/office/drawing/2014/main" id="{00000000-0008-0000-0900-00002E070000}"/>
                        </a:ext>
                      </a:extLst>
                    </xdr:cNvPr>
                    <xdr:cNvSpPr>
                      <a:spLocks noChangeShapeType="1"/>
                    </xdr:cNvSpPr>
                  </xdr:nvSpPr>
                  <xdr:spPr bwMode="auto">
                    <a:xfrm>
                      <a:off x="169" y="156"/>
                      <a:ext cx="0" cy="31"/>
                    </a:xfrm>
                    <a:prstGeom prst="line">
                      <a:avLst/>
                    </a:prstGeom>
                    <a:grpFill/>
                    <a:ln w="9525">
                      <a:solidFill>
                        <a:srgbClr val="000000"/>
                      </a:solidFill>
                      <a:round/>
                      <a:headEnd/>
                      <a:tailEnd/>
                    </a:ln>
                  </xdr:spPr>
                </xdr:sp>
              </xdr:grpSp>
              <xdr:sp macro="" textlink="">
                <xdr:nvSpPr>
                  <xdr:cNvPr id="1831" name="Text Box 1124">
                    <a:extLst>
                      <a:ext uri="{FF2B5EF4-FFF2-40B4-BE49-F238E27FC236}">
                        <a16:creationId xmlns:a16="http://schemas.microsoft.com/office/drawing/2014/main" id="{00000000-0008-0000-0900-000027070000}"/>
                      </a:ext>
                    </a:extLst>
                  </xdr:cNvPr>
                  <xdr:cNvSpPr txBox="1">
                    <a:spLocks noChangeArrowheads="1"/>
                  </xdr:cNvSpPr>
                </xdr:nvSpPr>
                <xdr:spPr bwMode="auto">
                  <a:xfrm>
                    <a:off x="146" y="41"/>
                    <a:ext cx="23" cy="24"/>
                  </a:xfrm>
                  <a:prstGeom prst="rect">
                    <a:avLst/>
                  </a:prstGeom>
                  <a:grpFill/>
                  <a:ln w="9525">
                    <a:noFill/>
                    <a:miter lim="800000"/>
                    <a:headEnd/>
                    <a:tailEnd/>
                  </a:ln>
                </xdr:spPr>
              </xdr:sp>
              <xdr:sp macro="" textlink="">
                <xdr:nvSpPr>
                  <xdr:cNvPr id="1832" name="Text Box 1125">
                    <a:extLst>
                      <a:ext uri="{FF2B5EF4-FFF2-40B4-BE49-F238E27FC236}">
                        <a16:creationId xmlns:a16="http://schemas.microsoft.com/office/drawing/2014/main" id="{00000000-0008-0000-0900-000028070000}"/>
                      </a:ext>
                    </a:extLst>
                  </xdr:cNvPr>
                  <xdr:cNvSpPr txBox="1">
                    <a:spLocks noChangeArrowheads="1"/>
                  </xdr:cNvSpPr>
                </xdr:nvSpPr>
                <xdr:spPr bwMode="auto">
                  <a:xfrm>
                    <a:off x="147" y="171"/>
                    <a:ext cx="21" cy="12"/>
                  </a:xfrm>
                  <a:prstGeom prst="rect">
                    <a:avLst/>
                  </a:prstGeom>
                  <a:grpFill/>
                  <a:ln w="9525">
                    <a:noFill/>
                    <a:miter lim="800000"/>
                    <a:headEnd/>
                    <a:tailEnd/>
                  </a:ln>
                </xdr:spPr>
              </xdr:sp>
            </xdr:grpSp>
            <xdr:sp macro="" textlink="">
              <xdr:nvSpPr>
                <xdr:cNvPr id="1828" name="Line 1126">
                  <a:extLst>
                    <a:ext uri="{FF2B5EF4-FFF2-40B4-BE49-F238E27FC236}">
                      <a16:creationId xmlns:a16="http://schemas.microsoft.com/office/drawing/2014/main" id="{00000000-0008-0000-0900-000024070000}"/>
                    </a:ext>
                  </a:extLst>
                </xdr:cNvPr>
                <xdr:cNvSpPr>
                  <a:spLocks noChangeShapeType="1"/>
                </xdr:cNvSpPr>
              </xdr:nvSpPr>
              <xdr:spPr bwMode="auto">
                <a:xfrm>
                  <a:off x="154" y="39"/>
                  <a:ext cx="0" cy="30"/>
                </a:xfrm>
                <a:prstGeom prst="line">
                  <a:avLst/>
                </a:prstGeom>
                <a:grpFill/>
                <a:ln w="9525">
                  <a:solidFill>
                    <a:srgbClr val="000000"/>
                  </a:solidFill>
                  <a:round/>
                  <a:headEnd/>
                  <a:tailEnd/>
                </a:ln>
              </xdr:spPr>
            </xdr:sp>
            <xdr:sp macro="" textlink="">
              <xdr:nvSpPr>
                <xdr:cNvPr id="1829" name="Line 1127">
                  <a:extLst>
                    <a:ext uri="{FF2B5EF4-FFF2-40B4-BE49-F238E27FC236}">
                      <a16:creationId xmlns:a16="http://schemas.microsoft.com/office/drawing/2014/main" id="{00000000-0008-0000-0900-000025070000}"/>
                    </a:ext>
                  </a:extLst>
                </xdr:cNvPr>
                <xdr:cNvSpPr>
                  <a:spLocks noChangeShapeType="1"/>
                </xdr:cNvSpPr>
              </xdr:nvSpPr>
              <xdr:spPr bwMode="auto">
                <a:xfrm>
                  <a:off x="177" y="39"/>
                  <a:ext cx="0" cy="33"/>
                </a:xfrm>
                <a:prstGeom prst="line">
                  <a:avLst/>
                </a:prstGeom>
                <a:grpFill/>
                <a:ln w="9525">
                  <a:solidFill>
                    <a:srgbClr val="000000"/>
                  </a:solidFill>
                  <a:round/>
                  <a:headEnd/>
                  <a:tailEnd/>
                </a:ln>
              </xdr:spPr>
            </xdr:sp>
          </xdr:grpSp>
          <xdr:sp macro="" textlink="">
            <xdr:nvSpPr>
              <xdr:cNvPr id="1825" name="Rectangle 1128">
                <a:extLst>
                  <a:ext uri="{FF2B5EF4-FFF2-40B4-BE49-F238E27FC236}">
                    <a16:creationId xmlns:a16="http://schemas.microsoft.com/office/drawing/2014/main" id="{00000000-0008-0000-0900-000021070000}"/>
                  </a:ext>
                </a:extLst>
              </xdr:cNvPr>
              <xdr:cNvSpPr>
                <a:spLocks noChangeArrowheads="1"/>
              </xdr:cNvSpPr>
            </xdr:nvSpPr>
            <xdr:spPr bwMode="auto">
              <a:xfrm flipV="1">
                <a:off x="151" y="32"/>
                <a:ext cx="25" cy="3"/>
              </a:xfrm>
              <a:prstGeom prst="rect">
                <a:avLst/>
              </a:prstGeom>
              <a:grpFill/>
              <a:ln w="9525">
                <a:solidFill>
                  <a:srgbClr val="000000"/>
                </a:solidFill>
                <a:miter lim="800000"/>
                <a:headEnd/>
                <a:tailEnd/>
              </a:ln>
            </xdr:spPr>
          </xdr:sp>
          <xdr:sp macro="" textlink="">
            <xdr:nvSpPr>
              <xdr:cNvPr id="1826" name="Rectangle 1129">
                <a:extLst>
                  <a:ext uri="{FF2B5EF4-FFF2-40B4-BE49-F238E27FC236}">
                    <a16:creationId xmlns:a16="http://schemas.microsoft.com/office/drawing/2014/main" id="{00000000-0008-0000-0900-000022070000}"/>
                  </a:ext>
                </a:extLst>
              </xdr:cNvPr>
              <xdr:cNvSpPr>
                <a:spLocks noChangeArrowheads="1"/>
              </xdr:cNvSpPr>
            </xdr:nvSpPr>
            <xdr:spPr bwMode="auto">
              <a:xfrm flipV="1">
                <a:off x="151" y="175"/>
                <a:ext cx="25" cy="3"/>
              </a:xfrm>
              <a:prstGeom prst="rect">
                <a:avLst/>
              </a:prstGeom>
              <a:grpFill/>
              <a:ln w="9525">
                <a:solidFill>
                  <a:srgbClr val="000000"/>
                </a:solidFill>
                <a:miter lim="800000"/>
                <a:headEnd/>
                <a:tailEnd/>
              </a:ln>
            </xdr:spPr>
          </xdr:sp>
        </xdr:grpSp>
        <xdr:sp macro="" textlink="">
          <xdr:nvSpPr>
            <xdr:cNvPr id="1816" name="Line 1130">
              <a:extLst>
                <a:ext uri="{FF2B5EF4-FFF2-40B4-BE49-F238E27FC236}">
                  <a16:creationId xmlns:a16="http://schemas.microsoft.com/office/drawing/2014/main" id="{00000000-0008-0000-0900-000018070000}"/>
                </a:ext>
              </a:extLst>
            </xdr:cNvPr>
            <xdr:cNvSpPr>
              <a:spLocks noChangeShapeType="1"/>
            </xdr:cNvSpPr>
          </xdr:nvSpPr>
          <xdr:spPr bwMode="auto">
            <a:xfrm>
              <a:off x="152" y="166"/>
              <a:ext cx="23" cy="0"/>
            </a:xfrm>
            <a:prstGeom prst="line">
              <a:avLst/>
            </a:prstGeom>
            <a:grpFill/>
            <a:ln w="9525">
              <a:solidFill>
                <a:srgbClr val="000000"/>
              </a:solidFill>
              <a:prstDash val="dashDot"/>
              <a:round/>
              <a:headEnd/>
              <a:tailEnd/>
            </a:ln>
          </xdr:spPr>
        </xdr:sp>
        <xdr:sp macro="" textlink="">
          <xdr:nvSpPr>
            <xdr:cNvPr id="1817" name="Line 1131">
              <a:extLst>
                <a:ext uri="{FF2B5EF4-FFF2-40B4-BE49-F238E27FC236}">
                  <a16:creationId xmlns:a16="http://schemas.microsoft.com/office/drawing/2014/main" id="{00000000-0008-0000-0900-000019070000}"/>
                </a:ext>
              </a:extLst>
            </xdr:cNvPr>
            <xdr:cNvSpPr>
              <a:spLocks noChangeShapeType="1"/>
            </xdr:cNvSpPr>
          </xdr:nvSpPr>
          <xdr:spPr bwMode="auto">
            <a:xfrm flipV="1">
              <a:off x="153" y="59"/>
              <a:ext cx="22" cy="0"/>
            </a:xfrm>
            <a:prstGeom prst="line">
              <a:avLst/>
            </a:prstGeom>
            <a:grpFill/>
            <a:ln w="9525">
              <a:solidFill>
                <a:srgbClr val="000000"/>
              </a:solidFill>
              <a:prstDash val="dash"/>
              <a:round/>
              <a:headEnd/>
              <a:tailEnd/>
            </a:ln>
          </xdr:spPr>
        </xdr:sp>
        <xdr:sp macro="" textlink="">
          <xdr:nvSpPr>
            <xdr:cNvPr id="1818" name="Line 1132">
              <a:extLst>
                <a:ext uri="{FF2B5EF4-FFF2-40B4-BE49-F238E27FC236}">
                  <a16:creationId xmlns:a16="http://schemas.microsoft.com/office/drawing/2014/main" id="{00000000-0008-0000-0900-00001A070000}"/>
                </a:ext>
              </a:extLst>
            </xdr:cNvPr>
            <xdr:cNvSpPr>
              <a:spLocks noChangeShapeType="1"/>
            </xdr:cNvSpPr>
          </xdr:nvSpPr>
          <xdr:spPr bwMode="auto">
            <a:xfrm>
              <a:off x="152" y="70"/>
              <a:ext cx="22" cy="0"/>
            </a:xfrm>
            <a:prstGeom prst="line">
              <a:avLst/>
            </a:prstGeom>
            <a:grpFill/>
            <a:ln w="9525">
              <a:solidFill>
                <a:srgbClr val="000000"/>
              </a:solidFill>
              <a:prstDash val="dash"/>
              <a:round/>
              <a:headEnd/>
              <a:tailEnd/>
            </a:ln>
          </xdr:spPr>
        </xdr:sp>
        <xdr:sp macro="" textlink="">
          <xdr:nvSpPr>
            <xdr:cNvPr id="1819" name="Line 1133">
              <a:extLst>
                <a:ext uri="{FF2B5EF4-FFF2-40B4-BE49-F238E27FC236}">
                  <a16:creationId xmlns:a16="http://schemas.microsoft.com/office/drawing/2014/main" id="{00000000-0008-0000-0900-00001B070000}"/>
                </a:ext>
              </a:extLst>
            </xdr:cNvPr>
            <xdr:cNvSpPr>
              <a:spLocks noChangeShapeType="1"/>
            </xdr:cNvSpPr>
          </xdr:nvSpPr>
          <xdr:spPr bwMode="auto">
            <a:xfrm>
              <a:off x="153" y="109"/>
              <a:ext cx="22" cy="0"/>
            </a:xfrm>
            <a:prstGeom prst="line">
              <a:avLst/>
            </a:prstGeom>
            <a:grpFill/>
            <a:ln w="9525">
              <a:solidFill>
                <a:srgbClr val="000000"/>
              </a:solidFill>
              <a:prstDash val="dash"/>
              <a:round/>
              <a:headEnd/>
              <a:tailEnd/>
            </a:ln>
          </xdr:spPr>
        </xdr:sp>
        <xdr:sp macro="" textlink="">
          <xdr:nvSpPr>
            <xdr:cNvPr id="1820" name="Line 1134">
              <a:extLst>
                <a:ext uri="{FF2B5EF4-FFF2-40B4-BE49-F238E27FC236}">
                  <a16:creationId xmlns:a16="http://schemas.microsoft.com/office/drawing/2014/main" id="{00000000-0008-0000-0900-00001C070000}"/>
                </a:ext>
              </a:extLst>
            </xdr:cNvPr>
            <xdr:cNvSpPr>
              <a:spLocks noChangeShapeType="1"/>
            </xdr:cNvSpPr>
          </xdr:nvSpPr>
          <xdr:spPr bwMode="auto">
            <a:xfrm>
              <a:off x="153" y="82"/>
              <a:ext cx="22" cy="0"/>
            </a:xfrm>
            <a:prstGeom prst="line">
              <a:avLst/>
            </a:prstGeom>
            <a:grpFill/>
            <a:ln w="9525">
              <a:solidFill>
                <a:srgbClr val="000000"/>
              </a:solidFill>
              <a:prstDash val="dash"/>
              <a:round/>
              <a:headEnd/>
              <a:tailEnd/>
            </a:ln>
          </xdr:spPr>
        </xdr:sp>
        <xdr:sp macro="" textlink="">
          <xdr:nvSpPr>
            <xdr:cNvPr id="1821" name="Line 1135">
              <a:extLst>
                <a:ext uri="{FF2B5EF4-FFF2-40B4-BE49-F238E27FC236}">
                  <a16:creationId xmlns:a16="http://schemas.microsoft.com/office/drawing/2014/main" id="{00000000-0008-0000-0900-00001D070000}"/>
                </a:ext>
              </a:extLst>
            </xdr:cNvPr>
            <xdr:cNvSpPr>
              <a:spLocks noChangeShapeType="1"/>
            </xdr:cNvSpPr>
          </xdr:nvSpPr>
          <xdr:spPr bwMode="auto">
            <a:xfrm>
              <a:off x="153" y="137"/>
              <a:ext cx="22" cy="0"/>
            </a:xfrm>
            <a:prstGeom prst="line">
              <a:avLst/>
            </a:prstGeom>
            <a:grpFill/>
            <a:ln w="9525">
              <a:solidFill>
                <a:srgbClr val="000000"/>
              </a:solidFill>
              <a:prstDash val="dashDot"/>
              <a:round/>
              <a:headEnd/>
              <a:tailEnd/>
            </a:ln>
          </xdr:spPr>
        </xdr:sp>
        <xdr:sp macro="" textlink="">
          <xdr:nvSpPr>
            <xdr:cNvPr id="1822" name="Line 1136">
              <a:extLst>
                <a:ext uri="{FF2B5EF4-FFF2-40B4-BE49-F238E27FC236}">
                  <a16:creationId xmlns:a16="http://schemas.microsoft.com/office/drawing/2014/main" id="{00000000-0008-0000-0900-00001E070000}"/>
                </a:ext>
              </a:extLst>
            </xdr:cNvPr>
            <xdr:cNvSpPr>
              <a:spLocks noChangeShapeType="1"/>
            </xdr:cNvSpPr>
          </xdr:nvSpPr>
          <xdr:spPr bwMode="auto">
            <a:xfrm>
              <a:off x="152" y="96"/>
              <a:ext cx="22" cy="0"/>
            </a:xfrm>
            <a:prstGeom prst="line">
              <a:avLst/>
            </a:prstGeom>
            <a:grpFill/>
            <a:ln w="9525">
              <a:solidFill>
                <a:srgbClr val="000000"/>
              </a:solidFill>
              <a:prstDash val="dash"/>
              <a:round/>
              <a:headEnd/>
              <a:tailEnd/>
            </a:ln>
          </xdr:spPr>
        </xdr:sp>
        <xdr:sp macro="" textlink="">
          <xdr:nvSpPr>
            <xdr:cNvPr id="1823" name="Line 1137">
              <a:extLst>
                <a:ext uri="{FF2B5EF4-FFF2-40B4-BE49-F238E27FC236}">
                  <a16:creationId xmlns:a16="http://schemas.microsoft.com/office/drawing/2014/main" id="{00000000-0008-0000-0900-00001F070000}"/>
                </a:ext>
              </a:extLst>
            </xdr:cNvPr>
            <xdr:cNvSpPr>
              <a:spLocks noChangeShapeType="1"/>
            </xdr:cNvSpPr>
          </xdr:nvSpPr>
          <xdr:spPr bwMode="auto">
            <a:xfrm>
              <a:off x="152" y="124"/>
              <a:ext cx="23" cy="0"/>
            </a:xfrm>
            <a:prstGeom prst="line">
              <a:avLst/>
            </a:prstGeom>
            <a:grpFill/>
            <a:ln w="9525">
              <a:solidFill>
                <a:srgbClr val="000000"/>
              </a:solidFill>
              <a:prstDash val="dashDot"/>
              <a:round/>
              <a:headEnd/>
              <a:tailEnd/>
            </a:ln>
          </xdr:spPr>
        </xdr:sp>
      </xdr:grpSp>
      <xdr:sp macro="" textlink="">
        <xdr:nvSpPr>
          <xdr:cNvPr id="1814" name="TextBox 1813">
            <a:extLst>
              <a:ext uri="{FF2B5EF4-FFF2-40B4-BE49-F238E27FC236}">
                <a16:creationId xmlns:a16="http://schemas.microsoft.com/office/drawing/2014/main" id="{00000000-0008-0000-0900-000016070000}"/>
              </a:ext>
            </a:extLst>
          </xdr:cNvPr>
          <xdr:cNvSpPr txBox="1"/>
        </xdr:nvSpPr>
        <xdr:spPr>
          <a:xfrm>
            <a:off x="22193251" y="21431252"/>
            <a:ext cx="1119188" cy="404811"/>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rtl="0" eaLnBrk="1" fontAlgn="auto" latinLnBrk="0" hangingPunct="1">
              <a:lnSpc>
                <a:spcPct val="100000"/>
              </a:lnSpc>
              <a:spcBef>
                <a:spcPts val="0"/>
              </a:spcBef>
              <a:spcAft>
                <a:spcPts val="0"/>
              </a:spcAft>
              <a:buClrTx/>
              <a:buSzTx/>
              <a:buFontTx/>
              <a:buNone/>
              <a:tabLst/>
              <a:defRPr/>
            </a:pPr>
            <a:r>
              <a:rPr lang="en-US" sz="1100" b="1" i="0">
                <a:solidFill>
                  <a:schemeClr val="dk1"/>
                </a:solidFill>
                <a:latin typeface="+mn-lt"/>
                <a:ea typeface="+mn-ea"/>
                <a:cs typeface="+mn-cs"/>
              </a:rPr>
              <a:t>Atmospheric Tower</a:t>
            </a:r>
            <a:endParaRPr lang="en-CA"/>
          </a:p>
          <a:p>
            <a:endParaRPr lang="en-CA" sz="1100"/>
          </a:p>
        </xdr:txBody>
      </xdr:sp>
    </xdr:grpSp>
    <xdr:clientData/>
  </xdr:twoCellAnchor>
  <xdr:twoCellAnchor>
    <xdr:from>
      <xdr:col>14</xdr:col>
      <xdr:colOff>202504</xdr:colOff>
      <xdr:row>107</xdr:row>
      <xdr:rowOff>67236</xdr:rowOff>
    </xdr:from>
    <xdr:to>
      <xdr:col>17</xdr:col>
      <xdr:colOff>464441</xdr:colOff>
      <xdr:row>124</xdr:row>
      <xdr:rowOff>9805</xdr:rowOff>
    </xdr:to>
    <xdr:grpSp>
      <xdr:nvGrpSpPr>
        <xdr:cNvPr id="1839" name="Group 1838">
          <a:hlinkClick xmlns:r="http://schemas.openxmlformats.org/officeDocument/2006/relationships" r:id="rId18"/>
          <a:extLst>
            <a:ext uri="{FF2B5EF4-FFF2-40B4-BE49-F238E27FC236}">
              <a16:creationId xmlns:a16="http://schemas.microsoft.com/office/drawing/2014/main" id="{00000000-0008-0000-0900-00002F070000}"/>
            </a:ext>
          </a:extLst>
        </xdr:cNvPr>
        <xdr:cNvGrpSpPr>
          <a:grpSpLocks/>
        </xdr:cNvGrpSpPr>
      </xdr:nvGrpSpPr>
      <xdr:grpSpPr bwMode="auto">
        <a:xfrm>
          <a:off x="11563231" y="19983145"/>
          <a:ext cx="2998210" cy="2609569"/>
          <a:chOff x="336" y="2220"/>
          <a:chExt cx="528" cy="996"/>
        </a:xfr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xdr:grpSpPr>
      <xdr:sp macro="" textlink="">
        <xdr:nvSpPr>
          <xdr:cNvPr id="1840" name="Rectangle 1839">
            <a:extLst>
              <a:ext uri="{FF2B5EF4-FFF2-40B4-BE49-F238E27FC236}">
                <a16:creationId xmlns:a16="http://schemas.microsoft.com/office/drawing/2014/main" id="{00000000-0008-0000-0900-000030070000}"/>
              </a:ext>
            </a:extLst>
          </xdr:cNvPr>
          <xdr:cNvSpPr>
            <a:spLocks noChangeArrowheads="1"/>
          </xdr:cNvSpPr>
        </xdr:nvSpPr>
        <xdr:spPr bwMode="auto">
          <a:xfrm>
            <a:off x="336" y="2784"/>
            <a:ext cx="528" cy="432"/>
          </a:xfrm>
          <a:prstGeom prst="rect">
            <a:avLst/>
          </a:prstGeom>
          <a:grp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841" name="AutoShape 28">
            <a:extLst>
              <a:ext uri="{FF2B5EF4-FFF2-40B4-BE49-F238E27FC236}">
                <a16:creationId xmlns:a16="http://schemas.microsoft.com/office/drawing/2014/main" id="{00000000-0008-0000-0900-000031070000}"/>
              </a:ext>
            </a:extLst>
          </xdr:cNvPr>
          <xdr:cNvSpPr>
            <a:spLocks noChangeArrowheads="1"/>
          </xdr:cNvSpPr>
        </xdr:nvSpPr>
        <xdr:spPr bwMode="auto">
          <a:xfrm>
            <a:off x="336" y="2256"/>
            <a:ext cx="528" cy="528"/>
          </a:xfrm>
          <a:prstGeom prst="triangle">
            <a:avLst>
              <a:gd name="adj" fmla="val 50000"/>
            </a:avLst>
          </a:prstGeom>
          <a:grp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842" name="Rectangle 1841">
            <a:extLst>
              <a:ext uri="{FF2B5EF4-FFF2-40B4-BE49-F238E27FC236}">
                <a16:creationId xmlns:a16="http://schemas.microsoft.com/office/drawing/2014/main" id="{00000000-0008-0000-0900-000032070000}"/>
              </a:ext>
            </a:extLst>
          </xdr:cNvPr>
          <xdr:cNvSpPr>
            <a:spLocks noChangeArrowheads="1"/>
          </xdr:cNvSpPr>
        </xdr:nvSpPr>
        <xdr:spPr bwMode="auto">
          <a:xfrm>
            <a:off x="504" y="2220"/>
            <a:ext cx="192" cy="240"/>
          </a:xfrm>
          <a:prstGeom prst="rect">
            <a:avLst/>
          </a:prstGeom>
          <a:gradFill>
            <a:gsLst>
              <a:gs pos="0">
                <a:srgbClr val="7030A0"/>
              </a:gs>
              <a:gs pos="30000">
                <a:srgbClr val="66008F"/>
              </a:gs>
              <a:gs pos="64999">
                <a:srgbClr val="7030A0">
                  <a:alpha val="43000"/>
                </a:srgbClr>
              </a:gs>
              <a:gs pos="89999">
                <a:srgbClr val="7030A0"/>
              </a:gs>
              <a:gs pos="100000">
                <a:srgbClr val="46466A"/>
              </a:gs>
            </a:gsLst>
            <a:lin ang="5400000" scaled="0"/>
          </a:grad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clientData/>
  </xdr:twoCellAnchor>
  <xdr:twoCellAnchor>
    <xdr:from>
      <xdr:col>91</xdr:col>
      <xdr:colOff>3203</xdr:colOff>
      <xdr:row>73</xdr:row>
      <xdr:rowOff>157344</xdr:rowOff>
    </xdr:from>
    <xdr:to>
      <xdr:col>91</xdr:col>
      <xdr:colOff>622403</xdr:colOff>
      <xdr:row>79</xdr:row>
      <xdr:rowOff>56029</xdr:rowOff>
    </xdr:to>
    <xdr:sp macro="" textlink="">
      <xdr:nvSpPr>
        <xdr:cNvPr id="1843" name="Right Arrow 1842" descr="4ba89b06-8bc6-41bc-9d5c-d0d9c2951e2c">
          <a:extLst>
            <a:ext uri="{FF2B5EF4-FFF2-40B4-BE49-F238E27FC236}">
              <a16:creationId xmlns:a16="http://schemas.microsoft.com/office/drawing/2014/main" id="{00000000-0008-0000-0900-000033070000}"/>
            </a:ext>
          </a:extLst>
        </xdr:cNvPr>
        <xdr:cNvSpPr/>
      </xdr:nvSpPr>
      <xdr:spPr bwMode="auto">
        <a:xfrm rot="16200000">
          <a:off x="81774996" y="11580873"/>
          <a:ext cx="878399"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FF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DHT RFG</a:t>
          </a:r>
          <a:endParaRPr lang="en-CA" sz="800"/>
        </a:p>
      </xdr:txBody>
    </xdr:sp>
    <xdr:clientData/>
  </xdr:twoCellAnchor>
  <xdr:twoCellAnchor>
    <xdr:from>
      <xdr:col>69</xdr:col>
      <xdr:colOff>35807</xdr:colOff>
      <xdr:row>11</xdr:row>
      <xdr:rowOff>35000</xdr:rowOff>
    </xdr:from>
    <xdr:to>
      <xdr:col>69</xdr:col>
      <xdr:colOff>656054</xdr:colOff>
      <xdr:row>16</xdr:row>
      <xdr:rowOff>95831</xdr:rowOff>
    </xdr:to>
    <xdr:sp macro="" textlink="">
      <xdr:nvSpPr>
        <xdr:cNvPr id="1844" name="Right Arrow 1843" descr="ce9a55b5-beca-47b5-8548-e7a2eac2c5c2">
          <a:extLst>
            <a:ext uri="{FF2B5EF4-FFF2-40B4-BE49-F238E27FC236}">
              <a16:creationId xmlns:a16="http://schemas.microsoft.com/office/drawing/2014/main" id="{00000000-0008-0000-0900-000034070000}"/>
            </a:ext>
          </a:extLst>
        </xdr:cNvPr>
        <xdr:cNvSpPr/>
      </xdr:nvSpPr>
      <xdr:spPr bwMode="auto">
        <a:xfrm rot="16200000">
          <a:off x="60626083" y="1270633"/>
          <a:ext cx="840149" cy="620247"/>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FF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ISOM RFG</a:t>
          </a:r>
          <a:endParaRPr lang="en-CA" sz="800"/>
        </a:p>
      </xdr:txBody>
    </xdr:sp>
    <xdr:clientData/>
  </xdr:twoCellAnchor>
  <xdr:twoCellAnchor>
    <xdr:from>
      <xdr:col>69</xdr:col>
      <xdr:colOff>89489</xdr:colOff>
      <xdr:row>31</xdr:row>
      <xdr:rowOff>156544</xdr:rowOff>
    </xdr:from>
    <xdr:to>
      <xdr:col>69</xdr:col>
      <xdr:colOff>708689</xdr:colOff>
      <xdr:row>37</xdr:row>
      <xdr:rowOff>55230</xdr:rowOff>
    </xdr:to>
    <xdr:sp macro="" textlink="">
      <xdr:nvSpPr>
        <xdr:cNvPr id="1845" name="Right Arrow 1844" descr="8d21625a-46c6-4cbe-8e26-eb28ae465fad">
          <a:extLst>
            <a:ext uri="{FF2B5EF4-FFF2-40B4-BE49-F238E27FC236}">
              <a16:creationId xmlns:a16="http://schemas.microsoft.com/office/drawing/2014/main" id="{00000000-0008-0000-0900-000035070000}"/>
            </a:ext>
          </a:extLst>
        </xdr:cNvPr>
        <xdr:cNvSpPr/>
      </xdr:nvSpPr>
      <xdr:spPr bwMode="auto">
        <a:xfrm rot="16200000">
          <a:off x="60824639" y="4722073"/>
          <a:ext cx="878400"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FF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REF RFG</a:t>
          </a:r>
          <a:endParaRPr lang="en-CA" sz="800"/>
        </a:p>
      </xdr:txBody>
    </xdr:sp>
    <xdr:clientData/>
  </xdr:twoCellAnchor>
  <xdr:twoCellAnchor>
    <xdr:from>
      <xdr:col>83</xdr:col>
      <xdr:colOff>98335</xdr:colOff>
      <xdr:row>267</xdr:row>
      <xdr:rowOff>38099</xdr:rowOff>
    </xdr:from>
    <xdr:to>
      <xdr:col>104</xdr:col>
      <xdr:colOff>519842</xdr:colOff>
      <xdr:row>291</xdr:row>
      <xdr:rowOff>155863</xdr:rowOff>
    </xdr:to>
    <xdr:cxnSp macro="">
      <xdr:nvCxnSpPr>
        <xdr:cNvPr id="1851" name="AutoShape 147" descr="d75cc80f-f4fb-4bac-9fde-e8012f1d8baf">
          <a:extLst>
            <a:ext uri="{FF2B5EF4-FFF2-40B4-BE49-F238E27FC236}">
              <a16:creationId xmlns:a16="http://schemas.microsoft.com/office/drawing/2014/main" id="{00000000-0008-0000-0900-00003B070000}"/>
            </a:ext>
          </a:extLst>
        </xdr:cNvPr>
        <xdr:cNvCxnSpPr>
          <a:cxnSpLocks noChangeShapeType="1"/>
          <a:stCxn id="688" idx="2"/>
          <a:endCxn id="1720" idx="0"/>
        </xdr:cNvCxnSpPr>
      </xdr:nvCxnSpPr>
      <xdr:spPr bwMode="auto">
        <a:xfrm rot="16200000" flipH="1">
          <a:off x="82840616" y="35024818"/>
          <a:ext cx="3858491" cy="20579871"/>
        </a:xfrm>
        <a:prstGeom prst="bentConnector3">
          <a:avLst>
            <a:gd name="adj1" fmla="val 50000"/>
          </a:avLst>
        </a:prstGeom>
        <a:noFill/>
        <a:ln w="25400">
          <a:solidFill>
            <a:schemeClr val="accent3">
              <a:lumMod val="75000"/>
            </a:schemeClr>
          </a:solidFill>
          <a:miter lim="800000"/>
          <a:headEnd/>
          <a:tailEnd type="triangle" w="med" len="med"/>
        </a:ln>
      </xdr:spPr>
    </xdr:cxnSp>
    <xdr:clientData/>
  </xdr:twoCellAnchor>
  <xdr:twoCellAnchor>
    <xdr:from>
      <xdr:col>31</xdr:col>
      <xdr:colOff>225137</xdr:colOff>
      <xdr:row>242</xdr:row>
      <xdr:rowOff>-1</xdr:rowOff>
    </xdr:from>
    <xdr:to>
      <xdr:col>32</xdr:col>
      <xdr:colOff>543137</xdr:colOff>
      <xdr:row>247</xdr:row>
      <xdr:rowOff>127499</xdr:rowOff>
    </xdr:to>
    <xdr:sp macro="" textlink="">
      <xdr:nvSpPr>
        <xdr:cNvPr id="1995" name="Flowchart: Or 1994" descr="76b38ddb-ddff-4078-85c2-e58fcebde854">
          <a:extLst>
            <a:ext uri="{FF2B5EF4-FFF2-40B4-BE49-F238E27FC236}">
              <a16:creationId xmlns:a16="http://schemas.microsoft.com/office/drawing/2014/main" id="{00000000-0008-0000-0900-0000CB070000}"/>
            </a:ext>
          </a:extLst>
        </xdr:cNvPr>
        <xdr:cNvSpPr/>
      </xdr:nvSpPr>
      <xdr:spPr bwMode="auto">
        <a:xfrm>
          <a:off x="26209337" y="39090599"/>
          <a:ext cx="1080000" cy="889500"/>
        </a:xfrm>
        <a:prstGeom prst="flowChartOr">
          <a:avLst/>
        </a:prstGeom>
        <a:noFill/>
        <a:ln w="25400" cap="flat" cmpd="sng" algn="ctr">
          <a:solidFill>
            <a:schemeClr val="accent3">
              <a:lumMod val="75000"/>
            </a:schemeClr>
          </a:solidFill>
          <a:prstDash val="solid"/>
          <a:round/>
          <a:headEnd type="none" w="med" len="med"/>
          <a:tailEnd type="triangle" w="med" len="med"/>
        </a:ln>
        <a:effectLst/>
      </xdr:spPr>
      <xdr:txBody>
        <a:bodyPr vertOverflow="clip" wrap="square" lIns="18288" tIns="0" rIns="0" bIns="0" rtlCol="0" anchor="ctr" upright="1"/>
        <a:lstStyle/>
        <a:p>
          <a:pPr algn="ctr"/>
          <a:r>
            <a:rPr lang="en-CA" sz="1400"/>
            <a:t>VR</a:t>
          </a:r>
          <a:r>
            <a:rPr lang="en-CA" sz="1400" baseline="0"/>
            <a:t> </a:t>
          </a:r>
          <a:r>
            <a:rPr lang="en-CA" sz="1400"/>
            <a:t>FLOW SPLITTER</a:t>
          </a:r>
        </a:p>
      </xdr:txBody>
    </xdr:sp>
    <xdr:clientData/>
  </xdr:twoCellAnchor>
  <xdr:twoCellAnchor>
    <xdr:from>
      <xdr:col>32</xdr:col>
      <xdr:colOff>3137</xdr:colOff>
      <xdr:row>247</xdr:row>
      <xdr:rowOff>127499</xdr:rowOff>
    </xdr:from>
    <xdr:to>
      <xdr:col>104</xdr:col>
      <xdr:colOff>190501</xdr:colOff>
      <xdr:row>291</xdr:row>
      <xdr:rowOff>-1</xdr:rowOff>
    </xdr:to>
    <xdr:cxnSp macro="">
      <xdr:nvCxnSpPr>
        <xdr:cNvPr id="2001" name="AutoShape 153" descr="cf9c1541-5cb9-45f0-ba80-e95f47514994">
          <a:extLst>
            <a:ext uri="{FF2B5EF4-FFF2-40B4-BE49-F238E27FC236}">
              <a16:creationId xmlns:a16="http://schemas.microsoft.com/office/drawing/2014/main" id="{00000000-0008-0000-0900-0000D1070000}"/>
            </a:ext>
          </a:extLst>
        </xdr:cNvPr>
        <xdr:cNvCxnSpPr>
          <a:cxnSpLocks noChangeShapeType="1"/>
          <a:stCxn id="1995" idx="4"/>
        </xdr:cNvCxnSpPr>
      </xdr:nvCxnSpPr>
      <xdr:spPr bwMode="auto">
        <a:xfrm rot="16200000" flipH="1">
          <a:off x="57863019" y="8866417"/>
          <a:ext cx="6578100" cy="68805464"/>
        </a:xfrm>
        <a:prstGeom prst="bentConnector2">
          <a:avLst/>
        </a:prstGeom>
        <a:noFill/>
        <a:ln w="25400">
          <a:solidFill>
            <a:schemeClr val="accent3">
              <a:lumMod val="75000"/>
            </a:schemeClr>
          </a:solidFill>
          <a:miter lim="800000"/>
          <a:headEnd/>
          <a:tailEnd type="triangle" w="med" len="med"/>
        </a:ln>
      </xdr:spPr>
    </xdr:cxnSp>
    <xdr:clientData/>
  </xdr:twoCellAnchor>
  <xdr:twoCellAnchor>
    <xdr:from>
      <xdr:col>2</xdr:col>
      <xdr:colOff>65199</xdr:colOff>
      <xdr:row>120</xdr:row>
      <xdr:rowOff>74725</xdr:rowOff>
    </xdr:from>
    <xdr:to>
      <xdr:col>5</xdr:col>
      <xdr:colOff>520363</xdr:colOff>
      <xdr:row>120</xdr:row>
      <xdr:rowOff>74725</xdr:rowOff>
    </xdr:to>
    <xdr:cxnSp macro="">
      <xdr:nvCxnSpPr>
        <xdr:cNvPr id="2139" name="AutoShape 4" descr="2acf0051-b4e9-48aa-98ed-acb717810154">
          <a:extLst>
            <a:ext uri="{FF2B5EF4-FFF2-40B4-BE49-F238E27FC236}">
              <a16:creationId xmlns:a16="http://schemas.microsoft.com/office/drawing/2014/main" id="{00000000-0008-0000-0900-00005B080000}"/>
            </a:ext>
          </a:extLst>
        </xdr:cNvPr>
        <xdr:cNvCxnSpPr>
          <a:cxnSpLocks noChangeShapeType="1"/>
        </xdr:cNvCxnSpPr>
      </xdr:nvCxnSpPr>
      <xdr:spPr bwMode="auto">
        <a:xfrm>
          <a:off x="775244" y="21739770"/>
          <a:ext cx="3451210" cy="0"/>
        </a:xfrm>
        <a:prstGeom prst="straightConnector1">
          <a:avLst/>
        </a:prstGeom>
        <a:noFill/>
        <a:ln w="25400">
          <a:solidFill>
            <a:srgbClr val="000000"/>
          </a:solidFill>
          <a:round/>
          <a:headEnd/>
          <a:tailEnd type="triangle" w="med" len="med"/>
        </a:ln>
      </xdr:spPr>
    </xdr:cxnSp>
    <xdr:clientData/>
  </xdr:twoCellAnchor>
  <xdr:twoCellAnchor>
    <xdr:from>
      <xdr:col>63</xdr:col>
      <xdr:colOff>938891</xdr:colOff>
      <xdr:row>113</xdr:row>
      <xdr:rowOff>68036</xdr:rowOff>
    </xdr:from>
    <xdr:to>
      <xdr:col>67</xdr:col>
      <xdr:colOff>244927</xdr:colOff>
      <xdr:row>136</xdr:row>
      <xdr:rowOff>27215</xdr:rowOff>
    </xdr:to>
    <xdr:sp macro="" textlink="">
      <xdr:nvSpPr>
        <xdr:cNvPr id="406" name="AutoShape 30" descr="f9c14d6c-3358-472e-9334-590415df5a18">
          <a:hlinkClick xmlns:r="http://schemas.openxmlformats.org/officeDocument/2006/relationships" r:id="rId19"/>
          <a:extLst>
            <a:ext uri="{FF2B5EF4-FFF2-40B4-BE49-F238E27FC236}">
              <a16:creationId xmlns:a16="http://schemas.microsoft.com/office/drawing/2014/main" id="{00000000-0008-0000-0900-000096010000}"/>
            </a:ext>
          </a:extLst>
        </xdr:cNvPr>
        <xdr:cNvSpPr>
          <a:spLocks noChangeArrowheads="1"/>
        </xdr:cNvSpPr>
      </xdr:nvSpPr>
      <xdr:spPr bwMode="auto">
        <a:xfrm>
          <a:off x="55639605" y="17907000"/>
          <a:ext cx="3347358" cy="3973286"/>
        </a:xfrm>
        <a:prstGeom prst="roundRect">
          <a:avLst>
            <a:gd name="adj" fmla="val 18440"/>
          </a:avLst>
        </a:prstGeom>
        <a:gradFill flip="none" rotWithShape="1">
          <a:gsLst>
            <a:gs pos="0">
              <a:srgbClr val="DDEBCF">
                <a:alpha val="12000"/>
              </a:srgbClr>
            </a:gs>
            <a:gs pos="50000">
              <a:srgbClr val="9CB86E">
                <a:alpha val="66000"/>
              </a:srgbClr>
            </a:gs>
            <a:gs pos="100000">
              <a:srgbClr val="156B13"/>
            </a:gs>
          </a:gsLst>
          <a:lin ang="5400000" scaled="1"/>
          <a:tileRect/>
        </a:gradFill>
        <a:ln w="28575">
          <a:solidFill>
            <a:srgbClr val="000000"/>
          </a:solidFill>
          <a:round/>
          <a:headEnd/>
          <a:tailEnd/>
        </a:ln>
        <a:effectLst/>
      </xdr:spPr>
      <xdr:txBody>
        <a:bodyPr wrap="square" lIns="0" tIns="0" rIns="0" bIns="0" anchor="t" anchorCtr="0"/>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pPr algn="ctr"/>
          <a:r>
            <a:rPr lang="en-CA" b="1">
              <a:latin typeface="Arial" pitchFamily="34" charset="0"/>
              <a:cs typeface="Arial" pitchFamily="34" charset="0"/>
            </a:rPr>
            <a:t>Gas</a:t>
          </a:r>
          <a:r>
            <a:rPr lang="en-CA" b="1" baseline="0">
              <a:latin typeface="Arial" pitchFamily="34" charset="0"/>
              <a:cs typeface="Arial" pitchFamily="34" charset="0"/>
            </a:rPr>
            <a:t> Oil Hydrocracker</a:t>
          </a:r>
          <a:endParaRPr lang="en-CA" b="1">
            <a:latin typeface="Arial" pitchFamily="34" charset="0"/>
            <a:cs typeface="Arial" pitchFamily="34" charset="0"/>
          </a:endParaRPr>
        </a:p>
      </xdr:txBody>
    </xdr:sp>
    <xdr:clientData/>
  </xdr:twoCellAnchor>
  <xdr:twoCellAnchor>
    <xdr:from>
      <xdr:col>63</xdr:col>
      <xdr:colOff>938893</xdr:colOff>
      <xdr:row>117</xdr:row>
      <xdr:rowOff>108856</xdr:rowOff>
    </xdr:from>
    <xdr:to>
      <xdr:col>67</xdr:col>
      <xdr:colOff>258535</xdr:colOff>
      <xdr:row>132</xdr:row>
      <xdr:rowOff>95250</xdr:rowOff>
    </xdr:to>
    <xdr:grpSp>
      <xdr:nvGrpSpPr>
        <xdr:cNvPr id="419" name="Group 418">
          <a:extLst>
            <a:ext uri="{FF2B5EF4-FFF2-40B4-BE49-F238E27FC236}">
              <a16:creationId xmlns:a16="http://schemas.microsoft.com/office/drawing/2014/main" id="{00000000-0008-0000-0900-0000A3010000}"/>
            </a:ext>
          </a:extLst>
        </xdr:cNvPr>
        <xdr:cNvGrpSpPr/>
      </xdr:nvGrpSpPr>
      <xdr:grpSpPr>
        <a:xfrm>
          <a:off x="57517393" y="21600720"/>
          <a:ext cx="3354778" cy="2514848"/>
          <a:chOff x="55639607" y="18600963"/>
          <a:chExt cx="3360964" cy="2694216"/>
        </a:xfrm>
      </xdr:grpSpPr>
      <xdr:sp macro="" textlink="">
        <xdr:nvSpPr>
          <xdr:cNvPr id="412" name="Rectangle 411">
            <a:extLst>
              <a:ext uri="{FF2B5EF4-FFF2-40B4-BE49-F238E27FC236}">
                <a16:creationId xmlns:a16="http://schemas.microsoft.com/office/drawing/2014/main" id="{00000000-0008-0000-0900-00009C010000}"/>
              </a:ext>
            </a:extLst>
          </xdr:cNvPr>
          <xdr:cNvSpPr/>
        </xdr:nvSpPr>
        <xdr:spPr bwMode="auto">
          <a:xfrm>
            <a:off x="55639607" y="18614571"/>
            <a:ext cx="3347357" cy="2667000"/>
          </a:xfrm>
          <a:prstGeom prst="rect">
            <a:avLst/>
          </a:prstGeom>
          <a:noFill/>
          <a:ln w="25400" cap="flat" cmpd="thickThin"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cxnSp macro="">
        <xdr:nvCxnSpPr>
          <xdr:cNvPr id="414" name="Straight Connector 413">
            <a:extLst>
              <a:ext uri="{FF2B5EF4-FFF2-40B4-BE49-F238E27FC236}">
                <a16:creationId xmlns:a16="http://schemas.microsoft.com/office/drawing/2014/main" id="{00000000-0008-0000-0900-00009E010000}"/>
              </a:ext>
            </a:extLst>
          </xdr:cNvPr>
          <xdr:cNvCxnSpPr/>
        </xdr:nvCxnSpPr>
        <xdr:spPr bwMode="auto">
          <a:xfrm>
            <a:off x="55666821" y="18614571"/>
            <a:ext cx="3333750" cy="2680608"/>
          </a:xfrm>
          <a:prstGeom prst="line">
            <a:avLst/>
          </a:prstGeom>
          <a:ln w="22225">
            <a:headEnd type="none" w="med" len="med"/>
            <a:tailEnd type="none" w="med" len="med"/>
          </a:ln>
        </xdr:spPr>
        <xdr:style>
          <a:lnRef idx="1">
            <a:schemeClr val="dk1"/>
          </a:lnRef>
          <a:fillRef idx="0">
            <a:schemeClr val="dk1"/>
          </a:fillRef>
          <a:effectRef idx="0">
            <a:schemeClr val="dk1"/>
          </a:effectRef>
          <a:fontRef idx="minor">
            <a:schemeClr val="tx1"/>
          </a:fontRef>
        </xdr:style>
      </xdr:cxnSp>
      <xdr:cxnSp macro="">
        <xdr:nvCxnSpPr>
          <xdr:cNvPr id="416" name="Straight Connector 415">
            <a:extLst>
              <a:ext uri="{FF2B5EF4-FFF2-40B4-BE49-F238E27FC236}">
                <a16:creationId xmlns:a16="http://schemas.microsoft.com/office/drawing/2014/main" id="{00000000-0008-0000-0900-0000A0010000}"/>
              </a:ext>
            </a:extLst>
          </xdr:cNvPr>
          <xdr:cNvCxnSpPr/>
        </xdr:nvCxnSpPr>
        <xdr:spPr bwMode="auto">
          <a:xfrm rot="10800000" flipV="1">
            <a:off x="55653214" y="18600963"/>
            <a:ext cx="3333750" cy="2653393"/>
          </a:xfrm>
          <a:prstGeom prst="line">
            <a:avLst/>
          </a:prstGeom>
          <a:solidFill>
            <a:srgbClr val="FFFFFF"/>
          </a:solidFill>
          <a:ln w="25400" cap="flat" cmpd="sng" algn="ctr">
            <a:solidFill>
              <a:srgbClr val="000000"/>
            </a:solidFill>
            <a:prstDash val="solid"/>
            <a:round/>
            <a:headEnd type="none" w="med" len="med"/>
            <a:tailEnd type="none" w="med" len="med"/>
          </a:ln>
          <a:effectLst/>
        </xdr:spPr>
      </xdr:cxnSp>
    </xdr:grpSp>
    <xdr:clientData/>
  </xdr:twoCellAnchor>
  <xdr:oneCellAnchor>
    <xdr:from>
      <xdr:col>66</xdr:col>
      <xdr:colOff>1020535</xdr:colOff>
      <xdr:row>104</xdr:row>
      <xdr:rowOff>81643</xdr:rowOff>
    </xdr:from>
    <xdr:ext cx="184731" cy="264560"/>
    <xdr:sp macro="" textlink="">
      <xdr:nvSpPr>
        <xdr:cNvPr id="426" name="TextBox 425">
          <a:extLst>
            <a:ext uri="{FF2B5EF4-FFF2-40B4-BE49-F238E27FC236}">
              <a16:creationId xmlns:a16="http://schemas.microsoft.com/office/drawing/2014/main" id="{00000000-0008-0000-0900-0000AA010000}"/>
            </a:ext>
          </a:extLst>
        </xdr:cNvPr>
        <xdr:cNvSpPr txBox="1"/>
      </xdr:nvSpPr>
      <xdr:spPr>
        <a:xfrm>
          <a:off x="58701214" y="164374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CA" sz="1100"/>
        </a:p>
      </xdr:txBody>
    </xdr:sp>
    <xdr:clientData/>
  </xdr:oneCellAnchor>
  <xdr:twoCellAnchor>
    <xdr:from>
      <xdr:col>84</xdr:col>
      <xdr:colOff>293833</xdr:colOff>
      <xdr:row>98</xdr:row>
      <xdr:rowOff>102791</xdr:rowOff>
    </xdr:from>
    <xdr:to>
      <xdr:col>92</xdr:col>
      <xdr:colOff>342970</xdr:colOff>
      <xdr:row>253</xdr:row>
      <xdr:rowOff>57988</xdr:rowOff>
    </xdr:to>
    <xdr:grpSp>
      <xdr:nvGrpSpPr>
        <xdr:cNvPr id="484" name="Group 483">
          <a:extLst>
            <a:ext uri="{FF2B5EF4-FFF2-40B4-BE49-F238E27FC236}">
              <a16:creationId xmlns:a16="http://schemas.microsoft.com/office/drawing/2014/main" id="{00000000-0008-0000-0900-0000E4010000}"/>
            </a:ext>
          </a:extLst>
        </xdr:cNvPr>
        <xdr:cNvGrpSpPr/>
      </xdr:nvGrpSpPr>
      <xdr:grpSpPr>
        <a:xfrm>
          <a:off x="78017833" y="18615927"/>
          <a:ext cx="8102092" cy="26174925"/>
          <a:chOff x="75731839" y="15478862"/>
          <a:chExt cx="8118194" cy="27399847"/>
        </a:xfrm>
      </xdr:grpSpPr>
      <xdr:cxnSp macro="">
        <xdr:nvCxnSpPr>
          <xdr:cNvPr id="740" name="AutoShape 147">
            <a:extLst>
              <a:ext uri="{FF2B5EF4-FFF2-40B4-BE49-F238E27FC236}">
                <a16:creationId xmlns:a16="http://schemas.microsoft.com/office/drawing/2014/main" id="{00000000-0008-0000-0900-0000E4020000}"/>
              </a:ext>
            </a:extLst>
          </xdr:cNvPr>
          <xdr:cNvCxnSpPr>
            <a:cxnSpLocks noChangeShapeType="1"/>
            <a:stCxn id="714" idx="0"/>
            <a:endCxn id="463" idx="5"/>
          </xdr:cNvCxnSpPr>
        </xdr:nvCxnSpPr>
        <xdr:spPr bwMode="auto">
          <a:xfrm rot="5400000" flipH="1" flipV="1">
            <a:off x="65690190" y="26059527"/>
            <a:ext cx="26860831" cy="6777533"/>
          </a:xfrm>
          <a:prstGeom prst="bentConnector3">
            <a:avLst>
              <a:gd name="adj1" fmla="val -882"/>
            </a:avLst>
          </a:prstGeom>
          <a:noFill/>
          <a:ln w="25400">
            <a:solidFill>
              <a:schemeClr val="accent3">
                <a:lumMod val="75000"/>
              </a:schemeClr>
            </a:solidFill>
            <a:miter lim="800000"/>
            <a:headEnd/>
            <a:tailEnd type="triangle" w="med" len="med"/>
          </a:ln>
        </xdr:spPr>
      </xdr:cxnSp>
      <xdr:sp macro="" textlink="">
        <xdr:nvSpPr>
          <xdr:cNvPr id="463" name="Flowchart: Connector 462">
            <a:extLst>
              <a:ext uri="{FF2B5EF4-FFF2-40B4-BE49-F238E27FC236}">
                <a16:creationId xmlns:a16="http://schemas.microsoft.com/office/drawing/2014/main" id="{00000000-0008-0000-0900-0000CF010000}"/>
              </a:ext>
            </a:extLst>
          </xdr:cNvPr>
          <xdr:cNvSpPr/>
        </xdr:nvSpPr>
        <xdr:spPr bwMode="auto">
          <a:xfrm>
            <a:off x="82119106" y="15608629"/>
            <a:ext cx="457200" cy="479466"/>
          </a:xfrm>
          <a:prstGeom prst="flowChartConnector">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cxnSp macro="">
        <xdr:nvCxnSpPr>
          <xdr:cNvPr id="476" name="Shape 475">
            <a:extLst>
              <a:ext uri="{FF2B5EF4-FFF2-40B4-BE49-F238E27FC236}">
                <a16:creationId xmlns:a16="http://schemas.microsoft.com/office/drawing/2014/main" id="{00000000-0008-0000-0900-0000DC010000}"/>
              </a:ext>
            </a:extLst>
          </xdr:cNvPr>
          <xdr:cNvCxnSpPr>
            <a:stCxn id="463" idx="5"/>
            <a:endCxn id="6263" idx="2"/>
          </xdr:cNvCxnSpPr>
        </xdr:nvCxnSpPr>
        <xdr:spPr bwMode="auto">
          <a:xfrm rot="5400000" flipH="1" flipV="1">
            <a:off x="82910183" y="15078029"/>
            <a:ext cx="539017" cy="1340683"/>
          </a:xfrm>
          <a:prstGeom prst="bentConnector3">
            <a:avLst>
              <a:gd name="adj1" fmla="val 2625"/>
            </a:avLst>
          </a:prstGeom>
          <a:solidFill>
            <a:srgbClr val="FFFFFF"/>
          </a:solidFill>
          <a:ln w="25400" cap="flat" cmpd="sng" algn="ctr">
            <a:solidFill>
              <a:schemeClr val="accent3">
                <a:lumMod val="75000"/>
              </a:schemeClr>
            </a:solidFill>
            <a:prstDash val="solid"/>
            <a:round/>
            <a:headEnd type="none" w="med" len="med"/>
            <a:tailEnd type="arrow"/>
          </a:ln>
          <a:effectLst/>
        </xdr:spPr>
      </xdr:cxnSp>
    </xdr:grpSp>
    <xdr:clientData/>
  </xdr:twoCellAnchor>
  <xdr:twoCellAnchor>
    <xdr:from>
      <xdr:col>31</xdr:col>
      <xdr:colOff>571502</xdr:colOff>
      <xdr:row>133</xdr:row>
      <xdr:rowOff>69284</xdr:rowOff>
    </xdr:from>
    <xdr:to>
      <xdr:col>35</xdr:col>
      <xdr:colOff>43502</xdr:colOff>
      <xdr:row>193</xdr:row>
      <xdr:rowOff>8668</xdr:rowOff>
    </xdr:to>
    <xdr:grpSp>
      <xdr:nvGrpSpPr>
        <xdr:cNvPr id="346" name="Group 345">
          <a:hlinkClick xmlns:r="http://schemas.openxmlformats.org/officeDocument/2006/relationships" r:id="rId20"/>
          <a:extLst>
            <a:ext uri="{FF2B5EF4-FFF2-40B4-BE49-F238E27FC236}">
              <a16:creationId xmlns:a16="http://schemas.microsoft.com/office/drawing/2014/main" id="{00000000-0008-0000-0900-00005A010000}"/>
            </a:ext>
          </a:extLst>
        </xdr:cNvPr>
        <xdr:cNvGrpSpPr/>
      </xdr:nvGrpSpPr>
      <xdr:grpSpPr>
        <a:xfrm>
          <a:off x="28280593" y="24245466"/>
          <a:ext cx="2450727" cy="10035884"/>
          <a:chOff x="21978937" y="20812126"/>
          <a:chExt cx="1694351" cy="10263187"/>
        </a:xfrm>
        <a:gradFill>
          <a:gsLst>
            <a:gs pos="0">
              <a:srgbClr val="DDEBCF">
                <a:alpha val="0"/>
              </a:srgbClr>
            </a:gs>
            <a:gs pos="50000">
              <a:srgbClr val="9CB86E">
                <a:alpha val="72000"/>
              </a:srgbClr>
            </a:gs>
            <a:gs pos="100000">
              <a:srgbClr val="156B13"/>
            </a:gs>
          </a:gsLst>
          <a:lin ang="5400000" scaled="0"/>
        </a:gradFill>
      </xdr:grpSpPr>
      <xdr:grpSp>
        <xdr:nvGrpSpPr>
          <xdr:cNvPr id="347" name="Group 1113">
            <a:extLst>
              <a:ext uri="{FF2B5EF4-FFF2-40B4-BE49-F238E27FC236}">
                <a16:creationId xmlns:a16="http://schemas.microsoft.com/office/drawing/2014/main" id="{00000000-0008-0000-0900-00005B010000}"/>
              </a:ext>
            </a:extLst>
          </xdr:cNvPr>
          <xdr:cNvGrpSpPr>
            <a:grpSpLocks/>
          </xdr:cNvGrpSpPr>
        </xdr:nvGrpSpPr>
        <xdr:grpSpPr bwMode="auto">
          <a:xfrm>
            <a:off x="21978937" y="20812126"/>
            <a:ext cx="1694351" cy="10263187"/>
            <a:chOff x="151" y="40"/>
            <a:chExt cx="25" cy="159"/>
          </a:xfrm>
          <a:grpFill/>
        </xdr:grpSpPr>
        <xdr:grpSp>
          <xdr:nvGrpSpPr>
            <xdr:cNvPr id="349" name="Group 1114">
              <a:extLst>
                <a:ext uri="{FF2B5EF4-FFF2-40B4-BE49-F238E27FC236}">
                  <a16:creationId xmlns:a16="http://schemas.microsoft.com/office/drawing/2014/main" id="{00000000-0008-0000-0900-00005D010000}"/>
                </a:ext>
              </a:extLst>
            </xdr:cNvPr>
            <xdr:cNvGrpSpPr>
              <a:grpSpLocks/>
            </xdr:cNvGrpSpPr>
          </xdr:nvGrpSpPr>
          <xdr:grpSpPr bwMode="auto">
            <a:xfrm>
              <a:off x="151" y="40"/>
              <a:ext cx="25" cy="159"/>
              <a:chOff x="151" y="26"/>
              <a:chExt cx="25" cy="159"/>
            </a:xfrm>
            <a:grpFill/>
          </xdr:grpSpPr>
          <xdr:grpSp>
            <xdr:nvGrpSpPr>
              <xdr:cNvPr id="358" name="Group 1115">
                <a:extLst>
                  <a:ext uri="{FF2B5EF4-FFF2-40B4-BE49-F238E27FC236}">
                    <a16:creationId xmlns:a16="http://schemas.microsoft.com/office/drawing/2014/main" id="{00000000-0008-0000-0900-000066010000}"/>
                  </a:ext>
                </a:extLst>
              </xdr:cNvPr>
              <xdr:cNvGrpSpPr>
                <a:grpSpLocks/>
              </xdr:cNvGrpSpPr>
            </xdr:nvGrpSpPr>
            <xdr:grpSpPr bwMode="auto">
              <a:xfrm>
                <a:off x="152" y="26"/>
                <a:ext cx="23" cy="159"/>
                <a:chOff x="154" y="32"/>
                <a:chExt cx="23" cy="159"/>
              </a:xfrm>
              <a:grpFill/>
            </xdr:grpSpPr>
            <xdr:grpSp>
              <xdr:nvGrpSpPr>
                <xdr:cNvPr id="364" name="Group 1116">
                  <a:extLst>
                    <a:ext uri="{FF2B5EF4-FFF2-40B4-BE49-F238E27FC236}">
                      <a16:creationId xmlns:a16="http://schemas.microsoft.com/office/drawing/2014/main" id="{00000000-0008-0000-0900-00006C010000}"/>
                    </a:ext>
                  </a:extLst>
                </xdr:cNvPr>
                <xdr:cNvGrpSpPr>
                  <a:grpSpLocks/>
                </xdr:cNvGrpSpPr>
              </xdr:nvGrpSpPr>
              <xdr:grpSpPr bwMode="auto">
                <a:xfrm>
                  <a:off x="154" y="32"/>
                  <a:ext cx="23" cy="159"/>
                  <a:chOff x="146" y="33"/>
                  <a:chExt cx="23" cy="159"/>
                </a:xfrm>
                <a:grpFill/>
              </xdr:grpSpPr>
              <xdr:grpSp>
                <xdr:nvGrpSpPr>
                  <xdr:cNvPr id="370" name="Group 1117">
                    <a:extLst>
                      <a:ext uri="{FF2B5EF4-FFF2-40B4-BE49-F238E27FC236}">
                        <a16:creationId xmlns:a16="http://schemas.microsoft.com/office/drawing/2014/main" id="{00000000-0008-0000-0900-000072010000}"/>
                      </a:ext>
                    </a:extLst>
                  </xdr:cNvPr>
                  <xdr:cNvGrpSpPr>
                    <a:grpSpLocks/>
                  </xdr:cNvGrpSpPr>
                </xdr:nvGrpSpPr>
                <xdr:grpSpPr bwMode="auto">
                  <a:xfrm>
                    <a:off x="146" y="33"/>
                    <a:ext cx="23" cy="159"/>
                    <a:chOff x="146" y="33"/>
                    <a:chExt cx="23" cy="159"/>
                  </a:xfrm>
                  <a:grpFill/>
                </xdr:grpSpPr>
                <xdr:sp macro="" textlink="">
                  <xdr:nvSpPr>
                    <xdr:cNvPr id="373" name="Rectangle 1118">
                      <a:extLst>
                        <a:ext uri="{FF2B5EF4-FFF2-40B4-BE49-F238E27FC236}">
                          <a16:creationId xmlns:a16="http://schemas.microsoft.com/office/drawing/2014/main" id="{00000000-0008-0000-0900-000075010000}"/>
                        </a:ext>
                      </a:extLst>
                    </xdr:cNvPr>
                    <xdr:cNvSpPr>
                      <a:spLocks noChangeArrowheads="1"/>
                    </xdr:cNvSpPr>
                  </xdr:nvSpPr>
                  <xdr:spPr bwMode="auto">
                    <a:xfrm>
                      <a:off x="146" y="41"/>
                      <a:ext cx="23" cy="143"/>
                    </a:xfrm>
                    <a:prstGeom prst="rect">
                      <a:avLst/>
                    </a:prstGeom>
                    <a:grpFill/>
                    <a:ln w="9525">
                      <a:solidFill>
                        <a:srgbClr val="000000"/>
                      </a:solidFill>
                      <a:miter lim="800000"/>
                      <a:headEnd/>
                      <a:tailEnd/>
                    </a:ln>
                  </xdr:spPr>
                </xdr:sp>
                <xdr:sp macro="" textlink="">
                  <xdr:nvSpPr>
                    <xdr:cNvPr id="374" name="Oval 1119">
                      <a:extLst>
                        <a:ext uri="{FF2B5EF4-FFF2-40B4-BE49-F238E27FC236}">
                          <a16:creationId xmlns:a16="http://schemas.microsoft.com/office/drawing/2014/main" id="{00000000-0008-0000-0900-000076010000}"/>
                        </a:ext>
                      </a:extLst>
                    </xdr:cNvPr>
                    <xdr:cNvSpPr>
                      <a:spLocks noChangeArrowheads="1"/>
                    </xdr:cNvSpPr>
                  </xdr:nvSpPr>
                  <xdr:spPr bwMode="auto">
                    <a:xfrm>
                      <a:off x="146" y="33"/>
                      <a:ext cx="23" cy="15"/>
                    </a:xfrm>
                    <a:prstGeom prst="ellipse">
                      <a:avLst/>
                    </a:prstGeom>
                    <a:grpFill/>
                    <a:ln w="9525">
                      <a:solidFill>
                        <a:srgbClr val="000000"/>
                      </a:solidFill>
                      <a:round/>
                      <a:headEnd/>
                      <a:tailEnd/>
                    </a:ln>
                  </xdr:spPr>
                </xdr:sp>
                <xdr:sp macro="" textlink="">
                  <xdr:nvSpPr>
                    <xdr:cNvPr id="375" name="Oval 1120">
                      <a:extLst>
                        <a:ext uri="{FF2B5EF4-FFF2-40B4-BE49-F238E27FC236}">
                          <a16:creationId xmlns:a16="http://schemas.microsoft.com/office/drawing/2014/main" id="{00000000-0008-0000-0900-000077010000}"/>
                        </a:ext>
                      </a:extLst>
                    </xdr:cNvPr>
                    <xdr:cNvSpPr>
                      <a:spLocks noChangeArrowheads="1"/>
                    </xdr:cNvSpPr>
                  </xdr:nvSpPr>
                  <xdr:spPr bwMode="auto">
                    <a:xfrm>
                      <a:off x="146" y="177"/>
                      <a:ext cx="23" cy="15"/>
                    </a:xfrm>
                    <a:prstGeom prst="ellipse">
                      <a:avLst/>
                    </a:prstGeom>
                    <a:grpFill/>
                    <a:ln w="9525">
                      <a:solidFill>
                        <a:srgbClr val="000000"/>
                      </a:solidFill>
                      <a:round/>
                      <a:headEnd/>
                      <a:tailEnd/>
                    </a:ln>
                  </xdr:spPr>
                </xdr:sp>
                <xdr:sp macro="" textlink="">
                  <xdr:nvSpPr>
                    <xdr:cNvPr id="376" name="Line 1121">
                      <a:extLst>
                        <a:ext uri="{FF2B5EF4-FFF2-40B4-BE49-F238E27FC236}">
                          <a16:creationId xmlns:a16="http://schemas.microsoft.com/office/drawing/2014/main" id="{00000000-0008-0000-0900-000078010000}"/>
                        </a:ext>
                      </a:extLst>
                    </xdr:cNvPr>
                    <xdr:cNvSpPr>
                      <a:spLocks noChangeShapeType="1"/>
                    </xdr:cNvSpPr>
                  </xdr:nvSpPr>
                  <xdr:spPr bwMode="auto">
                    <a:xfrm>
                      <a:off x="146" y="40"/>
                      <a:ext cx="0" cy="15"/>
                    </a:xfrm>
                    <a:prstGeom prst="line">
                      <a:avLst/>
                    </a:prstGeom>
                    <a:grpFill/>
                    <a:ln w="9525">
                      <a:solidFill>
                        <a:srgbClr val="000000"/>
                      </a:solidFill>
                      <a:round/>
                      <a:headEnd/>
                      <a:tailEnd/>
                    </a:ln>
                  </xdr:spPr>
                </xdr:sp>
              </xdr:grpSp>
              <xdr:sp macro="" textlink="">
                <xdr:nvSpPr>
                  <xdr:cNvPr id="371" name="Text Box 1124">
                    <a:extLst>
                      <a:ext uri="{FF2B5EF4-FFF2-40B4-BE49-F238E27FC236}">
                        <a16:creationId xmlns:a16="http://schemas.microsoft.com/office/drawing/2014/main" id="{00000000-0008-0000-0900-000073010000}"/>
                      </a:ext>
                    </a:extLst>
                  </xdr:cNvPr>
                  <xdr:cNvSpPr txBox="1">
                    <a:spLocks noChangeArrowheads="1"/>
                  </xdr:cNvSpPr>
                </xdr:nvSpPr>
                <xdr:spPr bwMode="auto">
                  <a:xfrm>
                    <a:off x="146" y="41"/>
                    <a:ext cx="23" cy="24"/>
                  </a:xfrm>
                  <a:prstGeom prst="rect">
                    <a:avLst/>
                  </a:prstGeom>
                  <a:grpFill/>
                  <a:ln w="9525">
                    <a:noFill/>
                    <a:miter lim="800000"/>
                    <a:headEnd/>
                    <a:tailEnd/>
                  </a:ln>
                </xdr:spPr>
              </xdr:sp>
              <xdr:sp macro="" textlink="">
                <xdr:nvSpPr>
                  <xdr:cNvPr id="372" name="Text Box 1125">
                    <a:extLst>
                      <a:ext uri="{FF2B5EF4-FFF2-40B4-BE49-F238E27FC236}">
                        <a16:creationId xmlns:a16="http://schemas.microsoft.com/office/drawing/2014/main" id="{00000000-0008-0000-0900-000074010000}"/>
                      </a:ext>
                    </a:extLst>
                  </xdr:cNvPr>
                  <xdr:cNvSpPr txBox="1">
                    <a:spLocks noChangeArrowheads="1"/>
                  </xdr:cNvSpPr>
                </xdr:nvSpPr>
                <xdr:spPr bwMode="auto">
                  <a:xfrm>
                    <a:off x="146" y="171"/>
                    <a:ext cx="23" cy="11"/>
                  </a:xfrm>
                  <a:prstGeom prst="rect">
                    <a:avLst/>
                  </a:prstGeom>
                  <a:grpFill/>
                  <a:ln w="9525">
                    <a:noFill/>
                    <a:miter lim="800000"/>
                    <a:headEnd/>
                    <a:tailEnd/>
                  </a:ln>
                </xdr:spPr>
              </xdr:sp>
            </xdr:grpSp>
            <xdr:sp macro="" textlink="">
              <xdr:nvSpPr>
                <xdr:cNvPr id="368" name="Line 1126">
                  <a:extLst>
                    <a:ext uri="{FF2B5EF4-FFF2-40B4-BE49-F238E27FC236}">
                      <a16:creationId xmlns:a16="http://schemas.microsoft.com/office/drawing/2014/main" id="{00000000-0008-0000-0900-000070010000}"/>
                    </a:ext>
                  </a:extLst>
                </xdr:cNvPr>
                <xdr:cNvSpPr>
                  <a:spLocks noChangeShapeType="1"/>
                </xdr:cNvSpPr>
              </xdr:nvSpPr>
              <xdr:spPr bwMode="auto">
                <a:xfrm>
                  <a:off x="154" y="39"/>
                  <a:ext cx="0" cy="30"/>
                </a:xfrm>
                <a:prstGeom prst="line">
                  <a:avLst/>
                </a:prstGeom>
                <a:grpFill/>
                <a:ln w="9525">
                  <a:solidFill>
                    <a:srgbClr val="000000"/>
                  </a:solidFill>
                  <a:round/>
                  <a:headEnd/>
                  <a:tailEnd/>
                </a:ln>
              </xdr:spPr>
            </xdr:sp>
          </xdr:grpSp>
          <xdr:sp macro="" textlink="">
            <xdr:nvSpPr>
              <xdr:cNvPr id="359" name="Rectangle 1128">
                <a:extLst>
                  <a:ext uri="{FF2B5EF4-FFF2-40B4-BE49-F238E27FC236}">
                    <a16:creationId xmlns:a16="http://schemas.microsoft.com/office/drawing/2014/main" id="{00000000-0008-0000-0900-000067010000}"/>
                  </a:ext>
                </a:extLst>
              </xdr:cNvPr>
              <xdr:cNvSpPr>
                <a:spLocks noChangeArrowheads="1"/>
              </xdr:cNvSpPr>
            </xdr:nvSpPr>
            <xdr:spPr bwMode="auto">
              <a:xfrm flipV="1">
                <a:off x="151" y="32"/>
                <a:ext cx="25" cy="3"/>
              </a:xfrm>
              <a:prstGeom prst="rect">
                <a:avLst/>
              </a:prstGeom>
              <a:grpFill/>
              <a:ln w="9525">
                <a:solidFill>
                  <a:srgbClr val="000000"/>
                </a:solidFill>
                <a:miter lim="800000"/>
                <a:headEnd/>
                <a:tailEnd/>
              </a:ln>
            </xdr:spPr>
          </xdr:sp>
          <xdr:sp macro="" textlink="">
            <xdr:nvSpPr>
              <xdr:cNvPr id="360" name="Rectangle 1129">
                <a:extLst>
                  <a:ext uri="{FF2B5EF4-FFF2-40B4-BE49-F238E27FC236}">
                    <a16:creationId xmlns:a16="http://schemas.microsoft.com/office/drawing/2014/main" id="{00000000-0008-0000-0900-000068010000}"/>
                  </a:ext>
                </a:extLst>
              </xdr:cNvPr>
              <xdr:cNvSpPr>
                <a:spLocks noChangeArrowheads="1"/>
              </xdr:cNvSpPr>
            </xdr:nvSpPr>
            <xdr:spPr bwMode="auto">
              <a:xfrm flipV="1">
                <a:off x="151" y="175"/>
                <a:ext cx="25" cy="3"/>
              </a:xfrm>
              <a:prstGeom prst="rect">
                <a:avLst/>
              </a:prstGeom>
              <a:grpFill/>
              <a:ln w="9525">
                <a:solidFill>
                  <a:srgbClr val="000000"/>
                </a:solidFill>
                <a:miter lim="800000"/>
                <a:headEnd/>
                <a:tailEnd/>
              </a:ln>
            </xdr:spPr>
          </xdr:sp>
        </xdr:grpSp>
        <xdr:sp macro="" textlink="">
          <xdr:nvSpPr>
            <xdr:cNvPr id="350" name="Line 1130">
              <a:extLst>
                <a:ext uri="{FF2B5EF4-FFF2-40B4-BE49-F238E27FC236}">
                  <a16:creationId xmlns:a16="http://schemas.microsoft.com/office/drawing/2014/main" id="{00000000-0008-0000-0900-00005E010000}"/>
                </a:ext>
              </a:extLst>
            </xdr:cNvPr>
            <xdr:cNvSpPr>
              <a:spLocks noChangeShapeType="1"/>
            </xdr:cNvSpPr>
          </xdr:nvSpPr>
          <xdr:spPr bwMode="auto">
            <a:xfrm>
              <a:off x="152" y="166"/>
              <a:ext cx="23" cy="0"/>
            </a:xfrm>
            <a:prstGeom prst="line">
              <a:avLst/>
            </a:prstGeom>
            <a:grpFill/>
            <a:ln w="9525">
              <a:solidFill>
                <a:srgbClr val="000000"/>
              </a:solidFill>
              <a:prstDash val="dashDot"/>
              <a:round/>
              <a:headEnd/>
              <a:tailEnd/>
            </a:ln>
          </xdr:spPr>
        </xdr:sp>
        <xdr:sp macro="" textlink="">
          <xdr:nvSpPr>
            <xdr:cNvPr id="351" name="Line 1131">
              <a:extLst>
                <a:ext uri="{FF2B5EF4-FFF2-40B4-BE49-F238E27FC236}">
                  <a16:creationId xmlns:a16="http://schemas.microsoft.com/office/drawing/2014/main" id="{00000000-0008-0000-0900-00005F010000}"/>
                </a:ext>
              </a:extLst>
            </xdr:cNvPr>
            <xdr:cNvSpPr>
              <a:spLocks noChangeShapeType="1"/>
            </xdr:cNvSpPr>
          </xdr:nvSpPr>
          <xdr:spPr bwMode="auto">
            <a:xfrm flipV="1">
              <a:off x="153" y="59"/>
              <a:ext cx="22" cy="0"/>
            </a:xfrm>
            <a:prstGeom prst="line">
              <a:avLst/>
            </a:prstGeom>
            <a:grpFill/>
            <a:ln w="9525">
              <a:solidFill>
                <a:srgbClr val="000000"/>
              </a:solidFill>
              <a:prstDash val="dash"/>
              <a:round/>
              <a:headEnd/>
              <a:tailEnd/>
            </a:ln>
          </xdr:spPr>
        </xdr:sp>
        <xdr:sp macro="" textlink="">
          <xdr:nvSpPr>
            <xdr:cNvPr id="352" name="Line 1132">
              <a:extLst>
                <a:ext uri="{FF2B5EF4-FFF2-40B4-BE49-F238E27FC236}">
                  <a16:creationId xmlns:a16="http://schemas.microsoft.com/office/drawing/2014/main" id="{00000000-0008-0000-0900-000060010000}"/>
                </a:ext>
              </a:extLst>
            </xdr:cNvPr>
            <xdr:cNvSpPr>
              <a:spLocks noChangeShapeType="1"/>
            </xdr:cNvSpPr>
          </xdr:nvSpPr>
          <xdr:spPr bwMode="auto">
            <a:xfrm>
              <a:off x="152" y="70"/>
              <a:ext cx="22" cy="0"/>
            </a:xfrm>
            <a:prstGeom prst="line">
              <a:avLst/>
            </a:prstGeom>
            <a:grpFill/>
            <a:ln w="9525">
              <a:solidFill>
                <a:srgbClr val="000000"/>
              </a:solidFill>
              <a:prstDash val="dash"/>
              <a:round/>
              <a:headEnd/>
              <a:tailEnd/>
            </a:ln>
          </xdr:spPr>
        </xdr:sp>
        <xdr:sp macro="" textlink="">
          <xdr:nvSpPr>
            <xdr:cNvPr id="353" name="Line 1133">
              <a:extLst>
                <a:ext uri="{FF2B5EF4-FFF2-40B4-BE49-F238E27FC236}">
                  <a16:creationId xmlns:a16="http://schemas.microsoft.com/office/drawing/2014/main" id="{00000000-0008-0000-0900-000061010000}"/>
                </a:ext>
              </a:extLst>
            </xdr:cNvPr>
            <xdr:cNvSpPr>
              <a:spLocks noChangeShapeType="1"/>
            </xdr:cNvSpPr>
          </xdr:nvSpPr>
          <xdr:spPr bwMode="auto">
            <a:xfrm>
              <a:off x="153" y="109"/>
              <a:ext cx="22" cy="0"/>
            </a:xfrm>
            <a:prstGeom prst="line">
              <a:avLst/>
            </a:prstGeom>
            <a:grpFill/>
            <a:ln w="9525">
              <a:solidFill>
                <a:srgbClr val="000000"/>
              </a:solidFill>
              <a:prstDash val="dash"/>
              <a:round/>
              <a:headEnd/>
              <a:tailEnd/>
            </a:ln>
          </xdr:spPr>
        </xdr:sp>
        <xdr:sp macro="" textlink="">
          <xdr:nvSpPr>
            <xdr:cNvPr id="354" name="Line 1134">
              <a:extLst>
                <a:ext uri="{FF2B5EF4-FFF2-40B4-BE49-F238E27FC236}">
                  <a16:creationId xmlns:a16="http://schemas.microsoft.com/office/drawing/2014/main" id="{00000000-0008-0000-0900-000062010000}"/>
                </a:ext>
              </a:extLst>
            </xdr:cNvPr>
            <xdr:cNvSpPr>
              <a:spLocks noChangeShapeType="1"/>
            </xdr:cNvSpPr>
          </xdr:nvSpPr>
          <xdr:spPr bwMode="auto">
            <a:xfrm>
              <a:off x="153" y="82"/>
              <a:ext cx="22" cy="0"/>
            </a:xfrm>
            <a:prstGeom prst="line">
              <a:avLst/>
            </a:prstGeom>
            <a:grpFill/>
            <a:ln w="9525">
              <a:solidFill>
                <a:srgbClr val="000000"/>
              </a:solidFill>
              <a:prstDash val="dash"/>
              <a:round/>
              <a:headEnd/>
              <a:tailEnd/>
            </a:ln>
          </xdr:spPr>
        </xdr:sp>
        <xdr:sp macro="" textlink="">
          <xdr:nvSpPr>
            <xdr:cNvPr id="355" name="Line 1135">
              <a:extLst>
                <a:ext uri="{FF2B5EF4-FFF2-40B4-BE49-F238E27FC236}">
                  <a16:creationId xmlns:a16="http://schemas.microsoft.com/office/drawing/2014/main" id="{00000000-0008-0000-0900-000063010000}"/>
                </a:ext>
              </a:extLst>
            </xdr:cNvPr>
            <xdr:cNvSpPr>
              <a:spLocks noChangeShapeType="1"/>
            </xdr:cNvSpPr>
          </xdr:nvSpPr>
          <xdr:spPr bwMode="auto">
            <a:xfrm>
              <a:off x="153" y="137"/>
              <a:ext cx="22" cy="0"/>
            </a:xfrm>
            <a:prstGeom prst="line">
              <a:avLst/>
            </a:prstGeom>
            <a:grpFill/>
            <a:ln w="9525">
              <a:solidFill>
                <a:srgbClr val="000000"/>
              </a:solidFill>
              <a:prstDash val="dashDot"/>
              <a:round/>
              <a:headEnd/>
              <a:tailEnd/>
            </a:ln>
          </xdr:spPr>
        </xdr:sp>
        <xdr:sp macro="" textlink="">
          <xdr:nvSpPr>
            <xdr:cNvPr id="356" name="Line 1136">
              <a:extLst>
                <a:ext uri="{FF2B5EF4-FFF2-40B4-BE49-F238E27FC236}">
                  <a16:creationId xmlns:a16="http://schemas.microsoft.com/office/drawing/2014/main" id="{00000000-0008-0000-0900-000064010000}"/>
                </a:ext>
              </a:extLst>
            </xdr:cNvPr>
            <xdr:cNvSpPr>
              <a:spLocks noChangeShapeType="1"/>
            </xdr:cNvSpPr>
          </xdr:nvSpPr>
          <xdr:spPr bwMode="auto">
            <a:xfrm>
              <a:off x="152" y="96"/>
              <a:ext cx="22" cy="0"/>
            </a:xfrm>
            <a:prstGeom prst="line">
              <a:avLst/>
            </a:prstGeom>
            <a:grpFill/>
            <a:ln w="9525">
              <a:solidFill>
                <a:srgbClr val="000000"/>
              </a:solidFill>
              <a:prstDash val="dash"/>
              <a:round/>
              <a:headEnd/>
              <a:tailEnd/>
            </a:ln>
          </xdr:spPr>
        </xdr:sp>
        <xdr:sp macro="" textlink="">
          <xdr:nvSpPr>
            <xdr:cNvPr id="357" name="Line 1137">
              <a:extLst>
                <a:ext uri="{FF2B5EF4-FFF2-40B4-BE49-F238E27FC236}">
                  <a16:creationId xmlns:a16="http://schemas.microsoft.com/office/drawing/2014/main" id="{00000000-0008-0000-0900-000065010000}"/>
                </a:ext>
              </a:extLst>
            </xdr:cNvPr>
            <xdr:cNvSpPr>
              <a:spLocks noChangeShapeType="1"/>
            </xdr:cNvSpPr>
          </xdr:nvSpPr>
          <xdr:spPr bwMode="auto">
            <a:xfrm>
              <a:off x="152" y="124"/>
              <a:ext cx="23" cy="0"/>
            </a:xfrm>
            <a:prstGeom prst="line">
              <a:avLst/>
            </a:prstGeom>
            <a:grpFill/>
            <a:ln w="9525">
              <a:solidFill>
                <a:srgbClr val="000000"/>
              </a:solidFill>
              <a:prstDash val="dashDot"/>
              <a:round/>
              <a:headEnd/>
              <a:tailEnd/>
            </a:ln>
          </xdr:spPr>
        </xdr:sp>
      </xdr:grpSp>
      <xdr:sp macro="" textlink="">
        <xdr:nvSpPr>
          <xdr:cNvPr id="348" name="TextBox 347">
            <a:extLst>
              <a:ext uri="{FF2B5EF4-FFF2-40B4-BE49-F238E27FC236}">
                <a16:creationId xmlns:a16="http://schemas.microsoft.com/office/drawing/2014/main" id="{00000000-0008-0000-0900-00005C010000}"/>
              </a:ext>
            </a:extLst>
          </xdr:cNvPr>
          <xdr:cNvSpPr txBox="1"/>
        </xdr:nvSpPr>
        <xdr:spPr>
          <a:xfrm>
            <a:off x="22074724" y="21366426"/>
            <a:ext cx="1520599" cy="43304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rtl="0" eaLnBrk="1" fontAlgn="auto" latinLnBrk="0" hangingPunct="1">
              <a:lnSpc>
                <a:spcPct val="100000"/>
              </a:lnSpc>
              <a:spcBef>
                <a:spcPts val="0"/>
              </a:spcBef>
              <a:spcAft>
                <a:spcPts val="0"/>
              </a:spcAft>
              <a:buClrTx/>
              <a:buSzTx/>
              <a:buFontTx/>
              <a:buNone/>
              <a:tabLst/>
              <a:defRPr/>
            </a:pPr>
            <a:r>
              <a:rPr lang="en-US" sz="2000" b="1" i="0">
                <a:solidFill>
                  <a:schemeClr val="dk1"/>
                </a:solidFill>
                <a:latin typeface="Arial" pitchFamily="34" charset="0"/>
                <a:ea typeface="+mn-ea"/>
                <a:cs typeface="Arial" pitchFamily="34" charset="0"/>
              </a:rPr>
              <a:t>Vacuum Tower</a:t>
            </a:r>
            <a:endParaRPr lang="en-CA" sz="2000">
              <a:latin typeface="Arial" pitchFamily="34" charset="0"/>
              <a:cs typeface="Arial" pitchFamily="34" charset="0"/>
            </a:endParaRPr>
          </a:p>
          <a:p>
            <a:endParaRPr lang="en-CA" sz="1100"/>
          </a:p>
        </xdr:txBody>
      </xdr:sp>
    </xdr:grpSp>
    <xdr:clientData/>
  </xdr:twoCellAnchor>
  <xdr:twoCellAnchor>
    <xdr:from>
      <xdr:col>32</xdr:col>
      <xdr:colOff>543137</xdr:colOff>
      <xdr:row>244</xdr:row>
      <xdr:rowOff>139949</xdr:rowOff>
    </xdr:from>
    <xdr:to>
      <xdr:col>39</xdr:col>
      <xdr:colOff>792615</xdr:colOff>
      <xdr:row>245</xdr:row>
      <xdr:rowOff>41129</xdr:rowOff>
    </xdr:to>
    <xdr:cxnSp macro="">
      <xdr:nvCxnSpPr>
        <xdr:cNvPr id="339" name="Elbow Connector 180" descr="73cc830f-3257-4a94-abe3-4128d06fa829">
          <a:extLst>
            <a:ext uri="{FF2B5EF4-FFF2-40B4-BE49-F238E27FC236}">
              <a16:creationId xmlns:a16="http://schemas.microsoft.com/office/drawing/2014/main" id="{00000000-0008-0000-0900-000053010000}"/>
            </a:ext>
          </a:extLst>
        </xdr:cNvPr>
        <xdr:cNvCxnSpPr>
          <a:cxnSpLocks noChangeShapeType="1"/>
          <a:stCxn id="1995" idx="6"/>
          <a:endCxn id="436" idx="1"/>
        </xdr:cNvCxnSpPr>
      </xdr:nvCxnSpPr>
      <xdr:spPr bwMode="auto">
        <a:xfrm>
          <a:off x="27289337" y="39535349"/>
          <a:ext cx="6802678" cy="53580"/>
        </a:xfrm>
        <a:prstGeom prst="bentConnector3">
          <a:avLst>
            <a:gd name="adj1" fmla="val 50000"/>
          </a:avLst>
        </a:prstGeom>
        <a:noFill/>
        <a:ln w="25400" algn="ctr">
          <a:solidFill>
            <a:schemeClr val="accent6">
              <a:lumMod val="75000"/>
            </a:schemeClr>
          </a:solidFill>
          <a:round/>
          <a:headEnd/>
          <a:tailEnd type="triangle" w="med" len="med"/>
        </a:ln>
      </xdr:spPr>
    </xdr:cxnSp>
    <xdr:clientData/>
  </xdr:twoCellAnchor>
  <xdr:twoCellAnchor>
    <xdr:from>
      <xdr:col>120</xdr:col>
      <xdr:colOff>0</xdr:colOff>
      <xdr:row>145</xdr:row>
      <xdr:rowOff>0</xdr:rowOff>
    </xdr:from>
    <xdr:to>
      <xdr:col>128</xdr:col>
      <xdr:colOff>256334</xdr:colOff>
      <xdr:row>145</xdr:row>
      <xdr:rowOff>2802</xdr:rowOff>
    </xdr:to>
    <xdr:cxnSp macro="">
      <xdr:nvCxnSpPr>
        <xdr:cNvPr id="335" name="Elbow Connector 197" descr="1e6bea74-657e-47bd-8eb4-50c57dca513f">
          <a:extLst>
            <a:ext uri="{FF2B5EF4-FFF2-40B4-BE49-F238E27FC236}">
              <a16:creationId xmlns:a16="http://schemas.microsoft.com/office/drawing/2014/main" id="{00000000-0008-0000-0900-00004F010000}"/>
            </a:ext>
          </a:extLst>
        </xdr:cNvPr>
        <xdr:cNvCxnSpPr>
          <a:cxnSpLocks noChangeShapeType="1"/>
        </xdr:cNvCxnSpPr>
      </xdr:nvCxnSpPr>
      <xdr:spPr bwMode="auto">
        <a:xfrm>
          <a:off x="120898227" y="26029227"/>
          <a:ext cx="9486925" cy="2802"/>
        </a:xfrm>
        <a:prstGeom prst="bentConnector3">
          <a:avLst>
            <a:gd name="adj1" fmla="val 50000"/>
          </a:avLst>
        </a:prstGeom>
        <a:noFill/>
        <a:ln w="25400" algn="ctr">
          <a:solidFill>
            <a:srgbClr val="000000"/>
          </a:solidFill>
          <a:round/>
          <a:headEnd/>
          <a:tailEnd type="triangle" w="med" len="med"/>
        </a:ln>
      </xdr:spPr>
    </xdr:cxnSp>
    <xdr:clientData/>
  </xdr:twoCellAnchor>
  <xdr:twoCellAnchor>
    <xdr:from>
      <xdr:col>120</xdr:col>
      <xdr:colOff>0</xdr:colOff>
      <xdr:row>161</xdr:row>
      <xdr:rowOff>0</xdr:rowOff>
    </xdr:from>
    <xdr:to>
      <xdr:col>128</xdr:col>
      <xdr:colOff>256334</xdr:colOff>
      <xdr:row>161</xdr:row>
      <xdr:rowOff>2802</xdr:rowOff>
    </xdr:to>
    <xdr:cxnSp macro="">
      <xdr:nvCxnSpPr>
        <xdr:cNvPr id="336" name="Elbow Connector 197" descr="1e6bea74-657e-47bd-8eb4-50c57dca513f">
          <a:extLst>
            <a:ext uri="{FF2B5EF4-FFF2-40B4-BE49-F238E27FC236}">
              <a16:creationId xmlns:a16="http://schemas.microsoft.com/office/drawing/2014/main" id="{00000000-0008-0000-0900-000050010000}"/>
            </a:ext>
          </a:extLst>
        </xdr:cNvPr>
        <xdr:cNvCxnSpPr>
          <a:cxnSpLocks noChangeShapeType="1"/>
        </xdr:cNvCxnSpPr>
      </xdr:nvCxnSpPr>
      <xdr:spPr bwMode="auto">
        <a:xfrm>
          <a:off x="120898227" y="28626955"/>
          <a:ext cx="9486925" cy="2802"/>
        </a:xfrm>
        <a:prstGeom prst="bentConnector3">
          <a:avLst>
            <a:gd name="adj1" fmla="val 50000"/>
          </a:avLst>
        </a:prstGeom>
        <a:noFill/>
        <a:ln w="25400" algn="ctr">
          <a:solidFill>
            <a:srgbClr val="000000"/>
          </a:solidFill>
          <a:round/>
          <a:headEnd/>
          <a:tailEnd type="triangle" w="med" len="med"/>
        </a:ln>
      </xdr:spPr>
    </xdr:cxnSp>
    <xdr:clientData/>
  </xdr:twoCellAnchor>
  <xdr:twoCellAnchor>
    <xdr:from>
      <xdr:col>32</xdr:col>
      <xdr:colOff>387511</xdr:colOff>
      <xdr:row>246</xdr:row>
      <xdr:rowOff>150563</xdr:rowOff>
    </xdr:from>
    <xdr:to>
      <xdr:col>104</xdr:col>
      <xdr:colOff>1108366</xdr:colOff>
      <xdr:row>280</xdr:row>
      <xdr:rowOff>121227</xdr:rowOff>
    </xdr:to>
    <xdr:cxnSp macro="">
      <xdr:nvCxnSpPr>
        <xdr:cNvPr id="337" name="AutoShape 153" descr="cf9c1541-5cb9-45f0-ba80-e95f47514994">
          <a:extLst>
            <a:ext uri="{FF2B5EF4-FFF2-40B4-BE49-F238E27FC236}">
              <a16:creationId xmlns:a16="http://schemas.microsoft.com/office/drawing/2014/main" id="{00000000-0008-0000-0900-000051010000}"/>
            </a:ext>
          </a:extLst>
        </xdr:cNvPr>
        <xdr:cNvCxnSpPr>
          <a:cxnSpLocks noChangeShapeType="1"/>
          <a:stCxn id="1995" idx="5"/>
        </xdr:cNvCxnSpPr>
      </xdr:nvCxnSpPr>
      <xdr:spPr bwMode="auto">
        <a:xfrm rot="16200000" flipH="1">
          <a:off x="60458379" y="11759649"/>
          <a:ext cx="5270028" cy="69127674"/>
        </a:xfrm>
        <a:prstGeom prst="bentConnector2">
          <a:avLst/>
        </a:prstGeom>
        <a:noFill/>
        <a:ln w="25400">
          <a:solidFill>
            <a:schemeClr val="accent3">
              <a:lumMod val="75000"/>
            </a:schemeClr>
          </a:solidFill>
          <a:miter lim="800000"/>
          <a:headEnd/>
          <a:tailEnd type="triangle" w="med" len="med"/>
        </a:ln>
      </xdr:spPr>
    </xdr:cxnSp>
    <xdr:clientData/>
  </xdr:twoCellAnchor>
</xdr:wsDr>
</file>

<file path=xl/drawings/drawing16.xml><?xml version="1.0" encoding="utf-8"?>
<xdr:wsDr xmlns:xdr="http://schemas.openxmlformats.org/drawingml/2006/spreadsheetDrawing" xmlns:a="http://schemas.openxmlformats.org/drawingml/2006/main">
  <xdr:twoCellAnchor>
    <xdr:from>
      <xdr:col>23</xdr:col>
      <xdr:colOff>383078</xdr:colOff>
      <xdr:row>103</xdr:row>
      <xdr:rowOff>88430</xdr:rowOff>
    </xdr:from>
    <xdr:to>
      <xdr:col>39</xdr:col>
      <xdr:colOff>900546</xdr:colOff>
      <xdr:row>105</xdr:row>
      <xdr:rowOff>18608</xdr:rowOff>
    </xdr:to>
    <xdr:cxnSp macro="">
      <xdr:nvCxnSpPr>
        <xdr:cNvPr id="18" name="AutoShape 93" descr="206125d3-2678-40aa-8be7-0b9794480b16">
          <a:extLst>
            <a:ext uri="{FF2B5EF4-FFF2-40B4-BE49-F238E27FC236}">
              <a16:creationId xmlns:a16="http://schemas.microsoft.com/office/drawing/2014/main" id="{00000000-0008-0000-0D00-000012000000}"/>
            </a:ext>
          </a:extLst>
        </xdr:cNvPr>
        <xdr:cNvCxnSpPr>
          <a:cxnSpLocks noChangeShapeType="1"/>
          <a:stCxn id="342" idx="0"/>
          <a:endCxn id="343" idx="2"/>
        </xdr:cNvCxnSpPr>
      </xdr:nvCxnSpPr>
      <xdr:spPr bwMode="auto">
        <a:xfrm rot="16200000" flipH="1">
          <a:off x="26229700" y="7908353"/>
          <a:ext cx="241906" cy="15151332"/>
        </a:xfrm>
        <a:prstGeom prst="bentConnector4">
          <a:avLst>
            <a:gd name="adj1" fmla="val 94500"/>
            <a:gd name="adj2" fmla="val 50000"/>
          </a:avLst>
        </a:prstGeom>
        <a:noFill/>
        <a:ln w="25400">
          <a:solidFill>
            <a:srgbClr val="7030A0"/>
          </a:solidFill>
          <a:miter lim="800000"/>
          <a:headEnd/>
          <a:tailEnd type="triangle" w="med" len="med"/>
        </a:ln>
      </xdr:spPr>
    </xdr:cxnSp>
    <xdr:clientData/>
  </xdr:twoCellAnchor>
  <xdr:twoCellAnchor>
    <xdr:from>
      <xdr:col>23</xdr:col>
      <xdr:colOff>383078</xdr:colOff>
      <xdr:row>46</xdr:row>
      <xdr:rowOff>142562</xdr:rowOff>
    </xdr:from>
    <xdr:to>
      <xdr:col>48</xdr:col>
      <xdr:colOff>623455</xdr:colOff>
      <xdr:row>58</xdr:row>
      <xdr:rowOff>54242</xdr:rowOff>
    </xdr:to>
    <xdr:cxnSp macro="">
      <xdr:nvCxnSpPr>
        <xdr:cNvPr id="40" name="AutoShape 130" descr="8fc90fa1-d55a-458f-a392-7d47be5475b5">
          <a:extLst>
            <a:ext uri="{FF2B5EF4-FFF2-40B4-BE49-F238E27FC236}">
              <a16:creationId xmlns:a16="http://schemas.microsoft.com/office/drawing/2014/main" id="{00000000-0008-0000-0D00-000028000000}"/>
            </a:ext>
          </a:extLst>
        </xdr:cNvPr>
        <xdr:cNvCxnSpPr>
          <a:cxnSpLocks noChangeShapeType="1"/>
          <a:stCxn id="333" idx="1"/>
          <a:endCxn id="864" idx="1"/>
        </xdr:cNvCxnSpPr>
      </xdr:nvCxnSpPr>
      <xdr:spPr bwMode="auto">
        <a:xfrm rot="5400000" flipH="1" flipV="1">
          <a:off x="29460131" y="-4152173"/>
          <a:ext cx="1782044" cy="23152332"/>
        </a:xfrm>
        <a:prstGeom prst="bentConnector4">
          <a:avLst>
            <a:gd name="adj1" fmla="val 12828"/>
            <a:gd name="adj2" fmla="val 50000"/>
          </a:avLst>
        </a:prstGeom>
        <a:noFill/>
        <a:ln w="25400">
          <a:solidFill>
            <a:srgbClr val="7030A0"/>
          </a:solidFill>
          <a:miter lim="800000"/>
          <a:headEnd/>
          <a:tailEnd type="triangle" w="med" len="med"/>
        </a:ln>
      </xdr:spPr>
    </xdr:cxnSp>
    <xdr:clientData/>
  </xdr:twoCellAnchor>
  <xdr:twoCellAnchor>
    <xdr:from>
      <xdr:col>20</xdr:col>
      <xdr:colOff>969817</xdr:colOff>
      <xdr:row>36</xdr:row>
      <xdr:rowOff>86591</xdr:rowOff>
    </xdr:from>
    <xdr:to>
      <xdr:col>23</xdr:col>
      <xdr:colOff>493568</xdr:colOff>
      <xdr:row>123</xdr:row>
      <xdr:rowOff>10825</xdr:rowOff>
    </xdr:to>
    <xdr:grpSp>
      <xdr:nvGrpSpPr>
        <xdr:cNvPr id="312" name="Group 311">
          <a:hlinkClick xmlns:r="http://schemas.openxmlformats.org/officeDocument/2006/relationships" r:id="rId1"/>
          <a:extLst>
            <a:ext uri="{FF2B5EF4-FFF2-40B4-BE49-F238E27FC236}">
              <a16:creationId xmlns:a16="http://schemas.microsoft.com/office/drawing/2014/main" id="{00000000-0008-0000-0D00-000038010000}"/>
            </a:ext>
          </a:extLst>
        </xdr:cNvPr>
        <xdr:cNvGrpSpPr/>
      </xdr:nvGrpSpPr>
      <xdr:grpSpPr>
        <a:xfrm>
          <a:off x="16885226" y="6927273"/>
          <a:ext cx="2762251" cy="13553643"/>
          <a:chOff x="21978938" y="20812126"/>
          <a:chExt cx="1694351" cy="10263187"/>
        </a:xfr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xdr:grpSpPr>
      <xdr:grpSp>
        <xdr:nvGrpSpPr>
          <xdr:cNvPr id="313" name="Group 1113">
            <a:extLst>
              <a:ext uri="{FF2B5EF4-FFF2-40B4-BE49-F238E27FC236}">
                <a16:creationId xmlns:a16="http://schemas.microsoft.com/office/drawing/2014/main" id="{00000000-0008-0000-0D00-000039010000}"/>
              </a:ext>
            </a:extLst>
          </xdr:cNvPr>
          <xdr:cNvGrpSpPr>
            <a:grpSpLocks/>
          </xdr:cNvGrpSpPr>
        </xdr:nvGrpSpPr>
        <xdr:grpSpPr bwMode="auto">
          <a:xfrm>
            <a:off x="21978938" y="20812126"/>
            <a:ext cx="1694351" cy="10263187"/>
            <a:chOff x="151" y="40"/>
            <a:chExt cx="25" cy="159"/>
          </a:xfrm>
          <a:grpFill/>
        </xdr:grpSpPr>
        <xdr:grpSp>
          <xdr:nvGrpSpPr>
            <xdr:cNvPr id="319" name="Group 1114">
              <a:extLst>
                <a:ext uri="{FF2B5EF4-FFF2-40B4-BE49-F238E27FC236}">
                  <a16:creationId xmlns:a16="http://schemas.microsoft.com/office/drawing/2014/main" id="{00000000-0008-0000-0D00-00003F010000}"/>
                </a:ext>
              </a:extLst>
            </xdr:cNvPr>
            <xdr:cNvGrpSpPr>
              <a:grpSpLocks/>
            </xdr:cNvGrpSpPr>
          </xdr:nvGrpSpPr>
          <xdr:grpSpPr bwMode="auto">
            <a:xfrm>
              <a:off x="151" y="40"/>
              <a:ext cx="25" cy="159"/>
              <a:chOff x="151" y="26"/>
              <a:chExt cx="25" cy="159"/>
            </a:xfrm>
            <a:grpFill/>
          </xdr:grpSpPr>
          <xdr:grpSp>
            <xdr:nvGrpSpPr>
              <xdr:cNvPr id="328" name="Group 1115">
                <a:extLst>
                  <a:ext uri="{FF2B5EF4-FFF2-40B4-BE49-F238E27FC236}">
                    <a16:creationId xmlns:a16="http://schemas.microsoft.com/office/drawing/2014/main" id="{00000000-0008-0000-0D00-000048010000}"/>
                  </a:ext>
                </a:extLst>
              </xdr:cNvPr>
              <xdr:cNvGrpSpPr>
                <a:grpSpLocks/>
              </xdr:cNvGrpSpPr>
            </xdr:nvGrpSpPr>
            <xdr:grpSpPr bwMode="auto">
              <a:xfrm>
                <a:off x="152" y="26"/>
                <a:ext cx="23" cy="159"/>
                <a:chOff x="154" y="32"/>
                <a:chExt cx="23" cy="159"/>
              </a:xfrm>
              <a:grpFill/>
            </xdr:grpSpPr>
            <xdr:grpSp>
              <xdr:nvGrpSpPr>
                <xdr:cNvPr id="331" name="Group 1116">
                  <a:extLst>
                    <a:ext uri="{FF2B5EF4-FFF2-40B4-BE49-F238E27FC236}">
                      <a16:creationId xmlns:a16="http://schemas.microsoft.com/office/drawing/2014/main" id="{00000000-0008-0000-0D00-00004B010000}"/>
                    </a:ext>
                  </a:extLst>
                </xdr:cNvPr>
                <xdr:cNvGrpSpPr>
                  <a:grpSpLocks/>
                </xdr:cNvGrpSpPr>
              </xdr:nvGrpSpPr>
              <xdr:grpSpPr bwMode="auto">
                <a:xfrm>
                  <a:off x="154" y="32"/>
                  <a:ext cx="23" cy="159"/>
                  <a:chOff x="146" y="33"/>
                  <a:chExt cx="23" cy="159"/>
                </a:xfrm>
                <a:grpFill/>
              </xdr:grpSpPr>
              <xdr:grpSp>
                <xdr:nvGrpSpPr>
                  <xdr:cNvPr id="334" name="Group 1117">
                    <a:extLst>
                      <a:ext uri="{FF2B5EF4-FFF2-40B4-BE49-F238E27FC236}">
                        <a16:creationId xmlns:a16="http://schemas.microsoft.com/office/drawing/2014/main" id="{00000000-0008-0000-0D00-00004E010000}"/>
                      </a:ext>
                    </a:extLst>
                  </xdr:cNvPr>
                  <xdr:cNvGrpSpPr>
                    <a:grpSpLocks/>
                  </xdr:cNvGrpSpPr>
                </xdr:nvGrpSpPr>
                <xdr:grpSpPr bwMode="auto">
                  <a:xfrm>
                    <a:off x="146" y="33"/>
                    <a:ext cx="23" cy="159"/>
                    <a:chOff x="146" y="33"/>
                    <a:chExt cx="23" cy="159"/>
                  </a:xfrm>
                  <a:grpFill/>
                </xdr:grpSpPr>
                <xdr:sp macro="" textlink="">
                  <xdr:nvSpPr>
                    <xdr:cNvPr id="337" name="Rectangle 1118">
                      <a:extLst>
                        <a:ext uri="{FF2B5EF4-FFF2-40B4-BE49-F238E27FC236}">
                          <a16:creationId xmlns:a16="http://schemas.microsoft.com/office/drawing/2014/main" id="{00000000-0008-0000-0D00-000051010000}"/>
                        </a:ext>
                      </a:extLst>
                    </xdr:cNvPr>
                    <xdr:cNvSpPr>
                      <a:spLocks noChangeArrowheads="1"/>
                    </xdr:cNvSpPr>
                  </xdr:nvSpPr>
                  <xdr:spPr bwMode="auto">
                    <a:xfrm>
                      <a:off x="146" y="41"/>
                      <a:ext cx="23" cy="146"/>
                    </a:xfrm>
                    <a:prstGeom prst="rect">
                      <a:avLst/>
                    </a:prstGeom>
                    <a:grpFill/>
                    <a:ln w="9525">
                      <a:solidFill>
                        <a:srgbClr val="000000"/>
                      </a:solidFill>
                      <a:miter lim="800000"/>
                      <a:headEnd/>
                      <a:tailEnd/>
                    </a:ln>
                  </xdr:spPr>
                </xdr:sp>
                <xdr:sp macro="" textlink="">
                  <xdr:nvSpPr>
                    <xdr:cNvPr id="338" name="Oval 1119">
                      <a:extLst>
                        <a:ext uri="{FF2B5EF4-FFF2-40B4-BE49-F238E27FC236}">
                          <a16:creationId xmlns:a16="http://schemas.microsoft.com/office/drawing/2014/main" id="{00000000-0008-0000-0D00-000052010000}"/>
                        </a:ext>
                      </a:extLst>
                    </xdr:cNvPr>
                    <xdr:cNvSpPr>
                      <a:spLocks noChangeArrowheads="1"/>
                    </xdr:cNvSpPr>
                  </xdr:nvSpPr>
                  <xdr:spPr bwMode="auto">
                    <a:xfrm>
                      <a:off x="146" y="33"/>
                      <a:ext cx="23" cy="15"/>
                    </a:xfrm>
                    <a:prstGeom prst="ellipse">
                      <a:avLst/>
                    </a:prstGeom>
                    <a:grpFill/>
                    <a:ln w="9525">
                      <a:solidFill>
                        <a:srgbClr val="000000"/>
                      </a:solidFill>
                      <a:round/>
                      <a:headEnd/>
                      <a:tailEnd/>
                    </a:ln>
                  </xdr:spPr>
                </xdr:sp>
                <xdr:sp macro="" textlink="">
                  <xdr:nvSpPr>
                    <xdr:cNvPr id="339" name="Oval 1120">
                      <a:extLst>
                        <a:ext uri="{FF2B5EF4-FFF2-40B4-BE49-F238E27FC236}">
                          <a16:creationId xmlns:a16="http://schemas.microsoft.com/office/drawing/2014/main" id="{00000000-0008-0000-0D00-000053010000}"/>
                        </a:ext>
                      </a:extLst>
                    </xdr:cNvPr>
                    <xdr:cNvSpPr>
                      <a:spLocks noChangeArrowheads="1"/>
                    </xdr:cNvSpPr>
                  </xdr:nvSpPr>
                  <xdr:spPr bwMode="auto">
                    <a:xfrm>
                      <a:off x="146" y="177"/>
                      <a:ext cx="23" cy="15"/>
                    </a:xfrm>
                    <a:prstGeom prst="ellipse">
                      <a:avLst/>
                    </a:prstGeom>
                    <a:grpFill/>
                    <a:ln w="9525">
                      <a:solidFill>
                        <a:srgbClr val="000000"/>
                      </a:solidFill>
                      <a:round/>
                      <a:headEnd/>
                      <a:tailEnd/>
                    </a:ln>
                  </xdr:spPr>
                </xdr:sp>
                <xdr:sp macro="" textlink="">
                  <xdr:nvSpPr>
                    <xdr:cNvPr id="340" name="Line 1121">
                      <a:extLst>
                        <a:ext uri="{FF2B5EF4-FFF2-40B4-BE49-F238E27FC236}">
                          <a16:creationId xmlns:a16="http://schemas.microsoft.com/office/drawing/2014/main" id="{00000000-0008-0000-0D00-000054010000}"/>
                        </a:ext>
                      </a:extLst>
                    </xdr:cNvPr>
                    <xdr:cNvSpPr>
                      <a:spLocks noChangeShapeType="1"/>
                    </xdr:cNvSpPr>
                  </xdr:nvSpPr>
                  <xdr:spPr bwMode="auto">
                    <a:xfrm>
                      <a:off x="146" y="40"/>
                      <a:ext cx="0" cy="15"/>
                    </a:xfrm>
                    <a:prstGeom prst="line">
                      <a:avLst/>
                    </a:prstGeom>
                    <a:grpFill/>
                    <a:ln w="9525">
                      <a:solidFill>
                        <a:srgbClr val="000000"/>
                      </a:solidFill>
                      <a:round/>
                      <a:headEnd/>
                      <a:tailEnd/>
                    </a:ln>
                  </xdr:spPr>
                </xdr:sp>
                <xdr:sp macro="" textlink="">
                  <xdr:nvSpPr>
                    <xdr:cNvPr id="341" name="Line 1122">
                      <a:extLst>
                        <a:ext uri="{FF2B5EF4-FFF2-40B4-BE49-F238E27FC236}">
                          <a16:creationId xmlns:a16="http://schemas.microsoft.com/office/drawing/2014/main" id="{00000000-0008-0000-0D00-000055010000}"/>
                        </a:ext>
                      </a:extLst>
                    </xdr:cNvPr>
                    <xdr:cNvSpPr>
                      <a:spLocks noChangeShapeType="1"/>
                    </xdr:cNvSpPr>
                  </xdr:nvSpPr>
                  <xdr:spPr bwMode="auto">
                    <a:xfrm>
                      <a:off x="146" y="166"/>
                      <a:ext cx="0" cy="21"/>
                    </a:xfrm>
                    <a:prstGeom prst="line">
                      <a:avLst/>
                    </a:prstGeom>
                    <a:grpFill/>
                    <a:ln w="9525">
                      <a:solidFill>
                        <a:srgbClr val="000000"/>
                      </a:solidFill>
                      <a:round/>
                      <a:headEnd/>
                      <a:tailEnd/>
                    </a:ln>
                  </xdr:spPr>
                </xdr:sp>
                <xdr:sp macro="" textlink="">
                  <xdr:nvSpPr>
                    <xdr:cNvPr id="342" name="Line 1123">
                      <a:extLst>
                        <a:ext uri="{FF2B5EF4-FFF2-40B4-BE49-F238E27FC236}">
                          <a16:creationId xmlns:a16="http://schemas.microsoft.com/office/drawing/2014/main" id="{00000000-0008-0000-0D00-000056010000}"/>
                        </a:ext>
                      </a:extLst>
                    </xdr:cNvPr>
                    <xdr:cNvSpPr>
                      <a:spLocks noChangeShapeType="1"/>
                    </xdr:cNvSpPr>
                  </xdr:nvSpPr>
                  <xdr:spPr bwMode="auto">
                    <a:xfrm>
                      <a:off x="169" y="156"/>
                      <a:ext cx="0" cy="31"/>
                    </a:xfrm>
                    <a:prstGeom prst="line">
                      <a:avLst/>
                    </a:prstGeom>
                    <a:grpFill/>
                    <a:ln w="9525">
                      <a:solidFill>
                        <a:srgbClr val="000000"/>
                      </a:solidFill>
                      <a:round/>
                      <a:headEnd/>
                      <a:tailEnd/>
                    </a:ln>
                  </xdr:spPr>
                </xdr:sp>
              </xdr:grpSp>
              <xdr:sp macro="" textlink="">
                <xdr:nvSpPr>
                  <xdr:cNvPr id="335" name="Text Box 1124">
                    <a:extLst>
                      <a:ext uri="{FF2B5EF4-FFF2-40B4-BE49-F238E27FC236}">
                        <a16:creationId xmlns:a16="http://schemas.microsoft.com/office/drawing/2014/main" id="{00000000-0008-0000-0D00-00004F010000}"/>
                      </a:ext>
                    </a:extLst>
                  </xdr:cNvPr>
                  <xdr:cNvSpPr txBox="1">
                    <a:spLocks noChangeArrowheads="1"/>
                  </xdr:cNvSpPr>
                </xdr:nvSpPr>
                <xdr:spPr bwMode="auto">
                  <a:xfrm>
                    <a:off x="146" y="41"/>
                    <a:ext cx="23" cy="24"/>
                  </a:xfrm>
                  <a:prstGeom prst="rect">
                    <a:avLst/>
                  </a:prstGeom>
                  <a:grpFill/>
                  <a:ln w="9525">
                    <a:noFill/>
                    <a:miter lim="800000"/>
                    <a:headEnd/>
                    <a:tailEnd/>
                  </a:ln>
                </xdr:spPr>
              </xdr:sp>
              <xdr:sp macro="" textlink="">
                <xdr:nvSpPr>
                  <xdr:cNvPr id="336" name="Text Box 1125">
                    <a:extLst>
                      <a:ext uri="{FF2B5EF4-FFF2-40B4-BE49-F238E27FC236}">
                        <a16:creationId xmlns:a16="http://schemas.microsoft.com/office/drawing/2014/main" id="{00000000-0008-0000-0D00-000050010000}"/>
                      </a:ext>
                    </a:extLst>
                  </xdr:cNvPr>
                  <xdr:cNvSpPr txBox="1">
                    <a:spLocks noChangeArrowheads="1"/>
                  </xdr:cNvSpPr>
                </xdr:nvSpPr>
                <xdr:spPr bwMode="auto">
                  <a:xfrm>
                    <a:off x="147" y="171"/>
                    <a:ext cx="21" cy="12"/>
                  </a:xfrm>
                  <a:prstGeom prst="rect">
                    <a:avLst/>
                  </a:prstGeom>
                  <a:grpFill/>
                  <a:ln w="9525">
                    <a:noFill/>
                    <a:miter lim="800000"/>
                    <a:headEnd/>
                    <a:tailEnd/>
                  </a:ln>
                </xdr:spPr>
              </xdr:sp>
            </xdr:grpSp>
            <xdr:sp macro="" textlink="">
              <xdr:nvSpPr>
                <xdr:cNvPr id="332" name="Line 1126">
                  <a:extLst>
                    <a:ext uri="{FF2B5EF4-FFF2-40B4-BE49-F238E27FC236}">
                      <a16:creationId xmlns:a16="http://schemas.microsoft.com/office/drawing/2014/main" id="{00000000-0008-0000-0D00-00004C010000}"/>
                    </a:ext>
                  </a:extLst>
                </xdr:cNvPr>
                <xdr:cNvSpPr>
                  <a:spLocks noChangeShapeType="1"/>
                </xdr:cNvSpPr>
              </xdr:nvSpPr>
              <xdr:spPr bwMode="auto">
                <a:xfrm>
                  <a:off x="154" y="39"/>
                  <a:ext cx="0" cy="30"/>
                </a:xfrm>
                <a:prstGeom prst="line">
                  <a:avLst/>
                </a:prstGeom>
                <a:grpFill/>
                <a:ln w="9525">
                  <a:solidFill>
                    <a:srgbClr val="000000"/>
                  </a:solidFill>
                  <a:round/>
                  <a:headEnd/>
                  <a:tailEnd/>
                </a:ln>
              </xdr:spPr>
            </xdr:sp>
            <xdr:sp macro="" textlink="">
              <xdr:nvSpPr>
                <xdr:cNvPr id="333" name="Line 1127">
                  <a:extLst>
                    <a:ext uri="{FF2B5EF4-FFF2-40B4-BE49-F238E27FC236}">
                      <a16:creationId xmlns:a16="http://schemas.microsoft.com/office/drawing/2014/main" id="{00000000-0008-0000-0D00-00004D010000}"/>
                    </a:ext>
                  </a:extLst>
                </xdr:cNvPr>
                <xdr:cNvSpPr>
                  <a:spLocks noChangeShapeType="1"/>
                </xdr:cNvSpPr>
              </xdr:nvSpPr>
              <xdr:spPr bwMode="auto">
                <a:xfrm>
                  <a:off x="177" y="39"/>
                  <a:ext cx="0" cy="33"/>
                </a:xfrm>
                <a:prstGeom prst="line">
                  <a:avLst/>
                </a:prstGeom>
                <a:grpFill/>
                <a:ln w="9525">
                  <a:solidFill>
                    <a:srgbClr val="000000"/>
                  </a:solidFill>
                  <a:round/>
                  <a:headEnd/>
                  <a:tailEnd/>
                </a:ln>
              </xdr:spPr>
            </xdr:sp>
          </xdr:grpSp>
          <xdr:sp macro="" textlink="">
            <xdr:nvSpPr>
              <xdr:cNvPr id="329" name="Rectangle 1128">
                <a:extLst>
                  <a:ext uri="{FF2B5EF4-FFF2-40B4-BE49-F238E27FC236}">
                    <a16:creationId xmlns:a16="http://schemas.microsoft.com/office/drawing/2014/main" id="{00000000-0008-0000-0D00-000049010000}"/>
                  </a:ext>
                </a:extLst>
              </xdr:cNvPr>
              <xdr:cNvSpPr>
                <a:spLocks noChangeArrowheads="1"/>
              </xdr:cNvSpPr>
            </xdr:nvSpPr>
            <xdr:spPr bwMode="auto">
              <a:xfrm flipV="1">
                <a:off x="151" y="32"/>
                <a:ext cx="25" cy="3"/>
              </a:xfrm>
              <a:prstGeom prst="rect">
                <a:avLst/>
              </a:prstGeom>
              <a:grpFill/>
              <a:ln w="9525">
                <a:solidFill>
                  <a:srgbClr val="000000"/>
                </a:solidFill>
                <a:miter lim="800000"/>
                <a:headEnd/>
                <a:tailEnd/>
              </a:ln>
            </xdr:spPr>
          </xdr:sp>
          <xdr:sp macro="" textlink="">
            <xdr:nvSpPr>
              <xdr:cNvPr id="330" name="Rectangle 1129">
                <a:extLst>
                  <a:ext uri="{FF2B5EF4-FFF2-40B4-BE49-F238E27FC236}">
                    <a16:creationId xmlns:a16="http://schemas.microsoft.com/office/drawing/2014/main" id="{00000000-0008-0000-0D00-00004A010000}"/>
                  </a:ext>
                </a:extLst>
              </xdr:cNvPr>
              <xdr:cNvSpPr>
                <a:spLocks noChangeArrowheads="1"/>
              </xdr:cNvSpPr>
            </xdr:nvSpPr>
            <xdr:spPr bwMode="auto">
              <a:xfrm flipV="1">
                <a:off x="151" y="175"/>
                <a:ext cx="25" cy="3"/>
              </a:xfrm>
              <a:prstGeom prst="rect">
                <a:avLst/>
              </a:prstGeom>
              <a:grpFill/>
              <a:ln w="9525">
                <a:solidFill>
                  <a:srgbClr val="000000"/>
                </a:solidFill>
                <a:miter lim="800000"/>
                <a:headEnd/>
                <a:tailEnd/>
              </a:ln>
            </xdr:spPr>
          </xdr:sp>
        </xdr:grpSp>
        <xdr:sp macro="" textlink="">
          <xdr:nvSpPr>
            <xdr:cNvPr id="320" name="Line 1130">
              <a:extLst>
                <a:ext uri="{FF2B5EF4-FFF2-40B4-BE49-F238E27FC236}">
                  <a16:creationId xmlns:a16="http://schemas.microsoft.com/office/drawing/2014/main" id="{00000000-0008-0000-0D00-000040010000}"/>
                </a:ext>
              </a:extLst>
            </xdr:cNvPr>
            <xdr:cNvSpPr>
              <a:spLocks noChangeShapeType="1"/>
            </xdr:cNvSpPr>
          </xdr:nvSpPr>
          <xdr:spPr bwMode="auto">
            <a:xfrm>
              <a:off x="152" y="166"/>
              <a:ext cx="23" cy="0"/>
            </a:xfrm>
            <a:prstGeom prst="line">
              <a:avLst/>
            </a:prstGeom>
            <a:grpFill/>
            <a:ln w="9525">
              <a:solidFill>
                <a:srgbClr val="000000"/>
              </a:solidFill>
              <a:prstDash val="dashDot"/>
              <a:round/>
              <a:headEnd/>
              <a:tailEnd/>
            </a:ln>
          </xdr:spPr>
        </xdr:sp>
        <xdr:sp macro="" textlink="">
          <xdr:nvSpPr>
            <xdr:cNvPr id="321" name="Line 1131">
              <a:extLst>
                <a:ext uri="{FF2B5EF4-FFF2-40B4-BE49-F238E27FC236}">
                  <a16:creationId xmlns:a16="http://schemas.microsoft.com/office/drawing/2014/main" id="{00000000-0008-0000-0D00-000041010000}"/>
                </a:ext>
              </a:extLst>
            </xdr:cNvPr>
            <xdr:cNvSpPr>
              <a:spLocks noChangeShapeType="1"/>
            </xdr:cNvSpPr>
          </xdr:nvSpPr>
          <xdr:spPr bwMode="auto">
            <a:xfrm flipV="1">
              <a:off x="153" y="59"/>
              <a:ext cx="22" cy="0"/>
            </a:xfrm>
            <a:prstGeom prst="line">
              <a:avLst/>
            </a:prstGeom>
            <a:grpFill/>
            <a:ln w="9525">
              <a:solidFill>
                <a:srgbClr val="000000"/>
              </a:solidFill>
              <a:prstDash val="dash"/>
              <a:round/>
              <a:headEnd/>
              <a:tailEnd/>
            </a:ln>
          </xdr:spPr>
        </xdr:sp>
        <xdr:sp macro="" textlink="">
          <xdr:nvSpPr>
            <xdr:cNvPr id="322" name="Line 1132">
              <a:extLst>
                <a:ext uri="{FF2B5EF4-FFF2-40B4-BE49-F238E27FC236}">
                  <a16:creationId xmlns:a16="http://schemas.microsoft.com/office/drawing/2014/main" id="{00000000-0008-0000-0D00-000042010000}"/>
                </a:ext>
              </a:extLst>
            </xdr:cNvPr>
            <xdr:cNvSpPr>
              <a:spLocks noChangeShapeType="1"/>
            </xdr:cNvSpPr>
          </xdr:nvSpPr>
          <xdr:spPr bwMode="auto">
            <a:xfrm>
              <a:off x="152" y="70"/>
              <a:ext cx="22" cy="0"/>
            </a:xfrm>
            <a:prstGeom prst="line">
              <a:avLst/>
            </a:prstGeom>
            <a:grpFill/>
            <a:ln w="9525">
              <a:solidFill>
                <a:srgbClr val="000000"/>
              </a:solidFill>
              <a:prstDash val="dash"/>
              <a:round/>
              <a:headEnd/>
              <a:tailEnd/>
            </a:ln>
          </xdr:spPr>
        </xdr:sp>
        <xdr:sp macro="" textlink="">
          <xdr:nvSpPr>
            <xdr:cNvPr id="323" name="Line 1133">
              <a:extLst>
                <a:ext uri="{FF2B5EF4-FFF2-40B4-BE49-F238E27FC236}">
                  <a16:creationId xmlns:a16="http://schemas.microsoft.com/office/drawing/2014/main" id="{00000000-0008-0000-0D00-000043010000}"/>
                </a:ext>
              </a:extLst>
            </xdr:cNvPr>
            <xdr:cNvSpPr>
              <a:spLocks noChangeShapeType="1"/>
            </xdr:cNvSpPr>
          </xdr:nvSpPr>
          <xdr:spPr bwMode="auto">
            <a:xfrm>
              <a:off x="153" y="109"/>
              <a:ext cx="22" cy="0"/>
            </a:xfrm>
            <a:prstGeom prst="line">
              <a:avLst/>
            </a:prstGeom>
            <a:grpFill/>
            <a:ln w="9525">
              <a:solidFill>
                <a:srgbClr val="000000"/>
              </a:solidFill>
              <a:prstDash val="dash"/>
              <a:round/>
              <a:headEnd/>
              <a:tailEnd/>
            </a:ln>
          </xdr:spPr>
        </xdr:sp>
        <xdr:sp macro="" textlink="">
          <xdr:nvSpPr>
            <xdr:cNvPr id="324" name="Line 1134">
              <a:extLst>
                <a:ext uri="{FF2B5EF4-FFF2-40B4-BE49-F238E27FC236}">
                  <a16:creationId xmlns:a16="http://schemas.microsoft.com/office/drawing/2014/main" id="{00000000-0008-0000-0D00-000044010000}"/>
                </a:ext>
              </a:extLst>
            </xdr:cNvPr>
            <xdr:cNvSpPr>
              <a:spLocks noChangeShapeType="1"/>
            </xdr:cNvSpPr>
          </xdr:nvSpPr>
          <xdr:spPr bwMode="auto">
            <a:xfrm>
              <a:off x="153" y="82"/>
              <a:ext cx="22" cy="0"/>
            </a:xfrm>
            <a:prstGeom prst="line">
              <a:avLst/>
            </a:prstGeom>
            <a:grpFill/>
            <a:ln w="9525">
              <a:solidFill>
                <a:srgbClr val="000000"/>
              </a:solidFill>
              <a:prstDash val="dash"/>
              <a:round/>
              <a:headEnd/>
              <a:tailEnd/>
            </a:ln>
          </xdr:spPr>
        </xdr:sp>
        <xdr:sp macro="" textlink="">
          <xdr:nvSpPr>
            <xdr:cNvPr id="325" name="Line 1135">
              <a:extLst>
                <a:ext uri="{FF2B5EF4-FFF2-40B4-BE49-F238E27FC236}">
                  <a16:creationId xmlns:a16="http://schemas.microsoft.com/office/drawing/2014/main" id="{00000000-0008-0000-0D00-000045010000}"/>
                </a:ext>
              </a:extLst>
            </xdr:cNvPr>
            <xdr:cNvSpPr>
              <a:spLocks noChangeShapeType="1"/>
            </xdr:cNvSpPr>
          </xdr:nvSpPr>
          <xdr:spPr bwMode="auto">
            <a:xfrm>
              <a:off x="153" y="137"/>
              <a:ext cx="22" cy="0"/>
            </a:xfrm>
            <a:prstGeom prst="line">
              <a:avLst/>
            </a:prstGeom>
            <a:grpFill/>
            <a:ln w="9525">
              <a:solidFill>
                <a:srgbClr val="000000"/>
              </a:solidFill>
              <a:prstDash val="dashDot"/>
              <a:round/>
              <a:headEnd/>
              <a:tailEnd/>
            </a:ln>
          </xdr:spPr>
        </xdr:sp>
        <xdr:sp macro="" textlink="">
          <xdr:nvSpPr>
            <xdr:cNvPr id="326" name="Line 1136">
              <a:extLst>
                <a:ext uri="{FF2B5EF4-FFF2-40B4-BE49-F238E27FC236}">
                  <a16:creationId xmlns:a16="http://schemas.microsoft.com/office/drawing/2014/main" id="{00000000-0008-0000-0D00-000046010000}"/>
                </a:ext>
              </a:extLst>
            </xdr:cNvPr>
            <xdr:cNvSpPr>
              <a:spLocks noChangeShapeType="1"/>
            </xdr:cNvSpPr>
          </xdr:nvSpPr>
          <xdr:spPr bwMode="auto">
            <a:xfrm>
              <a:off x="152" y="96"/>
              <a:ext cx="22" cy="0"/>
            </a:xfrm>
            <a:prstGeom prst="line">
              <a:avLst/>
            </a:prstGeom>
            <a:grpFill/>
            <a:ln w="9525">
              <a:solidFill>
                <a:srgbClr val="000000"/>
              </a:solidFill>
              <a:prstDash val="dash"/>
              <a:round/>
              <a:headEnd/>
              <a:tailEnd/>
            </a:ln>
          </xdr:spPr>
        </xdr:sp>
        <xdr:sp macro="" textlink="">
          <xdr:nvSpPr>
            <xdr:cNvPr id="327" name="Line 1137">
              <a:extLst>
                <a:ext uri="{FF2B5EF4-FFF2-40B4-BE49-F238E27FC236}">
                  <a16:creationId xmlns:a16="http://schemas.microsoft.com/office/drawing/2014/main" id="{00000000-0008-0000-0D00-000047010000}"/>
                </a:ext>
              </a:extLst>
            </xdr:cNvPr>
            <xdr:cNvSpPr>
              <a:spLocks noChangeShapeType="1"/>
            </xdr:cNvSpPr>
          </xdr:nvSpPr>
          <xdr:spPr bwMode="auto">
            <a:xfrm>
              <a:off x="152" y="124"/>
              <a:ext cx="23" cy="0"/>
            </a:xfrm>
            <a:prstGeom prst="line">
              <a:avLst/>
            </a:prstGeom>
            <a:grpFill/>
            <a:ln w="9525">
              <a:solidFill>
                <a:srgbClr val="000000"/>
              </a:solidFill>
              <a:prstDash val="dashDot"/>
              <a:round/>
              <a:headEnd/>
              <a:tailEnd/>
            </a:ln>
          </xdr:spPr>
        </xdr:sp>
      </xdr:grpSp>
      <xdr:sp macro="" textlink="">
        <xdr:nvSpPr>
          <xdr:cNvPr id="318" name="TextBox 317">
            <a:extLst>
              <a:ext uri="{FF2B5EF4-FFF2-40B4-BE49-F238E27FC236}">
                <a16:creationId xmlns:a16="http://schemas.microsoft.com/office/drawing/2014/main" id="{00000000-0008-0000-0D00-00003E010000}"/>
              </a:ext>
            </a:extLst>
          </xdr:cNvPr>
          <xdr:cNvSpPr txBox="1"/>
        </xdr:nvSpPr>
        <xdr:spPr>
          <a:xfrm>
            <a:off x="22193251" y="21431252"/>
            <a:ext cx="1119188" cy="404811"/>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rtl="0" eaLnBrk="1" fontAlgn="auto" latinLnBrk="0" hangingPunct="1">
              <a:lnSpc>
                <a:spcPct val="100000"/>
              </a:lnSpc>
              <a:spcBef>
                <a:spcPts val="0"/>
              </a:spcBef>
              <a:spcAft>
                <a:spcPts val="0"/>
              </a:spcAft>
              <a:buClrTx/>
              <a:buSzTx/>
              <a:buFontTx/>
              <a:buNone/>
              <a:tabLst/>
              <a:defRPr/>
            </a:pPr>
            <a:r>
              <a:rPr lang="en-US" sz="1100" b="1" i="0">
                <a:solidFill>
                  <a:schemeClr val="dk1"/>
                </a:solidFill>
                <a:latin typeface="+mn-lt"/>
                <a:ea typeface="+mn-ea"/>
                <a:cs typeface="+mn-cs"/>
              </a:rPr>
              <a:t>Atmospheric Tower</a:t>
            </a:r>
            <a:endParaRPr lang="en-CA"/>
          </a:p>
          <a:p>
            <a:endParaRPr lang="en-CA" sz="1100"/>
          </a:p>
        </xdr:txBody>
      </xdr:sp>
    </xdr:grpSp>
    <xdr:clientData/>
  </xdr:twoCellAnchor>
  <xdr:twoCellAnchor>
    <xdr:from>
      <xdr:col>39</xdr:col>
      <xdr:colOff>900546</xdr:colOff>
      <xdr:row>100</xdr:row>
      <xdr:rowOff>103920</xdr:rowOff>
    </xdr:from>
    <xdr:to>
      <xdr:col>42</xdr:col>
      <xdr:colOff>107003</xdr:colOff>
      <xdr:row>109</xdr:row>
      <xdr:rowOff>89161</xdr:rowOff>
    </xdr:to>
    <xdr:sp macro="" textlink="">
      <xdr:nvSpPr>
        <xdr:cNvPr id="343" name="Flowchart: Or 342" descr="32aa78ce-09a6-4a73-bdda-9f472f37d59f">
          <a:extLst>
            <a:ext uri="{FF2B5EF4-FFF2-40B4-BE49-F238E27FC236}">
              <a16:creationId xmlns:a16="http://schemas.microsoft.com/office/drawing/2014/main" id="{00000000-0008-0000-0D00-000057010000}"/>
            </a:ext>
          </a:extLst>
        </xdr:cNvPr>
        <xdr:cNvSpPr/>
      </xdr:nvSpPr>
      <xdr:spPr bwMode="auto">
        <a:xfrm>
          <a:off x="33926319" y="14910965"/>
          <a:ext cx="1353911" cy="1388014"/>
        </a:xfrm>
        <a:prstGeom prst="flowChartOr">
          <a:avLst/>
        </a:prstGeom>
        <a:solidFill>
          <a:srgbClr val="FFFFFF"/>
        </a:solidFill>
        <a:ln w="25400" cap="flat" cmpd="sng" algn="ctr">
          <a:solidFill>
            <a:srgbClr val="7030A0"/>
          </a:solidFill>
          <a:prstDash val="solid"/>
          <a:round/>
          <a:headEnd type="none" w="med" len="med"/>
          <a:tailEnd type="triangle" w="med" len="med"/>
        </a:ln>
        <a:effectLst/>
      </xdr:spPr>
      <xdr:txBody>
        <a:bodyPr vertOverflow="clip" wrap="square" lIns="18288" tIns="0" rIns="0" bIns="0" rtlCol="0" anchor="ctr" upright="1"/>
        <a:lstStyle/>
        <a:p>
          <a:pPr algn="ctr"/>
          <a:r>
            <a:rPr lang="en-CA" sz="1400"/>
            <a:t>AGO FLOW SPLITTER</a:t>
          </a:r>
        </a:p>
      </xdr:txBody>
    </xdr:sp>
    <xdr:clientData/>
  </xdr:twoCellAnchor>
  <xdr:twoCellAnchor>
    <xdr:from>
      <xdr:col>20</xdr:col>
      <xdr:colOff>675409</xdr:colOff>
      <xdr:row>119</xdr:row>
      <xdr:rowOff>34636</xdr:rowOff>
    </xdr:from>
    <xdr:to>
      <xdr:col>20</xdr:col>
      <xdr:colOff>991031</xdr:colOff>
      <xdr:row>188</xdr:row>
      <xdr:rowOff>133323</xdr:rowOff>
    </xdr:to>
    <xdr:cxnSp macro="">
      <xdr:nvCxnSpPr>
        <xdr:cNvPr id="346" name="AutoShape 14" descr="eb21e28f-f6fb-49ee-8e49-44f619ce1929">
          <a:extLst>
            <a:ext uri="{FF2B5EF4-FFF2-40B4-BE49-F238E27FC236}">
              <a16:creationId xmlns:a16="http://schemas.microsoft.com/office/drawing/2014/main" id="{00000000-0008-0000-0D00-00005A010000}"/>
            </a:ext>
          </a:extLst>
        </xdr:cNvPr>
        <xdr:cNvCxnSpPr>
          <a:cxnSpLocks noChangeShapeType="1"/>
          <a:endCxn id="347" idx="2"/>
        </xdr:cNvCxnSpPr>
      </xdr:nvCxnSpPr>
      <xdr:spPr bwMode="auto">
        <a:xfrm rot="10800000" flipV="1">
          <a:off x="15828818" y="17820409"/>
          <a:ext cx="315622" cy="11147687"/>
        </a:xfrm>
        <a:prstGeom prst="bentConnector3">
          <a:avLst>
            <a:gd name="adj1" fmla="val 333150"/>
          </a:avLst>
        </a:prstGeom>
        <a:noFill/>
        <a:ln w="25400">
          <a:solidFill>
            <a:srgbClr val="7030A0"/>
          </a:solidFill>
          <a:miter lim="800000"/>
          <a:headEnd/>
          <a:tailEnd type="triangle" w="med" len="med"/>
        </a:ln>
      </xdr:spPr>
    </xdr:cxnSp>
    <xdr:clientData/>
  </xdr:twoCellAnchor>
  <xdr:twoCellAnchor>
    <xdr:from>
      <xdr:col>20</xdr:col>
      <xdr:colOff>675409</xdr:colOff>
      <xdr:row>185</xdr:row>
      <xdr:rowOff>43915</xdr:rowOff>
    </xdr:from>
    <xdr:to>
      <xdr:col>21</xdr:col>
      <xdr:colOff>771456</xdr:colOff>
      <xdr:row>192</xdr:row>
      <xdr:rowOff>77693</xdr:rowOff>
    </xdr:to>
    <xdr:sp macro="" textlink="">
      <xdr:nvSpPr>
        <xdr:cNvPr id="347" name="Flowchart: Or 346" descr="81f65066-81e4-4fa3-a755-700e043b7283">
          <a:extLst>
            <a:ext uri="{FF2B5EF4-FFF2-40B4-BE49-F238E27FC236}">
              <a16:creationId xmlns:a16="http://schemas.microsoft.com/office/drawing/2014/main" id="{00000000-0008-0000-0D00-00005B010000}"/>
            </a:ext>
          </a:extLst>
        </xdr:cNvPr>
        <xdr:cNvSpPr/>
      </xdr:nvSpPr>
      <xdr:spPr bwMode="auto">
        <a:xfrm>
          <a:off x="15828818" y="28411097"/>
          <a:ext cx="1117820" cy="1124823"/>
        </a:xfrm>
        <a:prstGeom prst="flowChartOr">
          <a:avLst/>
        </a:prstGeom>
        <a:noFill/>
        <a:ln w="25400" cap="flat" cmpd="sng" algn="ctr">
          <a:solidFill>
            <a:srgbClr val="7030A0"/>
          </a:solidFill>
          <a:prstDash val="solid"/>
          <a:round/>
          <a:headEnd type="none" w="med" len="med"/>
          <a:tailEnd type="triangle" w="med" len="med"/>
        </a:ln>
        <a:effectLst/>
      </xdr:spPr>
      <xdr:txBody>
        <a:bodyPr vertOverflow="clip" wrap="square" lIns="18288" tIns="0" rIns="0" bIns="0" rtlCol="0" anchor="ctr" upright="1"/>
        <a:lstStyle/>
        <a:p>
          <a:pPr algn="ctr"/>
          <a:r>
            <a:rPr lang="en-CA" sz="1400"/>
            <a:t>AR</a:t>
          </a:r>
          <a:r>
            <a:rPr lang="en-CA" sz="1400" baseline="0"/>
            <a:t> </a:t>
          </a:r>
          <a:r>
            <a:rPr lang="en-CA" sz="1400"/>
            <a:t>FLOW SPLITTER</a:t>
          </a:r>
        </a:p>
      </xdr:txBody>
    </xdr:sp>
    <xdr:clientData/>
  </xdr:twoCellAnchor>
  <xdr:twoCellAnchor>
    <xdr:from>
      <xdr:col>31</xdr:col>
      <xdr:colOff>259770</xdr:colOff>
      <xdr:row>134</xdr:row>
      <xdr:rowOff>103909</xdr:rowOff>
    </xdr:from>
    <xdr:to>
      <xdr:col>34</xdr:col>
      <xdr:colOff>545725</xdr:colOff>
      <xdr:row>199</xdr:row>
      <xdr:rowOff>77930</xdr:rowOff>
    </xdr:to>
    <xdr:grpSp>
      <xdr:nvGrpSpPr>
        <xdr:cNvPr id="348" name="Group 347">
          <a:hlinkClick xmlns:r="http://schemas.openxmlformats.org/officeDocument/2006/relationships" r:id="rId2"/>
          <a:extLst>
            <a:ext uri="{FF2B5EF4-FFF2-40B4-BE49-F238E27FC236}">
              <a16:creationId xmlns:a16="http://schemas.microsoft.com/office/drawing/2014/main" id="{00000000-0008-0000-0D00-00005C010000}"/>
            </a:ext>
          </a:extLst>
        </xdr:cNvPr>
        <xdr:cNvGrpSpPr/>
      </xdr:nvGrpSpPr>
      <xdr:grpSpPr>
        <a:xfrm>
          <a:off x="25925315" y="22375091"/>
          <a:ext cx="2710501" cy="10261021"/>
          <a:chOff x="21978937" y="20812126"/>
          <a:chExt cx="1694351" cy="10263187"/>
        </a:xfrm>
        <a:gradFill>
          <a:gsLst>
            <a:gs pos="0">
              <a:srgbClr val="DDEBCF">
                <a:alpha val="0"/>
              </a:srgbClr>
            </a:gs>
            <a:gs pos="50000">
              <a:srgbClr val="9CB86E">
                <a:alpha val="72000"/>
              </a:srgbClr>
            </a:gs>
            <a:gs pos="100000">
              <a:srgbClr val="156B13"/>
            </a:gs>
          </a:gsLst>
          <a:lin ang="5400000" scaled="0"/>
        </a:gradFill>
      </xdr:grpSpPr>
      <xdr:grpSp>
        <xdr:nvGrpSpPr>
          <xdr:cNvPr id="349" name="Group 1113">
            <a:extLst>
              <a:ext uri="{FF2B5EF4-FFF2-40B4-BE49-F238E27FC236}">
                <a16:creationId xmlns:a16="http://schemas.microsoft.com/office/drawing/2014/main" id="{00000000-0008-0000-0D00-00005D010000}"/>
              </a:ext>
            </a:extLst>
          </xdr:cNvPr>
          <xdr:cNvGrpSpPr>
            <a:grpSpLocks/>
          </xdr:cNvGrpSpPr>
        </xdr:nvGrpSpPr>
        <xdr:grpSpPr bwMode="auto">
          <a:xfrm>
            <a:off x="21978937" y="20812126"/>
            <a:ext cx="1694351" cy="10263187"/>
            <a:chOff x="151" y="40"/>
            <a:chExt cx="25" cy="159"/>
          </a:xfrm>
          <a:grpFill/>
        </xdr:grpSpPr>
        <xdr:grpSp>
          <xdr:nvGrpSpPr>
            <xdr:cNvPr id="351" name="Group 1114">
              <a:extLst>
                <a:ext uri="{FF2B5EF4-FFF2-40B4-BE49-F238E27FC236}">
                  <a16:creationId xmlns:a16="http://schemas.microsoft.com/office/drawing/2014/main" id="{00000000-0008-0000-0D00-00005F010000}"/>
                </a:ext>
              </a:extLst>
            </xdr:cNvPr>
            <xdr:cNvGrpSpPr>
              <a:grpSpLocks/>
            </xdr:cNvGrpSpPr>
          </xdr:nvGrpSpPr>
          <xdr:grpSpPr bwMode="auto">
            <a:xfrm>
              <a:off x="151" y="40"/>
              <a:ext cx="25" cy="159"/>
              <a:chOff x="151" y="26"/>
              <a:chExt cx="25" cy="159"/>
            </a:xfrm>
            <a:grpFill/>
          </xdr:grpSpPr>
          <xdr:grpSp>
            <xdr:nvGrpSpPr>
              <xdr:cNvPr id="360" name="Group 1115">
                <a:extLst>
                  <a:ext uri="{FF2B5EF4-FFF2-40B4-BE49-F238E27FC236}">
                    <a16:creationId xmlns:a16="http://schemas.microsoft.com/office/drawing/2014/main" id="{00000000-0008-0000-0D00-000068010000}"/>
                  </a:ext>
                </a:extLst>
              </xdr:cNvPr>
              <xdr:cNvGrpSpPr>
                <a:grpSpLocks/>
              </xdr:cNvGrpSpPr>
            </xdr:nvGrpSpPr>
            <xdr:grpSpPr bwMode="auto">
              <a:xfrm>
                <a:off x="152" y="26"/>
                <a:ext cx="23" cy="159"/>
                <a:chOff x="154" y="32"/>
                <a:chExt cx="23" cy="159"/>
              </a:xfrm>
              <a:grpFill/>
            </xdr:grpSpPr>
            <xdr:grpSp>
              <xdr:nvGrpSpPr>
                <xdr:cNvPr id="363" name="Group 1116">
                  <a:extLst>
                    <a:ext uri="{FF2B5EF4-FFF2-40B4-BE49-F238E27FC236}">
                      <a16:creationId xmlns:a16="http://schemas.microsoft.com/office/drawing/2014/main" id="{00000000-0008-0000-0D00-00006B010000}"/>
                    </a:ext>
                  </a:extLst>
                </xdr:cNvPr>
                <xdr:cNvGrpSpPr>
                  <a:grpSpLocks/>
                </xdr:cNvGrpSpPr>
              </xdr:nvGrpSpPr>
              <xdr:grpSpPr bwMode="auto">
                <a:xfrm>
                  <a:off x="154" y="32"/>
                  <a:ext cx="23" cy="159"/>
                  <a:chOff x="146" y="33"/>
                  <a:chExt cx="23" cy="159"/>
                </a:xfrm>
                <a:grpFill/>
              </xdr:grpSpPr>
              <xdr:grpSp>
                <xdr:nvGrpSpPr>
                  <xdr:cNvPr id="366" name="Group 1117">
                    <a:extLst>
                      <a:ext uri="{FF2B5EF4-FFF2-40B4-BE49-F238E27FC236}">
                        <a16:creationId xmlns:a16="http://schemas.microsoft.com/office/drawing/2014/main" id="{00000000-0008-0000-0D00-00006E010000}"/>
                      </a:ext>
                    </a:extLst>
                  </xdr:cNvPr>
                  <xdr:cNvGrpSpPr>
                    <a:grpSpLocks/>
                  </xdr:cNvGrpSpPr>
                </xdr:nvGrpSpPr>
                <xdr:grpSpPr bwMode="auto">
                  <a:xfrm>
                    <a:off x="146" y="33"/>
                    <a:ext cx="23" cy="159"/>
                    <a:chOff x="146" y="33"/>
                    <a:chExt cx="23" cy="159"/>
                  </a:xfrm>
                  <a:grpFill/>
                </xdr:grpSpPr>
                <xdr:sp macro="" textlink="">
                  <xdr:nvSpPr>
                    <xdr:cNvPr id="369" name="Rectangle 1118">
                      <a:extLst>
                        <a:ext uri="{FF2B5EF4-FFF2-40B4-BE49-F238E27FC236}">
                          <a16:creationId xmlns:a16="http://schemas.microsoft.com/office/drawing/2014/main" id="{00000000-0008-0000-0D00-000071010000}"/>
                        </a:ext>
                      </a:extLst>
                    </xdr:cNvPr>
                    <xdr:cNvSpPr>
                      <a:spLocks noChangeArrowheads="1"/>
                    </xdr:cNvSpPr>
                  </xdr:nvSpPr>
                  <xdr:spPr bwMode="auto">
                    <a:xfrm>
                      <a:off x="146" y="41"/>
                      <a:ext cx="23" cy="143"/>
                    </a:xfrm>
                    <a:prstGeom prst="rect">
                      <a:avLst/>
                    </a:prstGeom>
                    <a:grpFill/>
                    <a:ln w="9525">
                      <a:solidFill>
                        <a:srgbClr val="000000"/>
                      </a:solidFill>
                      <a:miter lim="800000"/>
                      <a:headEnd/>
                      <a:tailEnd/>
                    </a:ln>
                  </xdr:spPr>
                </xdr:sp>
                <xdr:sp macro="" textlink="">
                  <xdr:nvSpPr>
                    <xdr:cNvPr id="370" name="Oval 1119">
                      <a:extLst>
                        <a:ext uri="{FF2B5EF4-FFF2-40B4-BE49-F238E27FC236}">
                          <a16:creationId xmlns:a16="http://schemas.microsoft.com/office/drawing/2014/main" id="{00000000-0008-0000-0D00-000072010000}"/>
                        </a:ext>
                      </a:extLst>
                    </xdr:cNvPr>
                    <xdr:cNvSpPr>
                      <a:spLocks noChangeArrowheads="1"/>
                    </xdr:cNvSpPr>
                  </xdr:nvSpPr>
                  <xdr:spPr bwMode="auto">
                    <a:xfrm>
                      <a:off x="146" y="33"/>
                      <a:ext cx="23" cy="15"/>
                    </a:xfrm>
                    <a:prstGeom prst="ellipse">
                      <a:avLst/>
                    </a:prstGeom>
                    <a:grpFill/>
                    <a:ln w="9525">
                      <a:solidFill>
                        <a:srgbClr val="000000"/>
                      </a:solidFill>
                      <a:round/>
                      <a:headEnd/>
                      <a:tailEnd/>
                    </a:ln>
                  </xdr:spPr>
                </xdr:sp>
                <xdr:sp macro="" textlink="">
                  <xdr:nvSpPr>
                    <xdr:cNvPr id="371" name="Oval 1120">
                      <a:extLst>
                        <a:ext uri="{FF2B5EF4-FFF2-40B4-BE49-F238E27FC236}">
                          <a16:creationId xmlns:a16="http://schemas.microsoft.com/office/drawing/2014/main" id="{00000000-0008-0000-0D00-000073010000}"/>
                        </a:ext>
                      </a:extLst>
                    </xdr:cNvPr>
                    <xdr:cNvSpPr>
                      <a:spLocks noChangeArrowheads="1"/>
                    </xdr:cNvSpPr>
                  </xdr:nvSpPr>
                  <xdr:spPr bwMode="auto">
                    <a:xfrm>
                      <a:off x="146" y="177"/>
                      <a:ext cx="23" cy="15"/>
                    </a:xfrm>
                    <a:prstGeom prst="ellipse">
                      <a:avLst/>
                    </a:prstGeom>
                    <a:grpFill/>
                    <a:ln w="9525">
                      <a:solidFill>
                        <a:srgbClr val="000000"/>
                      </a:solidFill>
                      <a:round/>
                      <a:headEnd/>
                      <a:tailEnd/>
                    </a:ln>
                  </xdr:spPr>
                </xdr:sp>
                <xdr:sp macro="" textlink="">
                  <xdr:nvSpPr>
                    <xdr:cNvPr id="372" name="Line 1121">
                      <a:extLst>
                        <a:ext uri="{FF2B5EF4-FFF2-40B4-BE49-F238E27FC236}">
                          <a16:creationId xmlns:a16="http://schemas.microsoft.com/office/drawing/2014/main" id="{00000000-0008-0000-0D00-000074010000}"/>
                        </a:ext>
                      </a:extLst>
                    </xdr:cNvPr>
                    <xdr:cNvSpPr>
                      <a:spLocks noChangeShapeType="1"/>
                    </xdr:cNvSpPr>
                  </xdr:nvSpPr>
                  <xdr:spPr bwMode="auto">
                    <a:xfrm>
                      <a:off x="146" y="40"/>
                      <a:ext cx="0" cy="15"/>
                    </a:xfrm>
                    <a:prstGeom prst="line">
                      <a:avLst/>
                    </a:prstGeom>
                    <a:grpFill/>
                    <a:ln w="9525">
                      <a:solidFill>
                        <a:srgbClr val="000000"/>
                      </a:solidFill>
                      <a:round/>
                      <a:headEnd/>
                      <a:tailEnd/>
                    </a:ln>
                  </xdr:spPr>
                </xdr:sp>
              </xdr:grpSp>
              <xdr:sp macro="" textlink="">
                <xdr:nvSpPr>
                  <xdr:cNvPr id="367" name="Text Box 1124">
                    <a:extLst>
                      <a:ext uri="{FF2B5EF4-FFF2-40B4-BE49-F238E27FC236}">
                        <a16:creationId xmlns:a16="http://schemas.microsoft.com/office/drawing/2014/main" id="{00000000-0008-0000-0D00-00006F010000}"/>
                      </a:ext>
                    </a:extLst>
                  </xdr:cNvPr>
                  <xdr:cNvSpPr txBox="1">
                    <a:spLocks noChangeArrowheads="1"/>
                  </xdr:cNvSpPr>
                </xdr:nvSpPr>
                <xdr:spPr bwMode="auto">
                  <a:xfrm>
                    <a:off x="146" y="41"/>
                    <a:ext cx="23" cy="24"/>
                  </a:xfrm>
                  <a:prstGeom prst="rect">
                    <a:avLst/>
                  </a:prstGeom>
                  <a:grpFill/>
                  <a:ln w="9525">
                    <a:noFill/>
                    <a:miter lim="800000"/>
                    <a:headEnd/>
                    <a:tailEnd/>
                  </a:ln>
                </xdr:spPr>
              </xdr:sp>
              <xdr:sp macro="" textlink="">
                <xdr:nvSpPr>
                  <xdr:cNvPr id="368" name="Text Box 1125">
                    <a:extLst>
                      <a:ext uri="{FF2B5EF4-FFF2-40B4-BE49-F238E27FC236}">
                        <a16:creationId xmlns:a16="http://schemas.microsoft.com/office/drawing/2014/main" id="{00000000-0008-0000-0D00-000070010000}"/>
                      </a:ext>
                    </a:extLst>
                  </xdr:cNvPr>
                  <xdr:cNvSpPr txBox="1">
                    <a:spLocks noChangeArrowheads="1"/>
                  </xdr:cNvSpPr>
                </xdr:nvSpPr>
                <xdr:spPr bwMode="auto">
                  <a:xfrm>
                    <a:off x="146" y="171"/>
                    <a:ext cx="23" cy="11"/>
                  </a:xfrm>
                  <a:prstGeom prst="rect">
                    <a:avLst/>
                  </a:prstGeom>
                  <a:grpFill/>
                  <a:ln w="9525">
                    <a:noFill/>
                    <a:miter lim="800000"/>
                    <a:headEnd/>
                    <a:tailEnd/>
                  </a:ln>
                </xdr:spPr>
              </xdr:sp>
            </xdr:grpSp>
            <xdr:sp macro="" textlink="">
              <xdr:nvSpPr>
                <xdr:cNvPr id="364" name="Line 1126">
                  <a:extLst>
                    <a:ext uri="{FF2B5EF4-FFF2-40B4-BE49-F238E27FC236}">
                      <a16:creationId xmlns:a16="http://schemas.microsoft.com/office/drawing/2014/main" id="{00000000-0008-0000-0D00-00006C010000}"/>
                    </a:ext>
                  </a:extLst>
                </xdr:cNvPr>
                <xdr:cNvSpPr>
                  <a:spLocks noChangeShapeType="1"/>
                </xdr:cNvSpPr>
              </xdr:nvSpPr>
              <xdr:spPr bwMode="auto">
                <a:xfrm>
                  <a:off x="154" y="39"/>
                  <a:ext cx="0" cy="30"/>
                </a:xfrm>
                <a:prstGeom prst="line">
                  <a:avLst/>
                </a:prstGeom>
                <a:grpFill/>
                <a:ln w="9525">
                  <a:solidFill>
                    <a:srgbClr val="000000"/>
                  </a:solidFill>
                  <a:round/>
                  <a:headEnd/>
                  <a:tailEnd/>
                </a:ln>
              </xdr:spPr>
            </xdr:sp>
          </xdr:grpSp>
          <xdr:sp macro="" textlink="">
            <xdr:nvSpPr>
              <xdr:cNvPr id="361" name="Rectangle 1128">
                <a:extLst>
                  <a:ext uri="{FF2B5EF4-FFF2-40B4-BE49-F238E27FC236}">
                    <a16:creationId xmlns:a16="http://schemas.microsoft.com/office/drawing/2014/main" id="{00000000-0008-0000-0D00-000069010000}"/>
                  </a:ext>
                </a:extLst>
              </xdr:cNvPr>
              <xdr:cNvSpPr>
                <a:spLocks noChangeArrowheads="1"/>
              </xdr:cNvSpPr>
            </xdr:nvSpPr>
            <xdr:spPr bwMode="auto">
              <a:xfrm flipV="1">
                <a:off x="151" y="32"/>
                <a:ext cx="25" cy="3"/>
              </a:xfrm>
              <a:prstGeom prst="rect">
                <a:avLst/>
              </a:prstGeom>
              <a:grpFill/>
              <a:ln w="9525">
                <a:solidFill>
                  <a:srgbClr val="000000"/>
                </a:solidFill>
                <a:miter lim="800000"/>
                <a:headEnd/>
                <a:tailEnd/>
              </a:ln>
            </xdr:spPr>
          </xdr:sp>
          <xdr:sp macro="" textlink="">
            <xdr:nvSpPr>
              <xdr:cNvPr id="362" name="Rectangle 1129">
                <a:extLst>
                  <a:ext uri="{FF2B5EF4-FFF2-40B4-BE49-F238E27FC236}">
                    <a16:creationId xmlns:a16="http://schemas.microsoft.com/office/drawing/2014/main" id="{00000000-0008-0000-0D00-00006A010000}"/>
                  </a:ext>
                </a:extLst>
              </xdr:cNvPr>
              <xdr:cNvSpPr>
                <a:spLocks noChangeArrowheads="1"/>
              </xdr:cNvSpPr>
            </xdr:nvSpPr>
            <xdr:spPr bwMode="auto">
              <a:xfrm flipV="1">
                <a:off x="151" y="175"/>
                <a:ext cx="25" cy="3"/>
              </a:xfrm>
              <a:prstGeom prst="rect">
                <a:avLst/>
              </a:prstGeom>
              <a:grpFill/>
              <a:ln w="9525">
                <a:solidFill>
                  <a:srgbClr val="000000"/>
                </a:solidFill>
                <a:miter lim="800000"/>
                <a:headEnd/>
                <a:tailEnd/>
              </a:ln>
            </xdr:spPr>
          </xdr:sp>
        </xdr:grpSp>
        <xdr:sp macro="" textlink="">
          <xdr:nvSpPr>
            <xdr:cNvPr id="352" name="Line 1130">
              <a:extLst>
                <a:ext uri="{FF2B5EF4-FFF2-40B4-BE49-F238E27FC236}">
                  <a16:creationId xmlns:a16="http://schemas.microsoft.com/office/drawing/2014/main" id="{00000000-0008-0000-0D00-000060010000}"/>
                </a:ext>
              </a:extLst>
            </xdr:cNvPr>
            <xdr:cNvSpPr>
              <a:spLocks noChangeShapeType="1"/>
            </xdr:cNvSpPr>
          </xdr:nvSpPr>
          <xdr:spPr bwMode="auto">
            <a:xfrm>
              <a:off x="152" y="166"/>
              <a:ext cx="23" cy="0"/>
            </a:xfrm>
            <a:prstGeom prst="line">
              <a:avLst/>
            </a:prstGeom>
            <a:grpFill/>
            <a:ln w="9525">
              <a:solidFill>
                <a:srgbClr val="000000"/>
              </a:solidFill>
              <a:prstDash val="dashDot"/>
              <a:round/>
              <a:headEnd/>
              <a:tailEnd/>
            </a:ln>
          </xdr:spPr>
        </xdr:sp>
        <xdr:sp macro="" textlink="">
          <xdr:nvSpPr>
            <xdr:cNvPr id="353" name="Line 1131">
              <a:extLst>
                <a:ext uri="{FF2B5EF4-FFF2-40B4-BE49-F238E27FC236}">
                  <a16:creationId xmlns:a16="http://schemas.microsoft.com/office/drawing/2014/main" id="{00000000-0008-0000-0D00-000061010000}"/>
                </a:ext>
              </a:extLst>
            </xdr:cNvPr>
            <xdr:cNvSpPr>
              <a:spLocks noChangeShapeType="1"/>
            </xdr:cNvSpPr>
          </xdr:nvSpPr>
          <xdr:spPr bwMode="auto">
            <a:xfrm flipV="1">
              <a:off x="153" y="59"/>
              <a:ext cx="22" cy="0"/>
            </a:xfrm>
            <a:prstGeom prst="line">
              <a:avLst/>
            </a:prstGeom>
            <a:grpFill/>
            <a:ln w="9525">
              <a:solidFill>
                <a:srgbClr val="000000"/>
              </a:solidFill>
              <a:prstDash val="dash"/>
              <a:round/>
              <a:headEnd/>
              <a:tailEnd/>
            </a:ln>
          </xdr:spPr>
        </xdr:sp>
        <xdr:sp macro="" textlink="">
          <xdr:nvSpPr>
            <xdr:cNvPr id="354" name="Line 1132">
              <a:extLst>
                <a:ext uri="{FF2B5EF4-FFF2-40B4-BE49-F238E27FC236}">
                  <a16:creationId xmlns:a16="http://schemas.microsoft.com/office/drawing/2014/main" id="{00000000-0008-0000-0D00-000062010000}"/>
                </a:ext>
              </a:extLst>
            </xdr:cNvPr>
            <xdr:cNvSpPr>
              <a:spLocks noChangeShapeType="1"/>
            </xdr:cNvSpPr>
          </xdr:nvSpPr>
          <xdr:spPr bwMode="auto">
            <a:xfrm>
              <a:off x="152" y="70"/>
              <a:ext cx="22" cy="0"/>
            </a:xfrm>
            <a:prstGeom prst="line">
              <a:avLst/>
            </a:prstGeom>
            <a:grpFill/>
            <a:ln w="9525">
              <a:solidFill>
                <a:srgbClr val="000000"/>
              </a:solidFill>
              <a:prstDash val="dash"/>
              <a:round/>
              <a:headEnd/>
              <a:tailEnd/>
            </a:ln>
          </xdr:spPr>
        </xdr:sp>
        <xdr:sp macro="" textlink="">
          <xdr:nvSpPr>
            <xdr:cNvPr id="355" name="Line 1133">
              <a:extLst>
                <a:ext uri="{FF2B5EF4-FFF2-40B4-BE49-F238E27FC236}">
                  <a16:creationId xmlns:a16="http://schemas.microsoft.com/office/drawing/2014/main" id="{00000000-0008-0000-0D00-000063010000}"/>
                </a:ext>
              </a:extLst>
            </xdr:cNvPr>
            <xdr:cNvSpPr>
              <a:spLocks noChangeShapeType="1"/>
            </xdr:cNvSpPr>
          </xdr:nvSpPr>
          <xdr:spPr bwMode="auto">
            <a:xfrm>
              <a:off x="153" y="109"/>
              <a:ext cx="22" cy="0"/>
            </a:xfrm>
            <a:prstGeom prst="line">
              <a:avLst/>
            </a:prstGeom>
            <a:grpFill/>
            <a:ln w="9525">
              <a:solidFill>
                <a:srgbClr val="000000"/>
              </a:solidFill>
              <a:prstDash val="dash"/>
              <a:round/>
              <a:headEnd/>
              <a:tailEnd/>
            </a:ln>
          </xdr:spPr>
        </xdr:sp>
        <xdr:sp macro="" textlink="">
          <xdr:nvSpPr>
            <xdr:cNvPr id="356" name="Line 1134">
              <a:extLst>
                <a:ext uri="{FF2B5EF4-FFF2-40B4-BE49-F238E27FC236}">
                  <a16:creationId xmlns:a16="http://schemas.microsoft.com/office/drawing/2014/main" id="{00000000-0008-0000-0D00-000064010000}"/>
                </a:ext>
              </a:extLst>
            </xdr:cNvPr>
            <xdr:cNvSpPr>
              <a:spLocks noChangeShapeType="1"/>
            </xdr:cNvSpPr>
          </xdr:nvSpPr>
          <xdr:spPr bwMode="auto">
            <a:xfrm>
              <a:off x="153" y="82"/>
              <a:ext cx="22" cy="0"/>
            </a:xfrm>
            <a:prstGeom prst="line">
              <a:avLst/>
            </a:prstGeom>
            <a:grpFill/>
            <a:ln w="9525">
              <a:solidFill>
                <a:srgbClr val="000000"/>
              </a:solidFill>
              <a:prstDash val="dash"/>
              <a:round/>
              <a:headEnd/>
              <a:tailEnd/>
            </a:ln>
          </xdr:spPr>
        </xdr:sp>
        <xdr:sp macro="" textlink="">
          <xdr:nvSpPr>
            <xdr:cNvPr id="357" name="Line 1135">
              <a:extLst>
                <a:ext uri="{FF2B5EF4-FFF2-40B4-BE49-F238E27FC236}">
                  <a16:creationId xmlns:a16="http://schemas.microsoft.com/office/drawing/2014/main" id="{00000000-0008-0000-0D00-000065010000}"/>
                </a:ext>
              </a:extLst>
            </xdr:cNvPr>
            <xdr:cNvSpPr>
              <a:spLocks noChangeShapeType="1"/>
            </xdr:cNvSpPr>
          </xdr:nvSpPr>
          <xdr:spPr bwMode="auto">
            <a:xfrm>
              <a:off x="153" y="137"/>
              <a:ext cx="22" cy="0"/>
            </a:xfrm>
            <a:prstGeom prst="line">
              <a:avLst/>
            </a:prstGeom>
            <a:grpFill/>
            <a:ln w="9525">
              <a:solidFill>
                <a:srgbClr val="000000"/>
              </a:solidFill>
              <a:prstDash val="dashDot"/>
              <a:round/>
              <a:headEnd/>
              <a:tailEnd/>
            </a:ln>
          </xdr:spPr>
        </xdr:sp>
        <xdr:sp macro="" textlink="">
          <xdr:nvSpPr>
            <xdr:cNvPr id="358" name="Line 1136">
              <a:extLst>
                <a:ext uri="{FF2B5EF4-FFF2-40B4-BE49-F238E27FC236}">
                  <a16:creationId xmlns:a16="http://schemas.microsoft.com/office/drawing/2014/main" id="{00000000-0008-0000-0D00-000066010000}"/>
                </a:ext>
              </a:extLst>
            </xdr:cNvPr>
            <xdr:cNvSpPr>
              <a:spLocks noChangeShapeType="1"/>
            </xdr:cNvSpPr>
          </xdr:nvSpPr>
          <xdr:spPr bwMode="auto">
            <a:xfrm>
              <a:off x="152" y="96"/>
              <a:ext cx="22" cy="0"/>
            </a:xfrm>
            <a:prstGeom prst="line">
              <a:avLst/>
            </a:prstGeom>
            <a:grpFill/>
            <a:ln w="9525">
              <a:solidFill>
                <a:srgbClr val="000000"/>
              </a:solidFill>
              <a:prstDash val="dash"/>
              <a:round/>
              <a:headEnd/>
              <a:tailEnd/>
            </a:ln>
          </xdr:spPr>
        </xdr:sp>
        <xdr:sp macro="" textlink="">
          <xdr:nvSpPr>
            <xdr:cNvPr id="359" name="Line 1137">
              <a:extLst>
                <a:ext uri="{FF2B5EF4-FFF2-40B4-BE49-F238E27FC236}">
                  <a16:creationId xmlns:a16="http://schemas.microsoft.com/office/drawing/2014/main" id="{00000000-0008-0000-0D00-000067010000}"/>
                </a:ext>
              </a:extLst>
            </xdr:cNvPr>
            <xdr:cNvSpPr>
              <a:spLocks noChangeShapeType="1"/>
            </xdr:cNvSpPr>
          </xdr:nvSpPr>
          <xdr:spPr bwMode="auto">
            <a:xfrm>
              <a:off x="152" y="124"/>
              <a:ext cx="23" cy="0"/>
            </a:xfrm>
            <a:prstGeom prst="line">
              <a:avLst/>
            </a:prstGeom>
            <a:grpFill/>
            <a:ln w="9525">
              <a:solidFill>
                <a:srgbClr val="000000"/>
              </a:solidFill>
              <a:prstDash val="dashDot"/>
              <a:round/>
              <a:headEnd/>
              <a:tailEnd/>
            </a:ln>
          </xdr:spPr>
        </xdr:sp>
      </xdr:grpSp>
      <xdr:sp macro="" textlink="">
        <xdr:nvSpPr>
          <xdr:cNvPr id="350" name="TextBox 349">
            <a:extLst>
              <a:ext uri="{FF2B5EF4-FFF2-40B4-BE49-F238E27FC236}">
                <a16:creationId xmlns:a16="http://schemas.microsoft.com/office/drawing/2014/main" id="{00000000-0008-0000-0D00-00005E010000}"/>
              </a:ext>
            </a:extLst>
          </xdr:cNvPr>
          <xdr:cNvSpPr txBox="1"/>
        </xdr:nvSpPr>
        <xdr:spPr>
          <a:xfrm>
            <a:off x="22074724" y="21366426"/>
            <a:ext cx="1520599" cy="43304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rtl="0" eaLnBrk="1" fontAlgn="auto" latinLnBrk="0" hangingPunct="1">
              <a:lnSpc>
                <a:spcPct val="100000"/>
              </a:lnSpc>
              <a:spcBef>
                <a:spcPts val="0"/>
              </a:spcBef>
              <a:spcAft>
                <a:spcPts val="0"/>
              </a:spcAft>
              <a:buClrTx/>
              <a:buSzTx/>
              <a:buFontTx/>
              <a:buNone/>
              <a:tabLst/>
              <a:defRPr/>
            </a:pPr>
            <a:r>
              <a:rPr lang="en-US" sz="2000" b="1" i="0">
                <a:solidFill>
                  <a:schemeClr val="dk1"/>
                </a:solidFill>
                <a:latin typeface="Arial" pitchFamily="34" charset="0"/>
                <a:ea typeface="+mn-ea"/>
                <a:cs typeface="Arial" pitchFamily="34" charset="0"/>
              </a:rPr>
              <a:t>Vacuum Tower</a:t>
            </a:r>
            <a:endParaRPr lang="en-CA" sz="2000">
              <a:latin typeface="Arial" pitchFamily="34" charset="0"/>
              <a:cs typeface="Arial" pitchFamily="34" charset="0"/>
            </a:endParaRPr>
          </a:p>
          <a:p>
            <a:endParaRPr lang="en-CA" sz="1100"/>
          </a:p>
        </xdr:txBody>
      </xdr:sp>
    </xdr:grpSp>
    <xdr:clientData/>
  </xdr:twoCellAnchor>
  <xdr:twoCellAnchor>
    <xdr:from>
      <xdr:col>41</xdr:col>
      <xdr:colOff>484894</xdr:colOff>
      <xdr:row>141</xdr:row>
      <xdr:rowOff>69273</xdr:rowOff>
    </xdr:from>
    <xdr:to>
      <xdr:col>43</xdr:col>
      <xdr:colOff>295878</xdr:colOff>
      <xdr:row>149</xdr:row>
      <xdr:rowOff>42144</xdr:rowOff>
    </xdr:to>
    <xdr:sp macro="" textlink="">
      <xdr:nvSpPr>
        <xdr:cNvPr id="375" name="Flowchart: Or 374" descr="02de9eec-faae-42a0-b5c0-2b9412f1b65e">
          <a:extLst>
            <a:ext uri="{FF2B5EF4-FFF2-40B4-BE49-F238E27FC236}">
              <a16:creationId xmlns:a16="http://schemas.microsoft.com/office/drawing/2014/main" id="{00000000-0008-0000-0D00-000077010000}"/>
            </a:ext>
          </a:extLst>
        </xdr:cNvPr>
        <xdr:cNvSpPr/>
      </xdr:nvSpPr>
      <xdr:spPr bwMode="auto">
        <a:xfrm>
          <a:off x="35051985" y="21439909"/>
          <a:ext cx="1369620" cy="1306371"/>
        </a:xfrm>
        <a:prstGeom prst="flowChartOr">
          <a:avLst/>
        </a:prstGeom>
        <a:solidFill>
          <a:srgbClr val="FFFFFF"/>
        </a:solidFill>
        <a:ln w="25400" cap="flat" cmpd="sng" algn="ctr">
          <a:solidFill>
            <a:schemeClr val="accent3">
              <a:lumMod val="75000"/>
            </a:schemeClr>
          </a:solidFill>
          <a:prstDash val="solid"/>
          <a:round/>
          <a:headEnd type="none" w="med" len="med"/>
          <a:tailEnd type="triangle" w="med" len="med"/>
        </a:ln>
        <a:effectLst/>
      </xdr:spPr>
      <xdr:txBody>
        <a:bodyPr vertOverflow="clip" wrap="square" lIns="18288" tIns="0" rIns="0" bIns="0" rtlCol="0" anchor="ctr" upright="1"/>
        <a:lstStyle/>
        <a:p>
          <a:pPr algn="ctr"/>
          <a:r>
            <a:rPr lang="en-CA" sz="1400"/>
            <a:t>LVGO FLOW SPLITTER</a:t>
          </a:r>
        </a:p>
      </xdr:txBody>
    </xdr:sp>
    <xdr:clientData/>
  </xdr:twoCellAnchor>
  <xdr:twoCellAnchor>
    <xdr:from>
      <xdr:col>42</xdr:col>
      <xdr:colOff>34620</xdr:colOff>
      <xdr:row>179</xdr:row>
      <xdr:rowOff>1</xdr:rowOff>
    </xdr:from>
    <xdr:to>
      <xdr:col>43</xdr:col>
      <xdr:colOff>437887</xdr:colOff>
      <xdr:row>187</xdr:row>
      <xdr:rowOff>47092</xdr:rowOff>
    </xdr:to>
    <xdr:sp macro="" textlink="">
      <xdr:nvSpPr>
        <xdr:cNvPr id="376" name="Flowchart: Or 375" descr="6c44a755-6b60-4b9f-b15e-b7fe457ee827">
          <a:extLst>
            <a:ext uri="{FF2B5EF4-FFF2-40B4-BE49-F238E27FC236}">
              <a16:creationId xmlns:a16="http://schemas.microsoft.com/office/drawing/2014/main" id="{00000000-0008-0000-0D00-000078010000}"/>
            </a:ext>
          </a:extLst>
        </xdr:cNvPr>
        <xdr:cNvSpPr/>
      </xdr:nvSpPr>
      <xdr:spPr bwMode="auto">
        <a:xfrm>
          <a:off x="35207847" y="27432001"/>
          <a:ext cx="1355767" cy="1294000"/>
        </a:xfrm>
        <a:prstGeom prst="flowChartOr">
          <a:avLst/>
        </a:prstGeom>
        <a:solidFill>
          <a:srgbClr val="FFFFFF"/>
        </a:solidFill>
        <a:ln w="25400" cap="flat" cmpd="sng" algn="ctr">
          <a:solidFill>
            <a:schemeClr val="accent3">
              <a:lumMod val="75000"/>
            </a:schemeClr>
          </a:solidFill>
          <a:prstDash val="solid"/>
          <a:round/>
          <a:headEnd type="none" w="med" len="med"/>
          <a:tailEnd type="triangle" w="med" len="med"/>
        </a:ln>
        <a:effectLst/>
      </xdr:spPr>
      <xdr:txBody>
        <a:bodyPr vertOverflow="clip" wrap="square" lIns="18288" tIns="0" rIns="0" bIns="0" rtlCol="0" anchor="ctr" upright="1"/>
        <a:lstStyle/>
        <a:p>
          <a:pPr algn="ctr"/>
          <a:r>
            <a:rPr lang="en-CA" sz="1400"/>
            <a:t>HVGO FLOW SPLITTER</a:t>
          </a:r>
        </a:p>
      </xdr:txBody>
    </xdr:sp>
    <xdr:clientData/>
  </xdr:twoCellAnchor>
  <xdr:twoCellAnchor>
    <xdr:from>
      <xdr:col>34</xdr:col>
      <xdr:colOff>484909</xdr:colOff>
      <xdr:row>183</xdr:row>
      <xdr:rowOff>-1</xdr:rowOff>
    </xdr:from>
    <xdr:to>
      <xdr:col>42</xdr:col>
      <xdr:colOff>34620</xdr:colOff>
      <xdr:row>183</xdr:row>
      <xdr:rowOff>23546</xdr:rowOff>
    </xdr:to>
    <xdr:cxnSp macro="">
      <xdr:nvCxnSpPr>
        <xdr:cNvPr id="862" name="Elbow Connector 147" descr="9c273ed5-349f-4a2e-8567-2eb71e3ca6f9">
          <a:extLst>
            <a:ext uri="{FF2B5EF4-FFF2-40B4-BE49-F238E27FC236}">
              <a16:creationId xmlns:a16="http://schemas.microsoft.com/office/drawing/2014/main" id="{00000000-0008-0000-0D00-00005E030000}"/>
            </a:ext>
          </a:extLst>
        </xdr:cNvPr>
        <xdr:cNvCxnSpPr>
          <a:cxnSpLocks noChangeShapeType="1"/>
          <a:endCxn id="376" idx="2"/>
        </xdr:cNvCxnSpPr>
      </xdr:nvCxnSpPr>
      <xdr:spPr bwMode="auto">
        <a:xfrm>
          <a:off x="27553227" y="28055454"/>
          <a:ext cx="7654620" cy="23547"/>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34</xdr:col>
      <xdr:colOff>432955</xdr:colOff>
      <xdr:row>145</xdr:row>
      <xdr:rowOff>99004</xdr:rowOff>
    </xdr:from>
    <xdr:to>
      <xdr:col>41</xdr:col>
      <xdr:colOff>484894</xdr:colOff>
      <xdr:row>145</xdr:row>
      <xdr:rowOff>103909</xdr:rowOff>
    </xdr:to>
    <xdr:cxnSp macro="">
      <xdr:nvCxnSpPr>
        <xdr:cNvPr id="863" name="Elbow Connector 145" descr="c854e398-2b59-4cd4-aea5-c08605fd1f3c">
          <a:extLst>
            <a:ext uri="{FF2B5EF4-FFF2-40B4-BE49-F238E27FC236}">
              <a16:creationId xmlns:a16="http://schemas.microsoft.com/office/drawing/2014/main" id="{00000000-0008-0000-0D00-00005F030000}"/>
            </a:ext>
          </a:extLst>
        </xdr:cNvPr>
        <xdr:cNvCxnSpPr>
          <a:cxnSpLocks noChangeShapeType="1"/>
          <a:endCxn id="375" idx="2"/>
        </xdr:cNvCxnSpPr>
      </xdr:nvCxnSpPr>
      <xdr:spPr bwMode="auto">
        <a:xfrm flipV="1">
          <a:off x="27501273" y="22093095"/>
          <a:ext cx="7550712" cy="4905"/>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48</xdr:col>
      <xdr:colOff>623455</xdr:colOff>
      <xdr:row>37</xdr:row>
      <xdr:rowOff>69188</xdr:rowOff>
    </xdr:from>
    <xdr:to>
      <xdr:col>51</xdr:col>
      <xdr:colOff>1078291</xdr:colOff>
      <xdr:row>56</xdr:row>
      <xdr:rowOff>60073</xdr:rowOff>
    </xdr:to>
    <xdr:sp macro="" textlink="">
      <xdr:nvSpPr>
        <xdr:cNvPr id="864" name="AutoShape 129" descr="ef7adeb3-71c0-4448-9e10-df196a8d9397">
          <a:hlinkClick xmlns:r="http://schemas.openxmlformats.org/officeDocument/2006/relationships" r:id="rId3"/>
          <a:extLst>
            <a:ext uri="{FF2B5EF4-FFF2-40B4-BE49-F238E27FC236}">
              <a16:creationId xmlns:a16="http://schemas.microsoft.com/office/drawing/2014/main" id="{00000000-0008-0000-0D00-000060030000}"/>
            </a:ext>
          </a:extLst>
        </xdr:cNvPr>
        <xdr:cNvSpPr>
          <a:spLocks noChangeArrowheads="1"/>
        </xdr:cNvSpPr>
      </xdr:nvSpPr>
      <xdr:spPr bwMode="auto">
        <a:xfrm>
          <a:off x="41927319" y="5056824"/>
          <a:ext cx="3104517" cy="2952294"/>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Naphtha Hydrotreating</a:t>
          </a:r>
        </a:p>
      </xdr:txBody>
    </xdr:sp>
    <xdr:clientData/>
  </xdr:twoCellAnchor>
  <xdr:twoCellAnchor>
    <xdr:from>
      <xdr:col>49</xdr:col>
      <xdr:colOff>42389</xdr:colOff>
      <xdr:row>31</xdr:row>
      <xdr:rowOff>103911</xdr:rowOff>
    </xdr:from>
    <xdr:to>
      <xdr:col>49</xdr:col>
      <xdr:colOff>664062</xdr:colOff>
      <xdr:row>37</xdr:row>
      <xdr:rowOff>2597</xdr:rowOff>
    </xdr:to>
    <xdr:sp macro="" textlink="">
      <xdr:nvSpPr>
        <xdr:cNvPr id="865" name="Right Arrow 864" descr="32d68309-7e4a-4286-81be-ddff35db8186">
          <a:extLst>
            <a:ext uri="{FF2B5EF4-FFF2-40B4-BE49-F238E27FC236}">
              <a16:creationId xmlns:a16="http://schemas.microsoft.com/office/drawing/2014/main" id="{00000000-0008-0000-0D00-000061030000}"/>
            </a:ext>
          </a:extLst>
        </xdr:cNvPr>
        <xdr:cNvSpPr/>
      </xdr:nvSpPr>
      <xdr:spPr bwMode="auto">
        <a:xfrm rot="16200000">
          <a:off x="42261928" y="4262463"/>
          <a:ext cx="833867" cy="621673"/>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1100" baseline="0"/>
            <a:t>NHT RFG</a:t>
          </a:r>
          <a:endParaRPr lang="en-CA" sz="1100"/>
        </a:p>
      </xdr:txBody>
    </xdr:sp>
    <xdr:clientData/>
  </xdr:twoCellAnchor>
  <xdr:twoCellAnchor>
    <xdr:from>
      <xdr:col>68</xdr:col>
      <xdr:colOff>838137</xdr:colOff>
      <xdr:row>17</xdr:row>
      <xdr:rowOff>51588</xdr:rowOff>
    </xdr:from>
    <xdr:to>
      <xdr:col>71</xdr:col>
      <xdr:colOff>668666</xdr:colOff>
      <xdr:row>27</xdr:row>
      <xdr:rowOff>138175</xdr:rowOff>
    </xdr:to>
    <xdr:sp macro="" textlink="">
      <xdr:nvSpPr>
        <xdr:cNvPr id="869" name="AutoShape 131" descr="e1754721-d3e8-44ff-bdf8-edf6fd492b0b">
          <a:hlinkClick xmlns:r="http://schemas.openxmlformats.org/officeDocument/2006/relationships" r:id="rId4"/>
          <a:extLst>
            <a:ext uri="{FF2B5EF4-FFF2-40B4-BE49-F238E27FC236}">
              <a16:creationId xmlns:a16="http://schemas.microsoft.com/office/drawing/2014/main" id="{00000000-0008-0000-0D00-000065030000}"/>
            </a:ext>
          </a:extLst>
        </xdr:cNvPr>
        <xdr:cNvSpPr>
          <a:spLocks noChangeArrowheads="1"/>
        </xdr:cNvSpPr>
      </xdr:nvSpPr>
      <xdr:spPr bwMode="auto">
        <a:xfrm>
          <a:off x="60378046" y="1921952"/>
          <a:ext cx="2930484" cy="1645223"/>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Isomerisation Unit</a:t>
          </a:r>
        </a:p>
      </xdr:txBody>
    </xdr:sp>
    <xdr:clientData/>
  </xdr:twoCellAnchor>
  <xdr:twoCellAnchor>
    <xdr:from>
      <xdr:col>50</xdr:col>
      <xdr:colOff>132169</xdr:colOff>
      <xdr:row>22</xdr:row>
      <xdr:rowOff>94882</xdr:rowOff>
    </xdr:from>
    <xdr:to>
      <xdr:col>68</xdr:col>
      <xdr:colOff>838137</xdr:colOff>
      <xdr:row>37</xdr:row>
      <xdr:rowOff>69188</xdr:rowOff>
    </xdr:to>
    <xdr:cxnSp macro="">
      <xdr:nvCxnSpPr>
        <xdr:cNvPr id="870" name="AutoShape 163" descr="a6efb21b-390b-4139-bc0c-e202d9ae0720">
          <a:extLst>
            <a:ext uri="{FF2B5EF4-FFF2-40B4-BE49-F238E27FC236}">
              <a16:creationId xmlns:a16="http://schemas.microsoft.com/office/drawing/2014/main" id="{00000000-0008-0000-0D00-000066030000}"/>
            </a:ext>
          </a:extLst>
        </xdr:cNvPr>
        <xdr:cNvCxnSpPr>
          <a:cxnSpLocks noChangeShapeType="1"/>
          <a:stCxn id="864" idx="0"/>
          <a:endCxn id="869" idx="1"/>
        </xdr:cNvCxnSpPr>
      </xdr:nvCxnSpPr>
      <xdr:spPr bwMode="auto">
        <a:xfrm rot="5400000" flipH="1" flipV="1">
          <a:off x="50772682" y="-4548540"/>
          <a:ext cx="2312260" cy="16898468"/>
        </a:xfrm>
        <a:prstGeom prst="bentConnector2">
          <a:avLst/>
        </a:prstGeom>
        <a:noFill/>
        <a:ln w="25400">
          <a:solidFill>
            <a:srgbClr val="7030A0"/>
          </a:solidFill>
          <a:miter lim="800000"/>
          <a:headEnd/>
          <a:tailEnd type="triangle" w="med" len="med"/>
        </a:ln>
      </xdr:spPr>
    </xdr:cxnSp>
    <xdr:clientData/>
  </xdr:twoCellAnchor>
  <xdr:twoCellAnchor>
    <xdr:from>
      <xdr:col>68</xdr:col>
      <xdr:colOff>894971</xdr:colOff>
      <xdr:row>11</xdr:row>
      <xdr:rowOff>17318</xdr:rowOff>
    </xdr:from>
    <xdr:to>
      <xdr:col>69</xdr:col>
      <xdr:colOff>354900</xdr:colOff>
      <xdr:row>16</xdr:row>
      <xdr:rowOff>78149</xdr:rowOff>
    </xdr:to>
    <xdr:sp macro="" textlink="">
      <xdr:nvSpPr>
        <xdr:cNvPr id="871" name="Right Arrow 870" descr="e3f8dbee-8183-418b-adfd-07e37b974af4">
          <a:extLst>
            <a:ext uri="{FF2B5EF4-FFF2-40B4-BE49-F238E27FC236}">
              <a16:creationId xmlns:a16="http://schemas.microsoft.com/office/drawing/2014/main" id="{00000000-0008-0000-0D00-000067030000}"/>
            </a:ext>
          </a:extLst>
        </xdr:cNvPr>
        <xdr:cNvSpPr/>
      </xdr:nvSpPr>
      <xdr:spPr bwMode="auto">
        <a:xfrm rot="16200000">
          <a:off x="60324929" y="1062451"/>
          <a:ext cx="840149" cy="620247"/>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FF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ISOM RFG</a:t>
          </a:r>
          <a:endParaRPr lang="en-CA" sz="800"/>
        </a:p>
      </xdr:txBody>
    </xdr:sp>
    <xdr:clientData/>
  </xdr:twoCellAnchor>
  <xdr:twoCellAnchor>
    <xdr:from>
      <xdr:col>68</xdr:col>
      <xdr:colOff>1004453</xdr:colOff>
      <xdr:row>39</xdr:row>
      <xdr:rowOff>53239</xdr:rowOff>
    </xdr:from>
    <xdr:to>
      <xdr:col>72</xdr:col>
      <xdr:colOff>143492</xdr:colOff>
      <xdr:row>54</xdr:row>
      <xdr:rowOff>53192</xdr:rowOff>
    </xdr:to>
    <xdr:sp macro="" textlink="">
      <xdr:nvSpPr>
        <xdr:cNvPr id="873" name="AutoShape 132" descr="1e41641f-647e-49a9-b138-d0799317d4d5">
          <a:hlinkClick xmlns:r="http://schemas.openxmlformats.org/officeDocument/2006/relationships" r:id="rId5"/>
          <a:extLst>
            <a:ext uri="{FF2B5EF4-FFF2-40B4-BE49-F238E27FC236}">
              <a16:creationId xmlns:a16="http://schemas.microsoft.com/office/drawing/2014/main" id="{00000000-0008-0000-0D00-000069030000}"/>
            </a:ext>
          </a:extLst>
        </xdr:cNvPr>
        <xdr:cNvSpPr>
          <a:spLocks noChangeArrowheads="1"/>
        </xdr:cNvSpPr>
      </xdr:nvSpPr>
      <xdr:spPr bwMode="auto">
        <a:xfrm>
          <a:off x="61791271" y="6166557"/>
          <a:ext cx="3433948" cy="2337908"/>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Reformer</a:t>
          </a:r>
        </a:p>
      </xdr:txBody>
    </xdr:sp>
    <xdr:clientData/>
  </xdr:twoCellAnchor>
  <xdr:twoCellAnchor>
    <xdr:from>
      <xdr:col>72</xdr:col>
      <xdr:colOff>86591</xdr:colOff>
      <xdr:row>20</xdr:row>
      <xdr:rowOff>122464</xdr:rowOff>
    </xdr:from>
    <xdr:to>
      <xdr:col>87</xdr:col>
      <xdr:colOff>81643</xdr:colOff>
      <xdr:row>40</xdr:row>
      <xdr:rowOff>103910</xdr:rowOff>
    </xdr:to>
    <xdr:cxnSp macro="">
      <xdr:nvCxnSpPr>
        <xdr:cNvPr id="874" name="AutoShape 164" descr="e3566166-e1d7-41c4-89b2-94960ce4906c">
          <a:extLst>
            <a:ext uri="{FF2B5EF4-FFF2-40B4-BE49-F238E27FC236}">
              <a16:creationId xmlns:a16="http://schemas.microsoft.com/office/drawing/2014/main" id="{00000000-0008-0000-0D00-00006A030000}"/>
            </a:ext>
          </a:extLst>
        </xdr:cNvPr>
        <xdr:cNvCxnSpPr>
          <a:cxnSpLocks noChangeShapeType="1"/>
        </xdr:cNvCxnSpPr>
      </xdr:nvCxnSpPr>
      <xdr:spPr bwMode="auto">
        <a:xfrm flipV="1">
          <a:off x="64652484" y="2571750"/>
          <a:ext cx="15616052" cy="3274374"/>
        </a:xfrm>
        <a:prstGeom prst="bentConnector3">
          <a:avLst>
            <a:gd name="adj1" fmla="val 50000"/>
          </a:avLst>
        </a:prstGeom>
        <a:noFill/>
        <a:ln w="127000">
          <a:solidFill>
            <a:srgbClr val="0000FF"/>
          </a:solidFill>
          <a:miter lim="800000"/>
          <a:headEnd/>
          <a:tailEnd type="triangle" w="med" len="med"/>
        </a:ln>
      </xdr:spPr>
    </xdr:cxnSp>
    <xdr:clientData/>
  </xdr:twoCellAnchor>
  <xdr:twoCellAnchor>
    <xdr:from>
      <xdr:col>69</xdr:col>
      <xdr:colOff>161235</xdr:colOff>
      <xdr:row>33</xdr:row>
      <xdr:rowOff>105826</xdr:rowOff>
    </xdr:from>
    <xdr:to>
      <xdr:col>69</xdr:col>
      <xdr:colOff>780435</xdr:colOff>
      <xdr:row>39</xdr:row>
      <xdr:rowOff>4511</xdr:rowOff>
    </xdr:to>
    <xdr:sp macro="" textlink="">
      <xdr:nvSpPr>
        <xdr:cNvPr id="875" name="Right Arrow 874" descr="abd231ea-12b7-46da-9b63-ef06d58e2b7f">
          <a:extLst>
            <a:ext uri="{FF2B5EF4-FFF2-40B4-BE49-F238E27FC236}">
              <a16:creationId xmlns:a16="http://schemas.microsoft.com/office/drawing/2014/main" id="{00000000-0008-0000-0D00-00006B030000}"/>
            </a:ext>
          </a:extLst>
        </xdr:cNvPr>
        <xdr:cNvSpPr/>
      </xdr:nvSpPr>
      <xdr:spPr bwMode="auto">
        <a:xfrm rot="16200000">
          <a:off x="60754128" y="4577342"/>
          <a:ext cx="833867"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FF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REF RFG</a:t>
          </a:r>
          <a:endParaRPr lang="en-CA" sz="800"/>
        </a:p>
      </xdr:txBody>
    </xdr:sp>
    <xdr:clientData/>
  </xdr:twoCellAnchor>
  <xdr:twoCellAnchor>
    <xdr:from>
      <xdr:col>51</xdr:col>
      <xdr:colOff>1078291</xdr:colOff>
      <xdr:row>46</xdr:row>
      <xdr:rowOff>131147</xdr:rowOff>
    </xdr:from>
    <xdr:to>
      <xdr:col>68</xdr:col>
      <xdr:colOff>1004453</xdr:colOff>
      <xdr:row>46</xdr:row>
      <xdr:rowOff>133903</xdr:rowOff>
    </xdr:to>
    <xdr:cxnSp macro="">
      <xdr:nvCxnSpPr>
        <xdr:cNvPr id="876" name="Elbow Connector 875" descr="d7ab7f24-ef2d-40b4-86a6-046821335442">
          <a:extLst>
            <a:ext uri="{FF2B5EF4-FFF2-40B4-BE49-F238E27FC236}">
              <a16:creationId xmlns:a16="http://schemas.microsoft.com/office/drawing/2014/main" id="{00000000-0008-0000-0D00-00006C030000}"/>
            </a:ext>
          </a:extLst>
        </xdr:cNvPr>
        <xdr:cNvCxnSpPr>
          <a:stCxn id="864" idx="3"/>
          <a:endCxn id="873" idx="1"/>
        </xdr:cNvCxnSpPr>
      </xdr:nvCxnSpPr>
      <xdr:spPr bwMode="auto">
        <a:xfrm flipV="1">
          <a:off x="46053609" y="7335511"/>
          <a:ext cx="15737662" cy="2756"/>
        </a:xfrm>
        <a:prstGeom prst="bentConnector3">
          <a:avLst>
            <a:gd name="adj1" fmla="val 50000"/>
          </a:avLst>
        </a:prstGeom>
        <a:solidFill>
          <a:srgbClr val="FFFFFF"/>
        </a:solidFill>
        <a:ln w="25400" cap="flat" cmpd="sng" algn="ctr">
          <a:solidFill>
            <a:srgbClr val="7030A0"/>
          </a:solidFill>
          <a:prstDash val="solid"/>
          <a:round/>
          <a:headEnd type="none" w="med" len="med"/>
          <a:tailEnd type="arrow"/>
        </a:ln>
        <a:effectLst/>
      </xdr:spPr>
    </xdr:cxnSp>
    <xdr:clientData/>
  </xdr:twoCellAnchor>
  <xdr:twoCellAnchor>
    <xdr:from>
      <xdr:col>79</xdr:col>
      <xdr:colOff>381014</xdr:colOff>
      <xdr:row>57</xdr:row>
      <xdr:rowOff>44540</xdr:rowOff>
    </xdr:from>
    <xdr:to>
      <xdr:col>80</xdr:col>
      <xdr:colOff>551344</xdr:colOff>
      <xdr:row>63</xdr:row>
      <xdr:rowOff>127735</xdr:rowOff>
    </xdr:to>
    <xdr:sp macro="" textlink="">
      <xdr:nvSpPr>
        <xdr:cNvPr id="879" name="Flowchart: Or 878" descr="82e80eb2-4645-455d-8e95-6ffad2c9ff74">
          <a:extLst>
            <a:ext uri="{FF2B5EF4-FFF2-40B4-BE49-F238E27FC236}">
              <a16:creationId xmlns:a16="http://schemas.microsoft.com/office/drawing/2014/main" id="{00000000-0008-0000-0D00-00006F030000}"/>
            </a:ext>
          </a:extLst>
        </xdr:cNvPr>
        <xdr:cNvSpPr/>
      </xdr:nvSpPr>
      <xdr:spPr bwMode="auto">
        <a:xfrm>
          <a:off x="71532764" y="9950540"/>
          <a:ext cx="1122830" cy="1226195"/>
        </a:xfrm>
        <a:prstGeom prst="flowChartOr">
          <a:avLst/>
        </a:prstGeom>
        <a:solidFill>
          <a:srgbClr val="FFFFFF"/>
        </a:solidFill>
        <a:ln w="25400" cap="flat" cmpd="sng" algn="ctr">
          <a:solidFill>
            <a:schemeClr val="accent6">
              <a:lumMod val="75000"/>
            </a:schemeClr>
          </a:solidFill>
          <a:prstDash val="solid"/>
          <a:round/>
          <a:headEnd type="none" w="med" len="med"/>
          <a:tailEnd type="triangle" w="med" len="med"/>
        </a:ln>
        <a:effectLst/>
      </xdr:spPr>
      <xdr:txBody>
        <a:bodyPr vertOverflow="clip" wrap="square" lIns="18288" tIns="0" rIns="0" bIns="0" rtlCol="0" anchor="ctr" upright="1"/>
        <a:lstStyle/>
        <a:p>
          <a:pPr algn="ctr"/>
          <a:r>
            <a:rPr lang="en-CA" sz="1400"/>
            <a:t>NAPHTHA FLOW SPLITTER</a:t>
          </a:r>
        </a:p>
      </xdr:txBody>
    </xdr:sp>
    <xdr:clientData/>
  </xdr:twoCellAnchor>
  <xdr:twoCellAnchor>
    <xdr:from>
      <xdr:col>70</xdr:col>
      <xdr:colOff>625927</xdr:colOff>
      <xdr:row>31</xdr:row>
      <xdr:rowOff>126092</xdr:rowOff>
    </xdr:from>
    <xdr:to>
      <xdr:col>99</xdr:col>
      <xdr:colOff>1391318</xdr:colOff>
      <xdr:row>54</xdr:row>
      <xdr:rowOff>53192</xdr:rowOff>
    </xdr:to>
    <xdr:cxnSp macro="">
      <xdr:nvCxnSpPr>
        <xdr:cNvPr id="881" name="AutoShape 146" descr="22840115-f0d4-4b99-a9cd-94d5c9292cb8">
          <a:extLst>
            <a:ext uri="{FF2B5EF4-FFF2-40B4-BE49-F238E27FC236}">
              <a16:creationId xmlns:a16="http://schemas.microsoft.com/office/drawing/2014/main" id="{00000000-0008-0000-0D00-000071030000}"/>
            </a:ext>
          </a:extLst>
        </xdr:cNvPr>
        <xdr:cNvCxnSpPr>
          <a:cxnSpLocks noChangeShapeType="1"/>
          <a:stCxn id="873" idx="2"/>
          <a:endCxn id="882" idx="1"/>
        </xdr:cNvCxnSpPr>
      </xdr:nvCxnSpPr>
      <xdr:spPr bwMode="auto">
        <a:xfrm rot="5400000" flipH="1" flipV="1">
          <a:off x="76431118" y="-7965008"/>
          <a:ext cx="3546600" cy="29392346"/>
        </a:xfrm>
        <a:prstGeom prst="bentConnector5">
          <a:avLst>
            <a:gd name="adj1" fmla="val -6446"/>
            <a:gd name="adj2" fmla="val 52517"/>
            <a:gd name="adj3" fmla="val 106446"/>
          </a:avLst>
        </a:prstGeom>
        <a:noFill/>
        <a:ln w="25400">
          <a:solidFill>
            <a:srgbClr val="7030A0"/>
          </a:solidFill>
          <a:miter lim="800000"/>
          <a:headEnd/>
          <a:tailEnd type="triangle" w="med" len="med"/>
        </a:ln>
      </xdr:spPr>
    </xdr:cxnSp>
    <xdr:clientData/>
  </xdr:twoCellAnchor>
  <xdr:twoCellAnchor>
    <xdr:from>
      <xdr:col>99</xdr:col>
      <xdr:colOff>1154139</xdr:colOff>
      <xdr:row>30</xdr:row>
      <xdr:rowOff>86591</xdr:rowOff>
    </xdr:from>
    <xdr:to>
      <xdr:col>100</xdr:col>
      <xdr:colOff>1007247</xdr:colOff>
      <xdr:row>38</xdr:row>
      <xdr:rowOff>139083</xdr:rowOff>
    </xdr:to>
    <xdr:sp macro="" textlink="">
      <xdr:nvSpPr>
        <xdr:cNvPr id="882" name="Flowchart: Summing Junction 881" descr="5a906506-169b-4faf-a25a-a9529012a4a0">
          <a:extLst>
            <a:ext uri="{FF2B5EF4-FFF2-40B4-BE49-F238E27FC236}">
              <a16:creationId xmlns:a16="http://schemas.microsoft.com/office/drawing/2014/main" id="{00000000-0008-0000-0D00-000072030000}"/>
            </a:ext>
          </a:extLst>
        </xdr:cNvPr>
        <xdr:cNvSpPr/>
      </xdr:nvSpPr>
      <xdr:spPr bwMode="auto">
        <a:xfrm>
          <a:off x="91416503" y="3983182"/>
          <a:ext cx="1619562" cy="1299401"/>
        </a:xfrm>
        <a:prstGeom prst="flowChartSummingJunction">
          <a:avLst/>
        </a:prstGeom>
        <a:solidFill>
          <a:srgbClr val="FFFFFF"/>
        </a:solidFill>
        <a:ln w="25400" cap="flat" cmpd="sng" algn="ctr">
          <a:solidFill>
            <a:schemeClr val="accent3">
              <a:lumMod val="75000"/>
            </a:schemeClr>
          </a:solidFill>
          <a:prstDash val="solid"/>
          <a:round/>
          <a:headEnd type="none" w="med" len="med"/>
          <a:tailEnd type="none" w="med" len="med"/>
        </a:ln>
        <a:effectLst/>
      </xdr:spPr>
      <xdr:txBody>
        <a:bodyPr vertOverflow="clip" wrap="square" lIns="18288" tIns="0" rIns="0" bIns="0" rtlCol="0" anchor="ctr" upright="1"/>
        <a:lstStyle/>
        <a:p>
          <a:pPr algn="ctr"/>
          <a:endParaRPr lang="en-CA" sz="1100"/>
        </a:p>
      </xdr:txBody>
    </xdr:sp>
    <xdr:clientData/>
  </xdr:twoCellAnchor>
  <xdr:twoCellAnchor>
    <xdr:from>
      <xdr:col>103</xdr:col>
      <xdr:colOff>302753</xdr:colOff>
      <xdr:row>31</xdr:row>
      <xdr:rowOff>155861</xdr:rowOff>
    </xdr:from>
    <xdr:to>
      <xdr:col>104</xdr:col>
      <xdr:colOff>917331</xdr:colOff>
      <xdr:row>37</xdr:row>
      <xdr:rowOff>69271</xdr:rowOff>
    </xdr:to>
    <xdr:sp macro="" textlink="">
      <xdr:nvSpPr>
        <xdr:cNvPr id="883" name="Right Arrow 882" descr="3f7f8fd4-9d6c-42be-b35c-802ae4bd240c">
          <a:extLst>
            <a:ext uri="{FF2B5EF4-FFF2-40B4-BE49-F238E27FC236}">
              <a16:creationId xmlns:a16="http://schemas.microsoft.com/office/drawing/2014/main" id="{00000000-0008-0000-0D00-000073030000}"/>
            </a:ext>
          </a:extLst>
        </xdr:cNvPr>
        <xdr:cNvSpPr/>
      </xdr:nvSpPr>
      <xdr:spPr bwMode="auto">
        <a:xfrm>
          <a:off x="95604708" y="4208316"/>
          <a:ext cx="1705623" cy="848591"/>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2000"/>
            <a:t>Gasoline</a:t>
          </a:r>
        </a:p>
      </xdr:txBody>
    </xdr:sp>
    <xdr:clientData/>
  </xdr:twoCellAnchor>
  <xdr:twoCellAnchor>
    <xdr:from>
      <xdr:col>100</xdr:col>
      <xdr:colOff>1007247</xdr:colOff>
      <xdr:row>34</xdr:row>
      <xdr:rowOff>112567</xdr:rowOff>
    </xdr:from>
    <xdr:to>
      <xdr:col>103</xdr:col>
      <xdr:colOff>302753</xdr:colOff>
      <xdr:row>34</xdr:row>
      <xdr:rowOff>112838</xdr:rowOff>
    </xdr:to>
    <xdr:cxnSp macro="">
      <xdr:nvCxnSpPr>
        <xdr:cNvPr id="884" name="Elbow Connector 883" descr="0461afca-f648-4843-b48a-38d3068e98f1">
          <a:extLst>
            <a:ext uri="{FF2B5EF4-FFF2-40B4-BE49-F238E27FC236}">
              <a16:creationId xmlns:a16="http://schemas.microsoft.com/office/drawing/2014/main" id="{00000000-0008-0000-0D00-000074030000}"/>
            </a:ext>
          </a:extLst>
        </xdr:cNvPr>
        <xdr:cNvCxnSpPr>
          <a:stCxn id="882" idx="6"/>
          <a:endCxn id="883" idx="1"/>
        </xdr:cNvCxnSpPr>
      </xdr:nvCxnSpPr>
      <xdr:spPr bwMode="auto">
        <a:xfrm flipV="1">
          <a:off x="93036065" y="4632612"/>
          <a:ext cx="2966961" cy="271"/>
        </a:xfrm>
        <a:prstGeom prst="bentConnector3">
          <a:avLst>
            <a:gd name="adj1" fmla="val 50000"/>
          </a:avLst>
        </a:prstGeom>
        <a:solidFill>
          <a:srgbClr val="FFFFFF"/>
        </a:solidFill>
        <a:ln w="25400" cap="flat" cmpd="sng" algn="ctr">
          <a:solidFill>
            <a:srgbClr val="000000"/>
          </a:solidFill>
          <a:prstDash val="solid"/>
          <a:round/>
          <a:headEnd type="none" w="med" len="med"/>
          <a:tailEnd type="triangle" w="med" len="med"/>
        </a:ln>
        <a:effectLst/>
      </xdr:spPr>
    </xdr:cxnSp>
    <xdr:clientData/>
  </xdr:twoCellAnchor>
  <xdr:twoCellAnchor>
    <xdr:from>
      <xdr:col>77</xdr:col>
      <xdr:colOff>315478</xdr:colOff>
      <xdr:row>73</xdr:row>
      <xdr:rowOff>55202</xdr:rowOff>
    </xdr:from>
    <xdr:to>
      <xdr:col>103</xdr:col>
      <xdr:colOff>240287</xdr:colOff>
      <xdr:row>73</xdr:row>
      <xdr:rowOff>60615</xdr:rowOff>
    </xdr:to>
    <xdr:cxnSp macro="">
      <xdr:nvCxnSpPr>
        <xdr:cNvPr id="888" name="AutoShape 151" descr="6b4c71c4-15a4-46fc-97f0-dae9249b164d">
          <a:extLst>
            <a:ext uri="{FF2B5EF4-FFF2-40B4-BE49-F238E27FC236}">
              <a16:creationId xmlns:a16="http://schemas.microsoft.com/office/drawing/2014/main" id="{00000000-0008-0000-0D00-000078030000}"/>
            </a:ext>
          </a:extLst>
        </xdr:cNvPr>
        <xdr:cNvCxnSpPr>
          <a:cxnSpLocks noChangeShapeType="1"/>
          <a:stCxn id="900" idx="3"/>
          <a:endCxn id="889" idx="1"/>
        </xdr:cNvCxnSpPr>
      </xdr:nvCxnSpPr>
      <xdr:spPr bwMode="auto">
        <a:xfrm flipV="1">
          <a:off x="69276478" y="10653929"/>
          <a:ext cx="26664082" cy="5413"/>
        </a:xfrm>
        <a:prstGeom prst="straightConnector1">
          <a:avLst/>
        </a:prstGeom>
        <a:noFill/>
        <a:ln w="25400">
          <a:solidFill>
            <a:srgbClr val="7030A0"/>
          </a:solidFill>
          <a:round/>
          <a:headEnd/>
          <a:tailEnd type="triangle" w="lg" len="lg"/>
        </a:ln>
      </xdr:spPr>
    </xdr:cxnSp>
    <xdr:clientData/>
  </xdr:twoCellAnchor>
  <xdr:twoCellAnchor>
    <xdr:from>
      <xdr:col>103</xdr:col>
      <xdr:colOff>240287</xdr:colOff>
      <xdr:row>70</xdr:row>
      <xdr:rowOff>103909</xdr:rowOff>
    </xdr:from>
    <xdr:to>
      <xdr:col>104</xdr:col>
      <xdr:colOff>852921</xdr:colOff>
      <xdr:row>76</xdr:row>
      <xdr:rowOff>6494</xdr:rowOff>
    </xdr:to>
    <xdr:sp macro="" textlink="">
      <xdr:nvSpPr>
        <xdr:cNvPr id="889" name="Right Arrow 888" descr="887cf10c-d0c6-4a72-ba75-4bbefbc9c5cb">
          <a:extLst>
            <a:ext uri="{FF2B5EF4-FFF2-40B4-BE49-F238E27FC236}">
              <a16:creationId xmlns:a16="http://schemas.microsoft.com/office/drawing/2014/main" id="{00000000-0008-0000-0D00-000079030000}"/>
            </a:ext>
          </a:extLst>
        </xdr:cNvPr>
        <xdr:cNvSpPr/>
      </xdr:nvSpPr>
      <xdr:spPr bwMode="auto">
        <a:xfrm>
          <a:off x="95940560" y="10235045"/>
          <a:ext cx="1703679" cy="837767"/>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2000"/>
            <a:t>JET</a:t>
          </a:r>
          <a:r>
            <a:rPr lang="en-CA" sz="2000" baseline="0"/>
            <a:t> FUEL</a:t>
          </a:r>
          <a:endParaRPr lang="en-CA" sz="2000"/>
        </a:p>
      </xdr:txBody>
    </xdr:sp>
    <xdr:clientData/>
  </xdr:twoCellAnchor>
  <xdr:twoCellAnchor>
    <xdr:from>
      <xdr:col>93</xdr:col>
      <xdr:colOff>638833</xdr:colOff>
      <xdr:row>89</xdr:row>
      <xdr:rowOff>126403</xdr:rowOff>
    </xdr:from>
    <xdr:to>
      <xdr:col>103</xdr:col>
      <xdr:colOff>349148</xdr:colOff>
      <xdr:row>90</xdr:row>
      <xdr:rowOff>3315</xdr:rowOff>
    </xdr:to>
    <xdr:cxnSp macro="">
      <xdr:nvCxnSpPr>
        <xdr:cNvPr id="890" name="Elbow Connector 197" descr="6da3d25f-5637-4a72-be2b-759044138b44">
          <a:extLst>
            <a:ext uri="{FF2B5EF4-FFF2-40B4-BE49-F238E27FC236}">
              <a16:creationId xmlns:a16="http://schemas.microsoft.com/office/drawing/2014/main" id="{00000000-0008-0000-0D00-00007A030000}"/>
            </a:ext>
          </a:extLst>
        </xdr:cNvPr>
        <xdr:cNvCxnSpPr>
          <a:cxnSpLocks noChangeShapeType="1"/>
          <a:stCxn id="891" idx="3"/>
          <a:endCxn id="892" idx="1"/>
        </xdr:cNvCxnSpPr>
      </xdr:nvCxnSpPr>
      <xdr:spPr bwMode="auto">
        <a:xfrm>
          <a:off x="86016451" y="13326932"/>
          <a:ext cx="10669668" cy="33795"/>
        </a:xfrm>
        <a:prstGeom prst="bentConnector3">
          <a:avLst>
            <a:gd name="adj1" fmla="val 50000"/>
          </a:avLst>
        </a:prstGeom>
        <a:noFill/>
        <a:ln w="25400" algn="ctr">
          <a:solidFill>
            <a:srgbClr val="7030A0"/>
          </a:solidFill>
          <a:round/>
          <a:headEnd/>
          <a:tailEnd type="triangle" w="med" len="med"/>
        </a:ln>
      </xdr:spPr>
    </xdr:cxnSp>
    <xdr:clientData/>
  </xdr:twoCellAnchor>
  <xdr:twoCellAnchor>
    <xdr:from>
      <xdr:col>90</xdr:col>
      <xdr:colOff>531790</xdr:colOff>
      <xdr:row>80</xdr:row>
      <xdr:rowOff>52975</xdr:rowOff>
    </xdr:from>
    <xdr:to>
      <xdr:col>93</xdr:col>
      <xdr:colOff>638833</xdr:colOff>
      <xdr:row>99</xdr:row>
      <xdr:rowOff>42947</xdr:rowOff>
    </xdr:to>
    <xdr:sp macro="" textlink="">
      <xdr:nvSpPr>
        <xdr:cNvPr id="891" name="AutoShape 119" descr="8d9122b6-7f2d-4d64-b46f-0a71653a60aa">
          <a:hlinkClick xmlns:r="http://schemas.openxmlformats.org/officeDocument/2006/relationships" r:id="rId6"/>
          <a:extLst>
            <a:ext uri="{FF2B5EF4-FFF2-40B4-BE49-F238E27FC236}">
              <a16:creationId xmlns:a16="http://schemas.microsoft.com/office/drawing/2014/main" id="{00000000-0008-0000-0D00-00007B030000}"/>
            </a:ext>
          </a:extLst>
        </xdr:cNvPr>
        <xdr:cNvSpPr>
          <a:spLocks noChangeArrowheads="1"/>
        </xdr:cNvSpPr>
      </xdr:nvSpPr>
      <xdr:spPr bwMode="auto">
        <a:xfrm>
          <a:off x="82906231" y="11841563"/>
          <a:ext cx="3110220" cy="2970737"/>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254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Diesel Hydrotreater</a:t>
          </a:r>
        </a:p>
      </xdr:txBody>
    </xdr:sp>
    <xdr:clientData/>
  </xdr:twoCellAnchor>
  <xdr:twoCellAnchor>
    <xdr:from>
      <xdr:col>103</xdr:col>
      <xdr:colOff>349148</xdr:colOff>
      <xdr:row>87</xdr:row>
      <xdr:rowOff>47120</xdr:rowOff>
    </xdr:from>
    <xdr:to>
      <xdr:col>104</xdr:col>
      <xdr:colOff>963726</xdr:colOff>
      <xdr:row>92</xdr:row>
      <xdr:rowOff>116393</xdr:rowOff>
    </xdr:to>
    <xdr:sp macro="" textlink="">
      <xdr:nvSpPr>
        <xdr:cNvPr id="892" name="Right Arrow 891" descr="6681c163-9bc8-41da-ada4-c364bf7ce7b5">
          <a:extLst>
            <a:ext uri="{FF2B5EF4-FFF2-40B4-BE49-F238E27FC236}">
              <a16:creationId xmlns:a16="http://schemas.microsoft.com/office/drawing/2014/main" id="{00000000-0008-0000-0D00-00007C030000}"/>
            </a:ext>
          </a:extLst>
        </xdr:cNvPr>
        <xdr:cNvSpPr/>
      </xdr:nvSpPr>
      <xdr:spPr bwMode="auto">
        <a:xfrm>
          <a:off x="95651103" y="12827938"/>
          <a:ext cx="1705623" cy="848591"/>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2000"/>
            <a:t>ULSD</a:t>
          </a:r>
          <a:r>
            <a:rPr lang="en-CA" sz="2000" baseline="0"/>
            <a:t> </a:t>
          </a:r>
          <a:endParaRPr lang="en-CA" sz="2000"/>
        </a:p>
      </xdr:txBody>
    </xdr:sp>
    <xdr:clientData/>
  </xdr:twoCellAnchor>
  <xdr:twoCellAnchor>
    <xdr:from>
      <xdr:col>23</xdr:col>
      <xdr:colOff>382630</xdr:colOff>
      <xdr:row>89</xdr:row>
      <xdr:rowOff>50307</xdr:rowOff>
    </xdr:from>
    <xdr:to>
      <xdr:col>90</xdr:col>
      <xdr:colOff>531790</xdr:colOff>
      <xdr:row>89</xdr:row>
      <xdr:rowOff>126403</xdr:rowOff>
    </xdr:to>
    <xdr:cxnSp macro="">
      <xdr:nvCxnSpPr>
        <xdr:cNvPr id="893" name="Straight Connector 892">
          <a:extLst>
            <a:ext uri="{FF2B5EF4-FFF2-40B4-BE49-F238E27FC236}">
              <a16:creationId xmlns:a16="http://schemas.microsoft.com/office/drawing/2014/main" id="{00000000-0008-0000-0D00-00007D030000}"/>
            </a:ext>
          </a:extLst>
        </xdr:cNvPr>
        <xdr:cNvCxnSpPr>
          <a:stCxn id="325" idx="1"/>
          <a:endCxn id="891" idx="1"/>
        </xdr:cNvCxnSpPr>
      </xdr:nvCxnSpPr>
      <xdr:spPr bwMode="auto">
        <a:xfrm>
          <a:off x="18838718" y="13250836"/>
          <a:ext cx="64067513" cy="76096"/>
        </a:xfrm>
        <a:prstGeom prst="line">
          <a:avLst/>
        </a:prstGeom>
        <a:solidFill>
          <a:srgbClr val="FFFFFF"/>
        </a:solidFill>
        <a:ln w="25400" cap="flat" cmpd="sng" algn="ctr">
          <a:solidFill>
            <a:srgbClr val="7030A0"/>
          </a:solidFill>
          <a:prstDash val="solid"/>
          <a:round/>
          <a:headEnd type="none" w="med" len="med"/>
          <a:tailEnd type="triangle" w="med" len="med"/>
        </a:ln>
        <a:effectLst/>
      </xdr:spPr>
    </xdr:cxnSp>
    <xdr:clientData/>
  </xdr:twoCellAnchor>
  <xdr:twoCellAnchor>
    <xdr:from>
      <xdr:col>90</xdr:col>
      <xdr:colOff>848592</xdr:colOff>
      <xdr:row>75</xdr:row>
      <xdr:rowOff>-1</xdr:rowOff>
    </xdr:from>
    <xdr:to>
      <xdr:col>91</xdr:col>
      <xdr:colOff>480655</xdr:colOff>
      <xdr:row>80</xdr:row>
      <xdr:rowOff>54548</xdr:rowOff>
    </xdr:to>
    <xdr:sp macro="" textlink="">
      <xdr:nvSpPr>
        <xdr:cNvPr id="898" name="Right Arrow 897" descr="3f911c47-f974-4c12-b7d0-5aa7ac74e3a4">
          <a:extLst>
            <a:ext uri="{FF2B5EF4-FFF2-40B4-BE49-F238E27FC236}">
              <a16:creationId xmlns:a16="http://schemas.microsoft.com/office/drawing/2014/main" id="{00000000-0008-0000-0D00-000082030000}"/>
            </a:ext>
          </a:extLst>
        </xdr:cNvPr>
        <xdr:cNvSpPr/>
      </xdr:nvSpPr>
      <xdr:spPr bwMode="auto">
        <a:xfrm rot="16200000">
          <a:off x="82483076" y="11017788"/>
          <a:ext cx="833867" cy="6192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FF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DHT RFG</a:t>
          </a:r>
          <a:endParaRPr lang="en-CA" sz="800"/>
        </a:p>
      </xdr:txBody>
    </xdr:sp>
    <xdr:clientData/>
  </xdr:twoCellAnchor>
  <xdr:twoCellAnchor>
    <xdr:from>
      <xdr:col>73</xdr:col>
      <xdr:colOff>1472045</xdr:colOff>
      <xdr:row>65</xdr:row>
      <xdr:rowOff>121228</xdr:rowOff>
    </xdr:from>
    <xdr:to>
      <xdr:col>77</xdr:col>
      <xdr:colOff>315478</xdr:colOff>
      <xdr:row>81</xdr:row>
      <xdr:rowOff>1</xdr:rowOff>
    </xdr:to>
    <xdr:sp macro="" textlink="">
      <xdr:nvSpPr>
        <xdr:cNvPr id="900" name="AutoShape 127" descr="6ea4611d-41cb-4da6-9bc6-9d3985bc7367">
          <a:hlinkClick xmlns:r="http://schemas.openxmlformats.org/officeDocument/2006/relationships" r:id="rId7"/>
          <a:extLst>
            <a:ext uri="{FF2B5EF4-FFF2-40B4-BE49-F238E27FC236}">
              <a16:creationId xmlns:a16="http://schemas.microsoft.com/office/drawing/2014/main" id="{00000000-0008-0000-0D00-000084030000}"/>
            </a:ext>
          </a:extLst>
        </xdr:cNvPr>
        <xdr:cNvSpPr>
          <a:spLocks noChangeArrowheads="1"/>
        </xdr:cNvSpPr>
      </xdr:nvSpPr>
      <xdr:spPr bwMode="auto">
        <a:xfrm>
          <a:off x="66190090" y="9473046"/>
          <a:ext cx="3086388" cy="2372591"/>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Merox Unit</a:t>
          </a:r>
        </a:p>
      </xdr:txBody>
    </xdr:sp>
    <xdr:clientData/>
  </xdr:twoCellAnchor>
  <xdr:twoCellAnchor>
    <xdr:from>
      <xdr:col>64</xdr:col>
      <xdr:colOff>23234</xdr:colOff>
      <xdr:row>73</xdr:row>
      <xdr:rowOff>54102</xdr:rowOff>
    </xdr:from>
    <xdr:to>
      <xdr:col>73</xdr:col>
      <xdr:colOff>1472045</xdr:colOff>
      <xdr:row>73</xdr:row>
      <xdr:rowOff>60615</xdr:rowOff>
    </xdr:to>
    <xdr:cxnSp macro="">
      <xdr:nvCxnSpPr>
        <xdr:cNvPr id="903" name="AutoShape 128" descr="d2e08b0f-41b3-4995-af40-6dae563a2af7">
          <a:extLst>
            <a:ext uri="{FF2B5EF4-FFF2-40B4-BE49-F238E27FC236}">
              <a16:creationId xmlns:a16="http://schemas.microsoft.com/office/drawing/2014/main" id="{00000000-0008-0000-0D00-000087030000}"/>
            </a:ext>
          </a:extLst>
        </xdr:cNvPr>
        <xdr:cNvCxnSpPr>
          <a:cxnSpLocks noChangeShapeType="1"/>
          <a:stCxn id="904" idx="3"/>
          <a:endCxn id="900" idx="1"/>
        </xdr:cNvCxnSpPr>
      </xdr:nvCxnSpPr>
      <xdr:spPr bwMode="auto">
        <a:xfrm>
          <a:off x="55960961" y="10652829"/>
          <a:ext cx="10229129" cy="6513"/>
        </a:xfrm>
        <a:prstGeom prst="straightConnector1">
          <a:avLst/>
        </a:prstGeom>
        <a:noFill/>
        <a:ln w="25400">
          <a:solidFill>
            <a:srgbClr val="7030A0"/>
          </a:solidFill>
          <a:round/>
          <a:headEnd/>
          <a:tailEnd type="triangle" w="med" len="med"/>
        </a:ln>
      </xdr:spPr>
    </xdr:cxnSp>
    <xdr:clientData/>
  </xdr:twoCellAnchor>
  <xdr:twoCellAnchor>
    <xdr:from>
      <xdr:col>60</xdr:col>
      <xdr:colOff>513668</xdr:colOff>
      <xdr:row>63</xdr:row>
      <xdr:rowOff>137048</xdr:rowOff>
    </xdr:from>
    <xdr:to>
      <xdr:col>64</xdr:col>
      <xdr:colOff>23234</xdr:colOff>
      <xdr:row>82</xdr:row>
      <xdr:rowOff>127019</xdr:rowOff>
    </xdr:to>
    <xdr:sp macro="" textlink="">
      <xdr:nvSpPr>
        <xdr:cNvPr id="904" name="AutoShape 125" descr="bb1b1a3f-99b0-47f2-a13d-4667af1f1b9a">
          <a:hlinkClick xmlns:r="http://schemas.openxmlformats.org/officeDocument/2006/relationships" r:id="rId8"/>
          <a:extLst>
            <a:ext uri="{FF2B5EF4-FFF2-40B4-BE49-F238E27FC236}">
              <a16:creationId xmlns:a16="http://schemas.microsoft.com/office/drawing/2014/main" id="{00000000-0008-0000-0D00-000088030000}"/>
            </a:ext>
          </a:extLst>
        </xdr:cNvPr>
        <xdr:cNvSpPr>
          <a:spLocks noChangeArrowheads="1"/>
        </xdr:cNvSpPr>
      </xdr:nvSpPr>
      <xdr:spPr bwMode="auto">
        <a:xfrm>
          <a:off x="52849213" y="9177139"/>
          <a:ext cx="3111748" cy="2951380"/>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38100">
          <a:solidFill>
            <a:srgbClr val="7030A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Kero Hydrotreater</a:t>
          </a:r>
        </a:p>
      </xdr:txBody>
    </xdr:sp>
    <xdr:clientData/>
  </xdr:twoCellAnchor>
  <xdr:twoCellAnchor>
    <xdr:from>
      <xdr:col>60</xdr:col>
      <xdr:colOff>631187</xdr:colOff>
      <xdr:row>57</xdr:row>
      <xdr:rowOff>121226</xdr:rowOff>
    </xdr:from>
    <xdr:to>
      <xdr:col>61</xdr:col>
      <xdr:colOff>352316</xdr:colOff>
      <xdr:row>63</xdr:row>
      <xdr:rowOff>19912</xdr:rowOff>
    </xdr:to>
    <xdr:sp macro="" textlink="">
      <xdr:nvSpPr>
        <xdr:cNvPr id="905" name="Right Arrow 904" descr="5b80227f-bd07-47a4-a748-45c001a3aa96">
          <a:extLst>
            <a:ext uri="{FF2B5EF4-FFF2-40B4-BE49-F238E27FC236}">
              <a16:creationId xmlns:a16="http://schemas.microsoft.com/office/drawing/2014/main" id="{00000000-0008-0000-0D00-000089030000}"/>
            </a:ext>
          </a:extLst>
        </xdr:cNvPr>
        <xdr:cNvSpPr/>
      </xdr:nvSpPr>
      <xdr:spPr bwMode="auto">
        <a:xfrm rot="16200000">
          <a:off x="52860636" y="8332231"/>
          <a:ext cx="833868" cy="621675"/>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KHT RFG</a:t>
          </a:r>
          <a:endParaRPr lang="en-CA" sz="800"/>
        </a:p>
      </xdr:txBody>
    </xdr:sp>
    <xdr:clientData/>
  </xdr:twoCellAnchor>
  <xdr:twoCellAnchor>
    <xdr:from>
      <xdr:col>23</xdr:col>
      <xdr:colOff>381000</xdr:colOff>
      <xdr:row>73</xdr:row>
      <xdr:rowOff>51955</xdr:rowOff>
    </xdr:from>
    <xdr:to>
      <xdr:col>60</xdr:col>
      <xdr:colOff>513668</xdr:colOff>
      <xdr:row>73</xdr:row>
      <xdr:rowOff>54102</xdr:rowOff>
    </xdr:to>
    <xdr:cxnSp macro="">
      <xdr:nvCxnSpPr>
        <xdr:cNvPr id="906" name="Straight Connector 905">
          <a:extLst>
            <a:ext uri="{FF2B5EF4-FFF2-40B4-BE49-F238E27FC236}">
              <a16:creationId xmlns:a16="http://schemas.microsoft.com/office/drawing/2014/main" id="{00000000-0008-0000-0D00-00008A030000}"/>
            </a:ext>
          </a:extLst>
        </xdr:cNvPr>
        <xdr:cNvCxnSpPr>
          <a:endCxn id="904" idx="1"/>
        </xdr:cNvCxnSpPr>
      </xdr:nvCxnSpPr>
      <xdr:spPr bwMode="auto">
        <a:xfrm>
          <a:off x="18772909" y="10650682"/>
          <a:ext cx="34076304" cy="2147"/>
        </a:xfrm>
        <a:prstGeom prst="line">
          <a:avLst/>
        </a:prstGeom>
        <a:solidFill>
          <a:srgbClr val="FFFFFF"/>
        </a:solidFill>
        <a:ln w="25400" cap="flat" cmpd="sng" algn="ctr">
          <a:solidFill>
            <a:srgbClr val="7030A0"/>
          </a:solidFill>
          <a:prstDash val="solid"/>
          <a:round/>
          <a:headEnd type="none" w="med" len="med"/>
          <a:tailEnd type="triangle" w="med" len="med"/>
        </a:ln>
        <a:effectLst/>
      </xdr:spPr>
    </xdr:cxnSp>
    <xdr:clientData/>
  </xdr:twoCellAnchor>
  <xdr:twoCellAnchor>
    <xdr:from>
      <xdr:col>71</xdr:col>
      <xdr:colOff>668666</xdr:colOff>
      <xdr:row>22</xdr:row>
      <xdr:rowOff>94882</xdr:rowOff>
    </xdr:from>
    <xdr:to>
      <xdr:col>100</xdr:col>
      <xdr:colOff>197466</xdr:colOff>
      <xdr:row>30</xdr:row>
      <xdr:rowOff>86591</xdr:rowOff>
    </xdr:to>
    <xdr:cxnSp macro="">
      <xdr:nvCxnSpPr>
        <xdr:cNvPr id="910" name="AutoShape 145" descr="ea7d3431-8956-4532-8d33-9dc93d6a90ab">
          <a:extLst>
            <a:ext uri="{FF2B5EF4-FFF2-40B4-BE49-F238E27FC236}">
              <a16:creationId xmlns:a16="http://schemas.microsoft.com/office/drawing/2014/main" id="{00000000-0008-0000-0D00-00008E030000}"/>
            </a:ext>
          </a:extLst>
        </xdr:cNvPr>
        <xdr:cNvCxnSpPr>
          <a:cxnSpLocks noChangeShapeType="1"/>
          <a:stCxn id="869" idx="3"/>
          <a:endCxn id="882" idx="0"/>
        </xdr:cNvCxnSpPr>
      </xdr:nvCxnSpPr>
      <xdr:spPr bwMode="auto">
        <a:xfrm>
          <a:off x="63308530" y="2744564"/>
          <a:ext cx="28917754" cy="1238618"/>
        </a:xfrm>
        <a:prstGeom prst="bentConnector2">
          <a:avLst/>
        </a:prstGeom>
        <a:noFill/>
        <a:ln w="25400">
          <a:solidFill>
            <a:srgbClr val="7030A0"/>
          </a:solidFill>
          <a:miter lim="800000"/>
          <a:headEnd/>
          <a:tailEnd type="triangle" w="med" len="med"/>
        </a:ln>
      </xdr:spPr>
    </xdr:cxnSp>
    <xdr:clientData/>
  </xdr:twoCellAnchor>
  <xdr:twoCellAnchor>
    <xdr:from>
      <xdr:col>76</xdr:col>
      <xdr:colOff>848591</xdr:colOff>
      <xdr:row>150</xdr:row>
      <xdr:rowOff>0</xdr:rowOff>
    </xdr:from>
    <xdr:to>
      <xdr:col>103</xdr:col>
      <xdr:colOff>432429</xdr:colOff>
      <xdr:row>157</xdr:row>
      <xdr:rowOff>137723</xdr:rowOff>
    </xdr:to>
    <xdr:cxnSp macro="">
      <xdr:nvCxnSpPr>
        <xdr:cNvPr id="913" name="AutoShape 160" descr="31fc57c4-d9ce-4870-ab34-027a40851dbb">
          <a:extLst>
            <a:ext uri="{FF2B5EF4-FFF2-40B4-BE49-F238E27FC236}">
              <a16:creationId xmlns:a16="http://schemas.microsoft.com/office/drawing/2014/main" id="{00000000-0008-0000-0D00-000091030000}"/>
            </a:ext>
          </a:extLst>
        </xdr:cNvPr>
        <xdr:cNvCxnSpPr>
          <a:cxnSpLocks noChangeShapeType="1"/>
          <a:endCxn id="914" idx="1"/>
        </xdr:cNvCxnSpPr>
      </xdr:nvCxnSpPr>
      <xdr:spPr bwMode="auto">
        <a:xfrm>
          <a:off x="68787818" y="22860000"/>
          <a:ext cx="27344884" cy="1228768"/>
        </a:xfrm>
        <a:prstGeom prst="bentConnector3">
          <a:avLst>
            <a:gd name="adj1" fmla="val -91"/>
          </a:avLst>
        </a:prstGeom>
        <a:noFill/>
        <a:ln w="25400">
          <a:solidFill>
            <a:schemeClr val="accent3">
              <a:lumMod val="75000"/>
            </a:schemeClr>
          </a:solidFill>
          <a:miter lim="800000"/>
          <a:headEnd/>
          <a:tailEnd type="triangle" w="med" len="med"/>
        </a:ln>
      </xdr:spPr>
    </xdr:cxnSp>
    <xdr:clientData/>
  </xdr:twoCellAnchor>
  <xdr:twoCellAnchor>
    <xdr:from>
      <xdr:col>103</xdr:col>
      <xdr:colOff>432429</xdr:colOff>
      <xdr:row>155</xdr:row>
      <xdr:rowOff>6186</xdr:rowOff>
    </xdr:from>
    <xdr:to>
      <xdr:col>104</xdr:col>
      <xdr:colOff>1064324</xdr:colOff>
      <xdr:row>161</xdr:row>
      <xdr:rowOff>15981</xdr:rowOff>
    </xdr:to>
    <xdr:sp macro="" textlink="">
      <xdr:nvSpPr>
        <xdr:cNvPr id="914" name="Right Arrow 913" descr="79b854d0-62af-4628-a679-574d6dc9e986">
          <a:extLst>
            <a:ext uri="{FF2B5EF4-FFF2-40B4-BE49-F238E27FC236}">
              <a16:creationId xmlns:a16="http://schemas.microsoft.com/office/drawing/2014/main" id="{00000000-0008-0000-0D00-000092030000}"/>
            </a:ext>
          </a:extLst>
        </xdr:cNvPr>
        <xdr:cNvSpPr/>
      </xdr:nvSpPr>
      <xdr:spPr bwMode="auto">
        <a:xfrm>
          <a:off x="96132702" y="23645504"/>
          <a:ext cx="1722940" cy="944977"/>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0" tIns="0" rIns="0" bIns="0" rtlCol="0" anchor="ctr" upright="1"/>
        <a:lstStyle/>
        <a:p>
          <a:pPr algn="ctr"/>
          <a:r>
            <a:rPr lang="en-CA" sz="1400" b="1"/>
            <a:t>HEATING</a:t>
          </a:r>
          <a:r>
            <a:rPr lang="en-CA" sz="1400" b="1" baseline="0"/>
            <a:t> </a:t>
          </a:r>
        </a:p>
        <a:p>
          <a:pPr algn="ctr"/>
          <a:r>
            <a:rPr lang="en-CA" sz="1400" b="1" baseline="0"/>
            <a:t>FUEL OIL</a:t>
          </a:r>
          <a:endParaRPr lang="en-CA" sz="1400" b="1"/>
        </a:p>
      </xdr:txBody>
    </xdr:sp>
    <xdr:clientData/>
  </xdr:twoCellAnchor>
  <xdr:twoCellAnchor>
    <xdr:from>
      <xdr:col>91</xdr:col>
      <xdr:colOff>727363</xdr:colOff>
      <xdr:row>162</xdr:row>
      <xdr:rowOff>69272</xdr:rowOff>
    </xdr:from>
    <xdr:to>
      <xdr:col>95</xdr:col>
      <xdr:colOff>195828</xdr:colOff>
      <xdr:row>183</xdr:row>
      <xdr:rowOff>55293</xdr:rowOff>
    </xdr:to>
    <xdr:grpSp>
      <xdr:nvGrpSpPr>
        <xdr:cNvPr id="915" name="Group 914">
          <a:hlinkClick xmlns:r="http://schemas.openxmlformats.org/officeDocument/2006/relationships" r:id="rId9"/>
          <a:extLst>
            <a:ext uri="{FF2B5EF4-FFF2-40B4-BE49-F238E27FC236}">
              <a16:creationId xmlns:a16="http://schemas.microsoft.com/office/drawing/2014/main" id="{00000000-0008-0000-0D00-000093030000}"/>
            </a:ext>
          </a:extLst>
        </xdr:cNvPr>
        <xdr:cNvGrpSpPr/>
      </xdr:nvGrpSpPr>
      <xdr:grpSpPr>
        <a:xfrm>
          <a:off x="84703227" y="26791227"/>
          <a:ext cx="3382374" cy="3311111"/>
          <a:chOff x="82925260" y="26765250"/>
          <a:chExt cx="3384848" cy="3370489"/>
        </a:xfrm>
      </xdr:grpSpPr>
      <xdr:sp macro="" textlink="">
        <xdr:nvSpPr>
          <xdr:cNvPr id="916" name="AutoShape 111">
            <a:extLst>
              <a:ext uri="{FF2B5EF4-FFF2-40B4-BE49-F238E27FC236}">
                <a16:creationId xmlns:a16="http://schemas.microsoft.com/office/drawing/2014/main" id="{00000000-0008-0000-0D00-000094030000}"/>
              </a:ext>
            </a:extLst>
          </xdr:cNvPr>
          <xdr:cNvSpPr>
            <a:spLocks noChangeArrowheads="1"/>
          </xdr:cNvSpPr>
        </xdr:nvSpPr>
        <xdr:spPr bwMode="auto">
          <a:xfrm>
            <a:off x="82925260" y="26765250"/>
            <a:ext cx="3384848" cy="3370489"/>
          </a:xfrm>
          <a:prstGeom prst="roundRect">
            <a:avLst>
              <a:gd name="adj" fmla="val 16667"/>
            </a:avLst>
          </a:prstGeom>
          <a:gradFill>
            <a:gsLst>
              <a:gs pos="32000">
                <a:schemeClr val="accent3">
                  <a:lumMod val="40000"/>
                  <a:lumOff val="60000"/>
                  <a:alpha val="0"/>
                </a:schemeClr>
              </a:gs>
              <a:gs pos="50000">
                <a:srgbClr val="9CB86E">
                  <a:alpha val="27000"/>
                </a:srgbClr>
              </a:gs>
              <a:gs pos="100000">
                <a:srgbClr val="156B13"/>
              </a:gs>
            </a:gsLst>
            <a:lin ang="5400000" scaled="1"/>
          </a:gradFill>
          <a:ln w="25400">
            <a:solidFill>
              <a:srgbClr val="00000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Alkylation Unit</a:t>
            </a:r>
          </a:p>
        </xdr:txBody>
      </xdr:sp>
      <xdr:sp macro="" textlink="">
        <xdr:nvSpPr>
          <xdr:cNvPr id="917" name="AutoShape 112">
            <a:extLst>
              <a:ext uri="{FF2B5EF4-FFF2-40B4-BE49-F238E27FC236}">
                <a16:creationId xmlns:a16="http://schemas.microsoft.com/office/drawing/2014/main" id="{00000000-0008-0000-0D00-000095030000}"/>
              </a:ext>
            </a:extLst>
          </xdr:cNvPr>
          <xdr:cNvSpPr>
            <a:spLocks noChangeArrowheads="1"/>
          </xdr:cNvSpPr>
        </xdr:nvSpPr>
        <xdr:spPr bwMode="auto">
          <a:xfrm>
            <a:off x="83117734" y="29568078"/>
            <a:ext cx="2566452" cy="390267"/>
          </a:xfrm>
          <a:prstGeom prst="roundRect">
            <a:avLst>
              <a:gd name="adj" fmla="val 16667"/>
            </a:avLst>
          </a:prstGeom>
          <a:noFill/>
          <a:ln w="25400">
            <a:noFill/>
            <a:round/>
            <a:headEnd/>
            <a:tailEnd/>
          </a:ln>
        </xdr:spPr>
      </xdr:sp>
      <xdr:sp macro="" textlink="">
        <xdr:nvSpPr>
          <xdr:cNvPr id="918" name="AutoShape 113">
            <a:extLst>
              <a:ext uri="{FF2B5EF4-FFF2-40B4-BE49-F238E27FC236}">
                <a16:creationId xmlns:a16="http://schemas.microsoft.com/office/drawing/2014/main" id="{00000000-0008-0000-0D00-000096030000}"/>
              </a:ext>
            </a:extLst>
          </xdr:cNvPr>
          <xdr:cNvSpPr>
            <a:spLocks noChangeArrowheads="1"/>
          </xdr:cNvSpPr>
        </xdr:nvSpPr>
        <xdr:spPr bwMode="auto">
          <a:xfrm>
            <a:off x="83457908" y="29130014"/>
            <a:ext cx="2811380" cy="390267"/>
          </a:xfrm>
          <a:prstGeom prst="roundRect">
            <a:avLst>
              <a:gd name="adj" fmla="val 16667"/>
            </a:avLst>
          </a:prstGeom>
          <a:noFill/>
          <a:ln w="25400">
            <a:noFill/>
            <a:round/>
            <a:headEnd/>
            <a:tailEnd/>
          </a:ln>
        </xdr:spPr>
      </xdr:sp>
    </xdr:grpSp>
    <xdr:clientData/>
  </xdr:twoCellAnchor>
  <xdr:twoCellAnchor>
    <xdr:from>
      <xdr:col>95</xdr:col>
      <xdr:colOff>155038</xdr:colOff>
      <xdr:row>38</xdr:row>
      <xdr:rowOff>139083</xdr:rowOff>
    </xdr:from>
    <xdr:to>
      <xdr:col>100</xdr:col>
      <xdr:colOff>197466</xdr:colOff>
      <xdr:row>178</xdr:row>
      <xdr:rowOff>38301</xdr:rowOff>
    </xdr:to>
    <xdr:cxnSp macro="">
      <xdr:nvCxnSpPr>
        <xdr:cNvPr id="919" name="AutoShape 149" descr="f961f9a0-ee7b-49c0-8d31-fa9326dce35e">
          <a:extLst>
            <a:ext uri="{FF2B5EF4-FFF2-40B4-BE49-F238E27FC236}">
              <a16:creationId xmlns:a16="http://schemas.microsoft.com/office/drawing/2014/main" id="{00000000-0008-0000-0D00-000097030000}"/>
            </a:ext>
          </a:extLst>
        </xdr:cNvPr>
        <xdr:cNvCxnSpPr>
          <a:cxnSpLocks noChangeShapeType="1"/>
          <a:stCxn id="918" idx="3"/>
          <a:endCxn id="882" idx="4"/>
        </xdr:cNvCxnSpPr>
      </xdr:nvCxnSpPr>
      <xdr:spPr bwMode="auto">
        <a:xfrm flipV="1">
          <a:off x="87126947" y="5282583"/>
          <a:ext cx="5428383" cy="22031854"/>
        </a:xfrm>
        <a:prstGeom prst="bentConnector2">
          <a:avLst/>
        </a:prstGeom>
        <a:noFill/>
        <a:ln w="25400">
          <a:solidFill>
            <a:schemeClr val="accent3">
              <a:lumMod val="75000"/>
            </a:schemeClr>
          </a:solidFill>
          <a:miter lim="800000"/>
          <a:headEnd/>
          <a:tailEnd type="triangle" w="med" len="med"/>
        </a:ln>
      </xdr:spPr>
    </xdr:cxnSp>
    <xdr:clientData/>
  </xdr:twoCellAnchor>
  <xdr:twoCellAnchor>
    <xdr:from>
      <xdr:col>84</xdr:col>
      <xdr:colOff>127398</xdr:colOff>
      <xdr:row>37</xdr:row>
      <xdr:rowOff>104654</xdr:rowOff>
    </xdr:from>
    <xdr:to>
      <xdr:col>100</xdr:col>
      <xdr:colOff>770067</xdr:colOff>
      <xdr:row>240</xdr:row>
      <xdr:rowOff>9644</xdr:rowOff>
    </xdr:to>
    <xdr:cxnSp macro="">
      <xdr:nvCxnSpPr>
        <xdr:cNvPr id="922" name="AutoShape 147" descr="19d9ab65-6edc-4655-9c11-6b391ddcba09">
          <a:extLst>
            <a:ext uri="{FF2B5EF4-FFF2-40B4-BE49-F238E27FC236}">
              <a16:creationId xmlns:a16="http://schemas.microsoft.com/office/drawing/2014/main" id="{00000000-0008-0000-0D00-00009A030000}"/>
            </a:ext>
          </a:extLst>
        </xdr:cNvPr>
        <xdr:cNvCxnSpPr>
          <a:cxnSpLocks noChangeShapeType="1"/>
          <a:stCxn id="924" idx="3"/>
          <a:endCxn id="882" idx="5"/>
        </xdr:cNvCxnSpPr>
      </xdr:nvCxnSpPr>
      <xdr:spPr bwMode="auto">
        <a:xfrm flipV="1">
          <a:off x="75288307" y="5092290"/>
          <a:ext cx="17839624" cy="31874354"/>
        </a:xfrm>
        <a:prstGeom prst="bentConnector2">
          <a:avLst/>
        </a:prstGeom>
        <a:noFill/>
        <a:ln w="25400">
          <a:solidFill>
            <a:schemeClr val="accent3">
              <a:lumMod val="75000"/>
            </a:schemeClr>
          </a:solidFill>
          <a:miter lim="800000"/>
          <a:headEnd/>
          <a:tailEnd type="triangle" w="med" len="med"/>
        </a:ln>
      </xdr:spPr>
    </xdr:cxnSp>
    <xdr:clientData/>
  </xdr:twoCellAnchor>
  <xdr:twoCellAnchor>
    <xdr:from>
      <xdr:col>81</xdr:col>
      <xdr:colOff>190501</xdr:colOff>
      <xdr:row>210</xdr:row>
      <xdr:rowOff>72855</xdr:rowOff>
    </xdr:from>
    <xdr:to>
      <xdr:col>84</xdr:col>
      <xdr:colOff>127398</xdr:colOff>
      <xdr:row>269</xdr:row>
      <xdr:rowOff>102296</xdr:rowOff>
    </xdr:to>
    <xdr:grpSp>
      <xdr:nvGrpSpPr>
        <xdr:cNvPr id="923" name="Group 922">
          <a:hlinkClick xmlns:r="http://schemas.openxmlformats.org/officeDocument/2006/relationships" r:id="rId10"/>
          <a:extLst>
            <a:ext uri="{FF2B5EF4-FFF2-40B4-BE49-F238E27FC236}">
              <a16:creationId xmlns:a16="http://schemas.microsoft.com/office/drawing/2014/main" id="{00000000-0008-0000-0D00-00009B030000}"/>
            </a:ext>
          </a:extLst>
        </xdr:cNvPr>
        <xdr:cNvGrpSpPr>
          <a:grpSpLocks/>
        </xdr:cNvGrpSpPr>
      </xdr:nvGrpSpPr>
      <xdr:grpSpPr bwMode="auto">
        <a:xfrm>
          <a:off x="73723501" y="34345537"/>
          <a:ext cx="2482670" cy="9225395"/>
          <a:chOff x="2256" y="1008"/>
          <a:chExt cx="480" cy="1536"/>
        </a:xfrm>
        <a:gradFill>
          <a:gsLst>
            <a:gs pos="0">
              <a:schemeClr val="accent3">
                <a:lumMod val="40000"/>
                <a:lumOff val="60000"/>
                <a:alpha val="0"/>
              </a:schemeClr>
            </a:gs>
            <a:gs pos="50000">
              <a:srgbClr val="9CB86E"/>
            </a:gs>
            <a:gs pos="100000">
              <a:srgbClr val="156B13"/>
            </a:gs>
          </a:gsLst>
          <a:lin ang="5400000" scaled="1"/>
        </a:gradFill>
      </xdr:grpSpPr>
      <xdr:sp macro="" textlink="">
        <xdr:nvSpPr>
          <xdr:cNvPr id="924" name="AutoShape 43">
            <a:extLst>
              <a:ext uri="{FF2B5EF4-FFF2-40B4-BE49-F238E27FC236}">
                <a16:creationId xmlns:a16="http://schemas.microsoft.com/office/drawing/2014/main" id="{00000000-0008-0000-0D00-00009C030000}"/>
              </a:ext>
            </a:extLst>
          </xdr:cNvPr>
          <xdr:cNvSpPr>
            <a:spLocks noChangeArrowheads="1"/>
          </xdr:cNvSpPr>
        </xdr:nvSpPr>
        <xdr:spPr bwMode="auto">
          <a:xfrm>
            <a:off x="2256" y="1008"/>
            <a:ext cx="480" cy="1536"/>
          </a:xfrm>
          <a:prstGeom prst="roundRect">
            <a:avLst>
              <a:gd name="adj" fmla="val 18440"/>
            </a:avLst>
          </a:prstGeom>
          <a:grpFill/>
          <a:ln w="9525">
            <a:solidFill>
              <a:schemeClr val="tx1"/>
            </a:solidFill>
            <a:round/>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nvGrpSpPr>
          <xdr:cNvPr id="925" name="Group 302">
            <a:extLst>
              <a:ext uri="{FF2B5EF4-FFF2-40B4-BE49-F238E27FC236}">
                <a16:creationId xmlns:a16="http://schemas.microsoft.com/office/drawing/2014/main" id="{00000000-0008-0000-0D00-00009D030000}"/>
              </a:ext>
            </a:extLst>
          </xdr:cNvPr>
          <xdr:cNvGrpSpPr>
            <a:grpSpLocks/>
          </xdr:cNvGrpSpPr>
        </xdr:nvGrpSpPr>
        <xdr:grpSpPr bwMode="auto">
          <a:xfrm>
            <a:off x="2256" y="1384"/>
            <a:ext cx="288" cy="48"/>
            <a:chOff x="2592" y="1152"/>
            <a:chExt cx="432" cy="48"/>
          </a:xfrm>
          <a:grpFill/>
        </xdr:grpSpPr>
        <xdr:sp macro="" textlink="">
          <xdr:nvSpPr>
            <xdr:cNvPr id="959" name="Line 45">
              <a:extLst>
                <a:ext uri="{FF2B5EF4-FFF2-40B4-BE49-F238E27FC236}">
                  <a16:creationId xmlns:a16="http://schemas.microsoft.com/office/drawing/2014/main" id="{00000000-0008-0000-0D00-0000BF03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60" name="Line 46">
              <a:extLst>
                <a:ext uri="{FF2B5EF4-FFF2-40B4-BE49-F238E27FC236}">
                  <a16:creationId xmlns:a16="http://schemas.microsoft.com/office/drawing/2014/main" id="{00000000-0008-0000-0D00-0000C003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26" name="Group 303">
            <a:extLst>
              <a:ext uri="{FF2B5EF4-FFF2-40B4-BE49-F238E27FC236}">
                <a16:creationId xmlns:a16="http://schemas.microsoft.com/office/drawing/2014/main" id="{00000000-0008-0000-0D00-00009E030000}"/>
              </a:ext>
            </a:extLst>
          </xdr:cNvPr>
          <xdr:cNvGrpSpPr>
            <a:grpSpLocks/>
          </xdr:cNvGrpSpPr>
        </xdr:nvGrpSpPr>
        <xdr:grpSpPr bwMode="auto">
          <a:xfrm>
            <a:off x="2256" y="2008"/>
            <a:ext cx="288" cy="48"/>
            <a:chOff x="2592" y="1152"/>
            <a:chExt cx="432" cy="48"/>
          </a:xfrm>
          <a:grpFill/>
        </xdr:grpSpPr>
        <xdr:sp macro="" textlink="">
          <xdr:nvSpPr>
            <xdr:cNvPr id="957" name="Line 48">
              <a:extLst>
                <a:ext uri="{FF2B5EF4-FFF2-40B4-BE49-F238E27FC236}">
                  <a16:creationId xmlns:a16="http://schemas.microsoft.com/office/drawing/2014/main" id="{00000000-0008-0000-0D00-0000BD03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58" name="Line 49">
              <a:extLst>
                <a:ext uri="{FF2B5EF4-FFF2-40B4-BE49-F238E27FC236}">
                  <a16:creationId xmlns:a16="http://schemas.microsoft.com/office/drawing/2014/main" id="{00000000-0008-0000-0D00-0000BE03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27" name="Group 306">
            <a:extLst>
              <a:ext uri="{FF2B5EF4-FFF2-40B4-BE49-F238E27FC236}">
                <a16:creationId xmlns:a16="http://schemas.microsoft.com/office/drawing/2014/main" id="{00000000-0008-0000-0D00-00009F030000}"/>
              </a:ext>
            </a:extLst>
          </xdr:cNvPr>
          <xdr:cNvGrpSpPr>
            <a:grpSpLocks/>
          </xdr:cNvGrpSpPr>
        </xdr:nvGrpSpPr>
        <xdr:grpSpPr bwMode="auto">
          <a:xfrm>
            <a:off x="2256" y="1808"/>
            <a:ext cx="288" cy="48"/>
            <a:chOff x="2592" y="1152"/>
            <a:chExt cx="432" cy="48"/>
          </a:xfrm>
          <a:grpFill/>
        </xdr:grpSpPr>
        <xdr:sp macro="" textlink="">
          <xdr:nvSpPr>
            <xdr:cNvPr id="955" name="Line 51">
              <a:extLst>
                <a:ext uri="{FF2B5EF4-FFF2-40B4-BE49-F238E27FC236}">
                  <a16:creationId xmlns:a16="http://schemas.microsoft.com/office/drawing/2014/main" id="{00000000-0008-0000-0D00-0000BB03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56" name="Line 52">
              <a:extLst>
                <a:ext uri="{FF2B5EF4-FFF2-40B4-BE49-F238E27FC236}">
                  <a16:creationId xmlns:a16="http://schemas.microsoft.com/office/drawing/2014/main" id="{00000000-0008-0000-0D00-0000BC03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28" name="Group 307">
            <a:extLst>
              <a:ext uri="{FF2B5EF4-FFF2-40B4-BE49-F238E27FC236}">
                <a16:creationId xmlns:a16="http://schemas.microsoft.com/office/drawing/2014/main" id="{00000000-0008-0000-0D00-0000A0030000}"/>
              </a:ext>
            </a:extLst>
          </xdr:cNvPr>
          <xdr:cNvGrpSpPr>
            <a:grpSpLocks/>
          </xdr:cNvGrpSpPr>
        </xdr:nvGrpSpPr>
        <xdr:grpSpPr bwMode="auto">
          <a:xfrm>
            <a:off x="2256" y="1600"/>
            <a:ext cx="288" cy="48"/>
            <a:chOff x="2592" y="1152"/>
            <a:chExt cx="432" cy="48"/>
          </a:xfrm>
          <a:grpFill/>
        </xdr:grpSpPr>
        <xdr:sp macro="" textlink="">
          <xdr:nvSpPr>
            <xdr:cNvPr id="953" name="Line 54">
              <a:extLst>
                <a:ext uri="{FF2B5EF4-FFF2-40B4-BE49-F238E27FC236}">
                  <a16:creationId xmlns:a16="http://schemas.microsoft.com/office/drawing/2014/main" id="{00000000-0008-0000-0D00-0000B903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54" name="Line 55">
              <a:extLst>
                <a:ext uri="{FF2B5EF4-FFF2-40B4-BE49-F238E27FC236}">
                  <a16:creationId xmlns:a16="http://schemas.microsoft.com/office/drawing/2014/main" id="{00000000-0008-0000-0D00-0000BA03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29" name="Group 309">
            <a:extLst>
              <a:ext uri="{FF2B5EF4-FFF2-40B4-BE49-F238E27FC236}">
                <a16:creationId xmlns:a16="http://schemas.microsoft.com/office/drawing/2014/main" id="{00000000-0008-0000-0D00-0000A1030000}"/>
              </a:ext>
            </a:extLst>
          </xdr:cNvPr>
          <xdr:cNvGrpSpPr>
            <a:grpSpLocks/>
          </xdr:cNvGrpSpPr>
        </xdr:nvGrpSpPr>
        <xdr:grpSpPr bwMode="auto">
          <a:xfrm>
            <a:off x="2256" y="2248"/>
            <a:ext cx="288" cy="48"/>
            <a:chOff x="2592" y="1152"/>
            <a:chExt cx="432" cy="48"/>
          </a:xfrm>
          <a:grpFill/>
        </xdr:grpSpPr>
        <xdr:sp macro="" textlink="">
          <xdr:nvSpPr>
            <xdr:cNvPr id="951" name="Line 57">
              <a:extLst>
                <a:ext uri="{FF2B5EF4-FFF2-40B4-BE49-F238E27FC236}">
                  <a16:creationId xmlns:a16="http://schemas.microsoft.com/office/drawing/2014/main" id="{00000000-0008-0000-0D00-0000B703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52" name="Line 58">
              <a:extLst>
                <a:ext uri="{FF2B5EF4-FFF2-40B4-BE49-F238E27FC236}">
                  <a16:creationId xmlns:a16="http://schemas.microsoft.com/office/drawing/2014/main" id="{00000000-0008-0000-0D00-0000B803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30" name="Group 310">
            <a:extLst>
              <a:ext uri="{FF2B5EF4-FFF2-40B4-BE49-F238E27FC236}">
                <a16:creationId xmlns:a16="http://schemas.microsoft.com/office/drawing/2014/main" id="{00000000-0008-0000-0D00-0000A2030000}"/>
              </a:ext>
            </a:extLst>
          </xdr:cNvPr>
          <xdr:cNvGrpSpPr>
            <a:grpSpLocks/>
          </xdr:cNvGrpSpPr>
        </xdr:nvGrpSpPr>
        <xdr:grpSpPr bwMode="auto">
          <a:xfrm>
            <a:off x="2256" y="1152"/>
            <a:ext cx="288" cy="48"/>
            <a:chOff x="2592" y="1152"/>
            <a:chExt cx="432" cy="48"/>
          </a:xfrm>
          <a:grpFill/>
        </xdr:grpSpPr>
        <xdr:sp macro="" textlink="">
          <xdr:nvSpPr>
            <xdr:cNvPr id="949" name="Line 60">
              <a:extLst>
                <a:ext uri="{FF2B5EF4-FFF2-40B4-BE49-F238E27FC236}">
                  <a16:creationId xmlns:a16="http://schemas.microsoft.com/office/drawing/2014/main" id="{00000000-0008-0000-0D00-0000B503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50" name="Line 61">
              <a:extLst>
                <a:ext uri="{FF2B5EF4-FFF2-40B4-BE49-F238E27FC236}">
                  <a16:creationId xmlns:a16="http://schemas.microsoft.com/office/drawing/2014/main" id="{00000000-0008-0000-0D00-0000B603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31" name="Group 326">
            <a:extLst>
              <a:ext uri="{FF2B5EF4-FFF2-40B4-BE49-F238E27FC236}">
                <a16:creationId xmlns:a16="http://schemas.microsoft.com/office/drawing/2014/main" id="{00000000-0008-0000-0D00-0000A3030000}"/>
              </a:ext>
            </a:extLst>
          </xdr:cNvPr>
          <xdr:cNvGrpSpPr>
            <a:grpSpLocks/>
          </xdr:cNvGrpSpPr>
        </xdr:nvGrpSpPr>
        <xdr:grpSpPr bwMode="auto">
          <a:xfrm flipH="1">
            <a:off x="2352" y="1496"/>
            <a:ext cx="376" cy="48"/>
            <a:chOff x="2592" y="1152"/>
            <a:chExt cx="432" cy="48"/>
          </a:xfrm>
          <a:grpFill/>
        </xdr:grpSpPr>
        <xdr:sp macro="" textlink="">
          <xdr:nvSpPr>
            <xdr:cNvPr id="947" name="Line 63">
              <a:extLst>
                <a:ext uri="{FF2B5EF4-FFF2-40B4-BE49-F238E27FC236}">
                  <a16:creationId xmlns:a16="http://schemas.microsoft.com/office/drawing/2014/main" id="{00000000-0008-0000-0D00-0000B303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48" name="Line 64">
              <a:extLst>
                <a:ext uri="{FF2B5EF4-FFF2-40B4-BE49-F238E27FC236}">
                  <a16:creationId xmlns:a16="http://schemas.microsoft.com/office/drawing/2014/main" id="{00000000-0008-0000-0D00-0000B403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32" name="Group 327">
            <a:extLst>
              <a:ext uri="{FF2B5EF4-FFF2-40B4-BE49-F238E27FC236}">
                <a16:creationId xmlns:a16="http://schemas.microsoft.com/office/drawing/2014/main" id="{00000000-0008-0000-0D00-0000A4030000}"/>
              </a:ext>
            </a:extLst>
          </xdr:cNvPr>
          <xdr:cNvGrpSpPr>
            <a:grpSpLocks/>
          </xdr:cNvGrpSpPr>
        </xdr:nvGrpSpPr>
        <xdr:grpSpPr bwMode="auto">
          <a:xfrm flipH="1">
            <a:off x="2352" y="2136"/>
            <a:ext cx="376" cy="48"/>
            <a:chOff x="2592" y="1152"/>
            <a:chExt cx="432" cy="48"/>
          </a:xfrm>
          <a:grpFill/>
        </xdr:grpSpPr>
        <xdr:sp macro="" textlink="">
          <xdr:nvSpPr>
            <xdr:cNvPr id="945" name="Line 66">
              <a:extLst>
                <a:ext uri="{FF2B5EF4-FFF2-40B4-BE49-F238E27FC236}">
                  <a16:creationId xmlns:a16="http://schemas.microsoft.com/office/drawing/2014/main" id="{00000000-0008-0000-0D00-0000B103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46" name="Line 67">
              <a:extLst>
                <a:ext uri="{FF2B5EF4-FFF2-40B4-BE49-F238E27FC236}">
                  <a16:creationId xmlns:a16="http://schemas.microsoft.com/office/drawing/2014/main" id="{00000000-0008-0000-0D00-0000B203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33" name="Group 328">
            <a:extLst>
              <a:ext uri="{FF2B5EF4-FFF2-40B4-BE49-F238E27FC236}">
                <a16:creationId xmlns:a16="http://schemas.microsoft.com/office/drawing/2014/main" id="{00000000-0008-0000-0D00-0000A5030000}"/>
              </a:ext>
            </a:extLst>
          </xdr:cNvPr>
          <xdr:cNvGrpSpPr>
            <a:grpSpLocks/>
          </xdr:cNvGrpSpPr>
        </xdr:nvGrpSpPr>
        <xdr:grpSpPr bwMode="auto">
          <a:xfrm flipH="1">
            <a:off x="2352" y="1904"/>
            <a:ext cx="376" cy="48"/>
            <a:chOff x="2592" y="1152"/>
            <a:chExt cx="432" cy="48"/>
          </a:xfrm>
          <a:grpFill/>
        </xdr:grpSpPr>
        <xdr:sp macro="" textlink="">
          <xdr:nvSpPr>
            <xdr:cNvPr id="943" name="Line 69">
              <a:extLst>
                <a:ext uri="{FF2B5EF4-FFF2-40B4-BE49-F238E27FC236}">
                  <a16:creationId xmlns:a16="http://schemas.microsoft.com/office/drawing/2014/main" id="{00000000-0008-0000-0D00-0000AF03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44" name="Line 70">
              <a:extLst>
                <a:ext uri="{FF2B5EF4-FFF2-40B4-BE49-F238E27FC236}">
                  <a16:creationId xmlns:a16="http://schemas.microsoft.com/office/drawing/2014/main" id="{00000000-0008-0000-0D00-0000B003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34" name="Group 329">
            <a:extLst>
              <a:ext uri="{FF2B5EF4-FFF2-40B4-BE49-F238E27FC236}">
                <a16:creationId xmlns:a16="http://schemas.microsoft.com/office/drawing/2014/main" id="{00000000-0008-0000-0D00-0000A6030000}"/>
              </a:ext>
            </a:extLst>
          </xdr:cNvPr>
          <xdr:cNvGrpSpPr>
            <a:grpSpLocks/>
          </xdr:cNvGrpSpPr>
        </xdr:nvGrpSpPr>
        <xdr:grpSpPr bwMode="auto">
          <a:xfrm flipH="1">
            <a:off x="2352" y="1712"/>
            <a:ext cx="376" cy="48"/>
            <a:chOff x="2592" y="1152"/>
            <a:chExt cx="432" cy="48"/>
          </a:xfrm>
          <a:grpFill/>
        </xdr:grpSpPr>
        <xdr:sp macro="" textlink="">
          <xdr:nvSpPr>
            <xdr:cNvPr id="941" name="Line 72">
              <a:extLst>
                <a:ext uri="{FF2B5EF4-FFF2-40B4-BE49-F238E27FC236}">
                  <a16:creationId xmlns:a16="http://schemas.microsoft.com/office/drawing/2014/main" id="{00000000-0008-0000-0D00-0000AD03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42" name="Line 73">
              <a:extLst>
                <a:ext uri="{FF2B5EF4-FFF2-40B4-BE49-F238E27FC236}">
                  <a16:creationId xmlns:a16="http://schemas.microsoft.com/office/drawing/2014/main" id="{00000000-0008-0000-0D00-0000AE03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35" name="Group 331">
            <a:extLst>
              <a:ext uri="{FF2B5EF4-FFF2-40B4-BE49-F238E27FC236}">
                <a16:creationId xmlns:a16="http://schemas.microsoft.com/office/drawing/2014/main" id="{00000000-0008-0000-0D00-0000A7030000}"/>
              </a:ext>
            </a:extLst>
          </xdr:cNvPr>
          <xdr:cNvGrpSpPr>
            <a:grpSpLocks/>
          </xdr:cNvGrpSpPr>
        </xdr:nvGrpSpPr>
        <xdr:grpSpPr bwMode="auto">
          <a:xfrm flipH="1">
            <a:off x="2352" y="2352"/>
            <a:ext cx="376" cy="48"/>
            <a:chOff x="2592" y="1152"/>
            <a:chExt cx="432" cy="48"/>
          </a:xfrm>
          <a:grpFill/>
        </xdr:grpSpPr>
        <xdr:sp macro="" textlink="">
          <xdr:nvSpPr>
            <xdr:cNvPr id="939" name="Line 75">
              <a:extLst>
                <a:ext uri="{FF2B5EF4-FFF2-40B4-BE49-F238E27FC236}">
                  <a16:creationId xmlns:a16="http://schemas.microsoft.com/office/drawing/2014/main" id="{00000000-0008-0000-0D00-0000AB03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40" name="Line 76">
              <a:extLst>
                <a:ext uri="{FF2B5EF4-FFF2-40B4-BE49-F238E27FC236}">
                  <a16:creationId xmlns:a16="http://schemas.microsoft.com/office/drawing/2014/main" id="{00000000-0008-0000-0D00-0000AC03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936" name="Group 332">
            <a:extLst>
              <a:ext uri="{FF2B5EF4-FFF2-40B4-BE49-F238E27FC236}">
                <a16:creationId xmlns:a16="http://schemas.microsoft.com/office/drawing/2014/main" id="{00000000-0008-0000-0D00-0000A8030000}"/>
              </a:ext>
            </a:extLst>
          </xdr:cNvPr>
          <xdr:cNvGrpSpPr>
            <a:grpSpLocks/>
          </xdr:cNvGrpSpPr>
        </xdr:nvGrpSpPr>
        <xdr:grpSpPr bwMode="auto">
          <a:xfrm flipH="1">
            <a:off x="2352" y="1272"/>
            <a:ext cx="376" cy="48"/>
            <a:chOff x="2592" y="1152"/>
            <a:chExt cx="432" cy="48"/>
          </a:xfrm>
          <a:grpFill/>
        </xdr:grpSpPr>
        <xdr:sp macro="" textlink="">
          <xdr:nvSpPr>
            <xdr:cNvPr id="937" name="Line 78">
              <a:extLst>
                <a:ext uri="{FF2B5EF4-FFF2-40B4-BE49-F238E27FC236}">
                  <a16:creationId xmlns:a16="http://schemas.microsoft.com/office/drawing/2014/main" id="{00000000-0008-0000-0D00-0000A903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938" name="Line 79">
              <a:extLst>
                <a:ext uri="{FF2B5EF4-FFF2-40B4-BE49-F238E27FC236}">
                  <a16:creationId xmlns:a16="http://schemas.microsoft.com/office/drawing/2014/main" id="{00000000-0008-0000-0D00-0000AA03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clientData/>
  </xdr:twoCellAnchor>
  <xdr:twoCellAnchor>
    <xdr:from>
      <xdr:col>84</xdr:col>
      <xdr:colOff>85689</xdr:colOff>
      <xdr:row>179</xdr:row>
      <xdr:rowOff>34636</xdr:rowOff>
    </xdr:from>
    <xdr:to>
      <xdr:col>91</xdr:col>
      <xdr:colOff>744681</xdr:colOff>
      <xdr:row>222</xdr:row>
      <xdr:rowOff>87358</xdr:rowOff>
    </xdr:to>
    <xdr:cxnSp macro="">
      <xdr:nvCxnSpPr>
        <xdr:cNvPr id="961" name="AutoShape 148" descr="7d35a74e-a258-456b-909a-d0396b982d2f">
          <a:extLst>
            <a:ext uri="{FF2B5EF4-FFF2-40B4-BE49-F238E27FC236}">
              <a16:creationId xmlns:a16="http://schemas.microsoft.com/office/drawing/2014/main" id="{00000000-0008-0000-0D00-0000C1030000}"/>
            </a:ext>
          </a:extLst>
        </xdr:cNvPr>
        <xdr:cNvCxnSpPr>
          <a:cxnSpLocks noChangeShapeType="1"/>
        </xdr:cNvCxnSpPr>
      </xdr:nvCxnSpPr>
      <xdr:spPr bwMode="auto">
        <a:xfrm flipV="1">
          <a:off x="74917553" y="27466636"/>
          <a:ext cx="8556083" cy="6772177"/>
        </a:xfrm>
        <a:prstGeom prst="bentConnector3">
          <a:avLst>
            <a:gd name="adj1" fmla="val 52224"/>
          </a:avLst>
        </a:prstGeom>
        <a:noFill/>
        <a:ln w="25400">
          <a:solidFill>
            <a:schemeClr val="accent3">
              <a:lumMod val="75000"/>
            </a:schemeClr>
          </a:solidFill>
          <a:miter lim="800000"/>
          <a:headEnd/>
          <a:tailEnd type="triangle" w="med" len="med"/>
        </a:ln>
      </xdr:spPr>
    </xdr:cxnSp>
    <xdr:clientData/>
  </xdr:twoCellAnchor>
  <xdr:twoCellAnchor>
    <xdr:from>
      <xdr:col>82</xdr:col>
      <xdr:colOff>813793</xdr:colOff>
      <xdr:row>269</xdr:row>
      <xdr:rowOff>102296</xdr:rowOff>
    </xdr:from>
    <xdr:to>
      <xdr:col>103</xdr:col>
      <xdr:colOff>452734</xdr:colOff>
      <xdr:row>294</xdr:row>
      <xdr:rowOff>121228</xdr:rowOff>
    </xdr:to>
    <xdr:cxnSp macro="">
      <xdr:nvCxnSpPr>
        <xdr:cNvPr id="962" name="AutoShape 147" descr="3a6c2550-dac2-49b9-bc6f-6ac2ec03cde2">
          <a:extLst>
            <a:ext uri="{FF2B5EF4-FFF2-40B4-BE49-F238E27FC236}">
              <a16:creationId xmlns:a16="http://schemas.microsoft.com/office/drawing/2014/main" id="{00000000-0008-0000-0D00-0000C2030000}"/>
            </a:ext>
          </a:extLst>
        </xdr:cNvPr>
        <xdr:cNvCxnSpPr>
          <a:cxnSpLocks noChangeShapeType="1"/>
          <a:stCxn id="924" idx="2"/>
          <a:endCxn id="971" idx="0"/>
        </xdr:cNvCxnSpPr>
      </xdr:nvCxnSpPr>
      <xdr:spPr bwMode="auto">
        <a:xfrm rot="16200000" flipH="1">
          <a:off x="82991235" y="35201417"/>
          <a:ext cx="4186120" cy="22475128"/>
        </a:xfrm>
        <a:prstGeom prst="bentConnector3">
          <a:avLst>
            <a:gd name="adj1" fmla="val 50000"/>
          </a:avLst>
        </a:prstGeom>
        <a:noFill/>
        <a:ln w="25400">
          <a:solidFill>
            <a:schemeClr val="accent3">
              <a:lumMod val="75000"/>
            </a:schemeClr>
          </a:solidFill>
          <a:miter lim="800000"/>
          <a:headEnd/>
          <a:tailEnd type="triangle" w="med" len="med"/>
        </a:ln>
      </xdr:spPr>
    </xdr:cxnSp>
    <xdr:clientData/>
  </xdr:twoCellAnchor>
  <xdr:twoCellAnchor>
    <xdr:from>
      <xdr:col>84</xdr:col>
      <xdr:colOff>381001</xdr:colOff>
      <xdr:row>102</xdr:row>
      <xdr:rowOff>50309</xdr:rowOff>
    </xdr:from>
    <xdr:to>
      <xdr:col>91</xdr:col>
      <xdr:colOff>360711</xdr:colOff>
      <xdr:row>255</xdr:row>
      <xdr:rowOff>95250</xdr:rowOff>
    </xdr:to>
    <xdr:cxnSp macro="">
      <xdr:nvCxnSpPr>
        <xdr:cNvPr id="964" name="AutoShape 147" descr="f10fa35d-a330-4f7f-81e8-e3b45c408b82">
          <a:extLst>
            <a:ext uri="{FF2B5EF4-FFF2-40B4-BE49-F238E27FC236}">
              <a16:creationId xmlns:a16="http://schemas.microsoft.com/office/drawing/2014/main" id="{00000000-0008-0000-0D00-0000C4030000}"/>
            </a:ext>
          </a:extLst>
        </xdr:cNvPr>
        <xdr:cNvCxnSpPr>
          <a:cxnSpLocks noChangeShapeType="1"/>
          <a:endCxn id="965" idx="5"/>
        </xdr:cNvCxnSpPr>
      </xdr:nvCxnSpPr>
      <xdr:spPr bwMode="auto">
        <a:xfrm rot="5400000" flipH="1" flipV="1">
          <a:off x="65356510" y="29277050"/>
          <a:ext cx="29381941" cy="7885460"/>
        </a:xfrm>
        <a:prstGeom prst="bentConnector3">
          <a:avLst>
            <a:gd name="adj1" fmla="val 1049"/>
          </a:avLst>
        </a:prstGeom>
        <a:noFill/>
        <a:ln w="25400">
          <a:solidFill>
            <a:schemeClr val="accent3">
              <a:lumMod val="75000"/>
            </a:schemeClr>
          </a:solidFill>
          <a:miter lim="800000"/>
          <a:headEnd/>
          <a:tailEnd type="triangle" w="med" len="med"/>
        </a:ln>
      </xdr:spPr>
    </xdr:cxnSp>
    <xdr:clientData/>
  </xdr:twoCellAnchor>
  <xdr:twoCellAnchor>
    <xdr:from>
      <xdr:col>91</xdr:col>
      <xdr:colOff>242454</xdr:colOff>
      <xdr:row>101</xdr:row>
      <xdr:rowOff>69270</xdr:rowOff>
    </xdr:from>
    <xdr:to>
      <xdr:col>91</xdr:col>
      <xdr:colOff>381000</xdr:colOff>
      <xdr:row>102</xdr:row>
      <xdr:rowOff>79741</xdr:rowOff>
    </xdr:to>
    <xdr:sp macro="" textlink="">
      <xdr:nvSpPr>
        <xdr:cNvPr id="965" name="Flowchart: Connector 964" descr="8416d972-9256-44e7-9872-c08e74e09ce0">
          <a:extLst>
            <a:ext uri="{FF2B5EF4-FFF2-40B4-BE49-F238E27FC236}">
              <a16:creationId xmlns:a16="http://schemas.microsoft.com/office/drawing/2014/main" id="{00000000-0008-0000-0D00-0000C5030000}"/>
            </a:ext>
          </a:extLst>
        </xdr:cNvPr>
        <xdr:cNvSpPr/>
      </xdr:nvSpPr>
      <xdr:spPr bwMode="auto">
        <a:xfrm>
          <a:off x="82971409" y="15032179"/>
          <a:ext cx="138546" cy="166335"/>
        </a:xfrm>
        <a:prstGeom prst="flowChartConnector">
          <a:avLst/>
        </a:prstGeom>
        <a:noFill/>
        <a:ln w="25400" cap="flat" cmpd="sng" algn="ctr">
          <a:no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clientData/>
  </xdr:twoCellAnchor>
  <xdr:twoCellAnchor>
    <xdr:from>
      <xdr:col>91</xdr:col>
      <xdr:colOff>311726</xdr:colOff>
      <xdr:row>99</xdr:row>
      <xdr:rowOff>42948</xdr:rowOff>
    </xdr:from>
    <xdr:to>
      <xdr:col>92</xdr:col>
      <xdr:colOff>69840</xdr:colOff>
      <xdr:row>101</xdr:row>
      <xdr:rowOff>69271</xdr:rowOff>
    </xdr:to>
    <xdr:cxnSp macro="">
      <xdr:nvCxnSpPr>
        <xdr:cNvPr id="966" name="Shape 475" descr="67bef5d4-89a2-473b-9fd7-1cf1a97983f2">
          <a:extLst>
            <a:ext uri="{FF2B5EF4-FFF2-40B4-BE49-F238E27FC236}">
              <a16:creationId xmlns:a16="http://schemas.microsoft.com/office/drawing/2014/main" id="{00000000-0008-0000-0D00-0000C6030000}"/>
            </a:ext>
          </a:extLst>
        </xdr:cNvPr>
        <xdr:cNvCxnSpPr>
          <a:stCxn id="965" idx="0"/>
          <a:endCxn id="891" idx="2"/>
        </xdr:cNvCxnSpPr>
      </xdr:nvCxnSpPr>
      <xdr:spPr bwMode="auto">
        <a:xfrm rot="5400000" flipH="1" flipV="1">
          <a:off x="83896769" y="14587817"/>
          <a:ext cx="340088" cy="789055"/>
        </a:xfrm>
        <a:prstGeom prst="bentConnector3">
          <a:avLst>
            <a:gd name="adj1" fmla="val 50000"/>
          </a:avLst>
        </a:prstGeom>
        <a:solidFill>
          <a:srgbClr val="FFFFFF"/>
        </a:solidFill>
        <a:ln w="25400" cap="flat" cmpd="sng" algn="ctr">
          <a:solidFill>
            <a:schemeClr val="accent3">
              <a:lumMod val="75000"/>
            </a:schemeClr>
          </a:solidFill>
          <a:prstDash val="solid"/>
          <a:round/>
          <a:headEnd type="none" w="med" len="med"/>
          <a:tailEnd type="arrow"/>
        </a:ln>
        <a:effectLst/>
      </xdr:spPr>
    </xdr:cxnSp>
    <xdr:clientData/>
  </xdr:twoCellAnchor>
  <xdr:twoCellAnchor>
    <xdr:from>
      <xdr:col>102</xdr:col>
      <xdr:colOff>346363</xdr:colOff>
      <xdr:row>294</xdr:row>
      <xdr:rowOff>121228</xdr:rowOff>
    </xdr:from>
    <xdr:to>
      <xdr:col>103</xdr:col>
      <xdr:colOff>934963</xdr:colOff>
      <xdr:row>300</xdr:row>
      <xdr:rowOff>85562</xdr:rowOff>
    </xdr:to>
    <xdr:sp macro="" textlink="">
      <xdr:nvSpPr>
        <xdr:cNvPr id="971" name="Right Arrow 970" descr="91715964-f86e-41ec-abd8-59664b872107">
          <a:extLst>
            <a:ext uri="{FF2B5EF4-FFF2-40B4-BE49-F238E27FC236}">
              <a16:creationId xmlns:a16="http://schemas.microsoft.com/office/drawing/2014/main" id="{00000000-0008-0000-0D00-0000CB030000}"/>
            </a:ext>
          </a:extLst>
        </xdr:cNvPr>
        <xdr:cNvSpPr/>
      </xdr:nvSpPr>
      <xdr:spPr bwMode="auto">
        <a:xfrm>
          <a:off x="95882113" y="55366228"/>
          <a:ext cx="1731600" cy="1107334"/>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0" tIns="0" rIns="0" bIns="0" rtlCol="0" anchor="ctr" upright="1"/>
        <a:lstStyle/>
        <a:p>
          <a:pPr algn="ctr"/>
          <a:r>
            <a:rPr lang="en-CA" sz="1400" b="1"/>
            <a:t>HEAVY</a:t>
          </a:r>
          <a:endParaRPr lang="en-CA" sz="1400" b="1" baseline="0"/>
        </a:p>
        <a:p>
          <a:pPr algn="ctr"/>
          <a:r>
            <a:rPr lang="en-CA" sz="1400" b="1" baseline="0"/>
            <a:t>FUEL OIL</a:t>
          </a:r>
          <a:endParaRPr lang="en-CA" sz="1400" b="1"/>
        </a:p>
      </xdr:txBody>
    </xdr:sp>
    <xdr:clientData/>
  </xdr:twoCellAnchor>
  <xdr:twoCellAnchor>
    <xdr:from>
      <xdr:col>76</xdr:col>
      <xdr:colOff>660100</xdr:colOff>
      <xdr:row>248</xdr:row>
      <xdr:rowOff>86591</xdr:rowOff>
    </xdr:from>
    <xdr:to>
      <xdr:col>81</xdr:col>
      <xdr:colOff>207818</xdr:colOff>
      <xdr:row>248</xdr:row>
      <xdr:rowOff>96000</xdr:rowOff>
    </xdr:to>
    <xdr:cxnSp macro="">
      <xdr:nvCxnSpPr>
        <xdr:cNvPr id="974" name="AutoShape 66" descr="8a23dda3-8f14-448b-8e95-9eff14bab6d0">
          <a:extLst>
            <a:ext uri="{FF2B5EF4-FFF2-40B4-BE49-F238E27FC236}">
              <a16:creationId xmlns:a16="http://schemas.microsoft.com/office/drawing/2014/main" id="{00000000-0008-0000-0D00-0000CE030000}"/>
            </a:ext>
          </a:extLst>
        </xdr:cNvPr>
        <xdr:cNvCxnSpPr>
          <a:cxnSpLocks noChangeShapeType="1"/>
          <a:stCxn id="975" idx="3"/>
        </xdr:cNvCxnSpPr>
      </xdr:nvCxnSpPr>
      <xdr:spPr bwMode="auto">
        <a:xfrm flipV="1">
          <a:off x="68599327" y="38290500"/>
          <a:ext cx="3894582" cy="9409"/>
        </a:xfrm>
        <a:prstGeom prst="straightConnector1">
          <a:avLst/>
        </a:prstGeom>
        <a:noFill/>
        <a:ln w="25400">
          <a:solidFill>
            <a:schemeClr val="accent3">
              <a:lumMod val="75000"/>
            </a:schemeClr>
          </a:solidFill>
          <a:round/>
          <a:headEnd/>
          <a:tailEnd type="triangle" w="med" len="med"/>
        </a:ln>
      </xdr:spPr>
    </xdr:cxnSp>
    <xdr:clientData/>
  </xdr:twoCellAnchor>
  <xdr:twoCellAnchor>
    <xdr:from>
      <xdr:col>73</xdr:col>
      <xdr:colOff>664277</xdr:colOff>
      <xdr:row>239</xdr:row>
      <xdr:rowOff>39283</xdr:rowOff>
    </xdr:from>
    <xdr:to>
      <xdr:col>76</xdr:col>
      <xdr:colOff>660100</xdr:colOff>
      <xdr:row>257</xdr:row>
      <xdr:rowOff>152716</xdr:rowOff>
    </xdr:to>
    <xdr:sp macro="" textlink="">
      <xdr:nvSpPr>
        <xdr:cNvPr id="975" name="AutoShape 57" descr="8c99dd68-29a3-4087-8adb-4b74ce3586e9">
          <a:hlinkClick xmlns:r="http://schemas.openxmlformats.org/officeDocument/2006/relationships" r:id="rId11"/>
          <a:extLst>
            <a:ext uri="{FF2B5EF4-FFF2-40B4-BE49-F238E27FC236}">
              <a16:creationId xmlns:a16="http://schemas.microsoft.com/office/drawing/2014/main" id="{00000000-0008-0000-0D00-0000CF030000}"/>
            </a:ext>
          </a:extLst>
        </xdr:cNvPr>
        <xdr:cNvSpPr>
          <a:spLocks noChangeArrowheads="1"/>
        </xdr:cNvSpPr>
      </xdr:nvSpPr>
      <xdr:spPr bwMode="auto">
        <a:xfrm>
          <a:off x="65382322" y="36840419"/>
          <a:ext cx="3217005" cy="2918979"/>
        </a:xfrm>
        <a:prstGeom prst="roundRect">
          <a:avLst>
            <a:gd name="adj" fmla="val 16667"/>
          </a:avLst>
        </a:prstGeom>
        <a:gradFill flip="none" rotWithShape="1">
          <a:gsLst>
            <a:gs pos="32000">
              <a:schemeClr val="accent3">
                <a:lumMod val="40000"/>
                <a:lumOff val="60000"/>
                <a:alpha val="43000"/>
              </a:schemeClr>
            </a:gs>
            <a:gs pos="50000">
              <a:srgbClr val="9CB86E">
                <a:alpha val="44000"/>
              </a:srgbClr>
            </a:gs>
            <a:gs pos="100000">
              <a:srgbClr val="156B13"/>
            </a:gs>
          </a:gsLst>
          <a:lin ang="5400000" scaled="1"/>
          <a:tileRect/>
        </a:gradFill>
        <a:ln w="25400">
          <a:solidFill>
            <a:srgbClr val="00000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FCC</a:t>
          </a:r>
        </a:p>
      </xdr:txBody>
    </xdr:sp>
    <xdr:clientData/>
  </xdr:twoCellAnchor>
  <xdr:twoCellAnchor>
    <xdr:from>
      <xdr:col>73</xdr:col>
      <xdr:colOff>948662</xdr:colOff>
      <xdr:row>233</xdr:row>
      <xdr:rowOff>108851</xdr:rowOff>
    </xdr:from>
    <xdr:to>
      <xdr:col>74</xdr:col>
      <xdr:colOff>1432</xdr:colOff>
      <xdr:row>239</xdr:row>
      <xdr:rowOff>7537</xdr:rowOff>
    </xdr:to>
    <xdr:sp macro="" textlink="">
      <xdr:nvSpPr>
        <xdr:cNvPr id="976" name="Right Arrow 975" descr="20ec5cc0-b01f-4458-b48c-780b1d662410">
          <a:extLst>
            <a:ext uri="{FF2B5EF4-FFF2-40B4-BE49-F238E27FC236}">
              <a16:creationId xmlns:a16="http://schemas.microsoft.com/office/drawing/2014/main" id="{00000000-0008-0000-0D00-0000D0030000}"/>
            </a:ext>
          </a:extLst>
        </xdr:cNvPr>
        <xdr:cNvSpPr/>
      </xdr:nvSpPr>
      <xdr:spPr bwMode="auto">
        <a:xfrm rot="16200000">
          <a:off x="65278386" y="36363127"/>
          <a:ext cx="833867" cy="57225"/>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FCC  RFG</a:t>
          </a:r>
          <a:endParaRPr lang="en-CA" sz="800"/>
        </a:p>
      </xdr:txBody>
    </xdr:sp>
    <xdr:clientData/>
  </xdr:twoCellAnchor>
  <xdr:twoCellAnchor>
    <xdr:from>
      <xdr:col>74</xdr:col>
      <xdr:colOff>634863</xdr:colOff>
      <xdr:row>214</xdr:row>
      <xdr:rowOff>46338</xdr:rowOff>
    </xdr:from>
    <xdr:to>
      <xdr:col>74</xdr:col>
      <xdr:colOff>644870</xdr:colOff>
      <xdr:row>239</xdr:row>
      <xdr:rowOff>39282</xdr:rowOff>
    </xdr:to>
    <xdr:cxnSp macro="">
      <xdr:nvCxnSpPr>
        <xdr:cNvPr id="992" name="Elbow Connector 174" descr="fa7ced13-d25e-4b5a-b3d9-858de2decba9">
          <a:extLst>
            <a:ext uri="{FF2B5EF4-FFF2-40B4-BE49-F238E27FC236}">
              <a16:creationId xmlns:a16="http://schemas.microsoft.com/office/drawing/2014/main" id="{00000000-0008-0000-0D00-0000E0030000}"/>
            </a:ext>
          </a:extLst>
        </xdr:cNvPr>
        <xdr:cNvCxnSpPr>
          <a:cxnSpLocks noChangeShapeType="1"/>
          <a:stCxn id="993" idx="2"/>
          <a:endCxn id="975" idx="0"/>
        </xdr:cNvCxnSpPr>
      </xdr:nvCxnSpPr>
      <xdr:spPr bwMode="auto">
        <a:xfrm rot="16200000" flipH="1">
          <a:off x="65041054" y="34890647"/>
          <a:ext cx="3889535" cy="10007"/>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73</xdr:col>
      <xdr:colOff>650670</xdr:colOff>
      <xdr:row>196</xdr:row>
      <xdr:rowOff>40904</xdr:rowOff>
    </xdr:from>
    <xdr:to>
      <xdr:col>76</xdr:col>
      <xdr:colOff>653693</xdr:colOff>
      <xdr:row>214</xdr:row>
      <xdr:rowOff>46339</xdr:rowOff>
    </xdr:to>
    <xdr:sp macro="" textlink="">
      <xdr:nvSpPr>
        <xdr:cNvPr id="993" name="AutoShape 88" descr="68171447-bafb-452e-bbd2-d5b4a9d4a189">
          <a:hlinkClick xmlns:r="http://schemas.openxmlformats.org/officeDocument/2006/relationships" r:id="rId12"/>
          <a:extLst>
            <a:ext uri="{FF2B5EF4-FFF2-40B4-BE49-F238E27FC236}">
              <a16:creationId xmlns:a16="http://schemas.microsoft.com/office/drawing/2014/main" id="{00000000-0008-0000-0D00-0000E1030000}"/>
            </a:ext>
          </a:extLst>
        </xdr:cNvPr>
        <xdr:cNvSpPr>
          <a:spLocks noChangeArrowheads="1"/>
        </xdr:cNvSpPr>
      </xdr:nvSpPr>
      <xdr:spPr bwMode="auto">
        <a:xfrm>
          <a:off x="65368715" y="30139904"/>
          <a:ext cx="3224205" cy="2810980"/>
        </a:xfrm>
        <a:prstGeom prst="roundRect">
          <a:avLst>
            <a:gd name="adj" fmla="val 16667"/>
          </a:avLst>
        </a:prstGeom>
        <a:gradFill flip="none" rotWithShape="1">
          <a:gsLst>
            <a:gs pos="0">
              <a:schemeClr val="accent3">
                <a:lumMod val="40000"/>
                <a:lumOff val="60000"/>
                <a:alpha val="0"/>
              </a:schemeClr>
            </a:gs>
            <a:gs pos="50000">
              <a:srgbClr val="9CB86E">
                <a:alpha val="41000"/>
              </a:srgbClr>
            </a:gs>
            <a:gs pos="100000">
              <a:srgbClr val="156B13"/>
            </a:gs>
          </a:gsLst>
          <a:lin ang="5400000" scaled="1"/>
          <a:tileRect/>
        </a:gradFill>
        <a:ln w="25400">
          <a:solidFill>
            <a:srgbClr val="000000"/>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FCC Feed Hydrotreater</a:t>
          </a:r>
        </a:p>
      </xdr:txBody>
    </xdr:sp>
    <xdr:clientData/>
  </xdr:twoCellAnchor>
  <xdr:twoCellAnchor>
    <xdr:from>
      <xdr:col>73</xdr:col>
      <xdr:colOff>734895</xdr:colOff>
      <xdr:row>189</xdr:row>
      <xdr:rowOff>68036</xdr:rowOff>
    </xdr:from>
    <xdr:to>
      <xdr:col>74</xdr:col>
      <xdr:colOff>6740</xdr:colOff>
      <xdr:row>194</xdr:row>
      <xdr:rowOff>116400</xdr:rowOff>
    </xdr:to>
    <xdr:sp macro="" textlink="">
      <xdr:nvSpPr>
        <xdr:cNvPr id="994" name="Right Arrow 993" descr="b292536c-0d22-491f-b26b-03dd15a644d0">
          <a:extLst>
            <a:ext uri="{FF2B5EF4-FFF2-40B4-BE49-F238E27FC236}">
              <a16:creationId xmlns:a16="http://schemas.microsoft.com/office/drawing/2014/main" id="{00000000-0008-0000-0D00-0000E2030000}"/>
            </a:ext>
          </a:extLst>
        </xdr:cNvPr>
        <xdr:cNvSpPr/>
      </xdr:nvSpPr>
      <xdr:spPr bwMode="auto">
        <a:xfrm rot="16200000">
          <a:off x="65168589" y="29343023"/>
          <a:ext cx="845001" cy="276300"/>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FCC FHT RFG</a:t>
          </a:r>
          <a:endParaRPr lang="en-CA" sz="800"/>
        </a:p>
      </xdr:txBody>
    </xdr:sp>
    <xdr:clientData/>
  </xdr:twoCellAnchor>
  <xdr:twoCellAnchor>
    <xdr:from>
      <xdr:col>66</xdr:col>
      <xdr:colOff>738200</xdr:colOff>
      <xdr:row>202</xdr:row>
      <xdr:rowOff>49779</xdr:rowOff>
    </xdr:from>
    <xdr:to>
      <xdr:col>68</xdr:col>
      <xdr:colOff>12881</xdr:colOff>
      <xdr:row>208</xdr:row>
      <xdr:rowOff>36480</xdr:rowOff>
    </xdr:to>
    <xdr:sp macro="" textlink="">
      <xdr:nvSpPr>
        <xdr:cNvPr id="997" name="Flowchart: Summing Junction 996" descr="fa17d4d9-5062-4acd-aee9-bcb887b00774">
          <a:extLst>
            <a:ext uri="{FF2B5EF4-FFF2-40B4-BE49-F238E27FC236}">
              <a16:creationId xmlns:a16="http://schemas.microsoft.com/office/drawing/2014/main" id="{00000000-0008-0000-0D00-0000E5030000}"/>
            </a:ext>
          </a:extLst>
        </xdr:cNvPr>
        <xdr:cNvSpPr/>
      </xdr:nvSpPr>
      <xdr:spPr bwMode="auto">
        <a:xfrm>
          <a:off x="59316950" y="37768779"/>
          <a:ext cx="1179681" cy="1129701"/>
        </a:xfrm>
        <a:prstGeom prst="flowChartSummingJunction">
          <a:avLst/>
        </a:prstGeom>
        <a:solidFill>
          <a:srgbClr val="FFFFFF"/>
        </a:solidFill>
        <a:ln w="25400" cap="flat" cmpd="sng" algn="ctr">
          <a:solidFill>
            <a:schemeClr val="accent3">
              <a:lumMod val="75000"/>
            </a:schemeClr>
          </a:solidFill>
          <a:prstDash val="solid"/>
          <a:round/>
          <a:headEnd type="none" w="med" len="med"/>
          <a:tailEnd type="none" w="med" len="med"/>
        </a:ln>
        <a:effectLst/>
      </xdr:spPr>
      <xdr:txBody>
        <a:bodyPr vertOverflow="clip" wrap="square" lIns="18288" tIns="0" rIns="0" bIns="0" rtlCol="0" anchor="ctr" upright="1"/>
        <a:lstStyle/>
        <a:p>
          <a:pPr algn="ctr"/>
          <a:endParaRPr lang="en-CA" sz="1100"/>
        </a:p>
      </xdr:txBody>
    </xdr:sp>
    <xdr:clientData/>
  </xdr:twoCellAnchor>
  <xdr:twoCellAnchor>
    <xdr:from>
      <xdr:col>68</xdr:col>
      <xdr:colOff>12881</xdr:colOff>
      <xdr:row>205</xdr:row>
      <xdr:rowOff>43130</xdr:rowOff>
    </xdr:from>
    <xdr:to>
      <xdr:col>73</xdr:col>
      <xdr:colOff>650670</xdr:colOff>
      <xdr:row>205</xdr:row>
      <xdr:rowOff>43621</xdr:rowOff>
    </xdr:to>
    <xdr:cxnSp macro="">
      <xdr:nvCxnSpPr>
        <xdr:cNvPr id="998" name="AutoShape 58" descr="8de69db3-3468-43fb-aadc-c916b2a3f66b">
          <a:extLst>
            <a:ext uri="{FF2B5EF4-FFF2-40B4-BE49-F238E27FC236}">
              <a16:creationId xmlns:a16="http://schemas.microsoft.com/office/drawing/2014/main" id="{00000000-0008-0000-0D00-0000E6030000}"/>
            </a:ext>
          </a:extLst>
        </xdr:cNvPr>
        <xdr:cNvCxnSpPr>
          <a:cxnSpLocks noChangeShapeType="1"/>
          <a:stCxn id="997" idx="6"/>
          <a:endCxn id="993" idx="1"/>
        </xdr:cNvCxnSpPr>
      </xdr:nvCxnSpPr>
      <xdr:spPr bwMode="auto">
        <a:xfrm>
          <a:off x="59552790" y="31544903"/>
          <a:ext cx="5815925" cy="491"/>
        </a:xfrm>
        <a:prstGeom prst="straightConnector1">
          <a:avLst/>
        </a:prstGeom>
        <a:noFill/>
        <a:ln w="25400">
          <a:solidFill>
            <a:schemeClr val="accent3">
              <a:lumMod val="75000"/>
            </a:schemeClr>
          </a:solidFill>
          <a:round/>
          <a:headEnd/>
          <a:tailEnd type="triangle" w="med" len="med"/>
        </a:ln>
      </xdr:spPr>
    </xdr:cxnSp>
    <xdr:clientData/>
  </xdr:twoCellAnchor>
  <xdr:twoCellAnchor>
    <xdr:from>
      <xdr:col>67</xdr:col>
      <xdr:colOff>93171</xdr:colOff>
      <xdr:row>132</xdr:row>
      <xdr:rowOff>41767</xdr:rowOff>
    </xdr:from>
    <xdr:to>
      <xdr:col>74</xdr:col>
      <xdr:colOff>193208</xdr:colOff>
      <xdr:row>132</xdr:row>
      <xdr:rowOff>49894</xdr:rowOff>
    </xdr:to>
    <xdr:cxnSp macro="">
      <xdr:nvCxnSpPr>
        <xdr:cNvPr id="1440" name="AutoShape 108" descr="68687fa4-0059-41d8-998d-26e9038e62c9">
          <a:extLst>
            <a:ext uri="{FF2B5EF4-FFF2-40B4-BE49-F238E27FC236}">
              <a16:creationId xmlns:a16="http://schemas.microsoft.com/office/drawing/2014/main" id="{00000000-0008-0000-0D00-0000A0050000}"/>
            </a:ext>
          </a:extLst>
        </xdr:cNvPr>
        <xdr:cNvCxnSpPr>
          <a:cxnSpLocks noChangeShapeType="1"/>
          <a:stCxn id="1480" idx="3"/>
          <a:endCxn id="1442" idx="1"/>
        </xdr:cNvCxnSpPr>
      </xdr:nvCxnSpPr>
      <xdr:spPr bwMode="auto">
        <a:xfrm>
          <a:off x="59624421" y="24235267"/>
          <a:ext cx="7910537" cy="8127"/>
        </a:xfrm>
        <a:prstGeom prst="straightConnector1">
          <a:avLst/>
        </a:prstGeom>
        <a:noFill/>
        <a:ln w="25400">
          <a:solidFill>
            <a:schemeClr val="accent3">
              <a:lumMod val="75000"/>
            </a:schemeClr>
          </a:solidFill>
          <a:round/>
          <a:headEnd/>
          <a:tailEnd type="triangle" w="lg" len="lg"/>
        </a:ln>
      </xdr:spPr>
    </xdr:cxnSp>
    <xdr:clientData/>
  </xdr:twoCellAnchor>
  <xdr:twoCellAnchor>
    <xdr:from>
      <xdr:col>74</xdr:col>
      <xdr:colOff>193208</xdr:colOff>
      <xdr:row>107</xdr:row>
      <xdr:rowOff>129888</xdr:rowOff>
    </xdr:from>
    <xdr:to>
      <xdr:col>79</xdr:col>
      <xdr:colOff>143496</xdr:colOff>
      <xdr:row>155</xdr:row>
      <xdr:rowOff>160399</xdr:rowOff>
    </xdr:to>
    <xdr:grpSp>
      <xdr:nvGrpSpPr>
        <xdr:cNvPr id="1441" name="Group 1440">
          <a:hlinkClick xmlns:r="http://schemas.openxmlformats.org/officeDocument/2006/relationships" r:id="rId13"/>
          <a:extLst>
            <a:ext uri="{FF2B5EF4-FFF2-40B4-BE49-F238E27FC236}">
              <a16:creationId xmlns:a16="http://schemas.microsoft.com/office/drawing/2014/main" id="{00000000-0008-0000-0D00-0000A1050000}"/>
            </a:ext>
          </a:extLst>
        </xdr:cNvPr>
        <xdr:cNvGrpSpPr>
          <a:grpSpLocks/>
        </xdr:cNvGrpSpPr>
      </xdr:nvGrpSpPr>
      <xdr:grpSpPr bwMode="auto">
        <a:xfrm>
          <a:off x="67786072" y="18088843"/>
          <a:ext cx="3777606" cy="7702465"/>
          <a:chOff x="2256" y="1008"/>
          <a:chExt cx="480" cy="1536"/>
        </a:xfrm>
        <a:gradFill>
          <a:gsLst>
            <a:gs pos="0">
              <a:srgbClr val="DDEBCF">
                <a:alpha val="0"/>
              </a:srgbClr>
            </a:gs>
            <a:gs pos="50000">
              <a:srgbClr val="9CB86E">
                <a:alpha val="72000"/>
              </a:srgbClr>
            </a:gs>
            <a:gs pos="100000">
              <a:srgbClr val="156B13"/>
            </a:gs>
          </a:gsLst>
          <a:lin ang="5400000" scaled="0"/>
        </a:gradFill>
      </xdr:grpSpPr>
      <xdr:sp macro="" textlink="">
        <xdr:nvSpPr>
          <xdr:cNvPr id="1442" name="AutoShape 43">
            <a:extLst>
              <a:ext uri="{FF2B5EF4-FFF2-40B4-BE49-F238E27FC236}">
                <a16:creationId xmlns:a16="http://schemas.microsoft.com/office/drawing/2014/main" id="{00000000-0008-0000-0D00-0000A2050000}"/>
              </a:ext>
            </a:extLst>
          </xdr:cNvPr>
          <xdr:cNvSpPr>
            <a:spLocks noChangeArrowheads="1"/>
          </xdr:cNvSpPr>
        </xdr:nvSpPr>
        <xdr:spPr bwMode="auto">
          <a:xfrm>
            <a:off x="2256" y="1008"/>
            <a:ext cx="480" cy="1536"/>
          </a:xfrm>
          <a:prstGeom prst="roundRect">
            <a:avLst>
              <a:gd name="adj" fmla="val 18440"/>
            </a:avLst>
          </a:prstGeom>
          <a:grpFill/>
          <a:ln w="9525">
            <a:solidFill>
              <a:schemeClr val="tx1"/>
            </a:solidFill>
            <a:round/>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nvGrpSpPr>
          <xdr:cNvPr id="1443" name="Group 302">
            <a:extLst>
              <a:ext uri="{FF2B5EF4-FFF2-40B4-BE49-F238E27FC236}">
                <a16:creationId xmlns:a16="http://schemas.microsoft.com/office/drawing/2014/main" id="{00000000-0008-0000-0D00-0000A3050000}"/>
              </a:ext>
            </a:extLst>
          </xdr:cNvPr>
          <xdr:cNvGrpSpPr>
            <a:grpSpLocks/>
          </xdr:cNvGrpSpPr>
        </xdr:nvGrpSpPr>
        <xdr:grpSpPr bwMode="auto">
          <a:xfrm>
            <a:off x="2256" y="1384"/>
            <a:ext cx="288" cy="48"/>
            <a:chOff x="2592" y="1152"/>
            <a:chExt cx="432" cy="48"/>
          </a:xfrm>
          <a:grpFill/>
        </xdr:grpSpPr>
        <xdr:sp macro="" textlink="">
          <xdr:nvSpPr>
            <xdr:cNvPr id="1477" name="Line 45">
              <a:extLst>
                <a:ext uri="{FF2B5EF4-FFF2-40B4-BE49-F238E27FC236}">
                  <a16:creationId xmlns:a16="http://schemas.microsoft.com/office/drawing/2014/main" id="{00000000-0008-0000-0D00-0000C505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78" name="Line 46">
              <a:extLst>
                <a:ext uri="{FF2B5EF4-FFF2-40B4-BE49-F238E27FC236}">
                  <a16:creationId xmlns:a16="http://schemas.microsoft.com/office/drawing/2014/main" id="{00000000-0008-0000-0D00-0000C605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44" name="Group 303">
            <a:extLst>
              <a:ext uri="{FF2B5EF4-FFF2-40B4-BE49-F238E27FC236}">
                <a16:creationId xmlns:a16="http://schemas.microsoft.com/office/drawing/2014/main" id="{00000000-0008-0000-0D00-0000A4050000}"/>
              </a:ext>
            </a:extLst>
          </xdr:cNvPr>
          <xdr:cNvGrpSpPr>
            <a:grpSpLocks/>
          </xdr:cNvGrpSpPr>
        </xdr:nvGrpSpPr>
        <xdr:grpSpPr bwMode="auto">
          <a:xfrm>
            <a:off x="2256" y="2008"/>
            <a:ext cx="288" cy="48"/>
            <a:chOff x="2592" y="1152"/>
            <a:chExt cx="432" cy="48"/>
          </a:xfrm>
          <a:grpFill/>
        </xdr:grpSpPr>
        <xdr:sp macro="" textlink="">
          <xdr:nvSpPr>
            <xdr:cNvPr id="1475" name="Line 48">
              <a:extLst>
                <a:ext uri="{FF2B5EF4-FFF2-40B4-BE49-F238E27FC236}">
                  <a16:creationId xmlns:a16="http://schemas.microsoft.com/office/drawing/2014/main" id="{00000000-0008-0000-0D00-0000C305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76" name="Line 49">
              <a:extLst>
                <a:ext uri="{FF2B5EF4-FFF2-40B4-BE49-F238E27FC236}">
                  <a16:creationId xmlns:a16="http://schemas.microsoft.com/office/drawing/2014/main" id="{00000000-0008-0000-0D00-0000C405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45" name="Group 306">
            <a:extLst>
              <a:ext uri="{FF2B5EF4-FFF2-40B4-BE49-F238E27FC236}">
                <a16:creationId xmlns:a16="http://schemas.microsoft.com/office/drawing/2014/main" id="{00000000-0008-0000-0D00-0000A5050000}"/>
              </a:ext>
            </a:extLst>
          </xdr:cNvPr>
          <xdr:cNvGrpSpPr>
            <a:grpSpLocks/>
          </xdr:cNvGrpSpPr>
        </xdr:nvGrpSpPr>
        <xdr:grpSpPr bwMode="auto">
          <a:xfrm>
            <a:off x="2256" y="1808"/>
            <a:ext cx="288" cy="48"/>
            <a:chOff x="2592" y="1152"/>
            <a:chExt cx="432" cy="48"/>
          </a:xfrm>
          <a:grpFill/>
        </xdr:grpSpPr>
        <xdr:sp macro="" textlink="">
          <xdr:nvSpPr>
            <xdr:cNvPr id="1473" name="Line 51">
              <a:extLst>
                <a:ext uri="{FF2B5EF4-FFF2-40B4-BE49-F238E27FC236}">
                  <a16:creationId xmlns:a16="http://schemas.microsoft.com/office/drawing/2014/main" id="{00000000-0008-0000-0D00-0000C105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74" name="Line 52">
              <a:extLst>
                <a:ext uri="{FF2B5EF4-FFF2-40B4-BE49-F238E27FC236}">
                  <a16:creationId xmlns:a16="http://schemas.microsoft.com/office/drawing/2014/main" id="{00000000-0008-0000-0D00-0000C205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46" name="Group 307">
            <a:extLst>
              <a:ext uri="{FF2B5EF4-FFF2-40B4-BE49-F238E27FC236}">
                <a16:creationId xmlns:a16="http://schemas.microsoft.com/office/drawing/2014/main" id="{00000000-0008-0000-0D00-0000A6050000}"/>
              </a:ext>
            </a:extLst>
          </xdr:cNvPr>
          <xdr:cNvGrpSpPr>
            <a:grpSpLocks/>
          </xdr:cNvGrpSpPr>
        </xdr:nvGrpSpPr>
        <xdr:grpSpPr bwMode="auto">
          <a:xfrm>
            <a:off x="2256" y="1600"/>
            <a:ext cx="288" cy="48"/>
            <a:chOff x="2592" y="1152"/>
            <a:chExt cx="432" cy="48"/>
          </a:xfrm>
          <a:grpFill/>
        </xdr:grpSpPr>
        <xdr:sp macro="" textlink="">
          <xdr:nvSpPr>
            <xdr:cNvPr id="1471" name="Line 54">
              <a:extLst>
                <a:ext uri="{FF2B5EF4-FFF2-40B4-BE49-F238E27FC236}">
                  <a16:creationId xmlns:a16="http://schemas.microsoft.com/office/drawing/2014/main" id="{00000000-0008-0000-0D00-0000BF05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72" name="Line 55">
              <a:extLst>
                <a:ext uri="{FF2B5EF4-FFF2-40B4-BE49-F238E27FC236}">
                  <a16:creationId xmlns:a16="http://schemas.microsoft.com/office/drawing/2014/main" id="{00000000-0008-0000-0D00-0000C005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47" name="Group 309">
            <a:extLst>
              <a:ext uri="{FF2B5EF4-FFF2-40B4-BE49-F238E27FC236}">
                <a16:creationId xmlns:a16="http://schemas.microsoft.com/office/drawing/2014/main" id="{00000000-0008-0000-0D00-0000A7050000}"/>
              </a:ext>
            </a:extLst>
          </xdr:cNvPr>
          <xdr:cNvGrpSpPr>
            <a:grpSpLocks/>
          </xdr:cNvGrpSpPr>
        </xdr:nvGrpSpPr>
        <xdr:grpSpPr bwMode="auto">
          <a:xfrm>
            <a:off x="2256" y="2248"/>
            <a:ext cx="288" cy="48"/>
            <a:chOff x="2592" y="1152"/>
            <a:chExt cx="432" cy="48"/>
          </a:xfrm>
          <a:grpFill/>
        </xdr:grpSpPr>
        <xdr:sp macro="" textlink="">
          <xdr:nvSpPr>
            <xdr:cNvPr id="1469" name="Line 57">
              <a:extLst>
                <a:ext uri="{FF2B5EF4-FFF2-40B4-BE49-F238E27FC236}">
                  <a16:creationId xmlns:a16="http://schemas.microsoft.com/office/drawing/2014/main" id="{00000000-0008-0000-0D00-0000BD05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70" name="Line 58">
              <a:extLst>
                <a:ext uri="{FF2B5EF4-FFF2-40B4-BE49-F238E27FC236}">
                  <a16:creationId xmlns:a16="http://schemas.microsoft.com/office/drawing/2014/main" id="{00000000-0008-0000-0D00-0000BE05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48" name="Group 310">
            <a:extLst>
              <a:ext uri="{FF2B5EF4-FFF2-40B4-BE49-F238E27FC236}">
                <a16:creationId xmlns:a16="http://schemas.microsoft.com/office/drawing/2014/main" id="{00000000-0008-0000-0D00-0000A8050000}"/>
              </a:ext>
            </a:extLst>
          </xdr:cNvPr>
          <xdr:cNvGrpSpPr>
            <a:grpSpLocks/>
          </xdr:cNvGrpSpPr>
        </xdr:nvGrpSpPr>
        <xdr:grpSpPr bwMode="auto">
          <a:xfrm>
            <a:off x="2256" y="1152"/>
            <a:ext cx="288" cy="48"/>
            <a:chOff x="2592" y="1152"/>
            <a:chExt cx="432" cy="48"/>
          </a:xfrm>
          <a:grpFill/>
        </xdr:grpSpPr>
        <xdr:sp macro="" textlink="">
          <xdr:nvSpPr>
            <xdr:cNvPr id="1467" name="Line 60">
              <a:extLst>
                <a:ext uri="{FF2B5EF4-FFF2-40B4-BE49-F238E27FC236}">
                  <a16:creationId xmlns:a16="http://schemas.microsoft.com/office/drawing/2014/main" id="{00000000-0008-0000-0D00-0000BB05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68" name="Line 61">
              <a:extLst>
                <a:ext uri="{FF2B5EF4-FFF2-40B4-BE49-F238E27FC236}">
                  <a16:creationId xmlns:a16="http://schemas.microsoft.com/office/drawing/2014/main" id="{00000000-0008-0000-0D00-0000BC05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49" name="Group 326">
            <a:extLst>
              <a:ext uri="{FF2B5EF4-FFF2-40B4-BE49-F238E27FC236}">
                <a16:creationId xmlns:a16="http://schemas.microsoft.com/office/drawing/2014/main" id="{00000000-0008-0000-0D00-0000A9050000}"/>
              </a:ext>
            </a:extLst>
          </xdr:cNvPr>
          <xdr:cNvGrpSpPr>
            <a:grpSpLocks/>
          </xdr:cNvGrpSpPr>
        </xdr:nvGrpSpPr>
        <xdr:grpSpPr bwMode="auto">
          <a:xfrm flipH="1">
            <a:off x="2352" y="1496"/>
            <a:ext cx="376" cy="48"/>
            <a:chOff x="2592" y="1152"/>
            <a:chExt cx="432" cy="48"/>
          </a:xfrm>
          <a:grpFill/>
        </xdr:grpSpPr>
        <xdr:sp macro="" textlink="">
          <xdr:nvSpPr>
            <xdr:cNvPr id="1465" name="Line 63">
              <a:extLst>
                <a:ext uri="{FF2B5EF4-FFF2-40B4-BE49-F238E27FC236}">
                  <a16:creationId xmlns:a16="http://schemas.microsoft.com/office/drawing/2014/main" id="{00000000-0008-0000-0D00-0000B905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66" name="Line 64">
              <a:extLst>
                <a:ext uri="{FF2B5EF4-FFF2-40B4-BE49-F238E27FC236}">
                  <a16:creationId xmlns:a16="http://schemas.microsoft.com/office/drawing/2014/main" id="{00000000-0008-0000-0D00-0000BA05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50" name="Group 327">
            <a:extLst>
              <a:ext uri="{FF2B5EF4-FFF2-40B4-BE49-F238E27FC236}">
                <a16:creationId xmlns:a16="http://schemas.microsoft.com/office/drawing/2014/main" id="{00000000-0008-0000-0D00-0000AA050000}"/>
              </a:ext>
            </a:extLst>
          </xdr:cNvPr>
          <xdr:cNvGrpSpPr>
            <a:grpSpLocks/>
          </xdr:cNvGrpSpPr>
        </xdr:nvGrpSpPr>
        <xdr:grpSpPr bwMode="auto">
          <a:xfrm flipH="1">
            <a:off x="2352" y="2136"/>
            <a:ext cx="376" cy="48"/>
            <a:chOff x="2592" y="1152"/>
            <a:chExt cx="432" cy="48"/>
          </a:xfrm>
          <a:grpFill/>
        </xdr:grpSpPr>
        <xdr:sp macro="" textlink="">
          <xdr:nvSpPr>
            <xdr:cNvPr id="1463" name="Line 66">
              <a:extLst>
                <a:ext uri="{FF2B5EF4-FFF2-40B4-BE49-F238E27FC236}">
                  <a16:creationId xmlns:a16="http://schemas.microsoft.com/office/drawing/2014/main" id="{00000000-0008-0000-0D00-0000B705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64" name="Line 67">
              <a:extLst>
                <a:ext uri="{FF2B5EF4-FFF2-40B4-BE49-F238E27FC236}">
                  <a16:creationId xmlns:a16="http://schemas.microsoft.com/office/drawing/2014/main" id="{00000000-0008-0000-0D00-0000B805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51" name="Group 328">
            <a:extLst>
              <a:ext uri="{FF2B5EF4-FFF2-40B4-BE49-F238E27FC236}">
                <a16:creationId xmlns:a16="http://schemas.microsoft.com/office/drawing/2014/main" id="{00000000-0008-0000-0D00-0000AB050000}"/>
              </a:ext>
            </a:extLst>
          </xdr:cNvPr>
          <xdr:cNvGrpSpPr>
            <a:grpSpLocks/>
          </xdr:cNvGrpSpPr>
        </xdr:nvGrpSpPr>
        <xdr:grpSpPr bwMode="auto">
          <a:xfrm flipH="1">
            <a:off x="2352" y="1904"/>
            <a:ext cx="376" cy="48"/>
            <a:chOff x="2592" y="1152"/>
            <a:chExt cx="432" cy="48"/>
          </a:xfrm>
          <a:grpFill/>
        </xdr:grpSpPr>
        <xdr:sp macro="" textlink="">
          <xdr:nvSpPr>
            <xdr:cNvPr id="1461" name="Line 69">
              <a:extLst>
                <a:ext uri="{FF2B5EF4-FFF2-40B4-BE49-F238E27FC236}">
                  <a16:creationId xmlns:a16="http://schemas.microsoft.com/office/drawing/2014/main" id="{00000000-0008-0000-0D00-0000B505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62" name="Line 70">
              <a:extLst>
                <a:ext uri="{FF2B5EF4-FFF2-40B4-BE49-F238E27FC236}">
                  <a16:creationId xmlns:a16="http://schemas.microsoft.com/office/drawing/2014/main" id="{00000000-0008-0000-0D00-0000B605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52" name="Group 329">
            <a:extLst>
              <a:ext uri="{FF2B5EF4-FFF2-40B4-BE49-F238E27FC236}">
                <a16:creationId xmlns:a16="http://schemas.microsoft.com/office/drawing/2014/main" id="{00000000-0008-0000-0D00-0000AC050000}"/>
              </a:ext>
            </a:extLst>
          </xdr:cNvPr>
          <xdr:cNvGrpSpPr>
            <a:grpSpLocks/>
          </xdr:cNvGrpSpPr>
        </xdr:nvGrpSpPr>
        <xdr:grpSpPr bwMode="auto">
          <a:xfrm flipH="1">
            <a:off x="2352" y="1712"/>
            <a:ext cx="376" cy="48"/>
            <a:chOff x="2592" y="1152"/>
            <a:chExt cx="432" cy="48"/>
          </a:xfrm>
          <a:grpFill/>
        </xdr:grpSpPr>
        <xdr:sp macro="" textlink="">
          <xdr:nvSpPr>
            <xdr:cNvPr id="1459" name="Line 72">
              <a:extLst>
                <a:ext uri="{FF2B5EF4-FFF2-40B4-BE49-F238E27FC236}">
                  <a16:creationId xmlns:a16="http://schemas.microsoft.com/office/drawing/2014/main" id="{00000000-0008-0000-0D00-0000B305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60" name="Line 73">
              <a:extLst>
                <a:ext uri="{FF2B5EF4-FFF2-40B4-BE49-F238E27FC236}">
                  <a16:creationId xmlns:a16="http://schemas.microsoft.com/office/drawing/2014/main" id="{00000000-0008-0000-0D00-0000B405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53" name="Group 331">
            <a:extLst>
              <a:ext uri="{FF2B5EF4-FFF2-40B4-BE49-F238E27FC236}">
                <a16:creationId xmlns:a16="http://schemas.microsoft.com/office/drawing/2014/main" id="{00000000-0008-0000-0D00-0000AD050000}"/>
              </a:ext>
            </a:extLst>
          </xdr:cNvPr>
          <xdr:cNvGrpSpPr>
            <a:grpSpLocks/>
          </xdr:cNvGrpSpPr>
        </xdr:nvGrpSpPr>
        <xdr:grpSpPr bwMode="auto">
          <a:xfrm flipH="1">
            <a:off x="2352" y="2352"/>
            <a:ext cx="376" cy="48"/>
            <a:chOff x="2592" y="1152"/>
            <a:chExt cx="432" cy="48"/>
          </a:xfrm>
          <a:grpFill/>
        </xdr:grpSpPr>
        <xdr:sp macro="" textlink="">
          <xdr:nvSpPr>
            <xdr:cNvPr id="1457" name="Line 75">
              <a:extLst>
                <a:ext uri="{FF2B5EF4-FFF2-40B4-BE49-F238E27FC236}">
                  <a16:creationId xmlns:a16="http://schemas.microsoft.com/office/drawing/2014/main" id="{00000000-0008-0000-0D00-0000B105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58" name="Line 76">
              <a:extLst>
                <a:ext uri="{FF2B5EF4-FFF2-40B4-BE49-F238E27FC236}">
                  <a16:creationId xmlns:a16="http://schemas.microsoft.com/office/drawing/2014/main" id="{00000000-0008-0000-0D00-0000B205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1454" name="Group 332">
            <a:extLst>
              <a:ext uri="{FF2B5EF4-FFF2-40B4-BE49-F238E27FC236}">
                <a16:creationId xmlns:a16="http://schemas.microsoft.com/office/drawing/2014/main" id="{00000000-0008-0000-0D00-0000AE050000}"/>
              </a:ext>
            </a:extLst>
          </xdr:cNvPr>
          <xdr:cNvGrpSpPr>
            <a:grpSpLocks/>
          </xdr:cNvGrpSpPr>
        </xdr:nvGrpSpPr>
        <xdr:grpSpPr bwMode="auto">
          <a:xfrm flipH="1">
            <a:off x="2352" y="1272"/>
            <a:ext cx="376" cy="48"/>
            <a:chOff x="2592" y="1152"/>
            <a:chExt cx="432" cy="48"/>
          </a:xfrm>
          <a:grpFill/>
        </xdr:grpSpPr>
        <xdr:sp macro="" textlink="">
          <xdr:nvSpPr>
            <xdr:cNvPr id="1455" name="Line 78">
              <a:extLst>
                <a:ext uri="{FF2B5EF4-FFF2-40B4-BE49-F238E27FC236}">
                  <a16:creationId xmlns:a16="http://schemas.microsoft.com/office/drawing/2014/main" id="{00000000-0008-0000-0D00-0000AF05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1456" name="Line 79">
              <a:extLst>
                <a:ext uri="{FF2B5EF4-FFF2-40B4-BE49-F238E27FC236}">
                  <a16:creationId xmlns:a16="http://schemas.microsoft.com/office/drawing/2014/main" id="{00000000-0008-0000-0D00-0000B005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clientData/>
  </xdr:twoCellAnchor>
  <xdr:twoCellAnchor>
    <xdr:from>
      <xdr:col>63</xdr:col>
      <xdr:colOff>601781</xdr:colOff>
      <xdr:row>114</xdr:row>
      <xdr:rowOff>160399</xdr:rowOff>
    </xdr:from>
    <xdr:to>
      <xdr:col>64</xdr:col>
      <xdr:colOff>320436</xdr:colOff>
      <xdr:row>120</xdr:row>
      <xdr:rowOff>20367</xdr:rowOff>
    </xdr:to>
    <xdr:sp macro="" textlink="">
      <xdr:nvSpPr>
        <xdr:cNvPr id="1479" name="Right Arrow 1478" descr="708ed6b2-96e8-41cd-8474-ac7a6e115ea5">
          <a:extLst>
            <a:ext uri="{FF2B5EF4-FFF2-40B4-BE49-F238E27FC236}">
              <a16:creationId xmlns:a16="http://schemas.microsoft.com/office/drawing/2014/main" id="{00000000-0008-0000-0D00-0000C7050000}"/>
            </a:ext>
          </a:extLst>
        </xdr:cNvPr>
        <xdr:cNvSpPr/>
      </xdr:nvSpPr>
      <xdr:spPr bwMode="auto">
        <a:xfrm rot="16200000">
          <a:off x="56157125" y="21090805"/>
          <a:ext cx="1002968" cy="671155"/>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GO-HT RFG</a:t>
          </a:r>
          <a:endParaRPr lang="en-CA" sz="800"/>
        </a:p>
      </xdr:txBody>
    </xdr:sp>
    <xdr:clientData/>
  </xdr:twoCellAnchor>
  <xdr:twoCellAnchor>
    <xdr:from>
      <xdr:col>63</xdr:col>
      <xdr:colOff>363706</xdr:colOff>
      <xdr:row>120</xdr:row>
      <xdr:rowOff>40530</xdr:rowOff>
    </xdr:from>
    <xdr:to>
      <xdr:col>67</xdr:col>
      <xdr:colOff>93171</xdr:colOff>
      <xdr:row>143</xdr:row>
      <xdr:rowOff>138254</xdr:rowOff>
    </xdr:to>
    <xdr:sp macro="" textlink="">
      <xdr:nvSpPr>
        <xdr:cNvPr id="1480" name="AutoShape 30" descr="7d7ee69a-8127-4d75-b004-2cce7ab33f86">
          <a:hlinkClick xmlns:r="http://schemas.openxmlformats.org/officeDocument/2006/relationships" r:id="rId14"/>
          <a:extLst>
            <a:ext uri="{FF2B5EF4-FFF2-40B4-BE49-F238E27FC236}">
              <a16:creationId xmlns:a16="http://schemas.microsoft.com/office/drawing/2014/main" id="{00000000-0008-0000-0D00-0000C8050000}"/>
            </a:ext>
          </a:extLst>
        </xdr:cNvPr>
        <xdr:cNvSpPr>
          <a:spLocks noChangeArrowheads="1"/>
        </xdr:cNvSpPr>
      </xdr:nvSpPr>
      <xdr:spPr bwMode="auto">
        <a:xfrm>
          <a:off x="56084956" y="21948030"/>
          <a:ext cx="3539465" cy="4574474"/>
        </a:xfrm>
        <a:prstGeom prst="roundRect">
          <a:avLst>
            <a:gd name="adj" fmla="val 18440"/>
          </a:avLst>
        </a:prstGeom>
        <a:gradFill flip="none" rotWithShape="1">
          <a:gsLst>
            <a:gs pos="0">
              <a:srgbClr val="DDEBCF">
                <a:alpha val="12000"/>
              </a:srgbClr>
            </a:gs>
            <a:gs pos="50000">
              <a:srgbClr val="9CB86E">
                <a:alpha val="66000"/>
              </a:srgbClr>
            </a:gs>
            <a:gs pos="100000">
              <a:srgbClr val="156B13"/>
            </a:gs>
          </a:gsLst>
          <a:lin ang="5400000" scaled="1"/>
          <a:tileRect/>
        </a:gradFill>
        <a:ln w="28575">
          <a:solidFill>
            <a:srgbClr val="000000"/>
          </a:solidFill>
          <a:round/>
          <a:headEnd/>
          <a:tailEnd/>
        </a:ln>
        <a:effectLst/>
      </xdr:spPr>
      <xdr:txBody>
        <a:bodyPr wrap="square" lIns="0" tIns="0" rIns="0" bIns="0" anchor="t" anchorCtr="0"/>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pPr algn="ctr"/>
          <a:r>
            <a:rPr lang="en-CA" b="1">
              <a:latin typeface="Arial" pitchFamily="34" charset="0"/>
              <a:cs typeface="Arial" pitchFamily="34" charset="0"/>
            </a:rPr>
            <a:t>Gas</a:t>
          </a:r>
          <a:r>
            <a:rPr lang="en-CA" b="1" baseline="0">
              <a:latin typeface="Arial" pitchFamily="34" charset="0"/>
              <a:cs typeface="Arial" pitchFamily="34" charset="0"/>
            </a:rPr>
            <a:t> Oil Hydrocracker</a:t>
          </a:r>
          <a:endParaRPr lang="en-CA" b="1">
            <a:latin typeface="Arial" pitchFamily="34" charset="0"/>
            <a:cs typeface="Arial" pitchFamily="34" charset="0"/>
          </a:endParaRPr>
        </a:p>
      </xdr:txBody>
    </xdr:sp>
    <xdr:clientData/>
  </xdr:twoCellAnchor>
  <xdr:twoCellAnchor>
    <xdr:from>
      <xdr:col>63</xdr:col>
      <xdr:colOff>346363</xdr:colOff>
      <xdr:row>124</xdr:row>
      <xdr:rowOff>21711</xdr:rowOff>
    </xdr:from>
    <xdr:to>
      <xdr:col>67</xdr:col>
      <xdr:colOff>85377</xdr:colOff>
      <xdr:row>139</xdr:row>
      <xdr:rowOff>120547</xdr:rowOff>
    </xdr:to>
    <xdr:sp macro="" textlink="">
      <xdr:nvSpPr>
        <xdr:cNvPr id="1484" name="Rectangle 1483" descr="a3e92439-b764-45e6-8d17-b4d96af3e5e0">
          <a:extLst>
            <a:ext uri="{FF2B5EF4-FFF2-40B4-BE49-F238E27FC236}">
              <a16:creationId xmlns:a16="http://schemas.microsoft.com/office/drawing/2014/main" id="{00000000-0008-0000-0D00-0000CC050000}"/>
            </a:ext>
          </a:extLst>
        </xdr:cNvPr>
        <xdr:cNvSpPr/>
      </xdr:nvSpPr>
      <xdr:spPr bwMode="auto">
        <a:xfrm>
          <a:off x="56067613" y="22691211"/>
          <a:ext cx="3549014" cy="3051586"/>
        </a:xfrm>
        <a:prstGeom prst="rect">
          <a:avLst/>
        </a:prstGeom>
        <a:noFill/>
        <a:ln w="25400" cap="flat" cmpd="thickThin"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clientData/>
  </xdr:twoCellAnchor>
  <xdr:twoCellAnchor>
    <xdr:from>
      <xdr:col>63</xdr:col>
      <xdr:colOff>373527</xdr:colOff>
      <xdr:row>124</xdr:row>
      <xdr:rowOff>21711</xdr:rowOff>
    </xdr:from>
    <xdr:to>
      <xdr:col>67</xdr:col>
      <xdr:colOff>98959</xdr:colOff>
      <xdr:row>139</xdr:row>
      <xdr:rowOff>133599</xdr:rowOff>
    </xdr:to>
    <xdr:cxnSp macro="">
      <xdr:nvCxnSpPr>
        <xdr:cNvPr id="1485" name="Straight Connector 1484">
          <a:extLst>
            <a:ext uri="{FF2B5EF4-FFF2-40B4-BE49-F238E27FC236}">
              <a16:creationId xmlns:a16="http://schemas.microsoft.com/office/drawing/2014/main" id="{00000000-0008-0000-0D00-0000CD050000}"/>
            </a:ext>
          </a:extLst>
        </xdr:cNvPr>
        <xdr:cNvCxnSpPr/>
      </xdr:nvCxnSpPr>
      <xdr:spPr bwMode="auto">
        <a:xfrm>
          <a:off x="56094777" y="22691211"/>
          <a:ext cx="3535432" cy="3064638"/>
        </a:xfrm>
        <a:prstGeom prst="line">
          <a:avLst/>
        </a:prstGeom>
        <a:ln w="15875">
          <a:prstDash val="lgDash"/>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63</xdr:col>
      <xdr:colOff>359945</xdr:colOff>
      <xdr:row>124</xdr:row>
      <xdr:rowOff>8659</xdr:rowOff>
    </xdr:from>
    <xdr:to>
      <xdr:col>67</xdr:col>
      <xdr:colOff>85377</xdr:colOff>
      <xdr:row>139</xdr:row>
      <xdr:rowOff>51148</xdr:rowOff>
    </xdr:to>
    <xdr:cxnSp macro="">
      <xdr:nvCxnSpPr>
        <xdr:cNvPr id="1486" name="Straight Connector 1485">
          <a:extLst>
            <a:ext uri="{FF2B5EF4-FFF2-40B4-BE49-F238E27FC236}">
              <a16:creationId xmlns:a16="http://schemas.microsoft.com/office/drawing/2014/main" id="{00000000-0008-0000-0D00-0000CE050000}"/>
            </a:ext>
          </a:extLst>
        </xdr:cNvPr>
        <xdr:cNvCxnSpPr/>
      </xdr:nvCxnSpPr>
      <xdr:spPr bwMode="auto">
        <a:xfrm rot="10800000" flipV="1">
          <a:off x="56081195" y="22678159"/>
          <a:ext cx="3535432" cy="2995239"/>
        </a:xfrm>
        <a:prstGeom prst="line">
          <a:avLst/>
        </a:prstGeom>
        <a:solidFill>
          <a:srgbClr val="FFFFFF"/>
        </a:solidFill>
        <a:ln w="15875" cap="flat" cmpd="sng" algn="ctr">
          <a:solidFill>
            <a:srgbClr val="000000"/>
          </a:solidFill>
          <a:prstDash val="lgDash"/>
          <a:round/>
          <a:headEnd type="none" w="med" len="med"/>
          <a:tailEnd type="none" w="med" len="med"/>
        </a:ln>
        <a:effectLst/>
      </xdr:spPr>
    </xdr:cxnSp>
    <xdr:clientData/>
  </xdr:twoCellAnchor>
  <xdr:twoCellAnchor>
    <xdr:from>
      <xdr:col>41</xdr:col>
      <xdr:colOff>514863</xdr:colOff>
      <xdr:row>101</xdr:row>
      <xdr:rowOff>151326</xdr:rowOff>
    </xdr:from>
    <xdr:to>
      <xdr:col>63</xdr:col>
      <xdr:colOff>571500</xdr:colOff>
      <xdr:row>121</xdr:row>
      <xdr:rowOff>51955</xdr:rowOff>
    </xdr:to>
    <xdr:cxnSp macro="">
      <xdr:nvCxnSpPr>
        <xdr:cNvPr id="1689" name="Elbow Connector 123" descr="c66fc33c-9678-4155-8ea2-001bef623b73">
          <a:extLst>
            <a:ext uri="{FF2B5EF4-FFF2-40B4-BE49-F238E27FC236}">
              <a16:creationId xmlns:a16="http://schemas.microsoft.com/office/drawing/2014/main" id="{00000000-0008-0000-0D00-000099060000}"/>
            </a:ext>
          </a:extLst>
        </xdr:cNvPr>
        <xdr:cNvCxnSpPr>
          <a:cxnSpLocks noChangeShapeType="1"/>
          <a:stCxn id="343" idx="7"/>
        </xdr:cNvCxnSpPr>
      </xdr:nvCxnSpPr>
      <xdr:spPr bwMode="auto">
        <a:xfrm rot="16200000" flipH="1">
          <a:off x="44122117" y="6333845"/>
          <a:ext cx="3035220" cy="20596000"/>
        </a:xfrm>
        <a:prstGeom prst="bentConnector4">
          <a:avLst>
            <a:gd name="adj1" fmla="val -7532"/>
            <a:gd name="adj2" fmla="val 50481"/>
          </a:avLst>
        </a:prstGeom>
        <a:noFill/>
        <a:ln w="25400" algn="ctr">
          <a:solidFill>
            <a:schemeClr val="accent3">
              <a:lumMod val="75000"/>
            </a:schemeClr>
          </a:solidFill>
          <a:round/>
          <a:headEnd/>
          <a:tailEnd type="triangle" w="med" len="med"/>
        </a:ln>
      </xdr:spPr>
    </xdr:cxnSp>
    <xdr:clientData/>
  </xdr:twoCellAnchor>
  <xdr:twoCellAnchor>
    <xdr:from>
      <xdr:col>65</xdr:col>
      <xdr:colOff>831270</xdr:colOff>
      <xdr:row>173</xdr:row>
      <xdr:rowOff>20176</xdr:rowOff>
    </xdr:from>
    <xdr:to>
      <xdr:col>69</xdr:col>
      <xdr:colOff>57202</xdr:colOff>
      <xdr:row>190</xdr:row>
      <xdr:rowOff>138488</xdr:rowOff>
    </xdr:to>
    <xdr:sp macro="" textlink="">
      <xdr:nvSpPr>
        <xdr:cNvPr id="378" name="AutoShape 67" descr="aba674b7-283d-4323-b43e-d1a0aead91f6">
          <a:extLst>
            <a:ext uri="{FF2B5EF4-FFF2-40B4-BE49-F238E27FC236}">
              <a16:creationId xmlns:a16="http://schemas.microsoft.com/office/drawing/2014/main" id="{00000000-0008-0000-0D00-00007A010000}"/>
            </a:ext>
          </a:extLst>
        </xdr:cNvPr>
        <xdr:cNvSpPr>
          <a:spLocks noChangeArrowheads="1"/>
        </xdr:cNvSpPr>
      </xdr:nvSpPr>
      <xdr:spPr bwMode="auto">
        <a:xfrm>
          <a:off x="57929315" y="26516994"/>
          <a:ext cx="3087887" cy="2767994"/>
        </a:xfrm>
        <a:prstGeom prst="roundRect">
          <a:avLst>
            <a:gd name="adj" fmla="val 16667"/>
          </a:avLst>
        </a:prstGeom>
        <a:gradFill>
          <a:gsLst>
            <a:gs pos="0">
              <a:srgbClr val="D6B19C">
                <a:alpha val="0"/>
              </a:srgbClr>
            </a:gs>
            <a:gs pos="30000">
              <a:srgbClr val="D49E6C">
                <a:alpha val="18000"/>
              </a:srgbClr>
            </a:gs>
            <a:gs pos="70000">
              <a:srgbClr val="A65528">
                <a:alpha val="57000"/>
              </a:srgbClr>
            </a:gs>
            <a:gs pos="100000">
              <a:srgbClr val="663012"/>
            </a:gs>
          </a:gsLst>
          <a:lin ang="5400000" scaled="0"/>
        </a:gradFill>
        <a:ln w="25400">
          <a:solidFill>
            <a:schemeClr val="accent6">
              <a:lumMod val="40000"/>
              <a:lumOff val="60000"/>
            </a:schemeClr>
          </a:solidFill>
          <a:round/>
          <a:headEnd/>
          <a:tailEnd/>
        </a:ln>
        <a:effectLst/>
      </xdr:spPr>
      <xdr:txBody>
        <a:bodyPr vertOverflow="clip" wrap="square" lIns="27432" tIns="18288" rIns="27432" bIns="0" anchor="t" upright="1"/>
        <a:lstStyle/>
        <a:p>
          <a:pPr algn="ctr" rtl="0">
            <a:defRPr sz="1000"/>
          </a:pPr>
          <a:r>
            <a:rPr lang="en-US" sz="2000" b="1" i="0" strike="noStrike">
              <a:solidFill>
                <a:srgbClr val="000000"/>
              </a:solidFill>
              <a:latin typeface="Arial"/>
              <a:ea typeface="Arial"/>
              <a:cs typeface="Arial"/>
            </a:rPr>
            <a:t>HC Naphtha Hydrotreater</a:t>
          </a:r>
        </a:p>
      </xdr:txBody>
    </xdr:sp>
    <xdr:clientData/>
  </xdr:twoCellAnchor>
  <xdr:twoCellAnchor>
    <xdr:from>
      <xdr:col>65</xdr:col>
      <xdr:colOff>457945</xdr:colOff>
      <xdr:row>169</xdr:row>
      <xdr:rowOff>28117</xdr:rowOff>
    </xdr:from>
    <xdr:to>
      <xdr:col>66</xdr:col>
      <xdr:colOff>215490</xdr:colOff>
      <xdr:row>174</xdr:row>
      <xdr:rowOff>62256</xdr:rowOff>
    </xdr:to>
    <xdr:sp macro="" textlink="">
      <xdr:nvSpPr>
        <xdr:cNvPr id="379" name="Right Arrow 378" descr="5087b3f2-cf69-42b1-9dd5-c4e62fc5f4ad">
          <a:extLst>
            <a:ext uri="{FF2B5EF4-FFF2-40B4-BE49-F238E27FC236}">
              <a16:creationId xmlns:a16="http://schemas.microsoft.com/office/drawing/2014/main" id="{00000000-0008-0000-0D00-00007B010000}"/>
            </a:ext>
          </a:extLst>
        </xdr:cNvPr>
        <xdr:cNvSpPr/>
      </xdr:nvSpPr>
      <xdr:spPr bwMode="auto">
        <a:xfrm rot="16200000">
          <a:off x="57547580" y="25979164"/>
          <a:ext cx="813457" cy="658091"/>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1100" baseline="0"/>
            <a:t>HCNHT RFG</a:t>
          </a:r>
          <a:endParaRPr lang="en-CA" sz="1100"/>
        </a:p>
      </xdr:txBody>
    </xdr:sp>
    <xdr:clientData/>
  </xdr:twoCellAnchor>
  <xdr:twoCellAnchor>
    <xdr:from>
      <xdr:col>69</xdr:col>
      <xdr:colOff>57202</xdr:colOff>
      <xdr:row>63</xdr:row>
      <xdr:rowOff>127735</xdr:rowOff>
    </xdr:from>
    <xdr:to>
      <xdr:col>79</xdr:col>
      <xdr:colOff>959748</xdr:colOff>
      <xdr:row>182</xdr:row>
      <xdr:rowOff>1400</xdr:rowOff>
    </xdr:to>
    <xdr:cxnSp macro="">
      <xdr:nvCxnSpPr>
        <xdr:cNvPr id="381" name="AutoShape 148" descr="2e6cc358-44b9-41fa-bc89-372d61f55f90">
          <a:extLst>
            <a:ext uri="{FF2B5EF4-FFF2-40B4-BE49-F238E27FC236}">
              <a16:creationId xmlns:a16="http://schemas.microsoft.com/office/drawing/2014/main" id="{00000000-0008-0000-0D00-00007D010000}"/>
            </a:ext>
          </a:extLst>
        </xdr:cNvPr>
        <xdr:cNvCxnSpPr>
          <a:cxnSpLocks noChangeShapeType="1"/>
          <a:stCxn id="378" idx="3"/>
          <a:endCxn id="879" idx="4"/>
        </xdr:cNvCxnSpPr>
      </xdr:nvCxnSpPr>
      <xdr:spPr bwMode="auto">
        <a:xfrm flipV="1">
          <a:off x="61017202" y="9167826"/>
          <a:ext cx="10375591" cy="18733165"/>
        </a:xfrm>
        <a:prstGeom prst="bentConnector2">
          <a:avLst/>
        </a:prstGeom>
        <a:noFill/>
        <a:ln w="25400">
          <a:solidFill>
            <a:schemeClr val="accent6">
              <a:lumMod val="75000"/>
            </a:schemeClr>
          </a:solidFill>
          <a:miter lim="800000"/>
          <a:headEnd/>
          <a:tailEnd type="triangle" w="med" len="med"/>
        </a:ln>
      </xdr:spPr>
    </xdr:cxnSp>
    <xdr:clientData/>
  </xdr:twoCellAnchor>
  <xdr:twoCellAnchor>
    <xdr:from>
      <xdr:col>54</xdr:col>
      <xdr:colOff>865904</xdr:colOff>
      <xdr:row>229</xdr:row>
      <xdr:rowOff>95251</xdr:rowOff>
    </xdr:from>
    <xdr:to>
      <xdr:col>57</xdr:col>
      <xdr:colOff>165752</xdr:colOff>
      <xdr:row>270</xdr:row>
      <xdr:rowOff>67171</xdr:rowOff>
    </xdr:to>
    <xdr:grpSp>
      <xdr:nvGrpSpPr>
        <xdr:cNvPr id="389" name="Group 388">
          <a:hlinkClick xmlns:r="http://schemas.openxmlformats.org/officeDocument/2006/relationships" r:id="rId15"/>
          <a:extLst>
            <a:ext uri="{FF2B5EF4-FFF2-40B4-BE49-F238E27FC236}">
              <a16:creationId xmlns:a16="http://schemas.microsoft.com/office/drawing/2014/main" id="{00000000-0008-0000-0D00-000085010000}"/>
            </a:ext>
          </a:extLst>
        </xdr:cNvPr>
        <xdr:cNvGrpSpPr>
          <a:grpSpLocks/>
        </xdr:cNvGrpSpPr>
      </xdr:nvGrpSpPr>
      <xdr:grpSpPr bwMode="auto">
        <a:xfrm>
          <a:off x="48716040" y="37329342"/>
          <a:ext cx="2105394" cy="6362329"/>
          <a:chOff x="2256" y="1008"/>
          <a:chExt cx="480" cy="1536"/>
        </a:xfrm>
        <a:gradFill>
          <a:gsLst>
            <a:gs pos="0">
              <a:srgbClr val="D6B19C"/>
            </a:gs>
            <a:gs pos="30000">
              <a:srgbClr val="D49E6C">
                <a:alpha val="44000"/>
              </a:srgbClr>
            </a:gs>
            <a:gs pos="70000">
              <a:srgbClr val="A65528">
                <a:alpha val="44000"/>
              </a:srgbClr>
            </a:gs>
            <a:gs pos="100000">
              <a:srgbClr val="663012"/>
            </a:gs>
          </a:gsLst>
          <a:lin ang="5400000" scaled="0"/>
        </a:gradFill>
      </xdr:grpSpPr>
      <xdr:sp macro="" textlink="">
        <xdr:nvSpPr>
          <xdr:cNvPr id="390" name="AutoShape 43">
            <a:extLst>
              <a:ext uri="{FF2B5EF4-FFF2-40B4-BE49-F238E27FC236}">
                <a16:creationId xmlns:a16="http://schemas.microsoft.com/office/drawing/2014/main" id="{00000000-0008-0000-0D00-000086010000}"/>
              </a:ext>
            </a:extLst>
          </xdr:cNvPr>
          <xdr:cNvSpPr>
            <a:spLocks noChangeArrowheads="1"/>
          </xdr:cNvSpPr>
        </xdr:nvSpPr>
        <xdr:spPr bwMode="auto">
          <a:xfrm>
            <a:off x="2256" y="1008"/>
            <a:ext cx="480" cy="1536"/>
          </a:xfrm>
          <a:prstGeom prst="roundRect">
            <a:avLst>
              <a:gd name="adj" fmla="val 18440"/>
            </a:avLst>
          </a:prstGeom>
          <a:gradFill>
            <a:gsLst>
              <a:gs pos="0">
                <a:srgbClr val="D6B19C">
                  <a:alpha val="0"/>
                </a:srgbClr>
              </a:gs>
              <a:gs pos="30000">
                <a:srgbClr val="D49E6C">
                  <a:alpha val="18000"/>
                </a:srgbClr>
              </a:gs>
              <a:gs pos="70000">
                <a:srgbClr val="A65528"/>
              </a:gs>
              <a:gs pos="100000">
                <a:srgbClr val="663012"/>
              </a:gs>
            </a:gsLst>
            <a:lin ang="5400000" scaled="0"/>
          </a:gradFill>
          <a:ln w="9525">
            <a:solidFill>
              <a:schemeClr val="tx1"/>
            </a:solidFill>
            <a:round/>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nvGrpSpPr>
          <xdr:cNvPr id="391" name="Group 302">
            <a:extLst>
              <a:ext uri="{FF2B5EF4-FFF2-40B4-BE49-F238E27FC236}">
                <a16:creationId xmlns:a16="http://schemas.microsoft.com/office/drawing/2014/main" id="{00000000-0008-0000-0D00-000087010000}"/>
              </a:ext>
            </a:extLst>
          </xdr:cNvPr>
          <xdr:cNvGrpSpPr>
            <a:grpSpLocks/>
          </xdr:cNvGrpSpPr>
        </xdr:nvGrpSpPr>
        <xdr:grpSpPr bwMode="auto">
          <a:xfrm>
            <a:off x="2256" y="1384"/>
            <a:ext cx="288" cy="48"/>
            <a:chOff x="2592" y="1152"/>
            <a:chExt cx="432" cy="48"/>
          </a:xfrm>
          <a:grpFill/>
        </xdr:grpSpPr>
        <xdr:sp macro="" textlink="">
          <xdr:nvSpPr>
            <xdr:cNvPr id="425" name="Line 45">
              <a:extLst>
                <a:ext uri="{FF2B5EF4-FFF2-40B4-BE49-F238E27FC236}">
                  <a16:creationId xmlns:a16="http://schemas.microsoft.com/office/drawing/2014/main" id="{00000000-0008-0000-0D00-0000A9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26" name="Line 46">
              <a:extLst>
                <a:ext uri="{FF2B5EF4-FFF2-40B4-BE49-F238E27FC236}">
                  <a16:creationId xmlns:a16="http://schemas.microsoft.com/office/drawing/2014/main" id="{00000000-0008-0000-0D00-0000AA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92" name="Group 303">
            <a:extLst>
              <a:ext uri="{FF2B5EF4-FFF2-40B4-BE49-F238E27FC236}">
                <a16:creationId xmlns:a16="http://schemas.microsoft.com/office/drawing/2014/main" id="{00000000-0008-0000-0D00-000088010000}"/>
              </a:ext>
            </a:extLst>
          </xdr:cNvPr>
          <xdr:cNvGrpSpPr>
            <a:grpSpLocks/>
          </xdr:cNvGrpSpPr>
        </xdr:nvGrpSpPr>
        <xdr:grpSpPr bwMode="auto">
          <a:xfrm>
            <a:off x="2256" y="2008"/>
            <a:ext cx="288" cy="48"/>
            <a:chOff x="2592" y="1152"/>
            <a:chExt cx="432" cy="48"/>
          </a:xfrm>
          <a:grpFill/>
        </xdr:grpSpPr>
        <xdr:sp macro="" textlink="">
          <xdr:nvSpPr>
            <xdr:cNvPr id="423" name="Line 48">
              <a:extLst>
                <a:ext uri="{FF2B5EF4-FFF2-40B4-BE49-F238E27FC236}">
                  <a16:creationId xmlns:a16="http://schemas.microsoft.com/office/drawing/2014/main" id="{00000000-0008-0000-0D00-0000A7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24" name="Line 49">
              <a:extLst>
                <a:ext uri="{FF2B5EF4-FFF2-40B4-BE49-F238E27FC236}">
                  <a16:creationId xmlns:a16="http://schemas.microsoft.com/office/drawing/2014/main" id="{00000000-0008-0000-0D00-0000A8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93" name="Group 306">
            <a:extLst>
              <a:ext uri="{FF2B5EF4-FFF2-40B4-BE49-F238E27FC236}">
                <a16:creationId xmlns:a16="http://schemas.microsoft.com/office/drawing/2014/main" id="{00000000-0008-0000-0D00-000089010000}"/>
              </a:ext>
            </a:extLst>
          </xdr:cNvPr>
          <xdr:cNvGrpSpPr>
            <a:grpSpLocks/>
          </xdr:cNvGrpSpPr>
        </xdr:nvGrpSpPr>
        <xdr:grpSpPr bwMode="auto">
          <a:xfrm>
            <a:off x="2256" y="1808"/>
            <a:ext cx="288" cy="48"/>
            <a:chOff x="2592" y="1152"/>
            <a:chExt cx="432" cy="48"/>
          </a:xfrm>
          <a:grpFill/>
        </xdr:grpSpPr>
        <xdr:sp macro="" textlink="">
          <xdr:nvSpPr>
            <xdr:cNvPr id="421" name="Line 51">
              <a:extLst>
                <a:ext uri="{FF2B5EF4-FFF2-40B4-BE49-F238E27FC236}">
                  <a16:creationId xmlns:a16="http://schemas.microsoft.com/office/drawing/2014/main" id="{00000000-0008-0000-0D00-0000A5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22" name="Line 52">
              <a:extLst>
                <a:ext uri="{FF2B5EF4-FFF2-40B4-BE49-F238E27FC236}">
                  <a16:creationId xmlns:a16="http://schemas.microsoft.com/office/drawing/2014/main" id="{00000000-0008-0000-0D00-0000A6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94" name="Group 307">
            <a:extLst>
              <a:ext uri="{FF2B5EF4-FFF2-40B4-BE49-F238E27FC236}">
                <a16:creationId xmlns:a16="http://schemas.microsoft.com/office/drawing/2014/main" id="{00000000-0008-0000-0D00-00008A010000}"/>
              </a:ext>
            </a:extLst>
          </xdr:cNvPr>
          <xdr:cNvGrpSpPr>
            <a:grpSpLocks/>
          </xdr:cNvGrpSpPr>
        </xdr:nvGrpSpPr>
        <xdr:grpSpPr bwMode="auto">
          <a:xfrm>
            <a:off x="2256" y="1600"/>
            <a:ext cx="288" cy="48"/>
            <a:chOff x="2592" y="1152"/>
            <a:chExt cx="432" cy="48"/>
          </a:xfrm>
          <a:grpFill/>
        </xdr:grpSpPr>
        <xdr:sp macro="" textlink="">
          <xdr:nvSpPr>
            <xdr:cNvPr id="419" name="Line 54">
              <a:extLst>
                <a:ext uri="{FF2B5EF4-FFF2-40B4-BE49-F238E27FC236}">
                  <a16:creationId xmlns:a16="http://schemas.microsoft.com/office/drawing/2014/main" id="{00000000-0008-0000-0D00-0000A3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20" name="Line 55">
              <a:extLst>
                <a:ext uri="{FF2B5EF4-FFF2-40B4-BE49-F238E27FC236}">
                  <a16:creationId xmlns:a16="http://schemas.microsoft.com/office/drawing/2014/main" id="{00000000-0008-0000-0D00-0000A4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95" name="Group 309">
            <a:extLst>
              <a:ext uri="{FF2B5EF4-FFF2-40B4-BE49-F238E27FC236}">
                <a16:creationId xmlns:a16="http://schemas.microsoft.com/office/drawing/2014/main" id="{00000000-0008-0000-0D00-00008B010000}"/>
              </a:ext>
            </a:extLst>
          </xdr:cNvPr>
          <xdr:cNvGrpSpPr>
            <a:grpSpLocks/>
          </xdr:cNvGrpSpPr>
        </xdr:nvGrpSpPr>
        <xdr:grpSpPr bwMode="auto">
          <a:xfrm>
            <a:off x="2256" y="2248"/>
            <a:ext cx="288" cy="48"/>
            <a:chOff x="2592" y="1152"/>
            <a:chExt cx="432" cy="48"/>
          </a:xfrm>
          <a:grpFill/>
        </xdr:grpSpPr>
        <xdr:sp macro="" textlink="">
          <xdr:nvSpPr>
            <xdr:cNvPr id="417" name="Line 57">
              <a:extLst>
                <a:ext uri="{FF2B5EF4-FFF2-40B4-BE49-F238E27FC236}">
                  <a16:creationId xmlns:a16="http://schemas.microsoft.com/office/drawing/2014/main" id="{00000000-0008-0000-0D00-0000A1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18" name="Line 58">
              <a:extLst>
                <a:ext uri="{FF2B5EF4-FFF2-40B4-BE49-F238E27FC236}">
                  <a16:creationId xmlns:a16="http://schemas.microsoft.com/office/drawing/2014/main" id="{00000000-0008-0000-0D00-0000A2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96" name="Group 310">
            <a:extLst>
              <a:ext uri="{FF2B5EF4-FFF2-40B4-BE49-F238E27FC236}">
                <a16:creationId xmlns:a16="http://schemas.microsoft.com/office/drawing/2014/main" id="{00000000-0008-0000-0D00-00008C010000}"/>
              </a:ext>
            </a:extLst>
          </xdr:cNvPr>
          <xdr:cNvGrpSpPr>
            <a:grpSpLocks/>
          </xdr:cNvGrpSpPr>
        </xdr:nvGrpSpPr>
        <xdr:grpSpPr bwMode="auto">
          <a:xfrm>
            <a:off x="2256" y="1152"/>
            <a:ext cx="288" cy="48"/>
            <a:chOff x="2592" y="1152"/>
            <a:chExt cx="432" cy="48"/>
          </a:xfrm>
          <a:grpFill/>
        </xdr:grpSpPr>
        <xdr:sp macro="" textlink="">
          <xdr:nvSpPr>
            <xdr:cNvPr id="415" name="Line 60">
              <a:extLst>
                <a:ext uri="{FF2B5EF4-FFF2-40B4-BE49-F238E27FC236}">
                  <a16:creationId xmlns:a16="http://schemas.microsoft.com/office/drawing/2014/main" id="{00000000-0008-0000-0D00-00009F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16" name="Line 61">
              <a:extLst>
                <a:ext uri="{FF2B5EF4-FFF2-40B4-BE49-F238E27FC236}">
                  <a16:creationId xmlns:a16="http://schemas.microsoft.com/office/drawing/2014/main" id="{00000000-0008-0000-0D00-0000A0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97" name="Group 326">
            <a:extLst>
              <a:ext uri="{FF2B5EF4-FFF2-40B4-BE49-F238E27FC236}">
                <a16:creationId xmlns:a16="http://schemas.microsoft.com/office/drawing/2014/main" id="{00000000-0008-0000-0D00-00008D010000}"/>
              </a:ext>
            </a:extLst>
          </xdr:cNvPr>
          <xdr:cNvGrpSpPr>
            <a:grpSpLocks/>
          </xdr:cNvGrpSpPr>
        </xdr:nvGrpSpPr>
        <xdr:grpSpPr bwMode="auto">
          <a:xfrm flipH="1">
            <a:off x="2352" y="1496"/>
            <a:ext cx="376" cy="48"/>
            <a:chOff x="2592" y="1152"/>
            <a:chExt cx="432" cy="48"/>
          </a:xfrm>
          <a:grpFill/>
        </xdr:grpSpPr>
        <xdr:sp macro="" textlink="">
          <xdr:nvSpPr>
            <xdr:cNvPr id="413" name="Line 63">
              <a:extLst>
                <a:ext uri="{FF2B5EF4-FFF2-40B4-BE49-F238E27FC236}">
                  <a16:creationId xmlns:a16="http://schemas.microsoft.com/office/drawing/2014/main" id="{00000000-0008-0000-0D00-00009D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14" name="Line 64">
              <a:extLst>
                <a:ext uri="{FF2B5EF4-FFF2-40B4-BE49-F238E27FC236}">
                  <a16:creationId xmlns:a16="http://schemas.microsoft.com/office/drawing/2014/main" id="{00000000-0008-0000-0D00-00009E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98" name="Group 327">
            <a:extLst>
              <a:ext uri="{FF2B5EF4-FFF2-40B4-BE49-F238E27FC236}">
                <a16:creationId xmlns:a16="http://schemas.microsoft.com/office/drawing/2014/main" id="{00000000-0008-0000-0D00-00008E010000}"/>
              </a:ext>
            </a:extLst>
          </xdr:cNvPr>
          <xdr:cNvGrpSpPr>
            <a:grpSpLocks/>
          </xdr:cNvGrpSpPr>
        </xdr:nvGrpSpPr>
        <xdr:grpSpPr bwMode="auto">
          <a:xfrm flipH="1">
            <a:off x="2352" y="2136"/>
            <a:ext cx="376" cy="48"/>
            <a:chOff x="2592" y="1152"/>
            <a:chExt cx="432" cy="48"/>
          </a:xfrm>
          <a:grpFill/>
        </xdr:grpSpPr>
        <xdr:sp macro="" textlink="">
          <xdr:nvSpPr>
            <xdr:cNvPr id="411" name="Line 66">
              <a:extLst>
                <a:ext uri="{FF2B5EF4-FFF2-40B4-BE49-F238E27FC236}">
                  <a16:creationId xmlns:a16="http://schemas.microsoft.com/office/drawing/2014/main" id="{00000000-0008-0000-0D00-00009B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12" name="Line 67">
              <a:extLst>
                <a:ext uri="{FF2B5EF4-FFF2-40B4-BE49-F238E27FC236}">
                  <a16:creationId xmlns:a16="http://schemas.microsoft.com/office/drawing/2014/main" id="{00000000-0008-0000-0D00-00009C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399" name="Group 328">
            <a:extLst>
              <a:ext uri="{FF2B5EF4-FFF2-40B4-BE49-F238E27FC236}">
                <a16:creationId xmlns:a16="http://schemas.microsoft.com/office/drawing/2014/main" id="{00000000-0008-0000-0D00-00008F010000}"/>
              </a:ext>
            </a:extLst>
          </xdr:cNvPr>
          <xdr:cNvGrpSpPr>
            <a:grpSpLocks/>
          </xdr:cNvGrpSpPr>
        </xdr:nvGrpSpPr>
        <xdr:grpSpPr bwMode="auto">
          <a:xfrm flipH="1">
            <a:off x="2352" y="1904"/>
            <a:ext cx="376" cy="48"/>
            <a:chOff x="2592" y="1152"/>
            <a:chExt cx="432" cy="48"/>
          </a:xfrm>
          <a:grpFill/>
        </xdr:grpSpPr>
        <xdr:sp macro="" textlink="">
          <xdr:nvSpPr>
            <xdr:cNvPr id="409" name="Line 69">
              <a:extLst>
                <a:ext uri="{FF2B5EF4-FFF2-40B4-BE49-F238E27FC236}">
                  <a16:creationId xmlns:a16="http://schemas.microsoft.com/office/drawing/2014/main" id="{00000000-0008-0000-0D00-000099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10" name="Line 70">
              <a:extLst>
                <a:ext uri="{FF2B5EF4-FFF2-40B4-BE49-F238E27FC236}">
                  <a16:creationId xmlns:a16="http://schemas.microsoft.com/office/drawing/2014/main" id="{00000000-0008-0000-0D00-00009A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400" name="Group 329">
            <a:extLst>
              <a:ext uri="{FF2B5EF4-FFF2-40B4-BE49-F238E27FC236}">
                <a16:creationId xmlns:a16="http://schemas.microsoft.com/office/drawing/2014/main" id="{00000000-0008-0000-0D00-000090010000}"/>
              </a:ext>
            </a:extLst>
          </xdr:cNvPr>
          <xdr:cNvGrpSpPr>
            <a:grpSpLocks/>
          </xdr:cNvGrpSpPr>
        </xdr:nvGrpSpPr>
        <xdr:grpSpPr bwMode="auto">
          <a:xfrm flipH="1">
            <a:off x="2352" y="1712"/>
            <a:ext cx="376" cy="48"/>
            <a:chOff x="2592" y="1152"/>
            <a:chExt cx="432" cy="48"/>
          </a:xfrm>
          <a:grpFill/>
        </xdr:grpSpPr>
        <xdr:sp macro="" textlink="">
          <xdr:nvSpPr>
            <xdr:cNvPr id="407" name="Line 72">
              <a:extLst>
                <a:ext uri="{FF2B5EF4-FFF2-40B4-BE49-F238E27FC236}">
                  <a16:creationId xmlns:a16="http://schemas.microsoft.com/office/drawing/2014/main" id="{00000000-0008-0000-0D00-000097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08" name="Line 73">
              <a:extLst>
                <a:ext uri="{FF2B5EF4-FFF2-40B4-BE49-F238E27FC236}">
                  <a16:creationId xmlns:a16="http://schemas.microsoft.com/office/drawing/2014/main" id="{00000000-0008-0000-0D00-000098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401" name="Group 331">
            <a:extLst>
              <a:ext uri="{FF2B5EF4-FFF2-40B4-BE49-F238E27FC236}">
                <a16:creationId xmlns:a16="http://schemas.microsoft.com/office/drawing/2014/main" id="{00000000-0008-0000-0D00-000091010000}"/>
              </a:ext>
            </a:extLst>
          </xdr:cNvPr>
          <xdr:cNvGrpSpPr>
            <a:grpSpLocks/>
          </xdr:cNvGrpSpPr>
        </xdr:nvGrpSpPr>
        <xdr:grpSpPr bwMode="auto">
          <a:xfrm flipH="1">
            <a:off x="2352" y="2352"/>
            <a:ext cx="376" cy="48"/>
            <a:chOff x="2592" y="1152"/>
            <a:chExt cx="432" cy="48"/>
          </a:xfrm>
          <a:grpFill/>
        </xdr:grpSpPr>
        <xdr:sp macro="" textlink="">
          <xdr:nvSpPr>
            <xdr:cNvPr id="405" name="Line 75">
              <a:extLst>
                <a:ext uri="{FF2B5EF4-FFF2-40B4-BE49-F238E27FC236}">
                  <a16:creationId xmlns:a16="http://schemas.microsoft.com/office/drawing/2014/main" id="{00000000-0008-0000-0D00-000095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06" name="Line 76">
              <a:extLst>
                <a:ext uri="{FF2B5EF4-FFF2-40B4-BE49-F238E27FC236}">
                  <a16:creationId xmlns:a16="http://schemas.microsoft.com/office/drawing/2014/main" id="{00000000-0008-0000-0D00-000096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nvGrpSpPr>
          <xdr:cNvPr id="402" name="Group 332">
            <a:extLst>
              <a:ext uri="{FF2B5EF4-FFF2-40B4-BE49-F238E27FC236}">
                <a16:creationId xmlns:a16="http://schemas.microsoft.com/office/drawing/2014/main" id="{00000000-0008-0000-0D00-000092010000}"/>
              </a:ext>
            </a:extLst>
          </xdr:cNvPr>
          <xdr:cNvGrpSpPr>
            <a:grpSpLocks/>
          </xdr:cNvGrpSpPr>
        </xdr:nvGrpSpPr>
        <xdr:grpSpPr bwMode="auto">
          <a:xfrm flipH="1">
            <a:off x="2352" y="1272"/>
            <a:ext cx="376" cy="48"/>
            <a:chOff x="2592" y="1152"/>
            <a:chExt cx="432" cy="48"/>
          </a:xfrm>
          <a:grpFill/>
        </xdr:grpSpPr>
        <xdr:sp macro="" textlink="">
          <xdr:nvSpPr>
            <xdr:cNvPr id="403" name="Line 78">
              <a:extLst>
                <a:ext uri="{FF2B5EF4-FFF2-40B4-BE49-F238E27FC236}">
                  <a16:creationId xmlns:a16="http://schemas.microsoft.com/office/drawing/2014/main" id="{00000000-0008-0000-0D00-000093010000}"/>
                </a:ext>
              </a:extLst>
            </xdr:cNvPr>
            <xdr:cNvSpPr>
              <a:spLocks noChangeShapeType="1"/>
            </xdr:cNvSpPr>
          </xdr:nvSpPr>
          <xdr:spPr bwMode="auto">
            <a:xfrm>
              <a:off x="2592" y="1200"/>
              <a:ext cx="432" cy="0"/>
            </a:xfrm>
            <a:prstGeom prst="line">
              <a:avLst/>
            </a:prstGeom>
            <a:grpFill/>
            <a:ln w="9525">
              <a:solidFill>
                <a:schemeClr val="tx1"/>
              </a:solidFill>
              <a:prstDash val="dash"/>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404" name="Line 79">
              <a:extLst>
                <a:ext uri="{FF2B5EF4-FFF2-40B4-BE49-F238E27FC236}">
                  <a16:creationId xmlns:a16="http://schemas.microsoft.com/office/drawing/2014/main" id="{00000000-0008-0000-0D00-000094010000}"/>
                </a:ext>
              </a:extLst>
            </xdr:cNvPr>
            <xdr:cNvSpPr>
              <a:spLocks noChangeShapeType="1"/>
            </xdr:cNvSpPr>
          </xdr:nvSpPr>
          <xdr:spPr bwMode="auto">
            <a:xfrm flipV="1">
              <a:off x="3024" y="1152"/>
              <a:ext cx="0" cy="48"/>
            </a:xfrm>
            <a:prstGeom prst="line">
              <a:avLst/>
            </a:prstGeom>
            <a:grpFill/>
            <a:ln w="9525">
              <a:solidFill>
                <a:schemeClr val="tx1"/>
              </a:solidFill>
              <a:round/>
              <a:headEnd/>
              <a:tailEnd/>
            </a:ln>
            <a:effectLst/>
          </xdr:spPr>
          <xdr:txBody>
            <a:bodyPr wrap="square"/>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grpSp>
    <xdr:clientData/>
  </xdr:twoCellAnchor>
  <xdr:twoCellAnchor>
    <xdr:from>
      <xdr:col>57</xdr:col>
      <xdr:colOff>130662</xdr:colOff>
      <xdr:row>182</xdr:row>
      <xdr:rowOff>1400</xdr:rowOff>
    </xdr:from>
    <xdr:to>
      <xdr:col>65</xdr:col>
      <xdr:colOff>831270</xdr:colOff>
      <xdr:row>237</xdr:row>
      <xdr:rowOff>140690</xdr:rowOff>
    </xdr:to>
    <xdr:cxnSp macro="">
      <xdr:nvCxnSpPr>
        <xdr:cNvPr id="427" name="Elbow Connector 168" descr="7652010f-37fc-444d-8147-6b6d0f453fda">
          <a:extLst>
            <a:ext uri="{FF2B5EF4-FFF2-40B4-BE49-F238E27FC236}">
              <a16:creationId xmlns:a16="http://schemas.microsoft.com/office/drawing/2014/main" id="{00000000-0008-0000-0D00-0000AB010000}"/>
            </a:ext>
          </a:extLst>
        </xdr:cNvPr>
        <xdr:cNvCxnSpPr>
          <a:cxnSpLocks noChangeShapeType="1"/>
          <a:stCxn id="403" idx="0"/>
          <a:endCxn id="378" idx="1"/>
        </xdr:cNvCxnSpPr>
      </xdr:nvCxnSpPr>
      <xdr:spPr bwMode="auto">
        <a:xfrm rot="5400000" flipH="1" flipV="1">
          <a:off x="49646912" y="28278423"/>
          <a:ext cx="8729108" cy="7974244"/>
        </a:xfrm>
        <a:prstGeom prst="bentConnector4">
          <a:avLst>
            <a:gd name="adj1" fmla="val -2619"/>
            <a:gd name="adj2" fmla="val 50000"/>
          </a:avLst>
        </a:prstGeom>
        <a:noFill/>
        <a:ln w="25400" algn="ctr">
          <a:solidFill>
            <a:schemeClr val="accent6">
              <a:lumMod val="75000"/>
            </a:schemeClr>
          </a:solidFill>
          <a:round/>
          <a:headEnd/>
          <a:tailEnd type="triangle" w="med" len="med"/>
        </a:ln>
      </xdr:spPr>
    </xdr:cxnSp>
    <xdr:clientData/>
  </xdr:twoCellAnchor>
  <xdr:twoCellAnchor>
    <xdr:from>
      <xdr:col>57</xdr:col>
      <xdr:colOff>130662</xdr:colOff>
      <xdr:row>101</xdr:row>
      <xdr:rowOff>152438</xdr:rowOff>
    </xdr:from>
    <xdr:to>
      <xdr:col>91</xdr:col>
      <xdr:colOff>242454</xdr:colOff>
      <xdr:row>254</xdr:row>
      <xdr:rowOff>108842</xdr:rowOff>
    </xdr:to>
    <xdr:cxnSp macro="">
      <xdr:nvCxnSpPr>
        <xdr:cNvPr id="430" name="Elbow Connector 168" descr="3ebc649b-20c0-429a-8bd4-7f4bf23adb1b">
          <a:extLst>
            <a:ext uri="{FF2B5EF4-FFF2-40B4-BE49-F238E27FC236}">
              <a16:creationId xmlns:a16="http://schemas.microsoft.com/office/drawing/2014/main" id="{00000000-0008-0000-0D00-0000AE010000}"/>
            </a:ext>
          </a:extLst>
        </xdr:cNvPr>
        <xdr:cNvCxnSpPr>
          <a:cxnSpLocks noChangeShapeType="1"/>
          <a:stCxn id="409" idx="0"/>
          <a:endCxn id="965" idx="2"/>
        </xdr:cNvCxnSpPr>
      </xdr:nvCxnSpPr>
      <xdr:spPr bwMode="auto">
        <a:xfrm rot="5400000" flipH="1" flipV="1">
          <a:off x="54596106" y="10543585"/>
          <a:ext cx="24132586" cy="33276110"/>
        </a:xfrm>
        <a:prstGeom prst="bentConnector4">
          <a:avLst>
            <a:gd name="adj1" fmla="val -947"/>
            <a:gd name="adj2" fmla="val 46045"/>
          </a:avLst>
        </a:prstGeom>
        <a:noFill/>
        <a:ln w="25400" algn="ctr">
          <a:solidFill>
            <a:schemeClr val="accent6">
              <a:lumMod val="75000"/>
            </a:schemeClr>
          </a:solidFill>
          <a:round/>
          <a:headEnd/>
          <a:tailEnd type="triangle" w="med" len="med"/>
        </a:ln>
      </xdr:spPr>
    </xdr:cxnSp>
    <xdr:clientData/>
  </xdr:twoCellAnchor>
  <xdr:twoCellAnchor>
    <xdr:from>
      <xdr:col>64</xdr:col>
      <xdr:colOff>140029</xdr:colOff>
      <xdr:row>279</xdr:row>
      <xdr:rowOff>68046</xdr:rowOff>
    </xdr:from>
    <xdr:to>
      <xdr:col>65</xdr:col>
      <xdr:colOff>433071</xdr:colOff>
      <xdr:row>286</xdr:row>
      <xdr:rowOff>49869</xdr:rowOff>
    </xdr:to>
    <xdr:sp macro="" textlink="">
      <xdr:nvSpPr>
        <xdr:cNvPr id="440" name="Flowchart: Or 439" descr="e4695d1f-788e-41a0-bf19-f1a576807574">
          <a:extLst>
            <a:ext uri="{FF2B5EF4-FFF2-40B4-BE49-F238E27FC236}">
              <a16:creationId xmlns:a16="http://schemas.microsoft.com/office/drawing/2014/main" id="{00000000-0008-0000-0D00-0000B8010000}"/>
            </a:ext>
          </a:extLst>
        </xdr:cNvPr>
        <xdr:cNvSpPr/>
      </xdr:nvSpPr>
      <xdr:spPr bwMode="auto">
        <a:xfrm>
          <a:off x="56406802" y="43103728"/>
          <a:ext cx="1193587" cy="1072868"/>
        </a:xfrm>
        <a:prstGeom prst="flowChartOr">
          <a:avLst/>
        </a:prstGeom>
        <a:solidFill>
          <a:srgbClr val="FFFFFF"/>
        </a:solidFill>
        <a:ln w="25400" cap="flat" cmpd="sng" algn="ctr">
          <a:solidFill>
            <a:schemeClr val="accent6">
              <a:lumMod val="75000"/>
            </a:schemeClr>
          </a:solidFill>
          <a:prstDash val="solid"/>
          <a:round/>
          <a:headEnd type="none" w="med" len="med"/>
          <a:tailEnd type="triangle" w="med" len="med"/>
        </a:ln>
        <a:effectLst/>
      </xdr:spPr>
      <xdr:txBody>
        <a:bodyPr vertOverflow="clip" wrap="square" lIns="18288" tIns="0" rIns="0" bIns="0" rtlCol="0" anchor="ctr" upright="1"/>
        <a:lstStyle/>
        <a:p>
          <a:pPr algn="ctr"/>
          <a:r>
            <a:rPr lang="en-CA" sz="1400"/>
            <a:t>RHCGO FLOW </a:t>
          </a:r>
          <a:r>
            <a:rPr lang="en-CA" sz="1400" i="1"/>
            <a:t>SPLITTER</a:t>
          </a:r>
        </a:p>
      </xdr:txBody>
    </xdr:sp>
    <xdr:clientData/>
  </xdr:twoCellAnchor>
  <xdr:twoCellAnchor>
    <xdr:from>
      <xdr:col>57</xdr:col>
      <xdr:colOff>225136</xdr:colOff>
      <xdr:row>263</xdr:row>
      <xdr:rowOff>86591</xdr:rowOff>
    </xdr:from>
    <xdr:to>
      <xdr:col>64</xdr:col>
      <xdr:colOff>140029</xdr:colOff>
      <xdr:row>282</xdr:row>
      <xdr:rowOff>136889</xdr:rowOff>
    </xdr:to>
    <xdr:cxnSp macro="">
      <xdr:nvCxnSpPr>
        <xdr:cNvPr id="443" name="Elbow Connector 168" descr="22e43ce2-4ffc-4622-809f-d43d48cdeb59">
          <a:extLst>
            <a:ext uri="{FF2B5EF4-FFF2-40B4-BE49-F238E27FC236}">
              <a16:creationId xmlns:a16="http://schemas.microsoft.com/office/drawing/2014/main" id="{00000000-0008-0000-0D00-0000BB010000}"/>
            </a:ext>
          </a:extLst>
        </xdr:cNvPr>
        <xdr:cNvCxnSpPr>
          <a:cxnSpLocks noChangeShapeType="1"/>
          <a:endCxn id="440" idx="2"/>
        </xdr:cNvCxnSpPr>
      </xdr:nvCxnSpPr>
      <xdr:spPr bwMode="auto">
        <a:xfrm>
          <a:off x="50118818" y="40628455"/>
          <a:ext cx="6287984" cy="3011707"/>
        </a:xfrm>
        <a:prstGeom prst="bentConnector3">
          <a:avLst>
            <a:gd name="adj1" fmla="val 50000"/>
          </a:avLst>
        </a:prstGeom>
        <a:noFill/>
        <a:ln w="25400" algn="ctr">
          <a:solidFill>
            <a:schemeClr val="accent6">
              <a:lumMod val="75000"/>
            </a:schemeClr>
          </a:solidFill>
          <a:round/>
          <a:headEnd/>
          <a:tailEnd type="triangle" w="med" len="med"/>
        </a:ln>
      </xdr:spPr>
    </xdr:cxnSp>
    <xdr:clientData/>
  </xdr:twoCellAnchor>
  <xdr:twoCellAnchor>
    <xdr:from>
      <xdr:col>42</xdr:col>
      <xdr:colOff>107003</xdr:colOff>
      <xdr:row>105</xdr:row>
      <xdr:rowOff>1291</xdr:rowOff>
    </xdr:from>
    <xdr:to>
      <xdr:col>66</xdr:col>
      <xdr:colOff>738200</xdr:colOff>
      <xdr:row>205</xdr:row>
      <xdr:rowOff>43130</xdr:rowOff>
    </xdr:to>
    <xdr:cxnSp macro="">
      <xdr:nvCxnSpPr>
        <xdr:cNvPr id="448" name="Elbow Connector 125" descr="22609d38-6f73-416f-9af2-7fc60443c47e">
          <a:extLst>
            <a:ext uri="{FF2B5EF4-FFF2-40B4-BE49-F238E27FC236}">
              <a16:creationId xmlns:a16="http://schemas.microsoft.com/office/drawing/2014/main" id="{00000000-0008-0000-0D00-0000C0010000}"/>
            </a:ext>
          </a:extLst>
        </xdr:cNvPr>
        <xdr:cNvCxnSpPr>
          <a:cxnSpLocks noChangeShapeType="1"/>
          <a:stCxn id="343" idx="6"/>
          <a:endCxn id="997" idx="2"/>
        </xdr:cNvCxnSpPr>
      </xdr:nvCxnSpPr>
      <xdr:spPr bwMode="auto">
        <a:xfrm>
          <a:off x="35540003" y="19051291"/>
          <a:ext cx="23776947" cy="19282339"/>
        </a:xfrm>
        <a:prstGeom prst="bentConnector3">
          <a:avLst>
            <a:gd name="adj1" fmla="val 52804"/>
          </a:avLst>
        </a:prstGeom>
        <a:noFill/>
        <a:ln w="25400" algn="ctr">
          <a:solidFill>
            <a:schemeClr val="accent3">
              <a:lumMod val="75000"/>
            </a:schemeClr>
          </a:solidFill>
          <a:round/>
          <a:headEnd/>
          <a:tailEnd type="triangle" w="med" len="med"/>
        </a:ln>
      </xdr:spPr>
    </xdr:cxnSp>
    <xdr:clientData/>
  </xdr:twoCellAnchor>
  <xdr:twoCellAnchor>
    <xdr:from>
      <xdr:col>43</xdr:col>
      <xdr:colOff>295878</xdr:colOff>
      <xdr:row>145</xdr:row>
      <xdr:rowOff>103334</xdr:rowOff>
    </xdr:from>
    <xdr:to>
      <xdr:col>66</xdr:col>
      <xdr:colOff>910960</xdr:colOff>
      <xdr:row>207</xdr:row>
      <xdr:rowOff>61539</xdr:rowOff>
    </xdr:to>
    <xdr:cxnSp macro="">
      <xdr:nvCxnSpPr>
        <xdr:cNvPr id="451" name="Elbow Connector 125" descr="f6a610b1-bdfb-4820-b4d4-ce166f4b9e14">
          <a:extLst>
            <a:ext uri="{FF2B5EF4-FFF2-40B4-BE49-F238E27FC236}">
              <a16:creationId xmlns:a16="http://schemas.microsoft.com/office/drawing/2014/main" id="{00000000-0008-0000-0D00-0000C3010000}"/>
            </a:ext>
          </a:extLst>
        </xdr:cNvPr>
        <xdr:cNvCxnSpPr>
          <a:cxnSpLocks noChangeShapeType="1"/>
          <a:stCxn id="375" idx="6"/>
          <a:endCxn id="997" idx="3"/>
        </xdr:cNvCxnSpPr>
      </xdr:nvCxnSpPr>
      <xdr:spPr bwMode="auto">
        <a:xfrm>
          <a:off x="36681378" y="26868584"/>
          <a:ext cx="22808332" cy="11864455"/>
        </a:xfrm>
        <a:prstGeom prst="bentConnector4">
          <a:avLst>
            <a:gd name="adj1" fmla="val 56306"/>
            <a:gd name="adj2" fmla="val 101927"/>
          </a:avLst>
        </a:prstGeom>
        <a:noFill/>
        <a:ln w="25400" algn="ctr">
          <a:solidFill>
            <a:schemeClr val="accent3">
              <a:lumMod val="75000"/>
            </a:schemeClr>
          </a:solidFill>
          <a:round/>
          <a:headEnd/>
          <a:tailEnd type="triangle" w="med" len="med"/>
        </a:ln>
      </xdr:spPr>
    </xdr:cxnSp>
    <xdr:clientData/>
  </xdr:twoCellAnchor>
  <xdr:twoCellAnchor>
    <xdr:from>
      <xdr:col>43</xdr:col>
      <xdr:colOff>239340</xdr:colOff>
      <xdr:row>186</xdr:row>
      <xdr:rowOff>7510</xdr:rowOff>
    </xdr:from>
    <xdr:to>
      <xdr:col>67</xdr:col>
      <xdr:colOff>375542</xdr:colOff>
      <xdr:row>208</xdr:row>
      <xdr:rowOff>36479</xdr:rowOff>
    </xdr:to>
    <xdr:cxnSp macro="">
      <xdr:nvCxnSpPr>
        <xdr:cNvPr id="455" name="Elbow Connector 125" descr="ff93cf1b-86cd-4f11-9327-dca9368e117c">
          <a:extLst>
            <a:ext uri="{FF2B5EF4-FFF2-40B4-BE49-F238E27FC236}">
              <a16:creationId xmlns:a16="http://schemas.microsoft.com/office/drawing/2014/main" id="{00000000-0008-0000-0D00-0000C7010000}"/>
            </a:ext>
          </a:extLst>
        </xdr:cNvPr>
        <xdr:cNvCxnSpPr>
          <a:cxnSpLocks noChangeShapeType="1"/>
          <a:stCxn id="376" idx="5"/>
          <a:endCxn id="997" idx="4"/>
        </xdr:cNvCxnSpPr>
      </xdr:nvCxnSpPr>
      <xdr:spPr bwMode="auto">
        <a:xfrm rot="16200000" flipH="1">
          <a:off x="46155831" y="25147519"/>
          <a:ext cx="4219969" cy="23281952"/>
        </a:xfrm>
        <a:prstGeom prst="bentConnector3">
          <a:avLst>
            <a:gd name="adj1" fmla="val 116703"/>
          </a:avLst>
        </a:prstGeom>
        <a:noFill/>
        <a:ln w="25400" algn="ctr">
          <a:solidFill>
            <a:schemeClr val="accent3">
              <a:lumMod val="75000"/>
            </a:schemeClr>
          </a:solidFill>
          <a:round/>
          <a:headEnd/>
          <a:tailEnd type="triangle" w="med" len="med"/>
        </a:ln>
      </xdr:spPr>
    </xdr:cxnSp>
    <xdr:clientData/>
  </xdr:twoCellAnchor>
  <xdr:twoCellAnchor>
    <xdr:from>
      <xdr:col>43</xdr:col>
      <xdr:colOff>100373</xdr:colOff>
      <xdr:row>125</xdr:row>
      <xdr:rowOff>1</xdr:rowOff>
    </xdr:from>
    <xdr:to>
      <xdr:col>63</xdr:col>
      <xdr:colOff>381002</xdr:colOff>
      <xdr:row>142</xdr:row>
      <xdr:rowOff>111935</xdr:rowOff>
    </xdr:to>
    <xdr:cxnSp macro="">
      <xdr:nvCxnSpPr>
        <xdr:cNvPr id="464" name="Elbow Connector 123" descr="1a3bccc6-f93d-4b1d-a984-fc7526f09f6f">
          <a:extLst>
            <a:ext uri="{FF2B5EF4-FFF2-40B4-BE49-F238E27FC236}">
              <a16:creationId xmlns:a16="http://schemas.microsoft.com/office/drawing/2014/main" id="{00000000-0008-0000-0D00-0000D0010000}"/>
            </a:ext>
          </a:extLst>
        </xdr:cNvPr>
        <xdr:cNvCxnSpPr>
          <a:cxnSpLocks noChangeShapeType="1"/>
          <a:stCxn id="375" idx="7"/>
        </xdr:cNvCxnSpPr>
      </xdr:nvCxnSpPr>
      <xdr:spPr bwMode="auto">
        <a:xfrm rot="5400000" flipH="1" flipV="1">
          <a:off x="44571221" y="14774653"/>
          <a:ext cx="3445684" cy="19616379"/>
        </a:xfrm>
        <a:prstGeom prst="bentConnector2">
          <a:avLst/>
        </a:prstGeom>
        <a:noFill/>
        <a:ln w="25400" algn="ctr">
          <a:solidFill>
            <a:schemeClr val="accent3">
              <a:lumMod val="75000"/>
            </a:schemeClr>
          </a:solidFill>
          <a:round/>
          <a:headEnd/>
          <a:tailEnd type="triangle" w="med" len="med"/>
        </a:ln>
      </xdr:spPr>
    </xdr:cxnSp>
    <xdr:clientData/>
  </xdr:twoCellAnchor>
  <xdr:twoCellAnchor>
    <xdr:from>
      <xdr:col>43</xdr:col>
      <xdr:colOff>437887</xdr:colOff>
      <xdr:row>132</xdr:row>
      <xdr:rowOff>36493</xdr:rowOff>
    </xdr:from>
    <xdr:to>
      <xdr:col>63</xdr:col>
      <xdr:colOff>346363</xdr:colOff>
      <xdr:row>183</xdr:row>
      <xdr:rowOff>23546</xdr:rowOff>
    </xdr:to>
    <xdr:cxnSp macro="">
      <xdr:nvCxnSpPr>
        <xdr:cNvPr id="469" name="Elbow Connector 123" descr="d80b2ec2-4790-41ad-af85-0d856b25daeb">
          <a:extLst>
            <a:ext uri="{FF2B5EF4-FFF2-40B4-BE49-F238E27FC236}">
              <a16:creationId xmlns:a16="http://schemas.microsoft.com/office/drawing/2014/main" id="{00000000-0008-0000-0D00-0000D5010000}"/>
            </a:ext>
          </a:extLst>
        </xdr:cNvPr>
        <xdr:cNvCxnSpPr>
          <a:cxnSpLocks noChangeShapeType="1"/>
          <a:stCxn id="376" idx="6"/>
          <a:endCxn id="1484" idx="1"/>
        </xdr:cNvCxnSpPr>
      </xdr:nvCxnSpPr>
      <xdr:spPr bwMode="auto">
        <a:xfrm flipV="1">
          <a:off x="36823387" y="19917766"/>
          <a:ext cx="18819931" cy="8161235"/>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65</xdr:col>
      <xdr:colOff>433071</xdr:colOff>
      <xdr:row>207</xdr:row>
      <xdr:rowOff>57337</xdr:rowOff>
    </xdr:from>
    <xdr:to>
      <xdr:col>67</xdr:col>
      <xdr:colOff>755884</xdr:colOff>
      <xdr:row>282</xdr:row>
      <xdr:rowOff>136889</xdr:rowOff>
    </xdr:to>
    <xdr:cxnSp macro="">
      <xdr:nvCxnSpPr>
        <xdr:cNvPr id="481" name="Elbow Connector 168" descr="daee43c8-2899-42b1-8b58-1dcac57f65b1">
          <a:extLst>
            <a:ext uri="{FF2B5EF4-FFF2-40B4-BE49-F238E27FC236}">
              <a16:creationId xmlns:a16="http://schemas.microsoft.com/office/drawing/2014/main" id="{00000000-0008-0000-0D00-0000E1010000}"/>
            </a:ext>
          </a:extLst>
        </xdr:cNvPr>
        <xdr:cNvCxnSpPr>
          <a:cxnSpLocks noChangeShapeType="1"/>
          <a:stCxn id="440" idx="6"/>
          <a:endCxn id="997" idx="5"/>
        </xdr:cNvCxnSpPr>
      </xdr:nvCxnSpPr>
      <xdr:spPr bwMode="auto">
        <a:xfrm flipV="1">
          <a:off x="57600389" y="31870837"/>
          <a:ext cx="2123904" cy="11769325"/>
        </a:xfrm>
        <a:prstGeom prst="bentConnector2">
          <a:avLst/>
        </a:prstGeom>
        <a:noFill/>
        <a:ln w="25400" algn="ctr">
          <a:solidFill>
            <a:schemeClr val="accent6">
              <a:lumMod val="75000"/>
            </a:schemeClr>
          </a:solidFill>
          <a:round/>
          <a:headEnd/>
          <a:tailEnd type="triangle" w="med" len="med"/>
        </a:ln>
      </xdr:spPr>
    </xdr:cxnSp>
    <xdr:clientData/>
  </xdr:twoCellAnchor>
  <xdr:twoCellAnchor>
    <xdr:from>
      <xdr:col>65</xdr:col>
      <xdr:colOff>228439</xdr:colOff>
      <xdr:row>143</xdr:row>
      <xdr:rowOff>138254</xdr:rowOff>
    </xdr:from>
    <xdr:to>
      <xdr:col>65</xdr:col>
      <xdr:colOff>258274</xdr:colOff>
      <xdr:row>280</xdr:row>
      <xdr:rowOff>69301</xdr:rowOff>
    </xdr:to>
    <xdr:cxnSp macro="">
      <xdr:nvCxnSpPr>
        <xdr:cNvPr id="500" name="Elbow Connector 168" descr="f0e743ac-c6a2-41e4-86a1-67d370d56c27">
          <a:extLst>
            <a:ext uri="{FF2B5EF4-FFF2-40B4-BE49-F238E27FC236}">
              <a16:creationId xmlns:a16="http://schemas.microsoft.com/office/drawing/2014/main" id="{00000000-0008-0000-0D00-0000F4010000}"/>
            </a:ext>
          </a:extLst>
        </xdr:cNvPr>
        <xdr:cNvCxnSpPr>
          <a:cxnSpLocks noChangeShapeType="1"/>
          <a:stCxn id="440" idx="7"/>
          <a:endCxn id="1480" idx="2"/>
        </xdr:cNvCxnSpPr>
      </xdr:nvCxnSpPr>
      <xdr:spPr bwMode="auto">
        <a:xfrm rot="16200000" flipV="1">
          <a:off x="46690561" y="32525814"/>
          <a:ext cx="21440228" cy="29835"/>
        </a:xfrm>
        <a:prstGeom prst="bentConnector3">
          <a:avLst>
            <a:gd name="adj1" fmla="val 50000"/>
          </a:avLst>
        </a:prstGeom>
        <a:noFill/>
        <a:ln w="25400" algn="ctr">
          <a:solidFill>
            <a:schemeClr val="accent6">
              <a:lumMod val="75000"/>
            </a:schemeClr>
          </a:solidFill>
          <a:round/>
          <a:headEnd/>
          <a:tailEnd type="triangle" w="med" len="med"/>
        </a:ln>
      </xdr:spPr>
    </xdr:cxnSp>
    <xdr:clientData/>
  </xdr:twoCellAnchor>
  <xdr:twoCellAnchor>
    <xdr:from>
      <xdr:col>41</xdr:col>
      <xdr:colOff>36182</xdr:colOff>
      <xdr:row>109</xdr:row>
      <xdr:rowOff>89161</xdr:rowOff>
    </xdr:from>
    <xdr:to>
      <xdr:col>104</xdr:col>
      <xdr:colOff>591835</xdr:colOff>
      <xdr:row>161</xdr:row>
      <xdr:rowOff>15981</xdr:rowOff>
    </xdr:to>
    <xdr:cxnSp macro="">
      <xdr:nvCxnSpPr>
        <xdr:cNvPr id="519" name="AutoShape 93" descr="3b5feb92-8f0b-4b54-9fa8-0bb807be2ae7">
          <a:extLst>
            <a:ext uri="{FF2B5EF4-FFF2-40B4-BE49-F238E27FC236}">
              <a16:creationId xmlns:a16="http://schemas.microsoft.com/office/drawing/2014/main" id="{00000000-0008-0000-0D00-000007020000}"/>
            </a:ext>
          </a:extLst>
        </xdr:cNvPr>
        <xdr:cNvCxnSpPr>
          <a:cxnSpLocks noChangeShapeType="1"/>
          <a:stCxn id="343" idx="4"/>
          <a:endCxn id="914" idx="2"/>
        </xdr:cNvCxnSpPr>
      </xdr:nvCxnSpPr>
      <xdr:spPr bwMode="auto">
        <a:xfrm rot="16200000" flipH="1">
          <a:off x="62141872" y="-10979847"/>
          <a:ext cx="8291502" cy="62849153"/>
        </a:xfrm>
        <a:prstGeom prst="bentConnector3">
          <a:avLst>
            <a:gd name="adj1" fmla="val 102757"/>
          </a:avLst>
        </a:prstGeom>
        <a:noFill/>
        <a:ln w="25400">
          <a:solidFill>
            <a:srgbClr val="7030A0"/>
          </a:solidFill>
          <a:miter lim="800000"/>
          <a:headEnd/>
          <a:tailEnd type="triangle" w="med" len="med"/>
        </a:ln>
      </xdr:spPr>
    </xdr:cxnSp>
    <xdr:clientData/>
  </xdr:twoCellAnchor>
  <xdr:twoCellAnchor>
    <xdr:from>
      <xdr:col>79</xdr:col>
      <xdr:colOff>238124</xdr:colOff>
      <xdr:row>34</xdr:row>
      <xdr:rowOff>112837</xdr:rowOff>
    </xdr:from>
    <xdr:to>
      <xdr:col>99</xdr:col>
      <xdr:colOff>1154139</xdr:colOff>
      <xdr:row>111</xdr:row>
      <xdr:rowOff>94548</xdr:rowOff>
    </xdr:to>
    <xdr:cxnSp macro="">
      <xdr:nvCxnSpPr>
        <xdr:cNvPr id="553" name="AutoShape 146" descr="812b289b-195d-4f93-b8de-3e4bac082350">
          <a:extLst>
            <a:ext uri="{FF2B5EF4-FFF2-40B4-BE49-F238E27FC236}">
              <a16:creationId xmlns:a16="http://schemas.microsoft.com/office/drawing/2014/main" id="{00000000-0008-0000-0D00-000029020000}"/>
            </a:ext>
          </a:extLst>
        </xdr:cNvPr>
        <xdr:cNvCxnSpPr>
          <a:cxnSpLocks noChangeShapeType="1"/>
          <a:endCxn id="882" idx="2"/>
        </xdr:cNvCxnSpPr>
      </xdr:nvCxnSpPr>
      <xdr:spPr bwMode="auto">
        <a:xfrm flipV="1">
          <a:off x="70556437" y="4946775"/>
          <a:ext cx="21037577" cy="12816648"/>
        </a:xfrm>
        <a:prstGeom prst="bentConnector3">
          <a:avLst>
            <a:gd name="adj1" fmla="val 44567"/>
          </a:avLst>
        </a:prstGeom>
        <a:noFill/>
        <a:ln w="25400">
          <a:solidFill>
            <a:schemeClr val="accent3">
              <a:lumMod val="75000"/>
            </a:schemeClr>
          </a:solidFill>
          <a:miter lim="800000"/>
          <a:headEnd/>
          <a:tailEnd type="triangle" w="med" len="med"/>
        </a:ln>
      </xdr:spPr>
    </xdr:cxnSp>
    <xdr:clientData/>
  </xdr:twoCellAnchor>
  <xdr:twoCellAnchor>
    <xdr:from>
      <xdr:col>79</xdr:col>
      <xdr:colOff>143496</xdr:colOff>
      <xdr:row>92</xdr:row>
      <xdr:rowOff>116393</xdr:rowOff>
    </xdr:from>
    <xdr:to>
      <xdr:col>104</xdr:col>
      <xdr:colOff>512371</xdr:colOff>
      <xdr:row>132</xdr:row>
      <xdr:rowOff>14175</xdr:rowOff>
    </xdr:to>
    <xdr:cxnSp macro="">
      <xdr:nvCxnSpPr>
        <xdr:cNvPr id="557" name="AutoShape 146" descr="6a20f27f-ecd3-4a5e-8cc6-f2e9b36a8c9f">
          <a:extLst>
            <a:ext uri="{FF2B5EF4-FFF2-40B4-BE49-F238E27FC236}">
              <a16:creationId xmlns:a16="http://schemas.microsoft.com/office/drawing/2014/main" id="{00000000-0008-0000-0D00-00002D020000}"/>
            </a:ext>
          </a:extLst>
        </xdr:cNvPr>
        <xdr:cNvCxnSpPr>
          <a:cxnSpLocks noChangeShapeType="1"/>
          <a:stCxn id="1442" idx="3"/>
          <a:endCxn id="892" idx="2"/>
        </xdr:cNvCxnSpPr>
      </xdr:nvCxnSpPr>
      <xdr:spPr bwMode="auto">
        <a:xfrm flipV="1">
          <a:off x="70461809" y="14618206"/>
          <a:ext cx="27015062" cy="6636719"/>
        </a:xfrm>
        <a:prstGeom prst="bentConnector2">
          <a:avLst/>
        </a:prstGeom>
        <a:noFill/>
        <a:ln w="25400">
          <a:solidFill>
            <a:schemeClr val="accent3">
              <a:lumMod val="75000"/>
            </a:schemeClr>
          </a:solidFill>
          <a:miter lim="800000"/>
          <a:headEnd/>
          <a:tailEnd type="triangle" w="med" len="med"/>
        </a:ln>
      </xdr:spPr>
    </xdr:cxnSp>
    <xdr:clientData/>
  </xdr:twoCellAnchor>
  <xdr:twoCellAnchor>
    <xdr:from>
      <xdr:col>24</xdr:col>
      <xdr:colOff>0</xdr:colOff>
      <xdr:row>172</xdr:row>
      <xdr:rowOff>138565</xdr:rowOff>
    </xdr:from>
    <xdr:to>
      <xdr:col>27</xdr:col>
      <xdr:colOff>374505</xdr:colOff>
      <xdr:row>193</xdr:row>
      <xdr:rowOff>62798</xdr:rowOff>
    </xdr:to>
    <xdr:grpSp>
      <xdr:nvGrpSpPr>
        <xdr:cNvPr id="568" name="Group 567">
          <a:hlinkClick xmlns:r="http://schemas.openxmlformats.org/officeDocument/2006/relationships" r:id="rId16"/>
          <a:extLst>
            <a:ext uri="{FF2B5EF4-FFF2-40B4-BE49-F238E27FC236}">
              <a16:creationId xmlns:a16="http://schemas.microsoft.com/office/drawing/2014/main" id="{00000000-0008-0000-0D00-000038020000}"/>
            </a:ext>
          </a:extLst>
        </xdr:cNvPr>
        <xdr:cNvGrpSpPr>
          <a:grpSpLocks/>
        </xdr:cNvGrpSpPr>
      </xdr:nvGrpSpPr>
      <xdr:grpSpPr bwMode="auto">
        <a:xfrm>
          <a:off x="19760045" y="28471110"/>
          <a:ext cx="3024187" cy="3197370"/>
          <a:chOff x="336" y="2220"/>
          <a:chExt cx="528" cy="996"/>
        </a:xfrm>
      </xdr:grpSpPr>
      <xdr:sp macro="" textlink="">
        <xdr:nvSpPr>
          <xdr:cNvPr id="569" name="Rectangle 568">
            <a:extLst>
              <a:ext uri="{FF2B5EF4-FFF2-40B4-BE49-F238E27FC236}">
                <a16:creationId xmlns:a16="http://schemas.microsoft.com/office/drawing/2014/main" id="{00000000-0008-0000-0D00-000039020000}"/>
              </a:ext>
            </a:extLst>
          </xdr:cNvPr>
          <xdr:cNvSpPr>
            <a:spLocks noChangeArrowheads="1"/>
          </xdr:cNvSpPr>
        </xdr:nvSpPr>
        <xdr:spPr bwMode="auto">
          <a:xfrm>
            <a:off x="336" y="2784"/>
            <a:ext cx="528" cy="432"/>
          </a:xfrm>
          <a:prstGeom prst="rect">
            <a:avLst/>
          </a:prstGeom>
          <a:gradFill flip="none" rotWithShape="1">
            <a:gsLst>
              <a:gs pos="0">
                <a:schemeClr val="accent3">
                  <a:lumMod val="60000"/>
                  <a:lumOff val="40000"/>
                  <a:alpha val="0"/>
                </a:schemeClr>
              </a:gs>
              <a:gs pos="50000">
                <a:srgbClr val="9CB86E">
                  <a:alpha val="68000"/>
                </a:srgbClr>
              </a:gs>
              <a:gs pos="100000">
                <a:srgbClr val="156B13"/>
              </a:gs>
            </a:gsLst>
            <a:lin ang="5400000" scaled="0"/>
            <a:tileRect/>
          </a:grad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70" name="AutoShape 28">
            <a:extLst>
              <a:ext uri="{FF2B5EF4-FFF2-40B4-BE49-F238E27FC236}">
                <a16:creationId xmlns:a16="http://schemas.microsoft.com/office/drawing/2014/main" id="{00000000-0008-0000-0D00-00003A020000}"/>
              </a:ext>
            </a:extLst>
          </xdr:cNvPr>
          <xdr:cNvSpPr>
            <a:spLocks noChangeArrowheads="1"/>
          </xdr:cNvSpPr>
        </xdr:nvSpPr>
        <xdr:spPr bwMode="auto">
          <a:xfrm>
            <a:off x="336" y="2256"/>
            <a:ext cx="528" cy="528"/>
          </a:xfrm>
          <a:prstGeom prst="triangle">
            <a:avLst>
              <a:gd name="adj" fmla="val 50000"/>
            </a:avLst>
          </a:prstGeom>
          <a:gradFill flip="none" rotWithShape="1">
            <a:gsLst>
              <a:gs pos="0">
                <a:schemeClr val="accent3">
                  <a:lumMod val="60000"/>
                  <a:lumOff val="40000"/>
                </a:schemeClr>
              </a:gs>
              <a:gs pos="50000">
                <a:srgbClr val="9CB86E"/>
              </a:gs>
              <a:gs pos="100000">
                <a:srgbClr val="156B13"/>
              </a:gs>
            </a:gsLst>
            <a:lin ang="16200000" scaled="0"/>
            <a:tileRect/>
          </a:grad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71" name="Rectangle 570">
            <a:extLst>
              <a:ext uri="{FF2B5EF4-FFF2-40B4-BE49-F238E27FC236}">
                <a16:creationId xmlns:a16="http://schemas.microsoft.com/office/drawing/2014/main" id="{00000000-0008-0000-0D00-00003B020000}"/>
              </a:ext>
            </a:extLst>
          </xdr:cNvPr>
          <xdr:cNvSpPr>
            <a:spLocks noChangeArrowheads="1"/>
          </xdr:cNvSpPr>
        </xdr:nvSpPr>
        <xdr:spPr bwMode="auto">
          <a:xfrm>
            <a:off x="504" y="2220"/>
            <a:ext cx="192" cy="240"/>
          </a:xfrm>
          <a:prstGeom prst="rect">
            <a:avLst/>
          </a:prstGeom>
          <a:gradFill flip="none" rotWithShape="1">
            <a:gsLst>
              <a:gs pos="0">
                <a:schemeClr val="accent3">
                  <a:lumMod val="60000"/>
                  <a:lumOff val="40000"/>
                  <a:alpha val="0"/>
                </a:schemeClr>
              </a:gs>
              <a:gs pos="50000">
                <a:srgbClr val="9CB86E"/>
              </a:gs>
              <a:gs pos="100000">
                <a:srgbClr val="156B13"/>
              </a:gs>
            </a:gsLst>
            <a:lin ang="5400000" scaled="0"/>
            <a:tileRect/>
          </a:grad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clientData/>
  </xdr:twoCellAnchor>
  <xdr:twoCellAnchor>
    <xdr:from>
      <xdr:col>21</xdr:col>
      <xdr:colOff>771456</xdr:colOff>
      <xdr:row>188</xdr:row>
      <xdr:rowOff>138736</xdr:rowOff>
    </xdr:from>
    <xdr:to>
      <xdr:col>24</xdr:col>
      <xdr:colOff>0</xdr:colOff>
      <xdr:row>188</xdr:row>
      <xdr:rowOff>148711</xdr:rowOff>
    </xdr:to>
    <xdr:cxnSp macro="">
      <xdr:nvCxnSpPr>
        <xdr:cNvPr id="572" name="Straight Connector 571">
          <a:extLst>
            <a:ext uri="{FF2B5EF4-FFF2-40B4-BE49-F238E27FC236}">
              <a16:creationId xmlns:a16="http://schemas.microsoft.com/office/drawing/2014/main" id="{00000000-0008-0000-0D00-00003C020000}"/>
            </a:ext>
          </a:extLst>
        </xdr:cNvPr>
        <xdr:cNvCxnSpPr>
          <a:stCxn id="347" idx="6"/>
          <a:endCxn id="569" idx="1"/>
        </xdr:cNvCxnSpPr>
      </xdr:nvCxnSpPr>
      <xdr:spPr bwMode="auto">
        <a:xfrm>
          <a:off x="16946638" y="28973509"/>
          <a:ext cx="2051407" cy="9975"/>
        </a:xfrm>
        <a:prstGeom prst="line">
          <a:avLst/>
        </a:prstGeom>
        <a:solidFill>
          <a:srgbClr val="FFFFFF"/>
        </a:solidFill>
        <a:ln w="25400" cap="flat" cmpd="sng" algn="ctr">
          <a:solidFill>
            <a:schemeClr val="accent3">
              <a:lumMod val="75000"/>
            </a:schemeClr>
          </a:solidFill>
          <a:prstDash val="solid"/>
          <a:round/>
          <a:headEnd type="none" w="med" len="med"/>
          <a:tailEnd type="triangle" w="med" len="med"/>
        </a:ln>
        <a:effectLst/>
      </xdr:spPr>
    </xdr:cxnSp>
    <xdr:clientData/>
  </xdr:twoCellAnchor>
  <xdr:twoCellAnchor>
    <xdr:from>
      <xdr:col>27</xdr:col>
      <xdr:colOff>374505</xdr:colOff>
      <xdr:row>178</xdr:row>
      <xdr:rowOff>34637</xdr:rowOff>
    </xdr:from>
    <xdr:to>
      <xdr:col>31</xdr:col>
      <xdr:colOff>346364</xdr:colOff>
      <xdr:row>188</xdr:row>
      <xdr:rowOff>148711</xdr:rowOff>
    </xdr:to>
    <xdr:cxnSp macro="">
      <xdr:nvCxnSpPr>
        <xdr:cNvPr id="576" name="Elbow Connector 147" descr="8b3b16a1-0828-43c6-b0f4-f09558f51a34">
          <a:extLst>
            <a:ext uri="{FF2B5EF4-FFF2-40B4-BE49-F238E27FC236}">
              <a16:creationId xmlns:a16="http://schemas.microsoft.com/office/drawing/2014/main" id="{00000000-0008-0000-0D00-000040020000}"/>
            </a:ext>
          </a:extLst>
        </xdr:cNvPr>
        <xdr:cNvCxnSpPr>
          <a:cxnSpLocks noChangeShapeType="1"/>
          <a:stCxn id="569" idx="3"/>
        </xdr:cNvCxnSpPr>
      </xdr:nvCxnSpPr>
      <xdr:spPr bwMode="auto">
        <a:xfrm flipV="1">
          <a:off x="22022232" y="27310773"/>
          <a:ext cx="3227677" cy="1672711"/>
        </a:xfrm>
        <a:prstGeom prst="bentConnector3">
          <a:avLst>
            <a:gd name="adj1" fmla="val 50000"/>
          </a:avLst>
        </a:prstGeom>
        <a:noFill/>
        <a:ln w="25400" algn="ctr">
          <a:solidFill>
            <a:schemeClr val="accent3">
              <a:lumMod val="75000"/>
            </a:schemeClr>
          </a:solidFill>
          <a:round/>
          <a:headEnd/>
          <a:tailEnd type="triangle" w="med" len="med"/>
        </a:ln>
      </xdr:spPr>
    </xdr:cxnSp>
    <xdr:clientData/>
  </xdr:twoCellAnchor>
  <xdr:twoCellAnchor>
    <xdr:from>
      <xdr:col>21</xdr:col>
      <xdr:colOff>199559</xdr:colOff>
      <xdr:row>192</xdr:row>
      <xdr:rowOff>77692</xdr:rowOff>
    </xdr:from>
    <xdr:to>
      <xdr:col>103</xdr:col>
      <xdr:colOff>381297</xdr:colOff>
      <xdr:row>300</xdr:row>
      <xdr:rowOff>85561</xdr:rowOff>
    </xdr:to>
    <xdr:cxnSp macro="">
      <xdr:nvCxnSpPr>
        <xdr:cNvPr id="581" name="AutoShape 153" descr="46114459-50a3-4c1a-a60a-819545c21fe7">
          <a:extLst>
            <a:ext uri="{FF2B5EF4-FFF2-40B4-BE49-F238E27FC236}">
              <a16:creationId xmlns:a16="http://schemas.microsoft.com/office/drawing/2014/main" id="{00000000-0008-0000-0D00-000045020000}"/>
            </a:ext>
          </a:extLst>
        </xdr:cNvPr>
        <xdr:cNvCxnSpPr>
          <a:cxnSpLocks noChangeShapeType="1"/>
          <a:stCxn id="347" idx="4"/>
          <a:endCxn id="971" idx="2"/>
        </xdr:cNvCxnSpPr>
      </xdr:nvCxnSpPr>
      <xdr:spPr bwMode="auto">
        <a:xfrm rot="16200000" flipH="1">
          <a:off x="46816118" y="5943883"/>
          <a:ext cx="20581869" cy="80477488"/>
        </a:xfrm>
        <a:prstGeom prst="bentConnector3">
          <a:avLst>
            <a:gd name="adj1" fmla="val 101111"/>
          </a:avLst>
        </a:prstGeom>
        <a:noFill/>
        <a:ln w="25400">
          <a:solidFill>
            <a:srgbClr val="7030A0"/>
          </a:solidFill>
          <a:miter lim="800000"/>
          <a:headEnd/>
          <a:tailEnd type="triangle" w="med" len="med"/>
        </a:ln>
      </xdr:spPr>
    </xdr:cxnSp>
    <xdr:clientData/>
  </xdr:twoCellAnchor>
  <xdr:twoCellAnchor>
    <xdr:from>
      <xdr:col>102</xdr:col>
      <xdr:colOff>588818</xdr:colOff>
      <xdr:row>317</xdr:row>
      <xdr:rowOff>34637</xdr:rowOff>
    </xdr:from>
    <xdr:to>
      <xdr:col>104</xdr:col>
      <xdr:colOff>86372</xdr:colOff>
      <xdr:row>322</xdr:row>
      <xdr:rowOff>154835</xdr:rowOff>
    </xdr:to>
    <xdr:sp macro="" textlink="">
      <xdr:nvSpPr>
        <xdr:cNvPr id="584" name="Right Arrow 583" descr="5f8508f7-0c19-485b-bca1-d6b9840bb944">
          <a:extLst>
            <a:ext uri="{FF2B5EF4-FFF2-40B4-BE49-F238E27FC236}">
              <a16:creationId xmlns:a16="http://schemas.microsoft.com/office/drawing/2014/main" id="{00000000-0008-0000-0D00-000048020000}"/>
            </a:ext>
          </a:extLst>
        </xdr:cNvPr>
        <xdr:cNvSpPr/>
      </xdr:nvSpPr>
      <xdr:spPr bwMode="auto">
        <a:xfrm>
          <a:off x="95423182" y="48993137"/>
          <a:ext cx="1714281" cy="899516"/>
        </a:xfrm>
        <a:prstGeom prst="rightArrow">
          <a:avLst/>
        </a:prstGeom>
        <a:solidFill>
          <a:srgbClr val="FFFFFF"/>
        </a:solidFill>
        <a:ln w="79375" cap="flat" cmpd="sng" algn="ctr">
          <a:solidFill>
            <a:srgbClr val="000000"/>
          </a:solidFill>
          <a:prstDash val="solid"/>
          <a:round/>
          <a:headEnd type="none" w="med" len="med"/>
          <a:tailEnd type="triangle" w="med" len="med"/>
        </a:ln>
        <a:effectLst/>
      </xdr:spPr>
      <xdr:txBody>
        <a:bodyPr vertOverflow="clip" wrap="square" lIns="0" tIns="0" rIns="0" bIns="0" rtlCol="0" anchor="ctr" upright="1"/>
        <a:lstStyle/>
        <a:p>
          <a:pPr algn="ctr"/>
          <a:r>
            <a:rPr lang="en-CA" sz="1400" b="1"/>
            <a:t>RESID</a:t>
          </a:r>
          <a:r>
            <a:rPr lang="en-CA" sz="1400" b="1" baseline="0"/>
            <a:t> HC RESID</a:t>
          </a:r>
          <a:endParaRPr lang="en-CA" sz="1400" b="1"/>
        </a:p>
      </xdr:txBody>
    </xdr:sp>
    <xdr:clientData/>
  </xdr:twoCellAnchor>
  <xdr:twoCellAnchor>
    <xdr:from>
      <xdr:col>34</xdr:col>
      <xdr:colOff>625724</xdr:colOff>
      <xdr:row>260</xdr:row>
      <xdr:rowOff>152189</xdr:rowOff>
    </xdr:from>
    <xdr:to>
      <xdr:col>102</xdr:col>
      <xdr:colOff>359970</xdr:colOff>
      <xdr:row>297</xdr:row>
      <xdr:rowOff>89787</xdr:rowOff>
    </xdr:to>
    <xdr:cxnSp macro="">
      <xdr:nvCxnSpPr>
        <xdr:cNvPr id="585" name="AutoShape 153" descr="1e593231-8ff4-46be-a69f-9f8c1409a85e">
          <a:extLst>
            <a:ext uri="{FF2B5EF4-FFF2-40B4-BE49-F238E27FC236}">
              <a16:creationId xmlns:a16="http://schemas.microsoft.com/office/drawing/2014/main" id="{00000000-0008-0000-0D00-000049020000}"/>
            </a:ext>
          </a:extLst>
        </xdr:cNvPr>
        <xdr:cNvCxnSpPr>
          <a:cxnSpLocks noChangeShapeType="1"/>
        </xdr:cNvCxnSpPr>
      </xdr:nvCxnSpPr>
      <xdr:spPr bwMode="auto">
        <a:xfrm rot="16200000" flipH="1">
          <a:off x="59619869" y="13030972"/>
          <a:ext cx="5979170" cy="67497818"/>
        </a:xfrm>
        <a:prstGeom prst="bentConnector2">
          <a:avLst/>
        </a:prstGeom>
        <a:noFill/>
        <a:ln w="25400">
          <a:solidFill>
            <a:schemeClr val="accent3">
              <a:lumMod val="75000"/>
            </a:schemeClr>
          </a:solidFill>
          <a:miter lim="800000"/>
          <a:headEnd/>
          <a:tailEnd type="triangle" w="med" len="med"/>
        </a:ln>
      </xdr:spPr>
    </xdr:cxnSp>
    <xdr:clientData/>
  </xdr:twoCellAnchor>
  <xdr:twoCellAnchor>
    <xdr:from>
      <xdr:col>31</xdr:col>
      <xdr:colOff>259769</xdr:colOff>
      <xdr:row>195</xdr:row>
      <xdr:rowOff>152839</xdr:rowOff>
    </xdr:from>
    <xdr:to>
      <xdr:col>34</xdr:col>
      <xdr:colOff>76198</xdr:colOff>
      <xdr:row>257</xdr:row>
      <xdr:rowOff>154364</xdr:rowOff>
    </xdr:to>
    <xdr:cxnSp macro="">
      <xdr:nvCxnSpPr>
        <xdr:cNvPr id="586" name="AutoShape 153" descr="16c1d0c3-a706-4325-b1ee-52bba11080e8">
          <a:extLst>
            <a:ext uri="{FF2B5EF4-FFF2-40B4-BE49-F238E27FC236}">
              <a16:creationId xmlns:a16="http://schemas.microsoft.com/office/drawing/2014/main" id="{00000000-0008-0000-0D00-00004A020000}"/>
            </a:ext>
          </a:extLst>
        </xdr:cNvPr>
        <xdr:cNvCxnSpPr>
          <a:cxnSpLocks noChangeShapeType="1"/>
          <a:stCxn id="362" idx="1"/>
          <a:endCxn id="587" idx="2"/>
        </xdr:cNvCxnSpPr>
      </xdr:nvCxnSpPr>
      <xdr:spPr bwMode="auto">
        <a:xfrm rot="10800000" flipH="1" flipV="1">
          <a:off x="25163314" y="30095975"/>
          <a:ext cx="2240975" cy="9665071"/>
        </a:xfrm>
        <a:prstGeom prst="bentConnector3">
          <a:avLst>
            <a:gd name="adj1" fmla="val -10201"/>
          </a:avLst>
        </a:prstGeom>
        <a:noFill/>
        <a:ln w="25400">
          <a:solidFill>
            <a:schemeClr val="accent3">
              <a:lumMod val="75000"/>
            </a:schemeClr>
          </a:solidFill>
          <a:miter lim="800000"/>
          <a:headEnd/>
          <a:tailEnd type="triangle" w="med" len="med"/>
        </a:ln>
      </xdr:spPr>
    </xdr:cxnSp>
    <xdr:clientData/>
  </xdr:twoCellAnchor>
  <xdr:twoCellAnchor>
    <xdr:from>
      <xdr:col>34</xdr:col>
      <xdr:colOff>76199</xdr:colOff>
      <xdr:row>254</xdr:row>
      <xdr:rowOff>150356</xdr:rowOff>
    </xdr:from>
    <xdr:to>
      <xdr:col>34</xdr:col>
      <xdr:colOff>1148035</xdr:colOff>
      <xdr:row>261</xdr:row>
      <xdr:rowOff>2511</xdr:rowOff>
    </xdr:to>
    <xdr:sp macro="" textlink="">
      <xdr:nvSpPr>
        <xdr:cNvPr id="587" name="Flowchart: Or 586" descr="7cdc5e9a-ae87-4bad-a66a-85ee5bb6ad66">
          <a:extLst>
            <a:ext uri="{FF2B5EF4-FFF2-40B4-BE49-F238E27FC236}">
              <a16:creationId xmlns:a16="http://schemas.microsoft.com/office/drawing/2014/main" id="{00000000-0008-0000-0D00-00004B020000}"/>
            </a:ext>
          </a:extLst>
        </xdr:cNvPr>
        <xdr:cNvSpPr/>
      </xdr:nvSpPr>
      <xdr:spPr bwMode="auto">
        <a:xfrm>
          <a:off x="27404290" y="39289447"/>
          <a:ext cx="1071836" cy="943200"/>
        </a:xfrm>
        <a:prstGeom prst="flowChartOr">
          <a:avLst/>
        </a:prstGeom>
        <a:noFill/>
        <a:ln w="25400" cap="flat" cmpd="sng" algn="ctr">
          <a:solidFill>
            <a:schemeClr val="accent3">
              <a:lumMod val="75000"/>
            </a:schemeClr>
          </a:solidFill>
          <a:prstDash val="solid"/>
          <a:round/>
          <a:headEnd type="none" w="med" len="med"/>
          <a:tailEnd type="none" w="med" len="med"/>
        </a:ln>
        <a:effectLst/>
      </xdr:spPr>
      <xdr:txBody>
        <a:bodyPr vertOverflow="clip" wrap="square" lIns="18288" tIns="0" rIns="0" bIns="0" rtlCol="0" anchor="ctr" upright="1"/>
        <a:lstStyle/>
        <a:p>
          <a:pPr algn="ctr"/>
          <a:r>
            <a:rPr lang="en-CA" sz="1400"/>
            <a:t>VR</a:t>
          </a:r>
          <a:r>
            <a:rPr lang="en-CA" sz="1400" baseline="0"/>
            <a:t> </a:t>
          </a:r>
          <a:r>
            <a:rPr lang="en-CA" sz="1400"/>
            <a:t>FLOW SPLITTER</a:t>
          </a:r>
        </a:p>
      </xdr:txBody>
    </xdr:sp>
    <xdr:clientData/>
  </xdr:twoCellAnchor>
  <xdr:twoCellAnchor>
    <xdr:from>
      <xdr:col>38</xdr:col>
      <xdr:colOff>942986</xdr:colOff>
      <xdr:row>252</xdr:row>
      <xdr:rowOff>65314</xdr:rowOff>
    </xdr:from>
    <xdr:to>
      <xdr:col>43</xdr:col>
      <xdr:colOff>95250</xdr:colOff>
      <xdr:row>268</xdr:row>
      <xdr:rowOff>95929</xdr:rowOff>
    </xdr:to>
    <xdr:grpSp>
      <xdr:nvGrpSpPr>
        <xdr:cNvPr id="591" name="Group 590">
          <a:hlinkClick xmlns:r="http://schemas.openxmlformats.org/officeDocument/2006/relationships" r:id="rId17"/>
          <a:extLst>
            <a:ext uri="{FF2B5EF4-FFF2-40B4-BE49-F238E27FC236}">
              <a16:creationId xmlns:a16="http://schemas.microsoft.com/office/drawing/2014/main" id="{00000000-0008-0000-0D00-00004F020000}"/>
            </a:ext>
          </a:extLst>
        </xdr:cNvPr>
        <xdr:cNvGrpSpPr>
          <a:grpSpLocks/>
        </xdr:cNvGrpSpPr>
      </xdr:nvGrpSpPr>
      <xdr:grpSpPr bwMode="auto">
        <a:xfrm>
          <a:off x="34003395" y="40884269"/>
          <a:ext cx="3239355" cy="2524433"/>
          <a:chOff x="336" y="2220"/>
          <a:chExt cx="528" cy="996"/>
        </a:xfrm>
        <a:gradFill>
          <a:gsLst>
            <a:gs pos="0">
              <a:srgbClr val="D6B19C"/>
            </a:gs>
            <a:gs pos="30000">
              <a:srgbClr val="D49E6C">
                <a:alpha val="44000"/>
              </a:srgbClr>
            </a:gs>
            <a:gs pos="70000">
              <a:srgbClr val="A65528">
                <a:alpha val="44000"/>
              </a:srgbClr>
            </a:gs>
            <a:gs pos="100000">
              <a:srgbClr val="663012"/>
            </a:gs>
          </a:gsLst>
          <a:lin ang="5400000" scaled="0"/>
        </a:gradFill>
      </xdr:grpSpPr>
      <xdr:sp macro="" textlink="">
        <xdr:nvSpPr>
          <xdr:cNvPr id="592" name="Rectangle 591">
            <a:extLst>
              <a:ext uri="{FF2B5EF4-FFF2-40B4-BE49-F238E27FC236}">
                <a16:creationId xmlns:a16="http://schemas.microsoft.com/office/drawing/2014/main" id="{00000000-0008-0000-0D00-000050020000}"/>
              </a:ext>
            </a:extLst>
          </xdr:cNvPr>
          <xdr:cNvSpPr>
            <a:spLocks noChangeArrowheads="1"/>
          </xdr:cNvSpPr>
        </xdr:nvSpPr>
        <xdr:spPr bwMode="auto">
          <a:xfrm>
            <a:off x="336" y="2784"/>
            <a:ext cx="528" cy="432"/>
          </a:xfrm>
          <a:prstGeom prst="rect">
            <a:avLst/>
          </a:prstGeom>
          <a:grp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593" name="AutoShape 28">
            <a:extLst>
              <a:ext uri="{FF2B5EF4-FFF2-40B4-BE49-F238E27FC236}">
                <a16:creationId xmlns:a16="http://schemas.microsoft.com/office/drawing/2014/main" id="{00000000-0008-0000-0D00-000051020000}"/>
              </a:ext>
            </a:extLst>
          </xdr:cNvPr>
          <xdr:cNvSpPr>
            <a:spLocks noChangeArrowheads="1"/>
          </xdr:cNvSpPr>
        </xdr:nvSpPr>
        <xdr:spPr bwMode="auto">
          <a:xfrm>
            <a:off x="336" y="2256"/>
            <a:ext cx="528" cy="528"/>
          </a:xfrm>
          <a:prstGeom prst="triangle">
            <a:avLst>
              <a:gd name="adj" fmla="val 50000"/>
            </a:avLst>
          </a:prstGeom>
          <a:grpFill/>
          <a:ln w="9525">
            <a:solidFill>
              <a:schemeClr val="tx1"/>
            </a:solidFill>
            <a:miter lim="800000"/>
            <a:headEnd/>
            <a:tailEnd/>
          </a:ln>
          <a:effectLst/>
        </xdr:spPr>
        <xdr:txBody>
          <a:bodyPr wrap="square" lIns="0" tIns="0" rIns="0" bIns="0" anchor="ctr" anchorCtr="0"/>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pPr algn="ctr"/>
            <a:r>
              <a:rPr lang="en-CA" b="1">
                <a:latin typeface="Arial" pitchFamily="34" charset="0"/>
                <a:cs typeface="Arial" pitchFamily="34" charset="0"/>
              </a:rPr>
              <a:t>Resid</a:t>
            </a:r>
            <a:r>
              <a:rPr lang="en-CA" b="1" baseline="0">
                <a:latin typeface="Arial" pitchFamily="34" charset="0"/>
                <a:cs typeface="Arial" pitchFamily="34" charset="0"/>
              </a:rPr>
              <a:t> Hydrocraker Furnace</a:t>
            </a:r>
            <a:endParaRPr lang="en-CA" b="1">
              <a:latin typeface="Arial" pitchFamily="34" charset="0"/>
              <a:cs typeface="Arial" pitchFamily="34" charset="0"/>
            </a:endParaRPr>
          </a:p>
        </xdr:txBody>
      </xdr:sp>
      <xdr:sp macro="" textlink="">
        <xdr:nvSpPr>
          <xdr:cNvPr id="594" name="Rectangle 593">
            <a:extLst>
              <a:ext uri="{FF2B5EF4-FFF2-40B4-BE49-F238E27FC236}">
                <a16:creationId xmlns:a16="http://schemas.microsoft.com/office/drawing/2014/main" id="{00000000-0008-0000-0D00-000052020000}"/>
              </a:ext>
            </a:extLst>
          </xdr:cNvPr>
          <xdr:cNvSpPr>
            <a:spLocks noChangeArrowheads="1"/>
          </xdr:cNvSpPr>
        </xdr:nvSpPr>
        <xdr:spPr bwMode="auto">
          <a:xfrm>
            <a:off x="504" y="2220"/>
            <a:ext cx="192" cy="240"/>
          </a:xfrm>
          <a:prstGeom prst="rect">
            <a:avLst/>
          </a:prstGeom>
          <a:grp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clientData/>
  </xdr:twoCellAnchor>
  <xdr:twoCellAnchor>
    <xdr:from>
      <xdr:col>34</xdr:col>
      <xdr:colOff>1148035</xdr:colOff>
      <xdr:row>257</xdr:row>
      <xdr:rowOff>154365</xdr:rowOff>
    </xdr:from>
    <xdr:to>
      <xdr:col>38</xdr:col>
      <xdr:colOff>942986</xdr:colOff>
      <xdr:row>265</xdr:row>
      <xdr:rowOff>16053</xdr:rowOff>
    </xdr:to>
    <xdr:cxnSp macro="">
      <xdr:nvCxnSpPr>
        <xdr:cNvPr id="596" name="Elbow Connector 147" descr="e738a3ab-f375-4b00-bdd5-b386aed7d030">
          <a:extLst>
            <a:ext uri="{FF2B5EF4-FFF2-40B4-BE49-F238E27FC236}">
              <a16:creationId xmlns:a16="http://schemas.microsoft.com/office/drawing/2014/main" id="{00000000-0008-0000-0D00-000054020000}"/>
            </a:ext>
          </a:extLst>
        </xdr:cNvPr>
        <xdr:cNvCxnSpPr>
          <a:cxnSpLocks noChangeShapeType="1"/>
          <a:stCxn id="587" idx="6"/>
          <a:endCxn id="592" idx="1"/>
        </xdr:cNvCxnSpPr>
      </xdr:nvCxnSpPr>
      <xdr:spPr bwMode="auto">
        <a:xfrm>
          <a:off x="28476126" y="39761047"/>
          <a:ext cx="4765269" cy="1108597"/>
        </a:xfrm>
        <a:prstGeom prst="bentConnector3">
          <a:avLst>
            <a:gd name="adj1" fmla="val 50000"/>
          </a:avLst>
        </a:prstGeom>
        <a:noFill/>
        <a:ln w="25400" algn="ctr">
          <a:solidFill>
            <a:schemeClr val="accent6">
              <a:lumMod val="75000"/>
            </a:schemeClr>
          </a:solidFill>
          <a:round/>
          <a:headEnd/>
          <a:tailEnd type="triangle" w="med" len="med"/>
        </a:ln>
      </xdr:spPr>
    </xdr:cxnSp>
    <xdr:clientData/>
  </xdr:twoCellAnchor>
  <xdr:twoCellAnchor>
    <xdr:from>
      <xdr:col>46</xdr:col>
      <xdr:colOff>713483</xdr:colOff>
      <xdr:row>238</xdr:row>
      <xdr:rowOff>34636</xdr:rowOff>
    </xdr:from>
    <xdr:to>
      <xdr:col>47</xdr:col>
      <xdr:colOff>334290</xdr:colOff>
      <xdr:row>243</xdr:row>
      <xdr:rowOff>50467</xdr:rowOff>
    </xdr:to>
    <xdr:sp macro="" textlink="">
      <xdr:nvSpPr>
        <xdr:cNvPr id="603" name="Right Arrow 602" descr="7c562f7a-c67b-4e26-9d34-9e6b7bb125fa">
          <a:extLst>
            <a:ext uri="{FF2B5EF4-FFF2-40B4-BE49-F238E27FC236}">
              <a16:creationId xmlns:a16="http://schemas.microsoft.com/office/drawing/2014/main" id="{00000000-0008-0000-0D00-00005B020000}"/>
            </a:ext>
          </a:extLst>
        </xdr:cNvPr>
        <xdr:cNvSpPr/>
      </xdr:nvSpPr>
      <xdr:spPr bwMode="auto">
        <a:xfrm rot="16200000">
          <a:off x="40425721" y="44809148"/>
          <a:ext cx="968331" cy="573307"/>
        </a:xfrm>
        <a:prstGeom prst="rightArrow">
          <a:avLst>
            <a:gd name="adj1" fmla="val 50000"/>
            <a:gd name="adj2" fmla="val 50000"/>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baseline="0"/>
            <a:t>R-HC RFG</a:t>
          </a:r>
          <a:endParaRPr lang="en-CA" sz="800"/>
        </a:p>
      </xdr:txBody>
    </xdr:sp>
    <xdr:clientData/>
  </xdr:twoCellAnchor>
  <xdr:twoCellAnchor>
    <xdr:from>
      <xdr:col>46</xdr:col>
      <xdr:colOff>484933</xdr:colOff>
      <xdr:row>243</xdr:row>
      <xdr:rowOff>70630</xdr:rowOff>
    </xdr:from>
    <xdr:to>
      <xdr:col>49</xdr:col>
      <xdr:colOff>803216</xdr:colOff>
      <xdr:row>268</xdr:row>
      <xdr:rowOff>12491</xdr:rowOff>
    </xdr:to>
    <xdr:sp macro="" textlink="">
      <xdr:nvSpPr>
        <xdr:cNvPr id="604" name="AutoShape 30" descr="2a18fc9c-9d13-4cec-9d57-47f40e41caa4">
          <a:hlinkClick xmlns:r="http://schemas.openxmlformats.org/officeDocument/2006/relationships" r:id="rId18"/>
          <a:extLst>
            <a:ext uri="{FF2B5EF4-FFF2-40B4-BE49-F238E27FC236}">
              <a16:creationId xmlns:a16="http://schemas.microsoft.com/office/drawing/2014/main" id="{00000000-0008-0000-0D00-00005C020000}"/>
            </a:ext>
          </a:extLst>
        </xdr:cNvPr>
        <xdr:cNvSpPr>
          <a:spLocks noChangeArrowheads="1"/>
        </xdr:cNvSpPr>
      </xdr:nvSpPr>
      <xdr:spPr bwMode="auto">
        <a:xfrm>
          <a:off x="40394683" y="45600130"/>
          <a:ext cx="3366283" cy="4704361"/>
        </a:xfrm>
        <a:prstGeom prst="roundRect">
          <a:avLst>
            <a:gd name="adj" fmla="val 18440"/>
          </a:avLst>
        </a:prstGeom>
        <a:gradFill flip="none" rotWithShape="1">
          <a:gsLst>
            <a:gs pos="0">
              <a:srgbClr val="D6B19C">
                <a:alpha val="19000"/>
              </a:srgbClr>
            </a:gs>
            <a:gs pos="30000">
              <a:srgbClr val="D49E6C">
                <a:alpha val="20000"/>
              </a:srgbClr>
            </a:gs>
            <a:gs pos="70000">
              <a:srgbClr val="A65528">
                <a:alpha val="62000"/>
              </a:srgbClr>
            </a:gs>
            <a:gs pos="100000">
              <a:srgbClr val="663012"/>
            </a:gs>
          </a:gsLst>
          <a:lin ang="5400000" scaled="0"/>
          <a:tileRect/>
        </a:gradFill>
        <a:ln w="28575">
          <a:solidFill>
            <a:srgbClr val="000000"/>
          </a:solidFill>
          <a:round/>
          <a:headEnd/>
          <a:tailEnd/>
        </a:ln>
        <a:effectLst/>
      </xdr:spPr>
      <xdr:txBody>
        <a:bodyPr wrap="square" lIns="0" tIns="0" rIns="0" bIns="0" anchor="t" anchorCtr="0"/>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pPr algn="ctr"/>
          <a:r>
            <a:rPr lang="en-CA" b="1">
              <a:latin typeface="Arial" pitchFamily="34" charset="0"/>
              <a:cs typeface="Arial" pitchFamily="34" charset="0"/>
            </a:rPr>
            <a:t>Resid </a:t>
          </a:r>
          <a:r>
            <a:rPr lang="en-CA" b="1" baseline="0">
              <a:latin typeface="Arial" pitchFamily="34" charset="0"/>
              <a:cs typeface="Arial" pitchFamily="34" charset="0"/>
            </a:rPr>
            <a:t>Hydrocracker</a:t>
          </a:r>
          <a:endParaRPr lang="en-CA" b="1">
            <a:latin typeface="Arial" pitchFamily="34" charset="0"/>
            <a:cs typeface="Arial" pitchFamily="34" charset="0"/>
          </a:endParaRPr>
        </a:p>
      </xdr:txBody>
    </xdr:sp>
    <xdr:clientData/>
  </xdr:twoCellAnchor>
  <xdr:twoCellAnchor>
    <xdr:from>
      <xdr:col>46</xdr:col>
      <xdr:colOff>453303</xdr:colOff>
      <xdr:row>247</xdr:row>
      <xdr:rowOff>121084</xdr:rowOff>
    </xdr:from>
    <xdr:to>
      <xdr:col>49</xdr:col>
      <xdr:colOff>819235</xdr:colOff>
      <xdr:row>263</xdr:row>
      <xdr:rowOff>150647</xdr:rowOff>
    </xdr:to>
    <xdr:sp macro="" textlink="">
      <xdr:nvSpPr>
        <xdr:cNvPr id="605" name="Rectangle 604" descr="39a3b58c-13d3-49f8-9e26-d23be576c77c">
          <a:extLst>
            <a:ext uri="{FF2B5EF4-FFF2-40B4-BE49-F238E27FC236}">
              <a16:creationId xmlns:a16="http://schemas.microsoft.com/office/drawing/2014/main" id="{00000000-0008-0000-0D00-00005D020000}"/>
            </a:ext>
          </a:extLst>
        </xdr:cNvPr>
        <xdr:cNvSpPr/>
      </xdr:nvSpPr>
      <xdr:spPr bwMode="auto">
        <a:xfrm>
          <a:off x="40124928" y="40697584"/>
          <a:ext cx="3390120" cy="2696563"/>
        </a:xfrm>
        <a:prstGeom prst="rect">
          <a:avLst/>
        </a:prstGeom>
        <a:noFill/>
        <a:ln w="25400" cap="flat" cmpd="thickThin"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endParaRPr lang="en-CA" sz="1100"/>
        </a:p>
      </xdr:txBody>
    </xdr:sp>
    <xdr:clientData/>
  </xdr:twoCellAnchor>
  <xdr:twoCellAnchor>
    <xdr:from>
      <xdr:col>46</xdr:col>
      <xdr:colOff>494754</xdr:colOff>
      <xdr:row>247</xdr:row>
      <xdr:rowOff>121084</xdr:rowOff>
    </xdr:from>
    <xdr:to>
      <xdr:col>49</xdr:col>
      <xdr:colOff>809004</xdr:colOff>
      <xdr:row>264</xdr:row>
      <xdr:rowOff>7836</xdr:rowOff>
    </xdr:to>
    <xdr:cxnSp macro="">
      <xdr:nvCxnSpPr>
        <xdr:cNvPr id="606" name="Straight Connector 605">
          <a:extLst>
            <a:ext uri="{FF2B5EF4-FFF2-40B4-BE49-F238E27FC236}">
              <a16:creationId xmlns:a16="http://schemas.microsoft.com/office/drawing/2014/main" id="{00000000-0008-0000-0D00-00005E020000}"/>
            </a:ext>
          </a:extLst>
        </xdr:cNvPr>
        <xdr:cNvCxnSpPr/>
      </xdr:nvCxnSpPr>
      <xdr:spPr bwMode="auto">
        <a:xfrm>
          <a:off x="40404504" y="46412584"/>
          <a:ext cx="3362250" cy="3125252"/>
        </a:xfrm>
        <a:prstGeom prst="line">
          <a:avLst/>
        </a:prstGeom>
        <a:ln w="22225">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481172</xdr:colOff>
      <xdr:row>247</xdr:row>
      <xdr:rowOff>108032</xdr:rowOff>
    </xdr:from>
    <xdr:to>
      <xdr:col>49</xdr:col>
      <xdr:colOff>795422</xdr:colOff>
      <xdr:row>263</xdr:row>
      <xdr:rowOff>62198</xdr:rowOff>
    </xdr:to>
    <xdr:cxnSp macro="">
      <xdr:nvCxnSpPr>
        <xdr:cNvPr id="607" name="Straight Connector 606">
          <a:extLst>
            <a:ext uri="{FF2B5EF4-FFF2-40B4-BE49-F238E27FC236}">
              <a16:creationId xmlns:a16="http://schemas.microsoft.com/office/drawing/2014/main" id="{00000000-0008-0000-0D00-00005F020000}"/>
            </a:ext>
          </a:extLst>
        </xdr:cNvPr>
        <xdr:cNvCxnSpPr/>
      </xdr:nvCxnSpPr>
      <xdr:spPr bwMode="auto">
        <a:xfrm rot="10800000" flipV="1">
          <a:off x="40390922" y="46399532"/>
          <a:ext cx="3362250" cy="3002166"/>
        </a:xfrm>
        <a:prstGeom prst="line">
          <a:avLst/>
        </a:prstGeom>
        <a:solidFill>
          <a:srgbClr val="FFFFFF"/>
        </a:solidFill>
        <a:ln w="25400" cap="flat" cmpd="sng" algn="ctr">
          <a:solidFill>
            <a:srgbClr val="000000"/>
          </a:solidFill>
          <a:prstDash val="solid"/>
          <a:round/>
          <a:headEnd type="none" w="med" len="med"/>
          <a:tailEnd type="none" w="med" len="med"/>
        </a:ln>
        <a:effectLst/>
      </xdr:spPr>
    </xdr:cxnSp>
    <xdr:clientData/>
  </xdr:twoCellAnchor>
  <xdr:twoCellAnchor>
    <xdr:from>
      <xdr:col>43</xdr:col>
      <xdr:colOff>95250</xdr:colOff>
      <xdr:row>255</xdr:row>
      <xdr:rowOff>135865</xdr:rowOff>
    </xdr:from>
    <xdr:to>
      <xdr:col>46</xdr:col>
      <xdr:colOff>453303</xdr:colOff>
      <xdr:row>265</xdr:row>
      <xdr:rowOff>16053</xdr:rowOff>
    </xdr:to>
    <xdr:cxnSp macro="">
      <xdr:nvCxnSpPr>
        <xdr:cNvPr id="620" name="Elbow Connector 147" descr="c0d09478-269a-4cd7-8fdd-4ea12fb0b55f">
          <a:extLst>
            <a:ext uri="{FF2B5EF4-FFF2-40B4-BE49-F238E27FC236}">
              <a16:creationId xmlns:a16="http://schemas.microsoft.com/office/drawing/2014/main" id="{00000000-0008-0000-0D00-00006C020000}"/>
            </a:ext>
          </a:extLst>
        </xdr:cNvPr>
        <xdr:cNvCxnSpPr>
          <a:cxnSpLocks noChangeShapeType="1"/>
          <a:stCxn id="592" idx="3"/>
          <a:endCxn id="605" idx="1"/>
        </xdr:cNvCxnSpPr>
      </xdr:nvCxnSpPr>
      <xdr:spPr bwMode="auto">
        <a:xfrm flipV="1">
          <a:off x="36480750" y="39430820"/>
          <a:ext cx="3527280" cy="1438824"/>
        </a:xfrm>
        <a:prstGeom prst="bentConnector3">
          <a:avLst>
            <a:gd name="adj1" fmla="val 50000"/>
          </a:avLst>
        </a:prstGeom>
        <a:noFill/>
        <a:ln w="25400" algn="ctr">
          <a:solidFill>
            <a:schemeClr val="accent6">
              <a:lumMod val="75000"/>
            </a:schemeClr>
          </a:solidFill>
          <a:round/>
          <a:headEnd/>
          <a:tailEnd type="triangle" w="med" len="med"/>
        </a:ln>
      </xdr:spPr>
    </xdr:cxnSp>
    <xdr:clientData/>
  </xdr:twoCellAnchor>
  <xdr:twoCellAnchor>
    <xdr:from>
      <xdr:col>49</xdr:col>
      <xdr:colOff>666750</xdr:colOff>
      <xdr:row>250</xdr:row>
      <xdr:rowOff>3280</xdr:rowOff>
    </xdr:from>
    <xdr:to>
      <xdr:col>54</xdr:col>
      <xdr:colOff>865904</xdr:colOff>
      <xdr:row>256</xdr:row>
      <xdr:rowOff>0</xdr:rowOff>
    </xdr:to>
    <xdr:cxnSp macro="">
      <xdr:nvCxnSpPr>
        <xdr:cNvPr id="623" name="Elbow Connector 147" descr="453ce8b0-30b7-4d4e-8f13-34d4ca541d5d">
          <a:extLst>
            <a:ext uri="{FF2B5EF4-FFF2-40B4-BE49-F238E27FC236}">
              <a16:creationId xmlns:a16="http://schemas.microsoft.com/office/drawing/2014/main" id="{00000000-0008-0000-0D00-00006F020000}"/>
            </a:ext>
          </a:extLst>
        </xdr:cNvPr>
        <xdr:cNvCxnSpPr>
          <a:cxnSpLocks noChangeShapeType="1"/>
          <a:endCxn id="390" idx="1"/>
        </xdr:cNvCxnSpPr>
      </xdr:nvCxnSpPr>
      <xdr:spPr bwMode="auto">
        <a:xfrm flipV="1">
          <a:off x="43252159" y="38518916"/>
          <a:ext cx="4701881" cy="931902"/>
        </a:xfrm>
        <a:prstGeom prst="bentConnector3">
          <a:avLst>
            <a:gd name="adj1" fmla="val 50000"/>
          </a:avLst>
        </a:prstGeom>
        <a:noFill/>
        <a:ln w="25400" algn="ctr">
          <a:solidFill>
            <a:schemeClr val="accent6">
              <a:lumMod val="75000"/>
            </a:schemeClr>
          </a:solidFill>
          <a:round/>
          <a:headEnd/>
          <a:tailEnd type="triangle" w="med" len="med"/>
        </a:ln>
      </xdr:spPr>
    </xdr:cxnSp>
    <xdr:clientData/>
  </xdr:twoCellAnchor>
  <xdr:twoCellAnchor>
    <xdr:from>
      <xdr:col>56</xdr:col>
      <xdr:colOff>13600</xdr:colOff>
      <xdr:row>270</xdr:row>
      <xdr:rowOff>67171</xdr:rowOff>
    </xdr:from>
    <xdr:to>
      <xdr:col>102</xdr:col>
      <xdr:colOff>762003</xdr:colOff>
      <xdr:row>319</xdr:row>
      <xdr:rowOff>95249</xdr:rowOff>
    </xdr:to>
    <xdr:cxnSp macro="">
      <xdr:nvCxnSpPr>
        <xdr:cNvPr id="629" name="Elbow Connector 168" descr="1b4b9067-f681-411e-a1a8-98349bd0fa1c">
          <a:extLst>
            <a:ext uri="{FF2B5EF4-FFF2-40B4-BE49-F238E27FC236}">
              <a16:creationId xmlns:a16="http://schemas.microsoft.com/office/drawing/2014/main" id="{00000000-0008-0000-0D00-000075020000}"/>
            </a:ext>
          </a:extLst>
        </xdr:cNvPr>
        <xdr:cNvCxnSpPr>
          <a:cxnSpLocks noChangeShapeType="1"/>
          <a:stCxn id="390" idx="2"/>
        </xdr:cNvCxnSpPr>
      </xdr:nvCxnSpPr>
      <xdr:spPr bwMode="auto">
        <a:xfrm rot="16200000" flipH="1">
          <a:off x="68503490" y="22203326"/>
          <a:ext cx="7665396" cy="46658903"/>
        </a:xfrm>
        <a:prstGeom prst="bentConnector2">
          <a:avLst/>
        </a:prstGeom>
        <a:noFill/>
        <a:ln w="25400" algn="ctr">
          <a:solidFill>
            <a:schemeClr val="accent6">
              <a:lumMod val="75000"/>
            </a:schemeClr>
          </a:solidFill>
          <a:round/>
          <a:headEnd/>
          <a:tailEnd type="triangle" w="med" len="med"/>
        </a:ln>
      </xdr:spPr>
    </xdr:cxnSp>
    <xdr:clientData/>
  </xdr:twoCellAnchor>
  <xdr:twoCellAnchor>
    <xdr:from>
      <xdr:col>80</xdr:col>
      <xdr:colOff>551344</xdr:colOff>
      <xdr:row>37</xdr:row>
      <xdr:rowOff>104654</xdr:rowOff>
    </xdr:from>
    <xdr:to>
      <xdr:col>99</xdr:col>
      <xdr:colOff>1391319</xdr:colOff>
      <xdr:row>60</xdr:row>
      <xdr:rowOff>86138</xdr:rowOff>
    </xdr:to>
    <xdr:cxnSp macro="">
      <xdr:nvCxnSpPr>
        <xdr:cNvPr id="635" name="AutoShape 148" descr="d4ffff4e-bf53-455e-83c5-198989f83ca9">
          <a:extLst>
            <a:ext uri="{FF2B5EF4-FFF2-40B4-BE49-F238E27FC236}">
              <a16:creationId xmlns:a16="http://schemas.microsoft.com/office/drawing/2014/main" id="{00000000-0008-0000-0D00-00007B020000}"/>
            </a:ext>
          </a:extLst>
        </xdr:cNvPr>
        <xdr:cNvCxnSpPr>
          <a:cxnSpLocks noChangeShapeType="1"/>
          <a:stCxn id="879" idx="6"/>
          <a:endCxn id="882" idx="3"/>
        </xdr:cNvCxnSpPr>
      </xdr:nvCxnSpPr>
      <xdr:spPr bwMode="auto">
        <a:xfrm flipV="1">
          <a:off x="72040799" y="5092290"/>
          <a:ext cx="19941929" cy="3566348"/>
        </a:xfrm>
        <a:prstGeom prst="bentConnector2">
          <a:avLst/>
        </a:prstGeom>
        <a:noFill/>
        <a:ln w="25400">
          <a:solidFill>
            <a:schemeClr val="accent6">
              <a:lumMod val="75000"/>
            </a:schemeClr>
          </a:solidFill>
          <a:miter lim="800000"/>
          <a:headEnd/>
          <a:tailEnd type="triangle" w="med" len="med"/>
        </a:ln>
      </xdr:spPr>
    </xdr:cxnSp>
    <xdr:clientData/>
  </xdr:twoCellAnchor>
  <xdr:twoCellAnchor>
    <xdr:from>
      <xdr:col>70</xdr:col>
      <xdr:colOff>669224</xdr:colOff>
      <xdr:row>54</xdr:row>
      <xdr:rowOff>53192</xdr:rowOff>
    </xdr:from>
    <xdr:to>
      <xdr:col>79</xdr:col>
      <xdr:colOff>207819</xdr:colOff>
      <xdr:row>60</xdr:row>
      <xdr:rowOff>0</xdr:rowOff>
    </xdr:to>
    <xdr:cxnSp macro="">
      <xdr:nvCxnSpPr>
        <xdr:cNvPr id="638" name="AutoShape 148" descr="a525b8dc-57c1-476d-844d-7e32f0bb8f16">
          <a:extLst>
            <a:ext uri="{FF2B5EF4-FFF2-40B4-BE49-F238E27FC236}">
              <a16:creationId xmlns:a16="http://schemas.microsoft.com/office/drawing/2014/main" id="{00000000-0008-0000-0D00-00007E020000}"/>
            </a:ext>
          </a:extLst>
        </xdr:cNvPr>
        <xdr:cNvCxnSpPr>
          <a:cxnSpLocks noChangeShapeType="1"/>
          <a:endCxn id="873" idx="2"/>
        </xdr:cNvCxnSpPr>
      </xdr:nvCxnSpPr>
      <xdr:spPr bwMode="auto">
        <a:xfrm rot="10800000">
          <a:off x="63551542" y="8504465"/>
          <a:ext cx="8076459" cy="881990"/>
        </a:xfrm>
        <a:prstGeom prst="bentConnector2">
          <a:avLst/>
        </a:prstGeom>
        <a:noFill/>
        <a:ln w="25400">
          <a:solidFill>
            <a:schemeClr val="accent6">
              <a:lumMod val="75000"/>
            </a:schemeClr>
          </a:solidFill>
          <a:miter lim="800000"/>
          <a:headEnd/>
          <a:tailEnd type="triangle" w="med" len="med"/>
        </a:ln>
      </xdr:spPr>
    </xdr:cxnSp>
    <xdr:clientData/>
  </xdr:twoCellAnchor>
  <xdr:twoCellAnchor>
    <xdr:from>
      <xdr:col>5</xdr:col>
      <xdr:colOff>488983</xdr:colOff>
      <xdr:row>117</xdr:row>
      <xdr:rowOff>38318</xdr:rowOff>
    </xdr:from>
    <xdr:to>
      <xdr:col>8</xdr:col>
      <xdr:colOff>44772</xdr:colOff>
      <xdr:row>127</xdr:row>
      <xdr:rowOff>10430</xdr:rowOff>
    </xdr:to>
    <xdr:sp macro="" textlink="">
      <xdr:nvSpPr>
        <xdr:cNvPr id="642" name="AutoShape 3" descr="bf16b155-5b38-46bf-a57d-7948795e15cc">
          <a:hlinkClick xmlns:r="http://schemas.openxmlformats.org/officeDocument/2006/relationships" r:id="rId19"/>
          <a:extLst>
            <a:ext uri="{FF2B5EF4-FFF2-40B4-BE49-F238E27FC236}">
              <a16:creationId xmlns:a16="http://schemas.microsoft.com/office/drawing/2014/main" id="{00000000-0008-0000-0D00-000082020000}"/>
            </a:ext>
          </a:extLst>
        </xdr:cNvPr>
        <xdr:cNvSpPr>
          <a:spLocks noChangeArrowheads="1"/>
        </xdr:cNvSpPr>
      </xdr:nvSpPr>
      <xdr:spPr bwMode="auto">
        <a:xfrm>
          <a:off x="3060733" y="21374318"/>
          <a:ext cx="2127539" cy="1877112"/>
        </a:xfrm>
        <a:prstGeom prst="roundRect">
          <a:avLst>
            <a:gd name="adj" fmla="val 16667"/>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9525">
          <a:solidFill>
            <a:srgbClr val="000000"/>
          </a:solidFill>
          <a:round/>
          <a:headEnd/>
          <a:tailEnd/>
        </a:ln>
      </xdr:spPr>
      <xdr:txBody>
        <a:bodyPr vertOverflow="clip" wrap="square" lIns="27432" tIns="18288" rIns="27432" bIns="0" anchor="t" upright="1"/>
        <a:lstStyle/>
        <a:p>
          <a:pPr algn="ctr" rtl="0">
            <a:defRPr sz="1000"/>
          </a:pPr>
          <a:r>
            <a:rPr lang="en-US" sz="1000" b="1" i="0" strike="noStrike">
              <a:solidFill>
                <a:srgbClr val="000000"/>
              </a:solidFill>
              <a:latin typeface="Arial"/>
              <a:ea typeface="Arial"/>
              <a:cs typeface="Arial"/>
            </a:rPr>
            <a:t>Desalter</a:t>
          </a:r>
        </a:p>
      </xdr:txBody>
    </xdr:sp>
    <xdr:clientData/>
  </xdr:twoCellAnchor>
  <xdr:twoCellAnchor>
    <xdr:from>
      <xdr:col>17</xdr:col>
      <xdr:colOff>762924</xdr:colOff>
      <xdr:row>107</xdr:row>
      <xdr:rowOff>0</xdr:rowOff>
    </xdr:from>
    <xdr:to>
      <xdr:col>20</xdr:col>
      <xdr:colOff>952500</xdr:colOff>
      <xdr:row>122</xdr:row>
      <xdr:rowOff>44868</xdr:rowOff>
    </xdr:to>
    <xdr:cxnSp macro="">
      <xdr:nvCxnSpPr>
        <xdr:cNvPr id="643" name="Elbow Connector 642" descr="b3ec9b89-9723-42d7-b979-9be99dd7cec2">
          <a:extLst>
            <a:ext uri="{FF2B5EF4-FFF2-40B4-BE49-F238E27FC236}">
              <a16:creationId xmlns:a16="http://schemas.microsoft.com/office/drawing/2014/main" id="{00000000-0008-0000-0D00-000083020000}"/>
            </a:ext>
          </a:extLst>
        </xdr:cNvPr>
        <xdr:cNvCxnSpPr/>
      </xdr:nvCxnSpPr>
      <xdr:spPr bwMode="auto">
        <a:xfrm flipV="1">
          <a:off x="13526424" y="19431000"/>
          <a:ext cx="3047076" cy="2902368"/>
        </a:xfrm>
        <a:prstGeom prst="bentConnector3">
          <a:avLst>
            <a:gd name="adj1" fmla="val 50000"/>
          </a:avLst>
        </a:prstGeom>
        <a:solidFill>
          <a:srgbClr val="FFFFFF"/>
        </a:solidFill>
        <a:ln w="25400" cap="flat" cmpd="sng" algn="ctr">
          <a:solidFill>
            <a:srgbClr val="000000"/>
          </a:solidFill>
          <a:prstDash val="solid"/>
          <a:round/>
          <a:headEnd type="none" w="med" len="med"/>
          <a:tailEnd type="arrow"/>
        </a:ln>
        <a:effectLst/>
      </xdr:spPr>
    </xdr:cxnSp>
    <xdr:clientData/>
  </xdr:twoCellAnchor>
  <xdr:twoCellAnchor>
    <xdr:from>
      <xdr:col>8</xdr:col>
      <xdr:colOff>44772</xdr:colOff>
      <xdr:row>122</xdr:row>
      <xdr:rowOff>46979</xdr:rowOff>
    </xdr:from>
    <xdr:to>
      <xdr:col>14</xdr:col>
      <xdr:colOff>500987</xdr:colOff>
      <xdr:row>122</xdr:row>
      <xdr:rowOff>48868</xdr:rowOff>
    </xdr:to>
    <xdr:cxnSp macro="">
      <xdr:nvCxnSpPr>
        <xdr:cNvPr id="644" name="Elbow Connector 643" descr="c5173faa-37e1-4888-a396-d9d3ada833d3">
          <a:extLst>
            <a:ext uri="{FF2B5EF4-FFF2-40B4-BE49-F238E27FC236}">
              <a16:creationId xmlns:a16="http://schemas.microsoft.com/office/drawing/2014/main" id="{00000000-0008-0000-0D00-000084020000}"/>
            </a:ext>
          </a:extLst>
        </xdr:cNvPr>
        <xdr:cNvCxnSpPr>
          <a:stCxn id="642" idx="3"/>
        </xdr:cNvCxnSpPr>
      </xdr:nvCxnSpPr>
      <xdr:spPr bwMode="auto">
        <a:xfrm flipV="1">
          <a:off x="5188272" y="22335479"/>
          <a:ext cx="5313965" cy="1889"/>
        </a:xfrm>
        <a:prstGeom prst="bentConnector3">
          <a:avLst>
            <a:gd name="adj1" fmla="val 50000"/>
          </a:avLst>
        </a:prstGeom>
        <a:solidFill>
          <a:srgbClr val="FFFFFF"/>
        </a:solidFill>
        <a:ln w="25400" cap="flat" cmpd="sng" algn="ctr">
          <a:solidFill>
            <a:srgbClr val="000000"/>
          </a:solidFill>
          <a:prstDash val="solid"/>
          <a:round/>
          <a:headEnd type="none" w="med" len="med"/>
          <a:tailEnd type="arrow"/>
        </a:ln>
        <a:effectLst/>
      </xdr:spPr>
    </xdr:cxnSp>
    <xdr:clientData/>
  </xdr:twoCellAnchor>
  <xdr:twoCellAnchor>
    <xdr:from>
      <xdr:col>14</xdr:col>
      <xdr:colOff>500987</xdr:colOff>
      <xdr:row>109</xdr:row>
      <xdr:rowOff>0</xdr:rowOff>
    </xdr:from>
    <xdr:to>
      <xdr:col>17</xdr:col>
      <xdr:colOff>762924</xdr:colOff>
      <xdr:row>125</xdr:row>
      <xdr:rowOff>133069</xdr:rowOff>
    </xdr:to>
    <xdr:grpSp>
      <xdr:nvGrpSpPr>
        <xdr:cNvPr id="645" name="Group 644">
          <a:hlinkClick xmlns:r="http://schemas.openxmlformats.org/officeDocument/2006/relationships" r:id="rId20"/>
          <a:extLst>
            <a:ext uri="{FF2B5EF4-FFF2-40B4-BE49-F238E27FC236}">
              <a16:creationId xmlns:a16="http://schemas.microsoft.com/office/drawing/2014/main" id="{00000000-0008-0000-0D00-000085020000}"/>
            </a:ext>
          </a:extLst>
        </xdr:cNvPr>
        <xdr:cNvGrpSpPr>
          <a:grpSpLocks/>
        </xdr:cNvGrpSpPr>
      </xdr:nvGrpSpPr>
      <xdr:grpSpPr bwMode="auto">
        <a:xfrm>
          <a:off x="10805305" y="18270682"/>
          <a:ext cx="2998210" cy="2644205"/>
          <a:chOff x="336" y="2220"/>
          <a:chExt cx="528" cy="996"/>
        </a:xfr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xdr:grpSpPr>
      <xdr:sp macro="" textlink="">
        <xdr:nvSpPr>
          <xdr:cNvPr id="646" name="Rectangle 645">
            <a:extLst>
              <a:ext uri="{FF2B5EF4-FFF2-40B4-BE49-F238E27FC236}">
                <a16:creationId xmlns:a16="http://schemas.microsoft.com/office/drawing/2014/main" id="{00000000-0008-0000-0D00-000086020000}"/>
              </a:ext>
            </a:extLst>
          </xdr:cNvPr>
          <xdr:cNvSpPr>
            <a:spLocks noChangeArrowheads="1"/>
          </xdr:cNvSpPr>
        </xdr:nvSpPr>
        <xdr:spPr bwMode="auto">
          <a:xfrm>
            <a:off x="336" y="2784"/>
            <a:ext cx="528" cy="432"/>
          </a:xfrm>
          <a:prstGeom prst="rect">
            <a:avLst/>
          </a:prstGeom>
          <a:grp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47" name="AutoShape 28">
            <a:extLst>
              <a:ext uri="{FF2B5EF4-FFF2-40B4-BE49-F238E27FC236}">
                <a16:creationId xmlns:a16="http://schemas.microsoft.com/office/drawing/2014/main" id="{00000000-0008-0000-0D00-000087020000}"/>
              </a:ext>
            </a:extLst>
          </xdr:cNvPr>
          <xdr:cNvSpPr>
            <a:spLocks noChangeArrowheads="1"/>
          </xdr:cNvSpPr>
        </xdr:nvSpPr>
        <xdr:spPr bwMode="auto">
          <a:xfrm>
            <a:off x="336" y="2256"/>
            <a:ext cx="528" cy="528"/>
          </a:xfrm>
          <a:prstGeom prst="triangle">
            <a:avLst>
              <a:gd name="adj" fmla="val 50000"/>
            </a:avLst>
          </a:prstGeom>
          <a:grp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sp macro="" textlink="">
        <xdr:nvSpPr>
          <xdr:cNvPr id="648" name="Rectangle 647">
            <a:extLst>
              <a:ext uri="{FF2B5EF4-FFF2-40B4-BE49-F238E27FC236}">
                <a16:creationId xmlns:a16="http://schemas.microsoft.com/office/drawing/2014/main" id="{00000000-0008-0000-0D00-000088020000}"/>
              </a:ext>
            </a:extLst>
          </xdr:cNvPr>
          <xdr:cNvSpPr>
            <a:spLocks noChangeArrowheads="1"/>
          </xdr:cNvSpPr>
        </xdr:nvSpPr>
        <xdr:spPr bwMode="auto">
          <a:xfrm>
            <a:off x="504" y="2220"/>
            <a:ext cx="192" cy="240"/>
          </a:xfrm>
          <a:prstGeom prst="rect">
            <a:avLst/>
          </a:prstGeom>
          <a:gradFill>
            <a:gsLst>
              <a:gs pos="0">
                <a:srgbClr val="7030A0"/>
              </a:gs>
              <a:gs pos="30000">
                <a:srgbClr val="66008F"/>
              </a:gs>
              <a:gs pos="64999">
                <a:srgbClr val="7030A0">
                  <a:alpha val="43000"/>
                </a:srgbClr>
              </a:gs>
              <a:gs pos="89999">
                <a:srgbClr val="7030A0"/>
              </a:gs>
              <a:gs pos="100000">
                <a:srgbClr val="46466A"/>
              </a:gs>
            </a:gsLst>
            <a:lin ang="5400000" scaled="0"/>
          </a:gradFill>
          <a:ln w="9525">
            <a:solidFill>
              <a:schemeClr val="tx1"/>
            </a:solidFill>
            <a:miter lim="800000"/>
            <a:headEnd/>
            <a:tailEnd/>
          </a:ln>
          <a:effectLst/>
        </xdr:spPr>
        <xdr:txBody>
          <a:bodyPr wrap="square" anchor="ctr"/>
          <a:lstStyle>
            <a:defPPr>
              <a:defRPr lang="en-US"/>
            </a:defPPr>
            <a:lvl1pPr algn="l" rtl="0" fontAlgn="base">
              <a:spcBef>
                <a:spcPct val="0"/>
              </a:spcBef>
              <a:spcAft>
                <a:spcPct val="0"/>
              </a:spcAft>
              <a:defRPr sz="2000" kern="1200">
                <a:solidFill>
                  <a:schemeClr val="tx1"/>
                </a:solidFill>
                <a:latin typeface="Rockwell" pitchFamily="18" charset="0"/>
                <a:ea typeface="+mn-ea"/>
                <a:cs typeface="Times New Roman" pitchFamily="18" charset="0"/>
              </a:defRPr>
            </a:lvl1pPr>
            <a:lvl2pPr marL="457200" algn="l" rtl="0" fontAlgn="base">
              <a:spcBef>
                <a:spcPct val="0"/>
              </a:spcBef>
              <a:spcAft>
                <a:spcPct val="0"/>
              </a:spcAft>
              <a:defRPr sz="2000" kern="1200">
                <a:solidFill>
                  <a:schemeClr val="tx1"/>
                </a:solidFill>
                <a:latin typeface="Rockwell" pitchFamily="18" charset="0"/>
                <a:ea typeface="+mn-ea"/>
                <a:cs typeface="Times New Roman" pitchFamily="18" charset="0"/>
              </a:defRPr>
            </a:lvl2pPr>
            <a:lvl3pPr marL="914400" algn="l" rtl="0" fontAlgn="base">
              <a:spcBef>
                <a:spcPct val="0"/>
              </a:spcBef>
              <a:spcAft>
                <a:spcPct val="0"/>
              </a:spcAft>
              <a:defRPr sz="2000" kern="1200">
                <a:solidFill>
                  <a:schemeClr val="tx1"/>
                </a:solidFill>
                <a:latin typeface="Rockwell" pitchFamily="18" charset="0"/>
                <a:ea typeface="+mn-ea"/>
                <a:cs typeface="Times New Roman" pitchFamily="18" charset="0"/>
              </a:defRPr>
            </a:lvl3pPr>
            <a:lvl4pPr marL="1371600" algn="l" rtl="0" fontAlgn="base">
              <a:spcBef>
                <a:spcPct val="0"/>
              </a:spcBef>
              <a:spcAft>
                <a:spcPct val="0"/>
              </a:spcAft>
              <a:defRPr sz="2000" kern="1200">
                <a:solidFill>
                  <a:schemeClr val="tx1"/>
                </a:solidFill>
                <a:latin typeface="Rockwell" pitchFamily="18" charset="0"/>
                <a:ea typeface="+mn-ea"/>
                <a:cs typeface="Times New Roman" pitchFamily="18" charset="0"/>
              </a:defRPr>
            </a:lvl4pPr>
            <a:lvl5pPr marL="1828800" algn="l" rtl="0" fontAlgn="base">
              <a:spcBef>
                <a:spcPct val="0"/>
              </a:spcBef>
              <a:spcAft>
                <a:spcPct val="0"/>
              </a:spcAft>
              <a:defRPr sz="2000" kern="1200">
                <a:solidFill>
                  <a:schemeClr val="tx1"/>
                </a:solidFill>
                <a:latin typeface="Rockwell" pitchFamily="18" charset="0"/>
                <a:ea typeface="+mn-ea"/>
                <a:cs typeface="Times New Roman" pitchFamily="18" charset="0"/>
              </a:defRPr>
            </a:lvl5pPr>
            <a:lvl6pPr marL="2286000" algn="l" defTabSz="914400" rtl="0" eaLnBrk="1" latinLnBrk="0" hangingPunct="1">
              <a:defRPr sz="2000" kern="1200">
                <a:solidFill>
                  <a:schemeClr val="tx1"/>
                </a:solidFill>
                <a:latin typeface="Rockwell" pitchFamily="18" charset="0"/>
                <a:ea typeface="+mn-ea"/>
                <a:cs typeface="Times New Roman" pitchFamily="18" charset="0"/>
              </a:defRPr>
            </a:lvl6pPr>
            <a:lvl7pPr marL="2743200" algn="l" defTabSz="914400" rtl="0" eaLnBrk="1" latinLnBrk="0" hangingPunct="1">
              <a:defRPr sz="2000" kern="1200">
                <a:solidFill>
                  <a:schemeClr val="tx1"/>
                </a:solidFill>
                <a:latin typeface="Rockwell" pitchFamily="18" charset="0"/>
                <a:ea typeface="+mn-ea"/>
                <a:cs typeface="Times New Roman" pitchFamily="18" charset="0"/>
              </a:defRPr>
            </a:lvl7pPr>
            <a:lvl8pPr marL="3200400" algn="l" defTabSz="914400" rtl="0" eaLnBrk="1" latinLnBrk="0" hangingPunct="1">
              <a:defRPr sz="2000" kern="1200">
                <a:solidFill>
                  <a:schemeClr val="tx1"/>
                </a:solidFill>
                <a:latin typeface="Rockwell" pitchFamily="18" charset="0"/>
                <a:ea typeface="+mn-ea"/>
                <a:cs typeface="Times New Roman" pitchFamily="18" charset="0"/>
              </a:defRPr>
            </a:lvl8pPr>
            <a:lvl9pPr marL="3657600" algn="l" defTabSz="914400" rtl="0" eaLnBrk="1" latinLnBrk="0" hangingPunct="1">
              <a:defRPr sz="2000" kern="1200">
                <a:solidFill>
                  <a:schemeClr val="tx1"/>
                </a:solidFill>
                <a:latin typeface="Rockwell" pitchFamily="18" charset="0"/>
                <a:ea typeface="+mn-ea"/>
                <a:cs typeface="Times New Roman" pitchFamily="18" charset="0"/>
              </a:defRPr>
            </a:lvl9pPr>
          </a:lstStyle>
          <a:p>
            <a:endParaRPr lang="en-CA"/>
          </a:p>
        </xdr:txBody>
      </xdr:sp>
    </xdr:grpSp>
    <xdr:clientData/>
  </xdr:twoCellAnchor>
  <xdr:twoCellAnchor>
    <xdr:from>
      <xdr:col>2</xdr:col>
      <xdr:colOff>0</xdr:colOff>
      <xdr:row>121</xdr:row>
      <xdr:rowOff>49919</xdr:rowOff>
    </xdr:from>
    <xdr:to>
      <xdr:col>6</xdr:col>
      <xdr:colOff>4891</xdr:colOff>
      <xdr:row>121</xdr:row>
      <xdr:rowOff>49919</xdr:rowOff>
    </xdr:to>
    <xdr:cxnSp macro="">
      <xdr:nvCxnSpPr>
        <xdr:cNvPr id="649" name="AutoShape 4" descr="2fa0b4a4-22bd-406c-b24a-2d6a3ffb4a9f">
          <a:extLst>
            <a:ext uri="{FF2B5EF4-FFF2-40B4-BE49-F238E27FC236}">
              <a16:creationId xmlns:a16="http://schemas.microsoft.com/office/drawing/2014/main" id="{00000000-0008-0000-0D00-000089020000}"/>
            </a:ext>
          </a:extLst>
        </xdr:cNvPr>
        <xdr:cNvCxnSpPr>
          <a:cxnSpLocks noChangeShapeType="1"/>
        </xdr:cNvCxnSpPr>
      </xdr:nvCxnSpPr>
      <xdr:spPr bwMode="auto">
        <a:xfrm>
          <a:off x="0" y="22147919"/>
          <a:ext cx="3338641" cy="0"/>
        </a:xfrm>
        <a:prstGeom prst="straightConnector1">
          <a:avLst/>
        </a:prstGeom>
        <a:noFill/>
        <a:ln w="25400">
          <a:solidFill>
            <a:srgbClr val="000000"/>
          </a:solidFill>
          <a:round/>
          <a:headEnd/>
          <a:tailEnd type="triangle" w="med" len="med"/>
        </a:ln>
      </xdr:spPr>
    </xdr:cxnSp>
    <xdr:clientData/>
  </xdr:twoCellAnchor>
  <xdr:twoCellAnchor>
    <xdr:from>
      <xdr:col>117</xdr:col>
      <xdr:colOff>1137397</xdr:colOff>
      <xdr:row>49</xdr:row>
      <xdr:rowOff>19627</xdr:rowOff>
    </xdr:from>
    <xdr:to>
      <xdr:col>118</xdr:col>
      <xdr:colOff>574409</xdr:colOff>
      <xdr:row>53</xdr:row>
      <xdr:rowOff>23169</xdr:rowOff>
    </xdr:to>
    <xdr:sp macro="" textlink="">
      <xdr:nvSpPr>
        <xdr:cNvPr id="429" name="AutoShape 788" descr="b05ab703-2bf4-4df5-b759-8b0a74bad576">
          <a:extLst>
            <a:ext uri="{FF2B5EF4-FFF2-40B4-BE49-F238E27FC236}">
              <a16:creationId xmlns:a16="http://schemas.microsoft.com/office/drawing/2014/main" id="{00000000-0008-0000-0D00-0000AD010000}"/>
            </a:ext>
          </a:extLst>
        </xdr:cNvPr>
        <xdr:cNvSpPr>
          <a:spLocks noChangeArrowheads="1"/>
        </xdr:cNvSpPr>
      </xdr:nvSpPr>
      <xdr:spPr bwMode="auto">
        <a:xfrm>
          <a:off x="114675397" y="6922451"/>
          <a:ext cx="893777" cy="631071"/>
        </a:xfrm>
        <a:prstGeom prst="flowChartDecision">
          <a:avLst/>
        </a:prstGeom>
        <a:solidFill>
          <a:srgbClr val="FFFFFF"/>
        </a:solidFill>
        <a:ln w="6350">
          <a:solidFill>
            <a:srgbClr val="000000"/>
          </a:solidFill>
          <a:miter lim="800000"/>
          <a:headEnd/>
          <a:tailEnd/>
        </a:ln>
      </xdr:spPr>
      <xdr:txBody>
        <a:bodyPr vertOverflow="clip" wrap="square" lIns="18288" tIns="18288" rIns="18288" bIns="0" anchor="t" upright="1"/>
        <a:lstStyle/>
        <a:p>
          <a:pPr algn="ctr" rtl="0">
            <a:defRPr sz="1000"/>
          </a:pPr>
          <a:r>
            <a:rPr lang="en-CA" sz="500" b="0" i="0" u="none" strike="noStrike" baseline="0">
              <a:solidFill>
                <a:srgbClr val="000000"/>
              </a:solidFill>
              <a:latin typeface="Arial"/>
              <a:cs typeface="Arial"/>
            </a:rPr>
            <a:t>Treated gases to  incinerator</a:t>
          </a:r>
        </a:p>
      </xdr:txBody>
    </xdr:sp>
    <xdr:clientData/>
  </xdr:twoCellAnchor>
  <xdr:twoCellAnchor>
    <xdr:from>
      <xdr:col>118</xdr:col>
      <xdr:colOff>1291860</xdr:colOff>
      <xdr:row>48</xdr:row>
      <xdr:rowOff>67235</xdr:rowOff>
    </xdr:from>
    <xdr:to>
      <xdr:col>118</xdr:col>
      <xdr:colOff>1299882</xdr:colOff>
      <xdr:row>53</xdr:row>
      <xdr:rowOff>119381</xdr:rowOff>
    </xdr:to>
    <xdr:cxnSp macro="">
      <xdr:nvCxnSpPr>
        <xdr:cNvPr id="432" name="AutoShape 161" descr="bdb0ac58-eb37-4237-8b29-9c79a8d94d23">
          <a:extLst>
            <a:ext uri="{FF2B5EF4-FFF2-40B4-BE49-F238E27FC236}">
              <a16:creationId xmlns:a16="http://schemas.microsoft.com/office/drawing/2014/main" id="{00000000-0008-0000-0D00-0000B0010000}"/>
            </a:ext>
          </a:extLst>
        </xdr:cNvPr>
        <xdr:cNvCxnSpPr>
          <a:cxnSpLocks noChangeShapeType="1"/>
        </xdr:cNvCxnSpPr>
      </xdr:nvCxnSpPr>
      <xdr:spPr bwMode="auto">
        <a:xfrm rot="5400000" flipH="1" flipV="1">
          <a:off x="115872357" y="7227444"/>
          <a:ext cx="836558" cy="8022"/>
        </a:xfrm>
        <a:prstGeom prst="straightConnector1">
          <a:avLst/>
        </a:prstGeom>
        <a:noFill/>
        <a:ln w="25400">
          <a:solidFill>
            <a:srgbClr val="000000"/>
          </a:solidFill>
          <a:round/>
          <a:headEnd/>
          <a:tailEnd type="triangle" w="med" len="med"/>
        </a:ln>
      </xdr:spPr>
    </xdr:cxnSp>
    <xdr:clientData/>
  </xdr:twoCellAnchor>
  <xdr:twoCellAnchor>
    <xdr:from>
      <xdr:col>118</xdr:col>
      <xdr:colOff>574322</xdr:colOff>
      <xdr:row>51</xdr:row>
      <xdr:rowOff>28717</xdr:rowOff>
    </xdr:from>
    <xdr:to>
      <xdr:col>118</xdr:col>
      <xdr:colOff>1300774</xdr:colOff>
      <xdr:row>51</xdr:row>
      <xdr:rowOff>28717</xdr:rowOff>
    </xdr:to>
    <xdr:sp macro="" textlink="">
      <xdr:nvSpPr>
        <xdr:cNvPr id="433" name="Line 792">
          <a:extLst>
            <a:ext uri="{FF2B5EF4-FFF2-40B4-BE49-F238E27FC236}">
              <a16:creationId xmlns:a16="http://schemas.microsoft.com/office/drawing/2014/main" id="{00000000-0008-0000-0D00-0000B1010000}"/>
            </a:ext>
          </a:extLst>
        </xdr:cNvPr>
        <xdr:cNvSpPr>
          <a:spLocks noChangeShapeType="1"/>
        </xdr:cNvSpPr>
      </xdr:nvSpPr>
      <xdr:spPr bwMode="auto">
        <a:xfrm>
          <a:off x="115569087" y="7245305"/>
          <a:ext cx="726452" cy="0"/>
        </a:xfrm>
        <a:prstGeom prst="line">
          <a:avLst/>
        </a:prstGeom>
        <a:noFill/>
        <a:ln w="6350">
          <a:solidFill>
            <a:srgbClr val="000000"/>
          </a:solidFill>
          <a:round/>
          <a:headEnd/>
          <a:tailEnd type="triangle" w="med" len="med"/>
        </a:ln>
      </xdr:spPr>
    </xdr:sp>
    <xdr:clientData/>
  </xdr:twoCellAnchor>
  <xdr:twoCellAnchor>
    <xdr:from>
      <xdr:col>119</xdr:col>
      <xdr:colOff>486695</xdr:colOff>
      <xdr:row>105</xdr:row>
      <xdr:rowOff>140327</xdr:rowOff>
    </xdr:from>
    <xdr:to>
      <xdr:col>129</xdr:col>
      <xdr:colOff>235324</xdr:colOff>
      <xdr:row>105</xdr:row>
      <xdr:rowOff>145677</xdr:rowOff>
    </xdr:to>
    <xdr:cxnSp macro="">
      <xdr:nvCxnSpPr>
        <xdr:cNvPr id="434" name="Elbow Connector 197" descr="615e57ff-0ce6-4036-bfaa-ee4001dd266f">
          <a:extLst>
            <a:ext uri="{FF2B5EF4-FFF2-40B4-BE49-F238E27FC236}">
              <a16:creationId xmlns:a16="http://schemas.microsoft.com/office/drawing/2014/main" id="{00000000-0008-0000-0D00-0000B2010000}"/>
            </a:ext>
          </a:extLst>
        </xdr:cNvPr>
        <xdr:cNvCxnSpPr>
          <a:cxnSpLocks noChangeShapeType="1"/>
        </xdr:cNvCxnSpPr>
      </xdr:nvCxnSpPr>
      <xdr:spPr bwMode="auto">
        <a:xfrm>
          <a:off x="116938224" y="15828562"/>
          <a:ext cx="13968894" cy="5350"/>
        </a:xfrm>
        <a:prstGeom prst="bentConnector3">
          <a:avLst>
            <a:gd name="adj1" fmla="val 50000"/>
          </a:avLst>
        </a:prstGeom>
        <a:noFill/>
        <a:ln w="25400" algn="ctr">
          <a:solidFill>
            <a:srgbClr val="000000"/>
          </a:solidFill>
          <a:round/>
          <a:headEnd/>
          <a:tailEnd type="triangle" w="med" len="med"/>
        </a:ln>
      </xdr:spPr>
    </xdr:cxnSp>
    <xdr:clientData/>
  </xdr:twoCellAnchor>
  <xdr:twoCellAnchor>
    <xdr:from>
      <xdr:col>119</xdr:col>
      <xdr:colOff>579780</xdr:colOff>
      <xdr:row>138</xdr:row>
      <xdr:rowOff>145677</xdr:rowOff>
    </xdr:from>
    <xdr:to>
      <xdr:col>129</xdr:col>
      <xdr:colOff>773206</xdr:colOff>
      <xdr:row>139</xdr:row>
      <xdr:rowOff>1782</xdr:rowOff>
    </xdr:to>
    <xdr:cxnSp macro="">
      <xdr:nvCxnSpPr>
        <xdr:cNvPr id="435" name="Elbow Connector 197" descr="fa74196f-3ea4-421b-8133-66f1abd10d39">
          <a:extLst>
            <a:ext uri="{FF2B5EF4-FFF2-40B4-BE49-F238E27FC236}">
              <a16:creationId xmlns:a16="http://schemas.microsoft.com/office/drawing/2014/main" id="{00000000-0008-0000-0D00-0000B3010000}"/>
            </a:ext>
          </a:extLst>
        </xdr:cNvPr>
        <xdr:cNvCxnSpPr>
          <a:cxnSpLocks noChangeShapeType="1"/>
        </xdr:cNvCxnSpPr>
      </xdr:nvCxnSpPr>
      <xdr:spPr bwMode="auto">
        <a:xfrm flipV="1">
          <a:off x="117031309" y="21167912"/>
          <a:ext cx="14413691" cy="12988"/>
        </a:xfrm>
        <a:prstGeom prst="bentConnector3">
          <a:avLst>
            <a:gd name="adj1" fmla="val 50000"/>
          </a:avLst>
        </a:prstGeom>
        <a:noFill/>
        <a:ln w="25400" algn="ctr">
          <a:solidFill>
            <a:srgbClr val="000000"/>
          </a:solidFill>
          <a:round/>
          <a:headEnd/>
          <a:tailEnd type="triangle" w="med" len="med"/>
        </a:ln>
      </xdr:spPr>
    </xdr:cxnSp>
    <xdr:clientData/>
  </xdr:twoCellAnchor>
  <xdr:twoCellAnchor>
    <xdr:from>
      <xdr:col>118</xdr:col>
      <xdr:colOff>544600</xdr:colOff>
      <xdr:row>53</xdr:row>
      <xdr:rowOff>110020</xdr:rowOff>
    </xdr:from>
    <xdr:to>
      <xdr:col>119</xdr:col>
      <xdr:colOff>495355</xdr:colOff>
      <xdr:row>194</xdr:row>
      <xdr:rowOff>64993</xdr:rowOff>
    </xdr:to>
    <xdr:sp macro="" textlink="">
      <xdr:nvSpPr>
        <xdr:cNvPr id="436" name="Rectangle 742" descr="5419f0fa-19e3-41b6-98d9-7fa718be7cf8">
          <a:extLst>
            <a:ext uri="{FF2B5EF4-FFF2-40B4-BE49-F238E27FC236}">
              <a16:creationId xmlns:a16="http://schemas.microsoft.com/office/drawing/2014/main" id="{00000000-0008-0000-0D00-0000B4010000}"/>
            </a:ext>
          </a:extLst>
        </xdr:cNvPr>
        <xdr:cNvSpPr>
          <a:spLocks noChangeArrowheads="1"/>
        </xdr:cNvSpPr>
      </xdr:nvSpPr>
      <xdr:spPr bwMode="auto">
        <a:xfrm>
          <a:off x="116368600" y="9254020"/>
          <a:ext cx="1379505" cy="27005973"/>
        </a:xfrm>
        <a:prstGeom prst="rect">
          <a:avLst/>
        </a:prstGeom>
        <a:gradFill>
          <a:gsLst>
            <a:gs pos="0">
              <a:srgbClr val="7030A0">
                <a:alpha val="0"/>
              </a:srgbClr>
            </a:gs>
            <a:gs pos="30000">
              <a:srgbClr val="66008F">
                <a:alpha val="0"/>
              </a:srgbClr>
            </a:gs>
            <a:gs pos="64999">
              <a:srgbClr val="7030A0">
                <a:alpha val="43000"/>
              </a:srgbClr>
            </a:gs>
            <a:gs pos="89999">
              <a:srgbClr val="7030A0"/>
            </a:gs>
            <a:gs pos="100000">
              <a:srgbClr val="46466A"/>
            </a:gs>
          </a:gsLst>
          <a:lin ang="5400000" scaled="0"/>
        </a:gradFill>
        <a:ln w="9525">
          <a:solidFill>
            <a:srgbClr val="000000"/>
          </a:solidFill>
          <a:miter lim="800000"/>
          <a:headEnd/>
          <a:tailEnd/>
        </a:ln>
        <a:effectLst/>
      </xdr:spPr>
      <xdr:txBody>
        <a:bodyPr vertOverflow="clip" vert="horz" wrap="square" lIns="18288" tIns="0" rIns="18288" bIns="0" anchor="t" anchorCtr="0" upright="1"/>
        <a:lstStyle/>
        <a:p>
          <a:pPr algn="l" rtl="0">
            <a:defRPr sz="1000"/>
          </a:pPr>
          <a:r>
            <a:rPr lang="en-CA" sz="1000" b="1" i="0" u="none" strike="noStrike" baseline="0">
              <a:solidFill>
                <a:srgbClr val="000000"/>
              </a:solidFill>
              <a:latin typeface="Arial"/>
              <a:cs typeface="Arial"/>
            </a:rPr>
            <a:t>Fuel Gas Treatment, Sulfur Recovery and Pollution control</a:t>
          </a:r>
        </a:p>
      </xdr:txBody>
    </xdr:sp>
    <xdr:clientData/>
  </xdr:twoCellAnchor>
  <xdr:twoCellAnchor>
    <xdr:from>
      <xdr:col>117</xdr:col>
      <xdr:colOff>1297083</xdr:colOff>
      <xdr:row>81</xdr:row>
      <xdr:rowOff>129376</xdr:rowOff>
    </xdr:from>
    <xdr:to>
      <xdr:col>118</xdr:col>
      <xdr:colOff>531518</xdr:colOff>
      <xdr:row>85</xdr:row>
      <xdr:rowOff>62832</xdr:rowOff>
    </xdr:to>
    <xdr:sp macro="" textlink="">
      <xdr:nvSpPr>
        <xdr:cNvPr id="437" name="Right Arrow 436" descr="3d7b3470-11d2-4efe-bd2c-c00f063fd1f6">
          <a:extLst>
            <a:ext uri="{FF2B5EF4-FFF2-40B4-BE49-F238E27FC236}">
              <a16:creationId xmlns:a16="http://schemas.microsoft.com/office/drawing/2014/main" id="{00000000-0008-0000-0D00-0000B5010000}"/>
            </a:ext>
          </a:extLst>
        </xdr:cNvPr>
        <xdr:cNvSpPr/>
      </xdr:nvSpPr>
      <xdr:spPr bwMode="auto">
        <a:xfrm>
          <a:off x="115692333" y="10416376"/>
          <a:ext cx="663185" cy="695456"/>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NHT</a:t>
          </a:r>
          <a:r>
            <a:rPr lang="en-CA" sz="800" baseline="0"/>
            <a:t> RFG</a:t>
          </a:r>
          <a:endParaRPr lang="en-CA" sz="800"/>
        </a:p>
      </xdr:txBody>
    </xdr:sp>
    <xdr:clientData/>
  </xdr:twoCellAnchor>
  <xdr:twoCellAnchor>
    <xdr:from>
      <xdr:col>117</xdr:col>
      <xdr:colOff>1285878</xdr:colOff>
      <xdr:row>92</xdr:row>
      <xdr:rowOff>118171</xdr:rowOff>
    </xdr:from>
    <xdr:to>
      <xdr:col>118</xdr:col>
      <xdr:colOff>520313</xdr:colOff>
      <xdr:row>96</xdr:row>
      <xdr:rowOff>70677</xdr:rowOff>
    </xdr:to>
    <xdr:sp macro="" textlink="">
      <xdr:nvSpPr>
        <xdr:cNvPr id="438" name="Right Arrow 437" descr="886157c5-ec3a-4a07-98b8-9ba5b8ba5691">
          <a:extLst>
            <a:ext uri="{FF2B5EF4-FFF2-40B4-BE49-F238E27FC236}">
              <a16:creationId xmlns:a16="http://schemas.microsoft.com/office/drawing/2014/main" id="{00000000-0008-0000-0D00-0000B6010000}"/>
            </a:ext>
          </a:extLst>
        </xdr:cNvPr>
        <xdr:cNvSpPr/>
      </xdr:nvSpPr>
      <xdr:spPr bwMode="auto">
        <a:xfrm>
          <a:off x="115681128" y="12500671"/>
          <a:ext cx="663185" cy="714506"/>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1100"/>
            <a:t>KHT</a:t>
          </a:r>
          <a:r>
            <a:rPr lang="en-CA" sz="1100" baseline="0"/>
            <a:t> </a:t>
          </a:r>
          <a:r>
            <a:rPr lang="en-CA" sz="800" baseline="0"/>
            <a:t>RFG</a:t>
          </a:r>
          <a:endParaRPr lang="en-CA" sz="800"/>
        </a:p>
      </xdr:txBody>
    </xdr:sp>
    <xdr:clientData/>
  </xdr:twoCellAnchor>
  <xdr:twoCellAnchor>
    <xdr:from>
      <xdr:col>117</xdr:col>
      <xdr:colOff>1297082</xdr:colOff>
      <xdr:row>104</xdr:row>
      <xdr:rowOff>147713</xdr:rowOff>
    </xdr:from>
    <xdr:to>
      <xdr:col>118</xdr:col>
      <xdr:colOff>531519</xdr:colOff>
      <xdr:row>108</xdr:row>
      <xdr:rowOff>92060</xdr:rowOff>
    </xdr:to>
    <xdr:sp macro="" textlink="">
      <xdr:nvSpPr>
        <xdr:cNvPr id="439" name="Right Arrow 438" descr="18345c72-2615-4c60-8168-0b5cf43c2ded">
          <a:extLst>
            <a:ext uri="{FF2B5EF4-FFF2-40B4-BE49-F238E27FC236}">
              <a16:creationId xmlns:a16="http://schemas.microsoft.com/office/drawing/2014/main" id="{00000000-0008-0000-0D00-0000B7010000}"/>
            </a:ext>
          </a:extLst>
        </xdr:cNvPr>
        <xdr:cNvSpPr/>
      </xdr:nvSpPr>
      <xdr:spPr bwMode="auto">
        <a:xfrm>
          <a:off x="114835082" y="12227654"/>
          <a:ext cx="691202" cy="571877"/>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GO-HC</a:t>
          </a:r>
          <a:r>
            <a:rPr lang="en-CA" sz="800" baseline="0"/>
            <a:t> RFG</a:t>
          </a:r>
          <a:endParaRPr lang="en-CA" sz="800"/>
        </a:p>
      </xdr:txBody>
    </xdr:sp>
    <xdr:clientData/>
  </xdr:twoCellAnchor>
  <xdr:twoCellAnchor>
    <xdr:from>
      <xdr:col>117</xdr:col>
      <xdr:colOff>1308290</xdr:colOff>
      <xdr:row>115</xdr:row>
      <xdr:rowOff>24447</xdr:rowOff>
    </xdr:from>
    <xdr:to>
      <xdr:col>118</xdr:col>
      <xdr:colOff>542727</xdr:colOff>
      <xdr:row>118</xdr:row>
      <xdr:rowOff>143709</xdr:rowOff>
    </xdr:to>
    <xdr:sp macro="" textlink="">
      <xdr:nvSpPr>
        <xdr:cNvPr id="441" name="Right Arrow 440" descr="d90905d8-e1d5-403c-b44b-524525c1a6bd">
          <a:extLst>
            <a:ext uri="{FF2B5EF4-FFF2-40B4-BE49-F238E27FC236}">
              <a16:creationId xmlns:a16="http://schemas.microsoft.com/office/drawing/2014/main" id="{00000000-0008-0000-0D00-0000B9010000}"/>
            </a:ext>
          </a:extLst>
        </xdr:cNvPr>
        <xdr:cNvSpPr/>
      </xdr:nvSpPr>
      <xdr:spPr bwMode="auto">
        <a:xfrm>
          <a:off x="114846290" y="13830094"/>
          <a:ext cx="691202" cy="589909"/>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DHT</a:t>
          </a:r>
          <a:r>
            <a:rPr lang="en-CA" sz="800" baseline="0"/>
            <a:t> RFG</a:t>
          </a:r>
          <a:endParaRPr lang="en-CA" sz="800"/>
        </a:p>
      </xdr:txBody>
    </xdr:sp>
    <xdr:clientData/>
  </xdr:twoCellAnchor>
  <xdr:twoCellAnchor>
    <xdr:from>
      <xdr:col>117</xdr:col>
      <xdr:colOff>1319495</xdr:colOff>
      <xdr:row>129</xdr:row>
      <xdr:rowOff>35144</xdr:rowOff>
    </xdr:from>
    <xdr:to>
      <xdr:col>118</xdr:col>
      <xdr:colOff>553932</xdr:colOff>
      <xdr:row>132</xdr:row>
      <xdr:rowOff>152623</xdr:rowOff>
    </xdr:to>
    <xdr:sp macro="" textlink="">
      <xdr:nvSpPr>
        <xdr:cNvPr id="442" name="Right Arrow 441" descr="7f25180a-46cb-4802-ac68-4f72525c0c8c">
          <a:extLst>
            <a:ext uri="{FF2B5EF4-FFF2-40B4-BE49-F238E27FC236}">
              <a16:creationId xmlns:a16="http://schemas.microsoft.com/office/drawing/2014/main" id="{00000000-0008-0000-0D00-0000BA010000}"/>
            </a:ext>
          </a:extLst>
        </xdr:cNvPr>
        <xdr:cNvSpPr/>
      </xdr:nvSpPr>
      <xdr:spPr bwMode="auto">
        <a:xfrm>
          <a:off x="114857495" y="16037144"/>
          <a:ext cx="691202" cy="588126"/>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RHC</a:t>
          </a:r>
          <a:r>
            <a:rPr lang="en-CA" sz="800" baseline="0"/>
            <a:t> RFG</a:t>
          </a:r>
          <a:endParaRPr lang="en-CA" sz="800"/>
        </a:p>
      </xdr:txBody>
    </xdr:sp>
    <xdr:clientData/>
  </xdr:twoCellAnchor>
  <xdr:twoCellAnchor>
    <xdr:from>
      <xdr:col>117</xdr:col>
      <xdr:colOff>1308289</xdr:colOff>
      <xdr:row>138</xdr:row>
      <xdr:rowOff>145931</xdr:rowOff>
    </xdr:from>
    <xdr:to>
      <xdr:col>118</xdr:col>
      <xdr:colOff>542726</xdr:colOff>
      <xdr:row>142</xdr:row>
      <xdr:rowOff>147430</xdr:rowOff>
    </xdr:to>
    <xdr:sp macro="" textlink="">
      <xdr:nvSpPr>
        <xdr:cNvPr id="444" name="Right Arrow 443" descr="87763478-ec73-4a32-be1f-5f1101ee2ad0">
          <a:extLst>
            <a:ext uri="{FF2B5EF4-FFF2-40B4-BE49-F238E27FC236}">
              <a16:creationId xmlns:a16="http://schemas.microsoft.com/office/drawing/2014/main" id="{00000000-0008-0000-0D00-0000BC010000}"/>
            </a:ext>
          </a:extLst>
        </xdr:cNvPr>
        <xdr:cNvSpPr/>
      </xdr:nvSpPr>
      <xdr:spPr bwMode="auto">
        <a:xfrm>
          <a:off x="114846289" y="17571078"/>
          <a:ext cx="691202" cy="629028"/>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HC</a:t>
          </a:r>
          <a:r>
            <a:rPr lang="en-CA" sz="800" baseline="0"/>
            <a:t> </a:t>
          </a:r>
          <a:r>
            <a:rPr lang="en-CA" sz="800"/>
            <a:t>NHT</a:t>
          </a:r>
          <a:r>
            <a:rPr lang="en-CA" sz="800" baseline="0"/>
            <a:t> RFG</a:t>
          </a:r>
          <a:endParaRPr lang="en-CA" sz="800"/>
        </a:p>
      </xdr:txBody>
    </xdr:sp>
    <xdr:clientData/>
  </xdr:twoCellAnchor>
  <xdr:twoCellAnchor>
    <xdr:from>
      <xdr:col>117</xdr:col>
      <xdr:colOff>1287278</xdr:colOff>
      <xdr:row>149</xdr:row>
      <xdr:rowOff>119824</xdr:rowOff>
    </xdr:from>
    <xdr:to>
      <xdr:col>118</xdr:col>
      <xdr:colOff>521715</xdr:colOff>
      <xdr:row>153</xdr:row>
      <xdr:rowOff>48584</xdr:rowOff>
    </xdr:to>
    <xdr:sp macro="" textlink="">
      <xdr:nvSpPr>
        <xdr:cNvPr id="445" name="Right Arrow 444" descr="dd016072-3bdd-4b9a-b362-f86cd7ead3a8">
          <a:extLst>
            <a:ext uri="{FF2B5EF4-FFF2-40B4-BE49-F238E27FC236}">
              <a16:creationId xmlns:a16="http://schemas.microsoft.com/office/drawing/2014/main" id="{00000000-0008-0000-0D00-0000BD010000}"/>
            </a:ext>
          </a:extLst>
        </xdr:cNvPr>
        <xdr:cNvSpPr/>
      </xdr:nvSpPr>
      <xdr:spPr bwMode="auto">
        <a:xfrm>
          <a:off x="114825278" y="19337912"/>
          <a:ext cx="691202" cy="556290"/>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FCC FHT</a:t>
          </a:r>
          <a:r>
            <a:rPr lang="en-CA" sz="800" baseline="0"/>
            <a:t> RFG</a:t>
          </a:r>
          <a:endParaRPr lang="en-CA" sz="800"/>
        </a:p>
      </xdr:txBody>
    </xdr:sp>
    <xdr:clientData/>
  </xdr:twoCellAnchor>
  <xdr:twoCellAnchor>
    <xdr:from>
      <xdr:col>117</xdr:col>
      <xdr:colOff>1308290</xdr:colOff>
      <xdr:row>161</xdr:row>
      <xdr:rowOff>128103</xdr:rowOff>
    </xdr:from>
    <xdr:to>
      <xdr:col>118</xdr:col>
      <xdr:colOff>542727</xdr:colOff>
      <xdr:row>165</xdr:row>
      <xdr:rowOff>91501</xdr:rowOff>
    </xdr:to>
    <xdr:sp macro="" textlink="">
      <xdr:nvSpPr>
        <xdr:cNvPr id="446" name="Right Arrow 445" descr="9c15803f-228c-4e52-97cc-ea3f800cccd5">
          <a:extLst>
            <a:ext uri="{FF2B5EF4-FFF2-40B4-BE49-F238E27FC236}">
              <a16:creationId xmlns:a16="http://schemas.microsoft.com/office/drawing/2014/main" id="{00000000-0008-0000-0D00-0000BE010000}"/>
            </a:ext>
          </a:extLst>
        </xdr:cNvPr>
        <xdr:cNvSpPr/>
      </xdr:nvSpPr>
      <xdr:spPr bwMode="auto">
        <a:xfrm>
          <a:off x="114846290" y="21307221"/>
          <a:ext cx="691202" cy="590927"/>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FCC</a:t>
          </a:r>
          <a:r>
            <a:rPr lang="en-CA" sz="800" baseline="0"/>
            <a:t> RFG</a:t>
          </a:r>
          <a:endParaRPr lang="en-CA" sz="800"/>
        </a:p>
      </xdr:txBody>
    </xdr:sp>
    <xdr:clientData/>
  </xdr:twoCellAnchor>
  <xdr:twoCellAnchor>
    <xdr:from>
      <xdr:col>117</xdr:col>
      <xdr:colOff>1295683</xdr:colOff>
      <xdr:row>59</xdr:row>
      <xdr:rowOff>120463</xdr:rowOff>
    </xdr:from>
    <xdr:to>
      <xdr:col>118</xdr:col>
      <xdr:colOff>530120</xdr:colOff>
      <xdr:row>63</xdr:row>
      <xdr:rowOff>107674</xdr:rowOff>
    </xdr:to>
    <xdr:sp macro="" textlink="">
      <xdr:nvSpPr>
        <xdr:cNvPr id="447" name="Right Arrow 446" descr="fc760dfc-6f52-4982-901c-0532a4a825be">
          <a:extLst>
            <a:ext uri="{FF2B5EF4-FFF2-40B4-BE49-F238E27FC236}">
              <a16:creationId xmlns:a16="http://schemas.microsoft.com/office/drawing/2014/main" id="{00000000-0008-0000-0D00-0000BF010000}"/>
            </a:ext>
          </a:extLst>
        </xdr:cNvPr>
        <xdr:cNvSpPr/>
      </xdr:nvSpPr>
      <xdr:spPr bwMode="auto">
        <a:xfrm>
          <a:off x="114833683" y="23114934"/>
          <a:ext cx="691202" cy="614740"/>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REF</a:t>
          </a:r>
          <a:r>
            <a:rPr lang="en-CA" sz="800" baseline="0"/>
            <a:t> RFG</a:t>
          </a:r>
          <a:endParaRPr lang="en-CA" sz="800"/>
        </a:p>
      </xdr:txBody>
    </xdr:sp>
    <xdr:clientData/>
  </xdr:twoCellAnchor>
  <xdr:twoCellAnchor>
    <xdr:from>
      <xdr:col>117</xdr:col>
      <xdr:colOff>1262065</xdr:colOff>
      <xdr:row>72</xdr:row>
      <xdr:rowOff>68125</xdr:rowOff>
    </xdr:from>
    <xdr:to>
      <xdr:col>118</xdr:col>
      <xdr:colOff>522479</xdr:colOff>
      <xdr:row>75</xdr:row>
      <xdr:rowOff>94939</xdr:rowOff>
    </xdr:to>
    <xdr:sp macro="" textlink="">
      <xdr:nvSpPr>
        <xdr:cNvPr id="449" name="Right Arrow 448" descr="c407719f-379b-45b8-8df0-df300934b5a0">
          <a:extLst>
            <a:ext uri="{FF2B5EF4-FFF2-40B4-BE49-F238E27FC236}">
              <a16:creationId xmlns:a16="http://schemas.microsoft.com/office/drawing/2014/main" id="{00000000-0008-0000-0D00-0000C1010000}"/>
            </a:ext>
          </a:extLst>
        </xdr:cNvPr>
        <xdr:cNvSpPr/>
      </xdr:nvSpPr>
      <xdr:spPr bwMode="auto">
        <a:xfrm>
          <a:off x="114800065" y="25102066"/>
          <a:ext cx="717179" cy="542285"/>
        </a:xfrm>
        <a:prstGeom prst="rightArrow">
          <a:avLst/>
        </a:prstGeom>
        <a:gradFill flip="none" rotWithShape="1">
          <a:gsLst>
            <a:gs pos="96000">
              <a:srgbClr val="FF0000">
                <a:alpha val="0"/>
              </a:srgbClr>
            </a:gs>
            <a:gs pos="30000">
              <a:schemeClr val="bg1"/>
            </a:gs>
            <a:gs pos="64999">
              <a:schemeClr val="accent2">
                <a:lumMod val="60000"/>
                <a:lumOff val="40000"/>
              </a:schemeClr>
            </a:gs>
            <a:gs pos="89999">
              <a:srgbClr val="FF0000"/>
            </a:gs>
            <a:gs pos="100000">
              <a:srgbClr val="FF8200"/>
            </a:gs>
          </a:gsLst>
          <a:lin ang="0" scaled="1"/>
          <a:tileRect/>
        </a:gradFill>
        <a:ln w="25400" cap="flat" cmpd="sng" algn="ctr">
          <a:solidFill>
            <a:srgbClr val="000000"/>
          </a:solidFill>
          <a:prstDash val="solid"/>
          <a:round/>
          <a:headEnd type="none" w="med" len="med"/>
          <a:tailEnd type="triangle" w="med" len="med"/>
        </a:ln>
        <a:effectLst/>
      </xdr:spPr>
      <xdr:txBody>
        <a:bodyPr vertOverflow="clip" wrap="square" lIns="18288" tIns="0" rIns="0" bIns="0" rtlCol="0" anchor="ctr" upright="1"/>
        <a:lstStyle/>
        <a:p>
          <a:pPr algn="ctr"/>
          <a:r>
            <a:rPr lang="en-CA" sz="800"/>
            <a:t>ISOM</a:t>
          </a:r>
          <a:r>
            <a:rPr lang="en-CA" sz="800" baseline="0"/>
            <a:t>RFG</a:t>
          </a:r>
          <a:endParaRPr lang="en-CA" sz="800"/>
        </a:p>
      </xdr:txBody>
    </xdr:sp>
    <xdr:clientData/>
  </xdr:twoCellAnchor>
  <xdr:twoCellAnchor editAs="oneCell">
    <xdr:from>
      <xdr:col>39</xdr:col>
      <xdr:colOff>0</xdr:colOff>
      <xdr:row>297</xdr:row>
      <xdr:rowOff>0</xdr:rowOff>
    </xdr:from>
    <xdr:to>
      <xdr:col>39</xdr:col>
      <xdr:colOff>133350</xdr:colOff>
      <xdr:row>297</xdr:row>
      <xdr:rowOff>133350</xdr:rowOff>
    </xdr:to>
    <xdr:pic>
      <xdr:nvPicPr>
        <xdr:cNvPr id="300" name="Picture 299" descr=":-(">
          <a:extLst>
            <a:ext uri="{FF2B5EF4-FFF2-40B4-BE49-F238E27FC236}">
              <a16:creationId xmlns:a16="http://schemas.microsoft.com/office/drawing/2014/main" id="{00000000-0008-0000-0D00-00002C01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34080450" y="48234600"/>
          <a:ext cx="133350"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6</xdr:col>
      <xdr:colOff>596899</xdr:colOff>
      <xdr:row>5</xdr:row>
      <xdr:rowOff>15239</xdr:rowOff>
    </xdr:from>
    <xdr:to>
      <xdr:col>9</xdr:col>
      <xdr:colOff>358230</xdr:colOff>
      <xdr:row>7</xdr:row>
      <xdr:rowOff>33654</xdr:rowOff>
    </xdr:to>
    <xdr:pic>
      <xdr:nvPicPr>
        <xdr:cNvPr id="2" name="Picture 1" descr=" y = y_a + (x-x_a)\frac{(y_b-y_a)}{(x_b-x_a)} ">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470399" y="967739"/>
          <a:ext cx="2290445" cy="386715"/>
        </a:xfrm>
        <a:prstGeom prst="rect">
          <a:avLst/>
        </a:prstGeom>
        <a:noFill/>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xdr:col>
      <xdr:colOff>33617</xdr:colOff>
      <xdr:row>154</xdr:row>
      <xdr:rowOff>146919</xdr:rowOff>
    </xdr:from>
    <xdr:to>
      <xdr:col>4</xdr:col>
      <xdr:colOff>890677</xdr:colOff>
      <xdr:row>162</xdr:row>
      <xdr:rowOff>50798</xdr:rowOff>
    </xdr:to>
    <xdr:pic>
      <xdr:nvPicPr>
        <xdr:cNvPr id="2" name="Picture 1" descr="API Compendium FCC Coke burn off.jpg">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a:stretch>
          <a:fillRect/>
        </a:stretch>
      </xdr:blipFill>
      <xdr:spPr>
        <a:xfrm>
          <a:off x="605117" y="27642419"/>
          <a:ext cx="5238560" cy="1326281"/>
        </a:xfrm>
        <a:prstGeom prst="rect">
          <a:avLst/>
        </a:prstGeom>
      </xdr:spPr>
    </xdr:pic>
    <xdr:clientData/>
  </xdr:twoCellAnchor>
  <xdr:twoCellAnchor editAs="oneCell">
    <xdr:from>
      <xdr:col>2</xdr:col>
      <xdr:colOff>1</xdr:colOff>
      <xdr:row>112</xdr:row>
      <xdr:rowOff>1</xdr:rowOff>
    </xdr:from>
    <xdr:to>
      <xdr:col>3</xdr:col>
      <xdr:colOff>1363116</xdr:colOff>
      <xdr:row>121</xdr:row>
      <xdr:rowOff>86381</xdr:rowOff>
    </xdr:to>
    <xdr:pic>
      <xdr:nvPicPr>
        <xdr:cNvPr id="3" name="Picture 2" descr="SMR CO2 Emissions.jpg">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2"/>
        <a:stretch>
          <a:fillRect/>
        </a:stretch>
      </xdr:blipFill>
      <xdr:spPr>
        <a:xfrm>
          <a:off x="1" y="18926736"/>
          <a:ext cx="3641912" cy="149832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01D_Current_Central_Hydrogen_Production_via_Biomass_Gasification_version_3.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Description"/>
      <sheetName val="ProcessFlow"/>
      <sheetName val="Input_Sheet_Template"/>
      <sheetName val="Replacement Costs"/>
      <sheetName val="Capital Costs"/>
      <sheetName val="Plant Scaling"/>
      <sheetName val="Carbon Sequestration"/>
      <sheetName val="Results"/>
      <sheetName val="Cash Flow Analysis"/>
      <sheetName val="Tornado Chart"/>
      <sheetName val="Sensitivity_Analysis"/>
      <sheetName val="Energy Feed &amp; Utility Prices"/>
      <sheetName val="Non-Energy Material Prices"/>
      <sheetName val="AEO Data"/>
      <sheetName val="HyARC Physical Property Data"/>
      <sheetName val="Debt Financing Calculations"/>
      <sheetName val="Depreciation"/>
      <sheetName val="Constants and Conversions"/>
      <sheetName val="Lists"/>
      <sheetName val="ProcessFlow - blank"/>
      <sheetName val="Description - blank"/>
      <sheetName val="Title - blank"/>
    </sheetNames>
    <sheetDataSet>
      <sheetData sheetId="0"/>
      <sheetData sheetId="1"/>
      <sheetData sheetId="2"/>
      <sheetData sheetId="3">
        <row r="21">
          <cell r="C21">
            <v>0.9</v>
          </cell>
        </row>
        <row r="24">
          <cell r="C24">
            <v>24518875</v>
          </cell>
        </row>
      </sheetData>
      <sheetData sheetId="4"/>
      <sheetData sheetId="5"/>
      <sheetData sheetId="6"/>
      <sheetData sheetId="7"/>
      <sheetData sheetId="8">
        <row r="86">
          <cell r="D86">
            <v>602400</v>
          </cell>
        </row>
      </sheetData>
      <sheetData sheetId="9"/>
      <sheetData sheetId="10" refreshError="1"/>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25400" cap="flat" cmpd="sng" algn="ctr">
          <a:solidFill>
            <a:srgbClr val="000000"/>
          </a:solidFill>
          <a:prstDash val="solid"/>
          <a:round/>
          <a:headEnd type="none" w="med" len="med"/>
          <a:tailEnd type="triangl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25400" cap="flat" cmpd="sng" algn="ctr">
          <a:solidFill>
            <a:srgbClr val="000000"/>
          </a:solidFill>
          <a:prstDash val="solid"/>
          <a:round/>
          <a:headEnd type="none" w="med" len="med"/>
          <a:tailEnd type="triangl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2.vml"/><Relationship Id="rId1" Type="http://schemas.openxmlformats.org/officeDocument/2006/relationships/drawing" Target="../drawings/drawing10.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5.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6.v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8.xml"/><Relationship Id="rId1" Type="http://schemas.openxmlformats.org/officeDocument/2006/relationships/hyperlink" Target="http://www.ec.gc.ca/soer-ree/English/Indicators/Issues/Climate/Tech_Sup/ccsup01_e.cfm" TargetMode="External"/><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theme="1"/>
    <pageSetUpPr fitToPage="1"/>
  </sheetPr>
  <dimension ref="A1:U142"/>
  <sheetViews>
    <sheetView topLeftCell="A112" zoomScale="85" zoomScaleNormal="85" zoomScalePageLayoutView="85" workbookViewId="0">
      <selection activeCell="L6" sqref="L6"/>
    </sheetView>
  </sheetViews>
  <sheetFormatPr defaultColWidth="8.85546875" defaultRowHeight="18" customHeight="1" x14ac:dyDescent="0.2"/>
  <cols>
    <col min="1" max="2" width="3.42578125" customWidth="1"/>
    <col min="3" max="3" width="26.7109375" customWidth="1"/>
    <col min="4" max="4" width="15.85546875" customWidth="1"/>
    <col min="5" max="5" width="14.42578125" customWidth="1"/>
    <col min="6" max="7" width="11.85546875" customWidth="1"/>
    <col min="8" max="8" width="16.42578125" customWidth="1"/>
    <col min="9" max="9" width="31.42578125" customWidth="1"/>
    <col min="10" max="11" width="3.42578125" customWidth="1"/>
    <col min="12" max="12" width="8.85546875" customWidth="1"/>
  </cols>
  <sheetData>
    <row r="1" spans="1:11" ht="18" customHeight="1" thickBot="1" x14ac:dyDescent="0.25">
      <c r="A1" s="14"/>
      <c r="B1" s="14"/>
      <c r="C1" s="14"/>
      <c r="D1" s="14"/>
      <c r="E1" s="14"/>
      <c r="F1" s="14"/>
      <c r="G1" s="14"/>
      <c r="H1" s="14"/>
      <c r="I1" s="14"/>
      <c r="J1" s="14"/>
      <c r="K1" s="14"/>
    </row>
    <row r="2" spans="1:11" ht="18" customHeight="1" x14ac:dyDescent="0.2">
      <c r="A2" s="14"/>
      <c r="B2" s="2227" t="s">
        <v>1794</v>
      </c>
      <c r="C2" s="2228"/>
      <c r="D2" s="2228"/>
      <c r="E2" s="2228"/>
      <c r="F2" s="2228"/>
      <c r="G2" s="2228"/>
      <c r="H2" s="2228"/>
      <c r="I2" s="2228"/>
      <c r="J2" s="2228"/>
      <c r="K2" s="2229"/>
    </row>
    <row r="3" spans="1:11" ht="18" customHeight="1" x14ac:dyDescent="0.2">
      <c r="A3" s="14"/>
      <c r="B3" s="2230"/>
      <c r="C3" s="2231"/>
      <c r="D3" s="2231"/>
      <c r="E3" s="2231"/>
      <c r="F3" s="2231"/>
      <c r="G3" s="2231"/>
      <c r="H3" s="2231"/>
      <c r="I3" s="2231"/>
      <c r="J3" s="2231"/>
      <c r="K3" s="2232"/>
    </row>
    <row r="4" spans="1:11" ht="18" customHeight="1" x14ac:dyDescent="0.2">
      <c r="A4" s="14"/>
      <c r="B4" s="1147"/>
      <c r="C4" s="1102"/>
      <c r="D4" s="1102"/>
      <c r="E4" s="1102"/>
      <c r="F4" s="1102"/>
      <c r="G4" s="1102"/>
      <c r="H4" s="1102"/>
      <c r="I4" s="1102"/>
      <c r="J4" s="1102"/>
      <c r="K4" s="1684"/>
    </row>
    <row r="5" spans="1:11" ht="18" customHeight="1" x14ac:dyDescent="0.25">
      <c r="A5" s="14"/>
      <c r="B5" s="1147"/>
      <c r="C5" s="1825" t="s">
        <v>2121</v>
      </c>
      <c r="D5" s="1102"/>
      <c r="E5" s="1102"/>
      <c r="F5" s="1102"/>
      <c r="G5" s="1102"/>
      <c r="H5" s="1102"/>
      <c r="I5" s="1102"/>
      <c r="J5" s="1102"/>
      <c r="K5" s="1684"/>
    </row>
    <row r="6" spans="1:11" ht="18" customHeight="1" x14ac:dyDescent="0.25">
      <c r="A6" s="14"/>
      <c r="B6" s="1147"/>
      <c r="C6" s="1825"/>
      <c r="D6" s="1102"/>
      <c r="E6" s="1102"/>
      <c r="F6" s="1102"/>
      <c r="G6" s="1102"/>
      <c r="H6" s="1102"/>
      <c r="I6" s="1102"/>
      <c r="J6" s="1102"/>
      <c r="K6" s="1684"/>
    </row>
    <row r="7" spans="1:11" ht="18" customHeight="1" x14ac:dyDescent="0.25">
      <c r="A7" s="14"/>
      <c r="B7" s="1147"/>
      <c r="C7" s="1826" t="s">
        <v>1175</v>
      </c>
      <c r="D7" s="1102"/>
      <c r="E7" s="1102"/>
      <c r="F7" s="1102"/>
      <c r="G7" s="1102"/>
      <c r="H7" s="1102"/>
      <c r="I7" s="1102"/>
      <c r="J7" s="1102"/>
      <c r="K7" s="1684"/>
    </row>
    <row r="8" spans="1:11" ht="18" customHeight="1" x14ac:dyDescent="0.2">
      <c r="A8" s="14"/>
      <c r="B8" s="1147"/>
      <c r="C8" s="2242" t="s">
        <v>1759</v>
      </c>
      <c r="D8" s="2242"/>
      <c r="E8" s="2242"/>
      <c r="F8" s="2242"/>
      <c r="G8" s="2242"/>
      <c r="H8" s="2242"/>
      <c r="I8" s="1102"/>
      <c r="J8" s="1102"/>
      <c r="K8" s="1684"/>
    </row>
    <row r="9" spans="1:11" ht="18" customHeight="1" x14ac:dyDescent="0.2">
      <c r="A9" s="14"/>
      <c r="B9" s="1147"/>
      <c r="C9" s="2242"/>
      <c r="D9" s="2242"/>
      <c r="E9" s="2242"/>
      <c r="F9" s="2242"/>
      <c r="G9" s="2242"/>
      <c r="H9" s="2242"/>
      <c r="I9" s="1102"/>
      <c r="J9" s="1102"/>
      <c r="K9" s="1684"/>
    </row>
    <row r="10" spans="1:11" ht="18" customHeight="1" x14ac:dyDescent="0.2">
      <c r="A10" s="14"/>
      <c r="B10" s="1147"/>
      <c r="C10" s="2238" t="s">
        <v>2122</v>
      </c>
      <c r="D10" s="2238"/>
      <c r="E10" s="2238"/>
      <c r="F10" s="2238"/>
      <c r="G10" s="2238"/>
      <c r="H10" s="2238"/>
      <c r="I10" s="1102"/>
      <c r="J10" s="1102"/>
      <c r="K10" s="1684"/>
    </row>
    <row r="11" spans="1:11" ht="18" customHeight="1" x14ac:dyDescent="0.2">
      <c r="A11" s="14"/>
      <c r="B11" s="1147"/>
      <c r="C11" s="2238"/>
      <c r="D11" s="2238"/>
      <c r="E11" s="2238"/>
      <c r="F11" s="2238"/>
      <c r="G11" s="2238"/>
      <c r="H11" s="2238"/>
      <c r="I11" s="1102"/>
      <c r="J11" s="1102"/>
      <c r="K11" s="1684"/>
    </row>
    <row r="12" spans="1:11" ht="14.25" customHeight="1" x14ac:dyDescent="0.2">
      <c r="A12" s="14"/>
      <c r="B12" s="1147"/>
      <c r="C12" s="2238" t="s">
        <v>2123</v>
      </c>
      <c r="D12" s="2238"/>
      <c r="E12" s="2238"/>
      <c r="F12" s="2238"/>
      <c r="G12" s="2238"/>
      <c r="H12" s="2238"/>
      <c r="I12" s="1102"/>
      <c r="J12" s="1102"/>
      <c r="K12" s="1684"/>
    </row>
    <row r="13" spans="1:11" ht="18" customHeight="1" x14ac:dyDescent="0.2">
      <c r="A13" s="14"/>
      <c r="B13" s="1147"/>
      <c r="C13" s="2238"/>
      <c r="D13" s="2238"/>
      <c r="E13" s="2238"/>
      <c r="F13" s="2238"/>
      <c r="G13" s="2238"/>
      <c r="H13" s="2238"/>
      <c r="I13" s="1102"/>
      <c r="J13" s="1102"/>
      <c r="K13" s="1684"/>
    </row>
    <row r="14" spans="1:11" ht="18" customHeight="1" x14ac:dyDescent="0.2">
      <c r="A14" s="14"/>
      <c r="B14" s="1147"/>
      <c r="C14" s="2243" t="s">
        <v>1760</v>
      </c>
      <c r="D14" s="2243"/>
      <c r="E14" s="2243"/>
      <c r="F14" s="2243"/>
      <c r="G14" s="2243"/>
      <c r="H14" s="2243"/>
      <c r="I14" s="2243"/>
      <c r="J14" s="1102"/>
      <c r="K14" s="1684"/>
    </row>
    <row r="15" spans="1:11" ht="18" customHeight="1" x14ac:dyDescent="0.2">
      <c r="A15" s="14"/>
      <c r="B15" s="1147"/>
      <c r="C15" s="2243"/>
      <c r="D15" s="2243"/>
      <c r="E15" s="2243"/>
      <c r="F15" s="2243"/>
      <c r="G15" s="2243"/>
      <c r="H15" s="2243"/>
      <c r="I15" s="2243"/>
      <c r="J15" s="1102"/>
      <c r="K15" s="1684"/>
    </row>
    <row r="16" spans="1:11" ht="18" customHeight="1" x14ac:dyDescent="0.3">
      <c r="A16" s="14"/>
      <c r="B16" s="1147"/>
      <c r="C16" s="1827"/>
      <c r="D16" s="1102"/>
      <c r="E16" s="1102"/>
      <c r="F16" s="1102"/>
      <c r="G16" s="1102"/>
      <c r="H16" s="1102"/>
      <c r="I16" s="1102"/>
      <c r="J16" s="1102"/>
      <c r="K16" s="1684"/>
    </row>
    <row r="17" spans="1:11" ht="18" customHeight="1" x14ac:dyDescent="0.2">
      <c r="A17" s="14"/>
      <c r="B17" s="1828"/>
      <c r="C17" s="1829" t="s">
        <v>1176</v>
      </c>
      <c r="D17" s="1830"/>
      <c r="E17" s="1830"/>
      <c r="F17" s="1830"/>
      <c r="G17" s="1830"/>
      <c r="H17" s="1830"/>
      <c r="I17" s="1830"/>
      <c r="J17" s="1830"/>
      <c r="K17" s="1684"/>
    </row>
    <row r="18" spans="1:11" ht="18" customHeight="1" x14ac:dyDescent="0.2">
      <c r="A18" s="18"/>
      <c r="B18" s="1831"/>
      <c r="C18" s="2241" t="s">
        <v>1320</v>
      </c>
      <c r="D18" s="2241"/>
      <c r="E18" s="2241"/>
      <c r="F18" s="2241"/>
      <c r="G18" s="2241"/>
      <c r="H18" s="2241"/>
      <c r="I18" s="2241"/>
      <c r="J18" s="2241"/>
      <c r="K18" s="1832"/>
    </row>
    <row r="19" spans="1:11" ht="18" customHeight="1" x14ac:dyDescent="0.2">
      <c r="A19" s="14"/>
      <c r="B19" s="1147"/>
      <c r="C19" s="2241"/>
      <c r="D19" s="2241"/>
      <c r="E19" s="2241"/>
      <c r="F19" s="2241"/>
      <c r="G19" s="2241"/>
      <c r="H19" s="2241"/>
      <c r="I19" s="2241"/>
      <c r="J19" s="2241"/>
      <c r="K19" s="1684"/>
    </row>
    <row r="20" spans="1:11" ht="18" customHeight="1" x14ac:dyDescent="0.2">
      <c r="A20" s="14"/>
      <c r="B20" s="1147"/>
      <c r="C20" s="2241"/>
      <c r="D20" s="2241"/>
      <c r="E20" s="2241"/>
      <c r="F20" s="2241"/>
      <c r="G20" s="2241"/>
      <c r="H20" s="2241"/>
      <c r="I20" s="2241"/>
      <c r="J20" s="2241"/>
      <c r="K20" s="1684"/>
    </row>
    <row r="21" spans="1:11" ht="18" customHeight="1" x14ac:dyDescent="0.2">
      <c r="A21" s="14"/>
      <c r="B21" s="1147"/>
      <c r="C21" s="2241"/>
      <c r="D21" s="2241"/>
      <c r="E21" s="2241"/>
      <c r="F21" s="2241"/>
      <c r="G21" s="2241"/>
      <c r="H21" s="2241"/>
      <c r="I21" s="2241"/>
      <c r="J21" s="2241"/>
      <c r="K21" s="1684"/>
    </row>
    <row r="22" spans="1:11" ht="18" customHeight="1" x14ac:dyDescent="0.2">
      <c r="A22" s="14"/>
      <c r="B22" s="1828"/>
      <c r="C22" s="1829" t="s">
        <v>1321</v>
      </c>
      <c r="D22" s="1830"/>
      <c r="E22" s="1830"/>
      <c r="F22" s="1830"/>
      <c r="G22" s="1830"/>
      <c r="H22" s="1830"/>
      <c r="I22" s="1830"/>
      <c r="J22" s="1830"/>
      <c r="K22" s="1684"/>
    </row>
    <row r="23" spans="1:11" ht="18" customHeight="1" x14ac:dyDescent="0.25">
      <c r="A23" s="18"/>
      <c r="B23" s="1831"/>
      <c r="C23" s="1833" t="s">
        <v>1533</v>
      </c>
      <c r="D23" s="1102"/>
      <c r="E23" s="1102"/>
      <c r="F23" s="1102"/>
      <c r="G23" s="1102"/>
      <c r="H23" s="1102"/>
      <c r="I23" s="1102"/>
      <c r="J23" s="1102"/>
      <c r="K23" s="1832"/>
    </row>
    <row r="24" spans="1:11" ht="18" customHeight="1" x14ac:dyDescent="0.25">
      <c r="A24" s="14"/>
      <c r="B24" s="1147"/>
      <c r="C24" s="1833" t="s">
        <v>1322</v>
      </c>
      <c r="D24" s="1102"/>
      <c r="E24" s="1102"/>
      <c r="F24" s="1102"/>
      <c r="G24" s="1102"/>
      <c r="H24" s="1102"/>
      <c r="I24" s="1102"/>
      <c r="J24" s="1102"/>
      <c r="K24" s="1684"/>
    </row>
    <row r="25" spans="1:11" ht="18" customHeight="1" x14ac:dyDescent="0.25">
      <c r="A25" s="14"/>
      <c r="B25" s="1147"/>
      <c r="C25" s="1833" t="s">
        <v>1323</v>
      </c>
      <c r="D25" s="1102"/>
      <c r="E25" s="1102"/>
      <c r="F25" s="1102"/>
      <c r="G25" s="1102"/>
      <c r="H25" s="1102"/>
      <c r="I25" s="1102"/>
      <c r="J25" s="1102"/>
      <c r="K25" s="1684"/>
    </row>
    <row r="26" spans="1:11" ht="18" customHeight="1" x14ac:dyDescent="0.25">
      <c r="A26" s="14"/>
      <c r="B26" s="1147"/>
      <c r="C26" s="1833" t="s">
        <v>1324</v>
      </c>
      <c r="D26" s="1102"/>
      <c r="E26" s="1102"/>
      <c r="F26" s="1102"/>
      <c r="G26" s="1102"/>
      <c r="H26" s="1102"/>
      <c r="I26" s="1102"/>
      <c r="J26" s="1102"/>
      <c r="K26" s="1684"/>
    </row>
    <row r="27" spans="1:11" ht="18" customHeight="1" x14ac:dyDescent="0.2">
      <c r="A27" s="14"/>
      <c r="B27" s="1147"/>
      <c r="C27" s="1102"/>
      <c r="D27" s="1102"/>
      <c r="E27" s="1102"/>
      <c r="F27" s="1102"/>
      <c r="G27" s="1102"/>
      <c r="H27" s="1102"/>
      <c r="I27" s="1102"/>
      <c r="J27" s="1102"/>
      <c r="K27" s="1684"/>
    </row>
    <row r="28" spans="1:11" ht="18" customHeight="1" x14ac:dyDescent="0.2">
      <c r="A28" s="14"/>
      <c r="B28" s="1828"/>
      <c r="C28" s="1834" t="s">
        <v>1177</v>
      </c>
      <c r="D28" s="1835"/>
      <c r="E28" s="1835"/>
      <c r="F28" s="1835"/>
      <c r="G28" s="1835"/>
      <c r="H28" s="1835"/>
      <c r="I28" s="1835"/>
      <c r="J28" s="1835"/>
      <c r="K28" s="1684"/>
    </row>
    <row r="29" spans="1:11" ht="18" customHeight="1" x14ac:dyDescent="0.2">
      <c r="A29" s="14"/>
      <c r="B29" s="1147"/>
      <c r="C29" s="1836"/>
      <c r="D29" s="1836"/>
      <c r="E29" s="1836"/>
      <c r="F29" s="1836"/>
      <c r="G29" s="1836"/>
      <c r="H29" s="1836"/>
      <c r="I29" s="1836"/>
      <c r="J29" s="1836"/>
      <c r="K29" s="1684"/>
    </row>
    <row r="30" spans="1:11" ht="18" customHeight="1" x14ac:dyDescent="0.2">
      <c r="A30" s="14"/>
      <c r="B30" s="1147"/>
      <c r="C30" s="2225" t="s">
        <v>1544</v>
      </c>
      <c r="D30" s="2226"/>
      <c r="E30" s="2226"/>
      <c r="F30" s="2226"/>
      <c r="G30" s="2226"/>
      <c r="H30" s="2226"/>
      <c r="I30" s="2226"/>
      <c r="J30" s="2226"/>
      <c r="K30" s="1684"/>
    </row>
    <row r="31" spans="1:11" ht="18" customHeight="1" x14ac:dyDescent="0.2">
      <c r="A31" s="14"/>
      <c r="B31" s="1147"/>
      <c r="C31" s="2225"/>
      <c r="D31" s="2226"/>
      <c r="E31" s="2226"/>
      <c r="F31" s="2226"/>
      <c r="G31" s="2226"/>
      <c r="H31" s="2226"/>
      <c r="I31" s="2226"/>
      <c r="J31" s="2226"/>
      <c r="K31" s="1684"/>
    </row>
    <row r="32" spans="1:11" ht="18" customHeight="1" x14ac:dyDescent="0.2">
      <c r="A32" s="14"/>
      <c r="B32" s="1147"/>
      <c r="C32" s="2235"/>
      <c r="D32" s="2235"/>
      <c r="E32" s="2235"/>
      <c r="F32" s="2235"/>
      <c r="G32" s="2235"/>
      <c r="H32" s="1102"/>
      <c r="I32" s="1102"/>
      <c r="J32" s="1102"/>
      <c r="K32" s="1684"/>
    </row>
    <row r="33" spans="1:11" ht="18" customHeight="1" x14ac:dyDescent="0.2">
      <c r="A33" s="14"/>
      <c r="B33" s="1147"/>
      <c r="C33" s="1837" t="s">
        <v>1325</v>
      </c>
      <c r="D33" s="1837"/>
      <c r="E33" s="1838"/>
      <c r="F33" s="1839"/>
      <c r="G33" s="1839"/>
      <c r="H33" s="1839"/>
      <c r="I33" s="1839"/>
      <c r="J33" s="1839"/>
      <c r="K33" s="1684"/>
    </row>
    <row r="34" spans="1:11" ht="18" customHeight="1" x14ac:dyDescent="0.2">
      <c r="A34" s="19"/>
      <c r="B34" s="1840"/>
      <c r="C34" s="1841"/>
      <c r="D34" s="1842"/>
      <c r="E34" s="1843"/>
      <c r="F34" s="1844"/>
      <c r="G34" s="1844"/>
      <c r="H34" s="1844"/>
      <c r="I34" s="1844"/>
      <c r="J34" s="1845"/>
      <c r="K34" s="1846"/>
    </row>
    <row r="35" spans="1:11" ht="18" customHeight="1" x14ac:dyDescent="0.2">
      <c r="A35" s="19"/>
      <c r="B35" s="1840"/>
      <c r="C35" s="1847"/>
      <c r="D35" s="1848" t="s">
        <v>1280</v>
      </c>
      <c r="E35" s="1849"/>
      <c r="F35" s="1849"/>
      <c r="G35" s="1849"/>
      <c r="H35" s="1849"/>
      <c r="I35" s="1849"/>
      <c r="J35" s="1850"/>
      <c r="K35" s="1846"/>
    </row>
    <row r="36" spans="1:11" ht="18" customHeight="1" x14ac:dyDescent="0.2">
      <c r="A36" s="19"/>
      <c r="B36" s="1840"/>
      <c r="C36" s="1847"/>
      <c r="D36" s="1851" t="s">
        <v>1281</v>
      </c>
      <c r="E36" s="1849"/>
      <c r="F36" s="1849"/>
      <c r="G36" s="1849"/>
      <c r="H36" s="1849"/>
      <c r="I36" s="1849"/>
      <c r="J36" s="1850"/>
      <c r="K36" s="1846"/>
    </row>
    <row r="37" spans="1:11" ht="18" customHeight="1" x14ac:dyDescent="0.2">
      <c r="A37" s="19"/>
      <c r="B37" s="1840"/>
      <c r="C37" s="1847"/>
      <c r="D37" s="1851" t="s">
        <v>1282</v>
      </c>
      <c r="E37" s="1849"/>
      <c r="F37" s="1849"/>
      <c r="G37" s="1849"/>
      <c r="H37" s="1849"/>
      <c r="I37" s="1849"/>
      <c r="J37" s="1850"/>
      <c r="K37" s="1846"/>
    </row>
    <row r="38" spans="1:11" ht="18" customHeight="1" x14ac:dyDescent="0.2">
      <c r="A38" s="19"/>
      <c r="B38" s="1840"/>
      <c r="C38" s="1847"/>
      <c r="D38" s="1851" t="s">
        <v>1283</v>
      </c>
      <c r="E38" s="1849"/>
      <c r="F38" s="1849"/>
      <c r="G38" s="1849"/>
      <c r="H38" s="1849"/>
      <c r="I38" s="1849"/>
      <c r="J38" s="1850"/>
      <c r="K38" s="1846"/>
    </row>
    <row r="39" spans="1:11" ht="18" customHeight="1" x14ac:dyDescent="0.2">
      <c r="A39" s="19"/>
      <c r="B39" s="1840"/>
      <c r="C39" s="1847"/>
      <c r="D39" s="1852" t="s">
        <v>1260</v>
      </c>
      <c r="E39" s="1849"/>
      <c r="F39" s="1849"/>
      <c r="G39" s="1211"/>
      <c r="H39" s="1211"/>
      <c r="I39" s="1211"/>
      <c r="J39" s="1850"/>
      <c r="K39" s="1846"/>
    </row>
    <row r="40" spans="1:11" ht="18" customHeight="1" x14ac:dyDescent="0.25">
      <c r="A40" s="14"/>
      <c r="B40" s="1147"/>
      <c r="C40" s="1853"/>
      <c r="D40" s="1854" t="s">
        <v>1266</v>
      </c>
      <c r="E40" s="1849"/>
      <c r="F40" s="1849"/>
      <c r="G40" s="1102"/>
      <c r="H40" s="1102"/>
      <c r="I40" s="1102"/>
      <c r="J40" s="1850"/>
      <c r="K40" s="1684"/>
    </row>
    <row r="41" spans="1:11" ht="18" customHeight="1" x14ac:dyDescent="0.25">
      <c r="A41" s="163"/>
      <c r="B41" s="1855"/>
      <c r="C41" s="1853"/>
      <c r="D41" s="1854" t="s">
        <v>1376</v>
      </c>
      <c r="E41" s="1849"/>
      <c r="F41" s="1849"/>
      <c r="G41" s="2225" t="s">
        <v>1545</v>
      </c>
      <c r="H41" s="2226"/>
      <c r="I41" s="2226"/>
      <c r="J41" s="1850"/>
      <c r="K41" s="1856"/>
    </row>
    <row r="42" spans="1:11" ht="18" customHeight="1" x14ac:dyDescent="0.25">
      <c r="A42" s="163"/>
      <c r="B42" s="1855"/>
      <c r="C42" s="1853"/>
      <c r="D42" s="1854" t="s">
        <v>1267</v>
      </c>
      <c r="E42" s="1849"/>
      <c r="F42" s="1849"/>
      <c r="G42" s="2225"/>
      <c r="H42" s="2226"/>
      <c r="I42" s="2226"/>
      <c r="J42" s="1850"/>
      <c r="K42" s="1856"/>
    </row>
    <row r="43" spans="1:11" ht="18" customHeight="1" x14ac:dyDescent="0.25">
      <c r="A43" s="163"/>
      <c r="B43" s="1855"/>
      <c r="C43" s="1853"/>
      <c r="D43" s="1854" t="s">
        <v>1268</v>
      </c>
      <c r="E43" s="1849"/>
      <c r="F43" s="1849"/>
      <c r="G43" s="2225"/>
      <c r="H43" s="2226"/>
      <c r="I43" s="2226"/>
      <c r="J43" s="1850"/>
      <c r="K43" s="1856"/>
    </row>
    <row r="44" spans="1:11" ht="18" customHeight="1" x14ac:dyDescent="0.25">
      <c r="A44" s="163"/>
      <c r="B44" s="1855"/>
      <c r="C44" s="1853"/>
      <c r="D44" s="1852" t="s">
        <v>1268</v>
      </c>
      <c r="E44" s="1849"/>
      <c r="F44" s="1849"/>
      <c r="G44" s="2225"/>
      <c r="H44" s="2226"/>
      <c r="I44" s="2226"/>
      <c r="J44" s="1850"/>
      <c r="K44" s="1856"/>
    </row>
    <row r="45" spans="1:11" ht="18" customHeight="1" x14ac:dyDescent="0.25">
      <c r="A45" s="163"/>
      <c r="B45" s="1855"/>
      <c r="C45" s="1853"/>
      <c r="D45" s="1852" t="s">
        <v>1269</v>
      </c>
      <c r="E45" s="1849"/>
      <c r="F45" s="1849"/>
      <c r="G45" s="1849"/>
      <c r="H45" s="1849"/>
      <c r="I45" s="1849"/>
      <c r="J45" s="1850"/>
      <c r="K45" s="1856"/>
    </row>
    <row r="46" spans="1:11" ht="18" customHeight="1" x14ac:dyDescent="0.25">
      <c r="A46" s="163"/>
      <c r="B46" s="1855"/>
      <c r="C46" s="1853"/>
      <c r="D46" s="1852" t="s">
        <v>1763</v>
      </c>
      <c r="E46" s="1849"/>
      <c r="F46" s="1849"/>
      <c r="G46" s="1849"/>
      <c r="H46" s="1849"/>
      <c r="I46" s="1849"/>
      <c r="J46" s="1850"/>
      <c r="K46" s="1856"/>
    </row>
    <row r="47" spans="1:11" ht="18" customHeight="1" x14ac:dyDescent="0.25">
      <c r="A47" s="163"/>
      <c r="B47" s="1855"/>
      <c r="C47" s="1853"/>
      <c r="E47" s="1849"/>
      <c r="F47" s="1849"/>
      <c r="G47" s="1849"/>
      <c r="H47" s="1849"/>
      <c r="I47" s="1849"/>
      <c r="J47" s="1850"/>
      <c r="K47" s="1856"/>
    </row>
    <row r="48" spans="1:11" ht="18" customHeight="1" x14ac:dyDescent="0.25">
      <c r="A48" s="163"/>
      <c r="B48" s="1855"/>
      <c r="C48" s="1853"/>
      <c r="D48" s="1851" t="s">
        <v>1764</v>
      </c>
      <c r="E48" s="1849"/>
      <c r="F48" s="1849"/>
      <c r="G48" s="1849"/>
      <c r="H48" s="1849"/>
      <c r="I48" s="1849"/>
      <c r="J48" s="1850"/>
      <c r="K48" s="1856"/>
    </row>
    <row r="49" spans="1:11" ht="18" customHeight="1" x14ac:dyDescent="0.25">
      <c r="A49" s="163"/>
      <c r="B49" s="1855"/>
      <c r="C49" s="1853"/>
      <c r="D49" s="1852" t="s">
        <v>1336</v>
      </c>
      <c r="E49" s="1849"/>
      <c r="F49" s="1849"/>
      <c r="G49" s="1849"/>
      <c r="H49" s="1849"/>
      <c r="I49" s="1849"/>
      <c r="J49" s="1850"/>
      <c r="K49" s="1856"/>
    </row>
    <row r="50" spans="1:11" ht="18" customHeight="1" x14ac:dyDescent="0.25">
      <c r="A50" s="163"/>
      <c r="B50" s="1855"/>
      <c r="C50" s="1853"/>
      <c r="D50" s="1852" t="s">
        <v>1337</v>
      </c>
      <c r="E50" s="1849"/>
      <c r="F50" s="1849"/>
      <c r="G50" s="1849"/>
      <c r="H50" s="1849"/>
      <c r="I50" s="1849"/>
      <c r="J50" s="1850"/>
      <c r="K50" s="1856"/>
    </row>
    <row r="51" spans="1:11" ht="18" customHeight="1" x14ac:dyDescent="0.25">
      <c r="A51" s="163"/>
      <c r="B51" s="1855"/>
      <c r="C51" s="1853"/>
      <c r="D51" s="1852" t="s">
        <v>1344</v>
      </c>
      <c r="E51" s="1849"/>
      <c r="F51" s="1849"/>
      <c r="G51" s="1849"/>
      <c r="H51" s="1849"/>
      <c r="I51" s="1849"/>
      <c r="J51" s="1850"/>
      <c r="K51" s="1856"/>
    </row>
    <row r="52" spans="1:11" ht="18" customHeight="1" x14ac:dyDescent="0.25">
      <c r="A52" s="163"/>
      <c r="B52" s="1855"/>
      <c r="C52" s="1853"/>
      <c r="D52" s="1852" t="s">
        <v>1734</v>
      </c>
      <c r="E52" s="1849"/>
      <c r="F52" s="1849"/>
      <c r="G52" s="1849"/>
      <c r="H52" s="1849"/>
      <c r="I52" s="1849"/>
      <c r="J52" s="1850"/>
      <c r="K52" s="1856"/>
    </row>
    <row r="53" spans="1:11" ht="18" customHeight="1" x14ac:dyDescent="0.25">
      <c r="A53" s="163"/>
      <c r="B53" s="1855"/>
      <c r="C53" s="1853"/>
      <c r="D53" s="1852"/>
      <c r="E53" s="1849"/>
      <c r="F53" s="1849"/>
      <c r="G53" s="1849"/>
      <c r="H53" s="1849"/>
      <c r="I53" s="1849"/>
      <c r="J53" s="1850"/>
      <c r="K53" s="1856"/>
    </row>
    <row r="54" spans="1:11" ht="18" customHeight="1" x14ac:dyDescent="0.25">
      <c r="A54" s="163"/>
      <c r="B54" s="1855"/>
      <c r="C54" s="1853"/>
      <c r="D54" s="1851" t="s">
        <v>1326</v>
      </c>
      <c r="E54" s="1849"/>
      <c r="F54" s="1849"/>
      <c r="G54" s="1849"/>
      <c r="H54" s="1849"/>
      <c r="I54" s="1849"/>
      <c r="J54" s="1850"/>
      <c r="K54" s="1856"/>
    </row>
    <row r="55" spans="1:11" ht="18" customHeight="1" x14ac:dyDescent="0.25">
      <c r="A55" s="163"/>
      <c r="B55" s="1855"/>
      <c r="C55" s="1853"/>
      <c r="D55" s="1852" t="s">
        <v>1259</v>
      </c>
      <c r="E55" s="1849"/>
      <c r="F55" s="1849"/>
      <c r="G55" s="1849"/>
      <c r="H55" s="1849"/>
      <c r="I55" s="1849"/>
      <c r="J55" s="1850"/>
      <c r="K55" s="1856"/>
    </row>
    <row r="56" spans="1:11" ht="18" customHeight="1" x14ac:dyDescent="0.25">
      <c r="A56" s="163"/>
      <c r="B56" s="1855"/>
      <c r="C56" s="1853"/>
      <c r="D56" s="1852" t="s">
        <v>1347</v>
      </c>
      <c r="E56" s="1849"/>
      <c r="F56" s="1849"/>
      <c r="G56" s="1849"/>
      <c r="H56" s="1849"/>
      <c r="I56" s="1849"/>
      <c r="J56" s="1850"/>
      <c r="K56" s="1856"/>
    </row>
    <row r="57" spans="1:11" ht="18" customHeight="1" x14ac:dyDescent="0.25">
      <c r="A57" s="163"/>
      <c r="B57" s="1855"/>
      <c r="C57" s="1853"/>
      <c r="D57" s="1888" t="s">
        <v>1284</v>
      </c>
      <c r="E57" s="1849"/>
      <c r="F57" s="1849"/>
      <c r="G57" s="1849"/>
      <c r="H57" s="1849"/>
      <c r="I57" s="1849"/>
      <c r="J57" s="1850"/>
      <c r="K57" s="1856"/>
    </row>
    <row r="58" spans="1:11" ht="18" customHeight="1" x14ac:dyDescent="0.25">
      <c r="A58" s="163"/>
      <c r="B58" s="1855"/>
      <c r="C58" s="1853"/>
      <c r="D58" s="1888" t="s">
        <v>1285</v>
      </c>
      <c r="E58" s="1849"/>
      <c r="F58" s="1849"/>
      <c r="G58" s="1849"/>
      <c r="H58" s="1849"/>
      <c r="I58" s="1849"/>
      <c r="J58" s="1850"/>
      <c r="K58" s="1856"/>
    </row>
    <row r="59" spans="1:11" ht="18" customHeight="1" x14ac:dyDescent="0.25">
      <c r="A59" s="163"/>
      <c r="B59" s="1855"/>
      <c r="C59" s="1857"/>
      <c r="D59" s="1851" t="s">
        <v>1327</v>
      </c>
      <c r="E59" s="1849"/>
      <c r="F59" s="1849"/>
      <c r="G59" s="1849"/>
      <c r="H59" s="1849"/>
      <c r="I59" s="1849"/>
      <c r="J59" s="1850"/>
      <c r="K59" s="1856"/>
    </row>
    <row r="60" spans="1:11" ht="18" customHeight="1" x14ac:dyDescent="0.25">
      <c r="A60" s="14"/>
      <c r="B60" s="1147"/>
      <c r="C60" s="1857"/>
      <c r="D60" s="1852" t="s">
        <v>677</v>
      </c>
      <c r="E60" s="1849"/>
      <c r="F60" s="1849"/>
      <c r="G60" s="1849"/>
      <c r="H60" s="1849"/>
      <c r="I60" s="1849"/>
      <c r="J60" s="1850"/>
      <c r="K60" s="1684"/>
    </row>
    <row r="61" spans="1:11" ht="18" customHeight="1" x14ac:dyDescent="0.25">
      <c r="A61" s="14"/>
      <c r="B61" s="1147"/>
      <c r="C61" s="1857"/>
      <c r="D61" s="1852" t="s">
        <v>1548</v>
      </c>
      <c r="E61" s="1849"/>
      <c r="F61" s="1849"/>
      <c r="G61" s="1849"/>
      <c r="H61" s="1849"/>
      <c r="I61" s="1849"/>
      <c r="J61" s="1850"/>
      <c r="K61" s="1684"/>
    </row>
    <row r="62" spans="1:11" ht="18" customHeight="1" x14ac:dyDescent="0.25">
      <c r="A62" s="14"/>
      <c r="B62" s="1147"/>
      <c r="C62" s="1857"/>
      <c r="D62" s="1852" t="s">
        <v>1328</v>
      </c>
      <c r="E62" s="1849"/>
      <c r="F62" s="1849"/>
      <c r="G62" s="1849"/>
      <c r="H62" s="1849"/>
      <c r="I62" s="1849"/>
      <c r="J62" s="1850"/>
      <c r="K62" s="1684"/>
    </row>
    <row r="63" spans="1:11" ht="18" customHeight="1" x14ac:dyDescent="0.25">
      <c r="A63" s="14"/>
      <c r="B63" s="1147"/>
      <c r="C63" s="1857"/>
      <c r="D63" s="1852" t="s">
        <v>1329</v>
      </c>
      <c r="E63" s="1849"/>
      <c r="F63" s="1849"/>
      <c r="G63" s="1849"/>
      <c r="H63" s="1849"/>
      <c r="I63" s="1849"/>
      <c r="J63" s="1850"/>
      <c r="K63" s="1684"/>
    </row>
    <row r="64" spans="1:11" ht="18" customHeight="1" x14ac:dyDescent="0.25">
      <c r="A64" s="14"/>
      <c r="B64" s="1147"/>
      <c r="C64" s="1857"/>
      <c r="D64" s="1852" t="s">
        <v>1330</v>
      </c>
      <c r="E64" s="1849"/>
      <c r="F64" s="1849"/>
      <c r="G64" s="1849"/>
      <c r="H64" s="1849"/>
      <c r="I64" s="1849"/>
      <c r="J64" s="1850"/>
      <c r="K64" s="1684"/>
    </row>
    <row r="65" spans="1:11" ht="18" customHeight="1" x14ac:dyDescent="0.25">
      <c r="A65" s="14"/>
      <c r="B65" s="1147"/>
      <c r="C65" s="1857"/>
      <c r="D65" s="1852"/>
      <c r="E65" s="1849"/>
      <c r="F65" s="1849"/>
      <c r="G65" s="1849"/>
      <c r="H65" s="1849"/>
      <c r="I65" s="1849"/>
      <c r="J65" s="1850"/>
      <c r="K65" s="1684"/>
    </row>
    <row r="66" spans="1:11" ht="18" customHeight="1" x14ac:dyDescent="0.25">
      <c r="A66" s="14"/>
      <c r="B66" s="1147"/>
      <c r="C66" s="1857"/>
      <c r="D66" s="1851" t="s">
        <v>1286</v>
      </c>
      <c r="E66" s="1849"/>
      <c r="F66" s="2225" t="s">
        <v>1546</v>
      </c>
      <c r="G66" s="2226"/>
      <c r="H66" s="2226"/>
      <c r="I66" s="2226"/>
      <c r="J66" s="1850"/>
      <c r="K66" s="1684"/>
    </row>
    <row r="67" spans="1:11" ht="18" customHeight="1" x14ac:dyDescent="0.25">
      <c r="A67" s="14"/>
      <c r="B67" s="1147"/>
      <c r="C67" s="1857"/>
      <c r="D67" s="1851"/>
      <c r="E67" s="1849"/>
      <c r="F67" s="2225"/>
      <c r="G67" s="2226"/>
      <c r="H67" s="2226"/>
      <c r="I67" s="2226"/>
      <c r="J67" s="1850"/>
      <c r="K67" s="1684"/>
    </row>
    <row r="68" spans="1:11" ht="18" customHeight="1" x14ac:dyDescent="0.25">
      <c r="A68" s="14"/>
      <c r="B68" s="1147"/>
      <c r="C68" s="1857"/>
      <c r="D68" s="1851"/>
      <c r="E68" s="1849"/>
      <c r="F68" s="2225"/>
      <c r="G68" s="2226"/>
      <c r="H68" s="2226"/>
      <c r="I68" s="2226"/>
      <c r="J68" s="1850"/>
      <c r="K68" s="1684"/>
    </row>
    <row r="69" spans="1:11" ht="18" customHeight="1" x14ac:dyDescent="0.25">
      <c r="A69" s="14"/>
      <c r="B69" s="1147"/>
      <c r="C69" s="1847"/>
      <c r="D69" s="1825"/>
      <c r="E69" s="1849"/>
      <c r="F69" s="1849"/>
      <c r="G69" s="1849"/>
      <c r="H69" s="1849"/>
      <c r="I69" s="1849"/>
      <c r="J69" s="1850"/>
      <c r="K69" s="1684"/>
    </row>
    <row r="70" spans="1:11" ht="18" customHeight="1" x14ac:dyDescent="0.2">
      <c r="A70" s="14"/>
      <c r="B70" s="1147"/>
      <c r="C70" s="1847"/>
      <c r="D70" s="1851" t="s">
        <v>1491</v>
      </c>
      <c r="E70" s="1849"/>
      <c r="F70" s="1849"/>
      <c r="G70" s="1849"/>
      <c r="H70" s="1679" t="s">
        <v>1547</v>
      </c>
      <c r="I70" s="1849"/>
      <c r="J70" s="1850"/>
      <c r="K70" s="1684"/>
    </row>
    <row r="71" spans="1:11" ht="18" customHeight="1" x14ac:dyDescent="0.25">
      <c r="A71" s="14"/>
      <c r="B71" s="1147"/>
      <c r="C71" s="1847"/>
      <c r="D71" s="1825"/>
      <c r="E71" s="1849"/>
      <c r="F71" s="1849"/>
      <c r="G71" s="1849"/>
      <c r="H71" s="1849"/>
      <c r="I71" s="1849"/>
      <c r="J71" s="1850"/>
      <c r="K71" s="1684"/>
    </row>
    <row r="72" spans="1:11" ht="18" customHeight="1" x14ac:dyDescent="0.25">
      <c r="A72" s="14"/>
      <c r="B72" s="1147"/>
      <c r="C72" s="1858"/>
      <c r="D72" s="1859"/>
      <c r="E72" s="1849"/>
      <c r="F72" s="1849"/>
      <c r="G72" s="1849"/>
      <c r="H72" s="1849"/>
      <c r="I72" s="1849"/>
      <c r="J72" s="1850"/>
      <c r="K72" s="1684"/>
    </row>
    <row r="73" spans="1:11" ht="18" customHeight="1" x14ac:dyDescent="0.25">
      <c r="A73" s="14"/>
      <c r="B73" s="1147"/>
      <c r="C73" s="1858"/>
      <c r="D73" s="1859" t="s">
        <v>1492</v>
      </c>
      <c r="E73" s="1849"/>
      <c r="F73" s="1849"/>
      <c r="G73" s="1849"/>
      <c r="H73" s="1849"/>
      <c r="I73" s="1849"/>
      <c r="J73" s="1850"/>
      <c r="K73" s="1684"/>
    </row>
    <row r="74" spans="1:11" ht="18" customHeight="1" x14ac:dyDescent="0.2">
      <c r="A74" s="14"/>
      <c r="B74" s="1147"/>
      <c r="C74" s="1860"/>
      <c r="D74" s="1861"/>
      <c r="E74" s="1862"/>
      <c r="F74" s="1862"/>
      <c r="G74" s="1862"/>
      <c r="H74" s="1862"/>
      <c r="I74" s="1862"/>
      <c r="J74" s="1863"/>
      <c r="K74" s="1684"/>
    </row>
    <row r="75" spans="1:11" ht="18" customHeight="1" x14ac:dyDescent="0.3">
      <c r="A75" s="14"/>
      <c r="B75" s="1147"/>
      <c r="C75" s="938"/>
      <c r="D75" s="1864"/>
      <c r="E75" s="1849"/>
      <c r="F75" s="1849"/>
      <c r="G75" s="1849"/>
      <c r="H75" s="1849"/>
      <c r="I75" s="1849"/>
      <c r="J75" s="1849"/>
      <c r="K75" s="1684"/>
    </row>
    <row r="76" spans="1:11" ht="18" customHeight="1" x14ac:dyDescent="0.2">
      <c r="A76" s="14"/>
      <c r="B76" s="1147"/>
      <c r="C76" s="2236" t="s">
        <v>1258</v>
      </c>
      <c r="D76" s="2236"/>
      <c r="E76" s="1865"/>
      <c r="F76" s="1865"/>
      <c r="G76" s="1865"/>
      <c r="H76" s="1865"/>
      <c r="I76" s="1865"/>
      <c r="J76" s="1865"/>
      <c r="K76" s="1684"/>
    </row>
    <row r="77" spans="1:11" ht="18" customHeight="1" x14ac:dyDescent="0.2">
      <c r="A77" s="14"/>
      <c r="B77" s="1147"/>
      <c r="C77" s="1866"/>
      <c r="D77" s="1867"/>
      <c r="E77" s="1867"/>
      <c r="F77" s="1867"/>
      <c r="G77" s="1867"/>
      <c r="H77" s="1867"/>
      <c r="I77" s="1867"/>
      <c r="J77" s="1868"/>
      <c r="K77" s="1684"/>
    </row>
    <row r="78" spans="1:11" ht="18" customHeight="1" x14ac:dyDescent="0.2">
      <c r="A78" s="14"/>
      <c r="B78" s="1147"/>
      <c r="C78" s="1869"/>
      <c r="D78" s="2237" t="s">
        <v>1331</v>
      </c>
      <c r="E78" s="2238"/>
      <c r="F78" s="2238"/>
      <c r="G78" s="2238"/>
      <c r="H78" s="2238"/>
      <c r="I78" s="2238"/>
      <c r="J78" s="1870"/>
      <c r="K78" s="1684"/>
    </row>
    <row r="79" spans="1:11" ht="18" customHeight="1" x14ac:dyDescent="0.2">
      <c r="A79" s="14"/>
      <c r="B79" s="1147"/>
      <c r="C79" s="1869"/>
      <c r="D79" s="2237"/>
      <c r="E79" s="2238"/>
      <c r="F79" s="2238"/>
      <c r="G79" s="2238"/>
      <c r="H79" s="2238"/>
      <c r="I79" s="2238"/>
      <c r="J79" s="1870"/>
      <c r="K79" s="1684"/>
    </row>
    <row r="80" spans="1:11" ht="18" customHeight="1" x14ac:dyDescent="0.2">
      <c r="A80" s="14"/>
      <c r="B80" s="1147"/>
      <c r="C80" s="1869"/>
      <c r="D80" s="2237"/>
      <c r="E80" s="2238"/>
      <c r="F80" s="2238"/>
      <c r="G80" s="2238"/>
      <c r="H80" s="2238"/>
      <c r="I80" s="2238"/>
      <c r="J80" s="1870"/>
      <c r="K80" s="1684"/>
    </row>
    <row r="81" spans="1:11" ht="18" customHeight="1" x14ac:dyDescent="0.2">
      <c r="A81" s="14"/>
      <c r="B81" s="1147"/>
      <c r="C81" s="1871"/>
      <c r="D81" s="1102"/>
      <c r="E81" s="1102"/>
      <c r="F81" s="1102"/>
      <c r="G81" s="1102"/>
      <c r="H81" s="1102"/>
      <c r="I81" s="1102"/>
      <c r="J81" s="1870"/>
      <c r="K81" s="1684"/>
    </row>
    <row r="82" spans="1:11" ht="18" customHeight="1" x14ac:dyDescent="0.2">
      <c r="A82" s="14"/>
      <c r="B82" s="1147"/>
      <c r="C82" s="1869"/>
      <c r="D82" s="2239" t="s">
        <v>676</v>
      </c>
      <c r="E82" s="2240"/>
      <c r="F82" s="2240"/>
      <c r="G82" s="2240"/>
      <c r="H82" s="2240"/>
      <c r="I82" s="2240"/>
      <c r="J82" s="1870"/>
      <c r="K82" s="1684"/>
    </row>
    <row r="83" spans="1:11" ht="18" customHeight="1" x14ac:dyDescent="0.2">
      <c r="A83" s="14"/>
      <c r="B83" s="1147"/>
      <c r="C83" s="1871"/>
      <c r="D83" s="2239"/>
      <c r="E83" s="2240"/>
      <c r="F83" s="2240"/>
      <c r="G83" s="2240"/>
      <c r="H83" s="2240"/>
      <c r="I83" s="2240"/>
      <c r="J83" s="1870"/>
      <c r="K83" s="1684"/>
    </row>
    <row r="84" spans="1:11" ht="18" customHeight="1" x14ac:dyDescent="0.2">
      <c r="A84" s="14"/>
      <c r="B84" s="1147"/>
      <c r="C84" s="1871"/>
      <c r="D84" s="2239"/>
      <c r="E84" s="2240"/>
      <c r="F84" s="2240"/>
      <c r="G84" s="2240"/>
      <c r="H84" s="2240"/>
      <c r="I84" s="2240"/>
      <c r="J84" s="1870"/>
      <c r="K84" s="1684"/>
    </row>
    <row r="85" spans="1:11" ht="18" customHeight="1" x14ac:dyDescent="0.2">
      <c r="A85" s="14"/>
      <c r="B85" s="1147"/>
      <c r="C85" s="1871"/>
      <c r="D85" s="1852"/>
      <c r="E85" s="1852"/>
      <c r="F85" s="1852"/>
      <c r="G85" s="1852"/>
      <c r="H85" s="1852"/>
      <c r="I85" s="1852"/>
      <c r="J85" s="1870"/>
      <c r="K85" s="1684"/>
    </row>
    <row r="86" spans="1:11" ht="18" customHeight="1" x14ac:dyDescent="0.2">
      <c r="A86" s="14"/>
      <c r="B86" s="1147"/>
      <c r="C86" s="1871"/>
      <c r="D86" s="2239" t="s">
        <v>1761</v>
      </c>
      <c r="E86" s="2240"/>
      <c r="F86" s="2240"/>
      <c r="G86" s="2240"/>
      <c r="H86" s="2240"/>
      <c r="I86" s="2240"/>
      <c r="J86" s="1870"/>
      <c r="K86" s="1684"/>
    </row>
    <row r="87" spans="1:11" ht="18" customHeight="1" x14ac:dyDescent="0.2">
      <c r="A87" s="14"/>
      <c r="B87" s="1147"/>
      <c r="C87" s="1871"/>
      <c r="D87" s="2239"/>
      <c r="E87" s="2240"/>
      <c r="F87" s="2240"/>
      <c r="G87" s="2240"/>
      <c r="H87" s="2240"/>
      <c r="I87" s="2240"/>
      <c r="J87" s="1870"/>
      <c r="K87" s="1684"/>
    </row>
    <row r="88" spans="1:11" ht="18" customHeight="1" x14ac:dyDescent="0.2">
      <c r="A88" s="14"/>
      <c r="B88" s="1147"/>
      <c r="C88" s="1871"/>
      <c r="D88" s="2239"/>
      <c r="E88" s="2240"/>
      <c r="F88" s="2240"/>
      <c r="G88" s="2240"/>
      <c r="H88" s="2240"/>
      <c r="I88" s="2240"/>
      <c r="J88" s="1870"/>
      <c r="K88" s="1684"/>
    </row>
    <row r="89" spans="1:11" ht="18" customHeight="1" x14ac:dyDescent="0.2">
      <c r="A89" s="14"/>
      <c r="B89" s="1147"/>
      <c r="C89" s="1872"/>
      <c r="D89" s="2233"/>
      <c r="E89" s="2233"/>
      <c r="F89" s="2233"/>
      <c r="G89" s="2233"/>
      <c r="H89" s="2233"/>
      <c r="I89" s="2233"/>
      <c r="J89" s="2234"/>
      <c r="K89" s="1684"/>
    </row>
    <row r="90" spans="1:11" ht="18" customHeight="1" x14ac:dyDescent="0.2">
      <c r="A90" s="14"/>
      <c r="B90" s="1147"/>
      <c r="C90" s="1873"/>
      <c r="D90" s="1849"/>
      <c r="E90" s="1849"/>
      <c r="F90" s="1849"/>
      <c r="G90" s="1849"/>
      <c r="H90" s="1849"/>
      <c r="I90" s="1849"/>
      <c r="J90" s="1849"/>
      <c r="K90" s="1684"/>
    </row>
    <row r="91" spans="1:11" ht="18" customHeight="1" x14ac:dyDescent="0.2">
      <c r="A91" s="14"/>
      <c r="B91" s="1147"/>
      <c r="C91" s="1874" t="s">
        <v>1332</v>
      </c>
      <c r="D91" s="1874"/>
      <c r="E91" s="1875"/>
      <c r="F91" s="1875"/>
      <c r="G91" s="1876"/>
      <c r="H91" s="1876"/>
      <c r="I91" s="1876"/>
      <c r="J91" s="1876"/>
      <c r="K91" s="1684"/>
    </row>
    <row r="92" spans="1:11" ht="18" customHeight="1" x14ac:dyDescent="0.2">
      <c r="A92" s="14"/>
      <c r="B92" s="1147"/>
      <c r="C92" s="1877"/>
      <c r="D92" s="1878"/>
      <c r="E92" s="1878"/>
      <c r="F92" s="1878"/>
      <c r="G92" s="1878"/>
      <c r="H92" s="1878"/>
      <c r="I92" s="1878"/>
      <c r="J92" s="1879"/>
      <c r="K92" s="1684"/>
    </row>
    <row r="93" spans="1:11" ht="18" customHeight="1" x14ac:dyDescent="0.2">
      <c r="A93" s="14"/>
      <c r="B93" s="1147"/>
      <c r="C93" s="1880"/>
      <c r="D93" s="2224" t="s">
        <v>1334</v>
      </c>
      <c r="E93" s="2224"/>
      <c r="F93" s="2224"/>
      <c r="G93" s="2224"/>
      <c r="H93" s="2224"/>
      <c r="I93" s="2224"/>
      <c r="J93" s="1881"/>
      <c r="K93" s="1684"/>
    </row>
    <row r="94" spans="1:11" ht="18" customHeight="1" x14ac:dyDescent="0.2">
      <c r="A94" s="14"/>
      <c r="B94" s="1147"/>
      <c r="C94" s="1880"/>
      <c r="D94" s="2224"/>
      <c r="E94" s="2224"/>
      <c r="F94" s="2224"/>
      <c r="G94" s="2224"/>
      <c r="H94" s="2224"/>
      <c r="I94" s="2224"/>
      <c r="J94" s="1881"/>
      <c r="K94" s="1684"/>
    </row>
    <row r="95" spans="1:11" ht="18" customHeight="1" x14ac:dyDescent="0.2">
      <c r="A95" s="14"/>
      <c r="B95" s="1147"/>
      <c r="C95" s="1880"/>
      <c r="D95" s="1102"/>
      <c r="E95" s="1849"/>
      <c r="F95" s="1849"/>
      <c r="G95" s="1849"/>
      <c r="H95" s="1849"/>
      <c r="I95" s="1849"/>
      <c r="J95" s="1881"/>
      <c r="K95" s="1684"/>
    </row>
    <row r="96" spans="1:11" ht="18" customHeight="1" x14ac:dyDescent="0.2">
      <c r="A96" s="14"/>
      <c r="B96" s="1147"/>
      <c r="C96" s="1880"/>
      <c r="D96" s="1882" t="s">
        <v>1333</v>
      </c>
      <c r="E96" s="1849"/>
      <c r="F96" s="1849"/>
      <c r="G96" s="1849"/>
      <c r="H96" s="1849"/>
      <c r="I96" s="1849"/>
      <c r="J96" s="1881"/>
      <c r="K96" s="1684"/>
    </row>
    <row r="97" spans="1:11" ht="18" customHeight="1" x14ac:dyDescent="0.2">
      <c r="A97" s="14"/>
      <c r="B97" s="1147"/>
      <c r="C97" s="1880"/>
      <c r="D97" s="1882"/>
      <c r="E97" s="1849"/>
      <c r="F97" s="1849"/>
      <c r="G97" s="1849"/>
      <c r="H97" s="1849"/>
      <c r="I97" s="1849"/>
      <c r="J97" s="1881"/>
      <c r="K97" s="1684"/>
    </row>
    <row r="98" spans="1:11" ht="18" customHeight="1" x14ac:dyDescent="0.2">
      <c r="A98" s="14"/>
      <c r="B98" s="1147"/>
      <c r="C98" s="1880"/>
      <c r="D98" s="1882" t="s">
        <v>1335</v>
      </c>
      <c r="E98" s="1849"/>
      <c r="F98" s="1849"/>
      <c r="G98" s="1849"/>
      <c r="H98" s="1849"/>
      <c r="I98" s="1849"/>
      <c r="J98" s="1881"/>
      <c r="K98" s="1684"/>
    </row>
    <row r="99" spans="1:11" ht="18" customHeight="1" x14ac:dyDescent="0.2">
      <c r="A99" s="14"/>
      <c r="B99" s="1147"/>
      <c r="C99" s="1880"/>
      <c r="D99" s="1882"/>
      <c r="E99" s="1849"/>
      <c r="F99" s="1849"/>
      <c r="G99" s="1849"/>
      <c r="H99" s="1849"/>
      <c r="I99" s="1849"/>
      <c r="J99" s="1881"/>
      <c r="K99" s="1684"/>
    </row>
    <row r="100" spans="1:11" ht="18" customHeight="1" x14ac:dyDescent="0.2">
      <c r="A100" s="14"/>
      <c r="B100" s="1147"/>
      <c r="C100" s="1880"/>
      <c r="D100" s="1883" t="s">
        <v>1274</v>
      </c>
      <c r="E100" s="1883"/>
      <c r="F100" s="1883"/>
      <c r="G100" s="1883"/>
      <c r="H100" s="1883"/>
      <c r="I100" s="1883"/>
      <c r="J100" s="1881"/>
      <c r="K100" s="1684"/>
    </row>
    <row r="101" spans="1:11" ht="18" customHeight="1" x14ac:dyDescent="0.2">
      <c r="A101" s="14"/>
      <c r="B101" s="1147"/>
      <c r="C101" s="1880"/>
      <c r="D101" s="1883"/>
      <c r="E101" s="1883"/>
      <c r="F101" s="1883"/>
      <c r="G101" s="1883"/>
      <c r="H101" s="1883"/>
      <c r="I101" s="1883"/>
      <c r="J101" s="1881"/>
      <c r="K101" s="1684"/>
    </row>
    <row r="102" spans="1:11" ht="18" customHeight="1" x14ac:dyDescent="0.2">
      <c r="A102" s="14"/>
      <c r="B102" s="1147"/>
      <c r="C102" s="1880"/>
      <c r="D102" s="1882" t="s">
        <v>1273</v>
      </c>
      <c r="E102" s="1849"/>
      <c r="F102" s="1849"/>
      <c r="G102" s="1849"/>
      <c r="H102" s="1849"/>
      <c r="I102" s="1849"/>
      <c r="J102" s="1881"/>
      <c r="K102" s="1684"/>
    </row>
    <row r="103" spans="1:11" ht="18" customHeight="1" x14ac:dyDescent="0.2">
      <c r="A103" s="14"/>
      <c r="B103" s="1147"/>
      <c r="C103" s="1884"/>
      <c r="D103" s="1885"/>
      <c r="E103" s="1885"/>
      <c r="F103" s="1885"/>
      <c r="G103" s="1885"/>
      <c r="H103" s="1885"/>
      <c r="I103" s="1885"/>
      <c r="J103" s="1886"/>
      <c r="K103" s="1684"/>
    </row>
    <row r="104" spans="1:11" ht="18" customHeight="1" x14ac:dyDescent="0.2">
      <c r="A104" s="14"/>
      <c r="B104" s="1147"/>
      <c r="C104" s="1873"/>
      <c r="D104" s="1849"/>
      <c r="E104" s="1849"/>
      <c r="F104" s="1849"/>
      <c r="G104" s="1849"/>
      <c r="H104" s="1849"/>
      <c r="I104" s="1849"/>
      <c r="J104" s="1849"/>
      <c r="K104" s="1684"/>
    </row>
    <row r="105" spans="1:11" ht="18" customHeight="1" x14ac:dyDescent="0.2">
      <c r="A105" s="14"/>
      <c r="B105" s="1147"/>
      <c r="C105" s="1829" t="s">
        <v>1765</v>
      </c>
      <c r="D105" s="1830"/>
      <c r="E105" s="1830"/>
      <c r="F105" s="1830"/>
      <c r="G105" s="1830"/>
      <c r="H105" s="1830"/>
      <c r="I105" s="1830"/>
      <c r="J105" s="1830"/>
      <c r="K105" s="1684"/>
    </row>
    <row r="106" spans="1:11" ht="18" customHeight="1" x14ac:dyDescent="0.2">
      <c r="A106" s="14"/>
      <c r="B106" s="1147"/>
      <c r="C106" s="1873"/>
      <c r="D106" s="1849"/>
      <c r="E106" s="1849"/>
      <c r="F106" s="1849"/>
      <c r="G106" s="1849"/>
      <c r="H106" s="1849"/>
      <c r="I106" s="1849"/>
      <c r="J106" s="1849"/>
      <c r="K106" s="1684"/>
    </row>
    <row r="107" spans="1:11" ht="18" customHeight="1" x14ac:dyDescent="0.2">
      <c r="A107" s="14"/>
      <c r="B107" s="1147"/>
      <c r="C107" s="1889" t="s">
        <v>1766</v>
      </c>
      <c r="D107" s="1849"/>
      <c r="E107" s="1849"/>
      <c r="F107" s="1849"/>
      <c r="G107" s="1849"/>
      <c r="H107" s="1849"/>
      <c r="I107" s="1849"/>
      <c r="J107" s="1849"/>
      <c r="K107" s="1684"/>
    </row>
    <row r="108" spans="1:11" ht="18" customHeight="1" x14ac:dyDescent="0.2">
      <c r="A108" s="14"/>
      <c r="B108" s="1147"/>
      <c r="C108" s="2222" t="s">
        <v>1795</v>
      </c>
      <c r="D108" s="2222"/>
      <c r="E108" s="2222"/>
      <c r="F108" s="2222"/>
      <c r="G108" s="2222"/>
      <c r="H108" s="2222"/>
      <c r="I108" s="2222"/>
      <c r="J108" s="1849"/>
      <c r="K108" s="1684"/>
    </row>
    <row r="109" spans="1:11" ht="18" customHeight="1" x14ac:dyDescent="0.2">
      <c r="A109" s="14"/>
      <c r="B109" s="1147"/>
      <c r="C109" s="2222"/>
      <c r="D109" s="2222"/>
      <c r="E109" s="2222"/>
      <c r="F109" s="2222"/>
      <c r="G109" s="2222"/>
      <c r="H109" s="2222"/>
      <c r="I109" s="2222"/>
      <c r="J109" s="1849"/>
      <c r="K109" s="1684"/>
    </row>
    <row r="110" spans="1:11" ht="18" customHeight="1" x14ac:dyDescent="0.2">
      <c r="A110" s="14"/>
      <c r="B110" s="1147"/>
      <c r="C110" s="2222"/>
      <c r="D110" s="2222"/>
      <c r="E110" s="2222"/>
      <c r="F110" s="2222"/>
      <c r="G110" s="2222"/>
      <c r="H110" s="2222"/>
      <c r="I110" s="2222"/>
      <c r="J110" s="1849"/>
      <c r="K110" s="1684"/>
    </row>
    <row r="111" spans="1:11" ht="18" customHeight="1" x14ac:dyDescent="0.2">
      <c r="A111" s="14"/>
      <c r="B111" s="1147"/>
      <c r="C111" s="2223" t="s">
        <v>1767</v>
      </c>
      <c r="D111" s="2223"/>
      <c r="E111" s="2223"/>
      <c r="F111" s="2223"/>
      <c r="G111" s="2223"/>
      <c r="H111" s="2223"/>
      <c r="I111" s="2223"/>
      <c r="J111" s="2223"/>
      <c r="K111" s="1684"/>
    </row>
    <row r="112" spans="1:11" ht="18" customHeight="1" x14ac:dyDescent="0.2">
      <c r="A112" s="14"/>
      <c r="B112" s="1147"/>
      <c r="C112" s="2223"/>
      <c r="D112" s="2223"/>
      <c r="E112" s="2223"/>
      <c r="F112" s="2223"/>
      <c r="G112" s="2223"/>
      <c r="H112" s="2223"/>
      <c r="I112" s="2223"/>
      <c r="J112" s="2223"/>
      <c r="K112" s="1684"/>
    </row>
    <row r="113" spans="1:21" ht="18" customHeight="1" x14ac:dyDescent="0.2">
      <c r="A113" s="14"/>
      <c r="B113" s="1147"/>
      <c r="C113" s="2223"/>
      <c r="D113" s="2223"/>
      <c r="E113" s="2223"/>
      <c r="F113" s="2223"/>
      <c r="G113" s="2223"/>
      <c r="H113" s="2223"/>
      <c r="I113" s="2223"/>
      <c r="J113" s="2223"/>
      <c r="K113" s="1684"/>
    </row>
    <row r="114" spans="1:21" ht="18" customHeight="1" x14ac:dyDescent="0.2">
      <c r="A114" s="14"/>
      <c r="B114" s="1147"/>
      <c r="C114" s="1829" t="s">
        <v>1768</v>
      </c>
      <c r="D114" s="1830"/>
      <c r="E114" s="1830"/>
      <c r="F114" s="1830"/>
      <c r="G114" s="1830"/>
      <c r="H114" s="1830"/>
      <c r="I114" s="1830"/>
      <c r="J114" s="1830"/>
      <c r="K114" s="1684"/>
    </row>
    <row r="115" spans="1:21" ht="18" customHeight="1" x14ac:dyDescent="0.2">
      <c r="A115" s="14"/>
      <c r="B115" s="1147"/>
      <c r="C115" s="1873"/>
      <c r="D115" s="1849"/>
      <c r="E115" s="1849"/>
      <c r="F115" s="1849"/>
      <c r="G115" s="1849"/>
      <c r="H115" s="1849"/>
      <c r="I115" s="1849"/>
      <c r="J115" s="1849"/>
      <c r="K115" s="1684"/>
    </row>
    <row r="116" spans="1:21" ht="18" customHeight="1" x14ac:dyDescent="0.2">
      <c r="A116" s="14"/>
      <c r="B116" s="1147"/>
      <c r="C116" s="1849" t="s">
        <v>1785</v>
      </c>
      <c r="D116" s="1849"/>
      <c r="E116" s="1849"/>
      <c r="F116" s="1849"/>
      <c r="G116" s="1849"/>
      <c r="H116" s="1849"/>
      <c r="I116" s="1849"/>
      <c r="J116" s="1849"/>
      <c r="K116" s="1890"/>
      <c r="L116" s="1891"/>
      <c r="M116" s="1891"/>
      <c r="N116" s="1891"/>
      <c r="O116" s="1891"/>
      <c r="P116" s="1891"/>
      <c r="Q116" s="1891"/>
      <c r="R116" s="1891"/>
      <c r="S116" s="1891"/>
      <c r="T116" s="1891"/>
      <c r="U116" s="1891"/>
    </row>
    <row r="117" spans="1:21" ht="18" customHeight="1" x14ac:dyDescent="0.2">
      <c r="A117" s="14"/>
      <c r="B117" s="1147"/>
      <c r="C117" s="1849" t="s">
        <v>1769</v>
      </c>
      <c r="D117" s="1849"/>
      <c r="E117" s="1849"/>
      <c r="F117" s="1849"/>
      <c r="G117" s="1849"/>
      <c r="H117" s="1849"/>
      <c r="I117" s="1849"/>
      <c r="J117" s="1849"/>
      <c r="K117" s="1890"/>
      <c r="L117" s="1891"/>
      <c r="M117" s="1891"/>
      <c r="N117" s="1891"/>
      <c r="O117" s="1891"/>
      <c r="P117" s="1891"/>
      <c r="Q117" s="1891"/>
      <c r="R117" s="1891"/>
      <c r="S117" s="1891"/>
      <c r="T117" s="1891"/>
      <c r="U117" s="1891"/>
    </row>
    <row r="118" spans="1:21" ht="18" customHeight="1" x14ac:dyDescent="0.2">
      <c r="A118" s="14"/>
      <c r="B118" s="1147"/>
      <c r="C118" s="1849"/>
      <c r="D118" s="1849"/>
      <c r="E118" s="1849"/>
      <c r="F118" s="1849"/>
      <c r="G118" s="1849"/>
      <c r="H118" s="1849"/>
      <c r="I118" s="1849"/>
      <c r="J118" s="1849"/>
      <c r="K118" s="1890"/>
      <c r="L118" s="1891"/>
      <c r="M118" s="1891"/>
      <c r="N118" s="1891"/>
      <c r="O118" s="1891"/>
      <c r="P118" s="1891"/>
      <c r="Q118" s="1891"/>
      <c r="R118" s="1891"/>
      <c r="S118" s="1891"/>
      <c r="T118" s="1891"/>
      <c r="U118" s="1891"/>
    </row>
    <row r="119" spans="1:21" ht="18" customHeight="1" x14ac:dyDescent="0.2">
      <c r="A119" s="14"/>
      <c r="B119" s="1147"/>
      <c r="C119" s="2221" t="s">
        <v>1786</v>
      </c>
      <c r="D119" s="2221"/>
      <c r="E119" s="2221"/>
      <c r="F119" s="2221"/>
      <c r="G119" s="2221"/>
      <c r="H119" s="2221"/>
      <c r="I119" s="2221"/>
      <c r="J119" s="1849"/>
      <c r="K119" s="1890"/>
      <c r="L119" s="1891"/>
      <c r="M119" s="1891"/>
      <c r="N119" s="1891"/>
      <c r="O119" s="1891"/>
      <c r="P119" s="1891"/>
      <c r="Q119" s="1891"/>
      <c r="R119" s="1891"/>
      <c r="S119" s="1891"/>
      <c r="T119" s="1891"/>
      <c r="U119" s="1891"/>
    </row>
    <row r="120" spans="1:21" ht="18" customHeight="1" x14ac:dyDescent="0.2">
      <c r="A120" s="14"/>
      <c r="B120" s="1147"/>
      <c r="C120" s="2221"/>
      <c r="D120" s="2221"/>
      <c r="E120" s="2221"/>
      <c r="F120" s="2221"/>
      <c r="G120" s="2221"/>
      <c r="H120" s="2221"/>
      <c r="I120" s="2221"/>
      <c r="J120" s="1849"/>
      <c r="K120" s="1890"/>
      <c r="L120" s="1891"/>
      <c r="M120" s="1891"/>
      <c r="N120" s="1891"/>
      <c r="O120" s="1891"/>
      <c r="P120" s="1891"/>
      <c r="Q120" s="1891"/>
      <c r="R120" s="1891"/>
      <c r="S120" s="1891"/>
      <c r="T120" s="1891"/>
      <c r="U120" s="1891"/>
    </row>
    <row r="121" spans="1:21" ht="18" customHeight="1" x14ac:dyDescent="0.2">
      <c r="A121" s="14"/>
      <c r="B121" s="1147"/>
      <c r="C121" s="1398" t="s">
        <v>1787</v>
      </c>
      <c r="D121" s="1849"/>
      <c r="E121" s="1849"/>
      <c r="F121" s="1849"/>
      <c r="G121" s="1849"/>
      <c r="H121" s="1849"/>
      <c r="I121" s="1849"/>
      <c r="J121" s="1849"/>
      <c r="K121" s="1890"/>
      <c r="L121" s="1891"/>
      <c r="M121" s="1891"/>
      <c r="N121" s="1891"/>
      <c r="O121" s="1891"/>
      <c r="P121" s="1891"/>
      <c r="Q121" s="1891"/>
      <c r="R121" s="1891"/>
      <c r="S121" s="1891"/>
      <c r="T121" s="1891"/>
      <c r="U121" s="1891"/>
    </row>
    <row r="122" spans="1:21" ht="18" customHeight="1" x14ac:dyDescent="0.2">
      <c r="A122" s="14"/>
      <c r="B122" s="1147"/>
      <c r="C122" s="1893" t="s">
        <v>1770</v>
      </c>
      <c r="D122" s="184"/>
      <c r="E122" s="1849"/>
      <c r="F122" s="1849"/>
      <c r="G122" s="1849"/>
      <c r="H122" s="1849"/>
      <c r="I122" s="1849"/>
      <c r="J122" s="1849"/>
      <c r="K122" s="1890"/>
      <c r="L122" s="1891"/>
      <c r="M122" s="1891"/>
      <c r="N122" s="1891"/>
      <c r="O122" s="1891"/>
      <c r="P122" s="1891"/>
      <c r="Q122" s="1891"/>
      <c r="R122" s="1891"/>
      <c r="S122" s="1891"/>
      <c r="T122" s="1891"/>
      <c r="U122" s="1891"/>
    </row>
    <row r="123" spans="1:21" ht="18" customHeight="1" x14ac:dyDescent="0.2">
      <c r="A123" s="14"/>
      <c r="B123" s="1147"/>
      <c r="C123" s="1893" t="s">
        <v>1771</v>
      </c>
      <c r="D123" s="184"/>
      <c r="E123" s="1849"/>
      <c r="F123" s="1849"/>
      <c r="G123" s="1849"/>
      <c r="H123" s="1849"/>
      <c r="I123" s="1849"/>
      <c r="J123" s="1849"/>
      <c r="K123" s="1890"/>
      <c r="L123" s="1891"/>
      <c r="M123" s="1891"/>
      <c r="N123" s="1891"/>
      <c r="O123" s="1891"/>
      <c r="P123" s="1891"/>
      <c r="Q123" s="1891"/>
      <c r="R123" s="1891"/>
      <c r="S123" s="1891"/>
      <c r="T123" s="1891"/>
      <c r="U123" s="1891"/>
    </row>
    <row r="124" spans="1:21" ht="18" customHeight="1" x14ac:dyDescent="0.2">
      <c r="A124" s="14"/>
      <c r="B124" s="1147"/>
      <c r="C124" s="1893" t="s">
        <v>1773</v>
      </c>
      <c r="D124" s="184"/>
      <c r="E124" s="1849"/>
      <c r="F124" s="1849"/>
      <c r="G124" s="1849"/>
      <c r="H124" s="1849"/>
      <c r="I124" s="1849"/>
      <c r="J124" s="1849"/>
      <c r="K124" s="1890"/>
      <c r="L124" s="1891"/>
      <c r="M124" s="1891"/>
      <c r="N124" s="1891"/>
      <c r="O124" s="1891"/>
      <c r="P124" s="1891"/>
      <c r="Q124" s="1891"/>
      <c r="R124" s="1891"/>
      <c r="S124" s="1891"/>
      <c r="T124" s="1891"/>
      <c r="U124" s="1891"/>
    </row>
    <row r="125" spans="1:21" ht="18" customHeight="1" x14ac:dyDescent="0.2">
      <c r="A125" s="14"/>
      <c r="B125" s="1147"/>
      <c r="C125" s="1893" t="s">
        <v>1772</v>
      </c>
      <c r="D125" s="184"/>
      <c r="E125" s="1849"/>
      <c r="F125" s="1849"/>
      <c r="G125" s="1849"/>
      <c r="H125" s="1849"/>
      <c r="I125" s="1849"/>
      <c r="J125" s="1849"/>
      <c r="K125" s="1890"/>
      <c r="L125" s="1891"/>
      <c r="M125" s="1891"/>
      <c r="N125" s="1891"/>
      <c r="O125" s="1891"/>
      <c r="P125" s="1891"/>
      <c r="Q125" s="1891"/>
      <c r="R125" s="1891"/>
      <c r="S125" s="1891"/>
      <c r="T125" s="1891"/>
      <c r="U125" s="1891"/>
    </row>
    <row r="126" spans="1:21" ht="18" customHeight="1" x14ac:dyDescent="0.2">
      <c r="A126" s="14"/>
      <c r="B126" s="1147"/>
      <c r="C126" s="2221" t="s">
        <v>1788</v>
      </c>
      <c r="D126" s="2221"/>
      <c r="E126" s="2221"/>
      <c r="F126" s="2221"/>
      <c r="G126" s="2221"/>
      <c r="H126" s="2221"/>
      <c r="I126" s="2221"/>
      <c r="J126" s="2221"/>
      <c r="K126" s="1890"/>
      <c r="L126" s="1891"/>
      <c r="M126" s="1891"/>
      <c r="N126" s="1891"/>
      <c r="O126" s="1891"/>
      <c r="P126" s="1891"/>
      <c r="Q126" s="1891"/>
      <c r="R126" s="1891"/>
      <c r="S126" s="1891"/>
      <c r="T126" s="1891"/>
      <c r="U126" s="1891"/>
    </row>
    <row r="127" spans="1:21" ht="18" customHeight="1" x14ac:dyDescent="0.2">
      <c r="A127" s="14"/>
      <c r="B127" s="1147"/>
      <c r="C127" s="2221"/>
      <c r="D127" s="2221"/>
      <c r="E127" s="2221"/>
      <c r="F127" s="2221"/>
      <c r="G127" s="2221"/>
      <c r="H127" s="2221"/>
      <c r="I127" s="2221"/>
      <c r="J127" s="2221"/>
      <c r="K127" s="1890"/>
      <c r="L127" s="1891"/>
      <c r="M127" s="1891"/>
      <c r="N127" s="1891"/>
      <c r="O127" s="1891"/>
      <c r="P127" s="1891"/>
      <c r="Q127" s="1891"/>
      <c r="R127" s="1891"/>
      <c r="S127" s="1891"/>
      <c r="T127" s="1891"/>
      <c r="U127" s="1891"/>
    </row>
    <row r="128" spans="1:21" ht="18" customHeight="1" x14ac:dyDescent="0.2">
      <c r="A128" s="14"/>
      <c r="B128" s="1147"/>
      <c r="C128" s="2221" t="s">
        <v>1789</v>
      </c>
      <c r="D128" s="2221"/>
      <c r="E128" s="2221"/>
      <c r="F128" s="2221"/>
      <c r="G128" s="2221"/>
      <c r="H128" s="2221"/>
      <c r="I128" s="2221"/>
      <c r="J128" s="2221"/>
      <c r="K128" s="1890"/>
      <c r="L128" s="1891"/>
      <c r="M128" s="1891"/>
      <c r="N128" s="1891"/>
      <c r="O128" s="1891"/>
      <c r="P128" s="1891"/>
      <c r="Q128" s="1891"/>
      <c r="R128" s="1891"/>
      <c r="S128" s="1891"/>
      <c r="T128" s="1891"/>
      <c r="U128" s="1891"/>
    </row>
    <row r="129" spans="1:21" ht="18" customHeight="1" x14ac:dyDescent="0.2">
      <c r="A129" s="14"/>
      <c r="B129" s="1147"/>
      <c r="C129" s="2221"/>
      <c r="D129" s="2221"/>
      <c r="E129" s="2221"/>
      <c r="F129" s="2221"/>
      <c r="G129" s="2221"/>
      <c r="H129" s="2221"/>
      <c r="I129" s="2221"/>
      <c r="J129" s="2221"/>
      <c r="K129" s="1890"/>
      <c r="L129" s="1891"/>
      <c r="M129" s="1891"/>
      <c r="N129" s="1891"/>
      <c r="O129" s="1891"/>
      <c r="P129" s="1891"/>
      <c r="Q129" s="1891"/>
      <c r="R129" s="1891"/>
      <c r="S129" s="1891"/>
      <c r="T129" s="1891"/>
      <c r="U129" s="1891"/>
    </row>
    <row r="130" spans="1:21" ht="18" customHeight="1" x14ac:dyDescent="0.2">
      <c r="A130" s="14"/>
      <c r="B130" s="1147"/>
      <c r="C130" s="1398" t="s">
        <v>1790</v>
      </c>
      <c r="D130" s="1849"/>
      <c r="E130" s="1849"/>
      <c r="F130" s="1849"/>
      <c r="G130" s="1849"/>
      <c r="H130" s="1849"/>
      <c r="I130" s="1849"/>
      <c r="J130" s="1849"/>
      <c r="K130" s="1890"/>
      <c r="L130" s="1891"/>
      <c r="M130" s="1891"/>
      <c r="N130" s="1891"/>
      <c r="O130" s="1891"/>
      <c r="P130" s="1891"/>
      <c r="Q130" s="1891"/>
      <c r="R130" s="1891"/>
      <c r="S130" s="1891"/>
      <c r="T130" s="1891"/>
      <c r="U130" s="1891"/>
    </row>
    <row r="131" spans="1:21" ht="18" customHeight="1" x14ac:dyDescent="0.2">
      <c r="A131" s="14"/>
      <c r="B131" s="1147"/>
      <c r="C131" s="2221" t="s">
        <v>1791</v>
      </c>
      <c r="D131" s="2221"/>
      <c r="E131" s="2221"/>
      <c r="F131" s="2221"/>
      <c r="G131" s="2221"/>
      <c r="H131" s="2221"/>
      <c r="I131" s="2221"/>
      <c r="J131" s="2221"/>
      <c r="K131" s="1890"/>
      <c r="L131" s="1891"/>
      <c r="M131" s="1891"/>
      <c r="N131" s="1891"/>
      <c r="O131" s="1891"/>
      <c r="P131" s="1891"/>
      <c r="Q131" s="1891"/>
      <c r="R131" s="1891"/>
      <c r="S131" s="1891"/>
      <c r="T131" s="1891"/>
      <c r="U131" s="1891"/>
    </row>
    <row r="132" spans="1:21" ht="18" customHeight="1" x14ac:dyDescent="0.2">
      <c r="A132" s="14"/>
      <c r="B132" s="1147"/>
      <c r="C132" s="2221"/>
      <c r="D132" s="2221"/>
      <c r="E132" s="2221"/>
      <c r="F132" s="2221"/>
      <c r="G132" s="2221"/>
      <c r="H132" s="2221"/>
      <c r="I132" s="2221"/>
      <c r="J132" s="2221"/>
      <c r="K132" s="1890"/>
      <c r="L132" s="1891"/>
      <c r="M132" s="1891"/>
      <c r="N132" s="1891"/>
      <c r="O132" s="1891"/>
      <c r="P132" s="1891"/>
      <c r="Q132" s="1891"/>
      <c r="R132" s="1891"/>
      <c r="S132" s="1891"/>
      <c r="T132" s="1891"/>
      <c r="U132" s="1891"/>
    </row>
    <row r="133" spans="1:21" ht="19.5" customHeight="1" x14ac:dyDescent="0.2">
      <c r="A133" s="14"/>
      <c r="B133" s="1147"/>
      <c r="C133" s="2221" t="s">
        <v>1792</v>
      </c>
      <c r="D133" s="2221"/>
      <c r="E133" s="2221"/>
      <c r="F133" s="2221"/>
      <c r="G133" s="2221"/>
      <c r="H133" s="2221"/>
      <c r="I133" s="2221"/>
      <c r="J133" s="2221"/>
      <c r="K133" s="1890"/>
      <c r="L133" s="1891"/>
      <c r="M133" s="1891"/>
      <c r="N133" s="1891"/>
      <c r="O133" s="1891"/>
      <c r="P133" s="1891"/>
      <c r="Q133" s="1891"/>
      <c r="R133" s="1891"/>
      <c r="S133" s="1891"/>
      <c r="T133" s="1891"/>
      <c r="U133" s="1891"/>
    </row>
    <row r="134" spans="1:21" ht="19.5" customHeight="1" x14ac:dyDescent="0.2">
      <c r="A134" s="14"/>
      <c r="B134" s="1147"/>
      <c r="C134" s="2221"/>
      <c r="D134" s="2221"/>
      <c r="E134" s="2221"/>
      <c r="F134" s="2221"/>
      <c r="G134" s="2221"/>
      <c r="H134" s="2221"/>
      <c r="I134" s="2221"/>
      <c r="J134" s="2221"/>
      <c r="K134" s="1890"/>
      <c r="L134" s="1891"/>
      <c r="M134" s="1891"/>
      <c r="N134" s="1891"/>
      <c r="O134" s="1891"/>
      <c r="P134" s="1891"/>
      <c r="Q134" s="1891"/>
      <c r="R134" s="1891"/>
      <c r="S134" s="1891"/>
      <c r="T134" s="1891"/>
      <c r="U134" s="1891"/>
    </row>
    <row r="135" spans="1:21" ht="18" customHeight="1" x14ac:dyDescent="0.2">
      <c r="A135" s="14"/>
      <c r="B135" s="1147"/>
      <c r="C135" s="2221" t="s">
        <v>1793</v>
      </c>
      <c r="D135" s="2221"/>
      <c r="E135" s="2221"/>
      <c r="F135" s="2221"/>
      <c r="G135" s="2221"/>
      <c r="H135" s="2221"/>
      <c r="I135" s="2221"/>
      <c r="J135" s="2221"/>
      <c r="K135" s="1890"/>
      <c r="L135" s="1891"/>
      <c r="M135" s="1891"/>
      <c r="N135" s="1891"/>
      <c r="O135" s="1891"/>
      <c r="P135" s="1891"/>
      <c r="Q135" s="1891"/>
      <c r="R135" s="1891"/>
      <c r="S135" s="1891"/>
      <c r="T135" s="1891"/>
      <c r="U135" s="1891"/>
    </row>
    <row r="136" spans="1:21" ht="18" customHeight="1" x14ac:dyDescent="0.2">
      <c r="A136" s="14"/>
      <c r="B136" s="1147"/>
      <c r="C136" s="2221"/>
      <c r="D136" s="2221"/>
      <c r="E136" s="2221"/>
      <c r="F136" s="2221"/>
      <c r="G136" s="2221"/>
      <c r="H136" s="2221"/>
      <c r="I136" s="2221"/>
      <c r="J136" s="2221"/>
      <c r="K136" s="1890"/>
      <c r="L136" s="1891"/>
      <c r="M136" s="1891"/>
      <c r="N136" s="1891"/>
      <c r="O136" s="1891"/>
      <c r="P136" s="1891"/>
      <c r="Q136" s="1891"/>
      <c r="R136" s="1891"/>
      <c r="S136" s="1891"/>
      <c r="T136" s="1891"/>
      <c r="U136" s="1891"/>
    </row>
    <row r="137" spans="1:21" ht="18" customHeight="1" thickBot="1" x14ac:dyDescent="0.25">
      <c r="A137" s="184"/>
      <c r="B137" s="1939"/>
      <c r="C137" s="1940"/>
      <c r="D137" s="1940"/>
      <c r="E137" s="1940"/>
      <c r="F137" s="1940"/>
      <c r="G137" s="1940"/>
      <c r="H137" s="1940"/>
      <c r="I137" s="1940"/>
      <c r="J137" s="1940"/>
      <c r="K137" s="1941"/>
      <c r="L137" s="1891"/>
      <c r="M137" s="1891"/>
      <c r="N137" s="1891"/>
      <c r="O137" s="1891"/>
      <c r="P137" s="1891"/>
      <c r="Q137" s="1891"/>
      <c r="R137" s="1891"/>
      <c r="S137" s="1891"/>
      <c r="T137" s="1891"/>
      <c r="U137" s="1891"/>
    </row>
    <row r="138" spans="1:21" ht="18" customHeight="1" x14ac:dyDescent="0.2">
      <c r="A138" s="184"/>
      <c r="B138" s="184"/>
      <c r="C138" s="1892"/>
      <c r="D138" s="1892"/>
      <c r="E138" s="1892"/>
      <c r="F138" s="1892"/>
      <c r="G138" s="1892"/>
      <c r="H138" s="1892"/>
      <c r="I138" s="1892"/>
      <c r="J138" s="1892"/>
      <c r="K138" s="1892"/>
      <c r="L138" s="1891"/>
      <c r="M138" s="1891"/>
      <c r="N138" s="1891"/>
      <c r="O138" s="1891"/>
      <c r="P138" s="1891"/>
      <c r="Q138" s="1891"/>
      <c r="R138" s="1891"/>
      <c r="S138" s="1891"/>
      <c r="T138" s="1891"/>
      <c r="U138" s="1891"/>
    </row>
    <row r="139" spans="1:21" ht="18" customHeight="1" x14ac:dyDescent="0.2">
      <c r="L139" s="1891"/>
      <c r="M139" s="1891"/>
      <c r="N139" s="1891"/>
      <c r="O139" s="1891"/>
      <c r="P139" s="1891"/>
      <c r="Q139" s="1891"/>
      <c r="R139" s="1891"/>
      <c r="S139" s="1891"/>
      <c r="T139" s="1891"/>
      <c r="U139" s="1891"/>
    </row>
    <row r="140" spans="1:21" ht="18" customHeight="1" x14ac:dyDescent="0.2">
      <c r="C140" s="1891"/>
      <c r="D140" s="1891"/>
      <c r="E140" s="1891"/>
      <c r="F140" s="1891"/>
      <c r="G140" s="1891"/>
      <c r="H140" s="1891"/>
      <c r="I140" s="1891"/>
      <c r="J140" s="1891"/>
      <c r="K140" s="1891"/>
      <c r="L140" s="1891"/>
      <c r="M140" s="1891"/>
      <c r="N140" s="1891"/>
      <c r="O140" s="1891"/>
      <c r="P140" s="1891"/>
      <c r="Q140" s="1891"/>
      <c r="R140" s="1891"/>
      <c r="S140" s="1891"/>
      <c r="T140" s="1891"/>
      <c r="U140" s="1891"/>
    </row>
    <row r="141" spans="1:21" ht="18" customHeight="1" x14ac:dyDescent="0.2">
      <c r="C141" s="1891"/>
      <c r="D141" s="1891"/>
      <c r="E141" s="1891"/>
      <c r="F141" s="1891"/>
      <c r="G141" s="1891"/>
      <c r="H141" s="1891"/>
      <c r="I141" s="1891"/>
      <c r="J141" s="1891"/>
      <c r="K141" s="1891"/>
      <c r="L141" s="1891"/>
      <c r="M141" s="1891"/>
      <c r="N141" s="1891"/>
      <c r="O141" s="1891"/>
      <c r="P141" s="1891"/>
      <c r="Q141" s="1891"/>
      <c r="R141" s="1891"/>
      <c r="S141" s="1891"/>
      <c r="T141" s="1891"/>
      <c r="U141" s="1891"/>
    </row>
    <row r="142" spans="1:21" ht="18" customHeight="1" x14ac:dyDescent="0.2">
      <c r="C142" s="1891"/>
      <c r="D142" s="1891"/>
      <c r="E142" s="1891"/>
      <c r="F142" s="1891"/>
      <c r="G142" s="1891"/>
      <c r="H142" s="1891"/>
      <c r="I142" s="1891"/>
      <c r="J142" s="1891"/>
      <c r="K142" s="1891"/>
      <c r="L142" s="1891"/>
      <c r="M142" s="1891"/>
      <c r="N142" s="1891"/>
      <c r="O142" s="1891"/>
      <c r="P142" s="1891"/>
      <c r="Q142" s="1891"/>
      <c r="R142" s="1891"/>
      <c r="S142" s="1891"/>
      <c r="T142" s="1891"/>
      <c r="U142" s="1891"/>
    </row>
  </sheetData>
  <mergeCells count="24">
    <mergeCell ref="D93:I94"/>
    <mergeCell ref="C30:J31"/>
    <mergeCell ref="B2:K3"/>
    <mergeCell ref="D89:J89"/>
    <mergeCell ref="C32:G32"/>
    <mergeCell ref="C76:D76"/>
    <mergeCell ref="G41:I44"/>
    <mergeCell ref="D78:I80"/>
    <mergeCell ref="D82:I84"/>
    <mergeCell ref="C18:J21"/>
    <mergeCell ref="C8:H9"/>
    <mergeCell ref="C10:H11"/>
    <mergeCell ref="F66:I68"/>
    <mergeCell ref="D86:I88"/>
    <mergeCell ref="C14:I15"/>
    <mergeCell ref="C12:H13"/>
    <mergeCell ref="C131:J132"/>
    <mergeCell ref="C133:J134"/>
    <mergeCell ref="C135:J136"/>
    <mergeCell ref="C108:I110"/>
    <mergeCell ref="C111:J113"/>
    <mergeCell ref="C119:I120"/>
    <mergeCell ref="C126:J127"/>
    <mergeCell ref="C128:J129"/>
  </mergeCells>
  <phoneticPr fontId="24" type="noConversion"/>
  <pageMargins left="0.25" right="0.25" top="0.75" bottom="0.75" header="0.3" footer="0.3"/>
  <pageSetup paperSize="17" scale="54" orientation="portrait" horizontalDpi="4294967292" verticalDpi="4294967292"/>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theme="1"/>
  </sheetPr>
  <dimension ref="A1:W100"/>
  <sheetViews>
    <sheetView zoomScale="85" zoomScaleNormal="85" workbookViewId="0"/>
  </sheetViews>
  <sheetFormatPr defaultRowHeight="12.75" x14ac:dyDescent="0.2"/>
  <cols>
    <col min="1" max="1" width="3.42578125" style="184" customWidth="1"/>
    <col min="2" max="2" width="3.42578125" customWidth="1"/>
    <col min="23" max="23" width="9.140625" customWidth="1"/>
  </cols>
  <sheetData>
    <row r="1" spans="2:23" ht="13.5" thickBot="1" x14ac:dyDescent="0.25">
      <c r="B1" s="184"/>
      <c r="C1" s="184"/>
      <c r="D1" s="184"/>
      <c r="E1" s="184"/>
      <c r="F1" s="184"/>
      <c r="G1" s="184"/>
      <c r="H1" s="184"/>
      <c r="I1" s="184"/>
      <c r="J1" s="184"/>
      <c r="K1" s="184"/>
      <c r="L1" s="184"/>
      <c r="M1" s="184"/>
      <c r="N1" s="184"/>
      <c r="O1" s="184"/>
      <c r="P1" s="184"/>
      <c r="Q1" s="184"/>
      <c r="R1" s="184"/>
      <c r="S1" s="184"/>
      <c r="T1" s="184"/>
      <c r="U1" s="184"/>
      <c r="V1" s="184"/>
      <c r="W1" s="184"/>
    </row>
    <row r="2" spans="2:23" ht="12.75" customHeight="1" x14ac:dyDescent="0.2">
      <c r="B2" s="2244" t="s">
        <v>1958</v>
      </c>
      <c r="C2" s="2245"/>
      <c r="D2" s="2245"/>
      <c r="E2" s="2245"/>
      <c r="F2" s="2245"/>
      <c r="G2" s="2245"/>
      <c r="H2" s="2245"/>
      <c r="I2" s="2245"/>
      <c r="J2" s="2245"/>
      <c r="K2" s="2245"/>
      <c r="L2" s="2245"/>
      <c r="M2" s="2245"/>
      <c r="N2" s="2245"/>
      <c r="O2" s="2245"/>
      <c r="P2" s="2245"/>
      <c r="Q2" s="2245"/>
      <c r="R2" s="2245"/>
      <c r="S2" s="2245"/>
      <c r="T2" s="2245"/>
      <c r="U2" s="2245"/>
      <c r="V2" s="2245"/>
      <c r="W2" s="2246"/>
    </row>
    <row r="3" spans="2:23" ht="12.75" customHeight="1" x14ac:dyDescent="0.2">
      <c r="B3" s="2247"/>
      <c r="C3" s="2248"/>
      <c r="D3" s="2248"/>
      <c r="E3" s="2248"/>
      <c r="F3" s="2248"/>
      <c r="G3" s="2248"/>
      <c r="H3" s="2248"/>
      <c r="I3" s="2248"/>
      <c r="J3" s="2248"/>
      <c r="K3" s="2248"/>
      <c r="L3" s="2248"/>
      <c r="M3" s="2248"/>
      <c r="N3" s="2248"/>
      <c r="O3" s="2248"/>
      <c r="P3" s="2248"/>
      <c r="Q3" s="2248"/>
      <c r="R3" s="2248"/>
      <c r="S3" s="2248"/>
      <c r="T3" s="2248"/>
      <c r="U3" s="2248"/>
      <c r="V3" s="2248"/>
      <c r="W3" s="2249"/>
    </row>
    <row r="4" spans="2:23" ht="12.75" customHeight="1" thickBot="1" x14ac:dyDescent="0.25">
      <c r="B4" s="2250"/>
      <c r="C4" s="2251"/>
      <c r="D4" s="2251"/>
      <c r="E4" s="2251"/>
      <c r="F4" s="2251"/>
      <c r="G4" s="2251"/>
      <c r="H4" s="2251"/>
      <c r="I4" s="2251"/>
      <c r="J4" s="2251"/>
      <c r="K4" s="2251"/>
      <c r="L4" s="2251"/>
      <c r="M4" s="2251"/>
      <c r="N4" s="2251"/>
      <c r="O4" s="2251"/>
      <c r="P4" s="2251"/>
      <c r="Q4" s="2251"/>
      <c r="R4" s="2251"/>
      <c r="S4" s="2251"/>
      <c r="T4" s="2251"/>
      <c r="U4" s="2251"/>
      <c r="V4" s="2251"/>
      <c r="W4" s="2252"/>
    </row>
    <row r="5" spans="2:23" ht="13.5" customHeight="1" thickBot="1" x14ac:dyDescent="0.25">
      <c r="B5" s="2164"/>
      <c r="C5" s="2165"/>
      <c r="D5" s="2165"/>
      <c r="E5" s="2165"/>
      <c r="F5" s="2165"/>
      <c r="G5" s="2165"/>
      <c r="H5" s="2165"/>
      <c r="I5" s="2165"/>
      <c r="J5" s="2165"/>
      <c r="K5" s="2165"/>
      <c r="L5" s="2165"/>
      <c r="M5" s="2165"/>
      <c r="N5" s="2165"/>
      <c r="O5" s="2165"/>
      <c r="P5" s="2165"/>
      <c r="Q5" s="2165"/>
      <c r="R5" s="2165"/>
      <c r="S5" s="2165"/>
      <c r="T5" s="2165"/>
      <c r="U5" s="2165"/>
      <c r="V5" s="2165"/>
      <c r="W5" s="2166"/>
    </row>
    <row r="6" spans="2:23" ht="21.75" thickBot="1" x14ac:dyDescent="0.25">
      <c r="B6" s="2253" t="s">
        <v>1957</v>
      </c>
      <c r="C6" s="2254"/>
      <c r="D6" s="2254"/>
      <c r="E6" s="2254"/>
      <c r="F6" s="2254"/>
      <c r="G6" s="2254"/>
      <c r="H6" s="2254"/>
      <c r="I6" s="2254"/>
      <c r="J6" s="2254"/>
      <c r="K6" s="2254"/>
      <c r="L6" s="2254"/>
      <c r="M6" s="2254"/>
      <c r="N6" s="2254"/>
      <c r="O6" s="2254"/>
      <c r="P6" s="2254"/>
      <c r="Q6" s="2254"/>
      <c r="R6" s="2254"/>
      <c r="S6" s="2254"/>
      <c r="T6" s="2254"/>
      <c r="U6" s="2254"/>
      <c r="V6" s="2254"/>
      <c r="W6" s="2255"/>
    </row>
    <row r="7" spans="2:23" x14ac:dyDescent="0.2">
      <c r="B7" s="1632" t="s">
        <v>1968</v>
      </c>
      <c r="C7" s="2162"/>
      <c r="D7" s="2162"/>
      <c r="E7" s="2162"/>
      <c r="F7" s="2162"/>
      <c r="G7" s="2162"/>
      <c r="H7" s="2162"/>
      <c r="I7" s="2162"/>
      <c r="J7" s="2162"/>
      <c r="K7" s="2162"/>
      <c r="L7" s="2162"/>
      <c r="M7" s="2162"/>
      <c r="N7" s="2162"/>
      <c r="O7" s="2162"/>
      <c r="P7" s="2162"/>
      <c r="Q7" s="2162"/>
      <c r="R7" s="2162"/>
      <c r="S7" s="2162"/>
      <c r="T7" s="2162"/>
      <c r="U7" s="2162"/>
      <c r="V7" s="2162"/>
      <c r="W7" s="2163"/>
    </row>
    <row r="8" spans="2:23" x14ac:dyDescent="0.2">
      <c r="B8" s="1632"/>
      <c r="C8" s="1973" t="s">
        <v>1961</v>
      </c>
      <c r="D8" s="184"/>
      <c r="E8" s="329"/>
      <c r="F8" s="329"/>
      <c r="G8" s="329"/>
      <c r="H8" s="329"/>
      <c r="I8" s="329"/>
      <c r="J8" s="329"/>
      <c r="K8" s="329"/>
      <c r="L8" s="329"/>
      <c r="M8" s="329"/>
      <c r="N8" s="329"/>
      <c r="O8" s="329"/>
      <c r="P8" s="329"/>
      <c r="Q8" s="329"/>
      <c r="R8" s="329"/>
      <c r="S8" s="329"/>
      <c r="T8" s="329"/>
      <c r="U8" s="329"/>
      <c r="V8" s="329"/>
      <c r="W8" s="1626"/>
    </row>
    <row r="9" spans="2:23" x14ac:dyDescent="0.2">
      <c r="B9" s="1632"/>
      <c r="C9" s="1973" t="s">
        <v>1962</v>
      </c>
      <c r="D9" s="184"/>
      <c r="E9" s="329"/>
      <c r="F9" s="329"/>
      <c r="G9" s="329"/>
      <c r="H9" s="329"/>
      <c r="I9" s="329"/>
      <c r="J9" s="329"/>
      <c r="K9" s="329"/>
      <c r="L9" s="329"/>
      <c r="M9" s="329"/>
      <c r="N9" s="329"/>
      <c r="O9" s="329"/>
      <c r="P9" s="329"/>
      <c r="Q9" s="329"/>
      <c r="R9" s="329"/>
      <c r="S9" s="329"/>
      <c r="T9" s="329"/>
      <c r="U9" s="329"/>
      <c r="V9" s="329"/>
      <c r="W9" s="1626"/>
    </row>
    <row r="10" spans="2:23" x14ac:dyDescent="0.2">
      <c r="B10" s="1632"/>
      <c r="C10" s="1973" t="s">
        <v>1974</v>
      </c>
      <c r="D10" s="184"/>
      <c r="E10" s="329"/>
      <c r="F10" s="329"/>
      <c r="G10" s="329"/>
      <c r="H10" s="329"/>
      <c r="I10" s="329"/>
      <c r="J10" s="329"/>
      <c r="K10" s="329"/>
      <c r="L10" s="329"/>
      <c r="M10" s="329"/>
      <c r="N10" s="329"/>
      <c r="O10" s="329"/>
      <c r="P10" s="329"/>
      <c r="Q10" s="329"/>
      <c r="R10" s="329"/>
      <c r="S10" s="329"/>
      <c r="T10" s="329"/>
      <c r="U10" s="329"/>
      <c r="V10" s="329"/>
      <c r="W10" s="1626"/>
    </row>
    <row r="11" spans="2:23" x14ac:dyDescent="0.2">
      <c r="B11" s="1632"/>
      <c r="C11" s="1973" t="s">
        <v>1975</v>
      </c>
      <c r="D11" s="184"/>
      <c r="E11" s="329"/>
      <c r="F11" s="329"/>
      <c r="G11" s="329"/>
      <c r="H11" s="329"/>
      <c r="I11" s="329"/>
      <c r="J11" s="329"/>
      <c r="K11" s="329"/>
      <c r="L11" s="329"/>
      <c r="M11" s="329"/>
      <c r="N11" s="329"/>
      <c r="O11" s="329"/>
      <c r="P11" s="329"/>
      <c r="Q11" s="329"/>
      <c r="R11" s="329"/>
      <c r="S11" s="329"/>
      <c r="T11" s="329"/>
      <c r="U11" s="329"/>
      <c r="V11" s="329"/>
      <c r="W11" s="1626"/>
    </row>
    <row r="12" spans="2:23" x14ac:dyDescent="0.2">
      <c r="B12" s="1632"/>
      <c r="C12" s="1973" t="s">
        <v>1976</v>
      </c>
      <c r="D12" s="184"/>
      <c r="E12" s="329"/>
      <c r="F12" s="329"/>
      <c r="G12" s="329"/>
      <c r="H12" s="329"/>
      <c r="I12" s="329"/>
      <c r="J12" s="329"/>
      <c r="K12" s="329"/>
      <c r="L12" s="329"/>
      <c r="M12" s="329"/>
      <c r="N12" s="329"/>
      <c r="O12" s="329"/>
      <c r="P12" s="329"/>
      <c r="Q12" s="329"/>
      <c r="R12" s="329"/>
      <c r="S12" s="329"/>
      <c r="T12" s="329"/>
      <c r="U12" s="329"/>
      <c r="V12" s="329"/>
      <c r="W12" s="1626"/>
    </row>
    <row r="13" spans="2:23" x14ac:dyDescent="0.2">
      <c r="B13" s="1632"/>
      <c r="C13" s="1973" t="s">
        <v>2120</v>
      </c>
      <c r="D13" s="184"/>
      <c r="E13" s="329"/>
      <c r="F13" s="329"/>
      <c r="G13" s="329"/>
      <c r="H13" s="329"/>
      <c r="I13" s="329"/>
      <c r="J13" s="329"/>
      <c r="K13" s="329"/>
      <c r="L13" s="329"/>
      <c r="M13" s="329"/>
      <c r="N13" s="329"/>
      <c r="O13" s="329"/>
      <c r="P13" s="329"/>
      <c r="Q13" s="329"/>
      <c r="R13" s="329"/>
      <c r="S13" s="329"/>
      <c r="T13" s="329"/>
      <c r="U13" s="329"/>
      <c r="V13" s="329"/>
      <c r="W13" s="1626"/>
    </row>
    <row r="14" spans="2:23" x14ac:dyDescent="0.2">
      <c r="B14" s="1632"/>
      <c r="C14" s="184"/>
      <c r="D14" s="184"/>
      <c r="E14" s="184"/>
      <c r="F14" s="184"/>
      <c r="G14" s="329"/>
      <c r="H14" s="329"/>
      <c r="I14" s="329"/>
      <c r="J14" s="329"/>
      <c r="K14" s="329"/>
      <c r="L14" s="329"/>
      <c r="M14" s="329"/>
      <c r="N14" s="329"/>
      <c r="O14" s="329"/>
      <c r="P14" s="329"/>
      <c r="Q14" s="329"/>
      <c r="R14" s="329"/>
      <c r="S14" s="329"/>
      <c r="T14" s="329"/>
      <c r="U14" s="329"/>
      <c r="V14" s="329"/>
      <c r="W14" s="1626"/>
    </row>
    <row r="15" spans="2:23" x14ac:dyDescent="0.2">
      <c r="B15" s="1632" t="s">
        <v>1959</v>
      </c>
      <c r="C15" s="1973"/>
      <c r="D15" s="329"/>
      <c r="E15" s="329"/>
      <c r="F15" s="329"/>
      <c r="G15" s="329"/>
      <c r="H15" s="329"/>
      <c r="I15" s="329"/>
      <c r="J15" s="329"/>
      <c r="K15" s="329"/>
      <c r="L15" s="329"/>
      <c r="M15" s="329"/>
      <c r="N15" s="329"/>
      <c r="O15" s="329"/>
      <c r="P15" s="329"/>
      <c r="Q15" s="329"/>
      <c r="R15" s="329"/>
      <c r="S15" s="329"/>
      <c r="T15" s="329"/>
      <c r="U15" s="329"/>
      <c r="V15" s="329"/>
      <c r="W15" s="1626"/>
    </row>
    <row r="16" spans="2:23" x14ac:dyDescent="0.2">
      <c r="B16" s="1632"/>
      <c r="C16" s="1973" t="s">
        <v>1963</v>
      </c>
      <c r="D16" s="329"/>
      <c r="E16" s="329"/>
      <c r="F16" s="329"/>
      <c r="G16" s="329"/>
      <c r="H16" s="329"/>
      <c r="I16" s="329"/>
      <c r="J16" s="329"/>
      <c r="K16" s="329"/>
      <c r="L16" s="329"/>
      <c r="M16" s="329"/>
      <c r="N16" s="329"/>
      <c r="O16" s="329"/>
      <c r="P16" s="329"/>
      <c r="Q16" s="329"/>
      <c r="R16" s="329"/>
      <c r="S16" s="329"/>
      <c r="T16" s="329"/>
      <c r="U16" s="329"/>
      <c r="V16" s="329"/>
      <c r="W16" s="1626"/>
    </row>
    <row r="17" spans="2:23" x14ac:dyDescent="0.2">
      <c r="B17" s="1632"/>
      <c r="C17" s="329"/>
      <c r="D17" s="1973" t="s">
        <v>1964</v>
      </c>
      <c r="E17" s="329"/>
      <c r="F17" s="329"/>
      <c r="G17" s="329"/>
      <c r="H17" s="329"/>
      <c r="I17" s="329"/>
      <c r="J17" s="329"/>
      <c r="K17" s="329"/>
      <c r="L17" s="329"/>
      <c r="M17" s="329"/>
      <c r="N17" s="329"/>
      <c r="O17" s="329"/>
      <c r="P17" s="329"/>
      <c r="Q17" s="329"/>
      <c r="R17" s="329"/>
      <c r="S17" s="329"/>
      <c r="T17" s="329"/>
      <c r="U17" s="329"/>
      <c r="V17" s="329"/>
      <c r="W17" s="1626"/>
    </row>
    <row r="18" spans="2:23" x14ac:dyDescent="0.2">
      <c r="B18" s="1632"/>
      <c r="C18" s="1973" t="s">
        <v>1965</v>
      </c>
      <c r="D18" s="1973"/>
      <c r="E18" s="329"/>
      <c r="F18" s="329"/>
      <c r="G18" s="329"/>
      <c r="H18" s="329"/>
      <c r="I18" s="329"/>
      <c r="J18" s="329"/>
      <c r="K18" s="329"/>
      <c r="L18" s="329"/>
      <c r="M18" s="329"/>
      <c r="N18" s="329"/>
      <c r="O18" s="329"/>
      <c r="P18" s="329"/>
      <c r="Q18" s="329"/>
      <c r="R18" s="329"/>
      <c r="S18" s="329"/>
      <c r="T18" s="329"/>
      <c r="U18" s="329"/>
      <c r="V18" s="329"/>
      <c r="W18" s="1626"/>
    </row>
    <row r="19" spans="2:23" x14ac:dyDescent="0.2">
      <c r="B19" s="1632"/>
      <c r="C19" s="329"/>
      <c r="D19" s="1973" t="s">
        <v>1971</v>
      </c>
      <c r="E19" s="329"/>
      <c r="F19" s="329"/>
      <c r="G19" s="329"/>
      <c r="H19" s="329"/>
      <c r="I19" s="329"/>
      <c r="J19" s="329"/>
      <c r="K19" s="329"/>
      <c r="L19" s="329"/>
      <c r="M19" s="329"/>
      <c r="N19" s="329"/>
      <c r="O19" s="329"/>
      <c r="P19" s="329"/>
      <c r="Q19" s="329"/>
      <c r="R19" s="329"/>
      <c r="S19" s="329"/>
      <c r="T19" s="329"/>
      <c r="U19" s="329"/>
      <c r="V19" s="329"/>
      <c r="W19" s="1626"/>
    </row>
    <row r="20" spans="2:23" x14ac:dyDescent="0.2">
      <c r="B20" s="1632"/>
      <c r="C20" s="329"/>
      <c r="D20" s="1973"/>
      <c r="E20" s="1973" t="s">
        <v>1967</v>
      </c>
      <c r="F20" s="329"/>
      <c r="G20" s="329"/>
      <c r="H20" s="329"/>
      <c r="I20" s="329"/>
      <c r="J20" s="329"/>
      <c r="K20" s="329"/>
      <c r="L20" s="329"/>
      <c r="M20" s="329"/>
      <c r="N20" s="329"/>
      <c r="O20" s="329"/>
      <c r="P20" s="329"/>
      <c r="Q20" s="329"/>
      <c r="R20" s="329"/>
      <c r="S20" s="329"/>
      <c r="T20" s="329"/>
      <c r="U20" s="329"/>
      <c r="V20" s="329"/>
      <c r="W20" s="1626"/>
    </row>
    <row r="21" spans="2:23" x14ac:dyDescent="0.2">
      <c r="B21" s="1632"/>
      <c r="C21" s="1973" t="s">
        <v>1970</v>
      </c>
      <c r="D21" s="329"/>
      <c r="E21" s="329"/>
      <c r="F21" s="329"/>
      <c r="G21" s="329"/>
      <c r="H21" s="329"/>
      <c r="I21" s="329"/>
      <c r="J21" s="329"/>
      <c r="K21" s="329"/>
      <c r="L21" s="329"/>
      <c r="M21" s="329"/>
      <c r="N21" s="329"/>
      <c r="O21" s="329"/>
      <c r="P21" s="329"/>
      <c r="Q21" s="329"/>
      <c r="R21" s="329"/>
      <c r="S21" s="329"/>
      <c r="T21" s="329"/>
      <c r="U21" s="329"/>
      <c r="V21" s="329"/>
      <c r="W21" s="1626"/>
    </row>
    <row r="22" spans="2:23" x14ac:dyDescent="0.2">
      <c r="B22" s="1632"/>
      <c r="C22" s="1973"/>
      <c r="D22" s="1973" t="s">
        <v>1966</v>
      </c>
      <c r="E22" s="329"/>
      <c r="F22" s="329"/>
      <c r="G22" s="329"/>
      <c r="H22" s="329"/>
      <c r="I22" s="329"/>
      <c r="J22" s="329"/>
      <c r="K22" s="329"/>
      <c r="L22" s="329"/>
      <c r="M22" s="329"/>
      <c r="N22" s="329"/>
      <c r="O22" s="329"/>
      <c r="P22" s="329"/>
      <c r="Q22" s="329"/>
      <c r="R22" s="329"/>
      <c r="S22" s="329"/>
      <c r="T22" s="329"/>
      <c r="U22" s="329"/>
      <c r="V22" s="329"/>
      <c r="W22" s="1626"/>
    </row>
    <row r="23" spans="2:23" x14ac:dyDescent="0.2">
      <c r="B23" s="1632"/>
      <c r="C23" s="1973"/>
      <c r="D23" s="329"/>
      <c r="E23" s="1973" t="s">
        <v>2117</v>
      </c>
      <c r="F23" s="329"/>
      <c r="G23" s="329"/>
      <c r="H23" s="329"/>
      <c r="I23" s="329"/>
      <c r="J23" s="329"/>
      <c r="K23" s="329"/>
      <c r="L23" s="329"/>
      <c r="M23" s="329"/>
      <c r="N23" s="329"/>
      <c r="O23" s="329"/>
      <c r="P23" s="329"/>
      <c r="Q23" s="329"/>
      <c r="R23" s="329"/>
      <c r="S23" s="329"/>
      <c r="T23" s="329"/>
      <c r="U23" s="329"/>
      <c r="V23" s="329"/>
      <c r="W23" s="1626"/>
    </row>
    <row r="24" spans="2:23" x14ac:dyDescent="0.2">
      <c r="B24" s="1632"/>
      <c r="C24" s="1973"/>
      <c r="D24" s="329"/>
      <c r="E24" s="1973" t="s">
        <v>1969</v>
      </c>
      <c r="F24" s="329"/>
      <c r="G24" s="329"/>
      <c r="H24" s="329"/>
      <c r="I24" s="329"/>
      <c r="J24" s="329"/>
      <c r="K24" s="329"/>
      <c r="L24" s="329"/>
      <c r="M24" s="329"/>
      <c r="N24" s="329"/>
      <c r="O24" s="329"/>
      <c r="P24" s="329"/>
      <c r="Q24" s="329"/>
      <c r="R24" s="329"/>
      <c r="S24" s="329"/>
      <c r="T24" s="329"/>
      <c r="U24" s="329"/>
      <c r="V24" s="329"/>
      <c r="W24" s="1626"/>
    </row>
    <row r="25" spans="2:23" x14ac:dyDescent="0.2">
      <c r="B25" s="1632"/>
      <c r="C25" s="1973" t="s">
        <v>1972</v>
      </c>
      <c r="D25" s="329"/>
      <c r="E25" s="329"/>
      <c r="F25" s="329"/>
      <c r="G25" s="329"/>
      <c r="H25" s="329"/>
      <c r="I25" s="329"/>
      <c r="J25" s="329"/>
      <c r="K25" s="329"/>
      <c r="L25" s="329"/>
      <c r="M25" s="329"/>
      <c r="N25" s="329"/>
      <c r="O25" s="329"/>
      <c r="P25" s="329"/>
      <c r="Q25" s="329"/>
      <c r="R25" s="329"/>
      <c r="S25" s="329"/>
      <c r="T25" s="329"/>
      <c r="U25" s="329"/>
      <c r="V25" s="329"/>
      <c r="W25" s="1626"/>
    </row>
    <row r="26" spans="2:23" x14ac:dyDescent="0.2">
      <c r="B26" s="1632"/>
      <c r="C26" s="1973"/>
      <c r="D26" s="1973" t="s">
        <v>1973</v>
      </c>
      <c r="E26" s="329"/>
      <c r="F26" s="329"/>
      <c r="G26" s="329"/>
      <c r="H26" s="329"/>
      <c r="I26" s="329"/>
      <c r="J26" s="329"/>
      <c r="K26" s="329"/>
      <c r="L26" s="329"/>
      <c r="M26" s="329"/>
      <c r="N26" s="329"/>
      <c r="O26" s="329"/>
      <c r="P26" s="329"/>
      <c r="Q26" s="329"/>
      <c r="R26" s="329"/>
      <c r="S26" s="329"/>
      <c r="T26" s="329"/>
      <c r="U26" s="329"/>
      <c r="V26" s="329"/>
      <c r="W26" s="1626"/>
    </row>
    <row r="27" spans="2:23" x14ac:dyDescent="0.2">
      <c r="B27" s="1632"/>
      <c r="C27" s="1973" t="s">
        <v>2118</v>
      </c>
      <c r="D27" s="329"/>
      <c r="E27" s="329"/>
      <c r="F27" s="329"/>
      <c r="G27" s="329"/>
      <c r="H27" s="329"/>
      <c r="I27" s="329"/>
      <c r="J27" s="329"/>
      <c r="K27" s="329"/>
      <c r="L27" s="329"/>
      <c r="M27" s="329"/>
      <c r="N27" s="329"/>
      <c r="O27" s="329"/>
      <c r="P27" s="329"/>
      <c r="Q27" s="329"/>
      <c r="R27" s="329"/>
      <c r="S27" s="329"/>
      <c r="T27" s="329"/>
      <c r="U27" s="329"/>
      <c r="V27" s="329"/>
      <c r="W27" s="1626"/>
    </row>
    <row r="28" spans="2:23" x14ac:dyDescent="0.2">
      <c r="B28" s="1632"/>
      <c r="C28" s="329"/>
      <c r="D28" s="1973" t="s">
        <v>1960</v>
      </c>
      <c r="E28" s="329"/>
      <c r="F28" s="329"/>
      <c r="G28" s="329"/>
      <c r="H28" s="329"/>
      <c r="I28" s="329"/>
      <c r="J28" s="329"/>
      <c r="K28" s="329"/>
      <c r="L28" s="329"/>
      <c r="M28" s="329"/>
      <c r="N28" s="329"/>
      <c r="O28" s="329"/>
      <c r="P28" s="329"/>
      <c r="Q28" s="329"/>
      <c r="R28" s="329"/>
      <c r="S28" s="329"/>
      <c r="T28" s="329"/>
      <c r="U28" s="329"/>
      <c r="V28" s="329"/>
      <c r="W28" s="1626"/>
    </row>
    <row r="29" spans="2:23" x14ac:dyDescent="0.2">
      <c r="B29" s="1632"/>
      <c r="C29" s="1973"/>
      <c r="D29" s="329"/>
      <c r="E29" s="329"/>
      <c r="F29" s="329"/>
      <c r="G29" s="329"/>
      <c r="H29" s="329"/>
      <c r="I29" s="329"/>
      <c r="J29" s="329"/>
      <c r="K29" s="329"/>
      <c r="L29" s="329"/>
      <c r="M29" s="329"/>
      <c r="N29" s="329"/>
      <c r="O29" s="329"/>
      <c r="P29" s="329"/>
      <c r="Q29" s="329"/>
      <c r="R29" s="329"/>
      <c r="S29" s="329"/>
      <c r="T29" s="329"/>
      <c r="U29" s="329"/>
      <c r="V29" s="329"/>
      <c r="W29" s="1626"/>
    </row>
    <row r="30" spans="2:23" x14ac:dyDescent="0.2">
      <c r="B30" s="1632"/>
      <c r="C30" s="329"/>
      <c r="D30" s="1973"/>
      <c r="E30" s="329"/>
      <c r="F30" s="329"/>
      <c r="G30" s="329"/>
      <c r="H30" s="329"/>
      <c r="I30" s="329"/>
      <c r="J30" s="329"/>
      <c r="K30" s="329"/>
      <c r="L30" s="329"/>
      <c r="M30" s="329"/>
      <c r="N30" s="329"/>
      <c r="O30" s="329"/>
      <c r="P30" s="329"/>
      <c r="Q30" s="329"/>
      <c r="R30" s="329"/>
      <c r="S30" s="329"/>
      <c r="T30" s="329"/>
      <c r="U30" s="329"/>
      <c r="V30" s="329"/>
      <c r="W30" s="1626"/>
    </row>
    <row r="31" spans="2:23" x14ac:dyDescent="0.2">
      <c r="B31" s="1632"/>
      <c r="C31" s="329"/>
      <c r="D31" s="329"/>
      <c r="E31" s="1973"/>
      <c r="F31" s="329"/>
      <c r="G31" s="329"/>
      <c r="H31" s="329"/>
      <c r="I31" s="329"/>
      <c r="J31" s="329"/>
      <c r="K31" s="329"/>
      <c r="L31" s="329"/>
      <c r="M31" s="329"/>
      <c r="N31" s="329"/>
      <c r="O31" s="329"/>
      <c r="P31" s="329"/>
      <c r="Q31" s="329"/>
      <c r="R31" s="329"/>
      <c r="S31" s="329"/>
      <c r="T31" s="329"/>
      <c r="U31" s="329"/>
      <c r="V31" s="329"/>
      <c r="W31" s="1626"/>
    </row>
    <row r="32" spans="2:23" x14ac:dyDescent="0.2">
      <c r="B32" s="1632"/>
      <c r="C32" s="329"/>
      <c r="D32" s="329"/>
      <c r="E32" s="1973"/>
      <c r="F32" s="329"/>
      <c r="G32" s="329"/>
      <c r="H32" s="329"/>
      <c r="I32" s="329"/>
      <c r="J32" s="329"/>
      <c r="K32" s="329"/>
      <c r="L32" s="329"/>
      <c r="M32" s="329"/>
      <c r="N32" s="329"/>
      <c r="O32" s="329"/>
      <c r="P32" s="329"/>
      <c r="Q32" s="329"/>
      <c r="R32" s="329"/>
      <c r="S32" s="329"/>
      <c r="T32" s="329"/>
      <c r="U32" s="329"/>
      <c r="V32" s="329"/>
      <c r="W32" s="1626"/>
    </row>
    <row r="33" spans="2:23" x14ac:dyDescent="0.2">
      <c r="B33" s="1632"/>
      <c r="C33" s="329"/>
      <c r="D33" s="329"/>
      <c r="E33" s="1973"/>
      <c r="F33" s="329"/>
      <c r="G33" s="329"/>
      <c r="H33" s="329"/>
      <c r="I33" s="329"/>
      <c r="J33" s="329"/>
      <c r="K33" s="329"/>
      <c r="L33" s="329"/>
      <c r="M33" s="329"/>
      <c r="N33" s="329"/>
      <c r="O33" s="329"/>
      <c r="P33" s="329"/>
      <c r="Q33" s="329"/>
      <c r="R33" s="329"/>
      <c r="S33" s="329"/>
      <c r="T33" s="329"/>
      <c r="U33" s="329"/>
      <c r="V33" s="329"/>
      <c r="W33" s="1626"/>
    </row>
    <row r="34" spans="2:23" x14ac:dyDescent="0.2">
      <c r="B34" s="1632"/>
      <c r="C34" s="329"/>
      <c r="D34" s="329"/>
      <c r="E34" s="329"/>
      <c r="F34" s="329"/>
      <c r="G34" s="329"/>
      <c r="H34" s="329"/>
      <c r="I34" s="329"/>
      <c r="J34" s="329"/>
      <c r="K34" s="329"/>
      <c r="L34" s="329"/>
      <c r="M34" s="329"/>
      <c r="N34" s="329"/>
      <c r="O34" s="329"/>
      <c r="P34" s="329"/>
      <c r="Q34" s="329"/>
      <c r="R34" s="329"/>
      <c r="S34" s="329"/>
      <c r="T34" s="329"/>
      <c r="U34" s="329"/>
      <c r="V34" s="329"/>
      <c r="W34" s="1626"/>
    </row>
    <row r="35" spans="2:23" x14ac:dyDescent="0.2">
      <c r="B35" s="1632"/>
      <c r="C35" s="329"/>
      <c r="D35" s="329"/>
      <c r="E35" s="329"/>
      <c r="F35" s="329"/>
      <c r="G35" s="329"/>
      <c r="H35" s="329"/>
      <c r="I35" s="329"/>
      <c r="J35" s="329"/>
      <c r="K35" s="329"/>
      <c r="L35" s="329"/>
      <c r="M35" s="329"/>
      <c r="N35" s="329"/>
      <c r="O35" s="329"/>
      <c r="P35" s="329"/>
      <c r="Q35" s="329"/>
      <c r="R35" s="329"/>
      <c r="S35" s="329"/>
      <c r="T35" s="329"/>
      <c r="U35" s="329"/>
      <c r="V35" s="329"/>
      <c r="W35" s="1626"/>
    </row>
    <row r="36" spans="2:23" x14ac:dyDescent="0.2">
      <c r="B36" s="1632"/>
      <c r="C36" s="329"/>
      <c r="D36" s="329"/>
      <c r="E36" s="329"/>
      <c r="F36" s="329"/>
      <c r="G36" s="329"/>
      <c r="H36" s="329"/>
      <c r="I36" s="329"/>
      <c r="J36" s="329"/>
      <c r="K36" s="329"/>
      <c r="L36" s="329"/>
      <c r="M36" s="329"/>
      <c r="N36" s="329"/>
      <c r="O36" s="329"/>
      <c r="P36" s="329"/>
      <c r="Q36" s="329"/>
      <c r="R36" s="329"/>
      <c r="S36" s="329"/>
      <c r="T36" s="329"/>
      <c r="U36" s="329"/>
      <c r="V36" s="329"/>
      <c r="W36" s="1626"/>
    </row>
    <row r="37" spans="2:23" x14ac:dyDescent="0.2">
      <c r="B37" s="1632"/>
      <c r="C37" s="329"/>
      <c r="D37" s="329"/>
      <c r="E37" s="329"/>
      <c r="F37" s="329"/>
      <c r="G37" s="329"/>
      <c r="H37" s="329"/>
      <c r="I37" s="329"/>
      <c r="J37" s="329"/>
      <c r="K37" s="329"/>
      <c r="L37" s="329"/>
      <c r="M37" s="329"/>
      <c r="N37" s="329"/>
      <c r="O37" s="329"/>
      <c r="P37" s="329"/>
      <c r="Q37" s="329"/>
      <c r="R37" s="329"/>
      <c r="S37" s="329"/>
      <c r="T37" s="329"/>
      <c r="U37" s="329"/>
      <c r="V37" s="329"/>
      <c r="W37" s="1626"/>
    </row>
    <row r="38" spans="2:23" x14ac:dyDescent="0.2">
      <c r="B38" s="1632"/>
      <c r="C38" s="329"/>
      <c r="D38" s="329"/>
      <c r="E38" s="329"/>
      <c r="F38" s="329"/>
      <c r="G38" s="329"/>
      <c r="H38" s="329"/>
      <c r="I38" s="329"/>
      <c r="J38" s="329"/>
      <c r="K38" s="329"/>
      <c r="L38" s="329"/>
      <c r="M38" s="329"/>
      <c r="N38" s="329"/>
      <c r="O38" s="329"/>
      <c r="P38" s="329"/>
      <c r="Q38" s="329"/>
      <c r="R38" s="329"/>
      <c r="S38" s="329"/>
      <c r="T38" s="329"/>
      <c r="U38" s="329"/>
      <c r="V38" s="329"/>
      <c r="W38" s="1626"/>
    </row>
    <row r="39" spans="2:23" x14ac:dyDescent="0.2">
      <c r="B39" s="1632"/>
      <c r="C39" s="329"/>
      <c r="D39" s="329"/>
      <c r="E39" s="329"/>
      <c r="F39" s="329"/>
      <c r="G39" s="329"/>
      <c r="H39" s="329"/>
      <c r="I39" s="329"/>
      <c r="J39" s="329"/>
      <c r="K39" s="329"/>
      <c r="L39" s="329"/>
      <c r="M39" s="329"/>
      <c r="N39" s="329"/>
      <c r="O39" s="329"/>
      <c r="P39" s="329"/>
      <c r="Q39" s="329"/>
      <c r="R39" s="329"/>
      <c r="S39" s="329"/>
      <c r="T39" s="329"/>
      <c r="U39" s="329"/>
      <c r="V39" s="329"/>
      <c r="W39" s="1626"/>
    </row>
    <row r="40" spans="2:23" x14ac:dyDescent="0.2">
      <c r="B40" s="1632"/>
      <c r="C40" s="329"/>
      <c r="D40" s="329"/>
      <c r="E40" s="329"/>
      <c r="F40" s="329"/>
      <c r="G40" s="329"/>
      <c r="H40" s="329"/>
      <c r="I40" s="329"/>
      <c r="J40" s="329"/>
      <c r="K40" s="329"/>
      <c r="L40" s="329"/>
      <c r="M40" s="329"/>
      <c r="N40" s="329"/>
      <c r="O40" s="329"/>
      <c r="P40" s="329"/>
      <c r="Q40" s="329"/>
      <c r="R40" s="329"/>
      <c r="S40" s="329"/>
      <c r="T40" s="329"/>
      <c r="U40" s="329"/>
      <c r="V40" s="329"/>
      <c r="W40" s="1626"/>
    </row>
    <row r="41" spans="2:23" x14ac:dyDescent="0.2">
      <c r="B41" s="1632"/>
      <c r="C41" s="329"/>
      <c r="D41" s="329"/>
      <c r="E41" s="329"/>
      <c r="F41" s="329"/>
      <c r="G41" s="329"/>
      <c r="H41" s="329"/>
      <c r="I41" s="329"/>
      <c r="J41" s="329"/>
      <c r="K41" s="329"/>
      <c r="L41" s="329"/>
      <c r="M41" s="329"/>
      <c r="N41" s="329"/>
      <c r="O41" s="329"/>
      <c r="P41" s="329"/>
      <c r="Q41" s="329"/>
      <c r="R41" s="329"/>
      <c r="S41" s="329"/>
      <c r="T41" s="329"/>
      <c r="U41" s="329"/>
      <c r="V41" s="329"/>
      <c r="W41" s="1626"/>
    </row>
    <row r="42" spans="2:23" x14ac:dyDescent="0.2">
      <c r="B42" s="1632"/>
      <c r="C42" s="329"/>
      <c r="D42" s="329"/>
      <c r="E42" s="329"/>
      <c r="F42" s="329"/>
      <c r="G42" s="329"/>
      <c r="H42" s="329"/>
      <c r="I42" s="329"/>
      <c r="J42" s="329"/>
      <c r="K42" s="329"/>
      <c r="L42" s="329"/>
      <c r="M42" s="329"/>
      <c r="N42" s="329"/>
      <c r="O42" s="329"/>
      <c r="P42" s="329"/>
      <c r="Q42" s="329"/>
      <c r="R42" s="329"/>
      <c r="S42" s="329"/>
      <c r="T42" s="329"/>
      <c r="U42" s="329"/>
      <c r="V42" s="329"/>
      <c r="W42" s="1626"/>
    </row>
    <row r="43" spans="2:23" x14ac:dyDescent="0.2">
      <c r="B43" s="1632"/>
      <c r="C43" s="329"/>
      <c r="D43" s="329"/>
      <c r="E43" s="329"/>
      <c r="F43" s="329"/>
      <c r="G43" s="329"/>
      <c r="H43" s="329"/>
      <c r="I43" s="329"/>
      <c r="J43" s="329"/>
      <c r="K43" s="329"/>
      <c r="L43" s="329"/>
      <c r="M43" s="329"/>
      <c r="N43" s="329"/>
      <c r="O43" s="329"/>
      <c r="P43" s="329"/>
      <c r="Q43" s="329"/>
      <c r="R43" s="329"/>
      <c r="S43" s="329"/>
      <c r="T43" s="329"/>
      <c r="U43" s="329"/>
      <c r="V43" s="329"/>
      <c r="W43" s="1626"/>
    </row>
    <row r="44" spans="2:23" x14ac:dyDescent="0.2">
      <c r="B44" s="1632"/>
      <c r="C44" s="329"/>
      <c r="D44" s="329"/>
      <c r="E44" s="329"/>
      <c r="F44" s="329"/>
      <c r="G44" s="329"/>
      <c r="H44" s="329"/>
      <c r="I44" s="329"/>
      <c r="J44" s="329"/>
      <c r="K44" s="329"/>
      <c r="L44" s="329"/>
      <c r="M44" s="329"/>
      <c r="N44" s="329"/>
      <c r="O44" s="329"/>
      <c r="P44" s="329"/>
      <c r="Q44" s="329"/>
      <c r="R44" s="329"/>
      <c r="S44" s="329"/>
      <c r="T44" s="329"/>
      <c r="U44" s="329"/>
      <c r="V44" s="329"/>
      <c r="W44" s="1626"/>
    </row>
    <row r="45" spans="2:23" x14ac:dyDescent="0.2">
      <c r="B45" s="1632"/>
      <c r="C45" s="329"/>
      <c r="D45" s="329"/>
      <c r="E45" s="329"/>
      <c r="F45" s="329"/>
      <c r="G45" s="329"/>
      <c r="H45" s="329"/>
      <c r="I45" s="329"/>
      <c r="J45" s="329"/>
      <c r="K45" s="329"/>
      <c r="L45" s="329"/>
      <c r="M45" s="329"/>
      <c r="N45" s="329"/>
      <c r="O45" s="329"/>
      <c r="P45" s="329"/>
      <c r="Q45" s="329"/>
      <c r="R45" s="329"/>
      <c r="S45" s="329"/>
      <c r="T45" s="329"/>
      <c r="U45" s="329"/>
      <c r="V45" s="329"/>
      <c r="W45" s="1626"/>
    </row>
    <row r="46" spans="2:23" x14ac:dyDescent="0.2">
      <c r="B46" s="1632"/>
      <c r="C46" s="329"/>
      <c r="D46" s="329"/>
      <c r="E46" s="329"/>
      <c r="F46" s="329"/>
      <c r="G46" s="329"/>
      <c r="H46" s="329"/>
      <c r="I46" s="329"/>
      <c r="J46" s="329"/>
      <c r="K46" s="329"/>
      <c r="L46" s="329"/>
      <c r="M46" s="329"/>
      <c r="N46" s="329"/>
      <c r="O46" s="329"/>
      <c r="P46" s="329"/>
      <c r="Q46" s="329"/>
      <c r="R46" s="329"/>
      <c r="S46" s="329"/>
      <c r="T46" s="329"/>
      <c r="U46" s="329"/>
      <c r="V46" s="329"/>
      <c r="W46" s="1626"/>
    </row>
    <row r="47" spans="2:23" x14ac:dyDescent="0.2">
      <c r="B47" s="1632"/>
      <c r="C47" s="329"/>
      <c r="D47" s="329"/>
      <c r="E47" s="329"/>
      <c r="F47" s="329"/>
      <c r="G47" s="329"/>
      <c r="H47" s="329"/>
      <c r="I47" s="329"/>
      <c r="J47" s="329"/>
      <c r="K47" s="329"/>
      <c r="L47" s="329"/>
      <c r="M47" s="329"/>
      <c r="N47" s="329"/>
      <c r="O47" s="329"/>
      <c r="P47" s="329"/>
      <c r="Q47" s="329"/>
      <c r="R47" s="329"/>
      <c r="S47" s="329"/>
      <c r="T47" s="329"/>
      <c r="U47" s="329"/>
      <c r="V47" s="329"/>
      <c r="W47" s="1626"/>
    </row>
    <row r="48" spans="2:23" x14ac:dyDescent="0.2">
      <c r="B48" s="1632"/>
      <c r="C48" s="329"/>
      <c r="D48" s="329"/>
      <c r="E48" s="329"/>
      <c r="F48" s="329"/>
      <c r="G48" s="329"/>
      <c r="H48" s="329"/>
      <c r="I48" s="329"/>
      <c r="J48" s="329"/>
      <c r="K48" s="329"/>
      <c r="L48" s="329"/>
      <c r="M48" s="329"/>
      <c r="N48" s="329"/>
      <c r="O48" s="329"/>
      <c r="P48" s="329"/>
      <c r="Q48" s="329"/>
      <c r="R48" s="329"/>
      <c r="S48" s="329"/>
      <c r="T48" s="329"/>
      <c r="U48" s="329"/>
      <c r="V48" s="329"/>
      <c r="W48" s="1626"/>
    </row>
    <row r="49" spans="2:23" x14ac:dyDescent="0.2">
      <c r="B49" s="1632"/>
      <c r="C49" s="329"/>
      <c r="D49" s="329"/>
      <c r="E49" s="329"/>
      <c r="F49" s="329"/>
      <c r="G49" s="329"/>
      <c r="H49" s="329"/>
      <c r="I49" s="329"/>
      <c r="J49" s="329"/>
      <c r="K49" s="329"/>
      <c r="L49" s="329"/>
      <c r="M49" s="329"/>
      <c r="N49" s="329"/>
      <c r="O49" s="329"/>
      <c r="P49" s="329"/>
      <c r="Q49" s="329"/>
      <c r="R49" s="329"/>
      <c r="S49" s="329"/>
      <c r="T49" s="329"/>
      <c r="U49" s="329"/>
      <c r="V49" s="329"/>
      <c r="W49" s="1626"/>
    </row>
    <row r="50" spans="2:23" x14ac:dyDescent="0.2">
      <c r="B50" s="1632"/>
      <c r="C50" s="329"/>
      <c r="D50" s="329"/>
      <c r="E50" s="329"/>
      <c r="F50" s="329"/>
      <c r="G50" s="329"/>
      <c r="H50" s="329"/>
      <c r="I50" s="329"/>
      <c r="J50" s="329"/>
      <c r="K50" s="329"/>
      <c r="L50" s="329"/>
      <c r="M50" s="329"/>
      <c r="N50" s="329"/>
      <c r="O50" s="329"/>
      <c r="P50" s="329"/>
      <c r="Q50" s="329"/>
      <c r="R50" s="329"/>
      <c r="S50" s="329"/>
      <c r="T50" s="329"/>
      <c r="U50" s="329"/>
      <c r="V50" s="329"/>
      <c r="W50" s="1626"/>
    </row>
    <row r="51" spans="2:23" x14ac:dyDescent="0.2">
      <c r="B51" s="1632"/>
      <c r="C51" s="329"/>
      <c r="D51" s="329"/>
      <c r="E51" s="329"/>
      <c r="F51" s="329"/>
      <c r="G51" s="329"/>
      <c r="H51" s="329"/>
      <c r="I51" s="329"/>
      <c r="J51" s="329"/>
      <c r="K51" s="329"/>
      <c r="L51" s="329"/>
      <c r="M51" s="329"/>
      <c r="N51" s="329"/>
      <c r="O51" s="329"/>
      <c r="P51" s="329"/>
      <c r="Q51" s="329"/>
      <c r="R51" s="329"/>
      <c r="S51" s="329"/>
      <c r="T51" s="329"/>
      <c r="U51" s="329"/>
      <c r="V51" s="329"/>
      <c r="W51" s="1626"/>
    </row>
    <row r="52" spans="2:23" x14ac:dyDescent="0.2">
      <c r="B52" s="1632"/>
      <c r="C52" s="329"/>
      <c r="D52" s="329"/>
      <c r="E52" s="329"/>
      <c r="F52" s="329"/>
      <c r="G52" s="329"/>
      <c r="H52" s="329"/>
      <c r="I52" s="329"/>
      <c r="J52" s="329"/>
      <c r="K52" s="329"/>
      <c r="L52" s="329"/>
      <c r="M52" s="329"/>
      <c r="N52" s="329"/>
      <c r="O52" s="329"/>
      <c r="P52" s="329"/>
      <c r="Q52" s="329"/>
      <c r="R52" s="329"/>
      <c r="S52" s="329"/>
      <c r="T52" s="329"/>
      <c r="U52" s="329"/>
      <c r="V52" s="329"/>
      <c r="W52" s="1626"/>
    </row>
    <row r="53" spans="2:23" x14ac:dyDescent="0.2">
      <c r="B53" s="1632"/>
      <c r="C53" s="329"/>
      <c r="D53" s="329"/>
      <c r="E53" s="329"/>
      <c r="F53" s="329"/>
      <c r="G53" s="329"/>
      <c r="H53" s="329"/>
      <c r="I53" s="329"/>
      <c r="J53" s="329"/>
      <c r="K53" s="329"/>
      <c r="L53" s="329"/>
      <c r="M53" s="329"/>
      <c r="N53" s="329"/>
      <c r="O53" s="329"/>
      <c r="P53" s="329"/>
      <c r="Q53" s="329"/>
      <c r="R53" s="329"/>
      <c r="S53" s="329"/>
      <c r="T53" s="329"/>
      <c r="U53" s="329"/>
      <c r="V53" s="329"/>
      <c r="W53" s="1626"/>
    </row>
    <row r="54" spans="2:23" x14ac:dyDescent="0.2">
      <c r="B54" s="1632"/>
      <c r="C54" s="329"/>
      <c r="D54" s="329"/>
      <c r="E54" s="329"/>
      <c r="F54" s="329"/>
      <c r="G54" s="329"/>
      <c r="H54" s="329"/>
      <c r="I54" s="329"/>
      <c r="J54" s="329"/>
      <c r="K54" s="329"/>
      <c r="L54" s="329"/>
      <c r="M54" s="329"/>
      <c r="N54" s="329"/>
      <c r="O54" s="329"/>
      <c r="P54" s="329"/>
      <c r="Q54" s="329"/>
      <c r="R54" s="329"/>
      <c r="S54" s="329"/>
      <c r="T54" s="329"/>
      <c r="U54" s="329"/>
      <c r="V54" s="329"/>
      <c r="W54" s="1626"/>
    </row>
    <row r="55" spans="2:23" x14ac:dyDescent="0.2">
      <c r="B55" s="1632"/>
      <c r="C55" s="329"/>
      <c r="D55" s="329"/>
      <c r="E55" s="329"/>
      <c r="F55" s="329"/>
      <c r="G55" s="329"/>
      <c r="H55" s="329"/>
      <c r="I55" s="329"/>
      <c r="J55" s="329"/>
      <c r="K55" s="329"/>
      <c r="L55" s="329"/>
      <c r="M55" s="329"/>
      <c r="N55" s="329"/>
      <c r="O55" s="329"/>
      <c r="P55" s="329"/>
      <c r="Q55" s="329"/>
      <c r="R55" s="329"/>
      <c r="S55" s="329"/>
      <c r="T55" s="329"/>
      <c r="U55" s="329"/>
      <c r="V55" s="329"/>
      <c r="W55" s="1626"/>
    </row>
    <row r="56" spans="2:23" x14ac:dyDescent="0.2">
      <c r="B56" s="1632"/>
      <c r="C56" s="329"/>
      <c r="D56" s="329"/>
      <c r="E56" s="329"/>
      <c r="F56" s="329"/>
      <c r="G56" s="329"/>
      <c r="H56" s="329"/>
      <c r="I56" s="329"/>
      <c r="J56" s="329"/>
      <c r="K56" s="329"/>
      <c r="L56" s="329"/>
      <c r="M56" s="329"/>
      <c r="N56" s="329"/>
      <c r="O56" s="329"/>
      <c r="P56" s="329"/>
      <c r="Q56" s="329"/>
      <c r="R56" s="329"/>
      <c r="S56" s="329"/>
      <c r="T56" s="329"/>
      <c r="U56" s="329"/>
      <c r="V56" s="329"/>
      <c r="W56" s="1626"/>
    </row>
    <row r="57" spans="2:23" x14ac:dyDescent="0.2">
      <c r="B57" s="1632"/>
      <c r="C57" s="329"/>
      <c r="D57" s="329"/>
      <c r="E57" s="329"/>
      <c r="F57" s="329"/>
      <c r="G57" s="329"/>
      <c r="H57" s="329"/>
      <c r="I57" s="329"/>
      <c r="J57" s="329"/>
      <c r="K57" s="329"/>
      <c r="L57" s="329"/>
      <c r="M57" s="329"/>
      <c r="N57" s="329"/>
      <c r="O57" s="329"/>
      <c r="P57" s="329"/>
      <c r="Q57" s="329"/>
      <c r="R57" s="329"/>
      <c r="S57" s="329"/>
      <c r="T57" s="329"/>
      <c r="U57" s="329"/>
      <c r="V57" s="329"/>
      <c r="W57" s="1626"/>
    </row>
    <row r="58" spans="2:23" x14ac:dyDescent="0.2">
      <c r="B58" s="1632"/>
      <c r="C58" s="329"/>
      <c r="D58" s="329"/>
      <c r="E58" s="329"/>
      <c r="F58" s="329"/>
      <c r="G58" s="329"/>
      <c r="H58" s="329"/>
      <c r="I58" s="329"/>
      <c r="J58" s="329"/>
      <c r="K58" s="329"/>
      <c r="L58" s="329"/>
      <c r="M58" s="329"/>
      <c r="N58" s="329"/>
      <c r="O58" s="329"/>
      <c r="P58" s="329"/>
      <c r="Q58" s="329"/>
      <c r="R58" s="329"/>
      <c r="S58" s="329"/>
      <c r="T58" s="329"/>
      <c r="U58" s="329"/>
      <c r="V58" s="329"/>
      <c r="W58" s="1626"/>
    </row>
    <row r="59" spans="2:23" x14ac:dyDescent="0.2">
      <c r="B59" s="1632"/>
      <c r="C59" s="329"/>
      <c r="D59" s="329"/>
      <c r="E59" s="329"/>
      <c r="F59" s="329"/>
      <c r="G59" s="329"/>
      <c r="H59" s="329"/>
      <c r="I59" s="329"/>
      <c r="J59" s="329"/>
      <c r="K59" s="329"/>
      <c r="L59" s="329"/>
      <c r="M59" s="329"/>
      <c r="N59" s="329"/>
      <c r="O59" s="329"/>
      <c r="P59" s="329"/>
      <c r="Q59" s="329"/>
      <c r="R59" s="329"/>
      <c r="S59" s="329"/>
      <c r="T59" s="329"/>
      <c r="U59" s="329"/>
      <c r="V59" s="329"/>
      <c r="W59" s="1626"/>
    </row>
    <row r="60" spans="2:23" x14ac:dyDescent="0.2">
      <c r="B60" s="1632"/>
      <c r="C60" s="329"/>
      <c r="D60" s="329"/>
      <c r="E60" s="329"/>
      <c r="F60" s="329"/>
      <c r="G60" s="329"/>
      <c r="H60" s="329"/>
      <c r="I60" s="329"/>
      <c r="J60" s="329"/>
      <c r="K60" s="329"/>
      <c r="L60" s="329"/>
      <c r="M60" s="329"/>
      <c r="N60" s="329"/>
      <c r="O60" s="329"/>
      <c r="P60" s="329"/>
      <c r="Q60" s="329"/>
      <c r="R60" s="329"/>
      <c r="S60" s="329"/>
      <c r="T60" s="329"/>
      <c r="U60" s="329"/>
      <c r="V60" s="329"/>
      <c r="W60" s="1626"/>
    </row>
    <row r="61" spans="2:23" x14ac:dyDescent="0.2">
      <c r="B61" s="1632"/>
      <c r="C61" s="329"/>
      <c r="D61" s="329"/>
      <c r="E61" s="329"/>
      <c r="F61" s="329"/>
      <c r="G61" s="329"/>
      <c r="H61" s="329"/>
      <c r="I61" s="329"/>
      <c r="J61" s="329"/>
      <c r="K61" s="329"/>
      <c r="L61" s="329"/>
      <c r="M61" s="329"/>
      <c r="N61" s="329"/>
      <c r="O61" s="329"/>
      <c r="P61" s="329"/>
      <c r="Q61" s="329"/>
      <c r="R61" s="329"/>
      <c r="S61" s="329"/>
      <c r="T61" s="329"/>
      <c r="U61" s="329"/>
      <c r="V61" s="329"/>
      <c r="W61" s="1626"/>
    </row>
    <row r="62" spans="2:23" x14ac:dyDescent="0.2">
      <c r="B62" s="1632"/>
      <c r="C62" s="329"/>
      <c r="D62" s="329"/>
      <c r="E62" s="329"/>
      <c r="F62" s="329"/>
      <c r="G62" s="329"/>
      <c r="H62" s="329"/>
      <c r="I62" s="329"/>
      <c r="J62" s="329"/>
      <c r="K62" s="329"/>
      <c r="L62" s="329"/>
      <c r="M62" s="329"/>
      <c r="N62" s="329"/>
      <c r="O62" s="329"/>
      <c r="P62" s="329"/>
      <c r="Q62" s="329"/>
      <c r="R62" s="329"/>
      <c r="S62" s="329"/>
      <c r="T62" s="329"/>
      <c r="U62" s="329"/>
      <c r="V62" s="329"/>
      <c r="W62" s="1626"/>
    </row>
    <row r="63" spans="2:23" x14ac:dyDescent="0.2">
      <c r="B63" s="1632"/>
      <c r="C63" s="329"/>
      <c r="D63" s="329"/>
      <c r="E63" s="329"/>
      <c r="F63" s="329"/>
      <c r="G63" s="329"/>
      <c r="H63" s="329"/>
      <c r="I63" s="329"/>
      <c r="J63" s="329"/>
      <c r="K63" s="329"/>
      <c r="L63" s="329"/>
      <c r="M63" s="329"/>
      <c r="N63" s="329"/>
      <c r="O63" s="329"/>
      <c r="P63" s="329"/>
      <c r="Q63" s="329"/>
      <c r="R63" s="329"/>
      <c r="S63" s="329"/>
      <c r="T63" s="329"/>
      <c r="U63" s="329"/>
      <c r="V63" s="329"/>
      <c r="W63" s="1626"/>
    </row>
    <row r="64" spans="2:23" x14ac:dyDescent="0.2">
      <c r="B64" s="1632"/>
      <c r="C64" s="329"/>
      <c r="D64" s="329"/>
      <c r="E64" s="329"/>
      <c r="F64" s="329"/>
      <c r="G64" s="329"/>
      <c r="H64" s="329"/>
      <c r="I64" s="329"/>
      <c r="J64" s="329"/>
      <c r="K64" s="329"/>
      <c r="L64" s="329"/>
      <c r="M64" s="329"/>
      <c r="N64" s="329"/>
      <c r="O64" s="329"/>
      <c r="P64" s="329"/>
      <c r="Q64" s="329"/>
      <c r="R64" s="329"/>
      <c r="S64" s="329"/>
      <c r="T64" s="329"/>
      <c r="U64" s="329"/>
      <c r="V64" s="329"/>
      <c r="W64" s="1626"/>
    </row>
    <row r="65" spans="2:23" x14ac:dyDescent="0.2">
      <c r="B65" s="1632"/>
      <c r="C65" s="329"/>
      <c r="D65" s="329"/>
      <c r="E65" s="329"/>
      <c r="F65" s="329"/>
      <c r="G65" s="329"/>
      <c r="H65" s="329"/>
      <c r="I65" s="329"/>
      <c r="J65" s="329"/>
      <c r="K65" s="329"/>
      <c r="L65" s="329"/>
      <c r="M65" s="329"/>
      <c r="N65" s="329"/>
      <c r="O65" s="329"/>
      <c r="P65" s="329"/>
      <c r="Q65" s="329"/>
      <c r="R65" s="329"/>
      <c r="S65" s="329"/>
      <c r="T65" s="329"/>
      <c r="U65" s="329"/>
      <c r="V65" s="329"/>
      <c r="W65" s="1626"/>
    </row>
    <row r="66" spans="2:23" x14ac:dyDescent="0.2">
      <c r="B66" s="1632"/>
      <c r="C66" s="329"/>
      <c r="D66" s="329"/>
      <c r="E66" s="329"/>
      <c r="F66" s="329"/>
      <c r="G66" s="329"/>
      <c r="H66" s="329"/>
      <c r="I66" s="329"/>
      <c r="J66" s="329"/>
      <c r="K66" s="329"/>
      <c r="L66" s="329"/>
      <c r="M66" s="329"/>
      <c r="N66" s="329"/>
      <c r="O66" s="329"/>
      <c r="P66" s="329"/>
      <c r="Q66" s="329"/>
      <c r="R66" s="329"/>
      <c r="S66" s="329"/>
      <c r="T66" s="329"/>
      <c r="U66" s="329"/>
      <c r="V66" s="329"/>
      <c r="W66" s="1626"/>
    </row>
    <row r="67" spans="2:23" x14ac:dyDescent="0.2">
      <c r="B67" s="1632"/>
      <c r="C67" s="329"/>
      <c r="D67" s="329"/>
      <c r="E67" s="329"/>
      <c r="F67" s="329"/>
      <c r="G67" s="329"/>
      <c r="H67" s="329"/>
      <c r="I67" s="329"/>
      <c r="J67" s="329"/>
      <c r="K67" s="329"/>
      <c r="L67" s="329"/>
      <c r="M67" s="329"/>
      <c r="N67" s="329"/>
      <c r="O67" s="329"/>
      <c r="P67" s="329"/>
      <c r="Q67" s="329"/>
      <c r="R67" s="329"/>
      <c r="S67" s="329"/>
      <c r="T67" s="329"/>
      <c r="U67" s="329"/>
      <c r="V67" s="329"/>
      <c r="W67" s="1626"/>
    </row>
    <row r="68" spans="2:23" x14ac:dyDescent="0.2">
      <c r="B68" s="1632"/>
      <c r="C68" s="329"/>
      <c r="D68" s="329"/>
      <c r="E68" s="329"/>
      <c r="F68" s="329"/>
      <c r="G68" s="329"/>
      <c r="H68" s="329"/>
      <c r="I68" s="329"/>
      <c r="J68" s="329"/>
      <c r="K68" s="329"/>
      <c r="L68" s="329"/>
      <c r="M68" s="329"/>
      <c r="N68" s="329"/>
      <c r="O68" s="329"/>
      <c r="P68" s="329"/>
      <c r="Q68" s="329"/>
      <c r="R68" s="329"/>
      <c r="S68" s="329"/>
      <c r="T68" s="329"/>
      <c r="U68" s="329"/>
      <c r="V68" s="329"/>
      <c r="W68" s="1626"/>
    </row>
    <row r="69" spans="2:23" x14ac:dyDescent="0.2">
      <c r="B69" s="1632"/>
      <c r="C69" s="329"/>
      <c r="D69" s="329"/>
      <c r="E69" s="329"/>
      <c r="F69" s="329"/>
      <c r="G69" s="329"/>
      <c r="H69" s="329"/>
      <c r="I69" s="329"/>
      <c r="J69" s="329"/>
      <c r="K69" s="329"/>
      <c r="L69" s="329"/>
      <c r="M69" s="329"/>
      <c r="N69" s="329"/>
      <c r="O69" s="329"/>
      <c r="P69" s="329"/>
      <c r="Q69" s="329"/>
      <c r="R69" s="329"/>
      <c r="S69" s="329"/>
      <c r="T69" s="329"/>
      <c r="U69" s="329"/>
      <c r="V69" s="329"/>
      <c r="W69" s="1626"/>
    </row>
    <row r="70" spans="2:23" x14ac:dyDescent="0.2">
      <c r="B70" s="1632"/>
      <c r="C70" s="329"/>
      <c r="D70" s="329"/>
      <c r="E70" s="329"/>
      <c r="F70" s="329"/>
      <c r="G70" s="329"/>
      <c r="H70" s="329"/>
      <c r="I70" s="329"/>
      <c r="J70" s="329"/>
      <c r="K70" s="329"/>
      <c r="L70" s="329"/>
      <c r="M70" s="329"/>
      <c r="N70" s="329"/>
      <c r="O70" s="329"/>
      <c r="P70" s="329"/>
      <c r="Q70" s="329"/>
      <c r="R70" s="329"/>
      <c r="S70" s="329"/>
      <c r="T70" s="329"/>
      <c r="U70" s="329"/>
      <c r="V70" s="329"/>
      <c r="W70" s="1626"/>
    </row>
    <row r="71" spans="2:23" x14ac:dyDescent="0.2">
      <c r="B71" s="1632"/>
      <c r="C71" s="329"/>
      <c r="D71" s="329"/>
      <c r="E71" s="329"/>
      <c r="F71" s="329"/>
      <c r="G71" s="329"/>
      <c r="H71" s="329"/>
      <c r="I71" s="329"/>
      <c r="J71" s="329"/>
      <c r="K71" s="329"/>
      <c r="L71" s="329"/>
      <c r="M71" s="329"/>
      <c r="N71" s="329"/>
      <c r="O71" s="329"/>
      <c r="P71" s="329"/>
      <c r="Q71" s="329"/>
      <c r="R71" s="329"/>
      <c r="S71" s="329"/>
      <c r="T71" s="329"/>
      <c r="U71" s="329"/>
      <c r="V71" s="329"/>
      <c r="W71" s="1626"/>
    </row>
    <row r="72" spans="2:23" x14ac:dyDescent="0.2">
      <c r="B72" s="1632"/>
      <c r="C72" s="329"/>
      <c r="D72" s="329"/>
      <c r="E72" s="329"/>
      <c r="F72" s="329"/>
      <c r="G72" s="329"/>
      <c r="H72" s="329"/>
      <c r="I72" s="329"/>
      <c r="J72" s="329"/>
      <c r="K72" s="329"/>
      <c r="L72" s="329"/>
      <c r="M72" s="329"/>
      <c r="N72" s="329"/>
      <c r="O72" s="329"/>
      <c r="P72" s="329"/>
      <c r="Q72" s="329"/>
      <c r="R72" s="329"/>
      <c r="S72" s="329"/>
      <c r="T72" s="329"/>
      <c r="U72" s="329"/>
      <c r="V72" s="329"/>
      <c r="W72" s="1626"/>
    </row>
    <row r="73" spans="2:23" x14ac:dyDescent="0.2">
      <c r="B73" s="1632"/>
      <c r="C73" s="329"/>
      <c r="D73" s="329"/>
      <c r="E73" s="329"/>
      <c r="F73" s="329"/>
      <c r="G73" s="329"/>
      <c r="H73" s="329"/>
      <c r="I73" s="329"/>
      <c r="J73" s="329"/>
      <c r="K73" s="329"/>
      <c r="L73" s="329"/>
      <c r="M73" s="329"/>
      <c r="N73" s="329"/>
      <c r="O73" s="329"/>
      <c r="P73" s="329"/>
      <c r="Q73" s="329"/>
      <c r="R73" s="329"/>
      <c r="S73" s="329"/>
      <c r="T73" s="329"/>
      <c r="U73" s="329"/>
      <c r="V73" s="329"/>
      <c r="W73" s="1626"/>
    </row>
    <row r="74" spans="2:23" x14ac:dyDescent="0.2">
      <c r="B74" s="1632"/>
      <c r="C74" s="329"/>
      <c r="D74" s="329"/>
      <c r="E74" s="329"/>
      <c r="F74" s="329"/>
      <c r="G74" s="329"/>
      <c r="H74" s="329"/>
      <c r="I74" s="329"/>
      <c r="J74" s="329"/>
      <c r="K74" s="329"/>
      <c r="L74" s="329"/>
      <c r="M74" s="329"/>
      <c r="N74" s="329"/>
      <c r="O74" s="329"/>
      <c r="P74" s="329"/>
      <c r="Q74" s="329"/>
      <c r="R74" s="329"/>
      <c r="S74" s="329"/>
      <c r="T74" s="329"/>
      <c r="U74" s="329"/>
      <c r="V74" s="329"/>
      <c r="W74" s="1626"/>
    </row>
    <row r="75" spans="2:23" x14ac:dyDescent="0.2">
      <c r="B75" s="1632"/>
      <c r="C75" s="329"/>
      <c r="D75" s="329"/>
      <c r="E75" s="329"/>
      <c r="F75" s="329"/>
      <c r="G75" s="329"/>
      <c r="H75" s="329"/>
      <c r="I75" s="329"/>
      <c r="J75" s="329"/>
      <c r="K75" s="329"/>
      <c r="L75" s="329"/>
      <c r="M75" s="329"/>
      <c r="N75" s="329"/>
      <c r="O75" s="329"/>
      <c r="P75" s="329"/>
      <c r="Q75" s="329"/>
      <c r="R75" s="329"/>
      <c r="S75" s="329"/>
      <c r="T75" s="329"/>
      <c r="U75" s="329"/>
      <c r="V75" s="329"/>
      <c r="W75" s="1626"/>
    </row>
    <row r="76" spans="2:23" x14ac:dyDescent="0.2">
      <c r="B76" s="1632"/>
      <c r="C76" s="329"/>
      <c r="D76" s="329"/>
      <c r="E76" s="329"/>
      <c r="F76" s="329"/>
      <c r="G76" s="329"/>
      <c r="H76" s="329"/>
      <c r="I76" s="329"/>
      <c r="J76" s="329"/>
      <c r="K76" s="329"/>
      <c r="L76" s="329"/>
      <c r="M76" s="329"/>
      <c r="N76" s="329"/>
      <c r="O76" s="329"/>
      <c r="P76" s="329"/>
      <c r="Q76" s="329"/>
      <c r="R76" s="329"/>
      <c r="S76" s="329"/>
      <c r="T76" s="329"/>
      <c r="U76" s="329"/>
      <c r="V76" s="329"/>
      <c r="W76" s="1626"/>
    </row>
    <row r="77" spans="2:23" x14ac:dyDescent="0.2">
      <c r="B77" s="1632"/>
      <c r="C77" s="329"/>
      <c r="D77" s="329"/>
      <c r="E77" s="329"/>
      <c r="F77" s="329"/>
      <c r="G77" s="329"/>
      <c r="H77" s="329"/>
      <c r="I77" s="329"/>
      <c r="J77" s="329"/>
      <c r="K77" s="329"/>
      <c r="L77" s="329"/>
      <c r="M77" s="329"/>
      <c r="N77" s="329"/>
      <c r="O77" s="329"/>
      <c r="P77" s="329"/>
      <c r="Q77" s="329"/>
      <c r="R77" s="329"/>
      <c r="S77" s="329"/>
      <c r="T77" s="329"/>
      <c r="U77" s="329"/>
      <c r="V77" s="329"/>
      <c r="W77" s="1626"/>
    </row>
    <row r="78" spans="2:23" x14ac:dyDescent="0.2">
      <c r="B78" s="1632"/>
      <c r="C78" s="329"/>
      <c r="D78" s="329"/>
      <c r="E78" s="329"/>
      <c r="F78" s="329"/>
      <c r="G78" s="329"/>
      <c r="H78" s="329"/>
      <c r="I78" s="329"/>
      <c r="J78" s="329"/>
      <c r="K78" s="329"/>
      <c r="L78" s="329"/>
      <c r="M78" s="329"/>
      <c r="N78" s="329"/>
      <c r="O78" s="329"/>
      <c r="P78" s="329"/>
      <c r="Q78" s="329"/>
      <c r="R78" s="329"/>
      <c r="S78" s="329"/>
      <c r="T78" s="329"/>
      <c r="U78" s="329"/>
      <c r="V78" s="329"/>
      <c r="W78" s="1626"/>
    </row>
    <row r="79" spans="2:23" x14ac:dyDescent="0.2">
      <c r="B79" s="1632"/>
      <c r="C79" s="329"/>
      <c r="D79" s="329"/>
      <c r="E79" s="329"/>
      <c r="F79" s="329"/>
      <c r="G79" s="329"/>
      <c r="H79" s="329"/>
      <c r="I79" s="329"/>
      <c r="J79" s="329"/>
      <c r="K79" s="329"/>
      <c r="L79" s="329"/>
      <c r="M79" s="329"/>
      <c r="N79" s="329"/>
      <c r="O79" s="329"/>
      <c r="P79" s="329"/>
      <c r="Q79" s="329"/>
      <c r="R79" s="329"/>
      <c r="S79" s="329"/>
      <c r="T79" s="329"/>
      <c r="U79" s="329"/>
      <c r="V79" s="329"/>
      <c r="W79" s="1626"/>
    </row>
    <row r="80" spans="2:23" x14ac:dyDescent="0.2">
      <c r="B80" s="1632"/>
      <c r="C80" s="329"/>
      <c r="D80" s="329"/>
      <c r="E80" s="329"/>
      <c r="F80" s="329"/>
      <c r="G80" s="329"/>
      <c r="H80" s="329"/>
      <c r="I80" s="329"/>
      <c r="J80" s="329"/>
      <c r="K80" s="329"/>
      <c r="L80" s="329"/>
      <c r="M80" s="329"/>
      <c r="N80" s="329"/>
      <c r="O80" s="329"/>
      <c r="P80" s="329"/>
      <c r="Q80" s="329"/>
      <c r="R80" s="329"/>
      <c r="S80" s="329"/>
      <c r="T80" s="329"/>
      <c r="U80" s="329"/>
      <c r="V80" s="329"/>
      <c r="W80" s="1626"/>
    </row>
    <row r="81" spans="2:23" x14ac:dyDescent="0.2">
      <c r="B81" s="1632"/>
      <c r="C81" s="329"/>
      <c r="D81" s="329"/>
      <c r="E81" s="329"/>
      <c r="F81" s="329"/>
      <c r="G81" s="329"/>
      <c r="H81" s="329"/>
      <c r="I81" s="329"/>
      <c r="J81" s="329"/>
      <c r="K81" s="329"/>
      <c r="L81" s="329"/>
      <c r="M81" s="329"/>
      <c r="N81" s="329"/>
      <c r="O81" s="329"/>
      <c r="P81" s="329"/>
      <c r="Q81" s="329"/>
      <c r="R81" s="329"/>
      <c r="S81" s="329"/>
      <c r="T81" s="329"/>
      <c r="U81" s="329"/>
      <c r="V81" s="329"/>
      <c r="W81" s="1626"/>
    </row>
    <row r="82" spans="2:23" x14ac:dyDescent="0.2">
      <c r="B82" s="1632"/>
      <c r="C82" s="329"/>
      <c r="D82" s="329"/>
      <c r="E82" s="329"/>
      <c r="F82" s="329"/>
      <c r="G82" s="329"/>
      <c r="H82" s="329"/>
      <c r="I82" s="329"/>
      <c r="J82" s="329"/>
      <c r="K82" s="329"/>
      <c r="L82" s="329"/>
      <c r="M82" s="329"/>
      <c r="N82" s="329"/>
      <c r="O82" s="329"/>
      <c r="P82" s="329"/>
      <c r="Q82" s="329"/>
      <c r="R82" s="329"/>
      <c r="S82" s="329"/>
      <c r="T82" s="329"/>
      <c r="U82" s="329"/>
      <c r="V82" s="329"/>
      <c r="W82" s="1626"/>
    </row>
    <row r="83" spans="2:23" x14ac:dyDescent="0.2">
      <c r="B83" s="1632"/>
      <c r="C83" s="329"/>
      <c r="D83" s="329"/>
      <c r="E83" s="329"/>
      <c r="F83" s="329"/>
      <c r="G83" s="329"/>
      <c r="H83" s="329"/>
      <c r="I83" s="329"/>
      <c r="J83" s="329"/>
      <c r="K83" s="329"/>
      <c r="L83" s="329"/>
      <c r="M83" s="329"/>
      <c r="N83" s="329"/>
      <c r="O83" s="329"/>
      <c r="P83" s="329"/>
      <c r="Q83" s="329"/>
      <c r="R83" s="329"/>
      <c r="S83" s="329"/>
      <c r="T83" s="329"/>
      <c r="U83" s="329"/>
      <c r="V83" s="329"/>
      <c r="W83" s="1626"/>
    </row>
    <row r="84" spans="2:23" x14ac:dyDescent="0.2">
      <c r="B84" s="1632"/>
      <c r="C84" s="329"/>
      <c r="D84" s="329"/>
      <c r="E84" s="329"/>
      <c r="F84" s="329"/>
      <c r="G84" s="329"/>
      <c r="H84" s="329"/>
      <c r="I84" s="329"/>
      <c r="J84" s="329"/>
      <c r="K84" s="329"/>
      <c r="L84" s="329"/>
      <c r="M84" s="329"/>
      <c r="N84" s="329"/>
      <c r="O84" s="329"/>
      <c r="P84" s="329"/>
      <c r="Q84" s="329"/>
      <c r="R84" s="329"/>
      <c r="S84" s="329"/>
      <c r="T84" s="329"/>
      <c r="U84" s="329"/>
      <c r="V84" s="329"/>
      <c r="W84" s="1626"/>
    </row>
    <row r="85" spans="2:23" x14ac:dyDescent="0.2">
      <c r="B85" s="1632"/>
      <c r="C85" s="329"/>
      <c r="D85" s="329"/>
      <c r="E85" s="329"/>
      <c r="F85" s="329"/>
      <c r="G85" s="329"/>
      <c r="H85" s="329"/>
      <c r="I85" s="329"/>
      <c r="J85" s="329"/>
      <c r="K85" s="329"/>
      <c r="L85" s="329"/>
      <c r="M85" s="329"/>
      <c r="N85" s="329"/>
      <c r="O85" s="329"/>
      <c r="P85" s="329"/>
      <c r="Q85" s="329"/>
      <c r="R85" s="329"/>
      <c r="S85" s="329"/>
      <c r="T85" s="329"/>
      <c r="U85" s="329"/>
      <c r="V85" s="329"/>
      <c r="W85" s="1626"/>
    </row>
    <row r="86" spans="2:23" x14ac:dyDescent="0.2">
      <c r="B86" s="1632"/>
      <c r="C86" s="329"/>
      <c r="D86" s="329"/>
      <c r="E86" s="329"/>
      <c r="F86" s="329"/>
      <c r="G86" s="329"/>
      <c r="H86" s="329"/>
      <c r="I86" s="329"/>
      <c r="J86" s="329"/>
      <c r="K86" s="329"/>
      <c r="L86" s="329"/>
      <c r="M86" s="329"/>
      <c r="N86" s="329"/>
      <c r="O86" s="329"/>
      <c r="P86" s="329"/>
      <c r="Q86" s="329"/>
      <c r="R86" s="329"/>
      <c r="S86" s="329"/>
      <c r="T86" s="329"/>
      <c r="U86" s="329"/>
      <c r="V86" s="329"/>
      <c r="W86" s="1626"/>
    </row>
    <row r="87" spans="2:23" x14ac:dyDescent="0.2">
      <c r="B87" s="1632"/>
      <c r="C87" s="329"/>
      <c r="D87" s="329"/>
      <c r="E87" s="329"/>
      <c r="F87" s="329"/>
      <c r="G87" s="329"/>
      <c r="H87" s="329"/>
      <c r="I87" s="329"/>
      <c r="J87" s="329"/>
      <c r="K87" s="329"/>
      <c r="L87" s="329"/>
      <c r="M87" s="329"/>
      <c r="N87" s="329"/>
      <c r="O87" s="329"/>
      <c r="P87" s="329"/>
      <c r="Q87" s="329"/>
      <c r="R87" s="329"/>
      <c r="S87" s="329"/>
      <c r="T87" s="329"/>
      <c r="U87" s="329"/>
      <c r="V87" s="329"/>
      <c r="W87" s="1626"/>
    </row>
    <row r="88" spans="2:23" x14ac:dyDescent="0.2">
      <c r="B88" s="1632"/>
      <c r="C88" s="329"/>
      <c r="D88" s="329"/>
      <c r="E88" s="329"/>
      <c r="F88" s="329"/>
      <c r="G88" s="329"/>
      <c r="H88" s="329"/>
      <c r="I88" s="329"/>
      <c r="J88" s="329"/>
      <c r="K88" s="329"/>
      <c r="L88" s="329"/>
      <c r="M88" s="329"/>
      <c r="N88" s="329"/>
      <c r="O88" s="329"/>
      <c r="P88" s="329"/>
      <c r="Q88" s="329"/>
      <c r="R88" s="329"/>
      <c r="S88" s="329"/>
      <c r="T88" s="329"/>
      <c r="U88" s="329"/>
      <c r="V88" s="329"/>
      <c r="W88" s="1626"/>
    </row>
    <row r="89" spans="2:23" x14ac:dyDescent="0.2">
      <c r="B89" s="1632"/>
      <c r="C89" s="329"/>
      <c r="D89" s="329"/>
      <c r="E89" s="329"/>
      <c r="F89" s="329"/>
      <c r="G89" s="329"/>
      <c r="H89" s="329"/>
      <c r="I89" s="329"/>
      <c r="J89" s="329"/>
      <c r="K89" s="329"/>
      <c r="L89" s="329"/>
      <c r="M89" s="329"/>
      <c r="N89" s="329"/>
      <c r="O89" s="329"/>
      <c r="P89" s="329"/>
      <c r="Q89" s="329"/>
      <c r="R89" s="329"/>
      <c r="S89" s="329"/>
      <c r="T89" s="329"/>
      <c r="U89" s="329"/>
      <c r="V89" s="329"/>
      <c r="W89" s="1626"/>
    </row>
    <row r="90" spans="2:23" x14ac:dyDescent="0.2">
      <c r="B90" s="1632"/>
      <c r="C90" s="329"/>
      <c r="D90" s="329"/>
      <c r="E90" s="329"/>
      <c r="F90" s="329"/>
      <c r="G90" s="329"/>
      <c r="H90" s="329"/>
      <c r="I90" s="329"/>
      <c r="J90" s="329"/>
      <c r="K90" s="329"/>
      <c r="L90" s="329"/>
      <c r="M90" s="329"/>
      <c r="N90" s="329"/>
      <c r="O90" s="329"/>
      <c r="P90" s="329"/>
      <c r="Q90" s="329"/>
      <c r="R90" s="329"/>
      <c r="S90" s="329"/>
      <c r="T90" s="329"/>
      <c r="U90" s="329"/>
      <c r="V90" s="329"/>
      <c r="W90" s="1626"/>
    </row>
    <row r="91" spans="2:23" x14ac:dyDescent="0.2">
      <c r="B91" s="1632"/>
      <c r="C91" s="329"/>
      <c r="D91" s="329"/>
      <c r="E91" s="329"/>
      <c r="F91" s="329"/>
      <c r="G91" s="329"/>
      <c r="H91" s="329"/>
      <c r="I91" s="329"/>
      <c r="J91" s="329"/>
      <c r="K91" s="329"/>
      <c r="L91" s="329"/>
      <c r="M91" s="329"/>
      <c r="N91" s="329"/>
      <c r="O91" s="329"/>
      <c r="P91" s="329"/>
      <c r="Q91" s="329"/>
      <c r="R91" s="329"/>
      <c r="S91" s="329"/>
      <c r="T91" s="329"/>
      <c r="U91" s="329"/>
      <c r="V91" s="329"/>
      <c r="W91" s="1626"/>
    </row>
    <row r="92" spans="2:23" x14ac:dyDescent="0.2">
      <c r="B92" s="1632"/>
      <c r="C92" s="329"/>
      <c r="D92" s="329"/>
      <c r="E92" s="329"/>
      <c r="F92" s="329"/>
      <c r="G92" s="329"/>
      <c r="H92" s="329"/>
      <c r="I92" s="329"/>
      <c r="J92" s="329"/>
      <c r="K92" s="329"/>
      <c r="L92" s="329"/>
      <c r="M92" s="329"/>
      <c r="N92" s="329"/>
      <c r="O92" s="329"/>
      <c r="P92" s="329"/>
      <c r="Q92" s="329"/>
      <c r="R92" s="329"/>
      <c r="S92" s="329"/>
      <c r="T92" s="329"/>
      <c r="U92" s="329"/>
      <c r="V92" s="329"/>
      <c r="W92" s="1626"/>
    </row>
    <row r="93" spans="2:23" x14ac:dyDescent="0.2">
      <c r="B93" s="1632"/>
      <c r="C93" s="329"/>
      <c r="D93" s="329"/>
      <c r="E93" s="329"/>
      <c r="F93" s="329"/>
      <c r="G93" s="329"/>
      <c r="H93" s="329"/>
      <c r="I93" s="329"/>
      <c r="J93" s="329"/>
      <c r="K93" s="329"/>
      <c r="L93" s="329"/>
      <c r="M93" s="329"/>
      <c r="N93" s="329"/>
      <c r="O93" s="329"/>
      <c r="P93" s="329"/>
      <c r="Q93" s="329"/>
      <c r="R93" s="329"/>
      <c r="S93" s="329"/>
      <c r="T93" s="329"/>
      <c r="U93" s="329"/>
      <c r="V93" s="329"/>
      <c r="W93" s="1626"/>
    </row>
    <row r="94" spans="2:23" x14ac:dyDescent="0.2">
      <c r="B94" s="1632"/>
      <c r="C94" s="329"/>
      <c r="D94" s="329"/>
      <c r="E94" s="329"/>
      <c r="F94" s="329"/>
      <c r="G94" s="329"/>
      <c r="H94" s="329"/>
      <c r="I94" s="329"/>
      <c r="J94" s="329"/>
      <c r="K94" s="329"/>
      <c r="L94" s="329"/>
      <c r="M94" s="329"/>
      <c r="N94" s="329"/>
      <c r="O94" s="329"/>
      <c r="P94" s="329"/>
      <c r="Q94" s="329"/>
      <c r="R94" s="329"/>
      <c r="S94" s="329"/>
      <c r="T94" s="329"/>
      <c r="U94" s="329"/>
      <c r="V94" s="329"/>
      <c r="W94" s="1626"/>
    </row>
    <row r="95" spans="2:23" x14ac:dyDescent="0.2">
      <c r="B95" s="1632"/>
      <c r="C95" s="329"/>
      <c r="D95" s="329"/>
      <c r="E95" s="329"/>
      <c r="F95" s="329"/>
      <c r="G95" s="329"/>
      <c r="H95" s="329"/>
      <c r="I95" s="329"/>
      <c r="J95" s="329"/>
      <c r="K95" s="329"/>
      <c r="L95" s="329"/>
      <c r="M95" s="329"/>
      <c r="N95" s="329"/>
      <c r="O95" s="329"/>
      <c r="P95" s="329"/>
      <c r="Q95" s="329"/>
      <c r="R95" s="329"/>
      <c r="S95" s="329"/>
      <c r="T95" s="329"/>
      <c r="U95" s="329"/>
      <c r="V95" s="329"/>
      <c r="W95" s="1626"/>
    </row>
    <row r="96" spans="2:23" x14ac:dyDescent="0.2">
      <c r="B96" s="1632"/>
      <c r="C96" s="329"/>
      <c r="D96" s="329"/>
      <c r="E96" s="329"/>
      <c r="F96" s="329"/>
      <c r="G96" s="329"/>
      <c r="H96" s="329"/>
      <c r="I96" s="329"/>
      <c r="J96" s="329"/>
      <c r="K96" s="329"/>
      <c r="L96" s="329"/>
      <c r="M96" s="329"/>
      <c r="N96" s="329"/>
      <c r="O96" s="329"/>
      <c r="P96" s="329"/>
      <c r="Q96" s="329"/>
      <c r="R96" s="329"/>
      <c r="S96" s="329"/>
      <c r="T96" s="329"/>
      <c r="U96" s="329"/>
      <c r="V96" s="329"/>
      <c r="W96" s="1626"/>
    </row>
    <row r="97" spans="2:23" x14ac:dyDescent="0.2">
      <c r="B97" s="1632"/>
      <c r="C97" s="329"/>
      <c r="D97" s="329"/>
      <c r="E97" s="329"/>
      <c r="F97" s="329"/>
      <c r="G97" s="329"/>
      <c r="H97" s="329"/>
      <c r="I97" s="329"/>
      <c r="J97" s="329"/>
      <c r="K97" s="329"/>
      <c r="L97" s="329"/>
      <c r="M97" s="329"/>
      <c r="N97" s="329"/>
      <c r="O97" s="329"/>
      <c r="P97" s="329"/>
      <c r="Q97" s="329"/>
      <c r="R97" s="329"/>
      <c r="S97" s="329"/>
      <c r="T97" s="329"/>
      <c r="U97" s="329"/>
      <c r="V97" s="329"/>
      <c r="W97" s="1626"/>
    </row>
    <row r="98" spans="2:23" x14ac:dyDescent="0.2">
      <c r="B98" s="1632"/>
      <c r="C98" s="329"/>
      <c r="D98" s="329"/>
      <c r="E98" s="329"/>
      <c r="F98" s="329"/>
      <c r="G98" s="329"/>
      <c r="H98" s="329"/>
      <c r="I98" s="329"/>
      <c r="J98" s="329"/>
      <c r="K98" s="329"/>
      <c r="L98" s="329"/>
      <c r="M98" s="329"/>
      <c r="N98" s="329"/>
      <c r="O98" s="329"/>
      <c r="P98" s="329"/>
      <c r="Q98" s="329"/>
      <c r="R98" s="329"/>
      <c r="S98" s="329"/>
      <c r="T98" s="329"/>
      <c r="U98" s="329"/>
      <c r="V98" s="329"/>
      <c r="W98" s="1626"/>
    </row>
    <row r="99" spans="2:23" x14ac:dyDescent="0.2">
      <c r="B99" s="1632"/>
      <c r="C99" s="329"/>
      <c r="D99" s="329"/>
      <c r="E99" s="329"/>
      <c r="F99" s="329"/>
      <c r="G99" s="329"/>
      <c r="H99" s="329"/>
      <c r="I99" s="329"/>
      <c r="J99" s="329"/>
      <c r="K99" s="329"/>
      <c r="L99" s="329"/>
      <c r="M99" s="329"/>
      <c r="N99" s="329"/>
      <c r="O99" s="329"/>
      <c r="P99" s="329"/>
      <c r="Q99" s="329"/>
      <c r="R99" s="329"/>
      <c r="S99" s="329"/>
      <c r="T99" s="329"/>
      <c r="U99" s="329"/>
      <c r="V99" s="329"/>
      <c r="W99" s="1626"/>
    </row>
    <row r="100" spans="2:23" ht="13.5" thickBot="1" x14ac:dyDescent="0.25">
      <c r="B100" s="2033"/>
      <c r="C100" s="1976"/>
      <c r="D100" s="1976"/>
      <c r="E100" s="1976"/>
      <c r="F100" s="1976"/>
      <c r="G100" s="1976"/>
      <c r="H100" s="1976"/>
      <c r="I100" s="1976"/>
      <c r="J100" s="1976"/>
      <c r="K100" s="1976"/>
      <c r="L100" s="1976"/>
      <c r="M100" s="1976"/>
      <c r="N100" s="1976"/>
      <c r="O100" s="1976"/>
      <c r="P100" s="1976"/>
      <c r="Q100" s="1976"/>
      <c r="R100" s="1976"/>
      <c r="S100" s="1976"/>
      <c r="T100" s="1976"/>
      <c r="U100" s="1976"/>
      <c r="V100" s="1976"/>
      <c r="W100" s="2056"/>
    </row>
  </sheetData>
  <mergeCells count="2">
    <mergeCell ref="B2:W4"/>
    <mergeCell ref="B6:W6"/>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0000"/>
    <pageSetUpPr fitToPage="1"/>
  </sheetPr>
  <dimension ref="A1:AF144"/>
  <sheetViews>
    <sheetView tabSelected="1" zoomScale="70" zoomScaleNormal="70" zoomScalePageLayoutView="70" workbookViewId="0">
      <selection activeCell="C12" sqref="C12:G14"/>
    </sheetView>
  </sheetViews>
  <sheetFormatPr defaultColWidth="8.85546875" defaultRowHeight="17.25" customHeight="1" x14ac:dyDescent="0.2"/>
  <cols>
    <col min="1" max="1" width="4" customWidth="1"/>
    <col min="2" max="2" width="2.7109375" customWidth="1"/>
    <col min="3" max="3" width="15.7109375" customWidth="1"/>
    <col min="4" max="6" width="20" customWidth="1"/>
    <col min="7" max="9" width="15.7109375" customWidth="1"/>
    <col min="10" max="10" width="17.42578125" customWidth="1"/>
    <col min="11" max="11" width="15.7109375" customWidth="1"/>
    <col min="12" max="12" width="17" customWidth="1"/>
    <col min="13" max="13" width="15.7109375" customWidth="1"/>
    <col min="14" max="14" width="16.42578125" customWidth="1"/>
    <col min="15" max="15" width="3.28515625" customWidth="1"/>
    <col min="16" max="16" width="4.42578125" customWidth="1"/>
    <col min="17" max="17" width="2.7109375" customWidth="1"/>
    <col min="18" max="18" width="39.28515625" customWidth="1"/>
    <col min="19" max="20" width="18.7109375" customWidth="1"/>
    <col min="21" max="21" width="6.7109375" customWidth="1"/>
    <col min="22" max="22" width="41" customWidth="1"/>
    <col min="23" max="24" width="19" customWidth="1"/>
    <col min="25" max="25" width="3.85546875" customWidth="1"/>
    <col min="26" max="26" width="4.7109375" customWidth="1"/>
    <col min="27" max="27" width="25.7109375" customWidth="1"/>
  </cols>
  <sheetData>
    <row r="1" spans="1:32" ht="17.25" customHeight="1" thickBot="1" x14ac:dyDescent="0.25">
      <c r="A1" s="14"/>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row>
    <row r="2" spans="1:32" ht="17.25" customHeight="1" x14ac:dyDescent="0.2">
      <c r="A2" s="39"/>
      <c r="B2" s="2257" t="s">
        <v>1528</v>
      </c>
      <c r="C2" s="2258"/>
      <c r="D2" s="2258"/>
      <c r="E2" s="2258"/>
      <c r="F2" s="2258"/>
      <c r="G2" s="2258"/>
      <c r="H2" s="2258"/>
      <c r="I2" s="2258"/>
      <c r="J2" s="2258"/>
      <c r="K2" s="2258"/>
      <c r="L2" s="2258"/>
      <c r="M2" s="2258"/>
      <c r="N2" s="2258"/>
      <c r="O2" s="2259"/>
      <c r="P2" s="14"/>
      <c r="Q2" s="2263" t="str">
        <f ca="1">"Main results for "&amp;'Assay Inventory'!C9</f>
        <v>Main results for Bonny Light_Chevron</v>
      </c>
      <c r="R2" s="2264"/>
      <c r="S2" s="2264"/>
      <c r="T2" s="2264"/>
      <c r="U2" s="2264"/>
      <c r="V2" s="2264"/>
      <c r="W2" s="2264"/>
      <c r="X2" s="2264"/>
      <c r="Y2" s="2265"/>
      <c r="Z2" s="14"/>
      <c r="AA2" s="14"/>
      <c r="AB2" s="14"/>
      <c r="AC2" s="14"/>
      <c r="AD2" s="14"/>
      <c r="AE2" s="14"/>
      <c r="AF2" s="14"/>
    </row>
    <row r="3" spans="1:32" ht="17.25" customHeight="1" x14ac:dyDescent="0.2">
      <c r="A3" s="39"/>
      <c r="B3" s="2260"/>
      <c r="C3" s="2261"/>
      <c r="D3" s="2261"/>
      <c r="E3" s="2261"/>
      <c r="F3" s="2261"/>
      <c r="G3" s="2261"/>
      <c r="H3" s="2261"/>
      <c r="I3" s="2261"/>
      <c r="J3" s="2261"/>
      <c r="K3" s="2261"/>
      <c r="L3" s="2261"/>
      <c r="M3" s="2261"/>
      <c r="N3" s="2261"/>
      <c r="O3" s="2262"/>
      <c r="P3" s="14"/>
      <c r="Q3" s="2266"/>
      <c r="R3" s="2267"/>
      <c r="S3" s="2267"/>
      <c r="T3" s="2267"/>
      <c r="U3" s="2267"/>
      <c r="V3" s="2267"/>
      <c r="W3" s="2267"/>
      <c r="X3" s="2267"/>
      <c r="Y3" s="2268"/>
      <c r="Z3" s="14"/>
      <c r="AA3" s="14"/>
      <c r="AB3" s="14"/>
      <c r="AC3" s="14"/>
      <c r="AD3" s="14"/>
      <c r="AE3" s="14"/>
      <c r="AF3" s="14"/>
    </row>
    <row r="4" spans="1:32" ht="17.25" customHeight="1" x14ac:dyDescent="0.2">
      <c r="A4" s="26"/>
      <c r="B4" s="314"/>
      <c r="C4" s="315"/>
      <c r="D4" s="315"/>
      <c r="E4" s="315"/>
      <c r="F4" s="315"/>
      <c r="G4" s="315"/>
      <c r="H4" s="315"/>
      <c r="I4" s="315"/>
      <c r="J4" s="315"/>
      <c r="K4" s="315"/>
      <c r="L4" s="315"/>
      <c r="M4" s="315"/>
      <c r="N4" s="315"/>
      <c r="O4" s="316"/>
      <c r="P4" s="14"/>
      <c r="Q4" s="982"/>
      <c r="R4" s="315"/>
      <c r="S4" s="315"/>
      <c r="T4" s="315"/>
      <c r="U4" s="315"/>
      <c r="V4" s="315"/>
      <c r="W4" s="315"/>
      <c r="X4" s="315"/>
      <c r="Y4" s="983"/>
      <c r="Z4" s="14"/>
      <c r="AA4" s="14"/>
      <c r="AB4" s="14"/>
      <c r="AC4" s="14"/>
      <c r="AD4" s="14"/>
      <c r="AE4" s="14"/>
      <c r="AF4" s="14"/>
    </row>
    <row r="5" spans="1:32" ht="17.25" customHeight="1" thickBot="1" x14ac:dyDescent="0.25">
      <c r="A5" s="26"/>
      <c r="B5" s="314"/>
      <c r="C5" s="2277" t="s">
        <v>1536</v>
      </c>
      <c r="D5" s="2278"/>
      <c r="E5" s="2278"/>
      <c r="F5" s="2278"/>
      <c r="G5" s="2278"/>
      <c r="H5" s="2278"/>
      <c r="I5" s="2278"/>
      <c r="J5" s="2278"/>
      <c r="K5" s="2278"/>
      <c r="L5" s="2278"/>
      <c r="M5" s="2278"/>
      <c r="N5" s="2278"/>
      <c r="O5" s="316"/>
      <c r="P5" s="14"/>
      <c r="Q5" s="187"/>
      <c r="R5" s="985" t="s">
        <v>1643</v>
      </c>
      <c r="S5" s="984"/>
      <c r="T5" s="984"/>
      <c r="U5" s="987"/>
      <c r="V5" s="987"/>
      <c r="W5" s="987"/>
      <c r="X5" s="987"/>
      <c r="Y5" s="188"/>
      <c r="Z5" s="14"/>
      <c r="AA5" s="14"/>
      <c r="AB5" s="14"/>
      <c r="AC5" s="14"/>
      <c r="AD5" s="14"/>
      <c r="AE5" s="14"/>
      <c r="AF5" s="14"/>
    </row>
    <row r="6" spans="1:32" ht="17.25" customHeight="1" x14ac:dyDescent="0.2">
      <c r="A6" s="26"/>
      <c r="B6" s="314"/>
      <c r="C6" s="2277"/>
      <c r="D6" s="2278"/>
      <c r="E6" s="2278"/>
      <c r="F6" s="2278"/>
      <c r="G6" s="2278"/>
      <c r="H6" s="2278"/>
      <c r="I6" s="2278"/>
      <c r="J6" s="2278"/>
      <c r="K6" s="2278"/>
      <c r="L6" s="2278"/>
      <c r="M6" s="2278"/>
      <c r="N6" s="2278"/>
      <c r="O6" s="316"/>
      <c r="P6" s="14"/>
      <c r="Q6" s="187"/>
      <c r="R6" s="986" t="s">
        <v>1641</v>
      </c>
      <c r="S6" s="2281" t="str">
        <f ca="1">IF(CokingRefineryConfig=0,CokingRefineryPFD!C11, IF(CokingRefineryConfig=1,CokingRefineryPFD!C12,IF(CokingRefineryConfig=2,CokingRefineryPFD!C13,IF(CokingRefineryConfig=3,CokingRefineryPFD!C14,IF(CokingRefineryConfig=4,CokingRefineryPFD!C15, IF(CokingRefineryConfig=5,CokingRefineryPFD!C16, IF(CokingRefineryConfig=6,CokingRefineryPFD!C17,"Undefined")))))))</f>
        <v>Hydroskimming Configuration (0)</v>
      </c>
      <c r="T6" s="2281"/>
      <c r="U6" s="184"/>
      <c r="V6" s="2283" t="s">
        <v>1645</v>
      </c>
      <c r="W6" s="2284"/>
      <c r="X6" s="2284"/>
      <c r="Y6" s="188"/>
      <c r="Z6" s="14"/>
      <c r="AA6" s="14"/>
      <c r="AB6" s="14"/>
      <c r="AC6" s="14"/>
      <c r="AD6" s="14"/>
      <c r="AE6" s="14"/>
      <c r="AF6" s="14"/>
    </row>
    <row r="7" spans="1:32" ht="17.25" customHeight="1" x14ac:dyDescent="0.2">
      <c r="A7" s="26"/>
      <c r="B7" s="314"/>
      <c r="C7" s="2277"/>
      <c r="D7" s="2278"/>
      <c r="E7" s="2278"/>
      <c r="F7" s="2278"/>
      <c r="G7" s="2278"/>
      <c r="H7" s="2278"/>
      <c r="I7" s="2278"/>
      <c r="J7" s="2278"/>
      <c r="K7" s="2278"/>
      <c r="L7" s="2278"/>
      <c r="M7" s="2278"/>
      <c r="N7" s="2278"/>
      <c r="O7" s="316"/>
      <c r="P7" s="14"/>
      <c r="Q7" s="187"/>
      <c r="R7" s="986" t="s">
        <v>1642</v>
      </c>
      <c r="S7" s="2282" t="str">
        <f ca="1">IF(HydroRefineryConfig=0,'HydroRefineryPFD '!C12, IF(HydroRefineryConfig=1,'HydroRefineryPFD '!C13,IF(HydroRefineryConfig=2,'HydroRefineryPFD '!C14,IF(HydroRefineryConfig=3,'HydroRefineryPFD '!C15,IF(HydroRefineryConfig=7,'HydroRefineryPFD '!C16, IF(HydroRefineryConfig=8,'HydroRefineryPFD '!C17, IF(HydroRefineryConfig=9,'HydroRefineryPFD '!C18,"Undefined")))))))</f>
        <v>Hydroskimming Configuration (0)</v>
      </c>
      <c r="T7" s="2282"/>
      <c r="U7" s="16"/>
      <c r="V7" s="2283"/>
      <c r="W7" s="2284"/>
      <c r="X7" s="2284"/>
      <c r="Y7" s="188"/>
      <c r="Z7" s="14"/>
      <c r="AA7" s="14"/>
      <c r="AB7" s="14"/>
      <c r="AC7" s="14"/>
      <c r="AD7" s="14"/>
      <c r="AE7" s="14"/>
      <c r="AF7" s="14"/>
    </row>
    <row r="8" spans="1:32" ht="17.25" customHeight="1" x14ac:dyDescent="0.2">
      <c r="A8" s="26"/>
      <c r="B8" s="20"/>
      <c r="C8" s="31"/>
      <c r="D8" s="31"/>
      <c r="E8" s="31"/>
      <c r="F8" s="31"/>
      <c r="G8" s="31"/>
      <c r="H8" s="31"/>
      <c r="I8" s="31"/>
      <c r="J8" s="31"/>
      <c r="K8" s="31"/>
      <c r="L8" s="31"/>
      <c r="M8" s="31"/>
      <c r="N8" s="31"/>
      <c r="O8" s="21"/>
      <c r="P8" s="14"/>
      <c r="Q8" s="187"/>
      <c r="R8" s="981"/>
      <c r="S8" s="16"/>
      <c r="T8" s="16"/>
      <c r="U8" s="16"/>
      <c r="V8" s="16"/>
      <c r="W8" s="16"/>
      <c r="X8" s="16"/>
      <c r="Y8" s="188"/>
      <c r="Z8" s="14"/>
      <c r="AA8" s="14"/>
      <c r="AB8" s="14"/>
      <c r="AC8" s="14"/>
      <c r="AD8" s="14"/>
      <c r="AE8" s="14"/>
      <c r="AF8" s="14"/>
    </row>
    <row r="9" spans="1:32" ht="17.25" customHeight="1" thickBot="1" x14ac:dyDescent="0.25">
      <c r="A9" s="27"/>
      <c r="B9" s="2279" t="s">
        <v>1377</v>
      </c>
      <c r="C9" s="2280"/>
      <c r="D9" s="2280"/>
      <c r="E9" s="31"/>
      <c r="F9" s="31"/>
      <c r="G9" s="16"/>
      <c r="H9" s="16"/>
      <c r="I9" s="16"/>
      <c r="J9" s="16"/>
      <c r="K9" s="16"/>
      <c r="L9" s="16"/>
      <c r="M9" s="31"/>
      <c r="N9" s="31"/>
      <c r="O9" s="21"/>
      <c r="P9" s="14"/>
      <c r="Q9" s="187"/>
      <c r="R9" s="16"/>
      <c r="S9" s="16"/>
      <c r="T9" s="16"/>
      <c r="U9" s="16"/>
      <c r="V9" s="16"/>
      <c r="W9" s="16"/>
      <c r="X9" s="16"/>
      <c r="Y9" s="188"/>
      <c r="Z9" s="14"/>
      <c r="AA9" s="14"/>
      <c r="AB9" s="14"/>
      <c r="AC9" s="14"/>
      <c r="AD9" s="14"/>
      <c r="AE9" s="14"/>
      <c r="AF9" s="14"/>
    </row>
    <row r="10" spans="1:32" ht="17.25" customHeight="1" x14ac:dyDescent="0.2">
      <c r="A10" s="28"/>
      <c r="B10" s="2279"/>
      <c r="C10" s="2280"/>
      <c r="D10" s="2280"/>
      <c r="E10" s="31"/>
      <c r="F10" s="31"/>
      <c r="G10" s="16"/>
      <c r="H10" s="16"/>
      <c r="I10" s="16"/>
      <c r="J10" s="16"/>
      <c r="K10" s="16"/>
      <c r="L10" s="16"/>
      <c r="M10" s="317"/>
      <c r="N10" s="317"/>
      <c r="O10" s="21"/>
      <c r="P10" s="14"/>
      <c r="Q10" s="2271" t="s">
        <v>1336</v>
      </c>
      <c r="R10" s="2272"/>
      <c r="S10" s="16"/>
      <c r="T10" s="14"/>
      <c r="U10" s="305"/>
      <c r="V10" s="2275" t="s">
        <v>1337</v>
      </c>
      <c r="W10" s="2275"/>
      <c r="X10" s="2275"/>
      <c r="Y10" s="2276"/>
      <c r="Z10" s="14"/>
      <c r="AA10" s="14"/>
      <c r="AB10" s="14"/>
      <c r="AC10" s="14"/>
      <c r="AD10" s="14"/>
      <c r="AE10" s="14"/>
      <c r="AF10" s="14"/>
    </row>
    <row r="11" spans="1:32" ht="17.25" customHeight="1" thickBot="1" x14ac:dyDescent="0.25">
      <c r="A11" s="14"/>
      <c r="B11" s="20"/>
      <c r="C11" s="31"/>
      <c r="D11" s="31"/>
      <c r="E11" s="31"/>
      <c r="F11" s="31"/>
      <c r="G11" s="16"/>
      <c r="H11" s="16"/>
      <c r="I11" s="16"/>
      <c r="J11" s="16"/>
      <c r="K11" s="16"/>
      <c r="L11" s="16"/>
      <c r="M11" s="16"/>
      <c r="N11" s="16"/>
      <c r="O11" s="21"/>
      <c r="P11" s="14"/>
      <c r="Q11" s="2273"/>
      <c r="R11" s="2274"/>
      <c r="S11" s="16"/>
      <c r="T11" s="305"/>
      <c r="U11" s="305"/>
      <c r="V11" s="2275"/>
      <c r="W11" s="2275"/>
      <c r="X11" s="2275"/>
      <c r="Y11" s="2276"/>
      <c r="Z11" s="14"/>
      <c r="AA11" s="14"/>
      <c r="AB11" s="14"/>
      <c r="AC11" s="14"/>
      <c r="AD11" s="14"/>
      <c r="AE11" s="14"/>
      <c r="AF11" s="14"/>
    </row>
    <row r="12" spans="1:32" ht="17.25" customHeight="1" x14ac:dyDescent="0.2">
      <c r="A12" s="14"/>
      <c r="B12" s="20"/>
      <c r="C12" s="2312" t="s">
        <v>1271</v>
      </c>
      <c r="D12" s="2312"/>
      <c r="E12" s="2312"/>
      <c r="F12" s="2312"/>
      <c r="G12" s="2312"/>
      <c r="H12" s="31"/>
      <c r="I12" s="2285" t="s">
        <v>1538</v>
      </c>
      <c r="J12" s="2286"/>
      <c r="K12" s="2286"/>
      <c r="L12" s="2286"/>
      <c r="M12" s="2286"/>
      <c r="N12" s="2286"/>
      <c r="O12" s="21"/>
      <c r="P12" s="14"/>
      <c r="Q12" s="187"/>
      <c r="R12" s="16"/>
      <c r="S12" s="16"/>
      <c r="T12" s="16"/>
      <c r="U12" s="16"/>
      <c r="V12" s="16"/>
      <c r="W12" s="16"/>
      <c r="X12" s="16"/>
      <c r="Y12" s="188"/>
      <c r="Z12" s="14"/>
      <c r="AA12" s="14"/>
      <c r="AB12" s="14"/>
      <c r="AC12" s="14"/>
      <c r="AD12" s="14"/>
      <c r="AE12" s="14"/>
      <c r="AF12" s="14"/>
    </row>
    <row r="13" spans="1:32" ht="17.25" customHeight="1" x14ac:dyDescent="0.2">
      <c r="A13" s="14"/>
      <c r="B13" s="20"/>
      <c r="C13" s="2312"/>
      <c r="D13" s="2312"/>
      <c r="E13" s="2312"/>
      <c r="F13" s="2312"/>
      <c r="G13" s="2312"/>
      <c r="H13" s="31"/>
      <c r="I13" s="2285"/>
      <c r="J13" s="2286"/>
      <c r="K13" s="2286"/>
      <c r="L13" s="2286"/>
      <c r="M13" s="2286"/>
      <c r="N13" s="2286"/>
      <c r="O13" s="21"/>
      <c r="P13" s="14"/>
      <c r="Q13" s="187"/>
      <c r="R13" s="2270" t="s">
        <v>1476</v>
      </c>
      <c r="S13" s="2269" t="s">
        <v>1489</v>
      </c>
      <c r="T13" s="2269" t="s">
        <v>1490</v>
      </c>
      <c r="U13" s="16"/>
      <c r="V13" s="2270" t="s">
        <v>1511</v>
      </c>
      <c r="W13" s="2269" t="s">
        <v>1489</v>
      </c>
      <c r="X13" s="2269" t="s">
        <v>1490</v>
      </c>
      <c r="Y13" s="188"/>
      <c r="Z13" s="14"/>
      <c r="AA13" s="14"/>
      <c r="AB13" s="14"/>
      <c r="AC13" s="14"/>
      <c r="AD13" s="14"/>
      <c r="AE13" s="14"/>
      <c r="AF13" s="14"/>
    </row>
    <row r="14" spans="1:32" ht="17.25" customHeight="1" x14ac:dyDescent="0.2">
      <c r="A14" s="14"/>
      <c r="B14" s="20"/>
      <c r="C14" s="2312"/>
      <c r="D14" s="2312"/>
      <c r="E14" s="2312"/>
      <c r="F14" s="2312"/>
      <c r="G14" s="2312"/>
      <c r="H14" s="31"/>
      <c r="I14" s="2285"/>
      <c r="J14" s="2286"/>
      <c r="K14" s="2286"/>
      <c r="L14" s="2286"/>
      <c r="M14" s="2286"/>
      <c r="N14" s="2286"/>
      <c r="O14" s="21"/>
      <c r="P14" s="14"/>
      <c r="Q14" s="187"/>
      <c r="R14" s="2270"/>
      <c r="S14" s="2269"/>
      <c r="T14" s="2269"/>
      <c r="U14" s="16"/>
      <c r="V14" s="2270"/>
      <c r="W14" s="2269"/>
      <c r="X14" s="2269"/>
      <c r="Y14" s="188"/>
      <c r="Z14" s="14"/>
      <c r="AA14" s="14"/>
      <c r="AB14" s="14"/>
      <c r="AC14" s="14"/>
      <c r="AD14" s="14"/>
      <c r="AE14" s="14"/>
      <c r="AF14" s="14"/>
    </row>
    <row r="15" spans="1:32" ht="17.25" customHeight="1" x14ac:dyDescent="0.2">
      <c r="A15" s="14"/>
      <c r="B15" s="15"/>
      <c r="C15" s="307"/>
      <c r="D15" s="307"/>
      <c r="E15" s="307"/>
      <c r="F15" s="307"/>
      <c r="G15" s="307"/>
      <c r="H15" s="31"/>
      <c r="I15" s="321"/>
      <c r="J15" s="321"/>
      <c r="K15" s="321"/>
      <c r="L15" s="321"/>
      <c r="M15" s="321"/>
      <c r="N15" s="321"/>
      <c r="O15" s="17"/>
      <c r="P15" s="14"/>
      <c r="Q15" s="187"/>
      <c r="R15" s="325" t="s">
        <v>392</v>
      </c>
      <c r="S15" s="718">
        <f ca="1">'Results Single Assay'!C58</f>
        <v>10.771943083429937</v>
      </c>
      <c r="T15" s="718">
        <f ca="1">'Results Single Assay'!C172</f>
        <v>10.771943083429937</v>
      </c>
      <c r="U15" s="16"/>
      <c r="V15" s="325" t="s">
        <v>392</v>
      </c>
      <c r="W15" s="726">
        <f ca="1">'Results Single Assay'!D58</f>
        <v>1.6563975765841457</v>
      </c>
      <c r="X15" s="726">
        <f ca="1">'Results Single Assay'!D172</f>
        <v>1.6563975765841457</v>
      </c>
      <c r="Y15" s="188"/>
      <c r="Z15" s="14"/>
      <c r="AA15" s="14"/>
      <c r="AB15" s="14"/>
      <c r="AC15" s="14"/>
      <c r="AD15" s="14"/>
      <c r="AE15" s="14"/>
      <c r="AF15" s="14"/>
    </row>
    <row r="16" spans="1:32" ht="17.25" customHeight="1" x14ac:dyDescent="0.2">
      <c r="A16" s="14"/>
      <c r="B16" s="15"/>
      <c r="C16" s="307"/>
      <c r="D16" s="307"/>
      <c r="E16" s="307"/>
      <c r="F16" s="307"/>
      <c r="G16" s="307"/>
      <c r="H16" s="31"/>
      <c r="I16" s="321"/>
      <c r="J16" s="321"/>
      <c r="K16" s="321"/>
      <c r="L16" s="321"/>
      <c r="M16" s="321"/>
      <c r="N16" s="321"/>
      <c r="O16" s="17"/>
      <c r="P16" s="14"/>
      <c r="Q16" s="187"/>
      <c r="R16" s="325" t="s">
        <v>1023</v>
      </c>
      <c r="S16" s="718">
        <f ca="1">IF(OR(S17="N/A", S18="N/A"), "N/A", SUM(S17:S18))</f>
        <v>213.74165088203586</v>
      </c>
      <c r="T16" s="718">
        <f ca="1">IF(OR(T17="N/A", T18="N/A"), "N/A", SUM(T17:T18))</f>
        <v>213.74165088203586</v>
      </c>
      <c r="U16" s="326"/>
      <c r="V16" s="325" t="s">
        <v>1023</v>
      </c>
      <c r="W16" s="726">
        <f ca="1">IF(OR(W17="N/A", W18="N/A"), "N/A", SUM(W17:W18))</f>
        <v>13.538709210477975</v>
      </c>
      <c r="X16" s="726">
        <f ca="1">IF(OR(X17="N/A", X18="N/A"), "N/A", SUM(X17:X18))</f>
        <v>13.538709210477975</v>
      </c>
      <c r="Y16" s="188"/>
      <c r="Z16" s="14"/>
      <c r="AA16" s="14"/>
      <c r="AB16" s="14"/>
      <c r="AC16" s="14"/>
      <c r="AD16" s="14"/>
      <c r="AE16" s="14"/>
      <c r="AF16" s="14"/>
    </row>
    <row r="17" spans="1:32" ht="17.25" customHeight="1" x14ac:dyDescent="0.2">
      <c r="A17" s="14"/>
      <c r="B17" s="15"/>
      <c r="C17" s="307"/>
      <c r="D17" s="307"/>
      <c r="E17" s="307"/>
      <c r="F17" s="307"/>
      <c r="G17" s="307"/>
      <c r="H17" s="31"/>
      <c r="I17" s="321"/>
      <c r="J17" s="321"/>
      <c r="K17" s="321"/>
      <c r="L17" s="321"/>
      <c r="M17" s="321"/>
      <c r="N17" s="321"/>
      <c r="O17" s="17"/>
      <c r="P17" s="14"/>
      <c r="Q17" s="187"/>
      <c r="R17" s="327" t="s">
        <v>1253</v>
      </c>
      <c r="S17" s="719">
        <f ca="1">'Results Single Assay'!C60</f>
        <v>115.32544213799221</v>
      </c>
      <c r="T17" s="719">
        <f ca="1">'Results Single Assay'!C174</f>
        <v>115.32544213799221</v>
      </c>
      <c r="U17" s="16"/>
      <c r="V17" s="327" t="s">
        <v>1253</v>
      </c>
      <c r="W17" s="727">
        <f ca="1">'Results Single Assay'!D60</f>
        <v>6.9043480317553509</v>
      </c>
      <c r="X17" s="727">
        <f ca="1">'Results Single Assay'!D174</f>
        <v>6.9043480317553509</v>
      </c>
      <c r="Y17" s="188"/>
      <c r="Z17" s="14"/>
      <c r="AA17" s="14"/>
      <c r="AB17" s="14"/>
      <c r="AC17" s="14"/>
      <c r="AD17" s="14"/>
      <c r="AE17" s="14"/>
      <c r="AF17" s="14"/>
    </row>
    <row r="18" spans="1:32" ht="17.25" customHeight="1" x14ac:dyDescent="0.2">
      <c r="A18" s="14"/>
      <c r="B18" s="15"/>
      <c r="C18" s="2308" t="s">
        <v>1537</v>
      </c>
      <c r="D18" s="2309"/>
      <c r="E18" s="51"/>
      <c r="F18" s="16"/>
      <c r="G18" s="16"/>
      <c r="H18" s="16"/>
      <c r="I18" s="16"/>
      <c r="J18" s="16"/>
      <c r="K18" s="16"/>
      <c r="L18" s="16"/>
      <c r="M18" s="16"/>
      <c r="N18" s="16"/>
      <c r="O18" s="17"/>
      <c r="P18" s="14"/>
      <c r="Q18" s="187"/>
      <c r="R18" s="327" t="s">
        <v>1254</v>
      </c>
      <c r="S18" s="719">
        <f ca="1">'Results Single Assay'!C61</f>
        <v>98.416208744043644</v>
      </c>
      <c r="T18" s="719">
        <f ca="1">'Results Single Assay'!C175</f>
        <v>98.416208744043644</v>
      </c>
      <c r="U18" s="16"/>
      <c r="V18" s="327" t="s">
        <v>1254</v>
      </c>
      <c r="W18" s="727">
        <f ca="1">'Results Single Assay'!D61</f>
        <v>6.6343611787226235</v>
      </c>
      <c r="X18" s="727">
        <f ca="1">'Results Single Assay'!D175</f>
        <v>6.6343611787226235</v>
      </c>
      <c r="Y18" s="188"/>
      <c r="Z18" s="14"/>
      <c r="AA18" s="14"/>
      <c r="AB18" s="14"/>
      <c r="AC18" s="14"/>
      <c r="AD18" s="14"/>
      <c r="AE18" s="14"/>
      <c r="AF18" s="14"/>
    </row>
    <row r="19" spans="1:32" ht="17.25" customHeight="1" x14ac:dyDescent="0.2">
      <c r="A19" s="29"/>
      <c r="B19" s="15"/>
      <c r="C19" s="2310"/>
      <c r="D19" s="2311"/>
      <c r="E19" s="2313" t="str">
        <f ca="1">'Assay Inventory'!C9&amp;" | "&amp;'Assay Inventory'!F9</f>
        <v>Bonny Light_Chevron | Crude specific distillation curve</v>
      </c>
      <c r="F19" s="2314"/>
      <c r="G19" s="2314"/>
      <c r="H19" s="2314"/>
      <c r="I19" s="2314"/>
      <c r="J19" s="2314"/>
      <c r="K19" s="2314"/>
      <c r="L19" s="2314"/>
      <c r="M19" s="2314"/>
      <c r="N19" s="2315"/>
      <c r="O19" s="17"/>
      <c r="P19" s="14"/>
      <c r="Q19" s="187"/>
      <c r="R19" s="325" t="s">
        <v>485</v>
      </c>
      <c r="S19" s="718">
        <f ca="1">IF(OR(S20="N/A", S21="N/A", S22="N/A" ), "N/A", SUM(S20:S22))</f>
        <v>24.793638247106518</v>
      </c>
      <c r="T19" s="718">
        <f ca="1">IF(OR(T20="N/A", T21="N/A", T22="N/A" ), "N/A", SUM(T20:T22))</f>
        <v>24.793638247106518</v>
      </c>
      <c r="U19" s="326"/>
      <c r="V19" s="325" t="s">
        <v>485</v>
      </c>
      <c r="W19" s="726">
        <f ca="1">IF(OR(W20="N/A", W21="N/A", W22="N/A" ), "N/A", SUM(W20:W22))</f>
        <v>1.6819891453683913</v>
      </c>
      <c r="X19" s="726">
        <f ca="1">IF(OR(X20="N/A", X21="N/A", X22="N/A" ), "N/A", SUM(X20:X22))</f>
        <v>1.6819891453683913</v>
      </c>
      <c r="Y19" s="188"/>
      <c r="Z19" s="14"/>
      <c r="AA19" s="14"/>
      <c r="AB19" s="14"/>
      <c r="AC19" s="14"/>
      <c r="AD19" s="14"/>
      <c r="AE19" s="14"/>
      <c r="AF19" s="14"/>
    </row>
    <row r="20" spans="1:32" ht="17.25" customHeight="1" x14ac:dyDescent="0.2">
      <c r="A20" s="14"/>
      <c r="B20" s="15"/>
      <c r="C20" s="308"/>
      <c r="D20" s="44"/>
      <c r="E20" s="45" t="str">
        <f ca="1">'Assay Inventory'!E10</f>
        <v>Cutoff Temp [°C]</v>
      </c>
      <c r="F20" s="46">
        <f ca="1">'Assay Inventory'!F10</f>
        <v>80</v>
      </c>
      <c r="G20" s="46">
        <f ca="1">'Assay Inventory'!G10</f>
        <v>180</v>
      </c>
      <c r="H20" s="46">
        <f ca="1">'Assay Inventory'!H10</f>
        <v>290</v>
      </c>
      <c r="I20" s="46">
        <f ca="1">'Assay Inventory'!I10</f>
        <v>343</v>
      </c>
      <c r="J20" s="46">
        <f ca="1">'Assay Inventory'!J10</f>
        <v>399</v>
      </c>
      <c r="K20" s="46">
        <f ca="1">'Assay Inventory'!K10</f>
        <v>454</v>
      </c>
      <c r="L20" s="46">
        <f ca="1">'Assay Inventory'!L10</f>
        <v>525</v>
      </c>
      <c r="M20" s="47">
        <f ca="1">'Assay Inventory'!M10</f>
        <v>525</v>
      </c>
      <c r="N20" s="309">
        <f ca="1">'Assay Inventory'!N10</f>
        <v>399</v>
      </c>
      <c r="O20" s="17"/>
      <c r="P20" s="14"/>
      <c r="Q20" s="187"/>
      <c r="R20" s="327" t="s">
        <v>1255</v>
      </c>
      <c r="S20" s="719">
        <f ca="1">'Results Single Assay'!C63</f>
        <v>0</v>
      </c>
      <c r="T20" s="719">
        <f ca="1">'Results Single Assay'!C177</f>
        <v>0</v>
      </c>
      <c r="U20" s="16"/>
      <c r="V20" s="327" t="s">
        <v>1255</v>
      </c>
      <c r="W20" s="727">
        <f ca="1">'Results Single Assay'!D63</f>
        <v>0</v>
      </c>
      <c r="X20" s="727">
        <f ca="1">'Results Single Assay'!D177</f>
        <v>0</v>
      </c>
      <c r="Y20" s="188"/>
      <c r="Z20" s="14"/>
      <c r="AA20" s="14"/>
      <c r="AB20" s="14"/>
      <c r="AC20" s="14"/>
      <c r="AD20" s="14"/>
      <c r="AE20" s="14"/>
      <c r="AF20" s="14"/>
    </row>
    <row r="21" spans="1:32" ht="17.25" customHeight="1" x14ac:dyDescent="0.2">
      <c r="A21" s="14"/>
      <c r="B21" s="15"/>
      <c r="C21" s="310" t="s">
        <v>407</v>
      </c>
      <c r="D21" s="41"/>
      <c r="E21" s="42" t="str">
        <f>IF(activeFloat=1,"Cutoff Temp [°F]","Process Unit Capacity")</f>
        <v>Cutoff Temp [°F]</v>
      </c>
      <c r="F21" s="32">
        <f t="shared" ref="F21:N21" ca="1" si="0">IF(activeFloat=1,F20*9/5+32,"Process Unit Capacity")</f>
        <v>176</v>
      </c>
      <c r="G21" s="32">
        <f t="shared" ca="1" si="0"/>
        <v>356</v>
      </c>
      <c r="H21" s="32">
        <f t="shared" ca="1" si="0"/>
        <v>554</v>
      </c>
      <c r="I21" s="32">
        <f t="shared" ca="1" si="0"/>
        <v>649.4</v>
      </c>
      <c r="J21" s="32">
        <f t="shared" ca="1" si="0"/>
        <v>750.2</v>
      </c>
      <c r="K21" s="32">
        <f t="shared" ca="1" si="0"/>
        <v>849.2</v>
      </c>
      <c r="L21" s="32">
        <f t="shared" ca="1" si="0"/>
        <v>977</v>
      </c>
      <c r="M21" s="33">
        <f t="shared" ca="1" si="0"/>
        <v>977</v>
      </c>
      <c r="N21" s="311">
        <f t="shared" ca="1" si="0"/>
        <v>750.2</v>
      </c>
      <c r="O21" s="17"/>
      <c r="P21" s="14"/>
      <c r="Q21" s="187"/>
      <c r="R21" s="327" t="s">
        <v>1256</v>
      </c>
      <c r="S21" s="719">
        <f ca="1">'Results Single Assay'!C64</f>
        <v>24.670678347578679</v>
      </c>
      <c r="T21" s="719">
        <f ca="1">'Results Single Assay'!C178</f>
        <v>24.670678347578679</v>
      </c>
      <c r="U21" s="16"/>
      <c r="V21" s="327" t="s">
        <v>1256</v>
      </c>
      <c r="W21" s="727">
        <f ca="1">'Results Single Assay'!D64</f>
        <v>1.6630816485484126</v>
      </c>
      <c r="X21" s="727">
        <f ca="1">'Results Single Assay'!D178</f>
        <v>1.6630816485484126</v>
      </c>
      <c r="Y21" s="188"/>
      <c r="Z21" s="14"/>
      <c r="AA21" s="14"/>
      <c r="AB21" s="14"/>
      <c r="AC21" s="14"/>
      <c r="AD21" s="14"/>
      <c r="AE21" s="14"/>
      <c r="AF21" s="14"/>
    </row>
    <row r="22" spans="1:32" ht="17.25" customHeight="1" x14ac:dyDescent="0.2">
      <c r="A22" s="14"/>
      <c r="B22" s="15"/>
      <c r="C22" s="312" t="s">
        <v>568</v>
      </c>
      <c r="D22" s="48"/>
      <c r="E22" s="48" t="str">
        <f ca="1">'Assay Inventory'!E11</f>
        <v>Full Crude</v>
      </c>
      <c r="F22" s="48" t="str">
        <f ca="1">'Assay Inventory'!F11</f>
        <v>LSR</v>
      </c>
      <c r="G22" s="48" t="str">
        <f ca="1">'Assay Inventory'!G11</f>
        <v>Naphtha</v>
      </c>
      <c r="H22" s="48" t="str">
        <f ca="1">'Assay Inventory'!H11</f>
        <v>Kerosene</v>
      </c>
      <c r="I22" s="48" t="str">
        <f ca="1">'Assay Inventory'!I11</f>
        <v>Diesel</v>
      </c>
      <c r="J22" s="48" t="str">
        <f ca="1">'Assay Inventory'!J11</f>
        <v>AGO</v>
      </c>
      <c r="K22" s="48" t="str">
        <f ca="1">'Assay Inventory'!K11</f>
        <v>LVGO</v>
      </c>
      <c r="L22" s="48" t="str">
        <f ca="1">'Assay Inventory'!L11</f>
        <v>HVGO</v>
      </c>
      <c r="M22" s="48" t="str">
        <f ca="1">'Assay Inventory'!M11</f>
        <v>VR</v>
      </c>
      <c r="N22" s="313" t="str">
        <f ca="1">'Assay Inventory'!N11</f>
        <v>AR</v>
      </c>
      <c r="O22" s="17"/>
      <c r="P22" s="14"/>
      <c r="Q22" s="187"/>
      <c r="R22" s="327" t="s">
        <v>1257</v>
      </c>
      <c r="S22" s="719">
        <f ca="1">'Results Single Assay'!C65</f>
        <v>0.1229598995278396</v>
      </c>
      <c r="T22" s="719">
        <f ca="1">'Results Single Assay'!C179</f>
        <v>0.1229598995278396</v>
      </c>
      <c r="U22" s="16"/>
      <c r="V22" s="327" t="s">
        <v>1257</v>
      </c>
      <c r="W22" s="727">
        <f ca="1">'Results Single Assay'!D65</f>
        <v>1.8907496819978744E-2</v>
      </c>
      <c r="X22" s="727">
        <f ca="1">'Results Single Assay'!D179</f>
        <v>1.8907496819978744E-2</v>
      </c>
      <c r="Y22" s="188"/>
      <c r="Z22" s="14"/>
      <c r="AA22" s="14"/>
      <c r="AB22" s="14"/>
      <c r="AC22" s="14"/>
      <c r="AD22" s="14"/>
      <c r="AE22" s="14"/>
      <c r="AF22" s="14"/>
    </row>
    <row r="23" spans="1:32" ht="17.25" customHeight="1" x14ac:dyDescent="0.2">
      <c r="A23" s="14"/>
      <c r="B23" s="177"/>
      <c r="C23" s="310" t="str">
        <f>'Assay Inventory'!C12</f>
        <v>Vol Flow</v>
      </c>
      <c r="D23" s="2134" t="str">
        <f ca="1">'Assay Inventory'!D12</f>
        <v>bpd</v>
      </c>
      <c r="E23" s="2133">
        <f ca="1">'Assay Inventory'!E12</f>
        <v>99177.64135868111</v>
      </c>
      <c r="F23" s="2133">
        <f ca="1">'Assay Inventory'!F12</f>
        <v>7538.9890466543711</v>
      </c>
      <c r="G23" s="2133">
        <f ca="1">'Assay Inventory'!G12</f>
        <v>17316.22160970941</v>
      </c>
      <c r="H23" s="2133">
        <f ca="1">'Assay Inventory'!H12</f>
        <v>26885.40784502351</v>
      </c>
      <c r="I23" s="2133">
        <f ca="1">'Assay Inventory'!I12</f>
        <v>12524.817625479878</v>
      </c>
      <c r="J23" s="2133">
        <f ca="1">'Assay Inventory'!J12</f>
        <v>11182.517606223304</v>
      </c>
      <c r="K23" s="2133">
        <f ca="1">'Assay Inventory'!K12</f>
        <v>8218.2707229657353</v>
      </c>
      <c r="L23" s="2133">
        <f ca="1">'Assay Inventory'!L12</f>
        <v>6475.5173608741952</v>
      </c>
      <c r="M23" s="2133">
        <f ca="1">'Assay Inventory'!M12</f>
        <v>9035.8995417507103</v>
      </c>
      <c r="N23" s="2135">
        <f ca="1">'Assay Inventory'!N12</f>
        <v>28238.054386063879</v>
      </c>
      <c r="O23" s="17"/>
      <c r="P23" s="14"/>
      <c r="Q23" s="187"/>
      <c r="R23" s="325" t="s">
        <v>1027</v>
      </c>
      <c r="S23" s="718">
        <f ca="1">IF(OR(S24="N/A", S25="N/A", S26="N/A", S27="N/A", S28="N/A", S29="N/A", S30="N/A" ), "N/A", SUM(S24:S30))</f>
        <v>57.538390913388639</v>
      </c>
      <c r="T23" s="718">
        <f ca="1">IF(OR(T24="N/A", T25="N/A", T26="N/A", T27="N/A", T28="N/A", T29="N/A", T30="N/A" ), "N/A", SUM(T24:T30))</f>
        <v>57.53839091338871</v>
      </c>
      <c r="U23" s="326"/>
      <c r="V23" s="325" t="s">
        <v>1027</v>
      </c>
      <c r="W23" s="726">
        <f ca="1">IF(OR(W24="N/A", W25="N/A", W26="N/A", W27="N/A", W28="N/A", W29="N/A", W30="N/A" ), "N/A", SUM(W24:W30))</f>
        <v>3.9006791479146616</v>
      </c>
      <c r="X23" s="726">
        <f ca="1">IF(OR(X24="N/A", X25="N/A", X26="N/A", X27="N/A", X28="N/A", X29="N/A", X30="N/A" ), "N/A", SUM(X24:X30))</f>
        <v>3.9006791479146665</v>
      </c>
      <c r="Y23" s="188"/>
      <c r="Z23" s="14"/>
      <c r="AA23" s="14"/>
      <c r="AB23" s="14"/>
      <c r="AC23" s="14"/>
      <c r="AD23" s="14"/>
      <c r="AE23" s="14"/>
      <c r="AF23" s="14"/>
    </row>
    <row r="24" spans="1:32" ht="17.25" customHeight="1" x14ac:dyDescent="0.2">
      <c r="A24" s="14"/>
      <c r="B24" s="178"/>
      <c r="C24" s="310" t="str">
        <f>'Assay Inventory'!C13</f>
        <v>Vol Flow</v>
      </c>
      <c r="D24" s="2134" t="str">
        <f ca="1">'Assay Inventory'!D13</f>
        <v>m^3/d</v>
      </c>
      <c r="E24" s="2133">
        <f ca="1">'Assay Inventory'!E13</f>
        <v>15769.244976030297</v>
      </c>
      <c r="F24" s="2133">
        <f ca="1">'Assay Inventory'!F13</f>
        <v>1198.699258418045</v>
      </c>
      <c r="G24" s="2133">
        <f ca="1">'Assay Inventory'!G13</f>
        <v>2753.2792359437963</v>
      </c>
      <c r="H24" s="2133">
        <f ca="1">'Assay Inventory'!H13</f>
        <v>4274.7798473587382</v>
      </c>
      <c r="I24" s="2133">
        <f ca="1">'Assay Inventory'!I13</f>
        <v>1991.4460024513007</v>
      </c>
      <c r="J24" s="2133">
        <f ca="1">'Assay Inventory'!J13</f>
        <v>1778.0202993895052</v>
      </c>
      <c r="K24" s="2133">
        <f ca="1">'Assay Inventory'!K13</f>
        <v>1306.7050449515521</v>
      </c>
      <c r="L24" s="2133">
        <f ca="1">'Assay Inventory'!L13</f>
        <v>1029.6072603789971</v>
      </c>
      <c r="M24" s="2133">
        <f ca="1">'Assay Inventory'!M13</f>
        <v>1436.7080271383629</v>
      </c>
      <c r="N24" s="2135">
        <f ca="1">'Assay Inventory'!N13</f>
        <v>4489.8506473841571</v>
      </c>
      <c r="O24" s="179"/>
      <c r="P24" s="30"/>
      <c r="Q24" s="187"/>
      <c r="R24" s="327" t="s">
        <v>1036</v>
      </c>
      <c r="S24" s="719">
        <f ca="1">'Results Single Assay'!C67</f>
        <v>0</v>
      </c>
      <c r="T24" s="719">
        <f ca="1">'Results Single Assay'!C181</f>
        <v>0</v>
      </c>
      <c r="U24" s="16"/>
      <c r="V24" s="327" t="s">
        <v>1036</v>
      </c>
      <c r="W24" s="727">
        <f ca="1">'Results Single Assay'!D67</f>
        <v>0</v>
      </c>
      <c r="X24" s="727">
        <f ca="1">'Results Single Assay'!D181</f>
        <v>0</v>
      </c>
      <c r="Y24" s="188"/>
      <c r="Z24" s="14"/>
      <c r="AB24" s="14"/>
      <c r="AC24" s="14"/>
      <c r="AD24" s="14"/>
      <c r="AE24" s="14"/>
      <c r="AF24" s="14"/>
    </row>
    <row r="25" spans="1:32" ht="17.25" customHeight="1" x14ac:dyDescent="0.2">
      <c r="A25" s="14"/>
      <c r="B25" s="20"/>
      <c r="C25" s="310" t="str">
        <f>'Assay Inventory'!C14</f>
        <v>Mass Flow</v>
      </c>
      <c r="D25" s="2134" t="str">
        <f>'Assay Inventory'!D14</f>
        <v>kg/d</v>
      </c>
      <c r="E25" s="2133">
        <f ca="1">'Assay Inventory'!E14</f>
        <v>13687328.970000003</v>
      </c>
      <c r="F25" s="2133">
        <f ca="1">'Assay Inventory'!F14</f>
        <v>854451.48145949247</v>
      </c>
      <c r="G25" s="2133">
        <f ca="1">'Assay Inventory'!G14</f>
        <v>2157056.7659129584</v>
      </c>
      <c r="H25" s="2133">
        <f ca="1">'Assay Inventory'!H14</f>
        <v>3607246.9722799896</v>
      </c>
      <c r="I25" s="2133">
        <f ca="1">'Assay Inventory'!I14</f>
        <v>1757731.9563253336</v>
      </c>
      <c r="J25" s="2133">
        <f ca="1">'Assay Inventory'!J14</f>
        <v>1609417.4951285068</v>
      </c>
      <c r="K25" s="2133">
        <f ca="1">'Assay Inventory'!K14</f>
        <v>1209891.7354650162</v>
      </c>
      <c r="L25" s="2133">
        <f ca="1">'Assay Inventory'!L14</f>
        <v>975521.165617669</v>
      </c>
      <c r="M25" s="2133">
        <f ca="1">'Assay Inventory'!M14</f>
        <v>1516011.3978110366</v>
      </c>
      <c r="N25" s="2135">
        <f ca="1">'Assay Inventory'!N14</f>
        <v>3701424.2988937218</v>
      </c>
      <c r="O25" s="21"/>
      <c r="P25" s="19"/>
      <c r="Q25" s="187"/>
      <c r="R25" s="327" t="s">
        <v>1037</v>
      </c>
      <c r="S25" s="719">
        <f ca="1">'Results Single Assay'!C68</f>
        <v>0</v>
      </c>
      <c r="T25" s="936">
        <f ca="1">'Results Single Assay'!C182</f>
        <v>0</v>
      </c>
      <c r="U25" s="16"/>
      <c r="V25" s="327" t="s">
        <v>1037</v>
      </c>
      <c r="W25" s="727">
        <f ca="1">'Results Single Assay'!D68</f>
        <v>0</v>
      </c>
      <c r="X25" s="727">
        <f ca="1">'Results Single Assay'!D182</f>
        <v>0</v>
      </c>
      <c r="Y25" s="188"/>
      <c r="Z25" s="14"/>
      <c r="AA25" s="14"/>
      <c r="AB25" s="14"/>
      <c r="AC25" s="14"/>
      <c r="AD25" s="14"/>
      <c r="AE25" s="14"/>
      <c r="AF25" s="14"/>
    </row>
    <row r="26" spans="1:32" ht="17.25" customHeight="1" x14ac:dyDescent="0.2">
      <c r="A26" s="14"/>
      <c r="B26" s="180"/>
      <c r="C26" s="310" t="str">
        <f>'Assay Inventory'!C15</f>
        <v xml:space="preserve">Sulphur </v>
      </c>
      <c r="D26" s="2134" t="str">
        <f ca="1">'Assay Inventory'!D15</f>
        <v>wt%</v>
      </c>
      <c r="E26" s="2133">
        <f ca="1">'Assay Inventory'!E15</f>
        <v>0.16980000000000001</v>
      </c>
      <c r="F26" s="2133">
        <f ca="1">'Assay Inventory'!F15</f>
        <v>0</v>
      </c>
      <c r="G26" s="2133">
        <f ca="1">'Assay Inventory'!G15</f>
        <v>0</v>
      </c>
      <c r="H26" s="2133">
        <f ca="1">'Assay Inventory'!H15</f>
        <v>6.487028883905413E-2</v>
      </c>
      <c r="I26" s="2133">
        <f ca="1">'Assay Inventory'!I15</f>
        <v>0.1510983114584932</v>
      </c>
      <c r="J26" s="2133">
        <f ca="1">'Assay Inventory'!J15</f>
        <v>0.21055860465850654</v>
      </c>
      <c r="K26" s="2133">
        <f ca="1">'Assay Inventory'!K15</f>
        <v>0.27398518285937168</v>
      </c>
      <c r="L26" s="2133">
        <f ca="1">'Assay Inventory'!L15</f>
        <v>0.34883282222603118</v>
      </c>
      <c r="M26" s="2133">
        <f ca="1">'Assay Inventory'!M15</f>
        <v>0.53683769453568042</v>
      </c>
      <c r="N26" s="2135">
        <f ca="1">'Assay Inventory'!N15</f>
        <v>0.40136935229494802</v>
      </c>
      <c r="O26" s="181"/>
      <c r="P26" s="34"/>
      <c r="Q26" s="187"/>
      <c r="R26" s="327" t="s">
        <v>1034</v>
      </c>
      <c r="S26" s="719">
        <f ca="1">'Results Single Assay'!C69</f>
        <v>0.3431406545364668</v>
      </c>
      <c r="T26" s="936">
        <f ca="1">'Results Single Assay'!C183</f>
        <v>0.34314065453646719</v>
      </c>
      <c r="U26" s="16"/>
      <c r="V26" s="327" t="s">
        <v>1034</v>
      </c>
      <c r="W26" s="727">
        <f ca="1">'Results Single Assay'!D69</f>
        <v>5.2764607480707354E-2</v>
      </c>
      <c r="X26" s="727">
        <f ca="1">'Results Single Assay'!D183</f>
        <v>5.2764607480707409E-2</v>
      </c>
      <c r="Y26" s="188"/>
      <c r="Z26" s="14"/>
      <c r="AA26" s="14"/>
      <c r="AB26" s="14"/>
      <c r="AC26" s="14"/>
      <c r="AD26" s="14"/>
      <c r="AE26" s="14"/>
      <c r="AF26" s="14"/>
    </row>
    <row r="27" spans="1:32" ht="17.25" customHeight="1" x14ac:dyDescent="0.2">
      <c r="A27" s="14"/>
      <c r="B27" s="15"/>
      <c r="C27" s="310" t="str">
        <f>'Assay Inventory'!C16</f>
        <v xml:space="preserve">Nitrogen </v>
      </c>
      <c r="D27" s="2134" t="str">
        <f ca="1">'Assay Inventory'!D16</f>
        <v>mass ppm</v>
      </c>
      <c r="E27" s="2133">
        <f ca="1">'Assay Inventory'!E16</f>
        <v>1040</v>
      </c>
      <c r="F27" s="2133">
        <f ca="1">'Assay Inventory'!F16</f>
        <v>0</v>
      </c>
      <c r="G27" s="2133">
        <f ca="1">'Assay Inventory'!G16</f>
        <v>0</v>
      </c>
      <c r="H27" s="2133">
        <f ca="1">'Assay Inventory'!H16</f>
        <v>0</v>
      </c>
      <c r="I27" s="2133">
        <f ca="1">'Assay Inventory'!I16</f>
        <v>147.76502983461546</v>
      </c>
      <c r="J27" s="2133">
        <f ca="1">'Assay Inventory'!J16</f>
        <v>573.33295706164199</v>
      </c>
      <c r="K27" s="2133">
        <f ca="1">'Assay Inventory'!K16</f>
        <v>1315.9260423987175</v>
      </c>
      <c r="L27" s="2133">
        <f ca="1">'Assay Inventory'!L16</f>
        <v>2546.2715056129705</v>
      </c>
      <c r="M27" s="2133">
        <f ca="1">'Assay Inventory'!M16</f>
        <v>5170.9765737434327</v>
      </c>
      <c r="N27" s="2135">
        <f ca="1">'Assay Inventory'!N16</f>
        <v>3219.1200607523342</v>
      </c>
      <c r="O27" s="17"/>
      <c r="P27" s="14"/>
      <c r="Q27" s="187"/>
      <c r="R27" s="327" t="s">
        <v>1028</v>
      </c>
      <c r="S27" s="719">
        <f ca="1">'Results Single Assay'!C70</f>
        <v>0</v>
      </c>
      <c r="T27" s="936">
        <f ca="1">'Results Single Assay'!C184</f>
        <v>0</v>
      </c>
      <c r="U27" s="16"/>
      <c r="V27" s="327" t="s">
        <v>1028</v>
      </c>
      <c r="W27" s="727">
        <f ca="1">'Results Single Assay'!D70</f>
        <v>0</v>
      </c>
      <c r="X27" s="727">
        <f ca="1">'Results Single Assay'!D184</f>
        <v>0</v>
      </c>
      <c r="Y27" s="188"/>
      <c r="Z27" s="14"/>
      <c r="AA27" s="14"/>
      <c r="AB27" s="14"/>
      <c r="AC27" s="14"/>
      <c r="AD27" s="14"/>
      <c r="AE27" s="14"/>
      <c r="AF27" s="14"/>
    </row>
    <row r="28" spans="1:32" ht="17.25" customHeight="1" x14ac:dyDescent="0.2">
      <c r="A28" s="14"/>
      <c r="B28" s="15"/>
      <c r="C28" s="310" t="str">
        <f>'Assay Inventory'!C17</f>
        <v xml:space="preserve">API gravity </v>
      </c>
      <c r="D28" s="2134" t="str">
        <f ca="1">'Assay Inventory'!D17</f>
        <v>oAPI</v>
      </c>
      <c r="E28" s="2133">
        <f ca="1">'Assay Inventory'!E17</f>
        <v>32.710282000696282</v>
      </c>
      <c r="F28" s="2133">
        <f ca="1">'Assay Inventory'!F17</f>
        <v>66.810065343505755</v>
      </c>
      <c r="G28" s="2133">
        <f ca="1">'Assay Inventory'!G17</f>
        <v>48.930774481465882</v>
      </c>
      <c r="H28" s="2133">
        <f ca="1">'Assay Inventory'!H17</f>
        <v>36.017353731652683</v>
      </c>
      <c r="I28" s="2133">
        <f ca="1">'Assay Inventory'!I17</f>
        <v>28.65400910502008</v>
      </c>
      <c r="J28" s="2133">
        <f ca="1">'Assay Inventory'!J17</f>
        <v>24.667236439282533</v>
      </c>
      <c r="K28" s="2133">
        <f ca="1">'Assay Inventory'!K17</f>
        <v>21.169746955325756</v>
      </c>
      <c r="L28" s="2133">
        <f ca="1">'Assay Inventory'!L17</f>
        <v>17.695879132085047</v>
      </c>
      <c r="M28" s="2133">
        <f ca="1">'Assay Inventory'!M17</f>
        <v>2.4639609223786181</v>
      </c>
      <c r="N28" s="2135">
        <f ca="1">'Assay Inventory'!N17</f>
        <v>39.968737839092263</v>
      </c>
      <c r="O28" s="17"/>
      <c r="P28" s="14"/>
      <c r="Q28" s="187"/>
      <c r="R28" s="327" t="s">
        <v>1029</v>
      </c>
      <c r="S28" s="719">
        <f ca="1">'Results Single Assay'!C71</f>
        <v>30.328088153475587</v>
      </c>
      <c r="T28" s="936">
        <f ca="1">'Results Single Assay'!C185</f>
        <v>30.328088153475626</v>
      </c>
      <c r="U28" s="16"/>
      <c r="V28" s="327" t="s">
        <v>1029</v>
      </c>
      <c r="W28" s="727">
        <f ca="1">'Results Single Assay'!D71</f>
        <v>2.0444548031065404</v>
      </c>
      <c r="X28" s="727">
        <f ca="1">'Results Single Assay'!D185</f>
        <v>2.044454803106543</v>
      </c>
      <c r="Y28" s="188"/>
      <c r="Z28" s="14"/>
      <c r="AA28" s="14"/>
      <c r="AB28" s="14"/>
      <c r="AC28" s="14"/>
      <c r="AD28" s="14"/>
      <c r="AE28" s="14"/>
      <c r="AF28" s="14"/>
    </row>
    <row r="29" spans="1:32" ht="17.25" customHeight="1" x14ac:dyDescent="0.2">
      <c r="A29" s="14"/>
      <c r="B29" s="15"/>
      <c r="C29" s="310" t="str">
        <f>'Assay Inventory'!C18</f>
        <v>Density</v>
      </c>
      <c r="D29" s="2134" t="str">
        <f ca="1">'Assay Inventory'!D18</f>
        <v>kg/m^3</v>
      </c>
      <c r="E29" s="2133">
        <f ca="1">'Assay Inventory'!E18</f>
        <v>860.83830000000012</v>
      </c>
      <c r="F29" s="2133">
        <f ca="1">'Assay Inventory'!F18</f>
        <v>712.81555858066895</v>
      </c>
      <c r="G29" s="2133">
        <f ca="1">'Assay Inventory'!G18</f>
        <v>783.45005394033024</v>
      </c>
      <c r="H29" s="2133">
        <f ca="1">'Assay Inventory'!H18</f>
        <v>843.84391736776865</v>
      </c>
      <c r="I29" s="2133">
        <f ca="1">'Assay Inventory'!I18</f>
        <v>882.64103277804918</v>
      </c>
      <c r="J29" s="2133">
        <f ca="1">'Assay Inventory'!J18</f>
        <v>905.17385863429718</v>
      </c>
      <c r="K29" s="2133">
        <f ca="1">'Assay Inventory'!K18</f>
        <v>925.910357612398</v>
      </c>
      <c r="L29" s="2133">
        <f ca="1">'Assay Inventory'!L18</f>
        <v>947.46919836072334</v>
      </c>
      <c r="M29" s="2133">
        <f ca="1">'Assay Inventory'!M18</f>
        <v>1055.1979728481299</v>
      </c>
      <c r="N29" s="2135">
        <f ca="1">'Assay Inventory'!N18</f>
        <v>824.39809017928417</v>
      </c>
      <c r="O29" s="17"/>
      <c r="P29" s="14"/>
      <c r="Q29" s="187"/>
      <c r="R29" s="327" t="s">
        <v>1038</v>
      </c>
      <c r="S29" s="719">
        <f ca="1">'Results Single Assay'!C72</f>
        <v>0</v>
      </c>
      <c r="T29" s="936">
        <f ca="1">'Results Single Assay'!C186</f>
        <v>0</v>
      </c>
      <c r="U29" s="16"/>
      <c r="V29" s="327" t="s">
        <v>1038</v>
      </c>
      <c r="W29" s="727">
        <f ca="1">'Results Single Assay'!D72</f>
        <v>0</v>
      </c>
      <c r="X29" s="727">
        <f ca="1">'Results Single Assay'!D186</f>
        <v>0</v>
      </c>
      <c r="Y29" s="188"/>
      <c r="Z29" s="14"/>
      <c r="AA29" s="14"/>
      <c r="AB29" s="14"/>
      <c r="AC29" s="14"/>
      <c r="AD29" s="14"/>
      <c r="AE29" s="14"/>
      <c r="AF29" s="14"/>
    </row>
    <row r="30" spans="1:32" ht="17.25" customHeight="1" x14ac:dyDescent="0.2">
      <c r="A30" s="14"/>
      <c r="B30" s="15"/>
      <c r="C30" s="310" t="str">
        <f>'Assay Inventory'!C19</f>
        <v>Hydrogen</v>
      </c>
      <c r="D30" s="2134" t="str">
        <f ca="1">'Assay Inventory'!D19</f>
        <v>wt%</v>
      </c>
      <c r="E30" s="2133">
        <f ca="1">'Assay Inventory'!E19</f>
        <v>12.931648905131908</v>
      </c>
      <c r="F30" s="2133">
        <f ca="1">'Assay Inventory'!F19</f>
        <v>15.321692746753095</v>
      </c>
      <c r="G30" s="2133">
        <f ca="1">'Assay Inventory'!G19</f>
        <v>13.50174052285624</v>
      </c>
      <c r="H30" s="2133">
        <f ca="1">'Assay Inventory'!H19</f>
        <v>12.638480433923334</v>
      </c>
      <c r="I30" s="2133">
        <f ca="1">'Assay Inventory'!I19</f>
        <v>12.394831175477673</v>
      </c>
      <c r="J30" s="2133">
        <f ca="1">'Assay Inventory'!J19</f>
        <v>12.331915988948797</v>
      </c>
      <c r="K30" s="2133">
        <f ca="1">'Assay Inventory'!K19</f>
        <v>12.271763653145852</v>
      </c>
      <c r="L30" s="2133">
        <f ca="1">'Assay Inventory'!L19</f>
        <v>12.125465535911589</v>
      </c>
      <c r="M30" s="2133">
        <f ca="1">'Assay Inventory'!M19</f>
        <v>13.775491885583563</v>
      </c>
      <c r="N30" s="2135">
        <f ca="1">'Assay Inventory'!N19</f>
        <v>12.849096068230626</v>
      </c>
      <c r="O30" s="17"/>
      <c r="P30" s="14"/>
      <c r="Q30" s="190"/>
      <c r="R30" s="327" t="s">
        <v>1039</v>
      </c>
      <c r="S30" s="719">
        <f ca="1">'Results Single Assay'!C73</f>
        <v>26.867162105376586</v>
      </c>
      <c r="T30" s="936">
        <f ca="1">'Results Single Assay'!C187</f>
        <v>26.867162105376622</v>
      </c>
      <c r="U30" s="16"/>
      <c r="V30" s="327" t="s">
        <v>1039</v>
      </c>
      <c r="W30" s="727">
        <f ca="1">'Results Single Assay'!D73</f>
        <v>1.8034597373274139</v>
      </c>
      <c r="X30" s="727">
        <f ca="1">'Results Single Assay'!D187</f>
        <v>1.8034597373274162</v>
      </c>
      <c r="Y30" s="188"/>
      <c r="Z30" s="14"/>
      <c r="AA30" s="14"/>
      <c r="AB30" s="14"/>
      <c r="AC30" s="14"/>
      <c r="AD30" s="14"/>
      <c r="AE30" s="14"/>
      <c r="AF30" s="14"/>
    </row>
    <row r="31" spans="1:32" ht="17.25" customHeight="1" x14ac:dyDescent="0.2">
      <c r="A31" s="14"/>
      <c r="B31" s="15"/>
      <c r="C31" s="310" t="str">
        <f>'Assay Inventory'!C20</f>
        <v>MCR</v>
      </c>
      <c r="D31" s="2134" t="str">
        <f ca="1">'Assay Inventory'!D20</f>
        <v>wt%</v>
      </c>
      <c r="E31" s="2133">
        <f ca="1">'Assay Inventory'!E20</f>
        <v>1.2</v>
      </c>
      <c r="F31" s="2133" t="str">
        <f ca="1">'Assay Inventory'!F20</f>
        <v/>
      </c>
      <c r="G31" s="2133" t="str">
        <f ca="1">'Assay Inventory'!G20</f>
        <v/>
      </c>
      <c r="H31" s="2133" t="str">
        <f ca="1">'Assay Inventory'!H20</f>
        <v/>
      </c>
      <c r="I31" s="2133" t="str">
        <f ca="1">'Assay Inventory'!I20</f>
        <v/>
      </c>
      <c r="J31" s="2133" t="str">
        <f ca="1">'Assay Inventory'!J20</f>
        <v/>
      </c>
      <c r="K31" s="2133" t="str">
        <f ca="1">'Assay Inventory'!K20</f>
        <v/>
      </c>
      <c r="L31" s="2133" t="str">
        <f ca="1">'Assay Inventory'!L20</f>
        <v/>
      </c>
      <c r="M31" s="2133">
        <f ca="1">'Assay Inventory'!M20</f>
        <v>10.823381666475589</v>
      </c>
      <c r="N31" s="2135">
        <f ca="1">'Assay Inventory'!N20</f>
        <v>4.4374255523499508</v>
      </c>
      <c r="O31" s="17"/>
      <c r="P31" s="14"/>
      <c r="Q31" s="185"/>
      <c r="R31" s="325" t="s">
        <v>1053</v>
      </c>
      <c r="S31" s="718">
        <f ca="1">'Results Single Assay'!C74</f>
        <v>63.987061858975409</v>
      </c>
      <c r="T31" s="718">
        <f ca="1">'Results Single Assay'!C188</f>
        <v>63.987061858975395</v>
      </c>
      <c r="U31" s="16"/>
      <c r="V31" s="325" t="s">
        <v>1053</v>
      </c>
      <c r="W31" s="726">
        <f ca="1">'Results Single Assay'!D74</f>
        <v>0</v>
      </c>
      <c r="X31" s="726">
        <f ca="1">'Results Single Assay'!D188</f>
        <v>0</v>
      </c>
      <c r="Y31" s="188"/>
      <c r="Z31" s="14"/>
      <c r="AA31" s="14"/>
      <c r="AB31" s="14"/>
      <c r="AC31" s="14"/>
      <c r="AD31" s="14"/>
      <c r="AE31" s="14"/>
      <c r="AF31" s="14"/>
    </row>
    <row r="32" spans="1:32" ht="17.25" customHeight="1" x14ac:dyDescent="0.2">
      <c r="A32" s="14"/>
      <c r="B32" s="20"/>
      <c r="C32" s="2316" t="str">
        <f>'Assay Inventory'!C21</f>
        <v>Characterization Factor</v>
      </c>
      <c r="D32" s="2317" t="str">
        <f ca="1">'Assay Inventory'!D21</f>
        <v xml:space="preserve">Kw (Approximate) </v>
      </c>
      <c r="E32" s="2287">
        <f ca="1">'Assay Inventory'!E21</f>
        <v>11.700153491056373</v>
      </c>
      <c r="F32" s="2287">
        <f ca="1">'Assay Inventory'!F21</f>
        <v>11.603591066684944</v>
      </c>
      <c r="G32" s="2287">
        <f ca="1">'Assay Inventory'!G21</f>
        <v>11.538317381501681</v>
      </c>
      <c r="H32" s="2287">
        <f ca="1">'Assay Inventory'!H21</f>
        <v>11.509389111178706</v>
      </c>
      <c r="I32" s="2287">
        <f ca="1">'Assay Inventory'!I21</f>
        <v>11.541600381019759</v>
      </c>
      <c r="J32" s="2287">
        <f ca="1">'Assay Inventory'!J21</f>
        <v>11.585905176337866</v>
      </c>
      <c r="K32" s="2287">
        <f ca="1">'Assay Inventory'!K21</f>
        <v>11.638857688170157</v>
      </c>
      <c r="L32" s="2287">
        <f ca="1">'Assay Inventory'!L21</f>
        <v>11.689687554365658</v>
      </c>
      <c r="M32" s="2287">
        <f ca="1">'Assay Inventory'!M21</f>
        <v>11.195866150132154</v>
      </c>
      <c r="N32" s="2288">
        <f ca="1">'Assay Inventory'!N21</f>
        <v>11.510907375147308</v>
      </c>
      <c r="O32" s="21"/>
      <c r="P32" s="14"/>
      <c r="Q32" s="192"/>
      <c r="R32" s="325" t="s">
        <v>1051</v>
      </c>
      <c r="S32" s="718">
        <f ca="1">'Results Single Assay'!C75</f>
        <v>4.1042164730558755E-19</v>
      </c>
      <c r="T32" s="718">
        <f ca="1">'Results Single Assay'!C189</f>
        <v>3.6208521993155862E-19</v>
      </c>
      <c r="U32" s="16"/>
      <c r="V32" s="325" t="s">
        <v>1051</v>
      </c>
      <c r="W32" s="726">
        <f ca="1">'Results Single Assay'!D75</f>
        <v>4.1147618201961981E-20</v>
      </c>
      <c r="X32" s="726">
        <f ca="1">'Results Single Assay'!D189</f>
        <v>3.6301555934314318E-20</v>
      </c>
      <c r="Y32" s="188"/>
      <c r="Z32" s="14"/>
      <c r="AA32" s="14"/>
      <c r="AB32" s="14"/>
      <c r="AC32" s="14"/>
      <c r="AD32" s="14"/>
      <c r="AE32" s="14"/>
      <c r="AF32" s="14"/>
    </row>
    <row r="33" spans="1:32" ht="17.25" customHeight="1" x14ac:dyDescent="0.2">
      <c r="A33" s="14"/>
      <c r="B33" s="20"/>
      <c r="C33" s="2316"/>
      <c r="D33" s="2317"/>
      <c r="E33" s="2287"/>
      <c r="F33" s="2287"/>
      <c r="G33" s="2287"/>
      <c r="H33" s="2287"/>
      <c r="I33" s="2287"/>
      <c r="J33" s="2287"/>
      <c r="K33" s="2287"/>
      <c r="L33" s="2287"/>
      <c r="M33" s="2287"/>
      <c r="N33" s="2288"/>
      <c r="O33" s="21"/>
      <c r="P33" s="14"/>
      <c r="Q33" s="187"/>
      <c r="R33" s="325" t="s">
        <v>976</v>
      </c>
      <c r="S33" s="718">
        <f ca="1">'Results Single Assay'!C76</f>
        <v>0</v>
      </c>
      <c r="T33" s="718">
        <f ca="1">'Results Single Assay'!C190</f>
        <v>0</v>
      </c>
      <c r="U33" s="16"/>
      <c r="V33" s="325" t="s">
        <v>976</v>
      </c>
      <c r="W33" s="726">
        <f ca="1">'Results Single Assay'!D76</f>
        <v>0</v>
      </c>
      <c r="X33" s="726">
        <f ca="1">'Results Single Assay'!D190</f>
        <v>0</v>
      </c>
      <c r="Y33" s="188"/>
      <c r="Z33" s="14"/>
      <c r="AA33" s="14"/>
      <c r="AB33" s="14"/>
      <c r="AC33" s="14"/>
      <c r="AD33" s="14"/>
      <c r="AE33" s="14"/>
      <c r="AF33" s="14"/>
    </row>
    <row r="34" spans="1:32" ht="17.25" customHeight="1" x14ac:dyDescent="0.2">
      <c r="A34" s="14"/>
      <c r="B34" s="322" t="s">
        <v>1339</v>
      </c>
      <c r="C34" s="318" t="s">
        <v>781</v>
      </c>
      <c r="D34" s="319" t="s">
        <v>782</v>
      </c>
      <c r="E34" s="692">
        <f ca="1">'Assay Inventory'!E22</f>
        <v>296.18836685568135</v>
      </c>
      <c r="F34" s="692">
        <f ca="1">'Assay Inventory'!F22</f>
        <v>42.161482600405243</v>
      </c>
      <c r="G34" s="692">
        <f ca="1">'Assay Inventory'!G22</f>
        <v>138.4661602490732</v>
      </c>
      <c r="H34" s="692">
        <f ca="1">'Assay Inventory'!H22</f>
        <v>237.32469926339931</v>
      </c>
      <c r="I34" s="692">
        <f ca="1">'Assay Inventory'!I22</f>
        <v>315.93975462006586</v>
      </c>
      <c r="J34" s="692">
        <f ca="1">'Assay Inventory'!J22</f>
        <v>369.56279912297532</v>
      </c>
      <c r="K34" s="692">
        <f ca="1">'Assay Inventory'!K22</f>
        <v>424.22910543216562</v>
      </c>
      <c r="L34" s="692">
        <f ca="1">'Assay Inventory'!L22</f>
        <v>483.91826373810716</v>
      </c>
      <c r="M34" s="692">
        <f ca="1">'Assay Inventory'!M22</f>
        <v>645.61822707976467</v>
      </c>
      <c r="N34" s="693">
        <f ca="1">'Assay Inventory'!N22</f>
        <v>203.02943911373549</v>
      </c>
      <c r="O34" s="21"/>
      <c r="P34" s="14"/>
      <c r="Q34" s="187"/>
      <c r="R34" s="328" t="s">
        <v>32</v>
      </c>
      <c r="S34" s="364">
        <f ca="1">S15+S16+S19+S23+S31+S32+S33</f>
        <v>370.83268498493635</v>
      </c>
      <c r="T34" s="364">
        <f ca="1">T15+T16+T19+T23+T31+T32+T33</f>
        <v>370.83268498493641</v>
      </c>
      <c r="U34" s="16"/>
      <c r="V34" s="328" t="s">
        <v>32</v>
      </c>
      <c r="W34" s="728">
        <f ca="1">W15+W16+W19+W23+W31+W32+W33</f>
        <v>20.777775080345176</v>
      </c>
      <c r="X34" s="728">
        <f ca="1">X15+X16+X19+X23+X31+X32+X33</f>
        <v>20.77777508034518</v>
      </c>
      <c r="Y34" s="188"/>
      <c r="Z34" s="14"/>
      <c r="AA34" s="14"/>
      <c r="AB34" s="14"/>
      <c r="AC34" s="14"/>
      <c r="AD34" s="14"/>
      <c r="AE34" s="14"/>
      <c r="AF34" s="14"/>
    </row>
    <row r="35" spans="1:32" ht="17.25" customHeight="1" x14ac:dyDescent="0.2">
      <c r="A35" s="14"/>
      <c r="B35" s="322"/>
      <c r="C35" s="307"/>
      <c r="D35" s="307"/>
      <c r="E35" s="307"/>
      <c r="F35" s="307"/>
      <c r="G35" s="307"/>
      <c r="H35" s="31"/>
      <c r="I35" s="31"/>
      <c r="J35" s="31"/>
      <c r="K35" s="31"/>
      <c r="L35" s="31"/>
      <c r="M35" s="31"/>
      <c r="N35" s="31"/>
      <c r="O35" s="21"/>
      <c r="P35" s="14"/>
      <c r="Q35" s="187"/>
      <c r="R35" s="72"/>
      <c r="S35" s="326"/>
      <c r="T35" s="326"/>
      <c r="U35" s="16"/>
      <c r="V35" s="72"/>
      <c r="W35" s="326"/>
      <c r="X35" s="326"/>
      <c r="Y35" s="188"/>
      <c r="Z35" s="14"/>
      <c r="AA35" s="14"/>
      <c r="AB35" s="14"/>
      <c r="AC35" s="14"/>
      <c r="AD35" s="14"/>
      <c r="AE35" s="14"/>
      <c r="AF35" s="14"/>
    </row>
    <row r="36" spans="1:32" ht="17.25" customHeight="1" x14ac:dyDescent="0.2">
      <c r="A36" s="67"/>
      <c r="B36" s="20"/>
      <c r="C36" s="307"/>
      <c r="D36" s="307"/>
      <c r="E36" s="307"/>
      <c r="F36" s="307"/>
      <c r="G36" s="307"/>
      <c r="H36" s="31"/>
      <c r="I36" s="31"/>
      <c r="J36" s="31"/>
      <c r="K36" s="31"/>
      <c r="L36" s="31"/>
      <c r="M36" s="31"/>
      <c r="N36" s="31"/>
      <c r="O36" s="21"/>
      <c r="P36" s="67"/>
      <c r="Q36" s="187"/>
      <c r="R36" s="2283" t="s">
        <v>1644</v>
      </c>
      <c r="S36" s="2284"/>
      <c r="T36" s="2284"/>
      <c r="U36" s="16"/>
      <c r="V36" s="2283" t="s">
        <v>1658</v>
      </c>
      <c r="W36" s="2284"/>
      <c r="X36" s="2284"/>
      <c r="Y36" s="188"/>
      <c r="Z36" s="14"/>
      <c r="AA36" s="14"/>
      <c r="AB36" s="14"/>
      <c r="AC36" s="14"/>
      <c r="AD36" s="14"/>
      <c r="AE36" s="14"/>
      <c r="AF36" s="14"/>
    </row>
    <row r="37" spans="1:32" ht="17.25" customHeight="1" x14ac:dyDescent="0.2">
      <c r="A37" s="67"/>
      <c r="B37" s="2279" t="s">
        <v>1339</v>
      </c>
      <c r="C37" s="2280"/>
      <c r="D37" s="2280"/>
      <c r="E37" s="2280"/>
      <c r="F37" s="320" t="s">
        <v>1339</v>
      </c>
      <c r="G37" s="320"/>
      <c r="H37" s="31"/>
      <c r="I37" s="31"/>
      <c r="J37" s="31"/>
      <c r="K37" s="31"/>
      <c r="L37" s="16"/>
      <c r="M37" s="16"/>
      <c r="N37" s="31"/>
      <c r="O37" s="21"/>
      <c r="P37" s="67"/>
      <c r="Q37" s="187"/>
      <c r="R37" s="241"/>
      <c r="S37" s="241"/>
      <c r="T37" s="241"/>
      <c r="U37" s="16"/>
      <c r="V37" s="2283"/>
      <c r="W37" s="2284"/>
      <c r="X37" s="2284"/>
      <c r="Y37" s="188"/>
      <c r="Z37" s="14"/>
      <c r="AA37" s="14"/>
      <c r="AB37" s="14"/>
      <c r="AC37" s="14"/>
      <c r="AD37" s="14"/>
      <c r="AE37" s="14"/>
      <c r="AF37" s="14"/>
    </row>
    <row r="38" spans="1:32" ht="17.25" customHeight="1" x14ac:dyDescent="0.2">
      <c r="A38" s="67"/>
      <c r="B38" s="2279"/>
      <c r="C38" s="2280"/>
      <c r="D38" s="2280"/>
      <c r="E38" s="2280"/>
      <c r="F38" s="1955"/>
      <c r="G38" s="320"/>
      <c r="H38" s="31"/>
      <c r="I38" s="31"/>
      <c r="J38" s="31"/>
      <c r="K38" s="31"/>
      <c r="L38" s="16"/>
      <c r="M38" s="16"/>
      <c r="N38" s="31"/>
      <c r="O38" s="21"/>
      <c r="P38" s="67"/>
      <c r="Q38" s="187"/>
      <c r="R38" s="72"/>
      <c r="S38" s="326"/>
      <c r="T38" s="326"/>
      <c r="U38" s="16"/>
      <c r="V38" s="72"/>
      <c r="W38" s="326"/>
      <c r="X38" s="326"/>
      <c r="Y38" s="188"/>
      <c r="Z38" s="14"/>
      <c r="AA38" s="14"/>
      <c r="AB38" s="14"/>
      <c r="AC38" s="14"/>
      <c r="AD38" s="14"/>
      <c r="AE38" s="14"/>
      <c r="AF38" s="14"/>
    </row>
    <row r="39" spans="1:32" ht="17.25" customHeight="1" x14ac:dyDescent="0.2">
      <c r="A39" s="67"/>
      <c r="B39" s="20"/>
      <c r="C39" s="31"/>
      <c r="D39" s="31"/>
      <c r="E39" s="31"/>
      <c r="F39" s="31"/>
      <c r="G39" s="31"/>
      <c r="H39" s="31"/>
      <c r="I39" s="31"/>
      <c r="J39" s="31"/>
      <c r="K39" s="31"/>
      <c r="L39" s="16"/>
      <c r="M39" s="16"/>
      <c r="N39" s="31"/>
      <c r="O39" s="21"/>
      <c r="P39" s="67"/>
      <c r="Q39" s="187"/>
      <c r="R39" s="72"/>
      <c r="S39" s="326"/>
      <c r="T39" s="326"/>
      <c r="U39" s="14"/>
      <c r="V39" s="2283" t="s">
        <v>1278</v>
      </c>
      <c r="W39" s="2284"/>
      <c r="X39" s="2284"/>
      <c r="Y39" s="188"/>
      <c r="Z39" s="14"/>
      <c r="AA39" s="14"/>
      <c r="AB39" s="14"/>
      <c r="AC39" s="14"/>
      <c r="AD39" s="14"/>
      <c r="AE39" s="14"/>
      <c r="AF39" s="14"/>
    </row>
    <row r="40" spans="1:32" ht="17.25" customHeight="1" thickBot="1" x14ac:dyDescent="0.25">
      <c r="A40" s="67"/>
      <c r="B40" s="20"/>
      <c r="C40" s="2306" t="s">
        <v>1341</v>
      </c>
      <c r="D40" s="2306"/>
      <c r="E40" s="323"/>
      <c r="F40" s="323"/>
      <c r="G40" s="323"/>
      <c r="H40" s="31"/>
      <c r="I40" s="2306" t="s">
        <v>1340</v>
      </c>
      <c r="J40" s="2306"/>
      <c r="K40" s="323"/>
      <c r="L40" s="323"/>
      <c r="M40" s="323"/>
      <c r="N40" s="323"/>
      <c r="O40" s="21"/>
      <c r="P40" s="67"/>
      <c r="Q40" s="187"/>
      <c r="R40" s="16"/>
      <c r="S40" s="16"/>
      <c r="T40" s="16"/>
      <c r="U40" s="14"/>
      <c r="V40" s="2283"/>
      <c r="W40" s="2284"/>
      <c r="X40" s="2284"/>
      <c r="Y40" s="188"/>
      <c r="Z40" s="14"/>
      <c r="AA40" s="14"/>
      <c r="AB40" s="14"/>
      <c r="AC40" s="14"/>
      <c r="AD40" s="14"/>
      <c r="AE40" s="14"/>
      <c r="AF40" s="14"/>
    </row>
    <row r="41" spans="1:32" ht="17.25" customHeight="1" thickTop="1" x14ac:dyDescent="0.2">
      <c r="A41" s="67"/>
      <c r="B41" s="20"/>
      <c r="C41" s="31"/>
      <c r="D41" s="31"/>
      <c r="E41" s="31"/>
      <c r="F41" s="31"/>
      <c r="G41" s="31"/>
      <c r="H41" s="31"/>
      <c r="I41" s="31"/>
      <c r="J41" s="31"/>
      <c r="K41" s="31"/>
      <c r="L41" s="31"/>
      <c r="M41" s="31"/>
      <c r="N41" s="31"/>
      <c r="O41" s="21"/>
      <c r="P41" s="67"/>
      <c r="Q41" s="187"/>
      <c r="R41" s="16"/>
      <c r="S41" s="16"/>
      <c r="T41" s="16"/>
      <c r="U41" s="16"/>
      <c r="V41" s="16"/>
      <c r="W41" s="16"/>
      <c r="X41" s="16"/>
      <c r="Y41" s="188"/>
      <c r="Z41" s="14"/>
      <c r="AA41" s="14"/>
      <c r="AB41" s="14"/>
      <c r="AC41" s="14"/>
      <c r="AD41" s="14"/>
      <c r="AE41" s="14"/>
      <c r="AF41" s="14"/>
    </row>
    <row r="42" spans="1:32" ht="17.25" customHeight="1" x14ac:dyDescent="0.2">
      <c r="A42" s="67"/>
      <c r="B42" s="20"/>
      <c r="C42" s="31"/>
      <c r="D42" s="31"/>
      <c r="E42" s="31"/>
      <c r="F42" s="31"/>
      <c r="G42" s="31"/>
      <c r="H42" s="31"/>
      <c r="I42" s="31"/>
      <c r="J42" s="31"/>
      <c r="K42" s="31"/>
      <c r="L42" s="16"/>
      <c r="M42" s="16"/>
      <c r="N42" s="16"/>
      <c r="O42" s="21"/>
      <c r="P42" s="67"/>
      <c r="Q42" s="187"/>
      <c r="R42" s="16"/>
      <c r="S42" s="16"/>
      <c r="T42" s="16"/>
      <c r="U42" s="16"/>
      <c r="V42" s="16"/>
      <c r="W42" s="16"/>
      <c r="X42" s="16"/>
      <c r="Y42" s="188"/>
      <c r="Z42" s="14"/>
      <c r="AA42" s="14"/>
      <c r="AB42" s="14"/>
      <c r="AC42" s="14"/>
      <c r="AD42" s="14"/>
      <c r="AE42" s="14"/>
      <c r="AF42" s="14"/>
    </row>
    <row r="43" spans="1:32" ht="21" customHeight="1" x14ac:dyDescent="0.2">
      <c r="A43" s="67"/>
      <c r="B43" s="20"/>
      <c r="C43" s="31"/>
      <c r="D43" s="31"/>
      <c r="E43" s="31"/>
      <c r="F43" s="31"/>
      <c r="G43" s="31"/>
      <c r="H43" s="31"/>
      <c r="I43" s="31"/>
      <c r="J43" s="31"/>
      <c r="K43" s="31"/>
      <c r="L43" s="2283" t="s">
        <v>1640</v>
      </c>
      <c r="M43" s="2284"/>
      <c r="N43" s="2284"/>
      <c r="O43" s="21"/>
      <c r="P43" s="67"/>
      <c r="Q43" s="187"/>
      <c r="R43" s="16"/>
      <c r="S43" s="16"/>
      <c r="T43" s="16"/>
      <c r="U43" s="16"/>
      <c r="V43" s="16"/>
      <c r="W43" s="16"/>
      <c r="X43" s="16"/>
      <c r="Y43" s="188"/>
      <c r="Z43" s="14"/>
      <c r="AA43" s="14"/>
      <c r="AB43" s="14"/>
      <c r="AC43" s="14"/>
      <c r="AD43" s="14"/>
      <c r="AE43" s="14"/>
      <c r="AF43" s="14"/>
    </row>
    <row r="44" spans="1:32" ht="17.25" customHeight="1" x14ac:dyDescent="0.2">
      <c r="A44" s="67"/>
      <c r="B44" s="20"/>
      <c r="C44" s="31"/>
      <c r="D44" s="31"/>
      <c r="E44" s="31"/>
      <c r="F44" s="31"/>
      <c r="G44" s="31"/>
      <c r="H44" s="31"/>
      <c r="I44" s="31"/>
      <c r="J44" s="31"/>
      <c r="K44" s="31"/>
      <c r="L44" s="2283"/>
      <c r="M44" s="2284"/>
      <c r="N44" s="2284"/>
      <c r="O44" s="21"/>
      <c r="P44" s="67"/>
      <c r="Q44" s="187"/>
      <c r="R44" s="16"/>
      <c r="S44" s="16"/>
      <c r="T44" s="16"/>
      <c r="U44" s="16"/>
      <c r="V44" s="16"/>
      <c r="W44" s="16"/>
      <c r="X44" s="16"/>
      <c r="Y44" s="188"/>
      <c r="Z44" s="14"/>
      <c r="AA44" s="14"/>
      <c r="AB44" s="14"/>
      <c r="AC44" s="14"/>
      <c r="AD44" s="14"/>
      <c r="AE44" s="14"/>
      <c r="AF44" s="14"/>
    </row>
    <row r="45" spans="1:32" ht="17.25" customHeight="1" x14ac:dyDescent="0.2">
      <c r="A45" s="67"/>
      <c r="B45" s="20"/>
      <c r="C45" s="31"/>
      <c r="D45" s="31"/>
      <c r="E45" s="31"/>
      <c r="F45" s="31"/>
      <c r="G45" s="31"/>
      <c r="H45" s="31"/>
      <c r="I45" s="31"/>
      <c r="J45" s="31"/>
      <c r="K45" s="31"/>
      <c r="L45" s="2283"/>
      <c r="M45" s="2284"/>
      <c r="N45" s="2284"/>
      <c r="O45" s="21"/>
      <c r="P45" s="67"/>
      <c r="Q45" s="187"/>
      <c r="R45" s="16"/>
      <c r="S45" s="16"/>
      <c r="T45" s="16"/>
      <c r="U45" s="16"/>
      <c r="V45" s="16"/>
      <c r="W45" s="16"/>
      <c r="X45" s="16"/>
      <c r="Y45" s="188"/>
      <c r="Z45" s="14"/>
      <c r="AA45" s="14"/>
      <c r="AB45" s="14"/>
      <c r="AC45" s="14"/>
      <c r="AD45" s="14"/>
      <c r="AE45" s="14"/>
      <c r="AF45" s="14"/>
    </row>
    <row r="46" spans="1:32" ht="20.25" customHeight="1" x14ac:dyDescent="0.2">
      <c r="A46" s="67"/>
      <c r="B46" s="322" t="s">
        <v>1338</v>
      </c>
      <c r="C46" s="231"/>
      <c r="D46" s="231"/>
      <c r="E46" s="231"/>
      <c r="F46" s="231"/>
      <c r="G46" s="231"/>
      <c r="H46" s="231"/>
      <c r="I46" s="16"/>
      <c r="J46" s="16"/>
      <c r="K46" s="16"/>
      <c r="L46" s="2283"/>
      <c r="M46" s="2284"/>
      <c r="N46" s="2284"/>
      <c r="O46" s="183"/>
      <c r="P46" s="67"/>
      <c r="Q46" s="187"/>
      <c r="R46" s="16"/>
      <c r="S46" s="16"/>
      <c r="T46" s="16"/>
      <c r="U46" s="16"/>
      <c r="V46" s="16"/>
      <c r="W46" s="16"/>
      <c r="X46" s="16"/>
      <c r="Y46" s="188"/>
      <c r="Z46" s="14"/>
      <c r="AA46" s="14"/>
      <c r="AB46" s="14"/>
      <c r="AC46" s="14"/>
      <c r="AD46" s="14"/>
      <c r="AE46" s="14"/>
      <c r="AF46" s="14"/>
    </row>
    <row r="47" spans="1:32" ht="17.25" customHeight="1" thickBot="1" x14ac:dyDescent="0.25">
      <c r="A47" s="67"/>
      <c r="B47" s="322"/>
      <c r="C47" s="2306" t="s">
        <v>1342</v>
      </c>
      <c r="D47" s="2306"/>
      <c r="E47" s="323"/>
      <c r="F47" s="323"/>
      <c r="G47" s="323"/>
      <c r="H47" s="323"/>
      <c r="I47" s="323"/>
      <c r="J47" s="323"/>
      <c r="K47" s="323"/>
      <c r="L47" s="323"/>
      <c r="M47" s="323"/>
      <c r="N47" s="323"/>
      <c r="O47" s="183"/>
      <c r="P47" s="67"/>
      <c r="Q47" s="187"/>
      <c r="R47" s="16"/>
      <c r="S47" s="16"/>
      <c r="T47" s="16"/>
      <c r="U47" s="16"/>
      <c r="V47" s="16"/>
      <c r="W47" s="16"/>
      <c r="X47" s="16"/>
      <c r="Y47" s="188"/>
      <c r="Z47" s="14"/>
      <c r="AA47" s="14"/>
      <c r="AB47" s="14"/>
      <c r="AC47" s="14"/>
      <c r="AD47" s="14"/>
      <c r="AE47" s="14"/>
      <c r="AF47" s="14"/>
    </row>
    <row r="48" spans="1:32" ht="17.25" customHeight="1" thickTop="1" x14ac:dyDescent="0.2">
      <c r="A48" s="67"/>
      <c r="B48" s="182"/>
      <c r="C48" s="16"/>
      <c r="D48" s="16"/>
      <c r="E48" s="16"/>
      <c r="F48" s="16"/>
      <c r="G48" s="16"/>
      <c r="H48" s="16"/>
      <c r="I48" s="16"/>
      <c r="J48" s="16"/>
      <c r="K48" s="16"/>
      <c r="L48" s="16"/>
      <c r="M48" s="16"/>
      <c r="N48" s="16"/>
      <c r="O48" s="183"/>
      <c r="P48" s="67"/>
      <c r="Q48" s="187"/>
      <c r="R48" s="16"/>
      <c r="S48" s="16"/>
      <c r="T48" s="16"/>
      <c r="U48" s="16"/>
      <c r="V48" s="16"/>
      <c r="W48" s="16"/>
      <c r="X48" s="16"/>
      <c r="Y48" s="188"/>
      <c r="Z48" s="14"/>
      <c r="AA48" s="14"/>
      <c r="AB48" s="14"/>
      <c r="AC48" s="14"/>
      <c r="AD48" s="14"/>
      <c r="AE48" s="14"/>
      <c r="AF48" s="14"/>
    </row>
    <row r="49" spans="1:32" ht="17.25" customHeight="1" x14ac:dyDescent="0.2">
      <c r="A49" s="67"/>
      <c r="B49" s="182"/>
      <c r="C49" s="2283" t="s">
        <v>1539</v>
      </c>
      <c r="D49" s="2284"/>
      <c r="E49" s="2284"/>
      <c r="F49" s="2284"/>
      <c r="G49" s="2284"/>
      <c r="H49" s="2284"/>
      <c r="I49" s="2284"/>
      <c r="J49" s="2284"/>
      <c r="K49" s="2284"/>
      <c r="L49" s="2284"/>
      <c r="M49" s="2284"/>
      <c r="N49" s="2284"/>
      <c r="O49" s="183"/>
      <c r="P49" s="67"/>
      <c r="Q49" s="187"/>
      <c r="R49" s="16"/>
      <c r="S49" s="16"/>
      <c r="T49" s="16"/>
      <c r="U49" s="16"/>
      <c r="V49" s="16"/>
      <c r="W49" s="16"/>
      <c r="X49" s="16"/>
      <c r="Y49" s="188"/>
      <c r="Z49" s="14"/>
      <c r="AA49" s="14"/>
      <c r="AB49" s="14"/>
      <c r="AC49" s="14"/>
      <c r="AD49" s="14"/>
      <c r="AE49" s="14"/>
      <c r="AF49" s="14"/>
    </row>
    <row r="50" spans="1:32" ht="17.25" customHeight="1" x14ac:dyDescent="0.2">
      <c r="A50" s="67"/>
      <c r="B50" s="182"/>
      <c r="C50" s="2283"/>
      <c r="D50" s="2284"/>
      <c r="E50" s="2284"/>
      <c r="F50" s="2284"/>
      <c r="G50" s="2284"/>
      <c r="H50" s="2284"/>
      <c r="I50" s="2284"/>
      <c r="J50" s="2284"/>
      <c r="K50" s="2284"/>
      <c r="L50" s="2284"/>
      <c r="M50" s="2284"/>
      <c r="N50" s="2284"/>
      <c r="O50" s="183"/>
      <c r="P50" s="67"/>
      <c r="Q50" s="187"/>
      <c r="R50" s="16"/>
      <c r="S50" s="16"/>
      <c r="T50" s="16"/>
      <c r="U50" s="16"/>
      <c r="V50" s="16"/>
      <c r="W50" s="16"/>
      <c r="X50" s="16"/>
      <c r="Y50" s="188"/>
      <c r="Z50" s="14"/>
      <c r="AA50" s="14"/>
      <c r="AB50" s="14"/>
      <c r="AC50" s="14"/>
      <c r="AD50" s="14"/>
      <c r="AE50" s="14"/>
      <c r="AF50" s="14"/>
    </row>
    <row r="51" spans="1:32" ht="17.25" customHeight="1" x14ac:dyDescent="0.2">
      <c r="A51" s="67"/>
      <c r="B51" s="182"/>
      <c r="C51" s="2283"/>
      <c r="D51" s="2284"/>
      <c r="E51" s="2284"/>
      <c r="F51" s="2284"/>
      <c r="G51" s="2284"/>
      <c r="H51" s="2284"/>
      <c r="I51" s="2284"/>
      <c r="J51" s="2284"/>
      <c r="K51" s="2284"/>
      <c r="L51" s="2284"/>
      <c r="M51" s="2284"/>
      <c r="N51" s="2284"/>
      <c r="O51" s="183"/>
      <c r="P51" s="67"/>
      <c r="Q51" s="187"/>
      <c r="R51" s="16"/>
      <c r="S51" s="16"/>
      <c r="T51" s="16"/>
      <c r="U51" s="16"/>
      <c r="V51" s="16"/>
      <c r="W51" s="16"/>
      <c r="X51" s="16"/>
      <c r="Y51" s="188"/>
      <c r="Z51" s="14"/>
      <c r="AA51" s="14"/>
      <c r="AB51" s="14"/>
      <c r="AC51" s="14"/>
      <c r="AD51" s="14"/>
      <c r="AE51" s="14"/>
      <c r="AF51" s="14"/>
    </row>
    <row r="52" spans="1:32" ht="17.25" customHeight="1" x14ac:dyDescent="0.2">
      <c r="A52" s="67"/>
      <c r="B52" s="182"/>
      <c r="C52" s="42"/>
      <c r="D52" s="42"/>
      <c r="E52" s="42"/>
      <c r="F52" s="42"/>
      <c r="G52" s="42"/>
      <c r="H52" s="42"/>
      <c r="I52" s="42"/>
      <c r="J52" s="42"/>
      <c r="K52" s="42"/>
      <c r="L52" s="42"/>
      <c r="M52" s="42"/>
      <c r="N52" s="42"/>
      <c r="O52" s="183"/>
      <c r="P52" s="67"/>
      <c r="Q52" s="187"/>
      <c r="R52" s="16"/>
      <c r="S52" s="16"/>
      <c r="T52" s="16"/>
      <c r="U52" s="16"/>
      <c r="V52" s="16"/>
      <c r="W52" s="16"/>
      <c r="X52" s="16"/>
      <c r="Y52" s="188"/>
      <c r="Z52" s="14"/>
      <c r="AA52" s="14"/>
      <c r="AB52" s="14"/>
      <c r="AC52" s="14"/>
      <c r="AD52" s="14"/>
      <c r="AE52" s="14"/>
      <c r="AF52" s="14"/>
    </row>
    <row r="53" spans="1:32" ht="17.25" customHeight="1" x14ac:dyDescent="0.2">
      <c r="A53" s="67"/>
      <c r="B53" s="182"/>
      <c r="C53" s="2307" t="s">
        <v>1261</v>
      </c>
      <c r="D53" s="2307"/>
      <c r="E53" s="2307"/>
      <c r="F53" s="2307"/>
      <c r="G53" s="2307"/>
      <c r="H53" s="42"/>
      <c r="I53" s="42"/>
      <c r="J53" s="42"/>
      <c r="K53" s="42"/>
      <c r="L53" s="42"/>
      <c r="M53" s="42"/>
      <c r="N53" s="42"/>
      <c r="O53" s="183"/>
      <c r="P53" s="67"/>
      <c r="Q53" s="187"/>
      <c r="R53" s="16"/>
      <c r="S53" s="16"/>
      <c r="T53" s="16"/>
      <c r="U53" s="16"/>
      <c r="V53" s="16"/>
      <c r="W53" s="16"/>
      <c r="X53" s="16"/>
      <c r="Y53" s="188"/>
      <c r="Z53" s="14"/>
      <c r="AA53" s="14"/>
      <c r="AB53" s="14"/>
      <c r="AC53" s="14"/>
      <c r="AD53" s="14"/>
      <c r="AE53" s="14"/>
      <c r="AF53" s="14"/>
    </row>
    <row r="54" spans="1:32" ht="17.25" customHeight="1" x14ac:dyDescent="0.2">
      <c r="A54" s="67"/>
      <c r="B54" s="182"/>
      <c r="C54" s="2307"/>
      <c r="D54" s="2307"/>
      <c r="E54" s="2307"/>
      <c r="F54" s="2307"/>
      <c r="G54" s="2307"/>
      <c r="H54" s="68"/>
      <c r="I54" s="31"/>
      <c r="J54" s="2305"/>
      <c r="K54" s="2305"/>
      <c r="L54" s="2305"/>
      <c r="M54" s="2305"/>
      <c r="N54" s="31"/>
      <c r="O54" s="183"/>
      <c r="P54" s="67"/>
      <c r="Q54" s="187"/>
      <c r="R54" s="16"/>
      <c r="S54" s="16"/>
      <c r="T54" s="16"/>
      <c r="U54" s="16"/>
      <c r="V54" s="16"/>
      <c r="W54" s="16"/>
      <c r="X54" s="16"/>
      <c r="Y54" s="188"/>
      <c r="Z54" s="14"/>
      <c r="AA54" s="14"/>
      <c r="AB54" s="14"/>
      <c r="AC54" s="14"/>
      <c r="AD54" s="14"/>
      <c r="AE54" s="14"/>
      <c r="AF54" s="14"/>
    </row>
    <row r="55" spans="1:32" ht="17.25" customHeight="1" x14ac:dyDescent="0.2">
      <c r="A55" s="67"/>
      <c r="B55" s="182"/>
      <c r="C55" s="16"/>
      <c r="D55" s="16"/>
      <c r="E55" s="16"/>
      <c r="F55" s="16"/>
      <c r="G55" s="16"/>
      <c r="H55" s="16"/>
      <c r="I55" s="16"/>
      <c r="J55" s="16"/>
      <c r="K55" s="73"/>
      <c r="L55" s="16"/>
      <c r="M55" s="16"/>
      <c r="N55" s="16"/>
      <c r="O55" s="183"/>
      <c r="P55" s="67"/>
      <c r="Q55" s="187"/>
      <c r="R55" s="16"/>
      <c r="S55" s="16"/>
      <c r="T55" s="16"/>
      <c r="U55" s="16"/>
      <c r="V55" s="16"/>
      <c r="W55" s="16"/>
      <c r="X55" s="16"/>
      <c r="Y55" s="188"/>
      <c r="Z55" s="14"/>
      <c r="AA55" s="14"/>
      <c r="AB55" s="14"/>
      <c r="AC55" s="14"/>
      <c r="AD55" s="14"/>
      <c r="AE55" s="14"/>
      <c r="AF55" s="14"/>
    </row>
    <row r="56" spans="1:32" ht="29.25" customHeight="1" x14ac:dyDescent="0.2">
      <c r="A56" s="67"/>
      <c r="B56" s="182"/>
      <c r="C56" s="2289" t="s">
        <v>1262</v>
      </c>
      <c r="D56" s="2290"/>
      <c r="E56" s="2291"/>
      <c r="F56" s="16"/>
      <c r="G56" s="16"/>
      <c r="H56" s="16"/>
      <c r="I56" s="16"/>
      <c r="J56" s="16"/>
      <c r="K56" s="2283" t="s">
        <v>1746</v>
      </c>
      <c r="L56" s="2284"/>
      <c r="M56" s="2284"/>
      <c r="N56" s="2284"/>
      <c r="O56" s="183"/>
      <c r="P56" s="67"/>
      <c r="Q56" s="187"/>
      <c r="R56" s="16"/>
      <c r="S56" s="16"/>
      <c r="T56" s="16"/>
      <c r="U56" s="16"/>
      <c r="V56" s="16"/>
      <c r="W56" s="16"/>
      <c r="X56" s="16"/>
      <c r="Y56" s="188"/>
      <c r="Z56" s="14"/>
      <c r="AA56" s="14"/>
      <c r="AB56" s="14"/>
      <c r="AC56" s="14"/>
      <c r="AD56" s="14"/>
      <c r="AE56" s="14"/>
      <c r="AF56" s="14"/>
    </row>
    <row r="57" spans="1:32" ht="17.25" customHeight="1" x14ac:dyDescent="0.2">
      <c r="A57" s="67"/>
      <c r="B57" s="182"/>
      <c r="C57" s="2292"/>
      <c r="D57" s="2293"/>
      <c r="E57" s="2294"/>
      <c r="F57" s="72"/>
      <c r="G57" s="31"/>
      <c r="H57" s="40"/>
      <c r="I57" s="16"/>
      <c r="J57" s="16"/>
      <c r="K57" s="16"/>
      <c r="L57" s="16"/>
      <c r="M57" s="16"/>
      <c r="N57" s="16"/>
      <c r="O57" s="183"/>
      <c r="P57" s="67"/>
      <c r="Q57" s="187"/>
      <c r="R57" s="16"/>
      <c r="S57" s="16"/>
      <c r="T57" s="16"/>
      <c r="U57" s="16"/>
      <c r="V57" s="16"/>
      <c r="W57" s="16"/>
      <c r="X57" s="16"/>
      <c r="Y57" s="188"/>
      <c r="Z57" s="14"/>
      <c r="AA57" s="14"/>
      <c r="AB57" s="14"/>
      <c r="AC57" s="14"/>
      <c r="AD57" s="14"/>
      <c r="AE57" s="14"/>
      <c r="AF57" s="14"/>
    </row>
    <row r="58" spans="1:32" ht="17.25" customHeight="1" x14ac:dyDescent="0.2">
      <c r="A58" s="67"/>
      <c r="B58" s="182"/>
      <c r="C58" s="2297" t="s">
        <v>1489</v>
      </c>
      <c r="D58" s="2298"/>
      <c r="E58" s="990"/>
      <c r="F58" s="990"/>
      <c r="G58" s="991"/>
      <c r="H58" s="16"/>
      <c r="I58" s="16"/>
      <c r="J58" s="16"/>
      <c r="K58" s="330" t="s">
        <v>1270</v>
      </c>
      <c r="L58" s="331"/>
      <c r="M58" s="332" t="s">
        <v>1361</v>
      </c>
      <c r="N58" s="331"/>
      <c r="O58" s="183"/>
      <c r="P58" s="67"/>
      <c r="Q58" s="187"/>
      <c r="R58" s="16"/>
      <c r="S58" s="16"/>
      <c r="T58" s="16"/>
      <c r="U58" s="16"/>
      <c r="V58" s="16"/>
      <c r="W58" s="16"/>
      <c r="X58" s="16"/>
      <c r="Y58" s="188"/>
      <c r="Z58" s="14"/>
      <c r="AA58" s="14"/>
      <c r="AB58" s="14"/>
      <c r="AC58" s="14"/>
      <c r="AD58" s="14"/>
      <c r="AE58" s="14"/>
      <c r="AF58" s="14"/>
    </row>
    <row r="59" spans="1:32" ht="17.25" customHeight="1" x14ac:dyDescent="0.2">
      <c r="A59" s="67"/>
      <c r="B59" s="182"/>
      <c r="C59" s="2299"/>
      <c r="D59" s="2300"/>
      <c r="E59" s="992"/>
      <c r="F59" s="992"/>
      <c r="G59" s="993"/>
      <c r="H59" s="2208"/>
      <c r="I59" s="16"/>
      <c r="J59" s="16"/>
      <c r="K59" s="927" t="s">
        <v>524</v>
      </c>
      <c r="L59" s="928"/>
      <c r="M59" s="929" t="s">
        <v>966</v>
      </c>
      <c r="N59" s="928"/>
      <c r="O59" s="183"/>
      <c r="P59" s="67"/>
      <c r="Q59" s="187"/>
      <c r="R59" s="16"/>
      <c r="S59" s="16"/>
      <c r="T59" s="16"/>
      <c r="U59" s="16"/>
      <c r="V59" s="16"/>
      <c r="W59" s="16"/>
      <c r="X59" s="16"/>
      <c r="Y59" s="188"/>
      <c r="Z59" s="14"/>
      <c r="AA59" s="14"/>
      <c r="AB59" s="14"/>
      <c r="AC59" s="14"/>
      <c r="AD59" s="14"/>
      <c r="AE59" s="14"/>
      <c r="AF59" s="14"/>
    </row>
    <row r="60" spans="1:32" ht="17.25" customHeight="1" x14ac:dyDescent="0.2">
      <c r="A60" s="67"/>
      <c r="B60" s="182"/>
      <c r="C60" s="2299" t="s">
        <v>1490</v>
      </c>
      <c r="D60" s="2300"/>
      <c r="E60" s="992"/>
      <c r="F60" s="992"/>
      <c r="G60" s="993"/>
      <c r="H60" s="16"/>
      <c r="I60" s="16"/>
      <c r="J60" s="16"/>
      <c r="K60" s="927" t="s">
        <v>525</v>
      </c>
      <c r="L60" s="929"/>
      <c r="M60" s="929" t="s">
        <v>966</v>
      </c>
      <c r="N60" s="929"/>
      <c r="O60" s="183"/>
      <c r="P60" s="67"/>
      <c r="Q60" s="187"/>
      <c r="R60" s="16"/>
      <c r="S60" s="16"/>
      <c r="T60" s="16"/>
      <c r="U60" s="16"/>
      <c r="V60" s="16"/>
      <c r="W60" s="16"/>
      <c r="X60" s="16"/>
      <c r="Y60" s="188"/>
      <c r="Z60" s="14"/>
      <c r="AA60" s="14"/>
      <c r="AB60" s="14"/>
      <c r="AC60" s="14"/>
      <c r="AD60" s="14"/>
      <c r="AE60" s="14"/>
      <c r="AF60" s="14"/>
    </row>
    <row r="61" spans="1:32" ht="17.25" customHeight="1" x14ac:dyDescent="0.2">
      <c r="A61" s="67"/>
      <c r="B61" s="182"/>
      <c r="C61" s="2301"/>
      <c r="D61" s="2302"/>
      <c r="E61" s="994"/>
      <c r="F61" s="994"/>
      <c r="G61" s="995"/>
      <c r="H61" s="16"/>
      <c r="I61" s="16"/>
      <c r="J61" s="16"/>
      <c r="K61" s="927" t="s">
        <v>528</v>
      </c>
      <c r="L61" s="929"/>
      <c r="M61" s="929" t="s">
        <v>966</v>
      </c>
      <c r="N61" s="929"/>
      <c r="O61" s="183"/>
      <c r="P61" s="67"/>
      <c r="Q61" s="187"/>
      <c r="R61" s="16"/>
      <c r="S61" s="16"/>
      <c r="T61" s="16"/>
      <c r="U61" s="16"/>
      <c r="V61" s="16"/>
      <c r="W61" s="16"/>
      <c r="X61" s="16"/>
      <c r="Y61" s="188"/>
      <c r="Z61" s="14"/>
      <c r="AA61" s="14"/>
      <c r="AB61" s="14"/>
      <c r="AC61" s="14"/>
      <c r="AD61" s="14"/>
      <c r="AE61" s="14"/>
      <c r="AF61" s="14"/>
    </row>
    <row r="62" spans="1:32" ht="17.25" customHeight="1" thickBot="1" x14ac:dyDescent="0.25">
      <c r="A62" s="67"/>
      <c r="B62" s="182"/>
      <c r="C62" s="329"/>
      <c r="D62" s="329"/>
      <c r="E62" s="329"/>
      <c r="F62" s="329"/>
      <c r="G62" s="49"/>
      <c r="H62" s="16"/>
      <c r="I62" s="16"/>
      <c r="J62" s="16"/>
      <c r="K62" s="927" t="s">
        <v>962</v>
      </c>
      <c r="L62" s="929"/>
      <c r="M62" s="929" t="s">
        <v>967</v>
      </c>
      <c r="N62" s="929"/>
      <c r="O62" s="183"/>
      <c r="P62" s="67"/>
      <c r="Q62" s="187"/>
      <c r="R62" s="16"/>
      <c r="S62" s="16"/>
      <c r="T62" s="16"/>
      <c r="U62" s="16"/>
      <c r="V62" s="16"/>
      <c r="W62" s="16"/>
      <c r="X62" s="16"/>
      <c r="Y62" s="188"/>
      <c r="Z62" s="14"/>
      <c r="AA62" s="14"/>
      <c r="AB62" s="14"/>
      <c r="AC62" s="14"/>
      <c r="AD62" s="14"/>
      <c r="AE62" s="14"/>
      <c r="AF62" s="14"/>
    </row>
    <row r="63" spans="1:32" ht="17.25" customHeight="1" x14ac:dyDescent="0.2">
      <c r="A63" s="67"/>
      <c r="B63" s="182"/>
      <c r="C63" s="2303" t="s">
        <v>2119</v>
      </c>
      <c r="D63" s="2304"/>
      <c r="E63" s="2304"/>
      <c r="F63" s="2304"/>
      <c r="G63" s="2304"/>
      <c r="H63" s="16"/>
      <c r="I63" s="16"/>
      <c r="J63" s="16"/>
      <c r="K63" s="927" t="s">
        <v>532</v>
      </c>
      <c r="L63" s="929"/>
      <c r="M63" s="929" t="s">
        <v>966</v>
      </c>
      <c r="N63" s="929"/>
      <c r="O63" s="183"/>
      <c r="P63" s="67"/>
      <c r="Q63" s="2271" t="s">
        <v>1344</v>
      </c>
      <c r="R63" s="2272"/>
      <c r="S63" s="16"/>
      <c r="T63" s="16"/>
      <c r="U63" s="16"/>
      <c r="V63" s="16"/>
      <c r="W63" s="16"/>
      <c r="X63" s="16"/>
      <c r="Y63" s="188"/>
      <c r="Z63" s="14"/>
      <c r="AA63" s="14"/>
      <c r="AB63" s="14"/>
      <c r="AC63" s="14"/>
      <c r="AD63" s="14"/>
      <c r="AE63" s="14"/>
      <c r="AF63" s="14"/>
    </row>
    <row r="64" spans="1:32" ht="17.25" customHeight="1" thickBot="1" x14ac:dyDescent="0.25">
      <c r="A64" s="67"/>
      <c r="B64" s="182"/>
      <c r="C64" s="2303"/>
      <c r="D64" s="2304"/>
      <c r="E64" s="2304"/>
      <c r="F64" s="2304"/>
      <c r="G64" s="2304"/>
      <c r="H64" s="329"/>
      <c r="I64" s="16"/>
      <c r="J64" s="16"/>
      <c r="K64" s="927" t="s">
        <v>453</v>
      </c>
      <c r="L64" s="929"/>
      <c r="M64" s="929" t="s">
        <v>966</v>
      </c>
      <c r="N64" s="929"/>
      <c r="O64" s="183"/>
      <c r="P64" s="67"/>
      <c r="Q64" s="2273"/>
      <c r="R64" s="2274"/>
      <c r="S64" s="16"/>
      <c r="T64" s="16"/>
      <c r="U64" s="16"/>
      <c r="V64" s="16"/>
      <c r="W64" s="16"/>
      <c r="X64" s="16"/>
      <c r="Y64" s="188"/>
      <c r="Z64" s="14"/>
      <c r="AA64" s="14"/>
      <c r="AB64" s="14"/>
      <c r="AC64" s="14"/>
      <c r="AD64" s="14"/>
      <c r="AE64" s="14"/>
      <c r="AF64" s="14"/>
    </row>
    <row r="65" spans="1:32" ht="17.25" customHeight="1" x14ac:dyDescent="0.2">
      <c r="A65" s="67"/>
      <c r="B65" s="182"/>
      <c r="C65" s="2303"/>
      <c r="D65" s="2304"/>
      <c r="E65" s="2304"/>
      <c r="F65" s="2304"/>
      <c r="G65" s="2304"/>
      <c r="H65" s="329"/>
      <c r="I65" s="329"/>
      <c r="J65" s="16"/>
      <c r="K65" s="927" t="s">
        <v>454</v>
      </c>
      <c r="L65" s="929"/>
      <c r="M65" s="929" t="s">
        <v>966</v>
      </c>
      <c r="N65" s="929"/>
      <c r="O65" s="183"/>
      <c r="P65" s="67"/>
      <c r="Q65" s="1504"/>
      <c r="R65" s="1505"/>
      <c r="S65" s="16"/>
      <c r="T65" s="16"/>
      <c r="U65" s="16"/>
      <c r="V65" s="16"/>
      <c r="W65" s="16"/>
      <c r="X65" s="16"/>
      <c r="Y65" s="188"/>
      <c r="Z65" s="14"/>
      <c r="AA65" s="14"/>
      <c r="AB65" s="14"/>
      <c r="AC65" s="14"/>
      <c r="AD65" s="14"/>
      <c r="AE65" s="14"/>
      <c r="AF65" s="14"/>
    </row>
    <row r="66" spans="1:32" ht="17.25" customHeight="1" x14ac:dyDescent="0.2">
      <c r="A66" s="67"/>
      <c r="B66" s="182"/>
      <c r="C66" s="2303"/>
      <c r="D66" s="2304"/>
      <c r="E66" s="2304"/>
      <c r="F66" s="2304"/>
      <c r="G66" s="2304"/>
      <c r="H66" s="329"/>
      <c r="I66" s="329"/>
      <c r="J66" s="16"/>
      <c r="K66" s="927" t="s">
        <v>963</v>
      </c>
      <c r="L66" s="929"/>
      <c r="M66" s="929" t="s">
        <v>967</v>
      </c>
      <c r="N66" s="929"/>
      <c r="O66" s="183"/>
      <c r="P66" s="67"/>
      <c r="Q66" s="1504"/>
      <c r="R66" s="1085" t="s">
        <v>1733</v>
      </c>
      <c r="S66" s="1085" t="s">
        <v>1489</v>
      </c>
      <c r="T66" s="1085" t="s">
        <v>1490</v>
      </c>
      <c r="U66" s="1086"/>
      <c r="V66" s="1085" t="s">
        <v>1732</v>
      </c>
      <c r="W66" s="1085" t="s">
        <v>1489</v>
      </c>
      <c r="X66" s="1085" t="s">
        <v>1490</v>
      </c>
      <c r="Y66" s="188"/>
      <c r="Z66" s="14"/>
      <c r="AA66" s="1510"/>
      <c r="AB66" s="1511"/>
      <c r="AC66" s="14"/>
      <c r="AD66" s="14"/>
      <c r="AE66" s="14"/>
      <c r="AF66" s="14"/>
    </row>
    <row r="67" spans="1:32" ht="17.25" customHeight="1" x14ac:dyDescent="0.2">
      <c r="A67" s="67"/>
      <c r="B67" s="182"/>
      <c r="C67" s="2303"/>
      <c r="D67" s="2304"/>
      <c r="E67" s="2304"/>
      <c r="F67" s="2304"/>
      <c r="G67" s="2304"/>
      <c r="H67" s="329"/>
      <c r="I67" s="329"/>
      <c r="J67" s="16"/>
      <c r="K67" s="927" t="s">
        <v>946</v>
      </c>
      <c r="L67" s="929"/>
      <c r="M67" s="929" t="s">
        <v>966</v>
      </c>
      <c r="N67" s="929"/>
      <c r="O67" s="183"/>
      <c r="P67" s="67"/>
      <c r="Q67" s="1504"/>
      <c r="R67" s="1506" t="s">
        <v>519</v>
      </c>
      <c r="S67" s="652">
        <f ca="1">'Results Single Assay'!D13</f>
        <v>24206.28733301266</v>
      </c>
      <c r="T67" s="652">
        <f ca="1">'Results Single Assay'!D127</f>
        <v>24206.28733301266</v>
      </c>
      <c r="U67" s="16"/>
      <c r="V67" s="1506" t="s">
        <v>519</v>
      </c>
      <c r="W67" s="1507">
        <f ca="1">'Results Single Assay'!C13</f>
        <v>0.23017925348143686</v>
      </c>
      <c r="X67" s="1507">
        <f ca="1">'Results Single Assay'!C127</f>
        <v>0.23017925348143686</v>
      </c>
      <c r="Y67" s="188"/>
      <c r="Z67" s="14"/>
      <c r="AA67" s="14"/>
      <c r="AB67" s="14"/>
      <c r="AC67" s="14"/>
      <c r="AD67" s="14"/>
      <c r="AE67" s="14"/>
      <c r="AF67" s="14"/>
    </row>
    <row r="68" spans="1:32" ht="17.25" customHeight="1" x14ac:dyDescent="0.2">
      <c r="A68" s="67"/>
      <c r="B68" s="182"/>
      <c r="C68" s="2303"/>
      <c r="D68" s="2304"/>
      <c r="E68" s="2304"/>
      <c r="F68" s="2304"/>
      <c r="G68" s="2304"/>
      <c r="H68" s="16"/>
      <c r="I68" s="16"/>
      <c r="J68" s="16"/>
      <c r="K68" s="927" t="s">
        <v>539</v>
      </c>
      <c r="L68" s="929"/>
      <c r="M68" s="929" t="s">
        <v>966</v>
      </c>
      <c r="N68" s="929"/>
      <c r="O68" s="183"/>
      <c r="P68" s="67"/>
      <c r="Q68" s="1504"/>
      <c r="R68" s="1506" t="s">
        <v>521</v>
      </c>
      <c r="S68" s="652">
        <f ca="1">'Results Single Assay'!D14</f>
        <v>28123.302309909086</v>
      </c>
      <c r="T68" s="652">
        <f ca="1">'Results Single Assay'!D128</f>
        <v>28123.302309909086</v>
      </c>
      <c r="U68" s="16"/>
      <c r="V68" s="1506" t="s">
        <v>521</v>
      </c>
      <c r="W68" s="1507">
        <f ca="1">'Results Single Assay'!C14</f>
        <v>0.26742641868499945</v>
      </c>
      <c r="X68" s="1507">
        <f ca="1">'Results Single Assay'!C128</f>
        <v>0.26742641868499945</v>
      </c>
      <c r="Y68" s="188"/>
      <c r="Z68" s="14"/>
      <c r="AA68" s="14"/>
      <c r="AB68" s="14"/>
      <c r="AC68" s="14"/>
      <c r="AD68" s="14"/>
      <c r="AE68" s="14"/>
      <c r="AF68" s="14"/>
    </row>
    <row r="69" spans="1:32" ht="17.25" customHeight="1" x14ac:dyDescent="0.2">
      <c r="A69" s="67"/>
      <c r="B69" s="182"/>
      <c r="C69" s="2303"/>
      <c r="D69" s="2304"/>
      <c r="E69" s="2304"/>
      <c r="F69" s="2304"/>
      <c r="G69" s="2304"/>
      <c r="H69" s="16"/>
      <c r="I69" s="16"/>
      <c r="J69" s="16"/>
      <c r="K69" s="927" t="s">
        <v>540</v>
      </c>
      <c r="L69" s="929"/>
      <c r="M69" s="929" t="s">
        <v>966</v>
      </c>
      <c r="N69" s="929"/>
      <c r="O69" s="183"/>
      <c r="P69" s="67"/>
      <c r="Q69" s="1504"/>
      <c r="R69" s="1506" t="s">
        <v>489</v>
      </c>
      <c r="S69" s="652">
        <f ca="1">'Results Single Assay'!D15</f>
        <v>13412.605933522691</v>
      </c>
      <c r="T69" s="652">
        <f ca="1">'Results Single Assay'!D129</f>
        <v>13412.605933522691</v>
      </c>
      <c r="U69" s="16"/>
      <c r="V69" s="1506" t="s">
        <v>489</v>
      </c>
      <c r="W69" s="1507">
        <f ca="1">'Results Single Assay'!C15</f>
        <v>0.12754139362827702</v>
      </c>
      <c r="X69" s="1507">
        <f ca="1">'Results Single Assay'!C129</f>
        <v>0.12754139362827702</v>
      </c>
      <c r="Y69" s="188"/>
      <c r="Z69" s="14"/>
      <c r="AA69" s="14"/>
      <c r="AB69" s="14"/>
      <c r="AC69" s="14"/>
      <c r="AD69" s="14"/>
      <c r="AE69" s="14"/>
      <c r="AF69" s="14"/>
    </row>
    <row r="70" spans="1:32" ht="17.25" customHeight="1" x14ac:dyDescent="0.2">
      <c r="A70" s="67"/>
      <c r="B70" s="182"/>
      <c r="C70" s="69"/>
      <c r="D70" s="31"/>
      <c r="E70" s="42"/>
      <c r="F70" s="31"/>
      <c r="G70" s="16"/>
      <c r="H70" s="16"/>
      <c r="I70" s="16"/>
      <c r="J70" s="16"/>
      <c r="K70" s="927" t="s">
        <v>449</v>
      </c>
      <c r="L70" s="929"/>
      <c r="M70" s="929" t="s">
        <v>966</v>
      </c>
      <c r="N70" s="929"/>
      <c r="O70" s="183"/>
      <c r="P70" s="67"/>
      <c r="Q70" s="1504"/>
      <c r="R70" s="1506" t="s">
        <v>520</v>
      </c>
      <c r="S70" s="652">
        <f ca="1">'Results Single Assay'!D16</f>
        <v>11182.517606218385</v>
      </c>
      <c r="T70" s="652">
        <f ca="1">'Results Single Assay'!D130</f>
        <v>11182.517606218385</v>
      </c>
      <c r="U70" s="16"/>
      <c r="V70" s="1506" t="s">
        <v>520</v>
      </c>
      <c r="W70" s="1507">
        <f ca="1">'Results Single Assay'!C16</f>
        <v>0.10633533012441607</v>
      </c>
      <c r="X70" s="1507">
        <f ca="1">'Results Single Assay'!C130</f>
        <v>0.10633533012441607</v>
      </c>
      <c r="Y70" s="188"/>
      <c r="Z70" s="14"/>
      <c r="AA70" s="14"/>
      <c r="AB70" s="14"/>
      <c r="AC70" s="14"/>
      <c r="AD70" s="14"/>
      <c r="AE70" s="14"/>
      <c r="AF70" s="14"/>
    </row>
    <row r="71" spans="1:32" ht="17.25" customHeight="1" x14ac:dyDescent="0.2">
      <c r="A71" s="67"/>
      <c r="B71" s="182"/>
      <c r="C71" s="16"/>
      <c r="D71" s="16"/>
      <c r="E71" s="16"/>
      <c r="F71" s="16"/>
      <c r="G71" s="16"/>
      <c r="H71" s="16"/>
      <c r="I71" s="16"/>
      <c r="J71" s="16"/>
      <c r="K71" s="927" t="s">
        <v>1265</v>
      </c>
      <c r="L71" s="929"/>
      <c r="M71" s="929" t="s">
        <v>965</v>
      </c>
      <c r="N71" s="929"/>
      <c r="O71" s="183"/>
      <c r="P71" s="67"/>
      <c r="Q71" s="1504"/>
      <c r="R71" s="1506" t="s">
        <v>654</v>
      </c>
      <c r="S71" s="652">
        <f ca="1">'Results Single Assay'!D17</f>
        <v>9.5462955872403676E-18</v>
      </c>
      <c r="T71" s="652">
        <f ca="1">'Results Single Assay'!D131</f>
        <v>1.442844593709182E-17</v>
      </c>
      <c r="U71" s="16"/>
      <c r="V71" s="1506" t="s">
        <v>654</v>
      </c>
      <c r="W71" s="1507">
        <f ca="1">'Results Single Assay'!C17</f>
        <v>9.0776382249555177E-23</v>
      </c>
      <c r="X71" s="1507">
        <f ca="1">'Results Single Assay'!C131</f>
        <v>1.3720108618919403E-22</v>
      </c>
      <c r="Y71" s="188"/>
      <c r="Z71" s="14"/>
      <c r="AA71" s="2285" t="str">
        <f>"If you want to convert the coke product from barrel to kg you need to use the following average density for the current crude: "&amp;CokingRefineryPFD!DD317&amp;" kg/m3"</f>
        <v>If you want to convert the coke product from barrel to kg you need to use the following average density for the current crude: 1141 kg/m3</v>
      </c>
      <c r="AB71" s="2286"/>
      <c r="AC71" s="2286"/>
      <c r="AD71" s="2286"/>
      <c r="AE71" s="2286"/>
      <c r="AF71" s="2286"/>
    </row>
    <row r="72" spans="1:32" ht="17.25" customHeight="1" x14ac:dyDescent="0.2">
      <c r="A72" s="67"/>
      <c r="B72" s="182"/>
      <c r="C72" s="2283" t="s">
        <v>1696</v>
      </c>
      <c r="D72" s="2284"/>
      <c r="E72" s="2284"/>
      <c r="F72" s="2284"/>
      <c r="G72" s="2284"/>
      <c r="H72" s="16"/>
      <c r="I72" s="286"/>
      <c r="J72" s="16"/>
      <c r="K72" s="927" t="s">
        <v>958</v>
      </c>
      <c r="L72" s="929"/>
      <c r="M72" s="929" t="s">
        <v>965</v>
      </c>
      <c r="N72" s="929"/>
      <c r="O72" s="183"/>
      <c r="P72" s="67"/>
      <c r="Q72" s="1504"/>
      <c r="R72" s="2140" t="s">
        <v>1939</v>
      </c>
      <c r="S72" s="652">
        <f ca="1">'Results Single Assay'!D18</f>
        <v>28238.054386069471</v>
      </c>
      <c r="T72" s="652">
        <f ca="1">'Results Single Assay'!D132</f>
        <v>28238.054386069471</v>
      </c>
      <c r="U72" s="16"/>
      <c r="V72" s="2140" t="s">
        <v>1939</v>
      </c>
      <c r="W72" s="1507">
        <f ca="1">'Results Single Assay'!C18</f>
        <v>0.2685176040808705</v>
      </c>
      <c r="X72" s="1507">
        <f ca="1">'Results Single Assay'!C132</f>
        <v>0.2685176040808705</v>
      </c>
      <c r="Y72" s="188"/>
      <c r="Z72" s="14"/>
      <c r="AA72" s="2285"/>
      <c r="AB72" s="2286"/>
      <c r="AC72" s="2286"/>
      <c r="AD72" s="2286"/>
      <c r="AE72" s="2286"/>
      <c r="AF72" s="2286"/>
    </row>
    <row r="73" spans="1:32" ht="17.25" customHeight="1" x14ac:dyDescent="0.2">
      <c r="A73" s="67"/>
      <c r="B73" s="182"/>
      <c r="C73" s="2283"/>
      <c r="D73" s="2284"/>
      <c r="E73" s="2284"/>
      <c r="F73" s="2284"/>
      <c r="G73" s="2284"/>
      <c r="H73" s="286"/>
      <c r="I73" s="286"/>
      <c r="J73" s="16"/>
      <c r="K73" s="927" t="s">
        <v>537</v>
      </c>
      <c r="L73" s="929"/>
      <c r="M73" s="929" t="s">
        <v>967</v>
      </c>
      <c r="N73" s="929"/>
      <c r="O73" s="183"/>
      <c r="P73" s="67"/>
      <c r="Q73" s="1504"/>
      <c r="R73" s="1506" t="s">
        <v>1485</v>
      </c>
      <c r="S73" s="652">
        <f>'Results Single Assay'!D19</f>
        <v>0</v>
      </c>
      <c r="T73" s="652">
        <f>'Results Single Assay'!D133</f>
        <v>0</v>
      </c>
      <c r="U73" s="16"/>
      <c r="V73" s="1506" t="s">
        <v>1485</v>
      </c>
      <c r="W73" s="1507">
        <f ca="1">'Results Single Assay'!C19</f>
        <v>0</v>
      </c>
      <c r="X73" s="1507">
        <f ca="1">'Results Single Assay'!C133</f>
        <v>0</v>
      </c>
      <c r="Y73" s="188"/>
      <c r="Z73" s="14"/>
      <c r="AA73" s="14"/>
      <c r="AB73" s="14"/>
      <c r="AC73" s="14"/>
      <c r="AD73" s="14"/>
      <c r="AE73" s="14"/>
      <c r="AF73" s="14"/>
    </row>
    <row r="74" spans="1:32" ht="17.25" customHeight="1" x14ac:dyDescent="0.2">
      <c r="A74" s="67"/>
      <c r="B74" s="182"/>
      <c r="C74" s="2283"/>
      <c r="D74" s="2284"/>
      <c r="E74" s="2284"/>
      <c r="F74" s="2284"/>
      <c r="G74" s="2284"/>
      <c r="H74" s="286"/>
      <c r="I74" s="286"/>
      <c r="J74" s="16"/>
      <c r="K74" s="927" t="s">
        <v>964</v>
      </c>
      <c r="L74" s="929"/>
      <c r="M74" s="929" t="s">
        <v>967</v>
      </c>
      <c r="N74" s="929"/>
      <c r="O74" s="183"/>
      <c r="P74" s="67"/>
      <c r="Q74" s="1504"/>
      <c r="R74" s="1506"/>
      <c r="S74" s="652"/>
      <c r="T74" s="652"/>
      <c r="U74" s="16"/>
      <c r="V74" s="1506"/>
      <c r="W74" s="1507"/>
      <c r="X74" s="1507"/>
      <c r="Y74" s="188"/>
      <c r="Z74" s="14"/>
      <c r="AA74" s="14"/>
      <c r="AB74" s="14"/>
      <c r="AC74" s="14"/>
      <c r="AD74" s="14"/>
      <c r="AE74" s="14"/>
      <c r="AF74" s="14"/>
    </row>
    <row r="75" spans="1:32" ht="17.25" customHeight="1" x14ac:dyDescent="0.2">
      <c r="A75" s="67"/>
      <c r="B75" s="182"/>
      <c r="C75" s="16"/>
      <c r="D75" s="16"/>
      <c r="E75" s="16"/>
      <c r="F75" s="306"/>
      <c r="G75" s="72"/>
      <c r="H75" s="286"/>
      <c r="I75" s="286"/>
      <c r="J75" s="16"/>
      <c r="K75" s="927" t="s">
        <v>538</v>
      </c>
      <c r="L75" s="929"/>
      <c r="M75" s="929" t="s">
        <v>967</v>
      </c>
      <c r="N75" s="929"/>
      <c r="O75" s="183"/>
      <c r="P75" s="67"/>
      <c r="Q75" s="1504"/>
      <c r="R75" s="14"/>
      <c r="S75" s="14"/>
      <c r="T75" s="652"/>
      <c r="U75" s="16"/>
      <c r="V75" s="1506"/>
      <c r="W75" s="1507"/>
      <c r="X75" s="1507"/>
      <c r="Y75" s="188"/>
      <c r="Z75" s="14"/>
      <c r="AA75" s="14"/>
      <c r="AB75" s="14"/>
      <c r="AC75" s="14"/>
      <c r="AD75" s="14"/>
      <c r="AE75" s="14"/>
      <c r="AF75" s="14"/>
    </row>
    <row r="76" spans="1:32" ht="17.25" customHeight="1" x14ac:dyDescent="0.2">
      <c r="A76" s="67"/>
      <c r="B76" s="182"/>
      <c r="C76" s="16"/>
      <c r="D76" s="16"/>
      <c r="E76" s="16"/>
      <c r="F76" s="31"/>
      <c r="G76" s="72"/>
      <c r="H76" s="286"/>
      <c r="I76" s="286"/>
      <c r="J76" s="16"/>
      <c r="K76" s="927" t="s">
        <v>1263</v>
      </c>
      <c r="L76" s="929"/>
      <c r="M76" s="929" t="s">
        <v>968</v>
      </c>
      <c r="N76" s="929"/>
      <c r="O76" s="183"/>
      <c r="P76" s="67"/>
      <c r="Q76" s="2295" t="s">
        <v>1734</v>
      </c>
      <c r="R76" s="2296"/>
      <c r="S76" s="2296"/>
      <c r="T76" s="2296"/>
      <c r="U76" s="2296"/>
      <c r="V76" s="2296"/>
      <c r="W76" s="16"/>
      <c r="X76" s="16"/>
      <c r="Y76" s="188"/>
      <c r="Z76" s="14"/>
      <c r="AA76" s="14"/>
      <c r="AB76" s="14"/>
      <c r="AC76" s="14"/>
      <c r="AD76" s="14"/>
      <c r="AE76" s="14"/>
      <c r="AF76" s="14"/>
    </row>
    <row r="77" spans="1:32" ht="17.25" customHeight="1" x14ac:dyDescent="0.2">
      <c r="A77" s="67"/>
      <c r="B77" s="182"/>
      <c r="C77" s="16"/>
      <c r="D77" s="16"/>
      <c r="E77" s="16"/>
      <c r="F77" s="42"/>
      <c r="G77" s="31"/>
      <c r="H77" s="286"/>
      <c r="I77" s="286"/>
      <c r="J77" s="16"/>
      <c r="K77" s="927" t="s">
        <v>1186</v>
      </c>
      <c r="L77" s="929"/>
      <c r="M77" s="929" t="s">
        <v>968</v>
      </c>
      <c r="N77" s="929"/>
      <c r="O77" s="183"/>
      <c r="P77" s="67"/>
      <c r="Q77" s="2295"/>
      <c r="R77" s="2296"/>
      <c r="S77" s="2296"/>
      <c r="T77" s="2296"/>
      <c r="U77" s="2296"/>
      <c r="V77" s="2296"/>
      <c r="W77" s="16"/>
      <c r="X77" s="16"/>
      <c r="Y77" s="188"/>
      <c r="Z77" s="14"/>
      <c r="AA77" s="14"/>
      <c r="AB77" s="14"/>
      <c r="AC77" s="14"/>
      <c r="AD77" s="14"/>
      <c r="AE77" s="14"/>
      <c r="AF77" s="14"/>
    </row>
    <row r="78" spans="1:32" ht="17.25" customHeight="1" x14ac:dyDescent="0.2">
      <c r="A78" s="67"/>
      <c r="B78" s="182"/>
      <c r="C78" s="16"/>
      <c r="D78" s="16"/>
      <c r="E78" s="16"/>
      <c r="F78" s="42"/>
      <c r="G78" s="16"/>
      <c r="H78" s="16"/>
      <c r="I78" s="16"/>
      <c r="J78" s="16"/>
      <c r="K78" s="927" t="s">
        <v>1264</v>
      </c>
      <c r="L78" s="929"/>
      <c r="M78" s="929" t="s">
        <v>968</v>
      </c>
      <c r="N78" s="929"/>
      <c r="O78" s="183"/>
      <c r="P78" s="67"/>
      <c r="Q78" s="245"/>
      <c r="R78" s="246"/>
      <c r="S78" s="16"/>
      <c r="T78" s="16"/>
      <c r="U78" s="16"/>
      <c r="V78" s="16"/>
      <c r="W78" s="16"/>
      <c r="X78" s="16"/>
      <c r="Y78" s="188"/>
      <c r="Z78" s="14"/>
      <c r="AA78" s="14"/>
      <c r="AB78" s="14"/>
      <c r="AC78" s="14"/>
      <c r="AD78" s="14"/>
      <c r="AE78" s="14"/>
      <c r="AF78" s="14"/>
    </row>
    <row r="79" spans="1:32" ht="17.25" customHeight="1" x14ac:dyDescent="0.2">
      <c r="A79" s="67"/>
      <c r="B79" s="182"/>
      <c r="C79" s="73"/>
      <c r="D79" s="16"/>
      <c r="E79" s="2318"/>
      <c r="F79" s="2318"/>
      <c r="G79" s="16"/>
      <c r="H79" s="16"/>
      <c r="I79" s="16"/>
      <c r="J79" s="16"/>
      <c r="K79" s="927" t="s">
        <v>1370</v>
      </c>
      <c r="L79" s="929"/>
      <c r="M79" s="929" t="s">
        <v>968</v>
      </c>
      <c r="N79" s="929"/>
      <c r="O79" s="183"/>
      <c r="P79" s="67"/>
      <c r="Q79" s="245"/>
      <c r="R79" s="2269" t="s">
        <v>1429</v>
      </c>
      <c r="S79" s="2269" t="s">
        <v>1489</v>
      </c>
      <c r="T79" s="2269" t="s">
        <v>1490</v>
      </c>
      <c r="U79" s="16"/>
      <c r="V79" s="2269" t="s">
        <v>1639</v>
      </c>
      <c r="W79" s="2269" t="s">
        <v>1489</v>
      </c>
      <c r="X79" s="2269" t="s">
        <v>1490</v>
      </c>
      <c r="Y79" s="188"/>
      <c r="Z79" s="14"/>
      <c r="AA79" s="14"/>
      <c r="AB79" s="14"/>
      <c r="AC79" s="14"/>
      <c r="AD79" s="14"/>
      <c r="AE79" s="14"/>
      <c r="AF79" s="14"/>
    </row>
    <row r="80" spans="1:32" ht="17.25" customHeight="1" x14ac:dyDescent="0.2">
      <c r="A80" s="67"/>
      <c r="B80" s="182"/>
      <c r="C80" s="16"/>
      <c r="D80" s="16"/>
      <c r="E80" s="253"/>
      <c r="F80" s="253"/>
      <c r="G80" s="16"/>
      <c r="H80" s="36"/>
      <c r="I80" s="16"/>
      <c r="J80" s="16"/>
      <c r="K80" s="929"/>
      <c r="L80" s="929"/>
      <c r="M80" s="929"/>
      <c r="N80" s="929"/>
      <c r="O80" s="183"/>
      <c r="P80" s="14"/>
      <c r="Q80" s="245"/>
      <c r="R80" s="2269"/>
      <c r="S80" s="2269"/>
      <c r="T80" s="2269"/>
      <c r="U80" s="16"/>
      <c r="V80" s="2269"/>
      <c r="W80" s="2269"/>
      <c r="X80" s="2269"/>
      <c r="Y80" s="188"/>
      <c r="Z80" s="14"/>
      <c r="AA80" s="14"/>
      <c r="AB80" s="14"/>
      <c r="AC80" s="14"/>
      <c r="AD80" s="14"/>
      <c r="AE80" s="14"/>
      <c r="AF80" s="14"/>
    </row>
    <row r="81" spans="1:32" ht="17.25" customHeight="1" x14ac:dyDescent="0.2">
      <c r="A81" s="14"/>
      <c r="B81" s="182"/>
      <c r="C81" s="16"/>
      <c r="D81" s="16"/>
      <c r="E81" s="253"/>
      <c r="F81" s="253"/>
      <c r="G81" s="16"/>
      <c r="H81" s="36"/>
      <c r="I81" s="16"/>
      <c r="J81" s="16"/>
      <c r="K81" s="256"/>
      <c r="L81" s="256"/>
      <c r="M81" s="256"/>
      <c r="N81" s="256"/>
      <c r="O81" s="183"/>
      <c r="P81" s="14"/>
      <c r="Q81" s="245"/>
      <c r="R81" s="69" t="str">
        <f>'Results Single Assay'!B80</f>
        <v>Blended Gasoline</v>
      </c>
      <c r="S81" s="324">
        <f ca="1">'Results Single Assay'!C80</f>
        <v>0.19199358175840248</v>
      </c>
      <c r="T81" s="324">
        <f ca="1">'Results Single Assay'!C196</f>
        <v>0.1919935817584025</v>
      </c>
      <c r="U81" s="16"/>
      <c r="V81" s="69" t="s">
        <v>519</v>
      </c>
      <c r="W81" s="324">
        <f ca="1">'Results Single Assay'!D80</f>
        <v>10.503530277988798</v>
      </c>
      <c r="X81" s="324">
        <f ca="1">'Results Single Assay'!D196</f>
        <v>10.5035302779888</v>
      </c>
      <c r="Y81" s="188"/>
      <c r="Z81" s="14"/>
      <c r="AA81" s="14"/>
      <c r="AB81" s="14"/>
      <c r="AC81" s="14"/>
      <c r="AD81" s="14"/>
      <c r="AE81" s="14"/>
      <c r="AF81" s="14"/>
    </row>
    <row r="82" spans="1:32" ht="17.25" customHeight="1" x14ac:dyDescent="0.2">
      <c r="A82" s="14"/>
      <c r="B82" s="182"/>
      <c r="C82" s="2320" t="s">
        <v>1369</v>
      </c>
      <c r="D82" s="2320"/>
      <c r="E82" s="2320"/>
      <c r="F82" s="2320"/>
      <c r="G82" s="2320"/>
      <c r="H82" s="36"/>
      <c r="I82" s="2283" t="s">
        <v>1660</v>
      </c>
      <c r="J82" s="2284"/>
      <c r="K82" s="2284"/>
      <c r="L82" s="2284"/>
      <c r="M82" s="2284"/>
      <c r="N82" s="2284"/>
      <c r="O82" s="183"/>
      <c r="P82" s="14"/>
      <c r="Q82" s="245"/>
      <c r="R82" s="69" t="str">
        <f>'Results Single Assay'!B81</f>
        <v>Jet-A/AVTUR</v>
      </c>
      <c r="S82" s="324">
        <f ca="1">'Results Single Assay'!C81</f>
        <v>6.3498776885761055E-2</v>
      </c>
      <c r="T82" s="324">
        <f ca="1">'Results Single Assay'!C197</f>
        <v>6.3498776885761096E-2</v>
      </c>
      <c r="U82" s="16"/>
      <c r="V82" s="69" t="s">
        <v>521</v>
      </c>
      <c r="W82" s="324">
        <f ca="1">'Results Single Assay'!D81</f>
        <v>3.7133044608850736</v>
      </c>
      <c r="X82" s="324">
        <f ca="1">'Results Single Assay'!D197</f>
        <v>3.7133044608850749</v>
      </c>
      <c r="Y82" s="188"/>
      <c r="Z82" s="14"/>
      <c r="AA82" s="14"/>
      <c r="AB82" s="14"/>
      <c r="AC82" s="14"/>
      <c r="AD82" s="14"/>
      <c r="AE82" s="14"/>
      <c r="AF82" s="14"/>
    </row>
    <row r="83" spans="1:32" ht="17.25" customHeight="1" x14ac:dyDescent="0.2">
      <c r="A83" s="14"/>
      <c r="B83" s="182"/>
      <c r="C83" s="2293"/>
      <c r="D83" s="2293"/>
      <c r="E83" s="2293"/>
      <c r="F83" s="2293"/>
      <c r="G83" s="2293"/>
      <c r="H83" s="36"/>
      <c r="I83" s="2283"/>
      <c r="J83" s="2284"/>
      <c r="K83" s="2284"/>
      <c r="L83" s="2284"/>
      <c r="M83" s="2284"/>
      <c r="N83" s="2284"/>
      <c r="O83" s="183"/>
      <c r="P83" s="14"/>
      <c r="Q83" s="245"/>
      <c r="R83" s="69" t="str">
        <f>'Results Single Assay'!B82</f>
        <v>ULSD</v>
      </c>
      <c r="S83" s="324">
        <f ca="1">'Results Single Assay'!C82</f>
        <v>6.3713582826314202E-2</v>
      </c>
      <c r="T83" s="324">
        <f ca="1">'Results Single Assay'!C198</f>
        <v>6.3713582826314202E-2</v>
      </c>
      <c r="U83" s="16"/>
      <c r="V83" s="69" t="s">
        <v>489</v>
      </c>
      <c r="W83" s="324">
        <f ca="1">'Results Single Assay'!D82</f>
        <v>3.6607956583475669</v>
      </c>
      <c r="X83" s="324">
        <f ca="1">'Results Single Assay'!D198</f>
        <v>3.6607956583475678</v>
      </c>
      <c r="Y83" s="188"/>
      <c r="Z83" s="14"/>
      <c r="AA83" s="14"/>
      <c r="AB83" s="14"/>
      <c r="AC83" s="14"/>
      <c r="AD83" s="14"/>
      <c r="AE83" s="14"/>
      <c r="AF83" s="14"/>
    </row>
    <row r="84" spans="1:32" ht="17.25" customHeight="1" x14ac:dyDescent="0.2">
      <c r="A84" s="14"/>
      <c r="B84" s="182"/>
      <c r="C84" s="254"/>
      <c r="D84" s="255"/>
      <c r="E84" s="16"/>
      <c r="F84" s="16"/>
      <c r="G84" s="16"/>
      <c r="H84" s="57"/>
      <c r="I84" s="16"/>
      <c r="J84" s="16"/>
      <c r="K84" s="16"/>
      <c r="L84" s="16"/>
      <c r="M84" s="16"/>
      <c r="N84" s="16"/>
      <c r="O84" s="183"/>
      <c r="P84" s="14"/>
      <c r="Q84" s="245"/>
      <c r="R84" s="69" t="str">
        <f>'Results Single Assay'!B83</f>
        <v>Fuel Oil</v>
      </c>
      <c r="S84" s="324">
        <f ca="1">'Results Single Assay'!C83</f>
        <v>0</v>
      </c>
      <c r="T84" s="324">
        <f ca="1">'Results Single Assay'!C199</f>
        <v>0</v>
      </c>
      <c r="U84" s="16"/>
      <c r="V84" s="69" t="s">
        <v>520</v>
      </c>
      <c r="W84" s="324">
        <f ca="1">'Results Single Assay'!D83</f>
        <v>0</v>
      </c>
      <c r="X84" s="324">
        <f ca="1">'Results Single Assay'!D199</f>
        <v>0</v>
      </c>
      <c r="Y84" s="188"/>
      <c r="Z84" s="14"/>
      <c r="AA84" s="14"/>
      <c r="AB84" s="14"/>
      <c r="AC84" s="14"/>
      <c r="AD84" s="14"/>
      <c r="AE84" s="14"/>
      <c r="AF84" s="14"/>
    </row>
    <row r="85" spans="1:32" ht="17.25" customHeight="1" x14ac:dyDescent="0.2">
      <c r="A85" s="14"/>
      <c r="B85" s="182"/>
      <c r="C85" s="2319" t="s">
        <v>1806</v>
      </c>
      <c r="D85" s="2320"/>
      <c r="E85" s="2320"/>
      <c r="F85" s="2320"/>
      <c r="G85" s="2320"/>
      <c r="H85" s="2122"/>
      <c r="I85" s="2283" t="s">
        <v>1810</v>
      </c>
      <c r="J85" s="2284"/>
      <c r="K85" s="2284"/>
      <c r="L85" s="2284"/>
      <c r="M85" s="2284"/>
      <c r="N85" s="2284"/>
      <c r="O85" s="183"/>
      <c r="P85" s="14"/>
      <c r="Q85" s="245"/>
      <c r="R85" s="69" t="str">
        <f>'Results Single Assay'!B84</f>
        <v>Coke</v>
      </c>
      <c r="S85" s="324">
        <f ca="1">'Results Single Assay'!C84</f>
        <v>0</v>
      </c>
      <c r="T85" s="324" t="s">
        <v>115</v>
      </c>
      <c r="U85" s="16"/>
      <c r="V85" s="69" t="s">
        <v>654</v>
      </c>
      <c r="W85" s="324">
        <f ca="1">'Results Single Assay'!D84</f>
        <v>0</v>
      </c>
      <c r="X85" s="324" t="s">
        <v>115</v>
      </c>
      <c r="Y85" s="188"/>
      <c r="Z85" s="14"/>
      <c r="AA85" s="14"/>
      <c r="AB85" s="14"/>
      <c r="AC85" s="14"/>
      <c r="AD85" s="14"/>
      <c r="AE85" s="14"/>
      <c r="AF85" s="14"/>
    </row>
    <row r="86" spans="1:32" ht="17.25" customHeight="1" x14ac:dyDescent="0.2">
      <c r="A86" s="14"/>
      <c r="B86" s="182"/>
      <c r="C86" s="2321"/>
      <c r="D86" s="2293"/>
      <c r="E86" s="2293"/>
      <c r="F86" s="2293"/>
      <c r="G86" s="2293"/>
      <c r="H86" s="68"/>
      <c r="I86" s="2283"/>
      <c r="J86" s="2284"/>
      <c r="K86" s="2284"/>
      <c r="L86" s="2284"/>
      <c r="M86" s="2284"/>
      <c r="N86" s="2284"/>
      <c r="O86" s="183"/>
      <c r="P86" s="14"/>
      <c r="Q86" s="245"/>
      <c r="R86" s="69" t="s">
        <v>353</v>
      </c>
      <c r="S86" s="324" t="s">
        <v>115</v>
      </c>
      <c r="T86" s="324">
        <f ca="1">'Results Single Assay'!C200</f>
        <v>0</v>
      </c>
      <c r="U86" s="16"/>
      <c r="V86" s="69" t="s">
        <v>353</v>
      </c>
      <c r="W86" s="324" t="s">
        <v>115</v>
      </c>
      <c r="X86" s="324">
        <f ca="1">'Results Single Assay'!D200</f>
        <v>0</v>
      </c>
      <c r="Y86" s="188"/>
      <c r="Z86" s="14"/>
      <c r="AA86" s="14"/>
      <c r="AB86" s="14"/>
      <c r="AC86" s="14"/>
      <c r="AD86" s="14"/>
      <c r="AE86" s="14"/>
      <c r="AF86" s="14"/>
    </row>
    <row r="87" spans="1:32" ht="17.25" customHeight="1" x14ac:dyDescent="0.2">
      <c r="A87" s="14"/>
      <c r="B87" s="182"/>
      <c r="C87" s="252"/>
      <c r="D87" s="252"/>
      <c r="E87" s="31"/>
      <c r="F87" s="42"/>
      <c r="G87" s="16"/>
      <c r="H87" s="68"/>
      <c r="I87" s="16"/>
      <c r="J87" s="16"/>
      <c r="K87" s="16"/>
      <c r="L87" s="16"/>
      <c r="M87" s="16"/>
      <c r="N87" s="42"/>
      <c r="O87" s="183"/>
      <c r="P87" s="14"/>
      <c r="Q87" s="245"/>
      <c r="R87" s="2140" t="s">
        <v>1939</v>
      </c>
      <c r="S87" s="324">
        <f ca="1">'Results Single Assay'!C85</f>
        <v>0</v>
      </c>
      <c r="T87" s="324">
        <f ca="1">'Results Single Assay'!C201</f>
        <v>0</v>
      </c>
      <c r="U87" s="16"/>
      <c r="V87" s="2140" t="s">
        <v>1939</v>
      </c>
      <c r="W87" s="324">
        <f ca="1">'Results Single Assay'!D85</f>
        <v>0</v>
      </c>
      <c r="X87" s="324">
        <f ca="1">'Results Single Assay'!D201</f>
        <v>0</v>
      </c>
      <c r="Y87" s="188"/>
      <c r="Z87" s="14"/>
      <c r="AA87" s="14"/>
      <c r="AB87" s="14"/>
      <c r="AC87" s="14"/>
      <c r="AD87" s="14"/>
      <c r="AE87" s="14"/>
      <c r="AF87" s="14"/>
    </row>
    <row r="88" spans="1:32" ht="17.25" customHeight="1" x14ac:dyDescent="0.2">
      <c r="A88" s="14"/>
      <c r="B88" s="182"/>
      <c r="C88" s="2319" t="s">
        <v>1807</v>
      </c>
      <c r="D88" s="2320"/>
      <c r="E88" s="2320"/>
      <c r="F88" s="2320"/>
      <c r="G88" s="2320"/>
      <c r="H88" s="68"/>
      <c r="I88" s="2283" t="s">
        <v>1279</v>
      </c>
      <c r="J88" s="2284"/>
      <c r="K88" s="2284"/>
      <c r="L88" s="2284"/>
      <c r="M88" s="2284"/>
      <c r="N88" s="2284"/>
      <c r="O88" s="183"/>
      <c r="P88" s="14"/>
      <c r="Q88" s="245"/>
      <c r="R88" s="69" t="str">
        <f>'Results Single Assay'!B87</f>
        <v>RFG</v>
      </c>
      <c r="S88" s="324">
        <f ca="1">'Results Single Assay'!C87</f>
        <v>0</v>
      </c>
      <c r="T88" s="324">
        <f ca="1">'Results Single Assay'!C203</f>
        <v>0</v>
      </c>
      <c r="U88" s="16"/>
      <c r="V88" s="69" t="s">
        <v>971</v>
      </c>
      <c r="W88" s="324">
        <f ca="1">'Results Single Assay'!D87</f>
        <v>0</v>
      </c>
      <c r="X88" s="324">
        <f ca="1">'Results Single Assay'!D203</f>
        <v>0</v>
      </c>
      <c r="Y88" s="188"/>
      <c r="Z88" s="14"/>
      <c r="AA88" s="14"/>
      <c r="AB88" s="14"/>
      <c r="AC88" s="14"/>
      <c r="AD88" s="14"/>
      <c r="AE88" s="14"/>
      <c r="AF88" s="14"/>
    </row>
    <row r="89" spans="1:32" ht="17.25" customHeight="1" x14ac:dyDescent="0.2">
      <c r="A89" s="14"/>
      <c r="B89" s="182"/>
      <c r="C89" s="2321"/>
      <c r="D89" s="2293"/>
      <c r="E89" s="2293"/>
      <c r="F89" s="2293"/>
      <c r="G89" s="2293"/>
      <c r="H89" s="2093"/>
      <c r="I89" s="2283"/>
      <c r="J89" s="2284"/>
      <c r="K89" s="2284"/>
      <c r="L89" s="2284"/>
      <c r="M89" s="2284"/>
      <c r="N89" s="2284"/>
      <c r="O89" s="183"/>
      <c r="P89" s="14"/>
      <c r="Q89" s="245"/>
      <c r="R89" s="69" t="str">
        <f>'Results Single Assay'!B86</f>
        <v>Sulfur (emissions per kg of sulfur)</v>
      </c>
      <c r="S89" s="324">
        <f ca="1">'Results Single Assay'!C86</f>
        <v>0</v>
      </c>
      <c r="T89" s="324">
        <f ca="1">'Results Single Assay'!C202</f>
        <v>0</v>
      </c>
      <c r="U89" s="16"/>
      <c r="V89" s="69" t="s">
        <v>19</v>
      </c>
      <c r="W89" s="324">
        <f ca="1">'Results Single Assay'!D86</f>
        <v>0</v>
      </c>
      <c r="X89" s="324">
        <f ca="1">'Results Single Assay'!D202</f>
        <v>0</v>
      </c>
      <c r="Y89" s="188"/>
      <c r="Z89" s="14"/>
      <c r="AA89" s="14"/>
      <c r="AB89" s="14"/>
      <c r="AC89" s="14"/>
      <c r="AD89" s="14"/>
      <c r="AE89" s="14"/>
      <c r="AF89" s="14"/>
    </row>
    <row r="90" spans="1:32" ht="17.25" customHeight="1" x14ac:dyDescent="0.2">
      <c r="A90" s="14"/>
      <c r="B90" s="182"/>
      <c r="C90" s="252"/>
      <c r="D90" s="252"/>
      <c r="E90" s="31"/>
      <c r="F90" s="42"/>
      <c r="G90" s="16"/>
      <c r="H90" s="68"/>
      <c r="I90" s="16"/>
      <c r="J90" s="16"/>
      <c r="K90" s="16"/>
      <c r="L90" s="16"/>
      <c r="M90" s="16"/>
      <c r="N90" s="42"/>
      <c r="O90" s="183"/>
      <c r="P90" s="14"/>
      <c r="Q90" s="245"/>
      <c r="R90" s="69" t="str">
        <f>'Results Single Assay'!B88</f>
        <v xml:space="preserve">Surplus NCR H2 </v>
      </c>
      <c r="S90" s="324">
        <f ca="1">'Results Single Assay'!C88</f>
        <v>0</v>
      </c>
      <c r="T90" s="324">
        <f ca="1">'Results Single Assay'!C204</f>
        <v>0</v>
      </c>
      <c r="U90" s="16"/>
      <c r="V90" s="69" t="s">
        <v>1487</v>
      </c>
      <c r="W90" s="324">
        <f ca="1">'Results Single Assay'!D88</f>
        <v>0</v>
      </c>
      <c r="X90" s="324">
        <f ca="1">'Results Single Assay'!D204</f>
        <v>0</v>
      </c>
      <c r="Y90" s="188"/>
      <c r="Z90" s="14"/>
      <c r="AA90" s="14"/>
      <c r="AB90" s="14"/>
      <c r="AC90" s="14"/>
      <c r="AD90" s="14"/>
      <c r="AE90" s="14"/>
      <c r="AF90" s="14"/>
    </row>
    <row r="91" spans="1:32" ht="17.25" customHeight="1" x14ac:dyDescent="0.2">
      <c r="A91" s="14"/>
      <c r="B91" s="182"/>
      <c r="C91" s="2307" t="s">
        <v>1362</v>
      </c>
      <c r="D91" s="2307"/>
      <c r="E91" s="2307"/>
      <c r="F91" s="2307"/>
      <c r="G91" s="2307"/>
      <c r="H91" s="68"/>
      <c r="I91" s="2283" t="s">
        <v>1540</v>
      </c>
      <c r="J91" s="2284"/>
      <c r="K91" s="2284"/>
      <c r="L91" s="2284"/>
      <c r="M91" s="2284"/>
      <c r="N91" s="2284"/>
      <c r="O91" s="183"/>
      <c r="P91" s="14"/>
      <c r="Q91" s="245"/>
      <c r="R91" s="2051" t="s">
        <v>1914</v>
      </c>
      <c r="S91" s="324">
        <f>'Results Single Assay'!C89</f>
        <v>0</v>
      </c>
      <c r="T91" s="324">
        <f ca="1">'Results Single Assay'!C205</f>
        <v>0</v>
      </c>
      <c r="U91" s="1973"/>
      <c r="V91" s="2051" t="s">
        <v>1914</v>
      </c>
      <c r="W91" s="324">
        <f>'Results Single Assay'!D89</f>
        <v>0</v>
      </c>
      <c r="X91" s="324">
        <f ca="1">'Results Single Assay'!D205</f>
        <v>0</v>
      </c>
      <c r="Y91" s="188"/>
      <c r="Z91" s="14"/>
      <c r="AA91" s="14"/>
      <c r="AB91" s="14"/>
      <c r="AC91" s="14"/>
      <c r="AD91" s="14"/>
      <c r="AE91" s="14"/>
      <c r="AF91" s="14"/>
    </row>
    <row r="92" spans="1:32" ht="17.25" customHeight="1" x14ac:dyDescent="0.2">
      <c r="A92" s="14"/>
      <c r="B92" s="182"/>
      <c r="C92" s="2307"/>
      <c r="D92" s="2307"/>
      <c r="E92" s="2307"/>
      <c r="F92" s="2307"/>
      <c r="G92" s="2307"/>
      <c r="H92" s="16"/>
      <c r="I92" s="2283"/>
      <c r="J92" s="2284"/>
      <c r="K92" s="2284"/>
      <c r="L92" s="2284"/>
      <c r="M92" s="2284"/>
      <c r="N92" s="2284"/>
      <c r="O92" s="183"/>
      <c r="P92" s="14"/>
      <c r="Q92" s="245"/>
      <c r="R92" s="2051" t="s">
        <v>1886</v>
      </c>
      <c r="S92" s="324">
        <f>'Results Single Assay'!C90</f>
        <v>0</v>
      </c>
      <c r="T92" s="324">
        <f ca="1">'Results Single Assay'!C206</f>
        <v>0</v>
      </c>
      <c r="U92" s="1973"/>
      <c r="V92" s="2051" t="s">
        <v>1886</v>
      </c>
      <c r="W92" s="324">
        <f>'Results Single Assay'!D90</f>
        <v>0</v>
      </c>
      <c r="X92" s="324">
        <f ca="1">'Results Single Assay'!D206</f>
        <v>0</v>
      </c>
      <c r="Y92" s="188"/>
      <c r="Z92" s="14"/>
      <c r="AA92" s="14"/>
      <c r="AB92" s="14"/>
      <c r="AC92" s="14"/>
      <c r="AD92" s="14"/>
      <c r="AE92" s="14"/>
      <c r="AF92" s="14"/>
    </row>
    <row r="93" spans="1:32" ht="17.25" customHeight="1" x14ac:dyDescent="0.2">
      <c r="A93" s="14"/>
      <c r="B93" s="182"/>
      <c r="C93" s="42"/>
      <c r="D93" s="42"/>
      <c r="E93" s="42"/>
      <c r="F93" s="42"/>
      <c r="G93" s="16"/>
      <c r="H93" s="68"/>
      <c r="I93" s="31"/>
      <c r="J93" s="31"/>
      <c r="K93" s="31"/>
      <c r="L93" s="31"/>
      <c r="M93" s="31"/>
      <c r="N93" s="31"/>
      <c r="O93" s="183"/>
      <c r="P93" s="14"/>
      <c r="Q93" s="245"/>
      <c r="R93" s="2051" t="s">
        <v>1909</v>
      </c>
      <c r="S93" s="324">
        <f ca="1">'Results Single Assay'!C91</f>
        <v>0</v>
      </c>
      <c r="T93" s="324">
        <f ca="1">'Results Single Assay'!C207</f>
        <v>0</v>
      </c>
      <c r="U93" s="1973"/>
      <c r="V93" s="2051" t="s">
        <v>1909</v>
      </c>
      <c r="W93" s="324">
        <f ca="1">'Results Single Assay'!D91</f>
        <v>0</v>
      </c>
      <c r="X93" s="324">
        <f ca="1">'Results Single Assay'!D207</f>
        <v>0</v>
      </c>
      <c r="Y93" s="188"/>
      <c r="Z93" s="14"/>
      <c r="AA93" s="14"/>
      <c r="AB93" s="14"/>
      <c r="AC93" s="14"/>
      <c r="AD93" s="14"/>
      <c r="AE93" s="14"/>
      <c r="AF93" s="14"/>
    </row>
    <row r="94" spans="1:32" ht="17.25" customHeight="1" x14ac:dyDescent="0.2">
      <c r="A94" s="14"/>
      <c r="B94" s="182"/>
      <c r="C94" s="42"/>
      <c r="D94" s="42"/>
      <c r="E94" s="42"/>
      <c r="F94" s="42"/>
      <c r="G94" s="16"/>
      <c r="H94" s="68"/>
      <c r="I94" s="31"/>
      <c r="J94" s="31"/>
      <c r="K94" s="31"/>
      <c r="L94" s="31"/>
      <c r="M94" s="31"/>
      <c r="N94" s="31"/>
      <c r="O94" s="183"/>
      <c r="P94" s="14"/>
      <c r="Q94" s="245"/>
      <c r="R94" s="69"/>
      <c r="S94" s="324"/>
      <c r="T94" s="324"/>
      <c r="U94" s="16"/>
      <c r="V94" s="69"/>
      <c r="W94" s="324"/>
      <c r="X94" s="324"/>
      <c r="Y94" s="188"/>
      <c r="Z94" s="14"/>
      <c r="AA94" s="14"/>
      <c r="AB94" s="14"/>
      <c r="AC94" s="14"/>
      <c r="AD94" s="14"/>
      <c r="AE94" s="14"/>
      <c r="AF94" s="14"/>
    </row>
    <row r="95" spans="1:32" ht="17.25" customHeight="1" x14ac:dyDescent="0.2">
      <c r="A95" s="14"/>
      <c r="B95" s="182"/>
      <c r="C95" s="2307" t="s">
        <v>1363</v>
      </c>
      <c r="D95" s="2307"/>
      <c r="E95" s="2307"/>
      <c r="F95" s="2307"/>
      <c r="G95" s="2307"/>
      <c r="H95" s="68"/>
      <c r="I95" s="31"/>
      <c r="J95" s="31"/>
      <c r="K95" s="31"/>
      <c r="L95" s="31"/>
      <c r="M95" s="31"/>
      <c r="N95" s="31"/>
      <c r="O95" s="183"/>
      <c r="P95" s="14"/>
      <c r="Q95" s="2295" t="s">
        <v>1817</v>
      </c>
      <c r="R95" s="2296"/>
      <c r="S95" s="2296"/>
      <c r="T95" s="2296"/>
      <c r="U95" s="2296"/>
      <c r="V95" s="2296"/>
      <c r="W95" s="324"/>
      <c r="X95" s="324"/>
      <c r="Y95" s="188"/>
      <c r="Z95" s="14"/>
      <c r="AA95" s="14"/>
      <c r="AB95" s="14"/>
      <c r="AC95" s="14"/>
      <c r="AD95" s="14"/>
      <c r="AE95" s="14"/>
      <c r="AF95" s="14"/>
    </row>
    <row r="96" spans="1:32" ht="17.25" customHeight="1" x14ac:dyDescent="0.2">
      <c r="A96" s="14"/>
      <c r="B96" s="182"/>
      <c r="C96" s="2307"/>
      <c r="D96" s="2307"/>
      <c r="E96" s="2307"/>
      <c r="F96" s="2307"/>
      <c r="G96" s="2307"/>
      <c r="H96" s="68"/>
      <c r="I96" s="31"/>
      <c r="J96" s="31"/>
      <c r="K96" s="31"/>
      <c r="L96" s="31"/>
      <c r="M96" s="31"/>
      <c r="N96" s="31"/>
      <c r="O96" s="183"/>
      <c r="P96" s="14"/>
      <c r="Q96" s="2295"/>
      <c r="R96" s="2296"/>
      <c r="S96" s="2296"/>
      <c r="T96" s="2296"/>
      <c r="U96" s="2296"/>
      <c r="V96" s="2296"/>
      <c r="W96" s="324"/>
      <c r="X96" s="324"/>
      <c r="Y96" s="188"/>
      <c r="Z96" s="14"/>
      <c r="AA96" s="14"/>
      <c r="AB96" s="14"/>
      <c r="AC96" s="14"/>
      <c r="AD96" s="14"/>
      <c r="AE96" s="14"/>
      <c r="AF96" s="14"/>
    </row>
    <row r="97" spans="1:32" ht="17.25" customHeight="1" x14ac:dyDescent="0.2">
      <c r="A97" s="14"/>
      <c r="B97" s="182"/>
      <c r="C97" s="42"/>
      <c r="D97" s="42"/>
      <c r="E97" s="42"/>
      <c r="F97" s="42"/>
      <c r="G97" s="16"/>
      <c r="H97" s="68"/>
      <c r="I97" s="2283" t="s">
        <v>1549</v>
      </c>
      <c r="J97" s="2284"/>
      <c r="K97" s="2284"/>
      <c r="L97" s="2284"/>
      <c r="M97" s="2284"/>
      <c r="N97" s="2284"/>
      <c r="O97" s="183"/>
      <c r="P97" s="14"/>
      <c r="Q97" s="245"/>
      <c r="R97" s="325" t="s">
        <v>1816</v>
      </c>
      <c r="S97" s="2322" t="s">
        <v>1479</v>
      </c>
      <c r="T97" s="2322"/>
      <c r="U97" s="2322"/>
      <c r="V97" s="325" t="s">
        <v>1816</v>
      </c>
      <c r="W97" s="2322" t="s">
        <v>1479</v>
      </c>
      <c r="X97" s="2322"/>
      <c r="Y97" s="2323"/>
      <c r="Z97" s="14"/>
      <c r="AA97" s="14"/>
      <c r="AB97" s="14"/>
      <c r="AC97" s="14"/>
      <c r="AD97" s="14"/>
      <c r="AE97" s="14"/>
      <c r="AF97" s="14"/>
    </row>
    <row r="98" spans="1:32" ht="17.25" customHeight="1" x14ac:dyDescent="0.2">
      <c r="A98" s="14"/>
      <c r="B98" s="182"/>
      <c r="C98" s="42"/>
      <c r="D98" s="42"/>
      <c r="E98" s="42"/>
      <c r="F98" s="42"/>
      <c r="G98" s="16"/>
      <c r="H98" s="2093"/>
      <c r="I98" s="2283"/>
      <c r="J98" s="2284"/>
      <c r="K98" s="2284"/>
      <c r="L98" s="2284"/>
      <c r="M98" s="2284"/>
      <c r="N98" s="2284"/>
      <c r="O98" s="183"/>
      <c r="P98" s="14"/>
      <c r="Q98" s="245"/>
      <c r="R98" s="69"/>
      <c r="S98" s="324"/>
      <c r="T98" s="324"/>
      <c r="U98" s="16"/>
      <c r="V98" s="69"/>
      <c r="W98" s="324"/>
      <c r="X98" s="324"/>
      <c r="Y98" s="188"/>
      <c r="Z98" s="14"/>
      <c r="AA98" s="14"/>
      <c r="AB98" s="14"/>
      <c r="AC98" s="14"/>
      <c r="AD98" s="14"/>
      <c r="AE98" s="14"/>
      <c r="AF98" s="14"/>
    </row>
    <row r="99" spans="1:32" ht="17.25" customHeight="1" x14ac:dyDescent="0.2">
      <c r="A99" s="14"/>
      <c r="B99" s="15"/>
      <c r="C99" s="42"/>
      <c r="D99" s="42"/>
      <c r="E99" s="42"/>
      <c r="F99" s="42"/>
      <c r="G99" s="16"/>
      <c r="H99" s="2093"/>
      <c r="I99" s="2283"/>
      <c r="J99" s="2284"/>
      <c r="K99" s="2284"/>
      <c r="L99" s="2284"/>
      <c r="M99" s="2284"/>
      <c r="N99" s="2284"/>
      <c r="O99" s="17"/>
      <c r="P99" s="14"/>
      <c r="Q99" s="245"/>
      <c r="R99" s="69"/>
      <c r="S99" s="324"/>
      <c r="T99" s="324"/>
      <c r="U99" s="16"/>
      <c r="V99" s="69"/>
      <c r="W99" s="324"/>
      <c r="X99" s="324"/>
      <c r="Y99" s="188"/>
      <c r="Z99" s="14"/>
      <c r="AA99" s="14"/>
      <c r="AB99" s="14"/>
      <c r="AC99" s="14"/>
      <c r="AD99" s="14"/>
      <c r="AE99" s="14"/>
      <c r="AF99" s="14"/>
    </row>
    <row r="100" spans="1:32" ht="17.25" customHeight="1" x14ac:dyDescent="0.2">
      <c r="A100" s="14"/>
      <c r="B100" s="15"/>
      <c r="C100" s="42"/>
      <c r="D100" s="42"/>
      <c r="E100" s="42"/>
      <c r="F100" s="42"/>
      <c r="G100" s="16"/>
      <c r="H100" s="2094"/>
      <c r="I100" s="2283" t="s">
        <v>1638</v>
      </c>
      <c r="J100" s="2284"/>
      <c r="K100" s="2284"/>
      <c r="L100" s="2284"/>
      <c r="M100" s="2284"/>
      <c r="N100" s="2284"/>
      <c r="O100" s="17"/>
      <c r="P100" s="14"/>
      <c r="Q100" s="245"/>
      <c r="R100" s="69"/>
      <c r="S100" s="324"/>
      <c r="T100" s="324"/>
      <c r="U100" s="16"/>
      <c r="V100" s="69"/>
      <c r="W100" s="324"/>
      <c r="X100" s="324"/>
      <c r="Y100" s="188"/>
      <c r="Z100" s="14"/>
      <c r="AA100" s="14"/>
      <c r="AB100" s="14"/>
      <c r="AC100" s="14"/>
      <c r="AD100" s="14"/>
      <c r="AE100" s="14"/>
      <c r="AF100" s="14"/>
    </row>
    <row r="101" spans="1:32" ht="17.25" customHeight="1" x14ac:dyDescent="0.2">
      <c r="A101" s="14"/>
      <c r="B101" s="15"/>
      <c r="C101" s="16"/>
      <c r="D101" s="16"/>
      <c r="E101" s="16"/>
      <c r="F101" s="16"/>
      <c r="G101" s="16"/>
      <c r="H101" s="16"/>
      <c r="I101" s="2283"/>
      <c r="J101" s="2284"/>
      <c r="K101" s="2284"/>
      <c r="L101" s="2284"/>
      <c r="M101" s="2284"/>
      <c r="N101" s="2284"/>
      <c r="O101" s="17"/>
      <c r="P101" s="14"/>
      <c r="Q101" s="245"/>
      <c r="R101" s="69"/>
      <c r="S101" s="324"/>
      <c r="T101" s="324"/>
      <c r="U101" s="16"/>
      <c r="V101" s="69"/>
      <c r="W101" s="324"/>
      <c r="X101" s="324"/>
      <c r="Y101" s="188"/>
      <c r="Z101" s="14"/>
      <c r="AA101" s="14"/>
      <c r="AB101" s="14"/>
      <c r="AC101" s="14"/>
      <c r="AD101" s="14"/>
      <c r="AE101" s="14"/>
      <c r="AF101" s="14"/>
    </row>
    <row r="102" spans="1:32" ht="17.25" customHeight="1" x14ac:dyDescent="0.2">
      <c r="A102" s="14"/>
      <c r="B102" s="15"/>
      <c r="C102" s="16"/>
      <c r="D102" s="16"/>
      <c r="E102" s="16"/>
      <c r="F102" s="16"/>
      <c r="G102" s="16"/>
      <c r="H102" s="16"/>
      <c r="I102" s="2132"/>
      <c r="J102" s="2132"/>
      <c r="K102" s="2132"/>
      <c r="L102" s="2132"/>
      <c r="M102" s="2132"/>
      <c r="N102" s="2132"/>
      <c r="O102" s="17"/>
      <c r="P102" s="14"/>
      <c r="Q102" s="245"/>
      <c r="R102" s="69"/>
      <c r="S102" s="324"/>
      <c r="T102" s="324"/>
      <c r="U102" s="16"/>
      <c r="V102" s="69"/>
      <c r="W102" s="324"/>
      <c r="X102" s="324"/>
      <c r="Y102" s="188"/>
      <c r="Z102" s="14"/>
      <c r="AA102" s="14"/>
      <c r="AB102" s="14"/>
      <c r="AC102" s="14"/>
      <c r="AD102" s="14"/>
      <c r="AE102" s="14"/>
      <c r="AF102" s="14"/>
    </row>
    <row r="103" spans="1:32" ht="17.25" customHeight="1" x14ac:dyDescent="0.2">
      <c r="A103" s="14"/>
      <c r="B103" s="15"/>
      <c r="C103" s="16"/>
      <c r="D103" s="16"/>
      <c r="E103" s="16"/>
      <c r="F103" s="16"/>
      <c r="G103" s="16"/>
      <c r="H103" s="16"/>
      <c r="I103" s="2132"/>
      <c r="J103" s="2132"/>
      <c r="K103" s="2132"/>
      <c r="L103" s="2132"/>
      <c r="M103" s="2132"/>
      <c r="N103" s="2132"/>
      <c r="O103" s="17"/>
      <c r="P103" s="14"/>
      <c r="Q103" s="245"/>
      <c r="R103" s="69"/>
      <c r="S103" s="324"/>
      <c r="T103" s="324"/>
      <c r="U103" s="16"/>
      <c r="V103" s="69"/>
      <c r="W103" s="324"/>
      <c r="X103" s="324"/>
      <c r="Y103" s="188"/>
      <c r="Z103" s="14"/>
      <c r="AA103" s="14"/>
      <c r="AB103" s="14"/>
      <c r="AC103" s="14"/>
      <c r="AD103" s="14"/>
      <c r="AE103" s="14"/>
      <c r="AF103" s="14"/>
    </row>
    <row r="104" spans="1:32" ht="17.25" customHeight="1" x14ac:dyDescent="0.2">
      <c r="A104" s="14"/>
      <c r="B104" s="15"/>
      <c r="C104" s="16"/>
      <c r="D104" s="16"/>
      <c r="E104" s="16"/>
      <c r="F104" s="16"/>
      <c r="G104" s="16"/>
      <c r="H104" s="16"/>
      <c r="I104" s="16"/>
      <c r="J104" s="16"/>
      <c r="K104" s="73"/>
      <c r="L104" s="16"/>
      <c r="M104" s="16"/>
      <c r="N104" s="16"/>
      <c r="O104" s="17"/>
      <c r="P104" s="14"/>
      <c r="Q104" s="245"/>
      <c r="R104" s="69"/>
      <c r="S104" s="324"/>
      <c r="T104" s="324"/>
      <c r="U104" s="16"/>
      <c r="V104" s="69"/>
      <c r="W104" s="324"/>
      <c r="X104" s="324"/>
      <c r="Y104" s="188"/>
      <c r="Z104" s="14"/>
      <c r="AA104" s="14"/>
      <c r="AB104" s="14"/>
      <c r="AC104" s="14"/>
      <c r="AD104" s="14"/>
      <c r="AE104" s="14"/>
      <c r="AF104" s="14"/>
    </row>
    <row r="105" spans="1:32" ht="17.25" customHeight="1" x14ac:dyDescent="0.2">
      <c r="A105" s="14"/>
      <c r="B105" s="15"/>
      <c r="C105" s="16"/>
      <c r="D105" s="16"/>
      <c r="E105" s="16"/>
      <c r="F105" s="16"/>
      <c r="G105" s="16"/>
      <c r="H105" s="16"/>
      <c r="I105" s="16"/>
      <c r="J105" s="16"/>
      <c r="K105" s="73"/>
      <c r="L105" s="16"/>
      <c r="M105" s="16"/>
      <c r="N105" s="16"/>
      <c r="O105" s="17"/>
      <c r="P105" s="14"/>
      <c r="Q105" s="245"/>
      <c r="R105" s="69"/>
      <c r="S105" s="324"/>
      <c r="T105" s="324"/>
      <c r="U105" s="16"/>
      <c r="V105" s="69"/>
      <c r="W105" s="324"/>
      <c r="X105" s="324"/>
      <c r="Y105" s="188"/>
      <c r="Z105" s="14"/>
      <c r="AA105" s="14"/>
      <c r="AB105" s="14"/>
      <c r="AC105" s="14"/>
      <c r="AD105" s="14"/>
      <c r="AE105" s="14"/>
      <c r="AF105" s="14"/>
    </row>
    <row r="106" spans="1:32" ht="17.25" customHeight="1" x14ac:dyDescent="0.2">
      <c r="A106" s="14"/>
      <c r="B106" s="15"/>
      <c r="C106" s="2307" t="s">
        <v>1364</v>
      </c>
      <c r="D106" s="2307"/>
      <c r="E106" s="2307"/>
      <c r="F106" s="2307"/>
      <c r="G106" s="2307"/>
      <c r="H106" s="68"/>
      <c r="I106" s="2283" t="s">
        <v>1541</v>
      </c>
      <c r="J106" s="2284"/>
      <c r="K106" s="2284"/>
      <c r="L106" s="2284"/>
      <c r="M106" s="2284"/>
      <c r="N106" s="2284"/>
      <c r="O106" s="17"/>
      <c r="P106" s="14"/>
      <c r="Q106" s="245"/>
      <c r="R106" s="69"/>
      <c r="S106" s="324"/>
      <c r="T106" s="324"/>
      <c r="U106" s="16"/>
      <c r="V106" s="69"/>
      <c r="W106" s="324"/>
      <c r="X106" s="324"/>
      <c r="Y106" s="188"/>
      <c r="Z106" s="14"/>
      <c r="AA106" s="14"/>
      <c r="AB106" s="14"/>
      <c r="AC106" s="14"/>
      <c r="AD106" s="14"/>
      <c r="AE106" s="14"/>
      <c r="AF106" s="14"/>
    </row>
    <row r="107" spans="1:32" ht="17.25" customHeight="1" x14ac:dyDescent="0.2">
      <c r="A107" s="14"/>
      <c r="B107" s="15"/>
      <c r="C107" s="2307"/>
      <c r="D107" s="2307"/>
      <c r="E107" s="2307"/>
      <c r="F107" s="2307"/>
      <c r="G107" s="2307"/>
      <c r="H107" s="68"/>
      <c r="I107" s="2283"/>
      <c r="J107" s="2284"/>
      <c r="K107" s="2284"/>
      <c r="L107" s="2284"/>
      <c r="M107" s="2284"/>
      <c r="N107" s="2284"/>
      <c r="O107" s="17"/>
      <c r="P107" s="14"/>
      <c r="Q107" s="245"/>
      <c r="R107" s="69"/>
      <c r="S107" s="324"/>
      <c r="T107" s="324"/>
      <c r="U107" s="16"/>
      <c r="V107" s="69"/>
      <c r="W107" s="324"/>
      <c r="X107" s="324"/>
      <c r="Y107" s="188"/>
      <c r="Z107" s="184"/>
      <c r="AA107" s="184"/>
      <c r="AB107" s="184"/>
      <c r="AC107" s="184"/>
      <c r="AD107" s="184"/>
      <c r="AE107" s="184"/>
      <c r="AF107" s="184"/>
    </row>
    <row r="108" spans="1:32" ht="17.25" customHeight="1" x14ac:dyDescent="0.2">
      <c r="B108" s="15"/>
      <c r="C108" s="307"/>
      <c r="D108" s="307"/>
      <c r="E108" s="307"/>
      <c r="F108" s="307"/>
      <c r="G108" s="307"/>
      <c r="H108" s="68"/>
      <c r="I108" s="241"/>
      <c r="J108" s="241"/>
      <c r="K108" s="241"/>
      <c r="L108" s="241"/>
      <c r="M108" s="241"/>
      <c r="N108" s="241"/>
      <c r="O108" s="17"/>
      <c r="P108" s="184"/>
      <c r="Q108" s="245"/>
      <c r="R108" s="69"/>
      <c r="S108" s="324"/>
      <c r="T108" s="324"/>
      <c r="U108" s="16"/>
      <c r="V108" s="69"/>
      <c r="W108" s="324"/>
      <c r="X108" s="324"/>
      <c r="Y108" s="188"/>
      <c r="Z108" s="184"/>
      <c r="AA108" s="184"/>
      <c r="AB108" s="184"/>
      <c r="AC108" s="184"/>
      <c r="AD108" s="184"/>
      <c r="AE108" s="184"/>
      <c r="AF108" s="184"/>
    </row>
    <row r="109" spans="1:32" ht="17.25" customHeight="1" x14ac:dyDescent="0.2">
      <c r="B109" s="15"/>
      <c r="C109" s="16"/>
      <c r="D109" s="16"/>
      <c r="E109" s="16"/>
      <c r="F109" s="16"/>
      <c r="G109" s="16"/>
      <c r="H109" s="16"/>
      <c r="I109" s="16"/>
      <c r="J109" s="16"/>
      <c r="K109" s="73"/>
      <c r="L109" s="16"/>
      <c r="M109" s="16"/>
      <c r="N109" s="16"/>
      <c r="O109" s="17"/>
      <c r="P109" s="184"/>
      <c r="Q109" s="245"/>
      <c r="R109" s="69"/>
      <c r="S109" s="324"/>
      <c r="T109" s="324"/>
      <c r="U109" s="16"/>
      <c r="V109" s="69"/>
      <c r="W109" s="324"/>
      <c r="X109" s="324"/>
      <c r="Y109" s="188"/>
      <c r="Z109" s="184"/>
      <c r="AA109" s="184"/>
      <c r="AB109" s="184"/>
      <c r="AC109" s="184"/>
      <c r="AD109" s="184"/>
      <c r="AE109" s="184"/>
      <c r="AF109" s="184"/>
    </row>
    <row r="110" spans="1:32" ht="17.25" customHeight="1" x14ac:dyDescent="0.2">
      <c r="B110" s="15"/>
      <c r="C110" s="2307" t="s">
        <v>1735</v>
      </c>
      <c r="D110" s="2307"/>
      <c r="E110" s="2307"/>
      <c r="F110" s="2307"/>
      <c r="G110" s="2307"/>
      <c r="H110" s="68"/>
      <c r="I110" s="2283" t="s">
        <v>1736</v>
      </c>
      <c r="J110" s="2284"/>
      <c r="K110" s="2284"/>
      <c r="L110" s="2284"/>
      <c r="M110" s="2284"/>
      <c r="N110" s="2284"/>
      <c r="O110" s="17"/>
      <c r="P110" s="184"/>
      <c r="Q110" s="245"/>
      <c r="R110" s="69"/>
      <c r="S110" s="324"/>
      <c r="T110" s="324"/>
      <c r="U110" s="16"/>
      <c r="V110" s="69"/>
      <c r="W110" s="324"/>
      <c r="X110" s="324"/>
      <c r="Y110" s="188"/>
      <c r="Z110" s="184"/>
      <c r="AA110" s="184"/>
      <c r="AB110" s="184"/>
      <c r="AC110" s="184"/>
      <c r="AD110" s="184"/>
      <c r="AE110" s="184"/>
      <c r="AF110" s="184"/>
    </row>
    <row r="111" spans="1:32" ht="17.25" customHeight="1" x14ac:dyDescent="0.2">
      <c r="B111" s="15"/>
      <c r="C111" s="2307"/>
      <c r="D111" s="2307"/>
      <c r="E111" s="2307"/>
      <c r="F111" s="2307"/>
      <c r="G111" s="2307"/>
      <c r="H111" s="68"/>
      <c r="I111" s="2283"/>
      <c r="J111" s="2284"/>
      <c r="K111" s="2284"/>
      <c r="L111" s="2284"/>
      <c r="M111" s="2284"/>
      <c r="N111" s="2284"/>
      <c r="O111" s="17"/>
      <c r="P111" s="184"/>
      <c r="Q111" s="245"/>
      <c r="R111" s="69"/>
      <c r="S111" s="324"/>
      <c r="T111" s="324"/>
      <c r="U111" s="16"/>
      <c r="V111" s="69"/>
      <c r="W111" s="324"/>
      <c r="X111" s="324"/>
      <c r="Y111" s="188"/>
      <c r="Z111" s="184"/>
      <c r="AA111" s="184"/>
      <c r="AB111" s="184"/>
      <c r="AC111" s="184"/>
      <c r="AD111" s="184"/>
      <c r="AE111" s="184"/>
      <c r="AF111" s="184"/>
    </row>
    <row r="112" spans="1:32" ht="17.25" customHeight="1" x14ac:dyDescent="0.2">
      <c r="B112" s="15"/>
      <c r="C112" s="16"/>
      <c r="D112" s="16"/>
      <c r="E112" s="16"/>
      <c r="F112" s="16"/>
      <c r="G112" s="16"/>
      <c r="H112" s="16"/>
      <c r="I112" s="16"/>
      <c r="J112" s="16"/>
      <c r="K112" s="16"/>
      <c r="L112" s="16"/>
      <c r="M112" s="16"/>
      <c r="N112" s="16"/>
      <c r="O112" s="17"/>
      <c r="P112" s="184"/>
      <c r="Q112" s="245"/>
      <c r="R112" s="69"/>
      <c r="S112" s="324"/>
      <c r="T112" s="324"/>
      <c r="U112" s="16"/>
      <c r="V112" s="69"/>
      <c r="W112" s="324"/>
      <c r="X112" s="324"/>
      <c r="Y112" s="188"/>
      <c r="Z112" s="184"/>
      <c r="AA112" s="184"/>
      <c r="AB112" s="184"/>
      <c r="AC112" s="184"/>
      <c r="AD112" s="184"/>
      <c r="AE112" s="184"/>
      <c r="AF112" s="184"/>
    </row>
    <row r="113" spans="2:32" ht="17.25" customHeight="1" thickBot="1" x14ac:dyDescent="0.25">
      <c r="B113" s="1632"/>
      <c r="C113" s="329"/>
      <c r="D113" s="329"/>
      <c r="E113" s="329"/>
      <c r="F113" s="329"/>
      <c r="G113" s="329"/>
      <c r="H113" s="329"/>
      <c r="I113" s="329"/>
      <c r="J113" s="329"/>
      <c r="K113" s="329"/>
      <c r="L113" s="329"/>
      <c r="M113" s="329"/>
      <c r="N113" s="329"/>
      <c r="O113" s="1626"/>
      <c r="P113" s="184"/>
      <c r="Q113" s="196"/>
      <c r="R113" s="197"/>
      <c r="S113" s="197"/>
      <c r="T113" s="197"/>
      <c r="U113" s="197"/>
      <c r="V113" s="197"/>
      <c r="W113" s="197"/>
      <c r="X113" s="197"/>
      <c r="Y113" s="198"/>
      <c r="Z113" s="184"/>
      <c r="AA113" s="184"/>
      <c r="AB113" s="184"/>
      <c r="AC113" s="184"/>
      <c r="AD113" s="184"/>
      <c r="AE113" s="184"/>
      <c r="AF113" s="184"/>
    </row>
    <row r="114" spans="2:32" ht="17.25" customHeight="1" x14ac:dyDescent="0.2">
      <c r="B114" s="1632"/>
      <c r="C114" s="2307" t="s">
        <v>1906</v>
      </c>
      <c r="D114" s="2307"/>
      <c r="E114" s="2307"/>
      <c r="F114" s="2307"/>
      <c r="G114" s="2307"/>
      <c r="H114" s="329"/>
      <c r="I114" s="329"/>
      <c r="J114" s="329"/>
      <c r="K114" s="329"/>
      <c r="L114" s="329"/>
      <c r="M114" s="329"/>
      <c r="N114" s="329"/>
      <c r="O114" s="1626"/>
      <c r="P114" s="184"/>
      <c r="Q114" s="14"/>
      <c r="R114" s="14"/>
      <c r="S114" s="14"/>
      <c r="T114" s="14"/>
      <c r="U114" s="14"/>
      <c r="V114" s="14"/>
      <c r="W114" s="14"/>
      <c r="X114" s="14"/>
      <c r="Y114" s="14"/>
      <c r="Z114" s="184"/>
      <c r="AA114" s="184"/>
      <c r="AB114" s="184"/>
      <c r="AC114" s="184"/>
      <c r="AD114" s="184"/>
      <c r="AE114" s="184"/>
      <c r="AF114" s="184"/>
    </row>
    <row r="115" spans="2:32" ht="17.25" customHeight="1" x14ac:dyDescent="0.2">
      <c r="B115" s="1632"/>
      <c r="C115" s="2307"/>
      <c r="D115" s="2307"/>
      <c r="E115" s="2307"/>
      <c r="F115" s="2307"/>
      <c r="G115" s="2307"/>
      <c r="H115" s="2150"/>
      <c r="I115" s="329"/>
      <c r="J115" s="329"/>
      <c r="K115" s="329"/>
      <c r="L115" s="329"/>
      <c r="M115" s="329"/>
      <c r="N115" s="329"/>
      <c r="O115" s="1626"/>
      <c r="P115" s="184"/>
      <c r="Q115" s="14"/>
      <c r="R115" s="14"/>
      <c r="S115" s="14"/>
      <c r="T115" s="14"/>
      <c r="U115" s="14"/>
      <c r="V115" s="14"/>
      <c r="W115" s="14"/>
      <c r="X115" s="14"/>
      <c r="Y115" s="14"/>
      <c r="Z115" s="184"/>
      <c r="AA115" s="184"/>
      <c r="AB115" s="184"/>
      <c r="AC115" s="184"/>
      <c r="AD115" s="184"/>
      <c r="AE115" s="184"/>
      <c r="AF115" s="184"/>
    </row>
    <row r="116" spans="2:32" ht="17.25" customHeight="1" x14ac:dyDescent="0.2">
      <c r="B116" s="1632"/>
      <c r="C116" s="2052" t="s">
        <v>897</v>
      </c>
      <c r="D116" s="329"/>
      <c r="E116" s="329"/>
      <c r="F116" s="329"/>
      <c r="G116" s="329"/>
      <c r="H116" s="2130"/>
      <c r="I116" s="329"/>
      <c r="J116" s="329"/>
      <c r="K116" s="329"/>
      <c r="L116" s="329"/>
      <c r="M116" s="329"/>
      <c r="N116" s="329"/>
      <c r="O116" s="1626"/>
      <c r="P116" s="184"/>
      <c r="Q116" s="14"/>
      <c r="R116" s="14"/>
      <c r="S116" s="14"/>
      <c r="T116" s="14"/>
      <c r="U116" s="14"/>
      <c r="V116" s="14"/>
      <c r="W116" s="14"/>
      <c r="X116" s="14"/>
      <c r="Y116" s="14"/>
      <c r="Z116" s="184"/>
      <c r="AA116" s="184"/>
      <c r="AB116" s="184"/>
      <c r="AC116" s="184"/>
      <c r="AD116" s="184"/>
      <c r="AE116" s="184"/>
      <c r="AF116" s="184"/>
    </row>
    <row r="117" spans="2:32" ht="17.25" customHeight="1" x14ac:dyDescent="0.2">
      <c r="B117" s="1632"/>
      <c r="C117" s="329"/>
      <c r="D117" s="329"/>
      <c r="E117" s="329"/>
      <c r="F117" s="329"/>
      <c r="G117" s="329"/>
      <c r="H117" s="329"/>
      <c r="I117" s="2283" t="s">
        <v>1919</v>
      </c>
      <c r="J117" s="2284"/>
      <c r="K117" s="2284"/>
      <c r="L117" s="2284"/>
      <c r="M117" s="2284"/>
      <c r="N117" s="2284"/>
      <c r="O117" s="1626"/>
      <c r="P117" s="184"/>
      <c r="Q117" s="14"/>
      <c r="R117" s="14"/>
      <c r="S117" s="14"/>
      <c r="T117" s="14"/>
      <c r="U117" s="14"/>
      <c r="V117" s="14"/>
      <c r="W117" s="14"/>
      <c r="X117" s="14"/>
      <c r="Y117" s="14"/>
      <c r="Z117" s="184"/>
      <c r="AA117" s="184"/>
      <c r="AB117" s="184"/>
      <c r="AC117" s="184"/>
      <c r="AD117" s="184"/>
      <c r="AE117" s="184"/>
      <c r="AF117" s="184"/>
    </row>
    <row r="118" spans="2:32" ht="17.25" customHeight="1" x14ac:dyDescent="0.2">
      <c r="B118" s="1632"/>
      <c r="C118" s="329"/>
      <c r="D118" s="329"/>
      <c r="E118" s="329"/>
      <c r="F118" s="329"/>
      <c r="G118" s="329"/>
      <c r="H118" s="329"/>
      <c r="I118" s="2283"/>
      <c r="J118" s="2284"/>
      <c r="K118" s="2284"/>
      <c r="L118" s="2284"/>
      <c r="M118" s="2284"/>
      <c r="N118" s="2284"/>
      <c r="O118" s="1626"/>
      <c r="P118" s="184"/>
      <c r="Q118" s="14"/>
      <c r="R118" s="14"/>
      <c r="S118" s="14"/>
      <c r="T118" s="14"/>
      <c r="U118" s="14"/>
      <c r="V118" s="14"/>
      <c r="W118" s="14"/>
      <c r="X118" s="14"/>
      <c r="Y118" s="14"/>
      <c r="Z118" s="184"/>
      <c r="AA118" s="184"/>
      <c r="AB118" s="184"/>
      <c r="AC118" s="184"/>
      <c r="AD118" s="184"/>
      <c r="AE118" s="184"/>
      <c r="AF118" s="184"/>
    </row>
    <row r="119" spans="2:32" ht="17.25" customHeight="1" x14ac:dyDescent="0.25">
      <c r="B119" s="1632"/>
      <c r="C119" s="329"/>
      <c r="D119" s="329"/>
      <c r="E119" s="329"/>
      <c r="F119" s="329"/>
      <c r="G119" s="2053"/>
      <c r="H119" s="2053"/>
      <c r="I119" s="329"/>
      <c r="J119" s="329"/>
      <c r="K119" s="329"/>
      <c r="L119" s="329"/>
      <c r="M119" s="329"/>
      <c r="N119" s="329"/>
      <c r="O119" s="1626"/>
      <c r="P119" s="184"/>
      <c r="Q119" s="14"/>
      <c r="R119" s="14"/>
      <c r="S119" s="14"/>
      <c r="T119" s="14"/>
      <c r="U119" s="14"/>
      <c r="V119" s="14"/>
      <c r="W119" s="14"/>
      <c r="X119" s="14"/>
      <c r="Y119" s="14"/>
      <c r="Z119" s="184"/>
      <c r="AA119" s="184"/>
      <c r="AB119" s="184"/>
      <c r="AC119" s="184"/>
      <c r="AD119" s="184"/>
      <c r="AE119" s="184"/>
      <c r="AF119" s="184"/>
    </row>
    <row r="120" spans="2:32" ht="17.25" customHeight="1" x14ac:dyDescent="0.25">
      <c r="B120" s="1632"/>
      <c r="C120" s="329"/>
      <c r="D120" s="329"/>
      <c r="E120" s="329"/>
      <c r="F120" s="2054"/>
      <c r="G120" s="2055"/>
      <c r="H120" s="2055"/>
      <c r="I120" s="329"/>
      <c r="J120" s="329"/>
      <c r="K120" s="329"/>
      <c r="L120" s="329"/>
      <c r="M120" s="329"/>
      <c r="N120" s="329"/>
      <c r="O120" s="1626"/>
      <c r="P120" s="184"/>
      <c r="Q120" s="14"/>
      <c r="R120" s="14"/>
      <c r="S120" s="14"/>
      <c r="T120" s="14"/>
      <c r="U120" s="14"/>
      <c r="V120" s="14"/>
      <c r="W120" s="14"/>
      <c r="X120" s="14"/>
      <c r="Y120" s="14"/>
      <c r="Z120" s="184"/>
      <c r="AA120" s="184"/>
      <c r="AB120" s="184"/>
      <c r="AC120" s="184"/>
      <c r="AD120" s="184"/>
      <c r="AE120" s="184"/>
      <c r="AF120" s="184"/>
    </row>
    <row r="121" spans="2:32" ht="17.25" customHeight="1" x14ac:dyDescent="0.25">
      <c r="B121" s="1632"/>
      <c r="C121" s="2324" t="s">
        <v>1907</v>
      </c>
      <c r="D121" s="2324"/>
      <c r="E121" s="2131">
        <v>0</v>
      </c>
      <c r="F121" s="2256" t="s">
        <v>1908</v>
      </c>
      <c r="G121" s="2256"/>
      <c r="H121" s="2055"/>
      <c r="I121" s="329"/>
      <c r="J121" s="329"/>
      <c r="K121" s="329"/>
      <c r="L121" s="329"/>
      <c r="M121" s="329"/>
      <c r="N121" s="329"/>
      <c r="O121" s="1626"/>
      <c r="P121" s="184"/>
      <c r="Q121" s="14"/>
      <c r="R121" s="14"/>
      <c r="S121" s="14"/>
      <c r="T121" s="14"/>
      <c r="U121" s="14"/>
      <c r="V121" s="14"/>
      <c r="W121" s="14"/>
      <c r="X121" s="14"/>
      <c r="Y121" s="14"/>
      <c r="Z121" s="184"/>
      <c r="AA121" s="184"/>
      <c r="AB121" s="184"/>
      <c r="AC121" s="184"/>
      <c r="AD121" s="184"/>
      <c r="AE121" s="184"/>
      <c r="AF121" s="184"/>
    </row>
    <row r="122" spans="2:32" ht="17.25" customHeight="1" x14ac:dyDescent="0.25">
      <c r="B122" s="1632"/>
      <c r="C122" s="329"/>
      <c r="D122" s="329"/>
      <c r="E122" s="329"/>
      <c r="F122" s="2054"/>
      <c r="G122" s="2055"/>
      <c r="H122" s="2055"/>
      <c r="I122" s="329"/>
      <c r="J122" s="329"/>
      <c r="K122" s="329"/>
      <c r="L122" s="329"/>
      <c r="M122" s="329"/>
      <c r="N122" s="329"/>
      <c r="O122" s="1626"/>
      <c r="P122" s="184"/>
      <c r="Q122" s="14"/>
      <c r="R122" s="14"/>
      <c r="S122" s="14"/>
      <c r="T122" s="14"/>
      <c r="U122" s="14"/>
      <c r="V122" s="14"/>
      <c r="W122" s="14"/>
      <c r="X122" s="14"/>
      <c r="Y122" s="14"/>
      <c r="Z122" s="184"/>
      <c r="AA122" s="184"/>
      <c r="AB122" s="184"/>
      <c r="AC122" s="184"/>
      <c r="AD122" s="184"/>
      <c r="AE122" s="184"/>
      <c r="AF122" s="184"/>
    </row>
    <row r="123" spans="2:32" ht="17.25" customHeight="1" x14ac:dyDescent="0.25">
      <c r="B123" s="1632"/>
      <c r="C123" s="2052" t="s">
        <v>899</v>
      </c>
      <c r="D123" s="329"/>
      <c r="E123" s="329"/>
      <c r="F123" s="329"/>
      <c r="G123" s="329"/>
      <c r="H123" s="2055"/>
      <c r="I123" s="329"/>
      <c r="J123" s="329"/>
      <c r="K123" s="329"/>
      <c r="L123" s="329"/>
      <c r="M123" s="329"/>
      <c r="N123" s="329"/>
      <c r="O123" s="1626"/>
      <c r="P123" s="184"/>
      <c r="Q123" s="14"/>
      <c r="R123" s="14"/>
      <c r="S123" s="14"/>
      <c r="T123" s="14"/>
      <c r="U123" s="14"/>
      <c r="V123" s="14"/>
      <c r="W123" s="14"/>
      <c r="X123" s="14"/>
      <c r="Y123" s="14"/>
      <c r="Z123" s="184"/>
      <c r="AA123" s="184"/>
      <c r="AB123" s="184"/>
      <c r="AC123" s="184"/>
      <c r="AD123" s="184"/>
      <c r="AE123" s="184"/>
      <c r="AF123" s="184"/>
    </row>
    <row r="124" spans="2:32" ht="17.25" customHeight="1" x14ac:dyDescent="0.25">
      <c r="B124" s="1632"/>
      <c r="C124" s="329"/>
      <c r="D124" s="329"/>
      <c r="E124" s="329"/>
      <c r="F124" s="329"/>
      <c r="G124" s="329"/>
      <c r="H124" s="2055"/>
      <c r="I124" s="329"/>
      <c r="J124" s="329"/>
      <c r="K124" s="329"/>
      <c r="L124" s="329"/>
      <c r="M124" s="329"/>
      <c r="N124" s="329"/>
      <c r="O124" s="1626"/>
      <c r="P124" s="184"/>
      <c r="Q124" s="14"/>
      <c r="R124" s="14"/>
      <c r="S124" s="14"/>
      <c r="T124" s="14"/>
      <c r="U124" s="14"/>
      <c r="V124" s="19"/>
      <c r="W124" s="19"/>
      <c r="X124" s="19"/>
      <c r="Y124" s="19"/>
      <c r="Z124" s="184"/>
      <c r="AA124" s="184"/>
      <c r="AB124" s="184"/>
      <c r="AC124" s="184"/>
      <c r="AD124" s="184"/>
      <c r="AE124" s="184"/>
      <c r="AF124" s="184"/>
    </row>
    <row r="125" spans="2:32" ht="17.25" customHeight="1" x14ac:dyDescent="0.25">
      <c r="B125" s="1632"/>
      <c r="C125" s="329"/>
      <c r="D125" s="329"/>
      <c r="E125" s="329"/>
      <c r="F125" s="329"/>
      <c r="G125" s="329"/>
      <c r="H125" s="2055"/>
      <c r="I125" s="329"/>
      <c r="J125" s="329"/>
      <c r="K125" s="329"/>
      <c r="L125" s="329"/>
      <c r="M125" s="329"/>
      <c r="N125" s="329"/>
      <c r="O125" s="1626"/>
      <c r="P125" s="184"/>
      <c r="Q125" s="14"/>
      <c r="R125" s="14"/>
      <c r="S125" s="14"/>
      <c r="T125" s="14"/>
      <c r="U125" s="14"/>
      <c r="V125" s="14"/>
      <c r="W125" s="14"/>
      <c r="X125" s="14"/>
      <c r="Y125" s="14"/>
      <c r="Z125" s="184"/>
      <c r="AA125" s="184"/>
      <c r="AB125" s="184"/>
      <c r="AC125" s="184"/>
      <c r="AD125" s="184"/>
      <c r="AE125" s="184"/>
      <c r="AF125" s="184"/>
    </row>
    <row r="126" spans="2:32" ht="17.25" customHeight="1" x14ac:dyDescent="0.25">
      <c r="B126" s="1632"/>
      <c r="C126" s="329"/>
      <c r="D126" s="329"/>
      <c r="E126" s="329"/>
      <c r="F126" s="329"/>
      <c r="G126" s="2053"/>
      <c r="H126" s="2055"/>
      <c r="I126" s="329"/>
      <c r="J126" s="329"/>
      <c r="K126" s="329"/>
      <c r="L126" s="329"/>
      <c r="M126" s="329"/>
      <c r="N126" s="329"/>
      <c r="O126" s="1626"/>
      <c r="P126" s="184"/>
      <c r="Q126" s="14"/>
      <c r="R126" s="14"/>
      <c r="S126" s="14"/>
      <c r="T126" s="14"/>
      <c r="U126" s="14"/>
      <c r="V126" s="16"/>
      <c r="W126" s="14"/>
      <c r="X126" s="14"/>
      <c r="Y126" s="14"/>
      <c r="Z126" s="184"/>
      <c r="AA126" s="184"/>
      <c r="AB126" s="184"/>
      <c r="AC126" s="184"/>
      <c r="AD126" s="184"/>
      <c r="AE126" s="184"/>
      <c r="AF126" s="184"/>
    </row>
    <row r="127" spans="2:32" ht="17.25" customHeight="1" x14ac:dyDescent="0.25">
      <c r="B127" s="1632"/>
      <c r="C127" s="329"/>
      <c r="D127" s="329"/>
      <c r="E127" s="329"/>
      <c r="F127" s="2054"/>
      <c r="G127" s="2055"/>
      <c r="H127" s="2055"/>
      <c r="I127" s="329"/>
      <c r="J127" s="329"/>
      <c r="K127" s="329"/>
      <c r="L127" s="329"/>
      <c r="M127" s="329"/>
      <c r="N127" s="329"/>
      <c r="O127" s="1626"/>
      <c r="P127" s="184"/>
      <c r="Q127" s="14"/>
      <c r="R127" s="14"/>
      <c r="S127" s="14"/>
      <c r="T127" s="14"/>
      <c r="U127" s="14"/>
      <c r="V127" s="14"/>
      <c r="W127" s="14"/>
      <c r="X127" s="14"/>
      <c r="Y127" s="14"/>
      <c r="Z127" s="184"/>
      <c r="AA127" s="184"/>
      <c r="AB127" s="184"/>
      <c r="AC127" s="184"/>
      <c r="AD127" s="184"/>
      <c r="AE127" s="184"/>
      <c r="AF127" s="184"/>
    </row>
    <row r="128" spans="2:32" ht="17.25" customHeight="1" x14ac:dyDescent="0.25">
      <c r="B128" s="1632"/>
      <c r="C128" s="2324" t="s">
        <v>1907</v>
      </c>
      <c r="D128" s="2324"/>
      <c r="E128" s="329">
        <v>0</v>
      </c>
      <c r="F128" s="2256" t="s">
        <v>1908</v>
      </c>
      <c r="G128" s="2256"/>
      <c r="H128" s="2055"/>
      <c r="I128" s="329"/>
      <c r="J128" s="329"/>
      <c r="K128" s="329"/>
      <c r="L128" s="329"/>
      <c r="M128" s="329"/>
      <c r="N128" s="329"/>
      <c r="O128" s="1626"/>
      <c r="P128" s="184"/>
      <c r="Q128" s="14"/>
      <c r="R128" s="14"/>
      <c r="S128" s="14"/>
      <c r="T128" s="14"/>
      <c r="U128" s="14"/>
      <c r="V128" s="14"/>
      <c r="W128" s="14"/>
      <c r="X128" s="14"/>
      <c r="Y128" s="14"/>
      <c r="Z128" s="184"/>
      <c r="AA128" s="184"/>
      <c r="AB128" s="184"/>
      <c r="AC128" s="184"/>
      <c r="AD128" s="184"/>
      <c r="AE128" s="184"/>
      <c r="AF128" s="184"/>
    </row>
    <row r="129" spans="2:32" ht="17.25" customHeight="1" x14ac:dyDescent="0.2">
      <c r="B129" s="1632"/>
      <c r="C129" s="329"/>
      <c r="D129" s="329"/>
      <c r="E129" s="329"/>
      <c r="F129" s="329"/>
      <c r="G129" s="329"/>
      <c r="H129" s="329"/>
      <c r="I129" s="329"/>
      <c r="J129" s="329"/>
      <c r="K129" s="329"/>
      <c r="L129" s="329"/>
      <c r="M129" s="329"/>
      <c r="N129" s="329"/>
      <c r="O129" s="1626"/>
      <c r="P129" s="184"/>
      <c r="Q129" s="184"/>
      <c r="R129" s="184"/>
      <c r="S129" s="184"/>
      <c r="T129" s="184"/>
      <c r="U129" s="184"/>
      <c r="V129" s="184"/>
      <c r="W129" s="184"/>
      <c r="X129" s="184"/>
      <c r="Y129" s="184"/>
      <c r="Z129" s="184"/>
      <c r="AA129" s="184"/>
      <c r="AB129" s="184"/>
      <c r="AC129" s="184"/>
      <c r="AD129" s="184"/>
      <c r="AE129" s="184"/>
      <c r="AF129" s="184"/>
    </row>
    <row r="130" spans="2:32" ht="17.25" customHeight="1" x14ac:dyDescent="0.2">
      <c r="B130" s="1632"/>
      <c r="C130" s="2307" t="s">
        <v>1952</v>
      </c>
      <c r="D130" s="2307"/>
      <c r="E130" s="2307"/>
      <c r="F130" s="2307"/>
      <c r="G130" s="2307"/>
      <c r="H130" s="329"/>
      <c r="I130" s="329"/>
      <c r="J130" s="329"/>
      <c r="K130" s="329"/>
      <c r="L130" s="329"/>
      <c r="M130" s="329"/>
      <c r="N130" s="329"/>
      <c r="O130" s="1626"/>
    </row>
    <row r="131" spans="2:32" ht="17.25" customHeight="1" x14ac:dyDescent="0.2">
      <c r="B131" s="1632"/>
      <c r="C131" s="2307"/>
      <c r="D131" s="2307"/>
      <c r="E131" s="2307"/>
      <c r="F131" s="2307"/>
      <c r="G131" s="2307"/>
      <c r="H131" s="329"/>
      <c r="I131" s="329"/>
      <c r="J131" s="329"/>
      <c r="K131" s="329"/>
      <c r="L131" s="329"/>
      <c r="M131" s="329"/>
      <c r="N131" s="329"/>
      <c r="O131" s="1626"/>
    </row>
    <row r="132" spans="2:32" ht="17.25" customHeight="1" x14ac:dyDescent="0.2">
      <c r="B132" s="1632"/>
      <c r="C132" s="2052" t="s">
        <v>1854</v>
      </c>
      <c r="D132" s="329"/>
      <c r="E132" s="329"/>
      <c r="F132" s="329"/>
      <c r="G132" s="329"/>
      <c r="H132" s="329"/>
      <c r="I132" s="329"/>
      <c r="J132" s="329"/>
      <c r="K132" s="329"/>
      <c r="L132" s="329"/>
      <c r="M132" s="329"/>
      <c r="N132" s="329"/>
      <c r="O132" s="1626"/>
    </row>
    <row r="133" spans="2:32" ht="17.25" customHeight="1" x14ac:dyDescent="0.2">
      <c r="B133" s="1632"/>
      <c r="C133" s="329"/>
      <c r="D133" s="329"/>
      <c r="E133" s="329"/>
      <c r="F133" s="329"/>
      <c r="G133" s="329"/>
      <c r="H133" s="329"/>
      <c r="I133" s="329"/>
      <c r="J133" s="329"/>
      <c r="K133" s="329"/>
      <c r="L133" s="329"/>
      <c r="M133" s="329"/>
      <c r="N133" s="329"/>
      <c r="O133" s="1626"/>
    </row>
    <row r="134" spans="2:32" ht="17.25" customHeight="1" x14ac:dyDescent="0.2">
      <c r="B134" s="1632"/>
      <c r="C134" s="329"/>
      <c r="D134" s="329"/>
      <c r="E134" s="329"/>
      <c r="F134" s="329"/>
      <c r="G134" s="329"/>
      <c r="H134" s="329"/>
      <c r="I134" s="329"/>
      <c r="J134" s="329"/>
      <c r="K134" s="329"/>
      <c r="L134" s="329"/>
      <c r="M134" s="329"/>
      <c r="N134" s="329"/>
      <c r="O134" s="1626"/>
    </row>
    <row r="135" spans="2:32" ht="17.25" customHeight="1" x14ac:dyDescent="0.2">
      <c r="B135" s="1632"/>
      <c r="C135" s="329"/>
      <c r="D135" s="329"/>
      <c r="E135" s="329"/>
      <c r="F135" s="329"/>
      <c r="G135" s="329"/>
      <c r="H135" s="329"/>
      <c r="I135" s="329"/>
      <c r="J135" s="329"/>
      <c r="K135" s="329"/>
      <c r="L135" s="329"/>
      <c r="M135" s="329"/>
      <c r="N135" s="329"/>
      <c r="O135" s="1626"/>
    </row>
    <row r="136" spans="2:32" ht="17.25" customHeight="1" x14ac:dyDescent="0.2">
      <c r="B136" s="1632"/>
      <c r="C136" s="329"/>
      <c r="D136" s="329"/>
      <c r="E136" s="329"/>
      <c r="F136" s="329"/>
      <c r="G136" s="329"/>
      <c r="H136" s="329"/>
      <c r="I136" s="329"/>
      <c r="J136" s="329"/>
      <c r="K136" s="329"/>
      <c r="L136" s="329"/>
      <c r="M136" s="329"/>
      <c r="N136" s="329"/>
      <c r="O136" s="1626"/>
    </row>
    <row r="137" spans="2:32" ht="17.25" customHeight="1" x14ac:dyDescent="0.2">
      <c r="B137" s="1632"/>
      <c r="C137" s="329"/>
      <c r="D137" s="1973" t="s">
        <v>1950</v>
      </c>
      <c r="E137" s="2138">
        <v>0</v>
      </c>
      <c r="F137" s="1973" t="s">
        <v>1951</v>
      </c>
      <c r="G137" s="329"/>
      <c r="H137" s="329"/>
      <c r="I137" s="329"/>
      <c r="J137" s="329"/>
      <c r="K137" s="329"/>
      <c r="L137" s="329"/>
      <c r="M137" s="329"/>
      <c r="N137" s="329"/>
      <c r="O137" s="1626"/>
    </row>
    <row r="138" spans="2:32" ht="17.25" customHeight="1" x14ac:dyDescent="0.2">
      <c r="B138" s="1632"/>
      <c r="C138" s="2052" t="s">
        <v>1899</v>
      </c>
      <c r="D138" s="329"/>
      <c r="E138" s="329"/>
      <c r="F138" s="329"/>
      <c r="G138" s="329"/>
      <c r="H138" s="329"/>
      <c r="I138" s="329"/>
      <c r="J138" s="329"/>
      <c r="K138" s="329"/>
      <c r="L138" s="329"/>
      <c r="M138" s="329"/>
      <c r="N138" s="329"/>
      <c r="O138" s="1626"/>
    </row>
    <row r="139" spans="2:32" ht="17.25" customHeight="1" x14ac:dyDescent="0.2">
      <c r="B139" s="1632"/>
      <c r="C139" s="329"/>
      <c r="D139" s="329"/>
      <c r="E139" s="329"/>
      <c r="F139" s="329"/>
      <c r="G139" s="329"/>
      <c r="H139" s="329"/>
      <c r="I139" s="329"/>
      <c r="J139" s="329"/>
      <c r="K139" s="329"/>
      <c r="L139" s="329"/>
      <c r="M139" s="329"/>
      <c r="N139" s="329"/>
      <c r="O139" s="1626"/>
    </row>
    <row r="140" spans="2:32" ht="17.25" customHeight="1" x14ac:dyDescent="0.2">
      <c r="B140" s="1632"/>
      <c r="C140" s="329"/>
      <c r="D140" s="329"/>
      <c r="E140" s="329"/>
      <c r="F140" s="329"/>
      <c r="G140" s="329"/>
      <c r="H140" s="329"/>
      <c r="I140" s="329"/>
      <c r="J140" s="329"/>
      <c r="K140" s="329"/>
      <c r="L140" s="329"/>
      <c r="M140" s="329"/>
      <c r="N140" s="329"/>
      <c r="O140" s="1626"/>
    </row>
    <row r="141" spans="2:32" ht="17.25" customHeight="1" x14ac:dyDescent="0.2">
      <c r="B141" s="1632"/>
      <c r="C141" s="329"/>
      <c r="D141" s="329"/>
      <c r="E141" s="329"/>
      <c r="F141" s="329"/>
      <c r="G141" s="329"/>
      <c r="H141" s="329"/>
      <c r="I141" s="329"/>
      <c r="J141" s="329"/>
      <c r="K141" s="329"/>
      <c r="L141" s="329"/>
      <c r="M141" s="329"/>
      <c r="N141" s="329"/>
      <c r="O141" s="1626"/>
    </row>
    <row r="142" spans="2:32" ht="17.25" customHeight="1" x14ac:dyDescent="0.2">
      <c r="B142" s="1632"/>
      <c r="C142" s="329"/>
      <c r="D142" s="329"/>
      <c r="E142" s="329"/>
      <c r="F142" s="329"/>
      <c r="G142" s="329"/>
      <c r="H142" s="329"/>
      <c r="I142" s="329"/>
      <c r="J142" s="329"/>
      <c r="K142" s="329"/>
      <c r="L142" s="329"/>
      <c r="M142" s="329"/>
      <c r="N142" s="329"/>
      <c r="O142" s="1626"/>
    </row>
    <row r="143" spans="2:32" ht="17.25" customHeight="1" x14ac:dyDescent="0.2">
      <c r="B143" s="1632"/>
      <c r="C143" s="329"/>
      <c r="D143" s="1973" t="s">
        <v>1950</v>
      </c>
      <c r="E143" s="2138">
        <v>0</v>
      </c>
      <c r="F143" s="1973" t="s">
        <v>1951</v>
      </c>
      <c r="G143" s="329"/>
      <c r="H143" s="329"/>
      <c r="I143" s="329"/>
      <c r="J143" s="329"/>
      <c r="K143" s="329"/>
      <c r="L143" s="329"/>
      <c r="M143" s="329"/>
      <c r="N143" s="329"/>
      <c r="O143" s="1626"/>
    </row>
    <row r="144" spans="2:32" ht="17.25" customHeight="1" thickBot="1" x14ac:dyDescent="0.25">
      <c r="B144" s="2033"/>
      <c r="C144" s="1976"/>
      <c r="D144" s="1976"/>
      <c r="E144" s="1976"/>
      <c r="F144" s="1976"/>
      <c r="G144" s="1976"/>
      <c r="H144" s="1976"/>
      <c r="I144" s="1976"/>
      <c r="J144" s="1976"/>
      <c r="K144" s="1976"/>
      <c r="L144" s="1976"/>
      <c r="M144" s="1976"/>
      <c r="N144" s="1976"/>
      <c r="O144" s="2056"/>
    </row>
  </sheetData>
  <mergeCells count="83">
    <mergeCell ref="C130:G131"/>
    <mergeCell ref="I117:N118"/>
    <mergeCell ref="Q95:V96"/>
    <mergeCell ref="S97:U97"/>
    <mergeCell ref="W97:Y97"/>
    <mergeCell ref="C110:G111"/>
    <mergeCell ref="I110:N111"/>
    <mergeCell ref="I97:N99"/>
    <mergeCell ref="I100:N101"/>
    <mergeCell ref="C95:G96"/>
    <mergeCell ref="C106:G107"/>
    <mergeCell ref="I106:N107"/>
    <mergeCell ref="C114:G115"/>
    <mergeCell ref="F121:G121"/>
    <mergeCell ref="C121:D121"/>
    <mergeCell ref="C128:D128"/>
    <mergeCell ref="AA71:AF72"/>
    <mergeCell ref="C72:G74"/>
    <mergeCell ref="E79:F79"/>
    <mergeCell ref="I91:N92"/>
    <mergeCell ref="C91:G92"/>
    <mergeCell ref="C85:G86"/>
    <mergeCell ref="I88:N89"/>
    <mergeCell ref="C82:G83"/>
    <mergeCell ref="I82:N83"/>
    <mergeCell ref="C88:G89"/>
    <mergeCell ref="W79:W80"/>
    <mergeCell ref="X79:X80"/>
    <mergeCell ref="T79:T80"/>
    <mergeCell ref="S79:S80"/>
    <mergeCell ref="R79:R80"/>
    <mergeCell ref="I85:N86"/>
    <mergeCell ref="C18:D19"/>
    <mergeCell ref="C40:D40"/>
    <mergeCell ref="C12:G14"/>
    <mergeCell ref="E19:N19"/>
    <mergeCell ref="I32:I33"/>
    <mergeCell ref="J32:J33"/>
    <mergeCell ref="I40:J40"/>
    <mergeCell ref="H32:H33"/>
    <mergeCell ref="B37:E38"/>
    <mergeCell ref="C32:C33"/>
    <mergeCell ref="D32:D33"/>
    <mergeCell ref="E32:E33"/>
    <mergeCell ref="F32:F33"/>
    <mergeCell ref="G32:G33"/>
    <mergeCell ref="K32:K33"/>
    <mergeCell ref="V39:X40"/>
    <mergeCell ref="R36:T36"/>
    <mergeCell ref="J54:M54"/>
    <mergeCell ref="C49:N51"/>
    <mergeCell ref="C47:D47"/>
    <mergeCell ref="C53:G54"/>
    <mergeCell ref="L43:N46"/>
    <mergeCell ref="C56:E57"/>
    <mergeCell ref="Q76:V77"/>
    <mergeCell ref="V79:V80"/>
    <mergeCell ref="Q63:R64"/>
    <mergeCell ref="C58:D59"/>
    <mergeCell ref="C60:D61"/>
    <mergeCell ref="K56:N56"/>
    <mergeCell ref="C63:G69"/>
    <mergeCell ref="R13:R14"/>
    <mergeCell ref="V36:X37"/>
    <mergeCell ref="L32:L33"/>
    <mergeCell ref="M32:M33"/>
    <mergeCell ref="N32:N33"/>
    <mergeCell ref="F128:G128"/>
    <mergeCell ref="B2:O3"/>
    <mergeCell ref="Q2:Y3"/>
    <mergeCell ref="T13:T14"/>
    <mergeCell ref="W13:W14"/>
    <mergeCell ref="X13:X14"/>
    <mergeCell ref="V13:V14"/>
    <mergeCell ref="Q10:R11"/>
    <mergeCell ref="V10:Y11"/>
    <mergeCell ref="C5:N7"/>
    <mergeCell ref="B9:D10"/>
    <mergeCell ref="S6:T6"/>
    <mergeCell ref="S7:T7"/>
    <mergeCell ref="V6:X7"/>
    <mergeCell ref="S13:S14"/>
    <mergeCell ref="I12:N14"/>
  </mergeCells>
  <phoneticPr fontId="24" type="noConversion"/>
  <pageMargins left="0.25" right="0.25" top="0.75" bottom="0.75" header="0.3" footer="0.3"/>
  <pageSetup paperSize="17" scale="4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208260" r:id="rId4" name="Drop Down 68">
              <controlPr defaultSize="0" autoLine="0" autoPict="0">
                <anchor moveWithCells="1">
                  <from>
                    <xdr:col>4</xdr:col>
                    <xdr:colOff>85725</xdr:colOff>
                    <xdr:row>11</xdr:row>
                    <xdr:rowOff>200025</xdr:rowOff>
                  </from>
                  <to>
                    <xdr:col>6</xdr:col>
                    <xdr:colOff>952500</xdr:colOff>
                    <xdr:row>13</xdr:row>
                    <xdr:rowOff>9525</xdr:rowOff>
                  </to>
                </anchor>
              </controlPr>
            </control>
          </mc:Choice>
        </mc:AlternateContent>
        <mc:AlternateContent xmlns:mc="http://schemas.openxmlformats.org/markup-compatibility/2006">
          <mc:Choice Requires="x14">
            <control shapeId="3208261" r:id="rId5" name="Drop Down 69">
              <controlPr defaultSize="0" autoLine="0" autoPict="0">
                <anchor moveWithCells="1">
                  <from>
                    <xdr:col>4</xdr:col>
                    <xdr:colOff>952500</xdr:colOff>
                    <xdr:row>81</xdr:row>
                    <xdr:rowOff>76200</xdr:rowOff>
                  </from>
                  <to>
                    <xdr:col>6</xdr:col>
                    <xdr:colOff>990600</xdr:colOff>
                    <xdr:row>82</xdr:row>
                    <xdr:rowOff>104775</xdr:rowOff>
                  </to>
                </anchor>
              </controlPr>
            </control>
          </mc:Choice>
        </mc:AlternateContent>
        <mc:AlternateContent xmlns:mc="http://schemas.openxmlformats.org/markup-compatibility/2006">
          <mc:Choice Requires="x14">
            <control shapeId="3208262" r:id="rId6" name="Drop Down 70">
              <controlPr defaultSize="0" autoLine="0" autoPict="0">
                <anchor moveWithCells="1">
                  <from>
                    <xdr:col>4</xdr:col>
                    <xdr:colOff>942975</xdr:colOff>
                    <xdr:row>84</xdr:row>
                    <xdr:rowOff>85725</xdr:rowOff>
                  </from>
                  <to>
                    <xdr:col>6</xdr:col>
                    <xdr:colOff>990600</xdr:colOff>
                    <xdr:row>85</xdr:row>
                    <xdr:rowOff>104775</xdr:rowOff>
                  </to>
                </anchor>
              </controlPr>
            </control>
          </mc:Choice>
        </mc:AlternateContent>
        <mc:AlternateContent xmlns:mc="http://schemas.openxmlformats.org/markup-compatibility/2006">
          <mc:Choice Requires="x14">
            <control shapeId="3208263" r:id="rId7" name="Drop Down 71">
              <controlPr defaultSize="0" autoLine="0" autoPict="0">
                <anchor moveWithCells="1">
                  <from>
                    <xdr:col>4</xdr:col>
                    <xdr:colOff>952500</xdr:colOff>
                    <xdr:row>90</xdr:row>
                    <xdr:rowOff>85725</xdr:rowOff>
                  </from>
                  <to>
                    <xdr:col>6</xdr:col>
                    <xdr:colOff>1009650</xdr:colOff>
                    <xdr:row>91</xdr:row>
                    <xdr:rowOff>104775</xdr:rowOff>
                  </to>
                </anchor>
              </controlPr>
            </control>
          </mc:Choice>
        </mc:AlternateContent>
        <mc:AlternateContent xmlns:mc="http://schemas.openxmlformats.org/markup-compatibility/2006">
          <mc:Choice Requires="x14">
            <control shapeId="3208265" r:id="rId8" name="Check Box 73">
              <controlPr defaultSize="0" autoFill="0" autoLine="0" autoPict="0">
                <anchor moveWithCells="1">
                  <from>
                    <xdr:col>2</xdr:col>
                    <xdr:colOff>161925</xdr:colOff>
                    <xdr:row>97</xdr:row>
                    <xdr:rowOff>9525</xdr:rowOff>
                  </from>
                  <to>
                    <xdr:col>3</xdr:col>
                    <xdr:colOff>657225</xdr:colOff>
                    <xdr:row>98</xdr:row>
                    <xdr:rowOff>152400</xdr:rowOff>
                  </to>
                </anchor>
              </controlPr>
            </control>
          </mc:Choice>
        </mc:AlternateContent>
        <mc:AlternateContent xmlns:mc="http://schemas.openxmlformats.org/markup-compatibility/2006">
          <mc:Choice Requires="x14">
            <control shapeId="3208266" r:id="rId9" name="Check Box 74">
              <controlPr defaultSize="0" autoFill="0" autoLine="0" autoPict="0">
                <anchor moveWithCells="1">
                  <from>
                    <xdr:col>2</xdr:col>
                    <xdr:colOff>180975</xdr:colOff>
                    <xdr:row>99</xdr:row>
                    <xdr:rowOff>123825</xdr:rowOff>
                  </from>
                  <to>
                    <xdr:col>3</xdr:col>
                    <xdr:colOff>600075</xdr:colOff>
                    <xdr:row>101</xdr:row>
                    <xdr:rowOff>57150</xdr:rowOff>
                  </to>
                </anchor>
              </controlPr>
            </control>
          </mc:Choice>
        </mc:AlternateContent>
        <mc:AlternateContent xmlns:mc="http://schemas.openxmlformats.org/markup-compatibility/2006">
          <mc:Choice Requires="x14">
            <control shapeId="3208267" r:id="rId10" name="Check Box 75">
              <controlPr defaultSize="0" autoFill="0" autoLine="0" autoPict="0">
                <anchor moveWithCells="1">
                  <from>
                    <xdr:col>3</xdr:col>
                    <xdr:colOff>1057275</xdr:colOff>
                    <xdr:row>99</xdr:row>
                    <xdr:rowOff>152400</xdr:rowOff>
                  </from>
                  <to>
                    <xdr:col>4</xdr:col>
                    <xdr:colOff>828675</xdr:colOff>
                    <xdr:row>101</xdr:row>
                    <xdr:rowOff>85725</xdr:rowOff>
                  </to>
                </anchor>
              </controlPr>
            </control>
          </mc:Choice>
        </mc:AlternateContent>
        <mc:AlternateContent xmlns:mc="http://schemas.openxmlformats.org/markup-compatibility/2006">
          <mc:Choice Requires="x14">
            <control shapeId="3208268" r:id="rId11" name="Check Box 76">
              <controlPr defaultSize="0" autoFill="0" autoLine="0" autoPict="0" altText="Liquid Heavy Ends_x000a_">
                <anchor moveWithCells="1">
                  <from>
                    <xdr:col>3</xdr:col>
                    <xdr:colOff>1057275</xdr:colOff>
                    <xdr:row>97</xdr:row>
                    <xdr:rowOff>0</xdr:rowOff>
                  </from>
                  <to>
                    <xdr:col>4</xdr:col>
                    <xdr:colOff>914400</xdr:colOff>
                    <xdr:row>98</xdr:row>
                    <xdr:rowOff>152400</xdr:rowOff>
                  </to>
                </anchor>
              </controlPr>
            </control>
          </mc:Choice>
        </mc:AlternateContent>
        <mc:AlternateContent xmlns:mc="http://schemas.openxmlformats.org/markup-compatibility/2006">
          <mc:Choice Requires="x14">
            <control shapeId="3208269" r:id="rId12" name="Check Box 77">
              <controlPr defaultSize="0" autoFill="0" autoLine="0" autoPict="0">
                <anchor moveWithCells="1">
                  <from>
                    <xdr:col>5</xdr:col>
                    <xdr:colOff>266700</xdr:colOff>
                    <xdr:row>97</xdr:row>
                    <xdr:rowOff>9525</xdr:rowOff>
                  </from>
                  <to>
                    <xdr:col>6</xdr:col>
                    <xdr:colOff>657225</xdr:colOff>
                    <xdr:row>98</xdr:row>
                    <xdr:rowOff>152400</xdr:rowOff>
                  </to>
                </anchor>
              </controlPr>
            </control>
          </mc:Choice>
        </mc:AlternateContent>
        <mc:AlternateContent xmlns:mc="http://schemas.openxmlformats.org/markup-compatibility/2006">
          <mc:Choice Requires="x14">
            <control shapeId="3208277" r:id="rId13" name="Drop Down 85">
              <controlPr defaultSize="0" autoLine="0" autoPict="0">
                <anchor moveWithCells="1">
                  <from>
                    <xdr:col>4</xdr:col>
                    <xdr:colOff>371475</xdr:colOff>
                    <xdr:row>59</xdr:row>
                    <xdr:rowOff>104775</xdr:rowOff>
                  </from>
                  <to>
                    <xdr:col>6</xdr:col>
                    <xdr:colOff>866775</xdr:colOff>
                    <xdr:row>60</xdr:row>
                    <xdr:rowOff>123825</xdr:rowOff>
                  </to>
                </anchor>
              </controlPr>
            </control>
          </mc:Choice>
        </mc:AlternateContent>
        <mc:AlternateContent xmlns:mc="http://schemas.openxmlformats.org/markup-compatibility/2006">
          <mc:Choice Requires="x14">
            <control shapeId="3208282" r:id="rId14" name="Drop Down 90">
              <controlPr defaultSize="0" autoLine="0" autoPict="0">
                <anchor moveWithCells="1">
                  <from>
                    <xdr:col>4</xdr:col>
                    <xdr:colOff>371475</xdr:colOff>
                    <xdr:row>57</xdr:row>
                    <xdr:rowOff>123825</xdr:rowOff>
                  </from>
                  <to>
                    <xdr:col>6</xdr:col>
                    <xdr:colOff>885825</xdr:colOff>
                    <xdr:row>58</xdr:row>
                    <xdr:rowOff>152400</xdr:rowOff>
                  </to>
                </anchor>
              </controlPr>
            </control>
          </mc:Choice>
        </mc:AlternateContent>
        <mc:AlternateContent xmlns:mc="http://schemas.openxmlformats.org/markup-compatibility/2006">
          <mc:Choice Requires="x14">
            <control shapeId="3208264" r:id="rId15" name="Drop Down 72">
              <controlPr defaultSize="0" autoLine="0" autoPict="0">
                <anchor moveWithCells="1">
                  <from>
                    <xdr:col>4</xdr:col>
                    <xdr:colOff>914400</xdr:colOff>
                    <xdr:row>105</xdr:row>
                    <xdr:rowOff>104775</xdr:rowOff>
                  </from>
                  <to>
                    <xdr:col>6</xdr:col>
                    <xdr:colOff>962025</xdr:colOff>
                    <xdr:row>106</xdr:row>
                    <xdr:rowOff>123825</xdr:rowOff>
                  </to>
                </anchor>
              </controlPr>
            </control>
          </mc:Choice>
        </mc:AlternateContent>
        <mc:AlternateContent xmlns:mc="http://schemas.openxmlformats.org/markup-compatibility/2006">
          <mc:Choice Requires="x14">
            <control shapeId="3208286" r:id="rId16" name="Drop Down 94">
              <controlPr defaultSize="0" autoLine="0" autoPict="0">
                <anchor moveWithCells="1">
                  <from>
                    <xdr:col>4</xdr:col>
                    <xdr:colOff>962025</xdr:colOff>
                    <xdr:row>109</xdr:row>
                    <xdr:rowOff>85725</xdr:rowOff>
                  </from>
                  <to>
                    <xdr:col>6</xdr:col>
                    <xdr:colOff>1019175</xdr:colOff>
                    <xdr:row>110</xdr:row>
                    <xdr:rowOff>104775</xdr:rowOff>
                  </to>
                </anchor>
              </controlPr>
            </control>
          </mc:Choice>
        </mc:AlternateContent>
        <mc:AlternateContent xmlns:mc="http://schemas.openxmlformats.org/markup-compatibility/2006">
          <mc:Choice Requires="x14">
            <control shapeId="3208288" r:id="rId17" name="Drop Down 96">
              <controlPr defaultSize="0" autoLine="0" autoPict="0">
                <anchor moveWithCells="1">
                  <from>
                    <xdr:col>4</xdr:col>
                    <xdr:colOff>942975</xdr:colOff>
                    <xdr:row>87</xdr:row>
                    <xdr:rowOff>85725</xdr:rowOff>
                  </from>
                  <to>
                    <xdr:col>6</xdr:col>
                    <xdr:colOff>990600</xdr:colOff>
                    <xdr:row>88</xdr:row>
                    <xdr:rowOff>104775</xdr:rowOff>
                  </to>
                </anchor>
              </controlPr>
            </control>
          </mc:Choice>
        </mc:AlternateContent>
        <mc:AlternateContent xmlns:mc="http://schemas.openxmlformats.org/markup-compatibility/2006">
          <mc:Choice Requires="x14">
            <control shapeId="3208291" r:id="rId18" name="Scroll Bar 99">
              <controlPr defaultSize="0" autoPict="0">
                <anchor moveWithCells="1">
                  <from>
                    <xdr:col>2</xdr:col>
                    <xdr:colOff>0</xdr:colOff>
                    <xdr:row>116</xdr:row>
                    <xdr:rowOff>9525</xdr:rowOff>
                  </from>
                  <to>
                    <xdr:col>7</xdr:col>
                    <xdr:colOff>0</xdr:colOff>
                    <xdr:row>120</xdr:row>
                    <xdr:rowOff>28575</xdr:rowOff>
                  </to>
                </anchor>
              </controlPr>
            </control>
          </mc:Choice>
        </mc:AlternateContent>
        <mc:AlternateContent xmlns:mc="http://schemas.openxmlformats.org/markup-compatibility/2006">
          <mc:Choice Requires="x14">
            <control shapeId="3208292" r:id="rId19" name="Scroll Bar 100">
              <controlPr defaultSize="0" autoPict="0">
                <anchor moveWithCells="1">
                  <from>
                    <xdr:col>2</xdr:col>
                    <xdr:colOff>0</xdr:colOff>
                    <xdr:row>123</xdr:row>
                    <xdr:rowOff>9525</xdr:rowOff>
                  </from>
                  <to>
                    <xdr:col>7</xdr:col>
                    <xdr:colOff>0</xdr:colOff>
                    <xdr:row>127</xdr:row>
                    <xdr:rowOff>28575</xdr:rowOff>
                  </to>
                </anchor>
              </controlPr>
            </control>
          </mc:Choice>
        </mc:AlternateContent>
        <mc:AlternateContent xmlns:mc="http://schemas.openxmlformats.org/markup-compatibility/2006">
          <mc:Choice Requires="x14">
            <control shapeId="3208293" r:id="rId20" name="Check Box 101">
              <controlPr defaultSize="0" autoFill="0" autoLine="0" autoPict="0">
                <anchor moveWithCells="1">
                  <from>
                    <xdr:col>2</xdr:col>
                    <xdr:colOff>171450</xdr:colOff>
                    <xdr:row>102</xdr:row>
                    <xdr:rowOff>95250</xdr:rowOff>
                  </from>
                  <to>
                    <xdr:col>3</xdr:col>
                    <xdr:colOff>228600</xdr:colOff>
                    <xdr:row>104</xdr:row>
                    <xdr:rowOff>28575</xdr:rowOff>
                  </to>
                </anchor>
              </controlPr>
            </control>
          </mc:Choice>
        </mc:AlternateContent>
        <mc:AlternateContent xmlns:mc="http://schemas.openxmlformats.org/markup-compatibility/2006">
          <mc:Choice Requires="x14">
            <control shapeId="3208294" r:id="rId21" name="Check Box 102">
              <controlPr defaultSize="0" autoFill="0" autoLine="0" autoPict="0">
                <anchor moveWithCells="1">
                  <from>
                    <xdr:col>3</xdr:col>
                    <xdr:colOff>1066800</xdr:colOff>
                    <xdr:row>102</xdr:row>
                    <xdr:rowOff>85725</xdr:rowOff>
                  </from>
                  <to>
                    <xdr:col>4</xdr:col>
                    <xdr:colOff>838200</xdr:colOff>
                    <xdr:row>104</xdr:row>
                    <xdr:rowOff>19050</xdr:rowOff>
                  </to>
                </anchor>
              </controlPr>
            </control>
          </mc:Choice>
        </mc:AlternateContent>
        <mc:AlternateContent xmlns:mc="http://schemas.openxmlformats.org/markup-compatibility/2006">
          <mc:Choice Requires="x14">
            <control shapeId="3208295" r:id="rId22" name="Check Box 103">
              <controlPr defaultSize="0" autoFill="0" autoLine="0" autoPict="0">
                <anchor moveWithCells="1">
                  <from>
                    <xdr:col>5</xdr:col>
                    <xdr:colOff>266700</xdr:colOff>
                    <xdr:row>102</xdr:row>
                    <xdr:rowOff>57150</xdr:rowOff>
                  </from>
                  <to>
                    <xdr:col>6</xdr:col>
                    <xdr:colOff>38100</xdr:colOff>
                    <xdr:row>103</xdr:row>
                    <xdr:rowOff>209550</xdr:rowOff>
                  </to>
                </anchor>
              </controlPr>
            </control>
          </mc:Choice>
        </mc:AlternateContent>
        <mc:AlternateContent xmlns:mc="http://schemas.openxmlformats.org/markup-compatibility/2006">
          <mc:Choice Requires="x14">
            <control shapeId="3208296" r:id="rId23" name="Check Box 104">
              <controlPr defaultSize="0" autoFill="0" autoLine="0" autoPict="0">
                <anchor moveWithCells="1">
                  <from>
                    <xdr:col>5</xdr:col>
                    <xdr:colOff>266700</xdr:colOff>
                    <xdr:row>99</xdr:row>
                    <xdr:rowOff>142875</xdr:rowOff>
                  </from>
                  <to>
                    <xdr:col>6</xdr:col>
                    <xdr:colOff>38100</xdr:colOff>
                    <xdr:row>101</xdr:row>
                    <xdr:rowOff>76200</xdr:rowOff>
                  </to>
                </anchor>
              </controlPr>
            </control>
          </mc:Choice>
        </mc:AlternateContent>
        <mc:AlternateContent xmlns:mc="http://schemas.openxmlformats.org/markup-compatibility/2006">
          <mc:Choice Requires="x14">
            <control shapeId="3208300" r:id="rId24" name="Scroll Bar 108">
              <controlPr defaultSize="0" autoPict="0">
                <anchor moveWithCells="1">
                  <from>
                    <xdr:col>2</xdr:col>
                    <xdr:colOff>0</xdr:colOff>
                    <xdr:row>132</xdr:row>
                    <xdr:rowOff>9525</xdr:rowOff>
                  </from>
                  <to>
                    <xdr:col>7</xdr:col>
                    <xdr:colOff>0</xdr:colOff>
                    <xdr:row>136</xdr:row>
                    <xdr:rowOff>28575</xdr:rowOff>
                  </to>
                </anchor>
              </controlPr>
            </control>
          </mc:Choice>
        </mc:AlternateContent>
        <mc:AlternateContent xmlns:mc="http://schemas.openxmlformats.org/markup-compatibility/2006">
          <mc:Choice Requires="x14">
            <control shapeId="3208301" r:id="rId25" name="Scroll Bar 109">
              <controlPr defaultSize="0" autoPict="0">
                <anchor moveWithCells="1">
                  <from>
                    <xdr:col>2</xdr:col>
                    <xdr:colOff>0</xdr:colOff>
                    <xdr:row>138</xdr:row>
                    <xdr:rowOff>19050</xdr:rowOff>
                  </from>
                  <to>
                    <xdr:col>7</xdr:col>
                    <xdr:colOff>0</xdr:colOff>
                    <xdr:row>142</xdr:row>
                    <xdr:rowOff>38100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0">
    <tabColor rgb="FFFF0000"/>
  </sheetPr>
  <dimension ref="A1:I27"/>
  <sheetViews>
    <sheetView topLeftCell="A7" workbookViewId="0">
      <selection activeCell="F31" sqref="F31"/>
    </sheetView>
  </sheetViews>
  <sheetFormatPr defaultRowHeight="12.75" x14ac:dyDescent="0.2"/>
  <sheetData>
    <row r="1" spans="1:8" ht="15" x14ac:dyDescent="0.25">
      <c r="A1" s="1943"/>
      <c r="B1" s="1946" t="s">
        <v>1797</v>
      </c>
      <c r="C1" s="1943" t="s">
        <v>1796</v>
      </c>
      <c r="D1" s="1943" t="s">
        <v>1802</v>
      </c>
      <c r="E1" s="1943" t="s">
        <v>1803</v>
      </c>
      <c r="F1" s="1943" t="s">
        <v>1804</v>
      </c>
      <c r="G1" s="1950" t="s">
        <v>1805</v>
      </c>
      <c r="H1" s="1950"/>
    </row>
    <row r="2" spans="1:8" ht="15" x14ac:dyDescent="0.25">
      <c r="A2" s="1963" t="s">
        <v>1827</v>
      </c>
      <c r="B2" s="1944">
        <v>8.8264766480952517</v>
      </c>
      <c r="C2" s="1944">
        <v>0.64831269562158411</v>
      </c>
      <c r="D2" s="1947">
        <v>64.6302423465104</v>
      </c>
      <c r="E2" s="1947">
        <v>0</v>
      </c>
      <c r="F2" s="1947">
        <v>0</v>
      </c>
      <c r="G2" s="1948">
        <f ca="1">(CokingRefineryCalcs!I646*CokingRefineryCalcs!I651/100+CokingRefineryCalcs!D677+CokingRefineryCalcs!D676+CokingRefineryCalcs!D679+CokingRefineryCalcs!D686-CokingRefineryCalcs!H657*CokingRefineryCalcs!H658/100)/(CokingRefineryCalcs!I646+CokingRefineryCalcs!D676+CokingRefineryCalcs!D677+CokingRefineryCalcs!D679+CokingRefineryCalcs!D686-CokingRefineryCalcs!I646*(CokingRefineryCalcs!I648-CokingRefineryCalcs!J648)/1000000-CokingRefineryCalcs!H657)*100</f>
        <v>2.4875484039484008</v>
      </c>
    </row>
    <row r="3" spans="1:8" ht="15" x14ac:dyDescent="0.25">
      <c r="A3" s="1949" t="s">
        <v>1798</v>
      </c>
      <c r="B3" s="1944">
        <v>9.9189520961507966</v>
      </c>
      <c r="C3" s="1944">
        <v>8.5377631804681613</v>
      </c>
      <c r="D3" s="1947">
        <v>63.537766898454855</v>
      </c>
      <c r="E3" s="1947">
        <v>0</v>
      </c>
      <c r="F3" s="1947">
        <v>0</v>
      </c>
      <c r="G3" s="1917">
        <f ca="1">(CokingRefineryCalcs!G316*CokingRefineryCalcs!G321/100+CokingRefineryCalcs!D332+CokingRefineryCalcs!D331+CokingRefineryCalcs!D334+CokingRefineryCalcs!D341-CokingRefineryCalcs!H326*CokingRefineryCalcs!H327/100)/(CokingRefineryCalcs!G316+CokingRefineryCalcs!D331+CokingRefineryCalcs!D332+CokingRefineryCalcs!D334+CokingRefineryCalcs!D341-CokingRefineryCalcs!G316*(CokingRefineryCalcs!G318-CokingRefineryCalcs!H318)/1000000-CokingRefineryCalcs!H326)*100</f>
        <v>12.448591496467358</v>
      </c>
    </row>
    <row r="4" spans="1:8" ht="15" x14ac:dyDescent="0.25">
      <c r="A4" s="1962" t="s">
        <v>1799</v>
      </c>
      <c r="B4" s="1944">
        <v>5.2638724857612402</v>
      </c>
      <c r="C4" s="1944">
        <v>2.9981931507618356</v>
      </c>
      <c r="D4" s="1947">
        <v>68.192846508844411</v>
      </c>
      <c r="E4" s="1947">
        <v>0</v>
      </c>
      <c r="F4" s="1947">
        <v>0</v>
      </c>
      <c r="G4" s="334">
        <f ca="1">(CokingRefineryCalcs!E258*CokingRefineryCalcs!E263/100+CokingRefineryCalcs!D269+CokingRefineryCalcs!D270+CokingRefineryCalcs!D272+CokingRefineryCalcs!D279-CokingRefineryCalcs!H268*CokingRefineryCalcs!H269/100)/(CokingRefineryCalcs!E258+CokingRefineryCalcs!D269+CokingRefineryCalcs!D270+CokingRefineryCalcs!D272+CokingRefineryCalcs!D279-CokingRefineryCalcs!E258*(CokingRefineryCalcs!E260-CokingRefineryCalcs!G260)/1000000-CokingRefineryCalcs!H268)*100</f>
        <v>12.67095046309065</v>
      </c>
    </row>
    <row r="5" spans="1:8" ht="15" x14ac:dyDescent="0.25">
      <c r="A5" s="1962" t="s">
        <v>1800</v>
      </c>
      <c r="B5" s="1944">
        <v>2.8133652296934599</v>
      </c>
      <c r="C5" s="1944">
        <v>3.9944145242718321</v>
      </c>
      <c r="D5" s="1947">
        <v>70.643353764912192</v>
      </c>
      <c r="E5" s="1947">
        <v>0</v>
      </c>
      <c r="F5" s="1947">
        <v>0</v>
      </c>
      <c r="G5" s="380">
        <f ca="1">(CokingRefineryCalcs!F130*CokingRefineryCalcs!F135/100+CokingRefineryCalcs!D141+CokingRefineryCalcs!D142+CokingRefineryCalcs!D144+CokingRefineryCalcs!D151-CokingRefineryCalcs!H140*CokingRefineryCalcs!H141/100)/(CokingRefineryCalcs!F130+CokingRefineryCalcs!D141+CokingRefineryCalcs!D142+CokingRefineryCalcs!D144+CokingRefineryCalcs!D151-CokingRefineryCalcs!F130*(CokingRefineryCalcs!F132-CokingRefineryCalcs!H132)/1000000-CokingRefineryCalcs!H140)*100</f>
        <v>13.523821050511861</v>
      </c>
    </row>
    <row r="6" spans="1:8" ht="15" x14ac:dyDescent="0.25">
      <c r="A6" s="1962" t="s">
        <v>1801</v>
      </c>
      <c r="B6" s="1944">
        <v>0.72027455079232539</v>
      </c>
      <c r="C6" s="1944">
        <v>1.094410482691103</v>
      </c>
      <c r="D6" s="1947">
        <v>72.736444443813326</v>
      </c>
      <c r="E6" s="1947">
        <v>0</v>
      </c>
      <c r="F6" s="1947">
        <v>0</v>
      </c>
      <c r="G6" s="380" t="e">
        <f ca="1">(CokingRefineryCalcs!F131*CokingRefineryCalcs!F136/100+CokingRefineryCalcs!D142+CokingRefineryCalcs!D143+CokingRefineryCalcs!D145+CokingRefineryCalcs!D152-CokingRefineryCalcs!H141*CokingRefineryCalcs!H142/100)/(CokingRefineryCalcs!F131+CokingRefineryCalcs!D142+CokingRefineryCalcs!D143+CokingRefineryCalcs!D145+CokingRefineryCalcs!D152-CokingRefineryCalcs!F131*(CokingRefineryCalcs!F133-CokingRefineryCalcs!H133)/1000000-CokingRefineryCalcs!H141)*100</f>
        <v>#VALUE!</v>
      </c>
    </row>
    <row r="8" spans="1:8" x14ac:dyDescent="0.2">
      <c r="D8" s="1945"/>
    </row>
    <row r="9" spans="1:8" x14ac:dyDescent="0.2">
      <c r="D9" s="1945"/>
      <c r="E9" s="1945"/>
    </row>
    <row r="10" spans="1:8" x14ac:dyDescent="0.2">
      <c r="D10" s="1945"/>
    </row>
    <row r="11" spans="1:8" x14ac:dyDescent="0.2">
      <c r="D11" s="1945"/>
      <c r="F11" s="1945"/>
    </row>
    <row r="12" spans="1:8" x14ac:dyDescent="0.2">
      <c r="D12" s="1945"/>
    </row>
    <row r="13" spans="1:8" x14ac:dyDescent="0.2">
      <c r="D13" s="1945"/>
    </row>
    <row r="14" spans="1:8" x14ac:dyDescent="0.2">
      <c r="D14" s="1945"/>
    </row>
    <row r="19" spans="1:9" x14ac:dyDescent="0.2">
      <c r="I19" s="1951"/>
    </row>
    <row r="22" spans="1:9" ht="15" x14ac:dyDescent="0.25">
      <c r="A22" s="1943"/>
      <c r="B22" s="1946" t="s">
        <v>1797</v>
      </c>
      <c r="C22" s="1943" t="s">
        <v>1796</v>
      </c>
      <c r="D22" s="1943" t="s">
        <v>1802</v>
      </c>
      <c r="E22" s="1943" t="s">
        <v>1803</v>
      </c>
      <c r="F22" s="1943" t="s">
        <v>1804</v>
      </c>
      <c r="G22" s="1950" t="s">
        <v>1805</v>
      </c>
    </row>
    <row r="23" spans="1:9" ht="15" x14ac:dyDescent="0.25">
      <c r="A23" s="1949" t="s">
        <v>1826</v>
      </c>
      <c r="B23" s="1944">
        <v>5.7130011845756314</v>
      </c>
      <c r="C23" s="1944">
        <v>0.57277682100907157</v>
      </c>
      <c r="D23" s="1947">
        <v>94.933722939989892</v>
      </c>
      <c r="E23" s="1947">
        <v>0</v>
      </c>
      <c r="F23" s="1947">
        <v>0</v>
      </c>
      <c r="G23" s="1961" t="e">
        <f ca="1">(HydroRefineryCalcs!I621*HydroRefineryCalcs!I626/100+HydroRefineryCalcs!D650+HydroRefineryCalcs!D651+HydroRefineryCalcs!D653+HydroRefineryCalcs!D660-HydroRefineryCalcs!H631*HydroRefineryCalcs!H632/100)/(HydroRefineryCalcs!I621+HydroRefineryCalcs!D650+HydroRefineryCalcs!D651+HydroRefineryCalcs!D653+HydroRefineryCalcs!D660-HydroRefineryCalcs!I621*(HydroRefineryCalcs!I623-HydroRefineryCalcs!J623)/1000000-HydroRefineryCalcs!H631)*100</f>
        <v>#DIV/0!</v>
      </c>
    </row>
    <row r="24" spans="1:9" ht="15" x14ac:dyDescent="0.25">
      <c r="A24" s="1949" t="s">
        <v>1798</v>
      </c>
      <c r="B24" s="1944">
        <v>8.5427435149058226</v>
      </c>
      <c r="C24" s="1944">
        <v>8.4342995048911149</v>
      </c>
      <c r="D24" s="1947">
        <v>92.1039806096597</v>
      </c>
      <c r="E24" s="1947">
        <v>0</v>
      </c>
      <c r="F24" s="1947">
        <v>0</v>
      </c>
      <c r="G24" s="842">
        <f ca="1">(HydroRefineryCalcs!I622*HydroRefineryCalcs!I627/100+HydroRefineryCalcs!D651+HydroRefineryCalcs!D652+HydroRefineryCalcs!D654+HydroRefineryCalcs!D661-HydroRefineryCalcs!H632*HydroRefineryCalcs!H633/100)/(HydroRefineryCalcs!I622+HydroRefineryCalcs!D651+HydroRefineryCalcs!D652+HydroRefineryCalcs!D654+HydroRefineryCalcs!D661-HydroRefineryCalcs!I622*(HydroRefineryCalcs!I624-HydroRefineryCalcs!J624)/1000000-HydroRefineryCalcs!H632)*100</f>
        <v>1.2432162168097887</v>
      </c>
    </row>
    <row r="25" spans="1:9" ht="15" x14ac:dyDescent="0.25">
      <c r="A25" s="1962" t="s">
        <v>1799</v>
      </c>
      <c r="B25" s="1944">
        <v>7.4448220465206276</v>
      </c>
      <c r="C25" s="1944">
        <v>6.0933660766829689</v>
      </c>
      <c r="D25" s="1947">
        <v>93.201902078044895</v>
      </c>
      <c r="E25" s="1947">
        <v>0</v>
      </c>
      <c r="F25" s="1947">
        <v>0</v>
      </c>
      <c r="G25" s="842">
        <f ca="1">(HydroRefineryCalcs!H313*HydroRefineryCalcs!H318/100+HydroRefineryCalcs!D329+HydroRefineryCalcs!D328+HydroRefineryCalcs!D331+HydroRefineryCalcs!D338-HydroRefineryCalcs!H323*HydroRefineryCalcs!H324/100)/(HydroRefineryCalcs!H313+HydroRefineryCalcs!D328+HydroRefineryCalcs!D329+HydroRefineryCalcs!D331+HydroRefineryCalcs!D338-HydroRefineryCalcs!H313*(HydroRefineryCalcs!H315-HydroRefineryCalcs!I315)/1000000-HydroRefineryCalcs!H323)*100</f>
        <v>12.448591496467358</v>
      </c>
    </row>
    <row r="26" spans="1:9" ht="15" x14ac:dyDescent="0.25">
      <c r="A26" s="1962" t="s">
        <v>1800</v>
      </c>
      <c r="B26" s="1944">
        <v>2.1642369873261487</v>
      </c>
      <c r="C26" s="1944">
        <v>3.0640373782360228</v>
      </c>
      <c r="D26" s="1947">
        <v>98.482487137239374</v>
      </c>
      <c r="E26" s="1947">
        <v>0</v>
      </c>
      <c r="F26" s="1947">
        <v>0</v>
      </c>
      <c r="G26" s="842">
        <f ca="1">(HydroRefineryCalcs!E249*HydroRefineryCalcs!E254/100+HydroRefineryCalcs!D260+HydroRefineryCalcs!D261+HydroRefineryCalcs!D263+HydroRefineryCalcs!D270-HydroRefineryCalcs!H259*HydroRefineryCalcs!H260/100)/(HydroRefineryCalcs!E249+HydroRefineryCalcs!D260+HydroRefineryCalcs!D261+HydroRefineryCalcs!D263+HydroRefineryCalcs!D270-HydroRefineryCalcs!E249*(HydroRefineryCalcs!E251-HydroRefineryCalcs!G251)/1000000-HydroRefineryCalcs!H259)*100</f>
        <v>12.67095046309065</v>
      </c>
    </row>
    <row r="27" spans="1:9" ht="15" x14ac:dyDescent="0.25">
      <c r="A27" s="1962" t="s">
        <v>1801</v>
      </c>
      <c r="B27" s="1944">
        <v>9.6894452574019851E-2</v>
      </c>
      <c r="C27" s="1944">
        <v>0.15811120126089406</v>
      </c>
      <c r="D27" s="1947">
        <v>100.5498296719915</v>
      </c>
      <c r="E27" s="1947">
        <v>0</v>
      </c>
      <c r="F27" s="1947">
        <v>0</v>
      </c>
      <c r="G27" s="842">
        <f ca="1">(HydroRefineryCalcs!F119*HydroRefineryCalcs!F124/100+HydroRefineryCalcs!D131+HydroRefineryCalcs!D132+HydroRefineryCalcs!D134+HydroRefineryCalcs!D141-HydroRefineryCalcs!H130*HydroRefineryCalcs!H131/100)/(HydroRefineryCalcs!F119+HydroRefineryCalcs!D131+HydroRefineryCalcs!D132+HydroRefineryCalcs!D134+HydroRefineryCalcs!D141-HydroRefineryCalcs!F119*(HydroRefineryCalcs!F121-HydroRefineryCalcs!H121)/1000000-HydroRefineryCalcs!H130)*100</f>
        <v>13.523821050511861</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FF0000"/>
    <pageSetUpPr fitToPage="1"/>
  </sheetPr>
  <dimension ref="A1:O137"/>
  <sheetViews>
    <sheetView zoomScale="70" zoomScaleNormal="70" zoomScalePageLayoutView="75" workbookViewId="0">
      <selection activeCell="D29" sqref="D29"/>
    </sheetView>
  </sheetViews>
  <sheetFormatPr defaultColWidth="8.85546875" defaultRowHeight="21.75" customHeight="1" x14ac:dyDescent="0.2"/>
  <cols>
    <col min="1" max="1" width="5" customWidth="1"/>
    <col min="2" max="2" width="2.85546875" customWidth="1"/>
    <col min="3" max="3" width="22.140625" customWidth="1"/>
    <col min="4" max="4" width="20.42578125" customWidth="1"/>
    <col min="5" max="5" width="17" customWidth="1"/>
    <col min="6" max="6" width="16.42578125" customWidth="1"/>
    <col min="7" max="8" width="15.7109375" customWidth="1"/>
    <col min="9" max="9" width="22.42578125" customWidth="1"/>
    <col min="10" max="10" width="17.42578125" customWidth="1"/>
    <col min="11" max="13" width="15.7109375" customWidth="1"/>
    <col min="14" max="14" width="16.42578125" customWidth="1"/>
    <col min="15" max="15" width="3.140625" customWidth="1"/>
    <col min="16" max="18" width="8.85546875" customWidth="1"/>
    <col min="21" max="21" width="8.85546875" customWidth="1"/>
  </cols>
  <sheetData>
    <row r="1" spans="1:15" ht="21.75" customHeight="1" thickBot="1" x14ac:dyDescent="0.25">
      <c r="A1" s="14"/>
      <c r="B1" s="14"/>
      <c r="C1" s="14"/>
      <c r="D1" s="14"/>
      <c r="E1" s="14"/>
      <c r="F1" s="14"/>
      <c r="G1" s="14"/>
      <c r="H1" s="14"/>
      <c r="I1" s="14"/>
      <c r="J1" s="14"/>
      <c r="K1" s="14"/>
      <c r="L1" s="14"/>
      <c r="M1" s="14"/>
      <c r="N1" s="14"/>
      <c r="O1" s="14"/>
    </row>
    <row r="2" spans="1:15" ht="21.75" customHeight="1" x14ac:dyDescent="0.2">
      <c r="A2" s="14"/>
      <c r="B2" s="2327" t="s">
        <v>1527</v>
      </c>
      <c r="C2" s="2328"/>
      <c r="D2" s="2328"/>
      <c r="E2" s="2328"/>
      <c r="F2" s="2328"/>
      <c r="G2" s="2328"/>
      <c r="H2" s="2328"/>
      <c r="I2" s="2328"/>
      <c r="J2" s="2328"/>
      <c r="K2" s="2328"/>
      <c r="L2" s="2328"/>
      <c r="M2" s="2328"/>
      <c r="N2" s="2328"/>
      <c r="O2" s="2329"/>
    </row>
    <row r="3" spans="1:15" ht="21.75" customHeight="1" x14ac:dyDescent="0.2">
      <c r="A3" s="39"/>
      <c r="B3" s="2330"/>
      <c r="C3" s="2331"/>
      <c r="D3" s="2331"/>
      <c r="E3" s="2331"/>
      <c r="F3" s="2331"/>
      <c r="G3" s="2331"/>
      <c r="H3" s="2331"/>
      <c r="I3" s="2331"/>
      <c r="J3" s="2331"/>
      <c r="K3" s="2331"/>
      <c r="L3" s="2331"/>
      <c r="M3" s="2331"/>
      <c r="N3" s="2331"/>
      <c r="O3" s="2332"/>
    </row>
    <row r="4" spans="1:15" ht="21.75" customHeight="1" x14ac:dyDescent="0.2">
      <c r="A4" s="26"/>
      <c r="B4" s="185"/>
      <c r="C4" s="31"/>
      <c r="D4" s="31"/>
      <c r="E4" s="31"/>
      <c r="F4" s="31"/>
      <c r="G4" s="31"/>
      <c r="H4" s="31"/>
      <c r="I4" s="31"/>
      <c r="J4" s="31"/>
      <c r="K4" s="31"/>
      <c r="L4" s="31"/>
      <c r="M4" s="31"/>
      <c r="N4" s="31"/>
      <c r="O4" s="186"/>
    </row>
    <row r="5" spans="1:15" ht="21.75" customHeight="1" x14ac:dyDescent="0.2">
      <c r="A5" s="14"/>
      <c r="B5" s="187"/>
      <c r="C5" s="2333" t="s">
        <v>1259</v>
      </c>
      <c r="D5" s="2334"/>
      <c r="E5" s="16"/>
      <c r="F5" s="16"/>
      <c r="G5" s="16"/>
      <c r="H5" s="16"/>
      <c r="I5" s="16"/>
      <c r="J5" s="16"/>
      <c r="K5" s="16"/>
      <c r="L5" s="16"/>
      <c r="M5" s="16"/>
      <c r="N5" s="16"/>
      <c r="O5" s="188"/>
    </row>
    <row r="6" spans="1:15" ht="21.75" customHeight="1" x14ac:dyDescent="0.2">
      <c r="A6" s="14"/>
      <c r="B6" s="187"/>
      <c r="C6" s="2333"/>
      <c r="D6" s="2334"/>
      <c r="E6" s="1517" t="s">
        <v>1744</v>
      </c>
      <c r="F6" s="996"/>
      <c r="G6" s="243"/>
      <c r="H6" s="243"/>
      <c r="I6" s="243"/>
      <c r="J6" s="243"/>
      <c r="K6" s="243"/>
      <c r="L6" s="243"/>
      <c r="M6" s="243"/>
      <c r="N6" s="244"/>
      <c r="O6" s="188"/>
    </row>
    <row r="7" spans="1:15" ht="21.75" customHeight="1" x14ac:dyDescent="0.2">
      <c r="A7" s="14"/>
      <c r="B7" s="187"/>
      <c r="C7" s="211"/>
      <c r="D7" s="44"/>
      <c r="E7" s="45" t="str">
        <f ca="1">'Assay Inventory'!E10</f>
        <v>Cutoff Temp [°C]</v>
      </c>
      <c r="F7" s="46">
        <f ca="1">'Assay Inventory'!F10</f>
        <v>80</v>
      </c>
      <c r="G7" s="46">
        <f ca="1">'Assay Inventory'!G10</f>
        <v>180</v>
      </c>
      <c r="H7" s="46">
        <f ca="1">'Assay Inventory'!H10</f>
        <v>290</v>
      </c>
      <c r="I7" s="46">
        <f ca="1">'Assay Inventory'!I10</f>
        <v>343</v>
      </c>
      <c r="J7" s="46">
        <f ca="1">'Assay Inventory'!J10</f>
        <v>399</v>
      </c>
      <c r="K7" s="46">
        <f ca="1">'Assay Inventory'!K10</f>
        <v>454</v>
      </c>
      <c r="L7" s="46">
        <f ca="1">'Assay Inventory'!L10</f>
        <v>525</v>
      </c>
      <c r="M7" s="47">
        <f ca="1">'Assay Inventory'!M10</f>
        <v>525</v>
      </c>
      <c r="N7" s="202">
        <f ca="1">'Assay Inventory'!N10</f>
        <v>399</v>
      </c>
      <c r="O7" s="188"/>
    </row>
    <row r="8" spans="1:15" ht="21.75" customHeight="1" x14ac:dyDescent="0.2">
      <c r="A8" s="29"/>
      <c r="B8" s="187"/>
      <c r="C8" s="205" t="s">
        <v>568</v>
      </c>
      <c r="D8" s="48" t="s">
        <v>623</v>
      </c>
      <c r="E8" s="48" t="s">
        <v>1515</v>
      </c>
      <c r="F8" s="48" t="s">
        <v>957</v>
      </c>
      <c r="G8" s="48" t="s">
        <v>572</v>
      </c>
      <c r="H8" s="48" t="s">
        <v>530</v>
      </c>
      <c r="I8" s="48" t="s">
        <v>573</v>
      </c>
      <c r="J8" s="48" t="s">
        <v>574</v>
      </c>
      <c r="K8" s="48" t="s">
        <v>575</v>
      </c>
      <c r="L8" s="48" t="s">
        <v>576</v>
      </c>
      <c r="M8" s="48" t="s">
        <v>577</v>
      </c>
      <c r="N8" s="203" t="s">
        <v>609</v>
      </c>
      <c r="O8" s="188"/>
    </row>
    <row r="9" spans="1:15" ht="21.75" customHeight="1" x14ac:dyDescent="0.2">
      <c r="A9" s="14"/>
      <c r="B9" s="187"/>
      <c r="C9" s="204" t="s">
        <v>1512</v>
      </c>
      <c r="D9" s="933" t="s">
        <v>566</v>
      </c>
      <c r="E9" s="2204" t="str">
        <f>IF(ISERROR(E10/0.159),"",E10/0.159)</f>
        <v/>
      </c>
      <c r="F9" s="2204" t="str">
        <f t="shared" ref="F9:N9" si="0">IF(ISERROR(F10/0.159),"",F10/0.159)</f>
        <v/>
      </c>
      <c r="G9" s="2204" t="str">
        <f t="shared" si="0"/>
        <v/>
      </c>
      <c r="H9" s="2204" t="str">
        <f t="shared" si="0"/>
        <v/>
      </c>
      <c r="I9" s="2204" t="str">
        <f t="shared" si="0"/>
        <v/>
      </c>
      <c r="J9" s="2204" t="str">
        <f t="shared" si="0"/>
        <v/>
      </c>
      <c r="K9" s="2204" t="str">
        <f t="shared" si="0"/>
        <v/>
      </c>
      <c r="L9" s="2204" t="str">
        <f t="shared" si="0"/>
        <v/>
      </c>
      <c r="M9" s="2204" t="str">
        <f t="shared" si="0"/>
        <v/>
      </c>
      <c r="N9" s="2205" t="str">
        <f t="shared" si="0"/>
        <v/>
      </c>
      <c r="O9" s="188"/>
    </row>
    <row r="10" spans="1:15" ht="21.75" customHeight="1" x14ac:dyDescent="0.2">
      <c r="A10" s="14"/>
      <c r="B10" s="187"/>
      <c r="C10" s="204" t="s">
        <v>1512</v>
      </c>
      <c r="D10" s="933" t="s">
        <v>628</v>
      </c>
      <c r="E10" s="2204" t="str">
        <f t="shared" ref="E10:N10" si="1">IF(ISERROR(E11/E15),"",E11/E15)</f>
        <v/>
      </c>
      <c r="F10" s="2204" t="str">
        <f t="shared" si="1"/>
        <v/>
      </c>
      <c r="G10" s="2204" t="str">
        <f t="shared" si="1"/>
        <v/>
      </c>
      <c r="H10" s="2204" t="str">
        <f t="shared" si="1"/>
        <v/>
      </c>
      <c r="I10" s="2204" t="str">
        <f t="shared" si="1"/>
        <v/>
      </c>
      <c r="J10" s="2204" t="str">
        <f t="shared" si="1"/>
        <v/>
      </c>
      <c r="K10" s="2204" t="str">
        <f t="shared" si="1"/>
        <v/>
      </c>
      <c r="L10" s="2204" t="str">
        <f t="shared" si="1"/>
        <v/>
      </c>
      <c r="M10" s="2204" t="str">
        <f t="shared" si="1"/>
        <v/>
      </c>
      <c r="N10" s="2205" t="str">
        <f t="shared" si="1"/>
        <v/>
      </c>
      <c r="O10" s="188"/>
    </row>
    <row r="11" spans="1:15" ht="21.75" customHeight="1" x14ac:dyDescent="0.2">
      <c r="A11" s="14"/>
      <c r="B11" s="187"/>
      <c r="C11" s="204" t="s">
        <v>1513</v>
      </c>
      <c r="D11" s="933" t="s">
        <v>622</v>
      </c>
      <c r="E11" s="2206"/>
      <c r="F11" s="2206"/>
      <c r="G11" s="2206"/>
      <c r="H11" s="2206"/>
      <c r="I11" s="2206"/>
      <c r="J11" s="2206"/>
      <c r="K11" s="2206"/>
      <c r="L11" s="2206"/>
      <c r="M11" s="2206"/>
      <c r="N11" s="2207"/>
      <c r="O11" s="188"/>
    </row>
    <row r="12" spans="1:15" ht="21.75" customHeight="1" x14ac:dyDescent="0.2">
      <c r="A12" s="14"/>
      <c r="B12" s="189"/>
      <c r="C12" s="204" t="s">
        <v>776</v>
      </c>
      <c r="D12" s="933" t="s">
        <v>579</v>
      </c>
      <c r="E12" s="2206"/>
      <c r="F12" s="2206"/>
      <c r="G12" s="2206"/>
      <c r="H12" s="2206"/>
      <c r="I12" s="2206"/>
      <c r="J12" s="2206"/>
      <c r="K12" s="2206"/>
      <c r="L12" s="2206"/>
      <c r="M12" s="2206"/>
      <c r="N12" s="2207"/>
      <c r="O12" s="188"/>
    </row>
    <row r="13" spans="1:15" ht="21.75" customHeight="1" x14ac:dyDescent="0.2">
      <c r="A13" s="14"/>
      <c r="B13" s="190"/>
      <c r="C13" s="204" t="s">
        <v>777</v>
      </c>
      <c r="D13" s="933" t="s">
        <v>778</v>
      </c>
      <c r="E13" s="2206"/>
      <c r="F13" s="2206"/>
      <c r="G13" s="2206"/>
      <c r="H13" s="2206"/>
      <c r="I13" s="2206"/>
      <c r="J13" s="2206"/>
      <c r="K13" s="2206"/>
      <c r="L13" s="2206"/>
      <c r="M13" s="2206"/>
      <c r="N13" s="2207"/>
      <c r="O13" s="191"/>
    </row>
    <row r="14" spans="1:15" ht="21.75" customHeight="1" x14ac:dyDescent="0.2">
      <c r="A14" s="14"/>
      <c r="B14" s="185"/>
      <c r="C14" s="204" t="s">
        <v>779</v>
      </c>
      <c r="D14" s="933" t="s">
        <v>970</v>
      </c>
      <c r="E14" s="2204" t="str">
        <f>IF(ISERROR(141.5/E15*0.999105*1000-131.5),"",141.5/E15*0.999105*1000-131.5)</f>
        <v/>
      </c>
      <c r="F14" s="2204" t="str">
        <f t="shared" ref="F14:N14" si="2">IF(ISERROR(141.5/F15*0.999105*1000-131.5),"",141.5/F15*0.999105*1000-131.5)</f>
        <v/>
      </c>
      <c r="G14" s="2204" t="str">
        <f t="shared" si="2"/>
        <v/>
      </c>
      <c r="H14" s="2204" t="str">
        <f t="shared" si="2"/>
        <v/>
      </c>
      <c r="I14" s="2204" t="str">
        <f t="shared" si="2"/>
        <v/>
      </c>
      <c r="J14" s="2204" t="str">
        <f t="shared" si="2"/>
        <v/>
      </c>
      <c r="K14" s="2204" t="str">
        <f t="shared" si="2"/>
        <v/>
      </c>
      <c r="L14" s="2204" t="str">
        <f t="shared" si="2"/>
        <v/>
      </c>
      <c r="M14" s="2204" t="str">
        <f t="shared" si="2"/>
        <v/>
      </c>
      <c r="N14" s="2205" t="str">
        <f t="shared" si="2"/>
        <v/>
      </c>
      <c r="O14" s="186"/>
    </row>
    <row r="15" spans="1:15" ht="21.75" customHeight="1" x14ac:dyDescent="0.2">
      <c r="A15" s="14"/>
      <c r="B15" s="192"/>
      <c r="C15" s="204" t="s">
        <v>580</v>
      </c>
      <c r="D15" s="933" t="s">
        <v>581</v>
      </c>
      <c r="E15" s="2206"/>
      <c r="F15" s="2206"/>
      <c r="G15" s="2206"/>
      <c r="H15" s="2206"/>
      <c r="I15" s="2206"/>
      <c r="J15" s="2206"/>
      <c r="K15" s="2206"/>
      <c r="L15" s="2206"/>
      <c r="M15" s="2206"/>
      <c r="N15" s="2207"/>
      <c r="O15" s="193"/>
    </row>
    <row r="16" spans="1:15" ht="21.75" customHeight="1" x14ac:dyDescent="0.2">
      <c r="A16" s="14"/>
      <c r="B16" s="187"/>
      <c r="C16" s="204" t="s">
        <v>541</v>
      </c>
      <c r="D16" s="933" t="s">
        <v>579</v>
      </c>
      <c r="E16" s="2206"/>
      <c r="F16" s="2206"/>
      <c r="G16" s="2206"/>
      <c r="H16" s="2206"/>
      <c r="I16" s="2206"/>
      <c r="J16" s="2206"/>
      <c r="K16" s="2206"/>
      <c r="L16" s="2206"/>
      <c r="M16" s="2206"/>
      <c r="N16" s="2207"/>
      <c r="O16" s="188"/>
    </row>
    <row r="17" spans="1:15" ht="21.75" customHeight="1" x14ac:dyDescent="0.2">
      <c r="A17" s="14"/>
      <c r="B17" s="187"/>
      <c r="C17" s="204" t="s">
        <v>544</v>
      </c>
      <c r="D17" s="933" t="s">
        <v>579</v>
      </c>
      <c r="E17" s="2206"/>
      <c r="F17" s="2206"/>
      <c r="G17" s="2206"/>
      <c r="H17" s="2206"/>
      <c r="I17" s="2206"/>
      <c r="J17" s="2206"/>
      <c r="K17" s="2206"/>
      <c r="L17" s="2206"/>
      <c r="M17" s="2206"/>
      <c r="N17" s="2207"/>
      <c r="O17" s="188"/>
    </row>
    <row r="18" spans="1:15" ht="21.75" customHeight="1" x14ac:dyDescent="0.2">
      <c r="A18" s="14"/>
      <c r="B18" s="187"/>
      <c r="C18" s="206" t="s">
        <v>1514</v>
      </c>
      <c r="D18" s="933" t="s">
        <v>783</v>
      </c>
      <c r="E18" s="2206"/>
      <c r="F18" s="2206"/>
      <c r="G18" s="2206"/>
      <c r="H18" s="2206"/>
      <c r="I18" s="2206"/>
      <c r="J18" s="2206"/>
      <c r="K18" s="2206"/>
      <c r="L18" s="2206"/>
      <c r="M18" s="2206"/>
      <c r="N18" s="2207"/>
      <c r="O18" s="188"/>
    </row>
    <row r="19" spans="1:15" ht="21.75" customHeight="1" x14ac:dyDescent="0.2">
      <c r="A19" s="14"/>
      <c r="B19" s="187"/>
      <c r="C19" s="213" t="s">
        <v>1056</v>
      </c>
      <c r="D19" s="301" t="s">
        <v>782</v>
      </c>
      <c r="E19" s="2206"/>
      <c r="F19" s="2206"/>
      <c r="G19" s="2206"/>
      <c r="H19" s="2206"/>
      <c r="I19" s="2206"/>
      <c r="J19" s="2206"/>
      <c r="K19" s="2206"/>
      <c r="L19" s="2206"/>
      <c r="M19" s="2206"/>
      <c r="N19" s="2207"/>
      <c r="O19" s="188"/>
    </row>
    <row r="20" spans="1:15" ht="21.75" customHeight="1" x14ac:dyDescent="0.2">
      <c r="A20" s="14"/>
      <c r="B20" s="187"/>
      <c r="C20" s="212"/>
      <c r="D20" s="207"/>
      <c r="E20" s="690"/>
      <c r="F20" s="690"/>
      <c r="G20" s="690"/>
      <c r="H20" s="690"/>
      <c r="I20" s="690"/>
      <c r="J20" s="690"/>
      <c r="K20" s="690"/>
      <c r="L20" s="690"/>
      <c r="M20" s="690"/>
      <c r="N20" s="691"/>
      <c r="O20" s="188"/>
    </row>
    <row r="21" spans="1:15" ht="21.75" customHeight="1" x14ac:dyDescent="0.2">
      <c r="A21" s="14"/>
      <c r="B21" s="187"/>
      <c r="C21" s="16"/>
      <c r="D21" s="16"/>
      <c r="E21" s="16"/>
      <c r="F21" s="16"/>
      <c r="G21" s="16"/>
      <c r="H21" s="16"/>
      <c r="I21" s="16"/>
      <c r="J21" s="16"/>
      <c r="K21" s="16"/>
      <c r="L21" s="16"/>
      <c r="M21" s="16"/>
      <c r="N21" s="16"/>
      <c r="O21" s="188"/>
    </row>
    <row r="22" spans="1:15" ht="21.75" customHeight="1" x14ac:dyDescent="0.2">
      <c r="A22" s="14"/>
      <c r="B22" s="187"/>
      <c r="C22" s="2283" t="s">
        <v>1742</v>
      </c>
      <c r="D22" s="2284"/>
      <c r="E22" s="2284"/>
      <c r="F22" s="2284"/>
      <c r="G22" s="2284"/>
      <c r="H22" s="2284"/>
      <c r="I22" s="2284"/>
      <c r="J22" s="2284"/>
      <c r="K22" s="2284"/>
      <c r="L22" s="2284"/>
      <c r="M22" s="2284"/>
      <c r="N22" s="2284"/>
      <c r="O22" s="188"/>
    </row>
    <row r="23" spans="1:15" ht="21.75" customHeight="1" x14ac:dyDescent="0.2">
      <c r="A23" s="14"/>
      <c r="B23" s="187"/>
      <c r="C23" s="2283"/>
      <c r="D23" s="2284"/>
      <c r="E23" s="2284"/>
      <c r="F23" s="2284"/>
      <c r="G23" s="2284"/>
      <c r="H23" s="2284"/>
      <c r="I23" s="2284"/>
      <c r="J23" s="2284"/>
      <c r="K23" s="2284"/>
      <c r="L23" s="2284"/>
      <c r="M23" s="2284"/>
      <c r="N23" s="2284"/>
      <c r="O23" s="188"/>
    </row>
    <row r="24" spans="1:15" ht="21.75" customHeight="1" x14ac:dyDescent="0.2">
      <c r="A24" s="14"/>
      <c r="B24" s="187"/>
      <c r="C24" s="286"/>
      <c r="D24" s="286"/>
      <c r="E24" s="286"/>
      <c r="F24" s="286"/>
      <c r="G24" s="286"/>
      <c r="H24" s="286"/>
      <c r="I24" s="16"/>
      <c r="J24" s="16"/>
      <c r="K24" s="16"/>
      <c r="L24" s="16"/>
      <c r="M24" s="16"/>
      <c r="N24" s="16"/>
      <c r="O24" s="188"/>
    </row>
    <row r="25" spans="1:15" ht="21.75" customHeight="1" x14ac:dyDescent="0.2">
      <c r="A25" s="14"/>
      <c r="B25" s="187"/>
      <c r="C25" s="2334" t="s">
        <v>1347</v>
      </c>
      <c r="D25" s="2334"/>
      <c r="E25" s="208"/>
      <c r="F25" s="16"/>
      <c r="G25" s="16"/>
      <c r="H25" s="16"/>
      <c r="I25" s="16"/>
      <c r="J25" s="16"/>
      <c r="K25" s="16"/>
      <c r="L25" s="16"/>
      <c r="M25" s="16"/>
      <c r="N25" s="16"/>
      <c r="O25" s="188"/>
    </row>
    <row r="26" spans="1:15" ht="21.75" customHeight="1" x14ac:dyDescent="0.2">
      <c r="A26" s="14"/>
      <c r="B26" s="187"/>
      <c r="C26" s="2334"/>
      <c r="D26" s="2334"/>
      <c r="E26" s="220"/>
      <c r="F26" s="221"/>
      <c r="G26" s="221"/>
      <c r="H26" s="221"/>
      <c r="I26" s="221"/>
      <c r="J26" s="221"/>
      <c r="K26" s="221"/>
      <c r="L26" s="221"/>
      <c r="M26" s="221"/>
      <c r="N26" s="222"/>
      <c r="O26" s="188"/>
    </row>
    <row r="27" spans="1:15" ht="21.75" customHeight="1" x14ac:dyDescent="0.2">
      <c r="A27" s="14"/>
      <c r="B27" s="187"/>
      <c r="C27" s="217"/>
      <c r="D27" s="16"/>
      <c r="E27" s="16"/>
      <c r="F27" s="16"/>
      <c r="G27" s="16"/>
      <c r="H27" s="16"/>
      <c r="I27" s="16"/>
      <c r="J27" s="16"/>
      <c r="K27" s="16"/>
      <c r="L27" s="16"/>
      <c r="M27" s="16"/>
      <c r="N27" s="218"/>
      <c r="O27" s="188"/>
    </row>
    <row r="28" spans="1:15" ht="21.75" customHeight="1" x14ac:dyDescent="0.2">
      <c r="A28" s="14"/>
      <c r="B28" s="187"/>
      <c r="C28" s="242" t="s">
        <v>1188</v>
      </c>
      <c r="D28" s="227" t="s">
        <v>1412</v>
      </c>
      <c r="E28" s="209" t="s">
        <v>1272</v>
      </c>
      <c r="F28" s="229"/>
      <c r="G28" s="2283" t="s">
        <v>1542</v>
      </c>
      <c r="H28" s="2284"/>
      <c r="I28" s="2284"/>
      <c r="J28" s="2284"/>
      <c r="K28" s="16"/>
      <c r="L28" s="16"/>
      <c r="M28" s="16"/>
      <c r="N28" s="218"/>
      <c r="O28" s="188"/>
    </row>
    <row r="29" spans="1:15" ht="21.75" customHeight="1" x14ac:dyDescent="0.25">
      <c r="A29" s="14"/>
      <c r="B29" s="187"/>
      <c r="C29" s="219">
        <v>1</v>
      </c>
      <c r="D29" s="228"/>
      <c r="E29" s="141"/>
      <c r="F29" s="210"/>
      <c r="G29" s="2283"/>
      <c r="H29" s="2284"/>
      <c r="I29" s="2284"/>
      <c r="J29" s="2284"/>
      <c r="K29" s="16"/>
      <c r="L29" s="16"/>
      <c r="M29" s="16"/>
      <c r="N29" s="218"/>
      <c r="O29" s="188"/>
    </row>
    <row r="30" spans="1:15" ht="21.75" customHeight="1" x14ac:dyDescent="0.25">
      <c r="A30" s="14"/>
      <c r="B30" s="187"/>
      <c r="C30" s="219">
        <v>2</v>
      </c>
      <c r="D30" s="228"/>
      <c r="E30" s="141"/>
      <c r="F30" s="76"/>
      <c r="G30" s="16"/>
      <c r="H30" s="16"/>
      <c r="I30" s="16"/>
      <c r="J30" s="16"/>
      <c r="K30" s="16"/>
      <c r="L30" s="16"/>
      <c r="M30" s="16"/>
      <c r="N30" s="218"/>
      <c r="O30" s="188"/>
    </row>
    <row r="31" spans="1:15" ht="21.75" customHeight="1" x14ac:dyDescent="0.25">
      <c r="A31" s="14"/>
      <c r="B31" s="187"/>
      <c r="C31" s="219">
        <v>3</v>
      </c>
      <c r="D31" s="228"/>
      <c r="E31" s="141"/>
      <c r="F31" s="76"/>
      <c r="G31" s="2283" t="s">
        <v>1543</v>
      </c>
      <c r="H31" s="2284"/>
      <c r="I31" s="2284"/>
      <c r="J31" s="2284"/>
      <c r="K31" s="16"/>
      <c r="L31" s="16"/>
      <c r="M31" s="16"/>
      <c r="N31" s="218"/>
      <c r="O31" s="188"/>
    </row>
    <row r="32" spans="1:15" ht="21.75" customHeight="1" x14ac:dyDescent="0.25">
      <c r="A32" s="14"/>
      <c r="B32" s="187"/>
      <c r="C32" s="219">
        <v>4</v>
      </c>
      <c r="D32" s="228"/>
      <c r="E32" s="141"/>
      <c r="F32" s="76"/>
      <c r="G32" s="2283"/>
      <c r="H32" s="2284"/>
      <c r="I32" s="2284"/>
      <c r="J32" s="2284"/>
      <c r="K32" s="16"/>
      <c r="L32" s="16"/>
      <c r="M32" s="16"/>
      <c r="N32" s="218"/>
      <c r="O32" s="188"/>
    </row>
    <row r="33" spans="1:15" ht="21.75" customHeight="1" x14ac:dyDescent="0.25">
      <c r="A33" s="14"/>
      <c r="B33" s="187"/>
      <c r="C33" s="219">
        <v>5</v>
      </c>
      <c r="D33" s="228"/>
      <c r="E33" s="141"/>
      <c r="F33" s="76"/>
      <c r="G33" s="16"/>
      <c r="H33" s="16"/>
      <c r="I33" s="16"/>
      <c r="J33" s="16"/>
      <c r="K33" s="16"/>
      <c r="L33" s="16"/>
      <c r="M33" s="16"/>
      <c r="N33" s="218"/>
      <c r="O33" s="188"/>
    </row>
    <row r="34" spans="1:15" ht="21.75" customHeight="1" x14ac:dyDescent="0.25">
      <c r="A34" s="14"/>
      <c r="B34" s="187"/>
      <c r="C34" s="219">
        <v>6</v>
      </c>
      <c r="D34" s="228"/>
      <c r="E34" s="141"/>
      <c r="F34" s="76"/>
      <c r="G34" s="16"/>
      <c r="H34" s="16"/>
      <c r="I34" s="16"/>
      <c r="J34" s="16"/>
      <c r="K34" s="16"/>
      <c r="L34" s="16"/>
      <c r="M34" s="16"/>
      <c r="N34" s="218"/>
      <c r="O34" s="188"/>
    </row>
    <row r="35" spans="1:15" ht="21.75" customHeight="1" x14ac:dyDescent="0.25">
      <c r="A35" s="14"/>
      <c r="B35" s="187"/>
      <c r="C35" s="219">
        <v>7</v>
      </c>
      <c r="D35" s="228"/>
      <c r="E35" s="141"/>
      <c r="F35" s="76"/>
      <c r="G35" s="16"/>
      <c r="H35" s="16"/>
      <c r="I35" s="16"/>
      <c r="J35" s="16"/>
      <c r="K35" s="16"/>
      <c r="L35" s="16"/>
      <c r="M35" s="16"/>
      <c r="N35" s="218"/>
      <c r="O35" s="188"/>
    </row>
    <row r="36" spans="1:15" ht="21.75" customHeight="1" x14ac:dyDescent="0.25">
      <c r="A36" s="14"/>
      <c r="B36" s="187"/>
      <c r="C36" s="219">
        <v>8</v>
      </c>
      <c r="D36" s="228"/>
      <c r="E36" s="141"/>
      <c r="F36" s="76"/>
      <c r="G36" s="16"/>
      <c r="H36" s="16"/>
      <c r="I36" s="16"/>
      <c r="J36" s="16"/>
      <c r="K36" s="16"/>
      <c r="L36" s="16"/>
      <c r="M36" s="16"/>
      <c r="N36" s="218"/>
      <c r="O36" s="188"/>
    </row>
    <row r="37" spans="1:15" ht="21.75" customHeight="1" x14ac:dyDescent="0.25">
      <c r="A37" s="14"/>
      <c r="B37" s="187"/>
      <c r="C37" s="219">
        <v>9</v>
      </c>
      <c r="D37" s="228"/>
      <c r="E37" s="141"/>
      <c r="F37" s="76"/>
      <c r="G37" s="16"/>
      <c r="H37" s="16"/>
      <c r="I37" s="16"/>
      <c r="J37" s="16"/>
      <c r="K37" s="16"/>
      <c r="L37" s="16"/>
      <c r="M37" s="16"/>
      <c r="N37" s="218"/>
      <c r="O37" s="188"/>
    </row>
    <row r="38" spans="1:15" ht="21.75" customHeight="1" x14ac:dyDescent="0.25">
      <c r="A38" s="14"/>
      <c r="B38" s="187"/>
      <c r="C38" s="219">
        <v>10</v>
      </c>
      <c r="D38" s="228"/>
      <c r="E38" s="142"/>
      <c r="F38" s="76"/>
      <c r="G38" s="16"/>
      <c r="H38" s="16"/>
      <c r="I38" s="16"/>
      <c r="J38" s="16"/>
      <c r="K38" s="16"/>
      <c r="L38" s="16"/>
      <c r="M38" s="16"/>
      <c r="N38" s="218"/>
      <c r="O38" s="188"/>
    </row>
    <row r="39" spans="1:15" ht="21.75" customHeight="1" x14ac:dyDescent="0.2">
      <c r="A39" s="14"/>
      <c r="B39" s="187"/>
      <c r="C39" s="238"/>
      <c r="D39" s="223" t="s">
        <v>598</v>
      </c>
      <c r="E39" s="224">
        <f>SUM(E29:E38)</f>
        <v>0</v>
      </c>
      <c r="F39" s="210"/>
      <c r="G39" s="16"/>
      <c r="H39" s="16"/>
      <c r="I39" s="16"/>
      <c r="J39" s="16"/>
      <c r="K39" s="16"/>
      <c r="L39" s="16"/>
      <c r="M39" s="16"/>
      <c r="N39" s="218"/>
      <c r="O39" s="188"/>
    </row>
    <row r="40" spans="1:15" ht="21.75" customHeight="1" x14ac:dyDescent="0.2">
      <c r="A40" s="14"/>
      <c r="B40" s="187"/>
      <c r="C40" s="211"/>
      <c r="D40" s="23"/>
      <c r="E40" s="235"/>
      <c r="F40" s="210"/>
      <c r="G40" s="2283" t="s">
        <v>1534</v>
      </c>
      <c r="H40" s="2284"/>
      <c r="I40" s="2284"/>
      <c r="J40" s="2284"/>
      <c r="K40" s="16"/>
      <c r="L40" s="16"/>
      <c r="M40" s="16"/>
      <c r="N40" s="218"/>
      <c r="O40" s="188"/>
    </row>
    <row r="41" spans="1:15" ht="21.75" customHeight="1" x14ac:dyDescent="0.2">
      <c r="A41" s="14"/>
      <c r="B41" s="187"/>
      <c r="C41" s="211"/>
      <c r="D41" s="23"/>
      <c r="E41" s="235"/>
      <c r="F41" s="210"/>
      <c r="G41" s="2283"/>
      <c r="H41" s="2284"/>
      <c r="I41" s="2284"/>
      <c r="J41" s="2284"/>
      <c r="K41" s="16"/>
      <c r="L41" s="16"/>
      <c r="M41" s="16"/>
      <c r="N41" s="218"/>
      <c r="O41" s="188"/>
    </row>
    <row r="42" spans="1:15" ht="21.75" customHeight="1" x14ac:dyDescent="0.2">
      <c r="A42" s="14"/>
      <c r="B42" s="187"/>
      <c r="C42" s="211"/>
      <c r="D42" s="23"/>
      <c r="E42" s="235"/>
      <c r="F42" s="210"/>
      <c r="G42" s="2283"/>
      <c r="H42" s="2284"/>
      <c r="I42" s="2284"/>
      <c r="J42" s="2284"/>
      <c r="K42" s="16"/>
      <c r="L42" s="16"/>
      <c r="M42" s="16"/>
      <c r="N42" s="218"/>
      <c r="O42" s="188"/>
    </row>
    <row r="43" spans="1:15" ht="21.75" customHeight="1" x14ac:dyDescent="0.2">
      <c r="A43" s="14"/>
      <c r="B43" s="187"/>
      <c r="C43" s="211"/>
      <c r="D43" s="23"/>
      <c r="E43" s="235"/>
      <c r="F43" s="210"/>
      <c r="G43" s="241"/>
      <c r="H43" s="241"/>
      <c r="I43" s="241"/>
      <c r="J43" s="241"/>
      <c r="K43" s="16"/>
      <c r="L43" s="16"/>
      <c r="M43" s="16"/>
      <c r="N43" s="218"/>
      <c r="O43" s="188"/>
    </row>
    <row r="44" spans="1:15" ht="21.75" customHeight="1" x14ac:dyDescent="0.2">
      <c r="A44" s="14"/>
      <c r="B44" s="187"/>
      <c r="C44" s="211"/>
      <c r="D44" s="44"/>
      <c r="E44" s="174" t="str">
        <f>'Assay Inventory'!E1736</f>
        <v>Cutoff Temp [°C]</v>
      </c>
      <c r="F44" s="237">
        <f>'Assay Inventory'!F1736</f>
        <v>80</v>
      </c>
      <c r="G44" s="237">
        <f>'Assay Inventory'!G1736</f>
        <v>180</v>
      </c>
      <c r="H44" s="237">
        <f>'Assay Inventory'!H1736</f>
        <v>290</v>
      </c>
      <c r="I44" s="237">
        <f>'Assay Inventory'!I1736</f>
        <v>340</v>
      </c>
      <c r="J44" s="237">
        <f>'Assay Inventory'!J1736</f>
        <v>400</v>
      </c>
      <c r="K44" s="237">
        <f>'Assay Inventory'!K1736</f>
        <v>450</v>
      </c>
      <c r="L44" s="237">
        <f>'Assay Inventory'!L1736</f>
        <v>525</v>
      </c>
      <c r="M44" s="237">
        <f>'Assay Inventory'!M1736</f>
        <v>525</v>
      </c>
      <c r="N44" s="239">
        <f>'Assay Inventory'!N1736</f>
        <v>400</v>
      </c>
      <c r="O44" s="188"/>
    </row>
    <row r="45" spans="1:15" ht="21.75" customHeight="1" x14ac:dyDescent="0.2">
      <c r="A45" s="29"/>
      <c r="B45" s="187"/>
      <c r="C45" s="205" t="s">
        <v>568</v>
      </c>
      <c r="D45" s="48" t="s">
        <v>623</v>
      </c>
      <c r="E45" s="236" t="str">
        <f>'Assay Inventory'!E1737</f>
        <v>Full Crude</v>
      </c>
      <c r="F45" s="236" t="str">
        <f>'Assay Inventory'!F1737</f>
        <v>LSR</v>
      </c>
      <c r="G45" s="236" t="str">
        <f>'Assay Inventory'!G1737</f>
        <v>Naphtha</v>
      </c>
      <c r="H45" s="236" t="str">
        <f>'Assay Inventory'!H1737</f>
        <v>Kerosene</v>
      </c>
      <c r="I45" s="236" t="str">
        <f>'Assay Inventory'!I1737</f>
        <v>Diesel</v>
      </c>
      <c r="J45" s="236" t="str">
        <f>'Assay Inventory'!J1737</f>
        <v>AGO</v>
      </c>
      <c r="K45" s="236" t="str">
        <f>'Assay Inventory'!K1737</f>
        <v>LVGO</v>
      </c>
      <c r="L45" s="236" t="str">
        <f>'Assay Inventory'!L1737</f>
        <v>HVGO</v>
      </c>
      <c r="M45" s="236" t="str">
        <f>'Assay Inventory'!M1737</f>
        <v>VR</v>
      </c>
      <c r="N45" s="240" t="str">
        <f>'Assay Inventory'!N1737</f>
        <v>AR</v>
      </c>
      <c r="O45" s="188"/>
    </row>
    <row r="46" spans="1:15" ht="21.75" customHeight="1" x14ac:dyDescent="0.2">
      <c r="A46" s="14"/>
      <c r="B46" s="187"/>
      <c r="C46" s="204" t="s">
        <v>582</v>
      </c>
      <c r="D46" s="933" t="s">
        <v>566</v>
      </c>
      <c r="E46" s="934">
        <f>'Assay Inventory'!E1738</f>
        <v>0</v>
      </c>
      <c r="F46" s="934">
        <f>'Assay Inventory'!F1738</f>
        <v>0</v>
      </c>
      <c r="G46" s="934">
        <f>'Assay Inventory'!G1738</f>
        <v>0</v>
      </c>
      <c r="H46" s="934">
        <f>'Assay Inventory'!H1738</f>
        <v>0</v>
      </c>
      <c r="I46" s="934">
        <f>'Assay Inventory'!I1738</f>
        <v>0</v>
      </c>
      <c r="J46" s="934">
        <f>'Assay Inventory'!J1738</f>
        <v>0</v>
      </c>
      <c r="K46" s="934">
        <f>'Assay Inventory'!K1738</f>
        <v>0</v>
      </c>
      <c r="L46" s="934">
        <f>'Assay Inventory'!L1738</f>
        <v>0</v>
      </c>
      <c r="M46" s="934">
        <f>'Assay Inventory'!M1738</f>
        <v>0</v>
      </c>
      <c r="N46" s="689">
        <f>'Assay Inventory'!N1738</f>
        <v>0</v>
      </c>
      <c r="O46" s="188"/>
    </row>
    <row r="47" spans="1:15" ht="21.75" customHeight="1" x14ac:dyDescent="0.2">
      <c r="A47" s="14"/>
      <c r="B47" s="187"/>
      <c r="C47" s="230" t="s">
        <v>582</v>
      </c>
      <c r="D47" s="933" t="s">
        <v>628</v>
      </c>
      <c r="E47" s="934">
        <f>'Assay Inventory'!E1739</f>
        <v>0</v>
      </c>
      <c r="F47" s="934">
        <f>'Assay Inventory'!F1739</f>
        <v>0</v>
      </c>
      <c r="G47" s="934">
        <f>'Assay Inventory'!G1739</f>
        <v>0</v>
      </c>
      <c r="H47" s="934">
        <f>'Assay Inventory'!H1739</f>
        <v>0</v>
      </c>
      <c r="I47" s="934">
        <f>'Assay Inventory'!I1739</f>
        <v>0</v>
      </c>
      <c r="J47" s="934">
        <f>'Assay Inventory'!J1739</f>
        <v>0</v>
      </c>
      <c r="K47" s="934">
        <f>'Assay Inventory'!K1739</f>
        <v>0</v>
      </c>
      <c r="L47" s="934">
        <f>'Assay Inventory'!L1739</f>
        <v>0</v>
      </c>
      <c r="M47" s="934">
        <f>'Assay Inventory'!M1739</f>
        <v>0</v>
      </c>
      <c r="N47" s="689">
        <f>'Assay Inventory'!N1739</f>
        <v>0</v>
      </c>
      <c r="O47" s="188"/>
    </row>
    <row r="48" spans="1:15" ht="21.75" customHeight="1" x14ac:dyDescent="0.2">
      <c r="A48" s="14"/>
      <c r="B48" s="187"/>
      <c r="C48" s="204" t="s">
        <v>620</v>
      </c>
      <c r="D48" s="933" t="s">
        <v>622</v>
      </c>
      <c r="E48" s="934">
        <f>'Assay Inventory'!E1740</f>
        <v>0</v>
      </c>
      <c r="F48" s="934">
        <f>'Assay Inventory'!F1740</f>
        <v>0</v>
      </c>
      <c r="G48" s="934">
        <f>'Assay Inventory'!G1740</f>
        <v>0</v>
      </c>
      <c r="H48" s="934">
        <f>'Assay Inventory'!H1740</f>
        <v>0</v>
      </c>
      <c r="I48" s="934">
        <f>'Assay Inventory'!I1740</f>
        <v>0</v>
      </c>
      <c r="J48" s="934">
        <f>'Assay Inventory'!J1740</f>
        <v>0</v>
      </c>
      <c r="K48" s="934">
        <f>'Assay Inventory'!K1740</f>
        <v>0</v>
      </c>
      <c r="L48" s="934">
        <f>'Assay Inventory'!L1740</f>
        <v>0</v>
      </c>
      <c r="M48" s="934">
        <f>'Assay Inventory'!M1740</f>
        <v>0</v>
      </c>
      <c r="N48" s="689">
        <f>'Assay Inventory'!N1740</f>
        <v>0</v>
      </c>
      <c r="O48" s="188"/>
    </row>
    <row r="49" spans="1:15" ht="21.75" customHeight="1" x14ac:dyDescent="0.2">
      <c r="A49" s="14"/>
      <c r="B49" s="189"/>
      <c r="C49" s="204" t="s">
        <v>776</v>
      </c>
      <c r="D49" s="933" t="s">
        <v>579</v>
      </c>
      <c r="E49" s="934">
        <f>'Assay Inventory'!E1741</f>
        <v>0</v>
      </c>
      <c r="F49" s="934">
        <f>'Assay Inventory'!F1741</f>
        <v>0</v>
      </c>
      <c r="G49" s="934">
        <f>'Assay Inventory'!G1741</f>
        <v>0</v>
      </c>
      <c r="H49" s="934">
        <f>'Assay Inventory'!H1741</f>
        <v>0</v>
      </c>
      <c r="I49" s="934">
        <f>'Assay Inventory'!I1741</f>
        <v>0</v>
      </c>
      <c r="J49" s="934">
        <f>'Assay Inventory'!J1741</f>
        <v>0</v>
      </c>
      <c r="K49" s="934">
        <f>'Assay Inventory'!K1741</f>
        <v>0</v>
      </c>
      <c r="L49" s="934">
        <f>'Assay Inventory'!L1741</f>
        <v>0</v>
      </c>
      <c r="M49" s="934">
        <f>'Assay Inventory'!M1741</f>
        <v>0</v>
      </c>
      <c r="N49" s="689">
        <f>'Assay Inventory'!N1741</f>
        <v>0</v>
      </c>
      <c r="O49" s="188"/>
    </row>
    <row r="50" spans="1:15" ht="21.75" customHeight="1" x14ac:dyDescent="0.2">
      <c r="A50" s="14"/>
      <c r="B50" s="190"/>
      <c r="C50" s="204" t="s">
        <v>777</v>
      </c>
      <c r="D50" s="933" t="s">
        <v>778</v>
      </c>
      <c r="E50" s="934">
        <f>'Assay Inventory'!E1742</f>
        <v>0</v>
      </c>
      <c r="F50" s="934">
        <f>'Assay Inventory'!F1742</f>
        <v>0</v>
      </c>
      <c r="G50" s="934">
        <f>'Assay Inventory'!G1742</f>
        <v>0</v>
      </c>
      <c r="H50" s="934">
        <f>'Assay Inventory'!H1742</f>
        <v>0</v>
      </c>
      <c r="I50" s="934">
        <f>'Assay Inventory'!I1742</f>
        <v>0</v>
      </c>
      <c r="J50" s="934">
        <f>'Assay Inventory'!J1742</f>
        <v>0</v>
      </c>
      <c r="K50" s="934">
        <f>'Assay Inventory'!K1742</f>
        <v>0</v>
      </c>
      <c r="L50" s="934">
        <f>'Assay Inventory'!L1742</f>
        <v>0</v>
      </c>
      <c r="M50" s="934">
        <f>'Assay Inventory'!M1742</f>
        <v>0</v>
      </c>
      <c r="N50" s="689">
        <f>'Assay Inventory'!N1742</f>
        <v>0</v>
      </c>
      <c r="O50" s="191"/>
    </row>
    <row r="51" spans="1:15" ht="21.75" customHeight="1" x14ac:dyDescent="0.2">
      <c r="A51" s="14"/>
      <c r="B51" s="185"/>
      <c r="C51" s="204" t="s">
        <v>779</v>
      </c>
      <c r="D51" s="933" t="s">
        <v>970</v>
      </c>
      <c r="E51" s="934">
        <f>'Assay Inventory'!E1743</f>
        <v>0</v>
      </c>
      <c r="F51" s="934">
        <f>'Assay Inventory'!F1743</f>
        <v>0</v>
      </c>
      <c r="G51" s="934">
        <f>'Assay Inventory'!G1743</f>
        <v>0</v>
      </c>
      <c r="H51" s="934">
        <f>'Assay Inventory'!H1743</f>
        <v>0</v>
      </c>
      <c r="I51" s="934">
        <f>'Assay Inventory'!I1743</f>
        <v>0</v>
      </c>
      <c r="J51" s="934">
        <f>'Assay Inventory'!J1743</f>
        <v>0</v>
      </c>
      <c r="K51" s="934">
        <f>'Assay Inventory'!K1743</f>
        <v>0</v>
      </c>
      <c r="L51" s="934">
        <f>'Assay Inventory'!L1743</f>
        <v>0</v>
      </c>
      <c r="M51" s="934">
        <f>'Assay Inventory'!M1743</f>
        <v>0</v>
      </c>
      <c r="N51" s="689">
        <f>'Assay Inventory'!N1743</f>
        <v>0</v>
      </c>
      <c r="O51" s="186"/>
    </row>
    <row r="52" spans="1:15" ht="21.75" customHeight="1" x14ac:dyDescent="0.2">
      <c r="A52" s="14"/>
      <c r="B52" s="192"/>
      <c r="C52" s="204" t="s">
        <v>580</v>
      </c>
      <c r="D52" s="933" t="s">
        <v>581</v>
      </c>
      <c r="E52" s="934">
        <f>'Assay Inventory'!E1744</f>
        <v>0</v>
      </c>
      <c r="F52" s="934">
        <f>'Assay Inventory'!F1744</f>
        <v>0</v>
      </c>
      <c r="G52" s="934">
        <f>'Assay Inventory'!G1744</f>
        <v>0</v>
      </c>
      <c r="H52" s="934">
        <f>'Assay Inventory'!H1744</f>
        <v>0</v>
      </c>
      <c r="I52" s="934">
        <f>'Assay Inventory'!I1744</f>
        <v>0</v>
      </c>
      <c r="J52" s="934">
        <f>'Assay Inventory'!J1744</f>
        <v>0</v>
      </c>
      <c r="K52" s="934">
        <f>'Assay Inventory'!K1744</f>
        <v>0</v>
      </c>
      <c r="L52" s="934">
        <f>'Assay Inventory'!L1744</f>
        <v>0</v>
      </c>
      <c r="M52" s="934">
        <f>'Assay Inventory'!M1744</f>
        <v>0</v>
      </c>
      <c r="N52" s="689">
        <f>'Assay Inventory'!N1744</f>
        <v>0</v>
      </c>
      <c r="O52" s="193"/>
    </row>
    <row r="53" spans="1:15" ht="21.75" customHeight="1" x14ac:dyDescent="0.2">
      <c r="A53" s="14"/>
      <c r="B53" s="187"/>
      <c r="C53" s="204" t="s">
        <v>541</v>
      </c>
      <c r="D53" s="933" t="s">
        <v>579</v>
      </c>
      <c r="E53" s="934">
        <f>'Assay Inventory'!E1745</f>
        <v>0</v>
      </c>
      <c r="F53" s="934">
        <f>'Assay Inventory'!F1745</f>
        <v>0</v>
      </c>
      <c r="G53" s="934">
        <f>'Assay Inventory'!G1745</f>
        <v>0</v>
      </c>
      <c r="H53" s="934">
        <f>'Assay Inventory'!H1745</f>
        <v>0</v>
      </c>
      <c r="I53" s="934">
        <f>'Assay Inventory'!I1745</f>
        <v>0</v>
      </c>
      <c r="J53" s="934">
        <f>'Assay Inventory'!J1745</f>
        <v>0</v>
      </c>
      <c r="K53" s="934">
        <f>'Assay Inventory'!K1745</f>
        <v>0</v>
      </c>
      <c r="L53" s="934">
        <f>'Assay Inventory'!L1745</f>
        <v>0</v>
      </c>
      <c r="M53" s="934">
        <f>'Assay Inventory'!M1745</f>
        <v>0</v>
      </c>
      <c r="N53" s="689">
        <f>'Assay Inventory'!N1745</f>
        <v>0</v>
      </c>
      <c r="O53" s="188"/>
    </row>
    <row r="54" spans="1:15" ht="21.75" customHeight="1" x14ac:dyDescent="0.2">
      <c r="A54" s="14"/>
      <c r="B54" s="187"/>
      <c r="C54" s="204" t="s">
        <v>544</v>
      </c>
      <c r="D54" s="933" t="s">
        <v>579</v>
      </c>
      <c r="E54" s="934">
        <f>'Assay Inventory'!E1746</f>
        <v>0</v>
      </c>
      <c r="F54" s="934">
        <f>'Assay Inventory'!F1746</f>
        <v>0</v>
      </c>
      <c r="G54" s="934">
        <f>'Assay Inventory'!G1746</f>
        <v>0</v>
      </c>
      <c r="H54" s="934">
        <f>'Assay Inventory'!H1746</f>
        <v>0</v>
      </c>
      <c r="I54" s="934">
        <f>'Assay Inventory'!I1746</f>
        <v>0</v>
      </c>
      <c r="J54" s="934">
        <f>'Assay Inventory'!J1746</f>
        <v>0</v>
      </c>
      <c r="K54" s="934">
        <f>'Assay Inventory'!K1746</f>
        <v>0</v>
      </c>
      <c r="L54" s="934">
        <f>'Assay Inventory'!L1746</f>
        <v>0</v>
      </c>
      <c r="M54" s="934">
        <f>'Assay Inventory'!M1746</f>
        <v>0</v>
      </c>
      <c r="N54" s="689">
        <f>'Assay Inventory'!N1746</f>
        <v>0</v>
      </c>
      <c r="O54" s="188"/>
    </row>
    <row r="55" spans="1:15" ht="21.75" customHeight="1" x14ac:dyDescent="0.2">
      <c r="A55" s="14"/>
      <c r="B55" s="187"/>
      <c r="C55" s="206" t="s">
        <v>780</v>
      </c>
      <c r="D55" s="933" t="s">
        <v>783</v>
      </c>
      <c r="E55" s="934">
        <f>'Assay Inventory'!E1747</f>
        <v>0</v>
      </c>
      <c r="F55" s="934">
        <f>'Assay Inventory'!F1747</f>
        <v>0</v>
      </c>
      <c r="G55" s="934">
        <f>'Assay Inventory'!G1747</f>
        <v>0</v>
      </c>
      <c r="H55" s="934">
        <f>'Assay Inventory'!H1747</f>
        <v>0</v>
      </c>
      <c r="I55" s="934">
        <f>'Assay Inventory'!I1747</f>
        <v>0</v>
      </c>
      <c r="J55" s="934">
        <f>'Assay Inventory'!J1747</f>
        <v>0</v>
      </c>
      <c r="K55" s="934">
        <f>'Assay Inventory'!K1747</f>
        <v>0</v>
      </c>
      <c r="L55" s="934">
        <f>'Assay Inventory'!L1747</f>
        <v>0</v>
      </c>
      <c r="M55" s="934">
        <f>'Assay Inventory'!M1747</f>
        <v>0</v>
      </c>
      <c r="N55" s="689">
        <f>'Assay Inventory'!N1747</f>
        <v>0</v>
      </c>
      <c r="O55" s="188"/>
    </row>
    <row r="56" spans="1:15" ht="21.75" customHeight="1" x14ac:dyDescent="0.2">
      <c r="A56" s="14"/>
      <c r="B56" s="187"/>
      <c r="C56" s="318" t="s">
        <v>781</v>
      </c>
      <c r="D56" s="319" t="s">
        <v>782</v>
      </c>
      <c r="E56" s="934">
        <f>'Assay Inventory'!E1748</f>
        <v>0</v>
      </c>
      <c r="F56" s="934">
        <f>'Assay Inventory'!F1748</f>
        <v>0</v>
      </c>
      <c r="G56" s="934">
        <f>'Assay Inventory'!G1748</f>
        <v>0</v>
      </c>
      <c r="H56" s="934">
        <f>'Assay Inventory'!H1748</f>
        <v>0</v>
      </c>
      <c r="I56" s="934">
        <f>'Assay Inventory'!I1748</f>
        <v>0</v>
      </c>
      <c r="J56" s="934">
        <f>'Assay Inventory'!J1748</f>
        <v>0</v>
      </c>
      <c r="K56" s="934">
        <f>'Assay Inventory'!K1748</f>
        <v>0</v>
      </c>
      <c r="L56" s="934">
        <f>'Assay Inventory'!L1748</f>
        <v>0</v>
      </c>
      <c r="M56" s="934">
        <f>'Assay Inventory'!M1748</f>
        <v>0</v>
      </c>
      <c r="N56" s="689">
        <f>'Assay Inventory'!N1748</f>
        <v>0</v>
      </c>
      <c r="O56" s="188"/>
    </row>
    <row r="57" spans="1:15" ht="21.75" customHeight="1" x14ac:dyDescent="0.2">
      <c r="A57" s="14"/>
      <c r="B57" s="187"/>
      <c r="C57" s="199"/>
      <c r="D57" s="200"/>
      <c r="E57" s="200"/>
      <c r="F57" s="200"/>
      <c r="G57" s="200"/>
      <c r="H57" s="200"/>
      <c r="I57" s="200"/>
      <c r="J57" s="200"/>
      <c r="K57" s="200"/>
      <c r="L57" s="200"/>
      <c r="M57" s="200"/>
      <c r="N57" s="201"/>
      <c r="O57" s="188"/>
    </row>
    <row r="58" spans="1:15" ht="21.75" customHeight="1" x14ac:dyDescent="0.2">
      <c r="A58" s="14"/>
      <c r="B58" s="187"/>
      <c r="C58" s="16"/>
      <c r="D58" s="16"/>
      <c r="E58" s="16"/>
      <c r="F58" s="16"/>
      <c r="G58" s="16"/>
      <c r="H58" s="16"/>
      <c r="I58" s="16"/>
      <c r="J58" s="16"/>
      <c r="K58" s="16"/>
      <c r="L58" s="16"/>
      <c r="M58" s="16"/>
      <c r="N58" s="16"/>
      <c r="O58" s="188"/>
    </row>
    <row r="59" spans="1:15" ht="21.75" customHeight="1" x14ac:dyDescent="0.2">
      <c r="A59" s="14"/>
      <c r="B59" s="187"/>
      <c r="C59" s="16"/>
      <c r="D59" s="16"/>
      <c r="E59" s="16"/>
      <c r="F59" s="16"/>
      <c r="G59" s="16"/>
      <c r="H59" s="16"/>
      <c r="I59" s="16"/>
      <c r="J59" s="16"/>
      <c r="K59" s="16"/>
      <c r="L59" s="16"/>
      <c r="M59" s="16"/>
      <c r="N59" s="16"/>
      <c r="O59" s="188"/>
    </row>
    <row r="60" spans="1:15" ht="21.75" customHeight="1" x14ac:dyDescent="0.2">
      <c r="A60" s="14"/>
      <c r="B60" s="2325" t="s">
        <v>1916</v>
      </c>
      <c r="C60" s="2326"/>
      <c r="D60" s="2326"/>
      <c r="E60" s="2326"/>
      <c r="F60" s="2326"/>
      <c r="G60" s="16"/>
      <c r="H60" s="16"/>
      <c r="I60" s="16"/>
      <c r="J60" s="16"/>
      <c r="K60" s="16"/>
      <c r="L60" s="16"/>
      <c r="M60" s="16"/>
      <c r="N60" s="16"/>
      <c r="O60" s="188"/>
    </row>
    <row r="61" spans="1:15" ht="21.75" customHeight="1" x14ac:dyDescent="0.2">
      <c r="A61" s="14"/>
      <c r="B61" s="2325"/>
      <c r="C61" s="2326"/>
      <c r="D61" s="2326"/>
      <c r="E61" s="2326"/>
      <c r="F61" s="2326"/>
      <c r="G61" s="42"/>
      <c r="H61" s="42"/>
      <c r="I61" s="42"/>
      <c r="J61" s="42"/>
      <c r="K61" s="42"/>
      <c r="L61" s="42"/>
      <c r="M61" s="42"/>
      <c r="N61" s="42"/>
      <c r="O61" s="188"/>
    </row>
    <row r="62" spans="1:15" ht="29.25" customHeight="1" x14ac:dyDescent="0.2">
      <c r="A62" s="67"/>
      <c r="B62" s="194"/>
      <c r="C62" s="42"/>
      <c r="D62" s="42"/>
      <c r="E62" s="42"/>
      <c r="F62" s="42"/>
      <c r="G62" s="42"/>
      <c r="H62" s="42"/>
      <c r="I62" s="42"/>
      <c r="J62" s="42"/>
      <c r="K62" s="42"/>
      <c r="L62" s="42"/>
      <c r="M62" s="42"/>
      <c r="N62" s="42"/>
      <c r="O62" s="195"/>
    </row>
    <row r="63" spans="1:15" ht="51" customHeight="1" x14ac:dyDescent="0.2">
      <c r="A63" s="67"/>
      <c r="B63" s="194"/>
      <c r="C63" s="42"/>
      <c r="D63" s="42"/>
      <c r="E63" s="42"/>
      <c r="F63" s="42"/>
      <c r="G63" s="42"/>
      <c r="H63" s="42"/>
      <c r="I63" s="42"/>
      <c r="J63" s="42"/>
      <c r="K63" s="42"/>
      <c r="L63" s="42"/>
      <c r="M63" s="42"/>
      <c r="N63" s="42"/>
      <c r="O63" s="195"/>
    </row>
    <row r="64" spans="1:15" ht="21.75" customHeight="1" x14ac:dyDescent="0.2">
      <c r="A64" s="67"/>
      <c r="B64" s="194"/>
      <c r="C64" s="234" t="s">
        <v>1181</v>
      </c>
      <c r="D64" s="70"/>
      <c r="E64" s="227"/>
      <c r="F64" s="227"/>
      <c r="G64" s="42"/>
      <c r="H64" s="42"/>
      <c r="I64" s="42"/>
      <c r="J64" s="42"/>
      <c r="K64" s="42"/>
      <c r="L64" s="42"/>
      <c r="M64" s="42"/>
      <c r="N64" s="42"/>
      <c r="O64" s="195"/>
    </row>
    <row r="65" spans="1:15" ht="18.75" customHeight="1" x14ac:dyDescent="0.2">
      <c r="A65" s="67"/>
      <c r="B65" s="194"/>
      <c r="C65" s="16"/>
      <c r="D65" s="71"/>
      <c r="E65" s="69"/>
      <c r="F65" s="69"/>
      <c r="G65" s="42"/>
      <c r="H65" s="42"/>
      <c r="I65" s="42"/>
      <c r="J65" s="42"/>
      <c r="K65" s="42"/>
      <c r="L65" s="42"/>
      <c r="M65" s="42"/>
      <c r="N65" s="42"/>
      <c r="O65" s="195"/>
    </row>
    <row r="66" spans="1:15" ht="21.75" customHeight="1" x14ac:dyDescent="0.2">
      <c r="A66" s="67"/>
      <c r="B66" s="194"/>
      <c r="C66" s="2192" t="s">
        <v>1185</v>
      </c>
      <c r="D66" s="2192"/>
      <c r="E66" s="2192"/>
      <c r="F66" s="16"/>
      <c r="G66" s="42"/>
      <c r="H66" s="42"/>
      <c r="I66" s="42"/>
      <c r="J66" s="42"/>
      <c r="K66" s="42"/>
      <c r="L66" s="42"/>
      <c r="M66" s="42"/>
      <c r="N66" s="42"/>
      <c r="O66" s="195"/>
    </row>
    <row r="67" spans="1:15" ht="21.75" customHeight="1" x14ac:dyDescent="0.2">
      <c r="A67" s="67"/>
      <c r="B67" s="194"/>
      <c r="C67" s="2192" t="s">
        <v>1182</v>
      </c>
      <c r="D67" s="2192" t="s">
        <v>1183</v>
      </c>
      <c r="E67" s="2192"/>
      <c r="F67" s="2193" t="s">
        <v>1915</v>
      </c>
      <c r="G67" s="16"/>
      <c r="H67" s="2283" t="s">
        <v>1995</v>
      </c>
      <c r="I67" s="2284"/>
      <c r="J67" s="2284"/>
      <c r="K67" s="2284"/>
      <c r="L67" s="16"/>
      <c r="M67" s="16"/>
      <c r="N67" s="42"/>
      <c r="O67" s="195"/>
    </row>
    <row r="68" spans="1:15" ht="21.75" customHeight="1" x14ac:dyDescent="0.2">
      <c r="A68" s="67"/>
      <c r="B68" s="194"/>
      <c r="C68" s="2192" t="s">
        <v>519</v>
      </c>
      <c r="D68" s="2192" t="s">
        <v>428</v>
      </c>
      <c r="E68" s="2192"/>
      <c r="F68" s="2195">
        <v>2</v>
      </c>
      <c r="G68" s="16"/>
      <c r="H68" s="2283"/>
      <c r="I68" s="2284"/>
      <c r="J68" s="2284"/>
      <c r="K68" s="2284"/>
      <c r="L68" s="16"/>
      <c r="M68" s="16"/>
      <c r="N68" s="42"/>
      <c r="O68" s="195"/>
    </row>
    <row r="69" spans="1:15" ht="21.75" customHeight="1" x14ac:dyDescent="0.2">
      <c r="A69" s="67"/>
      <c r="B69" s="194"/>
      <c r="C69" s="2192" t="s">
        <v>489</v>
      </c>
      <c r="D69" s="2192" t="s">
        <v>429</v>
      </c>
      <c r="E69" s="2192"/>
      <c r="F69" s="2195">
        <v>1</v>
      </c>
      <c r="G69" s="16"/>
      <c r="H69" s="2283"/>
      <c r="I69" s="2284"/>
      <c r="J69" s="2284"/>
      <c r="K69" s="2284"/>
      <c r="L69" s="16"/>
      <c r="M69" s="16"/>
      <c r="N69" s="42"/>
      <c r="O69" s="195"/>
    </row>
    <row r="70" spans="1:15" ht="21.75" customHeight="1" x14ac:dyDescent="0.2">
      <c r="A70" s="67"/>
      <c r="B70" s="194"/>
      <c r="C70" s="2192"/>
      <c r="D70" s="2192" t="s">
        <v>1180</v>
      </c>
      <c r="E70" s="2192"/>
      <c r="F70" s="2194">
        <f>F68/F69</f>
        <v>2</v>
      </c>
      <c r="G70" s="16"/>
      <c r="H70" s="2283"/>
      <c r="I70" s="2284"/>
      <c r="J70" s="2284"/>
      <c r="K70" s="2284"/>
      <c r="L70" s="16"/>
      <c r="M70" s="16"/>
      <c r="N70" s="42"/>
      <c r="O70" s="195"/>
    </row>
    <row r="71" spans="1:15" ht="21.75" customHeight="1" x14ac:dyDescent="0.2">
      <c r="A71" s="67"/>
      <c r="B71" s="194"/>
      <c r="C71" s="1959"/>
      <c r="D71" s="16"/>
      <c r="E71" s="16"/>
      <c r="F71" s="16"/>
      <c r="G71" s="16"/>
      <c r="H71" s="42"/>
      <c r="I71" s="16"/>
      <c r="J71" s="16"/>
      <c r="K71" s="16"/>
      <c r="L71" s="16"/>
      <c r="M71" s="16"/>
      <c r="N71" s="42"/>
      <c r="O71" s="195"/>
    </row>
    <row r="72" spans="1:15" ht="21.75" customHeight="1" x14ac:dyDescent="0.2">
      <c r="A72" s="67"/>
      <c r="B72" s="194"/>
      <c r="C72" s="1958"/>
      <c r="D72" s="16"/>
      <c r="E72" s="72" t="s">
        <v>1184</v>
      </c>
      <c r="F72" s="1960"/>
      <c r="G72" s="16"/>
      <c r="H72" s="42"/>
      <c r="I72" s="16"/>
      <c r="J72" s="16"/>
      <c r="K72" s="16"/>
      <c r="L72" s="16"/>
      <c r="M72" s="16"/>
      <c r="N72" s="42"/>
      <c r="O72" s="195"/>
    </row>
    <row r="73" spans="1:15" ht="21.75" customHeight="1" x14ac:dyDescent="0.2">
      <c r="A73" s="67"/>
      <c r="B73" s="194"/>
      <c r="C73" s="233"/>
      <c r="D73" s="233"/>
      <c r="E73" s="233"/>
      <c r="F73" s="233"/>
      <c r="G73" s="16"/>
      <c r="H73" s="68"/>
      <c r="I73" s="16"/>
      <c r="J73" s="16"/>
      <c r="K73" s="16"/>
      <c r="L73" s="16"/>
      <c r="M73" s="16"/>
      <c r="N73" s="42"/>
      <c r="O73" s="195"/>
    </row>
    <row r="74" spans="1:15" ht="21.75" customHeight="1" x14ac:dyDescent="0.2">
      <c r="A74" s="67"/>
      <c r="B74" s="194"/>
      <c r="C74" s="233"/>
      <c r="D74" s="233"/>
      <c r="E74" s="233"/>
      <c r="F74" s="233"/>
      <c r="G74" s="16"/>
      <c r="H74" s="68"/>
      <c r="I74" s="16"/>
      <c r="J74" s="16"/>
      <c r="K74" s="16"/>
      <c r="L74" s="16"/>
      <c r="M74" s="16"/>
      <c r="N74" s="42"/>
      <c r="O74" s="195"/>
    </row>
    <row r="75" spans="1:15" ht="21.75" customHeight="1" x14ac:dyDescent="0.2">
      <c r="A75" s="67"/>
      <c r="B75" s="194"/>
      <c r="C75" s="233"/>
      <c r="D75" s="233"/>
      <c r="E75" s="233"/>
      <c r="F75" s="233"/>
      <c r="G75" s="16"/>
      <c r="H75" s="68"/>
      <c r="I75" s="16"/>
      <c r="J75" s="16"/>
      <c r="K75" s="16"/>
      <c r="L75" s="16"/>
      <c r="M75" s="16"/>
      <c r="N75" s="42"/>
      <c r="O75" s="195"/>
    </row>
    <row r="76" spans="1:15" ht="21.75" customHeight="1" x14ac:dyDescent="0.2">
      <c r="A76" s="67"/>
      <c r="B76" s="194"/>
      <c r="C76" s="233"/>
      <c r="D76" s="233"/>
      <c r="E76" s="233"/>
      <c r="F76" s="233"/>
      <c r="G76" s="16"/>
      <c r="H76" s="68"/>
      <c r="I76" s="16"/>
      <c r="J76" s="16"/>
      <c r="K76" s="16"/>
      <c r="L76" s="16"/>
      <c r="M76" s="16"/>
      <c r="N76" s="42"/>
      <c r="O76" s="195"/>
    </row>
    <row r="77" spans="1:15" ht="21.75" customHeight="1" x14ac:dyDescent="0.2">
      <c r="A77" s="67"/>
      <c r="B77" s="194"/>
      <c r="C77" s="233"/>
      <c r="D77" s="233"/>
      <c r="E77" s="16"/>
      <c r="F77" s="16"/>
      <c r="G77" s="16"/>
      <c r="H77" s="68"/>
      <c r="I77" s="16"/>
      <c r="J77" s="16"/>
      <c r="K77" s="16"/>
      <c r="L77" s="16"/>
      <c r="M77" s="16"/>
      <c r="N77" s="16"/>
      <c r="O77" s="195"/>
    </row>
    <row r="78" spans="1:15" ht="21.75" customHeight="1" x14ac:dyDescent="0.2">
      <c r="A78" s="67"/>
      <c r="B78" s="194"/>
      <c r="C78" s="234" t="s">
        <v>1814</v>
      </c>
      <c r="D78" s="70"/>
      <c r="E78" s="70"/>
      <c r="F78" s="70"/>
      <c r="G78" s="16"/>
      <c r="H78" s="68"/>
      <c r="I78" s="16"/>
      <c r="J78" s="16"/>
      <c r="K78" s="16"/>
      <c r="L78" s="16"/>
      <c r="M78" s="16"/>
      <c r="N78" s="16"/>
      <c r="O78" s="195"/>
    </row>
    <row r="79" spans="1:15" ht="27" customHeight="1" x14ac:dyDescent="0.2">
      <c r="A79" s="67"/>
      <c r="B79" s="194"/>
      <c r="C79" s="233"/>
      <c r="D79" s="233"/>
      <c r="E79" s="233"/>
      <c r="F79" s="16"/>
      <c r="G79" s="16"/>
      <c r="H79" s="68"/>
      <c r="I79" s="16"/>
      <c r="J79" s="16"/>
      <c r="K79" s="16"/>
      <c r="L79" s="16"/>
      <c r="M79" s="16"/>
      <c r="N79" s="16"/>
      <c r="O79" s="195"/>
    </row>
    <row r="80" spans="1:15" ht="21.75" customHeight="1" x14ac:dyDescent="0.2">
      <c r="A80" s="67"/>
      <c r="B80" s="194"/>
      <c r="C80" s="2192" t="s">
        <v>1182</v>
      </c>
      <c r="D80" s="2192" t="s">
        <v>1815</v>
      </c>
      <c r="E80" s="16"/>
      <c r="F80" s="16"/>
      <c r="G80" s="16"/>
      <c r="H80" s="68"/>
      <c r="I80" s="16"/>
      <c r="J80" s="16"/>
      <c r="K80" s="16"/>
      <c r="L80" s="16"/>
      <c r="M80" s="16"/>
      <c r="N80" s="16"/>
      <c r="O80" s="195"/>
    </row>
    <row r="81" spans="1:15" ht="21.75" customHeight="1" x14ac:dyDescent="0.2">
      <c r="A81" s="67"/>
      <c r="B81" s="194"/>
      <c r="C81" s="2192" t="s">
        <v>519</v>
      </c>
      <c r="D81" s="2192">
        <v>0.5</v>
      </c>
      <c r="E81" s="16"/>
      <c r="F81" s="16"/>
      <c r="G81" s="16"/>
      <c r="H81" s="2283" t="s">
        <v>1996</v>
      </c>
      <c r="I81" s="2284"/>
      <c r="J81" s="2284"/>
      <c r="K81" s="2284"/>
      <c r="L81" s="16"/>
      <c r="M81" s="16"/>
      <c r="N81" s="16"/>
      <c r="O81" s="195"/>
    </row>
    <row r="82" spans="1:15" ht="21.75" customHeight="1" x14ac:dyDescent="0.2">
      <c r="A82" s="67"/>
      <c r="B82" s="194"/>
      <c r="C82" s="16"/>
      <c r="D82" s="16"/>
      <c r="E82" s="16"/>
      <c r="F82" s="16"/>
      <c r="G82" s="16"/>
      <c r="H82" s="2283"/>
      <c r="I82" s="2284"/>
      <c r="J82" s="2284"/>
      <c r="K82" s="2284"/>
      <c r="L82" s="16"/>
      <c r="M82" s="16"/>
      <c r="N82" s="16"/>
      <c r="O82" s="195"/>
    </row>
    <row r="83" spans="1:15" ht="21.75" customHeight="1" x14ac:dyDescent="0.2">
      <c r="A83" s="14"/>
      <c r="B83" s="194"/>
      <c r="C83" s="16"/>
      <c r="D83" s="16"/>
      <c r="E83" s="16"/>
      <c r="F83" s="16"/>
      <c r="G83" s="16"/>
      <c r="H83" s="2283"/>
      <c r="I83" s="2284"/>
      <c r="J83" s="2284"/>
      <c r="K83" s="2284"/>
      <c r="L83" s="16"/>
      <c r="M83" s="16"/>
      <c r="N83" s="16"/>
      <c r="O83" s="195"/>
    </row>
    <row r="84" spans="1:15" ht="21.75" customHeight="1" x14ac:dyDescent="0.2">
      <c r="A84" s="14"/>
      <c r="B84" s="194"/>
      <c r="C84" s="16"/>
      <c r="D84" s="16"/>
      <c r="E84" s="16"/>
      <c r="F84" s="16"/>
      <c r="G84" s="16"/>
      <c r="H84" s="2283"/>
      <c r="I84" s="2284"/>
      <c r="J84" s="2284"/>
      <c r="K84" s="2284"/>
      <c r="L84" s="16"/>
      <c r="M84" s="16"/>
      <c r="N84" s="16"/>
      <c r="O84" s="195"/>
    </row>
    <row r="85" spans="1:15" ht="21.75" customHeight="1" x14ac:dyDescent="0.2">
      <c r="A85" s="14"/>
      <c r="B85" s="194"/>
      <c r="C85" s="234" t="s">
        <v>1179</v>
      </c>
      <c r="D85" s="70"/>
      <c r="E85" s="70"/>
      <c r="F85" s="70"/>
      <c r="G85" s="16"/>
      <c r="H85" s="2283"/>
      <c r="I85" s="2284"/>
      <c r="J85" s="2284"/>
      <c r="K85" s="2284"/>
      <c r="L85" s="16"/>
      <c r="M85" s="16"/>
      <c r="N85" s="42"/>
      <c r="O85" s="195"/>
    </row>
    <row r="86" spans="1:15" ht="21.75" customHeight="1" x14ac:dyDescent="0.2">
      <c r="A86" s="14"/>
      <c r="B86" s="194"/>
      <c r="C86" s="248"/>
      <c r="D86" s="248"/>
      <c r="E86" s="248"/>
      <c r="F86" s="232"/>
      <c r="G86" s="16"/>
      <c r="H86" s="2283"/>
      <c r="I86" s="2284"/>
      <c r="J86" s="2284"/>
      <c r="K86" s="2284"/>
      <c r="L86" s="16"/>
      <c r="M86" s="16"/>
      <c r="N86" s="42"/>
      <c r="O86" s="195"/>
    </row>
    <row r="87" spans="1:15" ht="21.75" customHeight="1" x14ac:dyDescent="0.2">
      <c r="A87" s="14"/>
      <c r="B87" s="194"/>
      <c r="C87" s="248" t="s">
        <v>1182</v>
      </c>
      <c r="D87" s="248" t="s">
        <v>1183</v>
      </c>
      <c r="E87" s="248"/>
      <c r="F87" s="2196" t="s">
        <v>261</v>
      </c>
      <c r="G87" s="16"/>
      <c r="H87" s="16"/>
      <c r="I87" s="16"/>
      <c r="J87" s="16"/>
      <c r="K87" s="16"/>
      <c r="L87" s="16"/>
      <c r="M87" s="16"/>
      <c r="N87" s="42"/>
      <c r="O87" s="195"/>
    </row>
    <row r="88" spans="1:15" ht="21.75" customHeight="1" x14ac:dyDescent="0.2">
      <c r="A88" s="14"/>
      <c r="B88" s="194"/>
      <c r="C88" s="248" t="s">
        <v>519</v>
      </c>
      <c r="D88" s="248" t="s">
        <v>428</v>
      </c>
      <c r="E88" s="248"/>
      <c r="F88" s="2197"/>
      <c r="G88" s="16"/>
      <c r="H88" s="16"/>
      <c r="I88" s="16"/>
      <c r="J88" s="16"/>
      <c r="K88" s="16"/>
      <c r="L88" s="16"/>
      <c r="M88" s="16"/>
      <c r="N88" s="42"/>
      <c r="O88" s="195"/>
    </row>
    <row r="89" spans="1:15" ht="21.75" customHeight="1" x14ac:dyDescent="0.2">
      <c r="A89" s="14"/>
      <c r="B89" s="194"/>
      <c r="C89" s="248" t="s">
        <v>521</v>
      </c>
      <c r="D89" s="248" t="s">
        <v>362</v>
      </c>
      <c r="E89" s="248"/>
      <c r="F89" s="2197"/>
      <c r="G89" s="16"/>
      <c r="H89" s="16"/>
      <c r="I89" s="16"/>
      <c r="J89" s="16"/>
      <c r="K89" s="16"/>
      <c r="L89" s="16"/>
      <c r="M89" s="16"/>
      <c r="N89" s="42"/>
      <c r="O89" s="195"/>
    </row>
    <row r="90" spans="1:15" ht="21.75" customHeight="1" x14ac:dyDescent="0.2">
      <c r="A90" s="14"/>
      <c r="B90" s="194"/>
      <c r="C90" s="248" t="s">
        <v>489</v>
      </c>
      <c r="D90" s="248" t="s">
        <v>429</v>
      </c>
      <c r="E90" s="248"/>
      <c r="F90" s="2197"/>
      <c r="G90" s="16"/>
      <c r="H90" s="16"/>
      <c r="I90" s="16"/>
      <c r="J90" s="16"/>
      <c r="K90" s="16"/>
      <c r="L90" s="16"/>
      <c r="M90" s="16"/>
      <c r="N90" s="16"/>
      <c r="O90" s="195"/>
    </row>
    <row r="91" spans="1:15" ht="21.75" customHeight="1" x14ac:dyDescent="0.2">
      <c r="A91" s="14"/>
      <c r="B91" s="194"/>
      <c r="C91" s="248" t="s">
        <v>520</v>
      </c>
      <c r="D91" s="248" t="s">
        <v>574</v>
      </c>
      <c r="E91" s="248"/>
      <c r="F91" s="2197"/>
      <c r="G91" s="16"/>
      <c r="H91" s="16"/>
      <c r="I91" s="16"/>
      <c r="J91" s="16"/>
      <c r="K91" s="16"/>
      <c r="L91" s="16"/>
      <c r="M91" s="16"/>
      <c r="N91" s="16"/>
      <c r="O91" s="195"/>
    </row>
    <row r="92" spans="1:15" ht="21.75" customHeight="1" x14ac:dyDescent="0.2">
      <c r="A92" s="14"/>
      <c r="B92" s="194"/>
      <c r="C92" s="248" t="s">
        <v>353</v>
      </c>
      <c r="D92" s="248" t="s">
        <v>27</v>
      </c>
      <c r="E92" s="248"/>
      <c r="F92" s="2197"/>
      <c r="G92" s="16"/>
      <c r="H92" s="16"/>
      <c r="I92" s="16"/>
      <c r="J92" s="16"/>
      <c r="K92" s="16"/>
      <c r="L92" s="16"/>
      <c r="M92" s="16"/>
      <c r="N92" s="16"/>
      <c r="O92" s="195"/>
    </row>
    <row r="93" spans="1:15" ht="21.75" customHeight="1" x14ac:dyDescent="0.2">
      <c r="A93" s="14"/>
      <c r="B93" s="194"/>
      <c r="C93" s="248" t="s">
        <v>1939</v>
      </c>
      <c r="D93" s="248" t="s">
        <v>1940</v>
      </c>
      <c r="E93" s="248"/>
      <c r="F93" s="2197"/>
      <c r="G93" s="16"/>
      <c r="H93" s="16"/>
      <c r="I93" s="16"/>
      <c r="J93" s="16"/>
      <c r="K93" s="16"/>
      <c r="L93" s="16"/>
      <c r="M93" s="16"/>
      <c r="N93" s="16"/>
      <c r="O93" s="195"/>
    </row>
    <row r="94" spans="1:15" ht="21.75" customHeight="1" x14ac:dyDescent="0.2">
      <c r="A94" s="14"/>
      <c r="B94" s="194"/>
      <c r="C94" s="248" t="s">
        <v>1485</v>
      </c>
      <c r="D94" s="248" t="s">
        <v>28</v>
      </c>
      <c r="E94" s="248"/>
      <c r="F94" s="2197"/>
      <c r="G94" s="16"/>
      <c r="H94" s="2283" t="s">
        <v>1743</v>
      </c>
      <c r="I94" s="2284"/>
      <c r="J94" s="2284"/>
      <c r="K94" s="2284"/>
      <c r="L94" s="2284"/>
      <c r="M94" s="16"/>
      <c r="N94" s="16"/>
      <c r="O94" s="195"/>
    </row>
    <row r="95" spans="1:15" ht="21.75" customHeight="1" x14ac:dyDescent="0.2">
      <c r="A95" s="14"/>
      <c r="B95" s="194"/>
      <c r="C95" s="248"/>
      <c r="D95" s="248" t="s">
        <v>598</v>
      </c>
      <c r="E95" s="248"/>
      <c r="F95" s="2198">
        <f>SUM(F88:F94)</f>
        <v>0</v>
      </c>
      <c r="G95" s="16"/>
      <c r="H95" s="2283"/>
      <c r="I95" s="2284"/>
      <c r="J95" s="2284"/>
      <c r="K95" s="2284"/>
      <c r="L95" s="2284"/>
      <c r="M95" s="16"/>
      <c r="N95" s="16"/>
      <c r="O95" s="195"/>
    </row>
    <row r="96" spans="1:15" ht="21.75" customHeight="1" x14ac:dyDescent="0.2">
      <c r="A96" s="14"/>
      <c r="B96" s="194"/>
      <c r="C96" s="16"/>
      <c r="D96" s="16"/>
      <c r="E96" s="16"/>
      <c r="F96" s="42"/>
      <c r="G96" s="16"/>
      <c r="H96" s="14"/>
      <c r="I96" s="14"/>
      <c r="J96" s="14"/>
      <c r="K96" s="14"/>
      <c r="L96" s="14"/>
      <c r="M96" s="16"/>
      <c r="N96" s="16"/>
      <c r="O96" s="195"/>
    </row>
    <row r="97" spans="1:15" ht="21.75" customHeight="1" x14ac:dyDescent="0.2">
      <c r="A97" s="14"/>
      <c r="B97" s="194"/>
      <c r="C97" s="16"/>
      <c r="D97" s="16"/>
      <c r="E97" s="16"/>
      <c r="F97" s="42"/>
      <c r="G97" s="16"/>
      <c r="H97" s="2283" t="s">
        <v>1659</v>
      </c>
      <c r="I97" s="2284"/>
      <c r="J97" s="2284"/>
      <c r="K97" s="2284"/>
      <c r="L97" s="2284"/>
      <c r="M97" s="16"/>
      <c r="N97" s="16"/>
      <c r="O97" s="195"/>
    </row>
    <row r="98" spans="1:15" ht="21.75" customHeight="1" x14ac:dyDescent="0.2">
      <c r="A98" s="14"/>
      <c r="B98" s="194"/>
      <c r="C98" s="16"/>
      <c r="D98" s="16"/>
      <c r="E98" s="16"/>
      <c r="F98" s="42"/>
      <c r="G98" s="16"/>
      <c r="H98" s="2283"/>
      <c r="I98" s="2284"/>
      <c r="J98" s="2284"/>
      <c r="K98" s="2284"/>
      <c r="L98" s="2284"/>
      <c r="M98" s="16"/>
      <c r="N98" s="16"/>
      <c r="O98" s="195"/>
    </row>
    <row r="99" spans="1:15" ht="21.75" customHeight="1" x14ac:dyDescent="0.2">
      <c r="A99" s="14"/>
      <c r="B99" s="194"/>
      <c r="C99" s="16"/>
      <c r="D99" s="16"/>
      <c r="E99" s="16"/>
      <c r="F99" s="42"/>
      <c r="G99" s="16"/>
      <c r="H99" s="2283"/>
      <c r="I99" s="2284"/>
      <c r="J99" s="2284"/>
      <c r="K99" s="2284"/>
      <c r="L99" s="2284"/>
      <c r="M99" s="16"/>
      <c r="N99" s="16"/>
      <c r="O99" s="195"/>
    </row>
    <row r="100" spans="1:15" ht="21.75" customHeight="1" x14ac:dyDescent="0.2">
      <c r="A100" s="14"/>
      <c r="B100" s="194"/>
      <c r="C100" s="16"/>
      <c r="D100" s="16"/>
      <c r="E100" s="16"/>
      <c r="F100" s="42"/>
      <c r="G100" s="16"/>
      <c r="H100" s="16"/>
      <c r="I100" s="16"/>
      <c r="J100" s="16"/>
      <c r="K100" s="16"/>
      <c r="L100" s="16"/>
      <c r="M100" s="16"/>
      <c r="N100" s="16"/>
      <c r="O100" s="195"/>
    </row>
    <row r="101" spans="1:15" ht="21.75" customHeight="1" x14ac:dyDescent="0.2">
      <c r="A101" s="14"/>
      <c r="B101" s="187"/>
      <c r="C101" s="234" t="s">
        <v>1178</v>
      </c>
      <c r="D101" s="70"/>
      <c r="E101" s="70"/>
      <c r="F101" s="16"/>
      <c r="G101" s="16"/>
      <c r="H101" s="2283" t="s">
        <v>1743</v>
      </c>
      <c r="I101" s="2284"/>
      <c r="J101" s="2284"/>
      <c r="K101" s="2284"/>
      <c r="L101" s="2284"/>
      <c r="M101" s="16"/>
      <c r="N101" s="16"/>
      <c r="O101" s="188"/>
    </row>
    <row r="102" spans="1:15" ht="21.75" customHeight="1" x14ac:dyDescent="0.2">
      <c r="A102" s="14"/>
      <c r="B102" s="187"/>
      <c r="C102" s="40"/>
      <c r="D102" s="40"/>
      <c r="E102" s="40"/>
      <c r="F102" s="16"/>
      <c r="G102" s="16"/>
      <c r="H102" s="2283"/>
      <c r="I102" s="2284"/>
      <c r="J102" s="2284"/>
      <c r="K102" s="2284"/>
      <c r="L102" s="2284"/>
      <c r="M102" s="16"/>
      <c r="N102" s="16"/>
      <c r="O102" s="188"/>
    </row>
    <row r="103" spans="1:15" ht="21.75" customHeight="1" x14ac:dyDescent="0.2">
      <c r="A103" s="14"/>
      <c r="B103" s="187"/>
      <c r="C103" s="247"/>
      <c r="D103" s="248" t="s">
        <v>683</v>
      </c>
      <c r="E103" s="249">
        <v>1</v>
      </c>
      <c r="F103" s="16"/>
      <c r="G103" s="16"/>
      <c r="H103" s="14"/>
      <c r="I103" s="14"/>
      <c r="J103" s="14"/>
      <c r="K103" s="14"/>
      <c r="L103" s="14"/>
      <c r="M103" s="16"/>
      <c r="N103" s="16"/>
      <c r="O103" s="188"/>
    </row>
    <row r="104" spans="1:15" ht="21.75" customHeight="1" x14ac:dyDescent="0.2">
      <c r="A104" s="14"/>
      <c r="B104" s="187"/>
      <c r="C104" s="247"/>
      <c r="D104" s="248" t="s">
        <v>1142</v>
      </c>
      <c r="E104" s="249">
        <v>1</v>
      </c>
      <c r="F104" s="16"/>
      <c r="G104" s="16"/>
      <c r="H104" s="2283" t="s">
        <v>1659</v>
      </c>
      <c r="I104" s="2284"/>
      <c r="J104" s="2284"/>
      <c r="K104" s="2284"/>
      <c r="L104" s="2284"/>
      <c r="M104" s="16"/>
      <c r="N104" s="16"/>
      <c r="O104" s="188"/>
    </row>
    <row r="105" spans="1:15" ht="21.75" customHeight="1" x14ac:dyDescent="0.2">
      <c r="A105" s="14"/>
      <c r="B105" s="187"/>
      <c r="C105" s="247"/>
      <c r="D105" s="248" t="s">
        <v>1141</v>
      </c>
      <c r="E105" s="250">
        <v>2</v>
      </c>
      <c r="F105" s="16"/>
      <c r="G105" s="16"/>
      <c r="H105" s="2283"/>
      <c r="I105" s="2284"/>
      <c r="J105" s="2284"/>
      <c r="K105" s="2284"/>
      <c r="L105" s="2284"/>
      <c r="M105" s="16"/>
      <c r="N105" s="16"/>
      <c r="O105" s="188"/>
    </row>
    <row r="106" spans="1:15" ht="21.75" customHeight="1" x14ac:dyDescent="0.2">
      <c r="A106" s="14"/>
      <c r="B106" s="187"/>
      <c r="C106" s="184"/>
      <c r="D106" s="184"/>
      <c r="E106" s="184"/>
      <c r="F106" s="184"/>
      <c r="G106" s="184"/>
      <c r="H106" s="2283"/>
      <c r="I106" s="2284"/>
      <c r="J106" s="2284"/>
      <c r="K106" s="2284"/>
      <c r="L106" s="2284"/>
      <c r="M106" s="184"/>
      <c r="N106" s="184"/>
      <c r="O106" s="188"/>
    </row>
    <row r="107" spans="1:15" ht="21.75" customHeight="1" thickBot="1" x14ac:dyDescent="0.25">
      <c r="B107" s="1523"/>
      <c r="C107" s="197"/>
      <c r="D107" s="197"/>
      <c r="E107" s="197"/>
      <c r="F107" s="1524"/>
      <c r="G107" s="197"/>
      <c r="H107" s="197"/>
      <c r="I107" s="197"/>
      <c r="J107" s="197"/>
      <c r="K107" s="197"/>
      <c r="L107" s="197"/>
      <c r="M107" s="197"/>
      <c r="N107" s="197"/>
      <c r="O107" s="1525"/>
    </row>
    <row r="109" spans="1:15" ht="21.75" customHeight="1" x14ac:dyDescent="0.2">
      <c r="C109" s="1951"/>
    </row>
    <row r="110" spans="1:15" ht="21.75" customHeight="1" x14ac:dyDescent="0.2">
      <c r="C110" s="1949"/>
      <c r="E110" s="1949"/>
    </row>
    <row r="111" spans="1:15" ht="21.75" customHeight="1" x14ac:dyDescent="0.2">
      <c r="C111" s="1949"/>
      <c r="E111" s="2077"/>
    </row>
    <row r="115" spans="3:6" ht="21.75" customHeight="1" x14ac:dyDescent="0.2">
      <c r="D115" s="1949"/>
      <c r="F115" s="1949"/>
    </row>
    <row r="118" spans="3:6" ht="21.75" customHeight="1" x14ac:dyDescent="0.2">
      <c r="C118" s="1949"/>
      <c r="E118" s="1949"/>
    </row>
    <row r="119" spans="3:6" ht="21.75" customHeight="1" x14ac:dyDescent="0.2">
      <c r="C119" s="1949"/>
      <c r="E119" s="2077"/>
    </row>
    <row r="123" spans="3:6" ht="21.75" customHeight="1" x14ac:dyDescent="0.2">
      <c r="D123" s="1949"/>
      <c r="F123" s="1949"/>
    </row>
    <row r="137" spans="5:5" ht="21.75" customHeight="1" x14ac:dyDescent="0.2">
      <c r="E137">
        <v>0</v>
      </c>
    </row>
  </sheetData>
  <mergeCells count="14">
    <mergeCell ref="H94:L95"/>
    <mergeCell ref="H97:L99"/>
    <mergeCell ref="H81:K86"/>
    <mergeCell ref="H101:L102"/>
    <mergeCell ref="H104:L106"/>
    <mergeCell ref="H67:K70"/>
    <mergeCell ref="B60:F61"/>
    <mergeCell ref="G40:J42"/>
    <mergeCell ref="B2:O3"/>
    <mergeCell ref="G28:J29"/>
    <mergeCell ref="G31:J32"/>
    <mergeCell ref="C5:D6"/>
    <mergeCell ref="C25:D26"/>
    <mergeCell ref="C22:N23"/>
  </mergeCells>
  <pageMargins left="0.7" right="0.7" top="0.75" bottom="0.75" header="0.3" footer="0.3"/>
  <pageSetup scale="47" fitToHeight="0"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3292180" r:id="rId3" name="Drop Down 20">
              <controlPr defaultSize="0" autoLine="0" autoPict="0">
                <anchor moveWithCells="1">
                  <from>
                    <xdr:col>5</xdr:col>
                    <xdr:colOff>0</xdr:colOff>
                    <xdr:row>71</xdr:row>
                    <xdr:rowOff>9525</xdr:rowOff>
                  </from>
                  <to>
                    <xdr:col>6</xdr:col>
                    <xdr:colOff>0</xdr:colOff>
                    <xdr:row>71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0000000}">
          <x14:formula1>
            <xm:f>'Assay Inventory'!$R$15:$R$128</xm:f>
          </x14:formula1>
          <xm:sqref>D30:D38</xm:sqref>
        </x14:dataValidation>
        <x14:dataValidation type="list" allowBlank="1" showInputMessage="1" showErrorMessage="1" xr:uid="{00000000-0002-0000-0400-000003000000}">
          <x14:formula1>
            <xm:f>'Assay Inventory'!$R$15:$R$129</xm:f>
          </x14:formula1>
          <xm:sqref>D29</xm:sqref>
        </x14:dataValidation>
      </x14:dataValidations>
    </ex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tabColor rgb="FFFF0000"/>
  </sheetPr>
  <dimension ref="A1:I234"/>
  <sheetViews>
    <sheetView zoomScale="55" zoomScaleNormal="55" zoomScalePageLayoutView="70" workbookViewId="0">
      <selection sqref="A1:D1048576"/>
    </sheetView>
  </sheetViews>
  <sheetFormatPr defaultColWidth="9.140625" defaultRowHeight="18" customHeight="1" x14ac:dyDescent="0.2"/>
  <cols>
    <col min="1" max="1" width="4.42578125" customWidth="1"/>
    <col min="2" max="2" width="33.140625" customWidth="1"/>
    <col min="3" max="3" width="24.42578125" customWidth="1"/>
    <col min="4" max="4" width="37.140625" bestFit="1" customWidth="1"/>
    <col min="5" max="5" width="10.85546875" customWidth="1"/>
    <col min="6" max="7" width="10.42578125" customWidth="1"/>
    <col min="12" max="12" width="4.42578125" customWidth="1"/>
    <col min="14" max="14" width="15" bestFit="1" customWidth="1"/>
  </cols>
  <sheetData>
    <row r="1" spans="1:9" ht="18" customHeight="1" x14ac:dyDescent="0.2">
      <c r="A1" s="210"/>
      <c r="B1" s="120"/>
      <c r="C1" s="145"/>
      <c r="D1" s="145"/>
      <c r="E1" s="210"/>
      <c r="F1" s="210"/>
      <c r="G1" s="210"/>
      <c r="H1" s="210"/>
      <c r="I1" s="210"/>
    </row>
    <row r="2" spans="1:9" ht="18" customHeight="1" x14ac:dyDescent="0.2">
      <c r="A2" s="210"/>
      <c r="B2" s="120"/>
      <c r="C2" s="145"/>
      <c r="D2" s="738"/>
      <c r="E2" s="738"/>
      <c r="F2" s="738"/>
      <c r="G2" s="210"/>
      <c r="H2" s="210"/>
      <c r="I2" s="210"/>
    </row>
    <row r="3" spans="1:9" ht="18" customHeight="1" thickBot="1" x14ac:dyDescent="0.25">
      <c r="A3" s="210"/>
      <c r="B3" s="739"/>
      <c r="C3" s="740"/>
      <c r="D3" s="738"/>
      <c r="E3" s="210"/>
      <c r="F3" s="210"/>
      <c r="G3" s="210"/>
      <c r="H3" s="210"/>
      <c r="I3" s="210"/>
    </row>
    <row r="4" spans="1:9" ht="18" customHeight="1" x14ac:dyDescent="0.2">
      <c r="A4" s="210"/>
      <c r="B4" s="2362" t="str">
        <f ca="1">"Results for: "&amp;'Assay Inventory'!C9</f>
        <v>Results for: Bonny Light_Chevron</v>
      </c>
      <c r="C4" s="2363"/>
      <c r="D4" s="2364"/>
      <c r="E4" s="210"/>
      <c r="F4" s="210"/>
      <c r="G4" s="210"/>
      <c r="H4" s="210"/>
      <c r="I4" s="210"/>
    </row>
    <row r="5" spans="1:9" ht="18" customHeight="1" x14ac:dyDescent="0.2">
      <c r="A5" s="210"/>
      <c r="B5" s="2365"/>
      <c r="C5" s="2366"/>
      <c r="D5" s="2367"/>
      <c r="E5" s="210"/>
      <c r="F5" s="210"/>
      <c r="G5" s="210"/>
      <c r="H5" s="210"/>
      <c r="I5" s="210"/>
    </row>
    <row r="6" spans="1:9" ht="18" customHeight="1" x14ac:dyDescent="0.2">
      <c r="A6" s="210"/>
      <c r="B6" s="761"/>
      <c r="C6" s="740"/>
      <c r="D6" s="762"/>
      <c r="E6" s="210"/>
      <c r="F6" s="210"/>
      <c r="G6" s="210"/>
      <c r="H6" s="210"/>
      <c r="I6" s="210"/>
    </row>
    <row r="7" spans="1:9" ht="18" customHeight="1" x14ac:dyDescent="0.2">
      <c r="A7" s="210"/>
      <c r="B7" s="2359" t="s">
        <v>1555</v>
      </c>
      <c r="C7" s="2360"/>
      <c r="D7" s="2361"/>
      <c r="E7" s="741"/>
      <c r="F7" s="210"/>
      <c r="G7" s="210"/>
      <c r="H7" s="210"/>
      <c r="I7" s="210"/>
    </row>
    <row r="8" spans="1:9" ht="18" customHeight="1" x14ac:dyDescent="0.2">
      <c r="A8" s="210"/>
      <c r="B8" s="2335" t="s">
        <v>1495</v>
      </c>
      <c r="C8" s="2336" t="str">
        <f ca="1">IF(CokingRefineryConfig=0,CokingRefineryPFD!C11, IF(CokingRefineryConfig=1,CokingRefineryPFD!C12,IF(CokingRefineryConfig=2,CokingRefineryPFD!C13,IF(CokingRefineryConfig=3,CokingRefineryPFD!C14,IF(CokingRefineryConfig=4,CokingRefineryPFD!C15, IF(CokingRefineryConfig=5,CokingRefineryPFD!C16, IF(CokingRefineryConfig=6,CokingRefineryPFD!C17,"Undefined")))))))</f>
        <v>Hydroskimming Configuration (0)</v>
      </c>
      <c r="D8" s="2337" t="str">
        <f>IF(reformerFeedstockActive=1,CokingRefineryPFD!$C$28,CokingRefineryPFD!$C$29)</f>
        <v>SR Naphtha</v>
      </c>
      <c r="E8" s="210"/>
      <c r="F8" s="210"/>
      <c r="G8" s="210"/>
      <c r="H8" s="210"/>
      <c r="I8" s="210"/>
    </row>
    <row r="9" spans="1:9" ht="18" customHeight="1" x14ac:dyDescent="0.2">
      <c r="A9" s="210"/>
      <c r="B9" s="2335"/>
      <c r="C9" s="2336"/>
      <c r="D9" s="2337"/>
      <c r="E9" s="210"/>
      <c r="F9" s="210"/>
      <c r="G9" s="210"/>
      <c r="H9" s="210"/>
      <c r="I9" s="210"/>
    </row>
    <row r="10" spans="1:9" ht="18" customHeight="1" x14ac:dyDescent="0.2">
      <c r="A10" s="210"/>
      <c r="B10" s="2338" t="s">
        <v>1344</v>
      </c>
      <c r="C10" s="2339"/>
      <c r="D10" s="2340"/>
      <c r="E10" s="210"/>
      <c r="F10" s="210"/>
      <c r="G10" s="210"/>
      <c r="H10" s="210"/>
      <c r="I10" s="210"/>
    </row>
    <row r="11" spans="1:9" ht="18" customHeight="1" x14ac:dyDescent="0.2">
      <c r="A11" s="210"/>
      <c r="B11" s="2353" t="s">
        <v>1344</v>
      </c>
      <c r="C11" s="2354" t="s">
        <v>633</v>
      </c>
      <c r="D11" s="2355" t="s">
        <v>1657</v>
      </c>
      <c r="E11" s="210"/>
      <c r="F11" s="210"/>
      <c r="G11" s="210"/>
      <c r="H11" s="210"/>
      <c r="I11" s="210"/>
    </row>
    <row r="12" spans="1:9" ht="18" customHeight="1" x14ac:dyDescent="0.2">
      <c r="A12" s="210"/>
      <c r="B12" s="2353"/>
      <c r="C12" s="2354"/>
      <c r="D12" s="2355"/>
      <c r="E12" s="210"/>
      <c r="F12" s="210"/>
      <c r="G12" s="210"/>
      <c r="H12" s="210"/>
      <c r="I12" s="210"/>
    </row>
    <row r="13" spans="1:9" ht="18" customHeight="1" x14ac:dyDescent="0.2">
      <c r="A13" s="210"/>
      <c r="B13" s="763" t="s">
        <v>519</v>
      </c>
      <c r="C13" s="742">
        <f t="shared" ref="C13:C19" ca="1" si="0">D13/SUM($D$13:$D$18)</f>
        <v>0.23017925348143686</v>
      </c>
      <c r="D13" s="764">
        <f ca="1">CokingRefineryPFD!DD28</f>
        <v>24206.28733301266</v>
      </c>
      <c r="E13" s="743"/>
      <c r="F13" s="145"/>
      <c r="G13" s="210"/>
      <c r="H13" s="210"/>
      <c r="I13" s="210"/>
    </row>
    <row r="14" spans="1:9" ht="18" customHeight="1" x14ac:dyDescent="0.2">
      <c r="A14" s="210"/>
      <c r="B14" s="763" t="s">
        <v>521</v>
      </c>
      <c r="C14" s="742">
        <f t="shared" ca="1" si="0"/>
        <v>0.26742641868499945</v>
      </c>
      <c r="D14" s="764">
        <f ca="1">CokingRefineryPFD!DD63</f>
        <v>28123.302309909086</v>
      </c>
      <c r="E14" s="743"/>
      <c r="F14" s="145"/>
      <c r="G14" s="210"/>
      <c r="H14" s="210"/>
      <c r="I14" s="210"/>
    </row>
    <row r="15" spans="1:9" ht="18" customHeight="1" x14ac:dyDescent="0.2">
      <c r="A15" s="210"/>
      <c r="B15" s="763" t="s">
        <v>489</v>
      </c>
      <c r="C15" s="742">
        <f t="shared" ca="1" si="0"/>
        <v>0.12754139362827702</v>
      </c>
      <c r="D15" s="764">
        <f ca="1">CokingRefineryPFD!DD83</f>
        <v>13412.605933522691</v>
      </c>
      <c r="E15" s="743"/>
      <c r="F15" s="145"/>
      <c r="G15" s="210"/>
      <c r="H15" s="210"/>
      <c r="I15" s="210"/>
    </row>
    <row r="16" spans="1:9" ht="18" customHeight="1" x14ac:dyDescent="0.2">
      <c r="A16" s="210"/>
      <c r="B16" s="763" t="s">
        <v>520</v>
      </c>
      <c r="C16" s="742">
        <f t="shared" ca="1" si="0"/>
        <v>0.10633533012441607</v>
      </c>
      <c r="D16" s="764">
        <f ca="1">CokingRefineryPFD!DD151</f>
        <v>11182.517606218385</v>
      </c>
      <c r="E16" s="743"/>
      <c r="F16" s="145"/>
      <c r="G16" s="210"/>
      <c r="H16" s="210"/>
      <c r="I16" s="210"/>
    </row>
    <row r="17" spans="1:9" ht="18" customHeight="1" x14ac:dyDescent="0.2">
      <c r="A17" s="210"/>
      <c r="B17" s="763" t="s">
        <v>654</v>
      </c>
      <c r="C17" s="742">
        <f t="shared" ca="1" si="0"/>
        <v>9.0776382249555177E-23</v>
      </c>
      <c r="D17" s="764">
        <f ca="1">CokingRefineryPFD!DD312</f>
        <v>9.5462955872403676E-18</v>
      </c>
      <c r="E17" s="743"/>
      <c r="F17" s="145"/>
      <c r="G17" s="210"/>
      <c r="H17" s="210"/>
      <c r="I17" s="210"/>
    </row>
    <row r="18" spans="1:9" ht="18" customHeight="1" x14ac:dyDescent="0.2">
      <c r="A18" s="210"/>
      <c r="B18" s="763" t="s">
        <v>1939</v>
      </c>
      <c r="C18" s="742">
        <f t="shared" ca="1" si="0"/>
        <v>0.2685176040808705</v>
      </c>
      <c r="D18" s="764">
        <f ca="1">CokingRefineryPFD!DD294</f>
        <v>28238.054386069471</v>
      </c>
      <c r="E18" s="743"/>
      <c r="F18" s="145"/>
      <c r="G18" s="210"/>
      <c r="H18" s="210"/>
      <c r="I18" s="210"/>
    </row>
    <row r="19" spans="1:9" ht="18" customHeight="1" x14ac:dyDescent="0.2">
      <c r="A19" s="210"/>
      <c r="B19" s="763" t="s">
        <v>1485</v>
      </c>
      <c r="C19" s="742">
        <f t="shared" ca="1" si="0"/>
        <v>0</v>
      </c>
      <c r="D19" s="764">
        <f>CokingRefineryPFD!EF100</f>
        <v>0</v>
      </c>
      <c r="E19" s="743"/>
      <c r="F19" s="145"/>
      <c r="G19" s="210"/>
      <c r="H19" s="210"/>
      <c r="I19" s="210"/>
    </row>
    <row r="20" spans="1:9" ht="18" customHeight="1" x14ac:dyDescent="0.2">
      <c r="A20" s="210"/>
      <c r="B20" s="763"/>
      <c r="C20" s="742"/>
      <c r="D20" s="764"/>
      <c r="E20" s="210"/>
      <c r="F20" s="210"/>
      <c r="G20" s="210"/>
      <c r="H20" s="210"/>
      <c r="I20" s="210"/>
    </row>
    <row r="21" spans="1:9" ht="18" customHeight="1" x14ac:dyDescent="0.2">
      <c r="A21" s="210"/>
      <c r="B21" s="935" t="s">
        <v>1344</v>
      </c>
      <c r="C21" s="744" t="s">
        <v>633</v>
      </c>
      <c r="D21" s="765" t="s">
        <v>522</v>
      </c>
      <c r="E21" s="210"/>
      <c r="F21" s="210"/>
      <c r="G21" s="210"/>
      <c r="H21" s="210"/>
      <c r="I21" s="210"/>
    </row>
    <row r="22" spans="1:9" ht="18" customHeight="1" x14ac:dyDescent="0.2">
      <c r="A22" s="210"/>
      <c r="B22" s="763" t="s">
        <v>519</v>
      </c>
      <c r="C22" s="742">
        <f ca="1">D22/SUM($D$22:$D$32)</f>
        <v>0.20756293205608498</v>
      </c>
      <c r="D22" s="764">
        <f ca="1">CokingRefineryCalcs!D1098</f>
        <v>117851999.68847099</v>
      </c>
      <c r="E22" s="210"/>
      <c r="F22" s="210"/>
      <c r="G22" s="210"/>
      <c r="H22" s="210"/>
      <c r="I22" s="210"/>
    </row>
    <row r="23" spans="1:9" ht="18" customHeight="1" x14ac:dyDescent="0.2">
      <c r="A23" s="210"/>
      <c r="B23" s="763" t="s">
        <v>521</v>
      </c>
      <c r="C23" s="742">
        <f t="shared" ref="C23:C32" ca="1" si="1">D23/SUM($D$22:$D$32)</f>
        <v>0.26413611294695366</v>
      </c>
      <c r="D23" s="764">
        <f ca="1">CokingRefineryCalcs!E1098</f>
        <v>149973643.13743195</v>
      </c>
      <c r="E23" s="210"/>
      <c r="F23" s="210"/>
      <c r="G23" s="210"/>
      <c r="H23" s="210"/>
      <c r="I23" s="210"/>
    </row>
    <row r="24" spans="1:9" ht="18" customHeight="1" x14ac:dyDescent="0.2">
      <c r="A24" s="210"/>
      <c r="B24" s="763" t="s">
        <v>489</v>
      </c>
      <c r="C24" s="742">
        <f t="shared" ca="1" si="1"/>
        <v>0.12793993450280292</v>
      </c>
      <c r="D24" s="764">
        <f ca="1">CokingRefineryCalcs!F1098</f>
        <v>72642918.327503458</v>
      </c>
      <c r="E24" s="210"/>
      <c r="F24" s="210"/>
      <c r="G24" s="210"/>
      <c r="H24" s="210"/>
      <c r="I24" s="210"/>
    </row>
    <row r="25" spans="1:9" ht="18" customHeight="1" x14ac:dyDescent="0.2">
      <c r="A25" s="210"/>
      <c r="B25" s="763" t="s">
        <v>520</v>
      </c>
      <c r="C25" s="742">
        <f t="shared" ca="1" si="1"/>
        <v>0.11391952721578801</v>
      </c>
      <c r="D25" s="764">
        <f ca="1">CokingRefineryCalcs!G1098</f>
        <v>64682281.913025334</v>
      </c>
      <c r="E25" s="210"/>
      <c r="F25" s="210"/>
      <c r="G25" s="210"/>
      <c r="H25" s="210"/>
      <c r="I25" s="210"/>
    </row>
    <row r="26" spans="1:9" ht="18" customHeight="1" x14ac:dyDescent="0.2">
      <c r="A26" s="210"/>
      <c r="B26" s="763" t="s">
        <v>654</v>
      </c>
      <c r="C26" s="742">
        <f t="shared" ca="1" si="1"/>
        <v>1.1090097949837889E-22</v>
      </c>
      <c r="D26" s="764">
        <f ca="1">CokingRefineryCalcs!I1098</f>
        <v>6.2968382995102893E-14</v>
      </c>
      <c r="E26" s="210"/>
      <c r="F26" s="210"/>
      <c r="G26" s="210"/>
      <c r="H26" s="210"/>
      <c r="I26" s="210"/>
    </row>
    <row r="27" spans="1:9" ht="18" customHeight="1" x14ac:dyDescent="0.2">
      <c r="A27" s="210"/>
      <c r="B27" s="763" t="s">
        <v>1939</v>
      </c>
      <c r="C27" s="742">
        <f t="shared" ca="1" si="1"/>
        <v>0.26922739429471454</v>
      </c>
      <c r="D27" s="764">
        <f ca="1">CokingRefineryCalcs!H1098</f>
        <v>152864417.9104926</v>
      </c>
      <c r="E27" s="210"/>
      <c r="F27" s="210"/>
      <c r="G27" s="210"/>
      <c r="H27" s="210"/>
      <c r="I27" s="210"/>
    </row>
    <row r="28" spans="1:9" ht="18" customHeight="1" x14ac:dyDescent="0.2">
      <c r="A28" s="210"/>
      <c r="B28" s="763" t="s">
        <v>1486</v>
      </c>
      <c r="C28" s="742">
        <f t="shared" ca="1" si="1"/>
        <v>0</v>
      </c>
      <c r="D28" s="764">
        <f ca="1">CokingRefineryCalcs!D1235</f>
        <v>0</v>
      </c>
      <c r="E28" s="210"/>
      <c r="F28" s="210"/>
      <c r="G28" s="210"/>
      <c r="H28" s="210"/>
      <c r="I28" s="210"/>
    </row>
    <row r="29" spans="1:9" ht="18" customHeight="1" x14ac:dyDescent="0.2">
      <c r="A29" s="210"/>
      <c r="B29" s="763" t="s">
        <v>1488</v>
      </c>
      <c r="C29" s="742">
        <f t="shared" ca="1" si="1"/>
        <v>0</v>
      </c>
      <c r="D29" s="764">
        <f ca="1">IF('CokingRefinery Detailed Results'!P32&gt;'CokingRefinery Detailed Results'!L32,'CokingRefinery Detailed Results'!P32-'CokingRefinery Detailed Results'!L32,0)</f>
        <v>0</v>
      </c>
      <c r="E29" s="210"/>
      <c r="F29" s="210"/>
      <c r="G29" s="210"/>
      <c r="H29" s="210"/>
      <c r="I29" s="210"/>
    </row>
    <row r="30" spans="1:9" ht="18" customHeight="1" x14ac:dyDescent="0.2">
      <c r="A30" s="210"/>
      <c r="B30" s="763" t="s">
        <v>1914</v>
      </c>
      <c r="C30" s="742">
        <f t="shared" ca="1" si="1"/>
        <v>1.0058739345242504E-2</v>
      </c>
      <c r="D30" s="764">
        <f ca="1">CokingRefineryCalcs!O1438</f>
        <v>5711243.9800263345</v>
      </c>
      <c r="E30" s="210"/>
      <c r="F30" s="210"/>
      <c r="G30" s="210"/>
      <c r="H30" s="210"/>
      <c r="I30" s="210"/>
    </row>
    <row r="31" spans="1:9" ht="18" customHeight="1" x14ac:dyDescent="0.2">
      <c r="A31" s="210"/>
      <c r="B31" s="763" t="s">
        <v>1886</v>
      </c>
      <c r="C31" s="742">
        <f t="shared" ca="1" si="1"/>
        <v>7.1553596384134619E-3</v>
      </c>
      <c r="D31" s="764">
        <f ca="1">CokingRefineryCalcs!O1439</f>
        <v>4062736.2194389449</v>
      </c>
      <c r="E31" s="210"/>
      <c r="F31" s="210"/>
      <c r="G31" s="210"/>
      <c r="H31" s="210"/>
      <c r="I31" s="210"/>
    </row>
    <row r="32" spans="1:9" ht="18" customHeight="1" x14ac:dyDescent="0.2">
      <c r="A32" s="210"/>
      <c r="B32" s="763" t="s">
        <v>1909</v>
      </c>
      <c r="C32" s="742">
        <f t="shared" ca="1" si="1"/>
        <v>0</v>
      </c>
      <c r="D32" s="764">
        <f ca="1">CokingRefineryPFD!DD278*CokingRefineryPFD!DD284</f>
        <v>0</v>
      </c>
      <c r="E32" s="210"/>
      <c r="F32" s="210"/>
      <c r="G32" s="210"/>
      <c r="H32" s="210"/>
      <c r="I32" s="210"/>
    </row>
    <row r="33" spans="1:9" ht="18" customHeight="1" x14ac:dyDescent="0.2">
      <c r="A33" s="210"/>
      <c r="B33" s="763"/>
      <c r="C33" s="742"/>
      <c r="D33" s="764"/>
      <c r="E33" s="210"/>
      <c r="F33" s="210"/>
      <c r="G33" s="210"/>
      <c r="H33" s="210"/>
      <c r="I33" s="210"/>
    </row>
    <row r="34" spans="1:9" ht="18" customHeight="1" x14ac:dyDescent="0.2">
      <c r="A34" s="210"/>
      <c r="B34" s="766" t="s">
        <v>765</v>
      </c>
      <c r="C34" s="742"/>
      <c r="D34" s="764">
        <f ca="1">CokingRefineryPFD!DD31</f>
        <v>0</v>
      </c>
      <c r="E34" s="210"/>
      <c r="F34" s="210"/>
      <c r="G34" s="210"/>
      <c r="H34" s="210"/>
      <c r="I34" s="210"/>
    </row>
    <row r="35" spans="1:9" ht="18" customHeight="1" x14ac:dyDescent="0.2">
      <c r="A35" s="210"/>
      <c r="B35" s="766" t="s">
        <v>766</v>
      </c>
      <c r="C35" s="742"/>
      <c r="D35" s="764">
        <f ca="1">CokingRefineryPFD!DD34</f>
        <v>13.645092677813897</v>
      </c>
      <c r="E35" s="210"/>
      <c r="F35" s="210"/>
      <c r="G35" s="210"/>
      <c r="H35" s="210"/>
      <c r="I35" s="210"/>
    </row>
    <row r="36" spans="1:9" ht="18" customHeight="1" x14ac:dyDescent="0.2">
      <c r="A36" s="210"/>
      <c r="B36" s="767"/>
      <c r="C36" s="742"/>
      <c r="D36" s="764"/>
      <c r="E36" s="210"/>
      <c r="F36" s="210"/>
      <c r="G36" s="210"/>
      <c r="H36" s="210"/>
      <c r="I36" s="210"/>
    </row>
    <row r="37" spans="1:9" ht="18" customHeight="1" x14ac:dyDescent="0.2">
      <c r="A37" s="210"/>
      <c r="B37" s="768" t="s">
        <v>1507</v>
      </c>
      <c r="C37" s="744" t="s">
        <v>633</v>
      </c>
      <c r="D37" s="765" t="s">
        <v>622</v>
      </c>
      <c r="E37" s="210"/>
      <c r="F37" s="210"/>
      <c r="G37" s="210"/>
      <c r="H37" s="210"/>
      <c r="I37" s="210"/>
    </row>
    <row r="38" spans="1:9" ht="18" customHeight="1" x14ac:dyDescent="0.2">
      <c r="A38" s="210"/>
      <c r="B38" s="763" t="s">
        <v>519</v>
      </c>
      <c r="C38" s="742">
        <f ca="1">D38/SUM($D$38:$D$49)</f>
        <v>0.2056666786454236</v>
      </c>
      <c r="D38" s="764">
        <f ca="1">CokingRefineryPFD!DD30</f>
        <v>2767088.6286352449</v>
      </c>
      <c r="E38" s="743"/>
      <c r="F38" s="743"/>
      <c r="G38" s="210"/>
      <c r="H38" s="210"/>
      <c r="I38" s="210"/>
    </row>
    <row r="39" spans="1:9" ht="18" customHeight="1" x14ac:dyDescent="0.2">
      <c r="A39" s="210"/>
      <c r="B39" s="763" t="s">
        <v>521</v>
      </c>
      <c r="C39" s="742">
        <f t="shared" ref="C39:C49" ca="1" si="2">D39/SUM($D$38:$D$49)</f>
        <v>0.26852268126414292</v>
      </c>
      <c r="D39" s="764">
        <f ca="1">CokingRefineryPFD!DD65</f>
        <v>3612768.3042796571</v>
      </c>
      <c r="E39" s="743"/>
      <c r="F39" s="743"/>
      <c r="G39" s="210"/>
      <c r="H39" s="210"/>
      <c r="I39" s="210"/>
    </row>
    <row r="40" spans="1:9" ht="18" customHeight="1" x14ac:dyDescent="0.2">
      <c r="A40" s="210"/>
      <c r="B40" s="763" t="s">
        <v>489</v>
      </c>
      <c r="C40" s="742">
        <f t="shared" ca="1" si="2"/>
        <v>0.13075864533041834</v>
      </c>
      <c r="D40" s="764">
        <f ca="1">CokingRefineryPFD!DD85</f>
        <v>1759258.0527511754</v>
      </c>
      <c r="E40" s="743"/>
      <c r="F40" s="743"/>
      <c r="G40" s="210"/>
      <c r="H40" s="210"/>
      <c r="I40" s="210"/>
    </row>
    <row r="41" spans="1:9" ht="18" customHeight="1" x14ac:dyDescent="0.2">
      <c r="A41" s="210"/>
      <c r="B41" s="769" t="s">
        <v>520</v>
      </c>
      <c r="C41" s="742">
        <f t="shared" ca="1" si="2"/>
        <v>0.11962159337846041</v>
      </c>
      <c r="D41" s="764">
        <f ca="1">CokingRefineryPFD!DD153</f>
        <v>1609417.4951277762</v>
      </c>
      <c r="E41" s="743"/>
      <c r="F41" s="743"/>
      <c r="G41" s="210"/>
      <c r="H41" s="210"/>
      <c r="I41" s="210"/>
    </row>
    <row r="42" spans="1:9" ht="18" customHeight="1" x14ac:dyDescent="0.2">
      <c r="A42" s="210"/>
      <c r="B42" s="769" t="s">
        <v>654</v>
      </c>
      <c r="C42" s="742">
        <f t="shared" ca="1" si="2"/>
        <v>1.2871341733083229E-22</v>
      </c>
      <c r="D42" s="764">
        <f ca="1">CokingRefineryPFD!DD314</f>
        <v>1.7317410666360942E-15</v>
      </c>
      <c r="E42" s="743"/>
      <c r="F42" s="743"/>
      <c r="G42" s="210"/>
      <c r="H42" s="210"/>
      <c r="I42" s="210"/>
    </row>
    <row r="43" spans="1:9" ht="18" customHeight="1" x14ac:dyDescent="0.2">
      <c r="A43" s="210"/>
      <c r="B43" s="769" t="s">
        <v>1939</v>
      </c>
      <c r="C43" s="742">
        <f t="shared" ca="1" si="2"/>
        <v>0.27511212829730125</v>
      </c>
      <c r="D43" s="764">
        <f ca="1">CokingRefineryPFD!DD296</f>
        <v>3701424.2988945264</v>
      </c>
      <c r="E43" s="743"/>
      <c r="F43" s="743"/>
      <c r="G43" s="210"/>
      <c r="H43" s="210"/>
      <c r="I43" s="210"/>
    </row>
    <row r="44" spans="1:9" ht="18" customHeight="1" x14ac:dyDescent="0.2">
      <c r="A44" s="210"/>
      <c r="B44" s="766" t="s">
        <v>1343</v>
      </c>
      <c r="C44" s="742">
        <f t="shared" ca="1" si="2"/>
        <v>3.1827308425365678E-4</v>
      </c>
      <c r="D44" s="770">
        <f ca="1">CokingRefineryPFD!EB122</f>
        <v>4282.1221115613989</v>
      </c>
      <c r="E44" s="743"/>
      <c r="F44" s="743"/>
      <c r="G44" s="210"/>
      <c r="H44" s="210"/>
      <c r="I44" s="210"/>
    </row>
    <row r="45" spans="1:9" ht="18" customHeight="1" x14ac:dyDescent="0.2">
      <c r="A45" s="210"/>
      <c r="B45" s="769" t="s">
        <v>1486</v>
      </c>
      <c r="C45" s="742">
        <f t="shared" ca="1" si="2"/>
        <v>0</v>
      </c>
      <c r="D45" s="764">
        <f ca="1">D28/'Energy &amp; Unit Conversions'!$Q$27</f>
        <v>0</v>
      </c>
      <c r="E45" s="743"/>
      <c r="F45" s="743"/>
      <c r="G45" s="210"/>
      <c r="H45" s="210"/>
      <c r="I45" s="210"/>
    </row>
    <row r="46" spans="1:9" ht="18" customHeight="1" x14ac:dyDescent="0.2">
      <c r="A46" s="210"/>
      <c r="B46" s="766" t="s">
        <v>1488</v>
      </c>
      <c r="C46" s="742">
        <f t="shared" ca="1" si="2"/>
        <v>0</v>
      </c>
      <c r="D46" s="771">
        <f ca="1">IF('CokingRefinery Detailed Results'!O32&gt;'CokingRefinery Detailed Results'!K32,'CokingRefinery Detailed Results'!O32-'CokingRefinery Detailed Results'!K32,0)</f>
        <v>0</v>
      </c>
      <c r="E46" s="210"/>
      <c r="F46" s="210"/>
      <c r="G46" s="210"/>
      <c r="H46" s="210"/>
      <c r="I46" s="210"/>
    </row>
    <row r="47" spans="1:9" ht="18" customHeight="1" x14ac:dyDescent="0.2">
      <c r="A47" s="210"/>
      <c r="B47" s="763" t="s">
        <v>1914</v>
      </c>
      <c r="C47" s="742">
        <f t="shared" ca="1" si="2"/>
        <v>0</v>
      </c>
      <c r="D47" s="771">
        <f ca="1">CokingRefineryCalcs!E1438</f>
        <v>0</v>
      </c>
      <c r="E47" s="210"/>
      <c r="F47" s="210"/>
      <c r="G47" s="210"/>
      <c r="H47" s="210"/>
      <c r="I47" s="210"/>
    </row>
    <row r="48" spans="1:9" ht="18" customHeight="1" x14ac:dyDescent="0.2">
      <c r="A48" s="210"/>
      <c r="B48" s="763" t="s">
        <v>1886</v>
      </c>
      <c r="C48" s="742">
        <f t="shared" ca="1" si="2"/>
        <v>0</v>
      </c>
      <c r="D48" s="771">
        <f ca="1">CokingRefineryCalcs!E1439</f>
        <v>0</v>
      </c>
      <c r="E48" s="210"/>
      <c r="F48" s="210"/>
      <c r="G48" s="210"/>
      <c r="H48" s="210"/>
      <c r="I48" s="210"/>
    </row>
    <row r="49" spans="1:9" ht="18" customHeight="1" x14ac:dyDescent="0.2">
      <c r="A49" s="210"/>
      <c r="B49" s="763" t="s">
        <v>1909</v>
      </c>
      <c r="C49" s="742">
        <f t="shared" ca="1" si="2"/>
        <v>0</v>
      </c>
      <c r="D49" s="771">
        <f ca="1">CokingRefineryCalcs!D1466</f>
        <v>0</v>
      </c>
      <c r="E49" s="210"/>
      <c r="F49" s="210"/>
      <c r="G49" s="210"/>
      <c r="H49" s="210"/>
      <c r="I49" s="210"/>
    </row>
    <row r="50" spans="1:9" ht="18" customHeight="1" x14ac:dyDescent="0.2">
      <c r="A50" s="210"/>
      <c r="B50" s="769"/>
      <c r="C50" s="742"/>
      <c r="D50" s="764"/>
      <c r="E50" s="210"/>
      <c r="F50" s="210"/>
      <c r="G50" s="210"/>
      <c r="H50" s="210"/>
      <c r="I50" s="210"/>
    </row>
    <row r="51" spans="1:9" ht="18" customHeight="1" x14ac:dyDescent="0.2">
      <c r="A51" s="210"/>
      <c r="B51" s="2338" t="s">
        <v>1496</v>
      </c>
      <c r="C51" s="2339"/>
      <c r="D51" s="2340"/>
      <c r="E51" s="210"/>
      <c r="F51" s="210"/>
      <c r="G51" s="210"/>
      <c r="H51" s="210"/>
      <c r="I51" s="210"/>
    </row>
    <row r="52" spans="1:9" ht="18" customHeight="1" x14ac:dyDescent="0.2">
      <c r="A52" s="210"/>
      <c r="B52" s="2341" t="s">
        <v>1506</v>
      </c>
      <c r="C52" s="2342"/>
      <c r="D52" s="2343"/>
      <c r="E52" s="210"/>
      <c r="F52" s="210"/>
      <c r="G52" s="210"/>
      <c r="H52" s="210"/>
      <c r="I52" s="210"/>
    </row>
    <row r="53" spans="1:9" ht="18" customHeight="1" x14ac:dyDescent="0.2">
      <c r="A53" s="210"/>
      <c r="B53" s="800" t="s">
        <v>1505</v>
      </c>
      <c r="C53" s="751" t="s">
        <v>1336</v>
      </c>
      <c r="D53" s="772" t="s">
        <v>1508</v>
      </c>
      <c r="E53" s="210"/>
      <c r="F53" s="210"/>
      <c r="G53" s="210"/>
      <c r="H53" s="210"/>
      <c r="I53" s="210"/>
    </row>
    <row r="54" spans="1:9" ht="18" customHeight="1" x14ac:dyDescent="0.2">
      <c r="A54" s="210"/>
      <c r="B54" s="773" t="s">
        <v>1497</v>
      </c>
      <c r="C54" s="753" t="s">
        <v>1501</v>
      </c>
      <c r="D54" s="774" t="s">
        <v>1493</v>
      </c>
      <c r="E54" s="210"/>
      <c r="F54" s="210"/>
      <c r="G54" s="210"/>
      <c r="H54" s="210"/>
      <c r="I54" s="210"/>
    </row>
    <row r="55" spans="1:9" ht="18" customHeight="1" x14ac:dyDescent="0.2">
      <c r="A55" s="210"/>
      <c r="B55" s="775" t="s">
        <v>160</v>
      </c>
      <c r="C55" s="391"/>
      <c r="D55" s="776"/>
      <c r="E55" s="210"/>
      <c r="F55" s="210"/>
      <c r="G55" s="210"/>
      <c r="H55" s="210"/>
      <c r="I55" s="210"/>
    </row>
    <row r="56" spans="1:9" ht="18" customHeight="1" x14ac:dyDescent="0.2">
      <c r="A56" s="210"/>
      <c r="B56" s="777" t="s">
        <v>263</v>
      </c>
      <c r="C56" s="391">
        <f ca="1">IF(CokingRefineryPFD!$E$32=1,CokingRefineryCalcs!Q1349,CokingRefineryCalcs!Q1168)</f>
        <v>5632.4325693143419</v>
      </c>
      <c r="D56" s="776">
        <f>IF(CokingRefineryPFD!$E$32=1,CokingRefineryCalcs!Q1376/'Energy &amp; Unit Conversions'!$E$93,CokingRefineryCalcs!Q1182/'Energy &amp; Unit Conversions'!$E$93)</f>
        <v>0</v>
      </c>
      <c r="E56" s="210"/>
      <c r="F56" s="210"/>
      <c r="G56" s="210"/>
      <c r="H56" s="210"/>
      <c r="I56" s="210"/>
    </row>
    <row r="57" spans="1:9" ht="18" customHeight="1" x14ac:dyDescent="0.2">
      <c r="A57" s="210"/>
      <c r="B57" s="775" t="s">
        <v>201</v>
      </c>
      <c r="C57" s="391"/>
      <c r="D57" s="776"/>
      <c r="E57" s="210"/>
      <c r="F57" s="210"/>
      <c r="G57" s="210"/>
      <c r="H57" s="210"/>
      <c r="I57" s="210"/>
    </row>
    <row r="58" spans="1:9" ht="18" customHeight="1" x14ac:dyDescent="0.2">
      <c r="A58" s="210"/>
      <c r="B58" s="763" t="s">
        <v>392</v>
      </c>
      <c r="C58" s="391">
        <f ca="1">IF(CokingRefineryPFD!$E$32=1,CokingRefineryCalcs!Q1351,CokingRefineryCalcs!Q1170)</f>
        <v>10.771943083429937</v>
      </c>
      <c r="D58" s="776">
        <f ca="1">IF(CokingRefineryPFD!$E$32=1,CokingRefineryCalcs!Q1378/'Energy &amp; Unit Conversions'!$E$93,CokingRefineryCalcs!Q1183/'Energy &amp; Unit Conversions'!$E$93)</f>
        <v>1.6563975765841457</v>
      </c>
      <c r="E58" s="210"/>
      <c r="F58" s="210"/>
      <c r="G58" s="210"/>
      <c r="H58" s="210"/>
      <c r="I58" s="210"/>
    </row>
    <row r="59" spans="1:9" ht="18" customHeight="1" x14ac:dyDescent="0.2">
      <c r="A59" s="210"/>
      <c r="B59" s="763" t="s">
        <v>1023</v>
      </c>
      <c r="C59" s="391"/>
      <c r="D59" s="776"/>
      <c r="E59" s="210"/>
      <c r="F59" s="210"/>
      <c r="G59" s="210"/>
      <c r="H59" s="210"/>
      <c r="I59" s="210"/>
    </row>
    <row r="60" spans="1:9" ht="18" customHeight="1" x14ac:dyDescent="0.2">
      <c r="A60" s="210"/>
      <c r="B60" s="778" t="s">
        <v>971</v>
      </c>
      <c r="C60" s="391">
        <f ca="1">IF(CokingRefineryPFD!$E$32=1,CokingRefineryCalcs!Q1353,CokingRefineryCalcs!Q1171)</f>
        <v>115.32544213799221</v>
      </c>
      <c r="D60" s="776">
        <f ca="1">IF(CokingRefineryPFD!$E$32=1,CokingRefineryCalcs!Q1380/'Energy &amp; Unit Conversions'!$E$93,0)</f>
        <v>6.9043480317553509</v>
      </c>
      <c r="E60" s="210"/>
      <c r="F60" s="210"/>
      <c r="G60" s="210"/>
      <c r="H60" s="210"/>
      <c r="I60" s="210"/>
    </row>
    <row r="61" spans="1:9" ht="18" customHeight="1" x14ac:dyDescent="0.2">
      <c r="A61" s="210"/>
      <c r="B61" s="778" t="s">
        <v>90</v>
      </c>
      <c r="C61" s="391">
        <f ca="1">IF(CokingRefineryPFD!$E$32=1,CokingRefineryCalcs!Q1354,0)</f>
        <v>98.416208744043644</v>
      </c>
      <c r="D61" s="776">
        <f ca="1">IF(CokingRefineryPFD!$E$32=1,CokingRefineryCalcs!Q1381/'Energy &amp; Unit Conversions'!$E$93,CokingRefineryCalcs!Q1184/'Energy &amp; Unit Conversions'!$E$93)</f>
        <v>6.6343611787226235</v>
      </c>
      <c r="E61" s="210"/>
      <c r="F61" s="210"/>
      <c r="G61" s="210"/>
      <c r="H61" s="210"/>
      <c r="I61" s="210"/>
    </row>
    <row r="62" spans="1:9" ht="18" customHeight="1" x14ac:dyDescent="0.2">
      <c r="A62" s="210"/>
      <c r="B62" s="763" t="s">
        <v>485</v>
      </c>
      <c r="C62" s="391"/>
      <c r="D62" s="776"/>
      <c r="E62" s="210"/>
      <c r="F62" s="746"/>
      <c r="G62" s="210"/>
      <c r="H62" s="210"/>
      <c r="I62" s="210"/>
    </row>
    <row r="63" spans="1:9" ht="18" customHeight="1" x14ac:dyDescent="0.2">
      <c r="A63" s="210"/>
      <c r="B63" s="778" t="s">
        <v>971</v>
      </c>
      <c r="C63" s="391">
        <f ca="1">IF(CokingRefineryPFD!$E$32=1,CokingRefineryCalcs!Q1356,0)</f>
        <v>0</v>
      </c>
      <c r="D63" s="776">
        <f ca="1">IF(CokingRefineryPFD!$E$32=1,CokingRefineryCalcs!Q1383/'Energy &amp; Unit Conversions'!$E$93,0)</f>
        <v>0</v>
      </c>
      <c r="E63" s="210"/>
      <c r="F63" s="210"/>
      <c r="G63" s="210"/>
      <c r="H63" s="210"/>
      <c r="I63" s="210"/>
    </row>
    <row r="64" spans="1:9" ht="18" customHeight="1" x14ac:dyDescent="0.2">
      <c r="A64" s="210"/>
      <c r="B64" s="778" t="s">
        <v>90</v>
      </c>
      <c r="C64" s="391">
        <f ca="1">IF(CokingRefineryPFD!$E$32=1,CokingRefineryCalcs!Q1357,CokingRefineryCalcs!Q1172)</f>
        <v>24.670678347578679</v>
      </c>
      <c r="D64" s="776">
        <f ca="1">IF(CokingRefineryPFD!$E$32=1,CokingRefineryCalcs!Q1384/'Energy &amp; Unit Conversions'!$E$93,CokingRefineryCalcs!Q1185/'Energy &amp; Unit Conversions'!$E$93)</f>
        <v>1.6630816485484126</v>
      </c>
      <c r="E64" s="210"/>
      <c r="F64" s="210"/>
      <c r="G64" s="210"/>
      <c r="H64" s="210"/>
      <c r="I64" s="210"/>
    </row>
    <row r="65" spans="1:9" ht="18" customHeight="1" x14ac:dyDescent="0.2">
      <c r="A65" s="210"/>
      <c r="B65" s="778" t="s">
        <v>392</v>
      </c>
      <c r="C65" s="391">
        <f ca="1">IF(CokingRefineryPFD!$E$32=1,CokingRefineryCalcs!Q1358,CokingRefineryCalcs!Q1358)</f>
        <v>0.1229598995278396</v>
      </c>
      <c r="D65" s="776">
        <f ca="1">IF(CokingRefineryPFD!$E$32=1,CokingRefineryCalcs!Q1385/'Energy &amp; Unit Conversions'!$E$93,CokingRefineryCalcs!Q1385/'Energy &amp; Unit Conversions'!$E$93)</f>
        <v>1.8907496819978744E-2</v>
      </c>
      <c r="E65" s="747"/>
      <c r="F65" s="210"/>
      <c r="G65" s="210"/>
      <c r="H65" s="210"/>
      <c r="I65" s="210"/>
    </row>
    <row r="66" spans="1:9" ht="18" customHeight="1" x14ac:dyDescent="0.2">
      <c r="A66" s="210"/>
      <c r="B66" s="763" t="s">
        <v>1027</v>
      </c>
      <c r="C66" s="391"/>
      <c r="D66" s="776"/>
      <c r="E66" s="210"/>
      <c r="F66" s="210"/>
      <c r="G66" s="210"/>
      <c r="H66" s="210"/>
      <c r="I66" s="210"/>
    </row>
    <row r="67" spans="1:9" ht="18" customHeight="1" x14ac:dyDescent="0.2">
      <c r="A67" s="210"/>
      <c r="B67" s="778" t="s">
        <v>1036</v>
      </c>
      <c r="C67" s="391">
        <f ca="1">IF(CokingRefineryPFD!$E$32=1,CokingRefineryCalcs!Q1360,0)</f>
        <v>0</v>
      </c>
      <c r="D67" s="776">
        <f ca="1">IF(CokingRefineryPFD!$E$32=1,CokingRefineryCalcs!Q1387/'Energy &amp; Unit Conversions'!$E$93,0)</f>
        <v>0</v>
      </c>
      <c r="E67" s="210"/>
      <c r="F67" s="210"/>
      <c r="G67" s="210"/>
      <c r="H67" s="210"/>
      <c r="I67" s="210"/>
    </row>
    <row r="68" spans="1:9" ht="18" customHeight="1" x14ac:dyDescent="0.2">
      <c r="A68" s="210"/>
      <c r="B68" s="778" t="s">
        <v>1037</v>
      </c>
      <c r="C68" s="391">
        <f ca="1">IF(CokingRefineryPFD!$E$32=1,CokingRefineryCalcs!Q1361,0)</f>
        <v>0</v>
      </c>
      <c r="D68" s="776">
        <f ca="1">IF(CokingRefineryPFD!$E$32=1,CokingRefineryCalcs!Q1388/'Energy &amp; Unit Conversions'!$E$93,0)</f>
        <v>0</v>
      </c>
      <c r="E68" s="210"/>
      <c r="F68" s="210"/>
      <c r="G68" s="210"/>
      <c r="H68" s="210"/>
      <c r="I68" s="210"/>
    </row>
    <row r="69" spans="1:9" ht="18" customHeight="1" x14ac:dyDescent="0.2">
      <c r="A69" s="210"/>
      <c r="B69" s="778" t="s">
        <v>1034</v>
      </c>
      <c r="C69" s="391">
        <f ca="1">IF(CokingRefineryPFD!$E$32=1,CokingRefineryCalcs!Q1362,0)</f>
        <v>0.3431406545364668</v>
      </c>
      <c r="D69" s="776">
        <f ca="1">IF(CokingRefineryPFD!$E$32=1,CokingRefineryCalcs!Q1389/'Energy &amp; Unit Conversions'!$E$93,0)</f>
        <v>5.2764607480707354E-2</v>
      </c>
      <c r="E69" s="210"/>
      <c r="F69" s="210"/>
      <c r="G69" s="210"/>
      <c r="H69" s="210"/>
      <c r="I69" s="210"/>
    </row>
    <row r="70" spans="1:9" ht="18" customHeight="1" x14ac:dyDescent="0.2">
      <c r="A70" s="210"/>
      <c r="B70" s="778" t="s">
        <v>1028</v>
      </c>
      <c r="C70" s="391">
        <f ca="1">IF(CokingRefineryPFD!$E$32=1,CokingRefineryCalcs!Q1363,CokingRefineryCalcs!Q1174)</f>
        <v>0</v>
      </c>
      <c r="D70" s="776">
        <f ca="1">IF(CokingRefineryPFD!$E$32=1,CokingRefineryCalcs!Q1390/'Energy &amp; Unit Conversions'!$E$93,0)</f>
        <v>0</v>
      </c>
      <c r="E70" s="210"/>
      <c r="F70" s="145"/>
      <c r="G70" s="210"/>
      <c r="H70" s="210"/>
      <c r="I70" s="210"/>
    </row>
    <row r="71" spans="1:9" ht="18" customHeight="1" x14ac:dyDescent="0.2">
      <c r="A71" s="210"/>
      <c r="B71" s="778" t="s">
        <v>1029</v>
      </c>
      <c r="C71" s="391">
        <f ca="1">IF(CokingRefineryPFD!$E$32=1,CokingRefineryCalcs!Q1364,0)</f>
        <v>30.328088153475587</v>
      </c>
      <c r="D71" s="776">
        <f ca="1">IF(CokingRefineryPFD!$E$32=1,CokingRefineryCalcs!Q1391/'Energy &amp; Unit Conversions'!$E$93,CokingRefineryCalcs!Q1187/'Energy &amp; Unit Conversions'!$E$93)</f>
        <v>2.0444548031065404</v>
      </c>
      <c r="E71" s="210"/>
      <c r="F71" s="145"/>
      <c r="G71" s="210"/>
      <c r="H71" s="210"/>
      <c r="I71" s="210"/>
    </row>
    <row r="72" spans="1:9" ht="18" customHeight="1" x14ac:dyDescent="0.2">
      <c r="A72" s="210"/>
      <c r="B72" s="778" t="s">
        <v>1038</v>
      </c>
      <c r="C72" s="391">
        <f ca="1">IF(CokingRefineryPFD!$E$32=1,CokingRefineryCalcs!Q1365,0)</f>
        <v>0</v>
      </c>
      <c r="D72" s="776">
        <f ca="1">IF(CokingRefineryPFD!$E$32=1,CokingRefineryCalcs!Q1392/'Energy &amp; Unit Conversions'!$E$93,0)</f>
        <v>0</v>
      </c>
      <c r="E72" s="210"/>
      <c r="F72" s="145"/>
      <c r="G72" s="210"/>
      <c r="H72" s="210"/>
      <c r="I72" s="210"/>
    </row>
    <row r="73" spans="1:9" ht="18" customHeight="1" x14ac:dyDescent="0.2">
      <c r="A73" s="210"/>
      <c r="B73" s="778" t="s">
        <v>1039</v>
      </c>
      <c r="C73" s="391">
        <f ca="1">IF(CokingRefineryPFD!$E$32=1,CokingRefineryCalcs!Q1366,0)</f>
        <v>26.867162105376586</v>
      </c>
      <c r="D73" s="776">
        <f ca="1">IF(CokingRefineryPFD!$E$32=1,CokingRefineryCalcs!Q1393/'Energy &amp; Unit Conversions'!$E$93,0)</f>
        <v>1.8034597373274139</v>
      </c>
      <c r="E73" s="210"/>
      <c r="F73" s="145"/>
      <c r="G73" s="210"/>
      <c r="H73" s="210"/>
      <c r="I73" s="210"/>
    </row>
    <row r="74" spans="1:9" ht="18" customHeight="1" x14ac:dyDescent="0.2">
      <c r="A74" s="210"/>
      <c r="B74" s="763" t="s">
        <v>1053</v>
      </c>
      <c r="C74" s="391">
        <f ca="1">IF(CokingRefineryPFD!$E$32=1,CokingRefineryCalcs!Q1367,CokingRefineryCalcs!Q1173)</f>
        <v>63.987061858975409</v>
      </c>
      <c r="D74" s="776">
        <f ca="1">IF(CokingRefineryPFD!$E$32=1,CokingRefineryCalcs!Q1394/'Energy &amp; Unit Conversions'!$E$93,CokingRefineryCalcs!Q1186/'Energy &amp; Unit Conversions'!$E$93)</f>
        <v>0</v>
      </c>
      <c r="E74" s="210"/>
      <c r="F74" s="145"/>
      <c r="G74" s="210"/>
      <c r="H74" s="210"/>
      <c r="I74" s="210"/>
    </row>
    <row r="75" spans="1:9" ht="18" customHeight="1" x14ac:dyDescent="0.2">
      <c r="A75" s="210"/>
      <c r="B75" s="763" t="s">
        <v>1051</v>
      </c>
      <c r="C75" s="391">
        <f ca="1">IF(CokingRefineryPFD!$E$32=1,CokingRefineryCalcs!Q1368,CokingRefineryCalcs!Q1175)</f>
        <v>4.1042164730558755E-19</v>
      </c>
      <c r="D75" s="776">
        <f ca="1">IF(CokingRefineryPFD!$E$32=1,CokingRefineryCalcs!Q1395/'Energy &amp; Unit Conversions'!$E$93,CokingRefineryCalcs!Q1188/'Energy &amp; Unit Conversions'!$E$93)</f>
        <v>4.1147618201961981E-20</v>
      </c>
      <c r="E75" s="210"/>
      <c r="F75" s="145"/>
      <c r="G75" s="210"/>
      <c r="H75" s="210"/>
      <c r="I75" s="210"/>
    </row>
    <row r="76" spans="1:9" ht="18" customHeight="1" x14ac:dyDescent="0.2">
      <c r="A76" s="210"/>
      <c r="B76" s="763" t="s">
        <v>976</v>
      </c>
      <c r="C76" s="391">
        <f ca="1">IF(CokingRefineryPFD!$E$32=1,CokingRefineryCalcs!Q1369,0)</f>
        <v>0</v>
      </c>
      <c r="D76" s="776">
        <f ca="1">IF(CokingRefineryPFD!$E$32=1,CokingRefineryCalcs!Q1396/'Energy &amp; Unit Conversions'!$E$93,0)</f>
        <v>0</v>
      </c>
      <c r="E76" s="210"/>
      <c r="F76" s="145"/>
      <c r="G76" s="210"/>
      <c r="H76" s="210"/>
      <c r="I76" s="210"/>
    </row>
    <row r="77" spans="1:9" ht="18" customHeight="1" x14ac:dyDescent="0.2">
      <c r="A77" s="210"/>
      <c r="B77" s="779" t="s">
        <v>1504</v>
      </c>
      <c r="C77" s="752">
        <f ca="1">IF(CokingRefineryPFD!$E$32=1,CokingRefineryCalcs!Q1370,CokingRefineryCalcs!Q1176)</f>
        <v>370.83268498493641</v>
      </c>
      <c r="D77" s="780">
        <f ca="1">IF(CokingRefineryPFD!$E$32=1,CokingRefineryCalcs!Q1398/'Energy &amp; Unit Conversions'!$E$93,CokingRefineryCalcs!Q1189/'Energy &amp; Unit Conversions'!$E$93)</f>
        <v>20.77777508034518</v>
      </c>
      <c r="E77" s="210"/>
      <c r="F77" s="210"/>
      <c r="G77" s="210"/>
      <c r="H77" s="210"/>
      <c r="I77" s="210"/>
    </row>
    <row r="78" spans="1:9" ht="18" customHeight="1" x14ac:dyDescent="0.2">
      <c r="A78" s="210"/>
      <c r="B78" s="761"/>
      <c r="C78" s="391"/>
      <c r="D78" s="776"/>
      <c r="E78" s="210"/>
      <c r="F78" s="210"/>
      <c r="G78" s="210"/>
      <c r="H78" s="210"/>
      <c r="I78" s="210"/>
    </row>
    <row r="79" spans="1:9" ht="18" customHeight="1" x14ac:dyDescent="0.2">
      <c r="A79" s="210"/>
      <c r="B79" s="773" t="s">
        <v>1498</v>
      </c>
      <c r="C79" s="745" t="s">
        <v>1500</v>
      </c>
      <c r="D79" s="781" t="s">
        <v>1499</v>
      </c>
      <c r="E79" s="210"/>
      <c r="F79" s="210"/>
      <c r="G79" s="210"/>
      <c r="H79" s="210"/>
      <c r="I79" s="210"/>
    </row>
    <row r="80" spans="1:9" ht="18" customHeight="1" x14ac:dyDescent="0.2">
      <c r="A80" s="210"/>
      <c r="B80" s="779" t="s">
        <v>519</v>
      </c>
      <c r="C80" s="752">
        <f ca="1">IF(CokingRefineryPFD!$E$32=1,CokingRefineryCalcs!D$1317,CokingRefineryCalcs!D$1147)</f>
        <v>0.19199358175840248</v>
      </c>
      <c r="D80" s="780">
        <f ca="1">IF(CokingRefineryPFD!$E$32=1,CokingRefineryCalcs!D$1344,CokingRefineryCalcs!D$1161)</f>
        <v>10.503530277988798</v>
      </c>
      <c r="E80" s="210"/>
      <c r="F80" s="210"/>
      <c r="G80" s="210"/>
      <c r="H80" s="210"/>
      <c r="I80" s="210"/>
    </row>
    <row r="81" spans="1:9" ht="18" customHeight="1" x14ac:dyDescent="0.2">
      <c r="A81" s="210"/>
      <c r="B81" s="763" t="s">
        <v>521</v>
      </c>
      <c r="C81" s="391">
        <f ca="1">IF(CokingRefineryPFD!$E$32=1,CokingRefineryCalcs!E$1317,CokingRefineryCalcs!E$1147)</f>
        <v>6.3498776885761055E-2</v>
      </c>
      <c r="D81" s="776">
        <f ca="1">IF(CokingRefineryPFD!$E$32=1,CokingRefineryCalcs!E$1344,CokingRefineryCalcs!E$1161)</f>
        <v>3.7133044608850736</v>
      </c>
      <c r="E81" s="210"/>
      <c r="F81" s="210"/>
      <c r="G81" s="210"/>
      <c r="H81" s="210"/>
      <c r="I81" s="210"/>
    </row>
    <row r="82" spans="1:9" ht="18" customHeight="1" x14ac:dyDescent="0.2">
      <c r="A82" s="210"/>
      <c r="B82" s="782" t="s">
        <v>489</v>
      </c>
      <c r="C82" s="752">
        <f ca="1">IF(CokingRefineryPFD!$E$32=1,CokingRefineryCalcs!F$1317,CokingRefineryCalcs!F$1147)</f>
        <v>6.3713582826314202E-2</v>
      </c>
      <c r="D82" s="780">
        <f ca="1">IF(CokingRefineryPFD!$E$32=1,CokingRefineryCalcs!F$1344,CokingRefineryCalcs!F$1161)</f>
        <v>3.6607956583475669</v>
      </c>
      <c r="E82" s="210"/>
      <c r="F82" s="210"/>
      <c r="G82" s="210"/>
      <c r="H82" s="210"/>
      <c r="I82" s="210"/>
    </row>
    <row r="83" spans="1:9" ht="18" customHeight="1" x14ac:dyDescent="0.2">
      <c r="A83" s="210"/>
      <c r="B83" s="763" t="s">
        <v>520</v>
      </c>
      <c r="C83" s="391">
        <f ca="1">IF(CokingRefineryPFD!$E$32=1,CokingRefineryCalcs!G$1317,CokingRefineryCalcs!G$1147)</f>
        <v>0</v>
      </c>
      <c r="D83" s="776">
        <f ca="1">IF(CokingRefineryPFD!$E$32=1,CokingRefineryCalcs!G$1344,CokingRefineryCalcs!G$1161)</f>
        <v>0</v>
      </c>
      <c r="E83" s="210"/>
      <c r="F83" s="210"/>
      <c r="G83" s="210"/>
      <c r="H83" s="210"/>
      <c r="I83" s="210"/>
    </row>
    <row r="84" spans="1:9" ht="18" customHeight="1" x14ac:dyDescent="0.2">
      <c r="A84" s="210"/>
      <c r="B84" s="763" t="s">
        <v>654</v>
      </c>
      <c r="C84" s="391">
        <f ca="1">IF(CokingRefineryPFD!$E$32=1,CokingRefineryCalcs!I$1317,CokingRefineryCalcs!I$1147)</f>
        <v>0</v>
      </c>
      <c r="D84" s="776">
        <f ca="1">IF(CokingRefineryPFD!$E$32=1,CokingRefineryCalcs!I$1344,CokingRefineryCalcs!I$1161)</f>
        <v>0</v>
      </c>
      <c r="E84" s="210"/>
      <c r="F84" s="210"/>
      <c r="G84" s="210"/>
      <c r="H84" s="210"/>
      <c r="I84" s="210"/>
    </row>
    <row r="85" spans="1:9" ht="18" customHeight="1" x14ac:dyDescent="0.2">
      <c r="A85" s="210"/>
      <c r="B85" s="763" t="s">
        <v>1939</v>
      </c>
      <c r="C85" s="391">
        <f ca="1">IF(CokingRefineryPFD!$E$32=1,CokingRefineryCalcs!H$1317,CokingRefineryCalcs!H$1147)</f>
        <v>0</v>
      </c>
      <c r="D85" s="776">
        <f ca="1">IF(CokingRefineryPFD!$E$32=1,CokingRefineryCalcs!H$1344,CokingRefineryCalcs!H$1161)</f>
        <v>0</v>
      </c>
      <c r="E85" s="210"/>
      <c r="F85" s="210"/>
      <c r="G85" s="210"/>
      <c r="H85" s="210"/>
      <c r="I85" s="210"/>
    </row>
    <row r="86" spans="1:9" ht="18" customHeight="1" x14ac:dyDescent="0.2">
      <c r="A86" s="210"/>
      <c r="B86" s="763" t="s">
        <v>19</v>
      </c>
      <c r="C86" s="391">
        <f ca="1">IF(CokingRefineryPFD!$E$32=1,CokingRefineryCalcs!M$1317,CokingRefineryCalcs!M$1147)</f>
        <v>0</v>
      </c>
      <c r="D86" s="776">
        <f ca="1">IF(CokingRefineryPFD!$E$32=1,CokingRefineryCalcs!M$1344,CokingRefineryCalcs!M$1161)</f>
        <v>0</v>
      </c>
      <c r="E86" s="210"/>
      <c r="F86" s="210"/>
      <c r="G86" s="210"/>
      <c r="H86" s="210"/>
      <c r="I86" s="210"/>
    </row>
    <row r="87" spans="1:9" ht="18" customHeight="1" x14ac:dyDescent="0.2">
      <c r="A87" s="210"/>
      <c r="B87" s="763" t="s">
        <v>971</v>
      </c>
      <c r="C87" s="391">
        <f ca="1">IF(CokingRefineryCalcs!D1235=0,0,IF(CokingRefineryPFD!$E$32=1,CokingRefineryCalcs!K$1317,CokingRefineryCalcs!K$1147))</f>
        <v>0</v>
      </c>
      <c r="D87" s="776">
        <f ca="1">IF(CokingRefineryCalcs!D1235=0,0,IF(CokingRefineryPFD!$E$32=1,CokingRefineryCalcs!K$1344,CokingRefineryCalcs!K$1161))</f>
        <v>0</v>
      </c>
      <c r="E87" s="210"/>
      <c r="F87" s="210"/>
      <c r="G87" s="210"/>
      <c r="H87" s="210"/>
      <c r="I87" s="210"/>
    </row>
    <row r="88" spans="1:9" ht="18" customHeight="1" x14ac:dyDescent="0.2">
      <c r="A88" s="210"/>
      <c r="B88" s="763" t="s">
        <v>1487</v>
      </c>
      <c r="C88" s="391">
        <f ca="1">IF(CokingRefineryPFD!$E$32=1,CokingRefineryCalcs!J$1317,CokingRefineryCalcs!J$1147)</f>
        <v>0</v>
      </c>
      <c r="D88" s="776">
        <f ca="1">IF(CokingRefineryPFD!$E$32=1,CokingRefineryCalcs!J$1344,CokingRefineryCalcs!J$1161)</f>
        <v>0</v>
      </c>
      <c r="E88" s="210"/>
      <c r="F88" s="210"/>
      <c r="G88" s="210"/>
      <c r="H88" s="210"/>
      <c r="I88" s="210"/>
    </row>
    <row r="89" spans="1:9" ht="18" customHeight="1" x14ac:dyDescent="0.2">
      <c r="A89" s="210"/>
      <c r="B89" s="763" t="s">
        <v>1914</v>
      </c>
      <c r="C89" s="391">
        <f>IF('Main Input &amp; Output'!E137=0,0,IF(CokingRefineryPFD!$E$32=1,CokingRefineryCalcs!N$1317,CokingRefineryCalcs!N$1147))</f>
        <v>0</v>
      </c>
      <c r="D89" s="776">
        <f>IF('Main Input &amp; Output'!E137=0,0,IF(CokingRefineryPFD!$E$32=1,CokingRefineryCalcs!N$1344,CokingRefineryCalcs!N$1161))</f>
        <v>0</v>
      </c>
      <c r="E89" s="210"/>
      <c r="F89" s="210"/>
      <c r="G89" s="210"/>
      <c r="H89" s="210"/>
      <c r="I89" s="210"/>
    </row>
    <row r="90" spans="1:9" ht="18" customHeight="1" x14ac:dyDescent="0.2">
      <c r="A90" s="210"/>
      <c r="B90" s="763" t="s">
        <v>1886</v>
      </c>
      <c r="C90" s="391">
        <f>IF('Main Input &amp; Output'!E143=0,0,IF(CokingRefineryPFD!$E$32=1,CokingRefineryCalcs!O$1317,CokingRefineryCalcs!O$1147))</f>
        <v>0</v>
      </c>
      <c r="D90" s="776">
        <f>IF('Main Input &amp; Output'!E143=0,0,IF(CokingRefineryPFD!$E$32=1,CokingRefineryCalcs!O$1344,CokingRefineryCalcs!O$1161))</f>
        <v>0</v>
      </c>
      <c r="E90" s="210"/>
      <c r="F90" s="210"/>
      <c r="G90" s="210"/>
      <c r="H90" s="210"/>
      <c r="I90" s="210"/>
    </row>
    <row r="91" spans="1:9" ht="18" customHeight="1" x14ac:dyDescent="0.2">
      <c r="A91" s="210"/>
      <c r="B91" s="763" t="s">
        <v>1909</v>
      </c>
      <c r="C91" s="391">
        <f ca="1">IF(CokingRefineryPFD!$E$32=1,CokingRefineryCalcs!P$1317,CokingRefineryCalcs!P$1147)</f>
        <v>0</v>
      </c>
      <c r="D91" s="776">
        <f ca="1">IF(CokingRefineryPFD!$E$32=1,CokingRefineryCalcs!P$1344,CokingRefineryCalcs!P$1161)</f>
        <v>0</v>
      </c>
      <c r="E91" s="210"/>
      <c r="F91" s="210"/>
      <c r="G91" s="210"/>
      <c r="H91" s="210"/>
      <c r="I91" s="210"/>
    </row>
    <row r="92" spans="1:9" ht="18" customHeight="1" x14ac:dyDescent="0.2">
      <c r="A92" s="210"/>
      <c r="B92" s="763"/>
      <c r="C92" s="391"/>
      <c r="D92" s="776"/>
      <c r="E92" s="210"/>
      <c r="F92" s="210"/>
      <c r="G92" s="210"/>
      <c r="H92" s="210"/>
      <c r="I92" s="210"/>
    </row>
    <row r="93" spans="1:9" ht="18" customHeight="1" x14ac:dyDescent="0.2">
      <c r="A93" s="210"/>
      <c r="B93" s="783" t="s">
        <v>32</v>
      </c>
      <c r="C93" s="694">
        <f ca="1">SUM(C80:C88)</f>
        <v>0.31920594147047776</v>
      </c>
      <c r="D93" s="784">
        <f ca="1">IF(CokingRefineryPFD!$E$32=1,CokingRefineryCalcs!Q$1344,CokingRefineryCalcs!Q$1161)</f>
        <v>3.6186925898280364</v>
      </c>
      <c r="E93" s="210"/>
      <c r="F93" s="210"/>
      <c r="G93" s="210"/>
      <c r="H93" s="210"/>
      <c r="I93" s="210"/>
    </row>
    <row r="94" spans="1:9" ht="18" customHeight="1" x14ac:dyDescent="0.2">
      <c r="A94" s="210"/>
      <c r="B94" s="773" t="s">
        <v>1503</v>
      </c>
      <c r="C94" s="745" t="s">
        <v>1500</v>
      </c>
      <c r="D94" s="781" t="s">
        <v>1499</v>
      </c>
      <c r="E94" s="210"/>
      <c r="F94" s="210"/>
      <c r="G94" s="210"/>
      <c r="H94" s="210"/>
      <c r="I94" s="210"/>
    </row>
    <row r="95" spans="1:9" ht="18" customHeight="1" x14ac:dyDescent="0.2">
      <c r="A95" s="210"/>
      <c r="B95" s="775" t="s">
        <v>160</v>
      </c>
      <c r="C95" s="391"/>
      <c r="D95" s="776"/>
      <c r="E95" s="210"/>
      <c r="F95" s="210"/>
      <c r="G95" s="210"/>
      <c r="H95" s="210"/>
      <c r="I95" s="210"/>
    </row>
    <row r="96" spans="1:9" ht="18" customHeight="1" x14ac:dyDescent="0.2">
      <c r="A96" s="210"/>
      <c r="B96" s="777" t="s">
        <v>263</v>
      </c>
      <c r="C96" s="391">
        <f ca="1">IF(CokingRefineryPFD!$E$32=1,CokingRefineryCalcs!D1295,CokingRefineryCalcs!$D1139)</f>
        <v>1.825850910665068</v>
      </c>
      <c r="D96" s="776">
        <f>IF(CokingRefineryPFD!$E$32=1,CokingRefineryCalcs!D1322,CokingRefineryCalcs!$D1154)</f>
        <v>0</v>
      </c>
      <c r="E96" s="210"/>
      <c r="F96" s="210"/>
      <c r="G96" s="210"/>
      <c r="H96" s="210"/>
      <c r="I96" s="210"/>
    </row>
    <row r="97" spans="1:9" ht="18" customHeight="1" x14ac:dyDescent="0.2">
      <c r="A97" s="210"/>
      <c r="B97" s="775" t="s">
        <v>201</v>
      </c>
      <c r="C97" s="391"/>
      <c r="D97" s="776"/>
      <c r="E97" s="210"/>
      <c r="F97" s="210"/>
      <c r="G97" s="210"/>
      <c r="H97" s="210"/>
      <c r="I97" s="210"/>
    </row>
    <row r="98" spans="1:9" ht="18" customHeight="1" x14ac:dyDescent="0.2">
      <c r="A98" s="210"/>
      <c r="B98" s="777" t="s">
        <v>392</v>
      </c>
      <c r="C98" s="391">
        <f ca="1">IF(CokingRefineryPFD!$E$32=1,CokingRefineryCalcs!D1297,CokingRefineryCalcs!$D1141)</f>
        <v>5.1483981475435488E-3</v>
      </c>
      <c r="D98" s="776">
        <f ca="1">IF(CokingRefineryPFD!$E$32=1,CokingRefineryCalcs!D1324,CokingRefineryCalcs!$D1155)</f>
        <v>0.79166721814557428</v>
      </c>
      <c r="E98" s="210"/>
      <c r="F98" s="210"/>
      <c r="G98" s="210"/>
      <c r="H98" s="210"/>
      <c r="I98" s="210"/>
    </row>
    <row r="99" spans="1:9" ht="18" customHeight="1" x14ac:dyDescent="0.2">
      <c r="A99" s="210"/>
      <c r="B99" s="763" t="s">
        <v>1023</v>
      </c>
      <c r="C99" s="391"/>
      <c r="D99" s="776"/>
      <c r="E99" s="210"/>
      <c r="F99" s="210"/>
      <c r="G99" s="210"/>
      <c r="H99" s="210"/>
      <c r="I99" s="210"/>
    </row>
    <row r="100" spans="1:9" ht="18" customHeight="1" x14ac:dyDescent="0.2">
      <c r="A100" s="210"/>
      <c r="B100" s="778" t="s">
        <v>971</v>
      </c>
      <c r="C100" s="391">
        <f ca="1">IF(CokingRefineryPFD!$E$32=1,CokingRefineryCalcs!D1299,0)</f>
        <v>5.6504225329004419E-2</v>
      </c>
      <c r="D100" s="776">
        <f ca="1">IF(CokingRefineryPFD!$E$32=1,CokingRefineryCalcs!D1326,"N/A")</f>
        <v>3.3828167462767684</v>
      </c>
      <c r="E100" s="210"/>
      <c r="F100" s="210"/>
      <c r="G100" s="210"/>
      <c r="H100" s="210"/>
      <c r="I100" s="210"/>
    </row>
    <row r="101" spans="1:9" ht="18" customHeight="1" x14ac:dyDescent="0.2">
      <c r="A101" s="210"/>
      <c r="B101" s="778" t="s">
        <v>90</v>
      </c>
      <c r="C101" s="391">
        <f ca="1">IF(CokingRefineryPFD!$E$32=1,CokingRefineryCalcs!D1300,CokingRefineryCalcs!$D1142)</f>
        <v>4.8219469457969795E-2</v>
      </c>
      <c r="D101" s="776">
        <f ca="1">IF(CokingRefineryPFD!$E$32=1,CokingRefineryCalcs!D1327,CokingRefineryCalcs!$D1156)</f>
        <v>3.2505354586717647</v>
      </c>
      <c r="E101" s="210"/>
      <c r="F101" s="210"/>
      <c r="G101" s="210"/>
      <c r="H101" s="210"/>
      <c r="I101" s="210"/>
    </row>
    <row r="102" spans="1:9" ht="18" customHeight="1" x14ac:dyDescent="0.2">
      <c r="A102" s="210"/>
      <c r="B102" s="763" t="s">
        <v>485</v>
      </c>
      <c r="C102" s="391"/>
      <c r="D102" s="776"/>
      <c r="E102" s="210"/>
      <c r="F102" s="210"/>
      <c r="G102" s="210"/>
      <c r="H102" s="210"/>
      <c r="I102" s="210"/>
    </row>
    <row r="103" spans="1:9" ht="18" customHeight="1" x14ac:dyDescent="0.2">
      <c r="A103" s="210"/>
      <c r="B103" s="778" t="s">
        <v>971</v>
      </c>
      <c r="C103" s="391">
        <f ca="1">IF(CokingRefineryPFD!$E$32=1,CokingRefineryCalcs!D1302,0)</f>
        <v>0</v>
      </c>
      <c r="D103" s="776">
        <f ca="1">IF(CokingRefineryPFD!$E$32=1,CokingRefineryCalcs!D1329,"N/A")</f>
        <v>0</v>
      </c>
      <c r="E103" s="210"/>
      <c r="F103" s="210"/>
      <c r="G103" s="210"/>
      <c r="H103" s="210"/>
      <c r="I103" s="210"/>
    </row>
    <row r="104" spans="1:9" ht="18" customHeight="1" x14ac:dyDescent="0.2">
      <c r="A104" s="210"/>
      <c r="B104" s="778" t="s">
        <v>90</v>
      </c>
      <c r="C104" s="391">
        <f ca="1">IF(CokingRefineryPFD!$E$32=1,CokingRefineryCalcs!D1303,CokingRefineryCalcs!$D1143)</f>
        <v>1.2321963863719082E-2</v>
      </c>
      <c r="D104" s="776">
        <f ca="1">IF(CokingRefineryPFD!$E$32=1,CokingRefineryCalcs!D1330,CokingRefineryCalcs!$D1157)</f>
        <v>0.83063917769570139</v>
      </c>
      <c r="E104" s="210"/>
      <c r="F104" s="210"/>
      <c r="G104" s="210"/>
      <c r="H104" s="210"/>
      <c r="I104" s="210"/>
    </row>
    <row r="105" spans="1:9" ht="18" customHeight="1" x14ac:dyDescent="0.2">
      <c r="A105" s="210"/>
      <c r="B105" s="778" t="s">
        <v>392</v>
      </c>
      <c r="C105" s="391">
        <f ca="1">IF(CokingRefineryPFD!$E$32=1,CokingRefineryCalcs!D1304,CokingRefineryCalcs!D1304)</f>
        <v>6.1413286546993954E-5</v>
      </c>
      <c r="D105" s="776">
        <f ca="1">IF(CokingRefineryPFD!$E$32=1,CokingRefineryCalcs!D1331,CokingRefineryCalcs!D1331)</f>
        <v>9.4434976325662029E-3</v>
      </c>
      <c r="E105" s="747"/>
      <c r="F105" s="210"/>
      <c r="G105" s="210"/>
      <c r="H105" s="210"/>
      <c r="I105" s="210"/>
    </row>
    <row r="106" spans="1:9" ht="18" customHeight="1" x14ac:dyDescent="0.2">
      <c r="A106" s="210"/>
      <c r="B106" s="763" t="s">
        <v>1027</v>
      </c>
      <c r="C106" s="391" t="str">
        <f>IF(CokingRefineryPFD!$E$32=1," ",CokingRefineryCalcs!D1145)</f>
        <v xml:space="preserve"> </v>
      </c>
      <c r="D106" s="776" t="str">
        <f>IF(CokingRefineryPFD!$E$32=1," ",CokingRefineryCalcs!D1159)</f>
        <v xml:space="preserve"> </v>
      </c>
      <c r="E106" s="210"/>
      <c r="F106" s="210"/>
      <c r="G106" s="210"/>
      <c r="H106" s="210"/>
      <c r="I106" s="210"/>
    </row>
    <row r="107" spans="1:9" ht="18" customHeight="1" x14ac:dyDescent="0.2">
      <c r="A107" s="210"/>
      <c r="B107" s="778" t="s">
        <v>1036</v>
      </c>
      <c r="C107" s="391">
        <f ca="1">IF(CokingRefineryPFD!$E$32=1,CokingRefineryCalcs!D1306,"N/A")</f>
        <v>0</v>
      </c>
      <c r="D107" s="776">
        <f ca="1">IF(CokingRefineryPFD!$E$32=1,CokingRefineryCalcs!D1333,"N/A")</f>
        <v>0</v>
      </c>
      <c r="E107" s="210"/>
      <c r="F107" s="210"/>
      <c r="G107" s="210"/>
      <c r="H107" s="210"/>
      <c r="I107" s="210"/>
    </row>
    <row r="108" spans="1:9" ht="18" customHeight="1" x14ac:dyDescent="0.2">
      <c r="A108" s="210"/>
      <c r="B108" s="778" t="s">
        <v>1037</v>
      </c>
      <c r="C108" s="391">
        <f ca="1">IF(CokingRefineryPFD!$E$32=1,CokingRefineryCalcs!D1307,"N/A")</f>
        <v>0</v>
      </c>
      <c r="D108" s="776">
        <f ca="1">IF(CokingRefineryPFD!$E$32=1,CokingRefineryCalcs!D1334,"N/A")</f>
        <v>0</v>
      </c>
      <c r="E108" s="210"/>
      <c r="F108" s="210"/>
      <c r="G108" s="210"/>
      <c r="H108" s="210"/>
      <c r="I108" s="210"/>
    </row>
    <row r="109" spans="1:9" ht="18" customHeight="1" x14ac:dyDescent="0.2">
      <c r="A109" s="210"/>
      <c r="B109" s="778" t="s">
        <v>1034</v>
      </c>
      <c r="C109" s="391">
        <f ca="1">IF(CokingRefineryPFD!$E$32=1,CokingRefineryCalcs!D1308,"N/A")</f>
        <v>1.9691332753680224E-4</v>
      </c>
      <c r="D109" s="776">
        <f ca="1">IF(CokingRefineryPFD!$E$32=1,CokingRefineryCalcs!D1335,"N/A")</f>
        <v>3.0279287218924224E-2</v>
      </c>
      <c r="E109" s="210"/>
      <c r="F109" s="210"/>
      <c r="G109" s="210"/>
      <c r="H109" s="210"/>
      <c r="I109" s="210"/>
    </row>
    <row r="110" spans="1:9" ht="18" customHeight="1" x14ac:dyDescent="0.2">
      <c r="A110" s="210"/>
      <c r="B110" s="778" t="s">
        <v>1028</v>
      </c>
      <c r="C110" s="391">
        <f ca="1">IF(CokingRefineryPFD!$E$32=1,CokingRefineryCalcs!D1309,"N/A")</f>
        <v>0</v>
      </c>
      <c r="D110" s="776">
        <f ca="1">IF(CokingRefineryPFD!$E$32=1,CokingRefineryCalcs!D1336,"N/A")</f>
        <v>0</v>
      </c>
      <c r="E110" s="210"/>
      <c r="F110" s="145"/>
      <c r="G110" s="210"/>
      <c r="H110" s="210"/>
      <c r="I110" s="210"/>
    </row>
    <row r="111" spans="1:9" ht="18" customHeight="1" x14ac:dyDescent="0.2">
      <c r="A111" s="210"/>
      <c r="B111" s="778" t="s">
        <v>1029</v>
      </c>
      <c r="C111" s="391">
        <f ca="1">IF(CokingRefineryPFD!$E$32=1,CokingRefineryCalcs!D1310,"N/A")</f>
        <v>1.7403955716636554E-2</v>
      </c>
      <c r="D111" s="776">
        <f ca="1">IF(CokingRefineryPFD!$E$32=1,CokingRefineryCalcs!D1337,"N/A")</f>
        <v>1.1732226798428604</v>
      </c>
      <c r="E111" s="210"/>
      <c r="F111" s="145"/>
      <c r="G111" s="210"/>
      <c r="H111" s="210"/>
      <c r="I111" s="210"/>
    </row>
    <row r="112" spans="1:9" ht="18" customHeight="1" x14ac:dyDescent="0.2">
      <c r="A112" s="210"/>
      <c r="B112" s="778" t="s">
        <v>1038</v>
      </c>
      <c r="C112" s="391">
        <f ca="1">IF(CokingRefineryPFD!$E$32=1,CokingRefineryCalcs!D1311,"N/A")</f>
        <v>0</v>
      </c>
      <c r="D112" s="776">
        <f ca="1">IF(CokingRefineryPFD!$E$32=1,CokingRefineryCalcs!D1338,"N/A")</f>
        <v>0</v>
      </c>
      <c r="E112" s="210"/>
      <c r="F112" s="145"/>
      <c r="G112" s="210"/>
      <c r="H112" s="210"/>
      <c r="I112" s="210"/>
    </row>
    <row r="113" spans="1:9" ht="18" customHeight="1" x14ac:dyDescent="0.2">
      <c r="A113" s="210"/>
      <c r="B113" s="778" t="s">
        <v>1039</v>
      </c>
      <c r="C113" s="391">
        <f ca="1">IF(CokingRefineryPFD!$E$32=1,CokingRefineryCalcs!D1312,"N/A")</f>
        <v>1.5417882497155816E-2</v>
      </c>
      <c r="D113" s="776">
        <f ca="1">IF(CokingRefineryPFD!$E$32=1,CokingRefineryCalcs!D1339,"N/A")</f>
        <v>1.0349262125046392</v>
      </c>
      <c r="E113" s="210"/>
      <c r="F113" s="145"/>
      <c r="G113" s="210"/>
      <c r="H113" s="210"/>
      <c r="I113" s="210"/>
    </row>
    <row r="114" spans="1:9" ht="18" customHeight="1" x14ac:dyDescent="0.2">
      <c r="A114" s="210"/>
      <c r="B114" s="763" t="s">
        <v>1053</v>
      </c>
      <c r="C114" s="391">
        <f ca="1">IF(CokingRefineryPFD!$E$32=1,CokingRefineryCalcs!D1313,CokingRefineryCalcs!$D1144)</f>
        <v>3.6719360132289457E-2</v>
      </c>
      <c r="D114" s="776">
        <f ca="1">IF(CokingRefineryPFD!$E$32=1,CokingRefineryCalcs!D1340,CokingRefineryCalcs!$D1158)</f>
        <v>0</v>
      </c>
      <c r="E114" s="210"/>
      <c r="F114" s="145"/>
      <c r="G114" s="210"/>
      <c r="H114" s="210"/>
      <c r="I114" s="210"/>
    </row>
    <row r="115" spans="1:9" ht="18" customHeight="1" x14ac:dyDescent="0.2">
      <c r="A115" s="210"/>
      <c r="B115" s="763" t="s">
        <v>1051</v>
      </c>
      <c r="C115" s="391">
        <f ca="1">IF(CokingRefineryPFD!$E$32=1,CokingRefineryCalcs!D1314,CokingRefineryCalcs!$D1146)</f>
        <v>2.7923001614085446E-22</v>
      </c>
      <c r="D115" s="776">
        <f ca="1">IF(CokingRefineryPFD!$E$32=1,CokingRefineryCalcs!D1341,CokingRefineryCalcs!$D1160)</f>
        <v>2.7994746793013855E-20</v>
      </c>
      <c r="E115" s="210"/>
      <c r="F115" s="145"/>
      <c r="G115" s="210"/>
      <c r="H115" s="210"/>
      <c r="I115" s="210"/>
    </row>
    <row r="116" spans="1:9" ht="18" customHeight="1" x14ac:dyDescent="0.2">
      <c r="A116" s="210"/>
      <c r="B116" s="763" t="s">
        <v>976</v>
      </c>
      <c r="C116" s="391">
        <f ca="1">IF(CokingRefineryPFD!$E$32=1,CokingRefineryCalcs!D1315,CokingRefineryCalcs!D1150)</f>
        <v>0</v>
      </c>
      <c r="D116" s="776">
        <f ca="1">IF(CokingRefineryPFD!$E$32=1,CokingRefineryCalcs!D1342,"N/A")</f>
        <v>0</v>
      </c>
      <c r="E116" s="210"/>
      <c r="F116" s="145"/>
      <c r="G116" s="210"/>
      <c r="H116" s="210"/>
      <c r="I116" s="210"/>
    </row>
    <row r="117" spans="1:9" ht="18" customHeight="1" x14ac:dyDescent="0.2">
      <c r="A117" s="210"/>
      <c r="B117" s="779" t="s">
        <v>1504</v>
      </c>
      <c r="C117" s="754">
        <f ca="1">IF(CokingRefineryPFD!$E$32=1,CokingRefineryCalcs!D1317,CokingRefineryCalcs!$D1147)</f>
        <v>0.19199358175840248</v>
      </c>
      <c r="D117" s="785">
        <f ca="1">IF(CokingRefineryPFD!$E$32=1,CokingRefineryCalcs!D1344,CokingRefineryCalcs!$D1161)</f>
        <v>10.503530277988798</v>
      </c>
      <c r="E117" s="210"/>
      <c r="F117" s="210"/>
      <c r="G117" s="210"/>
      <c r="H117" s="210"/>
      <c r="I117" s="210"/>
    </row>
    <row r="118" spans="1:9" ht="18" customHeight="1" x14ac:dyDescent="0.2">
      <c r="A118" s="210"/>
      <c r="B118" s="793"/>
      <c r="C118" s="694">
        <f ca="1">IF(CokingRefineryPFD!$E$32=1,CokingRefineryCalcs!D1317,CokingRefineryCalcs!$D1148)</f>
        <v>0.19199358175840248</v>
      </c>
      <c r="D118" s="784">
        <f ca="1">IF(CokingRefineryPFD!$E$32=1,CokingRefineryCalcs!D1345,CokingRefineryCalcs!$D1162)</f>
        <v>10.503530277988798</v>
      </c>
      <c r="E118" s="210"/>
      <c r="F118" s="210"/>
      <c r="G118" s="210"/>
      <c r="H118" s="210"/>
      <c r="I118" s="210"/>
    </row>
    <row r="119" spans="1:9" ht="18" customHeight="1" x14ac:dyDescent="0.2">
      <c r="A119" s="210"/>
      <c r="B119" s="793"/>
      <c r="C119" s="694"/>
      <c r="D119" s="784"/>
      <c r="E119" s="210"/>
      <c r="F119" s="210"/>
      <c r="G119" s="210"/>
      <c r="H119" s="210"/>
      <c r="I119" s="210"/>
    </row>
    <row r="120" spans="1:9" ht="18" customHeight="1" x14ac:dyDescent="0.2">
      <c r="A120" s="210"/>
      <c r="B120" s="783"/>
      <c r="C120" s="748"/>
      <c r="D120" s="786"/>
      <c r="E120" s="210"/>
      <c r="F120" s="210"/>
      <c r="G120" s="210"/>
      <c r="H120" s="210"/>
      <c r="I120" s="210"/>
    </row>
    <row r="121" spans="1:9" ht="18" customHeight="1" x14ac:dyDescent="0.2">
      <c r="A121" s="210"/>
      <c r="B121" s="2356" t="s">
        <v>1510</v>
      </c>
      <c r="C121" s="2357"/>
      <c r="D121" s="2358"/>
      <c r="E121" s="210"/>
      <c r="F121" s="210"/>
      <c r="G121" s="210"/>
      <c r="H121" s="210"/>
      <c r="I121" s="210"/>
    </row>
    <row r="122" spans="1:9" ht="18" customHeight="1" x14ac:dyDescent="0.2">
      <c r="A122" s="210"/>
      <c r="B122" s="2335" t="s">
        <v>1495</v>
      </c>
      <c r="C122" s="2336" t="str">
        <f ca="1">IF(HydroRefineryConfig=0,'HydroRefineryPFD '!C12, IF(HydroRefineryConfig=1,'HydroRefineryPFD '!C13,IF(HydroRefineryConfig=2,'HydroRefineryPFD '!C14,IF(HydroRefineryConfig=3,'HydroRefineryPFD '!C15,IF(HydroRefineryConfig=7,'HydroRefineryPFD '!C16, IF(HydroRefineryConfig=8,'HydroRefineryPFD '!C17, IF(HydroRefineryConfig=9,'HydroRefineryPFD '!C18,"Undefined")))))))</f>
        <v>Hydroskimming Configuration (0)</v>
      </c>
      <c r="D122" s="2337" t="str">
        <f>IF(reformerFeedstockActive=1,CokingRefineryPFD!$C$28,CokingRefineryPFD!$C$29)</f>
        <v>SR Naphtha</v>
      </c>
      <c r="E122" s="210"/>
      <c r="F122" s="210"/>
      <c r="G122" s="210"/>
      <c r="H122" s="210"/>
      <c r="I122" s="210"/>
    </row>
    <row r="123" spans="1:9" ht="18" customHeight="1" x14ac:dyDescent="0.2">
      <c r="A123" s="210"/>
      <c r="B123" s="2335"/>
      <c r="C123" s="2336"/>
      <c r="D123" s="2337"/>
      <c r="E123" s="210"/>
      <c r="F123" s="210"/>
      <c r="G123" s="210"/>
      <c r="H123" s="210"/>
      <c r="I123" s="210"/>
    </row>
    <row r="124" spans="1:9" ht="18" customHeight="1" x14ac:dyDescent="0.2">
      <c r="A124" s="210"/>
      <c r="B124" s="2344" t="s">
        <v>1344</v>
      </c>
      <c r="C124" s="2345"/>
      <c r="D124" s="2346"/>
      <c r="E124" s="210"/>
      <c r="F124" s="210"/>
      <c r="G124" s="210"/>
      <c r="H124" s="210"/>
      <c r="I124" s="210"/>
    </row>
    <row r="125" spans="1:9" ht="18" customHeight="1" x14ac:dyDescent="0.2">
      <c r="A125" s="210"/>
      <c r="B125" s="2348" t="s">
        <v>1344</v>
      </c>
      <c r="C125" s="2349" t="s">
        <v>633</v>
      </c>
      <c r="D125" s="2347" t="s">
        <v>1657</v>
      </c>
      <c r="E125" s="210"/>
      <c r="F125" s="210"/>
      <c r="G125" s="210"/>
      <c r="H125" s="210"/>
      <c r="I125" s="210"/>
    </row>
    <row r="126" spans="1:9" ht="18" customHeight="1" x14ac:dyDescent="0.2">
      <c r="A126" s="210"/>
      <c r="B126" s="2348"/>
      <c r="C126" s="2349"/>
      <c r="D126" s="2347"/>
      <c r="E126" s="210"/>
      <c r="F126" s="210"/>
      <c r="G126" s="210"/>
      <c r="H126" s="210"/>
      <c r="I126" s="210"/>
    </row>
    <row r="127" spans="1:9" ht="18" customHeight="1" x14ac:dyDescent="0.2">
      <c r="A127" s="210"/>
      <c r="B127" s="763" t="s">
        <v>519</v>
      </c>
      <c r="C127" s="742">
        <f t="shared" ref="C127:C133" ca="1" si="3">D127/SUM($D$127:$D$132)</f>
        <v>0.23017925348143686</v>
      </c>
      <c r="D127" s="776">
        <f ca="1">'HydroRefineryPFD '!DD29</f>
        <v>24206.28733301266</v>
      </c>
      <c r="E127" s="210"/>
      <c r="F127" s="210"/>
      <c r="G127" s="210"/>
      <c r="H127" s="210"/>
      <c r="I127" s="210"/>
    </row>
    <row r="128" spans="1:9" ht="18" customHeight="1" x14ac:dyDescent="0.2">
      <c r="A128" s="210"/>
      <c r="B128" s="763" t="s">
        <v>521</v>
      </c>
      <c r="C128" s="742">
        <f t="shared" ca="1" si="3"/>
        <v>0.26742641868499945</v>
      </c>
      <c r="D128" s="776">
        <f ca="1">'HydroRefineryPFD '!DD64</f>
        <v>28123.302309909086</v>
      </c>
      <c r="E128" s="210"/>
      <c r="F128" s="210"/>
      <c r="G128" s="210"/>
      <c r="H128" s="210"/>
      <c r="I128" s="210"/>
    </row>
    <row r="129" spans="1:9" ht="18" customHeight="1" x14ac:dyDescent="0.2">
      <c r="A129" s="210"/>
      <c r="B129" s="763" t="s">
        <v>489</v>
      </c>
      <c r="C129" s="742">
        <f t="shared" ca="1" si="3"/>
        <v>0.12754139362827702</v>
      </c>
      <c r="D129" s="776">
        <f ca="1">'HydroRefineryPFD '!DD84</f>
        <v>13412.605933522691</v>
      </c>
      <c r="E129" s="210"/>
      <c r="F129" s="210"/>
      <c r="G129" s="210"/>
      <c r="H129" s="210"/>
      <c r="I129" s="210"/>
    </row>
    <row r="130" spans="1:9" ht="18" customHeight="1" x14ac:dyDescent="0.2">
      <c r="A130" s="210"/>
      <c r="B130" s="763" t="s">
        <v>520</v>
      </c>
      <c r="C130" s="742">
        <f t="shared" ca="1" si="3"/>
        <v>0.10633533012441607</v>
      </c>
      <c r="D130" s="776">
        <f ca="1">'HydroRefineryPFD '!DD152</f>
        <v>11182.517606218385</v>
      </c>
      <c r="E130" s="210"/>
      <c r="F130" s="210"/>
      <c r="G130" s="210"/>
      <c r="H130" s="210"/>
      <c r="I130" s="210"/>
    </row>
    <row r="131" spans="1:9" ht="18" customHeight="1" x14ac:dyDescent="0.2">
      <c r="A131" s="210"/>
      <c r="B131" s="763" t="s">
        <v>353</v>
      </c>
      <c r="C131" s="742">
        <f t="shared" ca="1" si="3"/>
        <v>1.3720108618919403E-22</v>
      </c>
      <c r="D131" s="776">
        <f ca="1">'HydroRefineryPFD '!DD313</f>
        <v>1.442844593709182E-17</v>
      </c>
      <c r="E131" s="210"/>
      <c r="F131" s="210"/>
      <c r="G131" s="210"/>
      <c r="H131" s="210"/>
      <c r="I131" s="210"/>
    </row>
    <row r="132" spans="1:9" ht="18" customHeight="1" x14ac:dyDescent="0.2">
      <c r="A132" s="210"/>
      <c r="B132" s="763" t="s">
        <v>1939</v>
      </c>
      <c r="C132" s="742">
        <f t="shared" ca="1" si="3"/>
        <v>0.2685176040808705</v>
      </c>
      <c r="D132" s="776">
        <f ca="1">'HydroRefineryPFD '!DD295</f>
        <v>28238.054386069471</v>
      </c>
      <c r="E132" s="210"/>
      <c r="F132" s="210"/>
      <c r="G132" s="210"/>
      <c r="H132" s="210"/>
      <c r="I132" s="210"/>
    </row>
    <row r="133" spans="1:9" ht="18" customHeight="1" x14ac:dyDescent="0.2">
      <c r="A133" s="210"/>
      <c r="B133" s="763" t="s">
        <v>1485</v>
      </c>
      <c r="C133" s="742">
        <f t="shared" ca="1" si="3"/>
        <v>0</v>
      </c>
      <c r="D133" s="776">
        <f>'HydroRefineryPFD '!EG101</f>
        <v>0</v>
      </c>
      <c r="E133" s="210"/>
      <c r="F133" s="210"/>
      <c r="G133" s="210"/>
      <c r="H133" s="210"/>
      <c r="I133" s="210"/>
    </row>
    <row r="134" spans="1:9" ht="18" customHeight="1" x14ac:dyDescent="0.2">
      <c r="A134" s="210"/>
      <c r="B134" s="763"/>
      <c r="C134" s="742"/>
      <c r="D134" s="776"/>
      <c r="E134" s="210"/>
      <c r="F134" s="210"/>
      <c r="G134" s="210"/>
      <c r="H134" s="210"/>
      <c r="I134" s="210"/>
    </row>
    <row r="135" spans="1:9" ht="18" customHeight="1" x14ac:dyDescent="0.2">
      <c r="A135" s="210"/>
      <c r="B135" s="787" t="s">
        <v>1344</v>
      </c>
      <c r="C135" s="757" t="s">
        <v>633</v>
      </c>
      <c r="D135" s="788" t="s">
        <v>522</v>
      </c>
      <c r="E135" s="210"/>
      <c r="F135" s="210"/>
      <c r="G135" s="210"/>
      <c r="H135" s="210"/>
      <c r="I135" s="210"/>
    </row>
    <row r="136" spans="1:9" ht="18" customHeight="1" x14ac:dyDescent="0.2">
      <c r="A136" s="210"/>
      <c r="B136" s="763" t="s">
        <v>519</v>
      </c>
      <c r="C136" s="742">
        <f ca="1">D136/SUM($D$136:$D$146)</f>
        <v>0.21119852435961342</v>
      </c>
      <c r="D136" s="776">
        <f ca="1">HydroRefineryCalcs!D1164</f>
        <v>117851999.68847099</v>
      </c>
      <c r="E136" s="210"/>
      <c r="F136" s="210"/>
      <c r="G136" s="210"/>
      <c r="H136" s="210"/>
      <c r="I136" s="210"/>
    </row>
    <row r="137" spans="1:9" ht="18" customHeight="1" x14ac:dyDescent="0.2">
      <c r="A137" s="210"/>
      <c r="B137" s="763" t="s">
        <v>521</v>
      </c>
      <c r="C137" s="742">
        <f t="shared" ref="C137:C146" ca="1" si="4">D137/SUM($D$136:$D$146)</f>
        <v>0.26876261927831724</v>
      </c>
      <c r="D137" s="776">
        <f ca="1">HydroRefineryCalcs!E1164</f>
        <v>149973643.13743195</v>
      </c>
      <c r="E137" s="210"/>
      <c r="F137" s="210"/>
      <c r="G137" s="210"/>
      <c r="H137" s="210"/>
      <c r="I137" s="210"/>
    </row>
    <row r="138" spans="1:9" ht="18" customHeight="1" x14ac:dyDescent="0.2">
      <c r="A138" s="210"/>
      <c r="B138" s="763" t="s">
        <v>489</v>
      </c>
      <c r="C138" s="742">
        <f t="shared" ca="1" si="4"/>
        <v>0.13018088107541467</v>
      </c>
      <c r="D138" s="776">
        <f ca="1">HydroRefineryCalcs!F1164</f>
        <v>72642918.327503458</v>
      </c>
      <c r="E138" s="210"/>
      <c r="F138" s="210"/>
      <c r="G138" s="210"/>
      <c r="H138" s="210"/>
      <c r="I138" s="210"/>
    </row>
    <row r="139" spans="1:9" ht="18" customHeight="1" x14ac:dyDescent="0.2">
      <c r="A139" s="210"/>
      <c r="B139" s="763" t="s">
        <v>520</v>
      </c>
      <c r="C139" s="742">
        <f t="shared" ca="1" si="4"/>
        <v>0.11591489773915009</v>
      </c>
      <c r="D139" s="776">
        <f ca="1">HydroRefineryCalcs!G1164</f>
        <v>64682281.913025334</v>
      </c>
      <c r="E139" s="210"/>
      <c r="F139" s="210"/>
      <c r="G139" s="210"/>
      <c r="H139" s="210"/>
      <c r="I139" s="210"/>
    </row>
    <row r="140" spans="1:9" ht="18" customHeight="1" x14ac:dyDescent="0.2">
      <c r="A140" s="210"/>
      <c r="B140" s="763" t="s">
        <v>353</v>
      </c>
      <c r="C140" s="742">
        <f t="shared" ca="1" si="4"/>
        <v>1.6705214050423527E-22</v>
      </c>
      <c r="D140" s="776">
        <f ca="1">HydroRefineryCalcs!I1164</f>
        <v>9.3217643780224665E-14</v>
      </c>
      <c r="E140" s="210"/>
      <c r="F140" s="210"/>
      <c r="G140" s="210"/>
      <c r="H140" s="210"/>
      <c r="I140" s="210"/>
    </row>
    <row r="141" spans="1:9" ht="18" customHeight="1" x14ac:dyDescent="0.2">
      <c r="A141" s="210"/>
      <c r="B141" s="763" t="s">
        <v>1939</v>
      </c>
      <c r="C141" s="742">
        <f t="shared" ca="1" si="4"/>
        <v>0.27394307754750463</v>
      </c>
      <c r="D141" s="776">
        <f ca="1">HydroRefineryCalcs!H1164</f>
        <v>152864417.9104926</v>
      </c>
      <c r="E141" s="210"/>
      <c r="F141" s="210"/>
      <c r="G141" s="210"/>
      <c r="H141" s="210"/>
      <c r="I141" s="210"/>
    </row>
    <row r="142" spans="1:9" ht="18" customHeight="1" x14ac:dyDescent="0.2">
      <c r="A142" s="210"/>
      <c r="B142" s="763" t="s">
        <v>1486</v>
      </c>
      <c r="C142" s="742">
        <f t="shared" ca="1" si="4"/>
        <v>0</v>
      </c>
      <c r="D142" s="776">
        <f ca="1">HydroRefineryCalcs!D1296</f>
        <v>0</v>
      </c>
      <c r="E142" s="210"/>
      <c r="F142" s="210"/>
      <c r="G142" s="210"/>
      <c r="H142" s="210"/>
      <c r="I142" s="210"/>
    </row>
    <row r="143" spans="1:9" ht="18" customHeight="1" x14ac:dyDescent="0.2">
      <c r="A143" s="210"/>
      <c r="B143" s="763" t="s">
        <v>1488</v>
      </c>
      <c r="C143" s="742">
        <f t="shared" ca="1" si="4"/>
        <v>0</v>
      </c>
      <c r="D143" s="776">
        <f ca="1">IF('HydroRefinery Detailed Results'!P32&gt;'HydroRefinery Detailed Results'!L32,'HydroRefinery Detailed Results'!P32-'HydroRefinery Detailed Results'!L32,0)</f>
        <v>0</v>
      </c>
      <c r="E143" s="210"/>
      <c r="F143" s="210"/>
      <c r="G143" s="210"/>
      <c r="H143" s="210"/>
      <c r="I143" s="210"/>
    </row>
    <row r="144" spans="1:9" ht="18" customHeight="1" x14ac:dyDescent="0.2">
      <c r="A144" s="210"/>
      <c r="B144" s="763" t="s">
        <v>1914</v>
      </c>
      <c r="C144" s="742">
        <f t="shared" ca="1" si="4"/>
        <v>0</v>
      </c>
      <c r="D144" s="776">
        <f ca="1">HydroRefineryCalcs!G1499</f>
        <v>0</v>
      </c>
      <c r="E144" s="210"/>
      <c r="F144" s="210"/>
      <c r="G144" s="210"/>
      <c r="H144" s="210"/>
      <c r="I144" s="210"/>
    </row>
    <row r="145" spans="1:9" ht="18" customHeight="1" x14ac:dyDescent="0.2">
      <c r="A145" s="210"/>
      <c r="B145" s="763" t="s">
        <v>1886</v>
      </c>
      <c r="C145" s="742">
        <f t="shared" ca="1" si="4"/>
        <v>0</v>
      </c>
      <c r="D145" s="776">
        <f ca="1">HydroRefineryCalcs!G1500</f>
        <v>0</v>
      </c>
      <c r="E145" s="210"/>
      <c r="F145" s="210"/>
      <c r="G145" s="210"/>
      <c r="H145" s="210"/>
      <c r="I145" s="210"/>
    </row>
    <row r="146" spans="1:9" ht="18" customHeight="1" x14ac:dyDescent="0.2">
      <c r="A146" s="210"/>
      <c r="B146" s="763" t="s">
        <v>1909</v>
      </c>
      <c r="C146" s="742">
        <f t="shared" ca="1" si="4"/>
        <v>0</v>
      </c>
      <c r="D146" s="776">
        <f ca="1">'HydroRefineryPFD '!DD277*'HydroRefineryPFD '!DD283</f>
        <v>0</v>
      </c>
      <c r="E146" s="210"/>
      <c r="F146" s="210"/>
      <c r="G146" s="210"/>
      <c r="H146" s="210"/>
      <c r="I146" s="210"/>
    </row>
    <row r="147" spans="1:9" ht="18" customHeight="1" x14ac:dyDescent="0.2">
      <c r="A147" s="210"/>
      <c r="B147" s="763"/>
      <c r="C147" s="742"/>
      <c r="D147" s="776"/>
      <c r="E147" s="210"/>
      <c r="F147" s="210"/>
      <c r="G147" s="210"/>
      <c r="H147" s="210"/>
      <c r="I147" s="210"/>
    </row>
    <row r="148" spans="1:9" ht="18" customHeight="1" x14ac:dyDescent="0.2">
      <c r="A148" s="210"/>
      <c r="B148" s="766" t="s">
        <v>765</v>
      </c>
      <c r="C148" s="142"/>
      <c r="D148" s="776">
        <f ca="1">'HydroRefineryPFD '!DD32</f>
        <v>0</v>
      </c>
      <c r="E148" s="210"/>
      <c r="F148" s="210"/>
      <c r="G148" s="210"/>
      <c r="H148" s="210"/>
      <c r="I148" s="210"/>
    </row>
    <row r="149" spans="1:9" ht="18" customHeight="1" x14ac:dyDescent="0.2">
      <c r="A149" s="210"/>
      <c r="B149" s="766" t="s">
        <v>766</v>
      </c>
      <c r="C149" s="142"/>
      <c r="D149" s="776">
        <f ca="1">'HydroRefineryPFD '!DD35</f>
        <v>13.645092677813897</v>
      </c>
      <c r="E149" s="210"/>
      <c r="F149" s="210"/>
      <c r="G149" s="210"/>
      <c r="H149" s="210"/>
      <c r="I149" s="210"/>
    </row>
    <row r="150" spans="1:9" ht="18" customHeight="1" x14ac:dyDescent="0.2">
      <c r="A150" s="210"/>
      <c r="B150" s="766"/>
      <c r="C150" s="142"/>
      <c r="D150" s="776"/>
      <c r="E150" s="210"/>
      <c r="F150" s="210"/>
      <c r="G150" s="210"/>
      <c r="H150" s="210"/>
      <c r="I150" s="210"/>
    </row>
    <row r="151" spans="1:9" ht="18" customHeight="1" x14ac:dyDescent="0.2">
      <c r="A151" s="210"/>
      <c r="B151" s="789" t="s">
        <v>1166</v>
      </c>
      <c r="C151" s="755" t="s">
        <v>633</v>
      </c>
      <c r="D151" s="788" t="s">
        <v>622</v>
      </c>
      <c r="E151" s="210"/>
      <c r="F151" s="210"/>
      <c r="G151" s="210"/>
      <c r="H151" s="210"/>
      <c r="I151" s="210"/>
    </row>
    <row r="152" spans="1:9" ht="18" customHeight="1" x14ac:dyDescent="0.2">
      <c r="A152" s="210"/>
      <c r="B152" s="763" t="s">
        <v>519</v>
      </c>
      <c r="C152" s="742">
        <f ca="1">D152/SUM($D$152:$D$163)</f>
        <v>0.2056666786454236</v>
      </c>
      <c r="D152" s="776">
        <f ca="1">'HydroRefineryPFD '!DD31</f>
        <v>2767088.6286352449</v>
      </c>
      <c r="E152" s="210"/>
      <c r="F152" s="210"/>
      <c r="G152" s="210"/>
      <c r="H152" s="210"/>
      <c r="I152" s="210"/>
    </row>
    <row r="153" spans="1:9" ht="18" customHeight="1" x14ac:dyDescent="0.2">
      <c r="A153" s="210"/>
      <c r="B153" s="763" t="s">
        <v>521</v>
      </c>
      <c r="C153" s="742">
        <f t="shared" ref="C153:C163" ca="1" si="5">D153/SUM($D$152:$D$163)</f>
        <v>0.26852268126414292</v>
      </c>
      <c r="D153" s="776">
        <f ca="1">'HydroRefineryPFD '!DD66</f>
        <v>3612768.3042796571</v>
      </c>
      <c r="E153" s="210"/>
      <c r="F153" s="210"/>
      <c r="G153" s="210"/>
      <c r="H153" s="210"/>
      <c r="I153" s="210"/>
    </row>
    <row r="154" spans="1:9" ht="18" customHeight="1" x14ac:dyDescent="0.2">
      <c r="A154" s="210"/>
      <c r="B154" s="763" t="s">
        <v>489</v>
      </c>
      <c r="C154" s="742">
        <f t="shared" ca="1" si="5"/>
        <v>0.13075864533041834</v>
      </c>
      <c r="D154" s="776">
        <f ca="1">'HydroRefineryPFD '!DD86</f>
        <v>1759258.0527511754</v>
      </c>
      <c r="E154" s="210"/>
      <c r="F154" s="210"/>
      <c r="G154" s="210"/>
      <c r="H154" s="210"/>
      <c r="I154" s="210"/>
    </row>
    <row r="155" spans="1:9" ht="18" customHeight="1" x14ac:dyDescent="0.2">
      <c r="A155" s="210"/>
      <c r="B155" s="766" t="s">
        <v>520</v>
      </c>
      <c r="C155" s="742">
        <f t="shared" ca="1" si="5"/>
        <v>0.11962159337846041</v>
      </c>
      <c r="D155" s="776">
        <f ca="1">'HydroRefineryPFD '!DD154</f>
        <v>1609417.4951277762</v>
      </c>
      <c r="E155" s="210"/>
      <c r="F155" s="210"/>
      <c r="G155" s="210"/>
      <c r="H155" s="210"/>
      <c r="I155" s="210"/>
    </row>
    <row r="156" spans="1:9" ht="18" customHeight="1" x14ac:dyDescent="0.2">
      <c r="A156" s="210"/>
      <c r="B156" s="766" t="s">
        <v>1167</v>
      </c>
      <c r="C156" s="742">
        <f t="shared" ca="1" si="5"/>
        <v>1.8601484560439869E-22</v>
      </c>
      <c r="D156" s="776">
        <f ca="1">'HydroRefineryPFD '!DD315</f>
        <v>2.5026881720430105E-15</v>
      </c>
      <c r="E156" s="210"/>
      <c r="F156" s="210"/>
      <c r="G156" s="210"/>
      <c r="H156" s="210"/>
      <c r="I156" s="210"/>
    </row>
    <row r="157" spans="1:9" ht="18" customHeight="1" x14ac:dyDescent="0.2">
      <c r="A157" s="210"/>
      <c r="B157" s="766" t="s">
        <v>1939</v>
      </c>
      <c r="C157" s="742">
        <f t="shared" ca="1" si="5"/>
        <v>0.27511212829730125</v>
      </c>
      <c r="D157" s="776">
        <f ca="1">'HydroRefineryPFD '!DD297</f>
        <v>3701424.2988945264</v>
      </c>
      <c r="E157" s="210"/>
      <c r="F157" s="210"/>
      <c r="G157" s="210"/>
      <c r="H157" s="210"/>
      <c r="I157" s="210"/>
    </row>
    <row r="158" spans="1:9" ht="18" customHeight="1" x14ac:dyDescent="0.2">
      <c r="A158" s="210"/>
      <c r="B158" s="766" t="s">
        <v>142</v>
      </c>
      <c r="C158" s="742">
        <f t="shared" ca="1" si="5"/>
        <v>3.1827308425365678E-4</v>
      </c>
      <c r="D158" s="776">
        <f ca="1">'HydroRefineryPFD '!EC123</f>
        <v>4282.1221115613989</v>
      </c>
      <c r="E158" s="210"/>
      <c r="F158" s="210"/>
      <c r="G158" s="210"/>
      <c r="H158" s="210"/>
      <c r="I158" s="210"/>
    </row>
    <row r="159" spans="1:9" ht="18" customHeight="1" x14ac:dyDescent="0.2">
      <c r="A159" s="210"/>
      <c r="B159" s="766" t="s">
        <v>1486</v>
      </c>
      <c r="C159" s="742">
        <f t="shared" ca="1" si="5"/>
        <v>0</v>
      </c>
      <c r="D159" s="776">
        <f ca="1">D142/'Energy &amp; Unit Conversions'!$Q$27</f>
        <v>0</v>
      </c>
      <c r="E159" s="210"/>
      <c r="F159" s="210"/>
      <c r="G159" s="210"/>
      <c r="H159" s="210"/>
      <c r="I159" s="210"/>
    </row>
    <row r="160" spans="1:9" ht="18" customHeight="1" x14ac:dyDescent="0.2">
      <c r="A160" s="210"/>
      <c r="B160" s="766" t="s">
        <v>1488</v>
      </c>
      <c r="C160" s="742">
        <f t="shared" ca="1" si="5"/>
        <v>0</v>
      </c>
      <c r="D160" s="776">
        <f ca="1">IF('HydroRefinery Detailed Results'!O32&gt;'HydroRefinery Detailed Results'!K32,'HydroRefinery Detailed Results'!O32-'HydroRefinery Detailed Results'!K32,0)</f>
        <v>0</v>
      </c>
      <c r="E160" s="210"/>
      <c r="F160" s="210"/>
      <c r="G160" s="210"/>
      <c r="H160" s="210"/>
      <c r="I160" s="210"/>
    </row>
    <row r="161" spans="1:9" ht="18" customHeight="1" x14ac:dyDescent="0.2">
      <c r="A161" s="210"/>
      <c r="B161" s="763" t="s">
        <v>1914</v>
      </c>
      <c r="C161" s="742">
        <f t="shared" ca="1" si="5"/>
        <v>0</v>
      </c>
      <c r="D161" s="776">
        <f ca="1">HydroRefineryCalcs!E1499</f>
        <v>0</v>
      </c>
      <c r="E161" s="210"/>
      <c r="F161" s="210"/>
      <c r="G161" s="210"/>
      <c r="H161" s="210"/>
      <c r="I161" s="210"/>
    </row>
    <row r="162" spans="1:9" ht="18" customHeight="1" x14ac:dyDescent="0.2">
      <c r="A162" s="210"/>
      <c r="B162" s="763" t="s">
        <v>1886</v>
      </c>
      <c r="C162" s="742">
        <f t="shared" ca="1" si="5"/>
        <v>0</v>
      </c>
      <c r="D162" s="776">
        <f ca="1">HydroRefineryCalcs!E1500</f>
        <v>0</v>
      </c>
      <c r="E162" s="210"/>
      <c r="F162" s="210"/>
      <c r="G162" s="210"/>
      <c r="H162" s="210"/>
      <c r="I162" s="210"/>
    </row>
    <row r="163" spans="1:9" ht="18" customHeight="1" x14ac:dyDescent="0.2">
      <c r="A163" s="210"/>
      <c r="B163" s="763" t="s">
        <v>1909</v>
      </c>
      <c r="C163" s="742">
        <f t="shared" ca="1" si="5"/>
        <v>0</v>
      </c>
      <c r="D163" s="776">
        <f ca="1">HydroRefineryCalcs!D1526</f>
        <v>0</v>
      </c>
      <c r="E163" s="210"/>
      <c r="F163" s="210"/>
      <c r="G163" s="210"/>
      <c r="H163" s="210"/>
      <c r="I163" s="210"/>
    </row>
    <row r="164" spans="1:9" ht="18" customHeight="1" x14ac:dyDescent="0.2">
      <c r="A164" s="210"/>
      <c r="B164" s="766"/>
      <c r="C164" s="742"/>
      <c r="D164" s="776"/>
      <c r="E164" s="210"/>
      <c r="F164" s="210"/>
      <c r="G164" s="210"/>
      <c r="H164" s="210"/>
      <c r="I164" s="210"/>
    </row>
    <row r="165" spans="1:9" ht="18" customHeight="1" x14ac:dyDescent="0.2">
      <c r="A165" s="210"/>
      <c r="B165" s="2350" t="s">
        <v>1496</v>
      </c>
      <c r="C165" s="2351"/>
      <c r="D165" s="2352"/>
      <c r="E165" s="210"/>
      <c r="F165" s="210"/>
      <c r="G165" s="210"/>
      <c r="H165" s="210"/>
      <c r="I165" s="210"/>
    </row>
    <row r="166" spans="1:9" ht="18" customHeight="1" x14ac:dyDescent="0.2">
      <c r="A166" s="210"/>
      <c r="B166" s="2341" t="s">
        <v>1506</v>
      </c>
      <c r="C166" s="2342"/>
      <c r="D166" s="2343"/>
      <c r="E166" s="210"/>
      <c r="F166" s="210"/>
      <c r="G166" s="210"/>
      <c r="H166" s="210"/>
      <c r="I166" s="210"/>
    </row>
    <row r="167" spans="1:9" ht="18" customHeight="1" x14ac:dyDescent="0.2">
      <c r="A167" s="210"/>
      <c r="B167" s="801" t="s">
        <v>1505</v>
      </c>
      <c r="C167" s="758" t="s">
        <v>1336</v>
      </c>
      <c r="D167" s="790" t="s">
        <v>1502</v>
      </c>
      <c r="E167" s="210"/>
      <c r="F167" s="210"/>
      <c r="G167" s="210"/>
      <c r="H167" s="210"/>
      <c r="I167" s="210"/>
    </row>
    <row r="168" spans="1:9" ht="18" customHeight="1" x14ac:dyDescent="0.2">
      <c r="A168" s="210"/>
      <c r="B168" s="791" t="s">
        <v>1497</v>
      </c>
      <c r="C168" s="756" t="s">
        <v>1501</v>
      </c>
      <c r="D168" s="792" t="s">
        <v>1493</v>
      </c>
      <c r="E168" s="210"/>
      <c r="F168" s="210"/>
      <c r="G168" s="210"/>
      <c r="H168" s="210"/>
      <c r="I168" s="210"/>
    </row>
    <row r="169" spans="1:9" ht="18" customHeight="1" x14ac:dyDescent="0.2">
      <c r="A169" s="210"/>
      <c r="B169" s="793" t="s">
        <v>160</v>
      </c>
      <c r="C169" s="391"/>
      <c r="D169" s="776"/>
      <c r="E169" s="210"/>
      <c r="F169" s="749"/>
      <c r="G169" s="210"/>
      <c r="H169" s="210"/>
      <c r="I169" s="210"/>
    </row>
    <row r="170" spans="1:9" ht="18" customHeight="1" x14ac:dyDescent="0.25">
      <c r="A170" s="210"/>
      <c r="B170" s="763" t="s">
        <v>263</v>
      </c>
      <c r="C170" s="391">
        <f ca="1">IF(CokingRefineryPFD!$E$32=1,HydroRefineryCalcs!Q1409,HydroRefineryCalcs!Q1231)</f>
        <v>5632.4325693143419</v>
      </c>
      <c r="D170" s="776">
        <f>IF(CokingRefineryPFD!$E$32=1,HydroRefineryCalcs!Q1436/'Energy &amp; Unit Conversions'!$E$93,HydroRefineryCalcs!Q1245/'Energy &amp; Unit Conversions'!$E$93)</f>
        <v>0</v>
      </c>
      <c r="E170" s="210"/>
      <c r="F170" s="1"/>
      <c r="G170" s="210"/>
      <c r="H170" s="210"/>
      <c r="I170" s="210"/>
    </row>
    <row r="171" spans="1:9" ht="18" customHeight="1" x14ac:dyDescent="0.25">
      <c r="A171" s="210"/>
      <c r="B171" s="793" t="s">
        <v>201</v>
      </c>
      <c r="C171" s="391"/>
      <c r="D171" s="776"/>
      <c r="E171" s="210"/>
      <c r="F171" s="1"/>
      <c r="G171" s="210"/>
      <c r="H171" s="210"/>
      <c r="I171" s="210"/>
    </row>
    <row r="172" spans="1:9" ht="18" customHeight="1" x14ac:dyDescent="0.25">
      <c r="A172" s="210"/>
      <c r="B172" s="763" t="s">
        <v>392</v>
      </c>
      <c r="C172" s="391">
        <f ca="1">IF(CokingRefineryPFD!$E$32=1,HydroRefineryCalcs!Q1411,HydroRefineryCalcs!Q1233)</f>
        <v>10.771943083429937</v>
      </c>
      <c r="D172" s="776">
        <f ca="1">IF(CokingRefineryPFD!$E$32=1,HydroRefineryCalcs!Q1438/'Energy &amp; Unit Conversions'!$E$93,HydroRefineryCalcs!Q1246/'Energy &amp; Unit Conversions'!$E$93)</f>
        <v>1.6563975765841457</v>
      </c>
      <c r="E172" s="210"/>
      <c r="F172" s="1"/>
      <c r="G172" s="210"/>
      <c r="H172" s="210"/>
      <c r="I172" s="210"/>
    </row>
    <row r="173" spans="1:9" ht="18" customHeight="1" x14ac:dyDescent="0.25">
      <c r="A173" s="210"/>
      <c r="B173" s="763" t="s">
        <v>1023</v>
      </c>
      <c r="C173" s="391"/>
      <c r="D173" s="776"/>
      <c r="E173" s="210"/>
      <c r="F173" s="1"/>
      <c r="G173" s="210"/>
      <c r="H173" s="210"/>
      <c r="I173" s="210"/>
    </row>
    <row r="174" spans="1:9" ht="18" customHeight="1" x14ac:dyDescent="0.25">
      <c r="A174" s="210"/>
      <c r="B174" s="767" t="s">
        <v>971</v>
      </c>
      <c r="C174" s="391">
        <f ca="1">IF(CokingRefineryPFD!$E$32=1,HydroRefineryCalcs!Q1413,"N/A")</f>
        <v>115.32544213799221</v>
      </c>
      <c r="D174" s="776">
        <f ca="1">IF(CokingRefineryPFD!$E$32=1,HydroRefineryCalcs!Q1440/'Energy &amp; Unit Conversions'!$E$93,"N/A")</f>
        <v>6.9043480317553509</v>
      </c>
      <c r="E174" s="210"/>
      <c r="F174" s="1"/>
      <c r="G174" s="210"/>
      <c r="H174" s="210"/>
      <c r="I174" s="210"/>
    </row>
    <row r="175" spans="1:9" ht="18" customHeight="1" x14ac:dyDescent="0.25">
      <c r="A175" s="210"/>
      <c r="B175" s="767" t="s">
        <v>90</v>
      </c>
      <c r="C175" s="391">
        <f ca="1">IF(CokingRefineryPFD!$E$32=1,HydroRefineryCalcs!Q1414,HydroRefineryCalcs!Q1234)</f>
        <v>98.416208744043644</v>
      </c>
      <c r="D175" s="776">
        <f ca="1">IF(CokingRefineryPFD!$E$32=1,HydroRefineryCalcs!Q1441/'Energy &amp; Unit Conversions'!$E$93,HydroRefineryCalcs!Q1247/'Energy &amp; Unit Conversions'!$E$93)</f>
        <v>6.6343611787226235</v>
      </c>
      <c r="E175" s="210"/>
      <c r="F175" s="1"/>
      <c r="G175" s="210"/>
      <c r="H175" s="210"/>
      <c r="I175" s="210"/>
    </row>
    <row r="176" spans="1:9" ht="18" customHeight="1" x14ac:dyDescent="0.25">
      <c r="A176" s="210"/>
      <c r="B176" s="763" t="s">
        <v>485</v>
      </c>
      <c r="C176" s="391"/>
      <c r="D176" s="776"/>
      <c r="E176" s="210"/>
      <c r="F176" s="1"/>
      <c r="G176" s="210"/>
      <c r="H176" s="210"/>
      <c r="I176" s="210"/>
    </row>
    <row r="177" spans="1:9" ht="18" customHeight="1" x14ac:dyDescent="0.25">
      <c r="A177" s="210"/>
      <c r="B177" s="778" t="s">
        <v>971</v>
      </c>
      <c r="C177" s="391">
        <f ca="1">IF(CokingRefineryPFD!$E$32=1,HydroRefineryCalcs!Q1416,"N/A")</f>
        <v>0</v>
      </c>
      <c r="D177" s="776">
        <f ca="1">IF(CokingRefineryPFD!$E$32=1,HydroRefineryCalcs!Q1443/'Energy &amp; Unit Conversions'!$E$93,"N/A")</f>
        <v>0</v>
      </c>
      <c r="E177" s="210"/>
      <c r="F177" s="1"/>
      <c r="G177" s="210"/>
      <c r="H177" s="210"/>
      <c r="I177" s="210"/>
    </row>
    <row r="178" spans="1:9" ht="18" customHeight="1" x14ac:dyDescent="0.25">
      <c r="A178" s="210"/>
      <c r="B178" s="778" t="s">
        <v>90</v>
      </c>
      <c r="C178" s="391">
        <f ca="1">IF(CokingRefineryPFD!$E$32=1,HydroRefineryCalcs!Q1417,HydroRefineryCalcs!Q1235)</f>
        <v>24.670678347578679</v>
      </c>
      <c r="D178" s="776">
        <f ca="1">IF(CokingRefineryPFD!$E$32=1,HydroRefineryCalcs!Q1444/'Energy &amp; Unit Conversions'!$E$93,HydroRefineryCalcs!Q1248/'Energy &amp; Unit Conversions'!$E$93)</f>
        <v>1.6630816485484126</v>
      </c>
      <c r="E178" s="210"/>
      <c r="F178" s="1"/>
      <c r="G178" s="210"/>
      <c r="H178" s="210"/>
      <c r="I178" s="210"/>
    </row>
    <row r="179" spans="1:9" ht="18" customHeight="1" x14ac:dyDescent="0.25">
      <c r="A179" s="210"/>
      <c r="B179" s="778" t="s">
        <v>392</v>
      </c>
      <c r="C179" s="391">
        <f ca="1">IF(CokingRefineryPFD!$E$32=1,HydroRefineryCalcs!Q1418,HydroRefineryCalcs!Q1418)</f>
        <v>0.1229598995278396</v>
      </c>
      <c r="D179" s="776">
        <f ca="1">IF(CokingRefineryPFD!$E$32=1,HydroRefineryCalcs!Q1445/'Energy &amp; Unit Conversions'!$E$93,HydroRefineryCalcs!Q1445/'Energy &amp; Unit Conversions'!$E$93)</f>
        <v>1.8907496819978744E-2</v>
      </c>
      <c r="E179" s="210"/>
      <c r="F179" s="1"/>
      <c r="G179" s="210"/>
      <c r="H179" s="210"/>
      <c r="I179" s="210"/>
    </row>
    <row r="180" spans="1:9" ht="18" customHeight="1" x14ac:dyDescent="0.25">
      <c r="A180" s="210"/>
      <c r="B180" s="763" t="s">
        <v>1027</v>
      </c>
      <c r="C180" s="659" t="str">
        <f>IF(CokingRefineryPFD!$E$32=1," ",HydroRefineryCalcs!Q1237)</f>
        <v xml:space="preserve"> </v>
      </c>
      <c r="D180" s="776" t="str">
        <f>IF(CokingRefineryPFD!$E$32=1," ",HydroRefineryCalcs!Q1250/'Energy &amp; Unit Conversions'!$E$93)</f>
        <v xml:space="preserve"> </v>
      </c>
      <c r="E180" s="210"/>
      <c r="F180" s="1"/>
      <c r="G180" s="210"/>
      <c r="H180" s="210"/>
      <c r="I180" s="210"/>
    </row>
    <row r="181" spans="1:9" ht="18" customHeight="1" x14ac:dyDescent="0.25">
      <c r="A181" s="210"/>
      <c r="B181" s="778" t="s">
        <v>1036</v>
      </c>
      <c r="C181" s="391">
        <f ca="1">IF(CokingRefineryPFD!$E$32=1,HydroRefineryCalcs!Q1420,"N/A")</f>
        <v>0</v>
      </c>
      <c r="D181" s="776">
        <f ca="1">IF(CokingRefineryPFD!$E$32=1,HydroRefineryCalcs!Q1447/'Energy &amp; Unit Conversions'!$E$93,"N/A")</f>
        <v>0</v>
      </c>
      <c r="E181" s="210"/>
      <c r="F181" s="1"/>
      <c r="G181" s="210"/>
      <c r="H181" s="210"/>
      <c r="I181" s="210"/>
    </row>
    <row r="182" spans="1:9" ht="18" customHeight="1" x14ac:dyDescent="0.25">
      <c r="A182" s="210"/>
      <c r="B182" s="778" t="s">
        <v>1037</v>
      </c>
      <c r="C182" s="391">
        <f ca="1">IF(CokingRefineryPFD!$E$32=1,HydroRefineryCalcs!Q1421,"N/A")</f>
        <v>0</v>
      </c>
      <c r="D182" s="776">
        <f ca="1">IF(CokingRefineryPFD!$E$32=1,HydroRefineryCalcs!Q1448/'Energy &amp; Unit Conversions'!$E$93,"N/A")</f>
        <v>0</v>
      </c>
      <c r="E182" s="210"/>
      <c r="F182" s="1"/>
      <c r="G182" s="210"/>
      <c r="H182" s="210"/>
      <c r="I182" s="210"/>
    </row>
    <row r="183" spans="1:9" ht="18" customHeight="1" x14ac:dyDescent="0.25">
      <c r="A183" s="210"/>
      <c r="B183" s="778" t="s">
        <v>1034</v>
      </c>
      <c r="C183" s="391">
        <f ca="1">IF(CokingRefineryPFD!$E$32=1,HydroRefineryCalcs!Q1422,"N/A")</f>
        <v>0.34314065453646719</v>
      </c>
      <c r="D183" s="776">
        <f ca="1">IF(CokingRefineryPFD!$E$32=1,HydroRefineryCalcs!Q1449/'Energy &amp; Unit Conversions'!$E$93,"N/A")</f>
        <v>5.2764607480707409E-2</v>
      </c>
      <c r="E183" s="210"/>
      <c r="F183" s="1"/>
      <c r="G183" s="210"/>
      <c r="H183" s="210"/>
      <c r="I183" s="210"/>
    </row>
    <row r="184" spans="1:9" ht="18" customHeight="1" x14ac:dyDescent="0.25">
      <c r="A184" s="210"/>
      <c r="B184" s="778" t="s">
        <v>1028</v>
      </c>
      <c r="C184" s="391">
        <f ca="1">IF(CokingRefineryPFD!$E$32=1,HydroRefineryCalcs!Q1423,"N/A")</f>
        <v>0</v>
      </c>
      <c r="D184" s="776">
        <f ca="1">IF(CokingRefineryPFD!$E$32=1,HydroRefineryCalcs!Q1450/'Energy &amp; Unit Conversions'!$E$93,"N/A")</f>
        <v>0</v>
      </c>
      <c r="E184" s="210"/>
      <c r="F184" s="1"/>
      <c r="G184" s="210"/>
      <c r="H184" s="210"/>
      <c r="I184" s="210"/>
    </row>
    <row r="185" spans="1:9" ht="18" customHeight="1" x14ac:dyDescent="0.25">
      <c r="A185" s="210"/>
      <c r="B185" s="778" t="s">
        <v>1029</v>
      </c>
      <c r="C185" s="391">
        <f ca="1">IF(CokingRefineryPFD!$E$32=1,HydroRefineryCalcs!Q1424,"N/A")</f>
        <v>30.328088153475626</v>
      </c>
      <c r="D185" s="776">
        <f ca="1">IF(CokingRefineryPFD!$E$32=1,HydroRefineryCalcs!Q1451/'Energy &amp; Unit Conversions'!$E$93,"N/A")</f>
        <v>2.044454803106543</v>
      </c>
      <c r="E185" s="210"/>
      <c r="F185" s="1"/>
      <c r="G185" s="210"/>
      <c r="H185" s="210"/>
      <c r="I185" s="210"/>
    </row>
    <row r="186" spans="1:9" ht="18" customHeight="1" x14ac:dyDescent="0.25">
      <c r="A186" s="210"/>
      <c r="B186" s="778" t="s">
        <v>1038</v>
      </c>
      <c r="C186" s="391">
        <f ca="1">IF(CokingRefineryPFD!$E$32=1,HydroRefineryCalcs!Q1425,"N/A")</f>
        <v>0</v>
      </c>
      <c r="D186" s="776">
        <f ca="1">IF(CokingRefineryPFD!$E$32=1,HydroRefineryCalcs!Q1452/'Energy &amp; Unit Conversions'!$E$93,"N/A")</f>
        <v>0</v>
      </c>
      <c r="E186" s="210"/>
      <c r="F186" s="1"/>
      <c r="G186" s="210"/>
      <c r="H186" s="210"/>
      <c r="I186" s="210"/>
    </row>
    <row r="187" spans="1:9" ht="18" customHeight="1" x14ac:dyDescent="0.25">
      <c r="A187" s="210"/>
      <c r="B187" s="778" t="s">
        <v>1039</v>
      </c>
      <c r="C187" s="391">
        <f ca="1">IF(CokingRefineryPFD!$E$32=1,HydroRefineryCalcs!Q1426,"N/A")</f>
        <v>26.867162105376622</v>
      </c>
      <c r="D187" s="776">
        <f ca="1">IF(CokingRefineryPFD!$E$32=1,HydroRefineryCalcs!Q1453/'Energy &amp; Unit Conversions'!$E$93,"N/A")</f>
        <v>1.8034597373274162</v>
      </c>
      <c r="E187" s="750"/>
      <c r="F187" s="1"/>
      <c r="G187" s="210"/>
      <c r="H187" s="210"/>
      <c r="I187" s="210"/>
    </row>
    <row r="188" spans="1:9" ht="18" customHeight="1" x14ac:dyDescent="0.25">
      <c r="A188" s="210"/>
      <c r="B188" s="763" t="s">
        <v>1053</v>
      </c>
      <c r="C188" s="391">
        <f ca="1">IF(CokingRefineryPFD!$E$32=1,HydroRefineryCalcs!Q1427,HydroRefineryCalcs!Q1236)</f>
        <v>63.987061858975395</v>
      </c>
      <c r="D188" s="776">
        <f ca="1">IF(CokingRefineryPFD!$E$32=1,HydroRefineryCalcs!Q1454/'Energy &amp; Unit Conversions'!$E$93,HydroRefineryCalcs!Q1249/'Energy &amp; Unit Conversions'!$E$93)</f>
        <v>0</v>
      </c>
      <c r="E188" s="210"/>
      <c r="F188" s="1"/>
      <c r="G188" s="210"/>
      <c r="H188" s="210"/>
      <c r="I188" s="210"/>
    </row>
    <row r="189" spans="1:9" ht="18" customHeight="1" x14ac:dyDescent="0.25">
      <c r="A189" s="210"/>
      <c r="B189" s="763" t="s">
        <v>1051</v>
      </c>
      <c r="C189" s="391">
        <f ca="1">IF(CokingRefineryPFD!$E$32=1,HydroRefineryCalcs!Q1428,HydroRefineryCalcs!Q1238)</f>
        <v>3.6208521993155862E-19</v>
      </c>
      <c r="D189" s="776">
        <f ca="1">IF(CokingRefineryPFD!$E$32=1,HydroRefineryCalcs!Q1455/'Energy &amp; Unit Conversions'!$E$93,HydroRefineryCalcs!Q1251/'Energy &amp; Unit Conversions'!$E$93)</f>
        <v>3.6301555934314318E-20</v>
      </c>
      <c r="E189" s="210"/>
      <c r="F189" s="1"/>
      <c r="G189" s="210"/>
      <c r="H189" s="210"/>
      <c r="I189" s="210"/>
    </row>
    <row r="190" spans="1:9" ht="18" customHeight="1" x14ac:dyDescent="0.25">
      <c r="A190" s="210"/>
      <c r="B190" s="763" t="s">
        <v>976</v>
      </c>
      <c r="C190" s="391">
        <f ca="1">IF(CokingRefineryPFD!$E$32=1,HydroRefineryCalcs!Q1429,"N/A")</f>
        <v>0</v>
      </c>
      <c r="D190" s="776">
        <f ca="1">IF(CokingRefineryPFD!$E$32=1,HydroRefineryCalcs!Q1456/'Energy &amp; Unit Conversions'!$E$93,"N/A")</f>
        <v>0</v>
      </c>
      <c r="E190" s="210"/>
      <c r="F190" s="1"/>
      <c r="G190" s="210"/>
      <c r="H190" s="210"/>
      <c r="I190" s="210"/>
    </row>
    <row r="191" spans="1:9" ht="18" customHeight="1" x14ac:dyDescent="0.25">
      <c r="A191" s="210"/>
      <c r="B191" s="779" t="s">
        <v>1504</v>
      </c>
      <c r="C191" s="754">
        <f ca="1">IF(CokingRefineryPFD!$E$32=1,HydroRefineryCalcs!Q1430,HydroRefineryCalcs!Q1239)</f>
        <v>370.83268498493641</v>
      </c>
      <c r="D191" s="785">
        <f ca="1">IF(CokingRefineryPFD!$E$32=1,HydroRefineryCalcs!Q1458/'Energy &amp; Unit Conversions'!$E$93,HydroRefineryCalcs!Q1252/'Energy &amp; Unit Conversions'!$E$93)</f>
        <v>20.77777508034518</v>
      </c>
      <c r="E191" s="210"/>
      <c r="F191" s="1"/>
      <c r="G191" s="210"/>
      <c r="H191" s="210"/>
      <c r="I191" s="210"/>
    </row>
    <row r="192" spans="1:9" ht="18" customHeight="1" x14ac:dyDescent="0.25">
      <c r="A192" s="210"/>
      <c r="B192" s="783" t="s">
        <v>31</v>
      </c>
      <c r="C192" s="748">
        <f ca="1">IF(CokingRefineryPFD!$E$32=1,HydroRefineryCalcs!Q1431,HydroRefineryCalcs!Q1240)</f>
        <v>6003.2652542992782</v>
      </c>
      <c r="D192" s="794"/>
      <c r="E192" s="210"/>
      <c r="F192" s="1"/>
      <c r="G192" s="210"/>
      <c r="H192" s="210"/>
      <c r="I192" s="210"/>
    </row>
    <row r="193" spans="1:9" ht="18" customHeight="1" x14ac:dyDescent="0.25">
      <c r="A193" s="210"/>
      <c r="B193" s="795" t="s">
        <v>979</v>
      </c>
      <c r="C193" s="664">
        <f ca="1">IF(CokingRefineryPFD!$E$32=1,HydroRefineryCalcs!Q1432,CokingRefineryCalcs!R1177)</f>
        <v>0</v>
      </c>
      <c r="D193" s="796"/>
      <c r="E193" s="210"/>
      <c r="F193" s="1"/>
      <c r="G193" s="210"/>
      <c r="H193" s="210"/>
      <c r="I193" s="210"/>
    </row>
    <row r="194" spans="1:9" ht="18" customHeight="1" x14ac:dyDescent="0.2">
      <c r="A194" s="210"/>
      <c r="B194" s="797"/>
      <c r="C194" s="391"/>
      <c r="D194" s="776"/>
      <c r="E194" s="210"/>
      <c r="F194" s="210"/>
      <c r="G194" s="210"/>
      <c r="H194" s="210"/>
      <c r="I194" s="210"/>
    </row>
    <row r="195" spans="1:9" ht="18" customHeight="1" x14ac:dyDescent="0.2">
      <c r="A195" s="210"/>
      <c r="B195" s="791" t="s">
        <v>1498</v>
      </c>
      <c r="C195" s="759" t="s">
        <v>1500</v>
      </c>
      <c r="D195" s="798" t="s">
        <v>1499</v>
      </c>
      <c r="E195" s="210"/>
      <c r="F195" s="210"/>
      <c r="G195" s="210"/>
      <c r="H195" s="210"/>
      <c r="I195" s="210"/>
    </row>
    <row r="196" spans="1:9" ht="18" customHeight="1" x14ac:dyDescent="0.2">
      <c r="A196" s="210"/>
      <c r="B196" s="779" t="s">
        <v>519</v>
      </c>
      <c r="C196" s="754">
        <f ca="1">IF(CokingRefineryPFD!$E$32=1,HydroRefineryCalcs!D1377,HydroRefineryCalcs!D1211)</f>
        <v>0.1919935817584025</v>
      </c>
      <c r="D196" s="785">
        <f ca="1">IF(CokingRefineryPFD!$E$32=1,HydroRefineryCalcs!D$1404,HydroRefineryCalcs!D$1224)</f>
        <v>10.5035302779888</v>
      </c>
      <c r="E196" s="760"/>
      <c r="F196" s="210"/>
      <c r="G196" s="210"/>
      <c r="H196" s="210"/>
      <c r="I196" s="210"/>
    </row>
    <row r="197" spans="1:9" ht="18" customHeight="1" x14ac:dyDescent="0.2">
      <c r="A197" s="210"/>
      <c r="B197" s="763" t="s">
        <v>521</v>
      </c>
      <c r="C197" s="391">
        <f ca="1">IF(CokingRefineryPFD!$E$32=1,HydroRefineryCalcs!E1377,HydroRefineryCalcs!E1211)</f>
        <v>6.3498776885761096E-2</v>
      </c>
      <c r="D197" s="776">
        <f ca="1">IF(CokingRefineryPFD!$E$32=1,HydroRefineryCalcs!E$1404,HydroRefineryCalcs!E$1224)</f>
        <v>3.7133044608850749</v>
      </c>
      <c r="E197" s="760"/>
      <c r="F197" s="210"/>
      <c r="G197" s="210"/>
      <c r="H197" s="210"/>
      <c r="I197" s="210"/>
    </row>
    <row r="198" spans="1:9" ht="18" customHeight="1" x14ac:dyDescent="0.2">
      <c r="A198" s="210"/>
      <c r="B198" s="779" t="s">
        <v>489</v>
      </c>
      <c r="C198" s="754">
        <f ca="1">IF(CokingRefineryPFD!$E$32=1,HydroRefineryCalcs!F1377,HydroRefineryCalcs!F1211)</f>
        <v>6.3713582826314202E-2</v>
      </c>
      <c r="D198" s="785">
        <f ca="1">IF(CokingRefineryPFD!$E$32=1,HydroRefineryCalcs!F$1404,HydroRefineryCalcs!F$1224)</f>
        <v>3.6607956583475678</v>
      </c>
      <c r="E198" s="760"/>
      <c r="F198" s="210"/>
      <c r="G198" s="210"/>
      <c r="H198" s="210"/>
      <c r="I198" s="210"/>
    </row>
    <row r="199" spans="1:9" ht="18" customHeight="1" x14ac:dyDescent="0.2">
      <c r="A199" s="210"/>
      <c r="B199" s="763" t="s">
        <v>520</v>
      </c>
      <c r="C199" s="391">
        <f ca="1">IF(CokingRefineryPFD!$E$32=1,HydroRefineryCalcs!G1377,HydroRefineryCalcs!G1211)</f>
        <v>0</v>
      </c>
      <c r="D199" s="776">
        <f ca="1">IF(CokingRefineryPFD!$E$32=1,HydroRefineryCalcs!G$1404,HydroRefineryCalcs!G$1224)</f>
        <v>0</v>
      </c>
      <c r="E199" s="760"/>
      <c r="F199" s="210"/>
      <c r="G199" s="210"/>
      <c r="H199" s="210"/>
      <c r="I199" s="210"/>
    </row>
    <row r="200" spans="1:9" ht="18" customHeight="1" x14ac:dyDescent="0.2">
      <c r="A200" s="210"/>
      <c r="B200" s="763" t="s">
        <v>353</v>
      </c>
      <c r="C200" s="391">
        <f ca="1">IF(CokingRefineryPFD!$E$32=1,HydroRefineryCalcs!I1377,HydroRefineryCalcs!I1211)</f>
        <v>0</v>
      </c>
      <c r="D200" s="776">
        <f ca="1">IF(CokingRefineryPFD!$E$32=1,HydroRefineryCalcs!I$1404,HydroRefineryCalcs!I$1224)</f>
        <v>0</v>
      </c>
      <c r="E200" s="760"/>
      <c r="F200" s="210"/>
      <c r="G200" s="210"/>
      <c r="H200" s="210"/>
      <c r="I200" s="210"/>
    </row>
    <row r="201" spans="1:9" ht="18" customHeight="1" x14ac:dyDescent="0.2">
      <c r="A201" s="210"/>
      <c r="B201" s="763" t="s">
        <v>1939</v>
      </c>
      <c r="C201" s="391">
        <f ca="1">IF(CokingRefineryPFD!$E$32=1,HydroRefineryCalcs!H1377,HydroRefineryCalcs!H1211)</f>
        <v>0</v>
      </c>
      <c r="D201" s="776">
        <f ca="1">IF(CokingRefineryPFD!$E$32=1,HydroRefineryCalcs!H$1404,HydroRefineryCalcs!H$1224)</f>
        <v>0</v>
      </c>
      <c r="E201" s="760"/>
      <c r="F201" s="210"/>
      <c r="G201" s="210"/>
      <c r="H201" s="210"/>
      <c r="I201" s="210"/>
    </row>
    <row r="202" spans="1:9" ht="18" customHeight="1" x14ac:dyDescent="0.2">
      <c r="A202" s="210"/>
      <c r="B202" s="763" t="s">
        <v>19</v>
      </c>
      <c r="C202" s="391">
        <f ca="1">IF(CokingRefineryPFD!$E$32=1,HydroRefineryCalcs!M1377,HydroRefineryCalcs!M1211)</f>
        <v>0</v>
      </c>
      <c r="D202" s="776">
        <f ca="1">IF(CokingRefineryPFD!$E$32=1,HydroRefineryCalcs!M$1404,HydroRefineryCalcs!M$1224)</f>
        <v>0</v>
      </c>
      <c r="E202" s="760"/>
      <c r="F202" s="210"/>
      <c r="G202" s="210"/>
      <c r="H202" s="210"/>
      <c r="I202" s="210"/>
    </row>
    <row r="203" spans="1:9" ht="18" customHeight="1" x14ac:dyDescent="0.2">
      <c r="A203" s="210"/>
      <c r="B203" s="763" t="s">
        <v>971</v>
      </c>
      <c r="C203" s="391">
        <f ca="1">IF(HydroRefineryCalcs!D1296=0,0,IF(CokingRefineryPFD!$E$32=1,HydroRefineryCalcs!K1377,HydroRefineryCalcs!K1211))</f>
        <v>0</v>
      </c>
      <c r="D203" s="776">
        <f ca="1">IF(HydroRefineryCalcs!D1296=0,0,IF(CokingRefineryPFD!$E$32=1,HydroRefineryCalcs!K$1404,HydroRefineryCalcs!K$1224))</f>
        <v>0</v>
      </c>
      <c r="E203" s="760"/>
      <c r="F203" s="210"/>
      <c r="G203" s="210"/>
      <c r="H203" s="210"/>
      <c r="I203" s="210"/>
    </row>
    <row r="204" spans="1:9" ht="18" customHeight="1" x14ac:dyDescent="0.2">
      <c r="A204" s="210"/>
      <c r="B204" s="763" t="s">
        <v>1487</v>
      </c>
      <c r="C204" s="391">
        <f ca="1">IF(CokingRefineryPFD!$E$32=1,HydroRefineryCalcs!J$1377,HydroRefineryCalcs!J$1211)</f>
        <v>0</v>
      </c>
      <c r="D204" s="776">
        <f ca="1">IF(CokingRefineryPFD!$E$32=1,HydroRefineryCalcs!J$1404,HydroRefineryCalcs!J$1224)</f>
        <v>0</v>
      </c>
      <c r="E204" s="760"/>
      <c r="F204" s="210"/>
      <c r="G204" s="210"/>
      <c r="H204" s="210"/>
      <c r="I204" s="210"/>
    </row>
    <row r="205" spans="1:9" ht="18" customHeight="1" x14ac:dyDescent="0.2">
      <c r="A205" s="210"/>
      <c r="B205" s="763" t="s">
        <v>1914</v>
      </c>
      <c r="C205" s="391">
        <f ca="1">IF(CokingRefineryPFD!$E$32=1,HydroRefineryCalcs!N$1377,HydroRefineryCalcs!N$1211)</f>
        <v>0</v>
      </c>
      <c r="D205" s="776">
        <f ca="1">IF(CokingRefineryPFD!$E$32=1,HydroRefineryCalcs!N$1404,HydroRefineryCalcs!N$1224)</f>
        <v>0</v>
      </c>
      <c r="E205" s="760"/>
      <c r="F205" s="210"/>
      <c r="G205" s="210"/>
      <c r="H205" s="210"/>
      <c r="I205" s="210"/>
    </row>
    <row r="206" spans="1:9" ht="18" customHeight="1" x14ac:dyDescent="0.2">
      <c r="A206" s="210"/>
      <c r="B206" s="763" t="s">
        <v>1886</v>
      </c>
      <c r="C206" s="391">
        <f ca="1">IF(CokingRefineryPFD!$E$32=1,HydroRefineryCalcs!O$1377,HydroRefineryCalcs!O$1211)</f>
        <v>0</v>
      </c>
      <c r="D206" s="776">
        <f ca="1">IF(CokingRefineryPFD!$E$32=1,HydroRefineryCalcs!O$1404,HydroRefineryCalcs!O$1224)</f>
        <v>0</v>
      </c>
      <c r="E206" s="760"/>
      <c r="F206" s="210"/>
      <c r="G206" s="210"/>
      <c r="H206" s="210"/>
      <c r="I206" s="210"/>
    </row>
    <row r="207" spans="1:9" ht="18" customHeight="1" x14ac:dyDescent="0.2">
      <c r="A207" s="210"/>
      <c r="B207" s="763" t="s">
        <v>1909</v>
      </c>
      <c r="C207" s="391">
        <f ca="1">IF(CokingRefineryPFD!$E$32=1,HydroRefineryCalcs!P$1377,HydroRefineryCalcs!P$1211)</f>
        <v>0</v>
      </c>
      <c r="D207" s="776">
        <f ca="1">IF(CokingRefineryPFD!$E$32=1,HydroRefineryCalcs!P$1404,HydroRefineryCalcs!P$1224)</f>
        <v>0</v>
      </c>
      <c r="E207" s="760"/>
      <c r="F207" s="210"/>
      <c r="G207" s="210"/>
      <c r="H207" s="210"/>
      <c r="I207" s="210"/>
    </row>
    <row r="208" spans="1:9" ht="18" customHeight="1" x14ac:dyDescent="0.2">
      <c r="A208" s="210"/>
      <c r="B208" s="763"/>
      <c r="C208" s="391"/>
      <c r="D208" s="776"/>
      <c r="E208" s="210"/>
      <c r="F208" s="210"/>
      <c r="G208" s="210"/>
      <c r="H208" s="210"/>
      <c r="I208" s="210"/>
    </row>
    <row r="209" spans="1:9" ht="18" customHeight="1" x14ac:dyDescent="0.2">
      <c r="A209" s="210"/>
      <c r="B209" s="799"/>
      <c r="C209" s="391"/>
      <c r="D209" s="776"/>
      <c r="E209" s="210"/>
      <c r="F209" s="210"/>
      <c r="G209" s="210"/>
      <c r="H209" s="210"/>
      <c r="I209" s="210"/>
    </row>
    <row r="210" spans="1:9" ht="18" customHeight="1" x14ac:dyDescent="0.2">
      <c r="A210" s="210"/>
      <c r="B210" s="791" t="s">
        <v>1503</v>
      </c>
      <c r="C210" s="759" t="s">
        <v>1500</v>
      </c>
      <c r="D210" s="798" t="s">
        <v>1499</v>
      </c>
      <c r="E210" s="210"/>
      <c r="F210" s="210"/>
      <c r="G210" s="210"/>
      <c r="H210" s="210"/>
      <c r="I210" s="210"/>
    </row>
    <row r="211" spans="1:9" ht="18" customHeight="1" x14ac:dyDescent="0.2">
      <c r="A211" s="210"/>
      <c r="B211" s="793" t="s">
        <v>160</v>
      </c>
      <c r="C211" s="391"/>
      <c r="D211" s="776"/>
      <c r="E211" s="210"/>
      <c r="F211" s="210"/>
      <c r="G211" s="210"/>
      <c r="H211" s="210"/>
      <c r="I211" s="210"/>
    </row>
    <row r="212" spans="1:9" ht="18" customHeight="1" x14ac:dyDescent="0.2">
      <c r="A212" s="210"/>
      <c r="B212" s="763" t="s">
        <v>263</v>
      </c>
      <c r="C212" s="391">
        <f ca="1">IF(CokingRefineryPFD!$E$32=1,HydroRefineryCalcs!D1355,HydroRefineryCalcs!D1203)</f>
        <v>1.825850910665068</v>
      </c>
      <c r="D212" s="776">
        <f>IF(CokingRefineryPFD!$E$32=1,HydroRefineryCalcs!D1382,HydroRefineryCalcs!D1217)</f>
        <v>0</v>
      </c>
      <c r="E212" s="210"/>
      <c r="F212" s="210"/>
      <c r="G212" s="210"/>
      <c r="H212" s="210"/>
      <c r="I212" s="210"/>
    </row>
    <row r="213" spans="1:9" ht="18" customHeight="1" x14ac:dyDescent="0.2">
      <c r="A213" s="210"/>
      <c r="B213" s="793" t="s">
        <v>201</v>
      </c>
      <c r="C213" s="391"/>
      <c r="D213" s="776"/>
      <c r="E213" s="210"/>
      <c r="F213" s="210"/>
      <c r="G213" s="210"/>
      <c r="H213" s="210"/>
      <c r="I213" s="210"/>
    </row>
    <row r="214" spans="1:9" ht="18" customHeight="1" x14ac:dyDescent="0.2">
      <c r="A214" s="210"/>
      <c r="B214" s="763" t="s">
        <v>392</v>
      </c>
      <c r="C214" s="391">
        <f ca="1">IF(CokingRefineryPFD!$E$32=1,HydroRefineryCalcs!D1357,HydroRefineryCalcs!D1205)</f>
        <v>5.1483981475435488E-3</v>
      </c>
      <c r="D214" s="776">
        <f ca="1">IF(CokingRefineryPFD!$E$32=1,HydroRefineryCalcs!D1384,HydroRefineryCalcs!D1218)</f>
        <v>0.79166721814557428</v>
      </c>
      <c r="E214" s="210"/>
      <c r="F214" s="210"/>
      <c r="G214" s="210"/>
      <c r="H214" s="210"/>
      <c r="I214" s="210"/>
    </row>
    <row r="215" spans="1:9" ht="18" customHeight="1" x14ac:dyDescent="0.2">
      <c r="A215" s="210"/>
      <c r="B215" s="763" t="s">
        <v>1023</v>
      </c>
      <c r="C215" s="391"/>
      <c r="D215" s="776"/>
      <c r="E215" s="210"/>
      <c r="F215" s="210"/>
      <c r="G215" s="210"/>
      <c r="H215" s="210"/>
      <c r="I215" s="210"/>
    </row>
    <row r="216" spans="1:9" ht="18" customHeight="1" x14ac:dyDescent="0.2">
      <c r="A216" s="210"/>
      <c r="B216" s="767" t="s">
        <v>971</v>
      </c>
      <c r="C216" s="391">
        <f ca="1">IF(CokingRefineryPFD!$E$32=1,HydroRefineryCalcs!D1359,"N/A")</f>
        <v>5.6504225329004419E-2</v>
      </c>
      <c r="D216" s="776">
        <f ca="1">IF(CokingRefineryPFD!$E$32=1,HydroRefineryCalcs!D1386,"N/A")</f>
        <v>3.3828167462767684</v>
      </c>
      <c r="E216" s="210"/>
      <c r="F216" s="210"/>
      <c r="G216" s="210"/>
      <c r="H216" s="210"/>
      <c r="I216" s="210"/>
    </row>
    <row r="217" spans="1:9" ht="18" customHeight="1" x14ac:dyDescent="0.2">
      <c r="A217" s="210"/>
      <c r="B217" s="767" t="s">
        <v>314</v>
      </c>
      <c r="C217" s="391">
        <f ca="1">IF(CokingRefineryPFD!$E$32=1,HydroRefineryCalcs!D1360,HydroRefineryCalcs!D1206)</f>
        <v>4.8219469457969795E-2</v>
      </c>
      <c r="D217" s="776">
        <f ca="1">IF(CokingRefineryPFD!$E$32=1,HydroRefineryCalcs!D1387,HydroRefineryCalcs!D1219)</f>
        <v>3.2505354586717647</v>
      </c>
      <c r="E217" s="210"/>
      <c r="F217" s="210"/>
      <c r="G217" s="210"/>
      <c r="H217" s="210"/>
      <c r="I217" s="210"/>
    </row>
    <row r="218" spans="1:9" ht="18" customHeight="1" x14ac:dyDescent="0.2">
      <c r="A218" s="210"/>
      <c r="B218" s="763" t="s">
        <v>485</v>
      </c>
      <c r="C218" s="391"/>
      <c r="D218" s="776"/>
      <c r="E218" s="210"/>
      <c r="F218" s="210"/>
      <c r="G218" s="210"/>
      <c r="H218" s="210"/>
      <c r="I218" s="210"/>
    </row>
    <row r="219" spans="1:9" ht="18" customHeight="1" x14ac:dyDescent="0.2">
      <c r="A219" s="210"/>
      <c r="B219" s="767" t="s">
        <v>971</v>
      </c>
      <c r="C219" s="391">
        <f ca="1">IF(CokingRefineryPFD!$E$32=1,HydroRefineryCalcs!D1362,"N/A")</f>
        <v>0</v>
      </c>
      <c r="D219" s="776">
        <f ca="1">IF(CokingRefineryPFD!$E$32=1,HydroRefineryCalcs!D1389,"N/A")</f>
        <v>0</v>
      </c>
      <c r="E219" s="210"/>
      <c r="F219" s="210"/>
      <c r="G219" s="210"/>
      <c r="H219" s="210"/>
      <c r="I219" s="210"/>
    </row>
    <row r="220" spans="1:9" ht="18" customHeight="1" x14ac:dyDescent="0.2">
      <c r="A220" s="210"/>
      <c r="B220" s="767" t="s">
        <v>90</v>
      </c>
      <c r="C220" s="391">
        <f ca="1">IF(CokingRefineryPFD!$E$32=1,HydroRefineryCalcs!D1363,HydroRefineryCalcs!D1207)</f>
        <v>1.2321963863719082E-2</v>
      </c>
      <c r="D220" s="776">
        <f ca="1">IF(CokingRefineryPFD!$E$32=1,HydroRefineryCalcs!D1390,HydroRefineryCalcs!D1220)</f>
        <v>0.83063917769570139</v>
      </c>
      <c r="E220" s="210"/>
      <c r="F220" s="210"/>
      <c r="G220" s="210"/>
      <c r="H220" s="210"/>
      <c r="I220" s="210"/>
    </row>
    <row r="221" spans="1:9" ht="18" customHeight="1" x14ac:dyDescent="0.2">
      <c r="A221" s="210"/>
      <c r="B221" s="767" t="s">
        <v>392</v>
      </c>
      <c r="C221" s="391">
        <f ca="1">IF(CokingRefineryPFD!$E$32=1,HydroRefineryCalcs!D1364,HydroRefineryCalcs!D1364)</f>
        <v>6.1413286546993954E-5</v>
      </c>
      <c r="D221" s="776">
        <f ca="1">IF(CokingRefineryPFD!$E$32=1,HydroRefineryCalcs!D1391,HydroRefineryCalcs!D1391)</f>
        <v>9.4434976325662029E-3</v>
      </c>
      <c r="E221" s="210"/>
      <c r="F221" s="210"/>
      <c r="G221" s="210"/>
      <c r="H221" s="210"/>
      <c r="I221" s="210"/>
    </row>
    <row r="222" spans="1:9" ht="18" customHeight="1" x14ac:dyDescent="0.2">
      <c r="A222" s="210"/>
      <c r="B222" s="763" t="s">
        <v>1027</v>
      </c>
      <c r="C222" s="391" t="str">
        <f>IF(CokingRefineryPFD!$E$32=1," ",HydroRefineryCalcs!D1209)</f>
        <v xml:space="preserve"> </v>
      </c>
      <c r="D222" s="776" t="str">
        <f>IF(CokingRefineryPFD!$E$32=1," ",HydroRefineryCalcs!D1222)</f>
        <v xml:space="preserve"> </v>
      </c>
      <c r="E222" s="210"/>
      <c r="F222" s="210"/>
      <c r="G222" s="210"/>
      <c r="H222" s="210"/>
      <c r="I222" s="210"/>
    </row>
    <row r="223" spans="1:9" ht="18" customHeight="1" x14ac:dyDescent="0.2">
      <c r="A223" s="210"/>
      <c r="B223" s="767" t="s">
        <v>1036</v>
      </c>
      <c r="C223" s="391">
        <f ca="1">IF(CokingRefineryPFD!$E$32=1,HydroRefineryCalcs!D1366,"N/A")</f>
        <v>0</v>
      </c>
      <c r="D223" s="776">
        <f ca="1">IF(CokingRefineryPFD!$E$32=1,HydroRefineryCalcs!D1393,"N/A")</f>
        <v>0</v>
      </c>
      <c r="E223" s="210"/>
      <c r="F223" s="210"/>
      <c r="G223" s="210"/>
      <c r="H223" s="210"/>
      <c r="I223" s="210"/>
    </row>
    <row r="224" spans="1:9" ht="18" customHeight="1" x14ac:dyDescent="0.2">
      <c r="A224" s="210"/>
      <c r="B224" s="767" t="s">
        <v>1037</v>
      </c>
      <c r="C224" s="391">
        <f ca="1">IF(CokingRefineryPFD!$E$32=1,HydroRefineryCalcs!D1367,"N/A")</f>
        <v>0</v>
      </c>
      <c r="D224" s="776">
        <f ca="1">IF(CokingRefineryPFD!$E$32=1,HydroRefineryCalcs!D1394,"N/A")</f>
        <v>0</v>
      </c>
      <c r="E224" s="210"/>
      <c r="F224" s="210"/>
      <c r="G224" s="210"/>
      <c r="H224" s="210"/>
      <c r="I224" s="210"/>
    </row>
    <row r="225" spans="1:9" ht="18" customHeight="1" x14ac:dyDescent="0.2">
      <c r="A225" s="210"/>
      <c r="B225" s="767" t="s">
        <v>1034</v>
      </c>
      <c r="C225" s="391">
        <f ca="1">IF(CokingRefineryPFD!$E$32=1,HydroRefineryCalcs!D1368,"N/A")</f>
        <v>1.969133275368024E-4</v>
      </c>
      <c r="D225" s="776">
        <f ca="1">IF(CokingRefineryPFD!$E$32=1,HydroRefineryCalcs!D1395,"N/A")</f>
        <v>3.0279287218924252E-2</v>
      </c>
      <c r="E225" s="210"/>
      <c r="F225" s="210"/>
      <c r="G225" s="210"/>
      <c r="H225" s="210"/>
      <c r="I225" s="210"/>
    </row>
    <row r="226" spans="1:9" ht="18" customHeight="1" x14ac:dyDescent="0.2">
      <c r="A226" s="210"/>
      <c r="B226" s="767" t="s">
        <v>1028</v>
      </c>
      <c r="C226" s="391">
        <f ca="1">IF(CokingRefineryPFD!$E$32=1,HydroRefineryCalcs!D1369,"N/A")</f>
        <v>0</v>
      </c>
      <c r="D226" s="776">
        <f ca="1">IF(CokingRefineryPFD!$E$32=1,HydroRefineryCalcs!D1396,"N/A")</f>
        <v>0</v>
      </c>
      <c r="E226" s="210"/>
      <c r="F226" s="210"/>
      <c r="G226" s="210"/>
      <c r="H226" s="210"/>
      <c r="I226" s="210"/>
    </row>
    <row r="227" spans="1:9" ht="18" customHeight="1" x14ac:dyDescent="0.2">
      <c r="A227" s="210"/>
      <c r="B227" s="767" t="s">
        <v>1029</v>
      </c>
      <c r="C227" s="391">
        <f ca="1">IF(CokingRefineryPFD!$E$32=1,HydroRefineryCalcs!D1370,"N/A")</f>
        <v>1.7403955716636568E-2</v>
      </c>
      <c r="D227" s="776">
        <f ca="1">IF(CokingRefineryPFD!$E$32=1,HydroRefineryCalcs!D1397,"N/A")</f>
        <v>1.1732226798428613</v>
      </c>
      <c r="E227" s="210"/>
      <c r="F227" s="210"/>
      <c r="G227" s="210"/>
      <c r="H227" s="210"/>
      <c r="I227" s="210"/>
    </row>
    <row r="228" spans="1:9" ht="18" customHeight="1" x14ac:dyDescent="0.2">
      <c r="A228" s="210"/>
      <c r="B228" s="767" t="s">
        <v>1038</v>
      </c>
      <c r="C228" s="391">
        <f ca="1">IF(CokingRefineryPFD!$E$32=1,HydroRefineryCalcs!D1371,"N/A")</f>
        <v>0</v>
      </c>
      <c r="D228" s="776">
        <f ca="1">IF(CokingRefineryPFD!$E$32=1,HydroRefineryCalcs!D1398,"N/A")</f>
        <v>0</v>
      </c>
      <c r="E228" s="210"/>
      <c r="F228" s="210"/>
      <c r="G228" s="210"/>
      <c r="H228" s="210"/>
      <c r="I228" s="210"/>
    </row>
    <row r="229" spans="1:9" ht="18" customHeight="1" x14ac:dyDescent="0.2">
      <c r="A229" s="210"/>
      <c r="B229" s="767" t="s">
        <v>1039</v>
      </c>
      <c r="C229" s="391">
        <f ca="1">IF(CokingRefineryPFD!$E$32=1,HydroRefineryCalcs!D1372,"N/A")</f>
        <v>1.5417882497155828E-2</v>
      </c>
      <c r="D229" s="776">
        <f ca="1">IF(CokingRefineryPFD!$E$32=1,HydroRefineryCalcs!D1399,"N/A")</f>
        <v>1.0349262125046401</v>
      </c>
      <c r="E229" s="210"/>
      <c r="F229" s="210"/>
      <c r="G229" s="210"/>
      <c r="H229" s="210"/>
      <c r="I229" s="210"/>
    </row>
    <row r="230" spans="1:9" ht="18" customHeight="1" x14ac:dyDescent="0.2">
      <c r="A230" s="210"/>
      <c r="B230" s="763" t="s">
        <v>1053</v>
      </c>
      <c r="C230" s="391">
        <f ca="1">IF(CokingRefineryPFD!$E$32=1,HydroRefineryCalcs!D1373,HydroRefineryCalcs!D1208)</f>
        <v>3.6719360132289443E-2</v>
      </c>
      <c r="D230" s="776">
        <f ca="1">IF(CokingRefineryPFD!$E$32=1,HydroRefineryCalcs!D1400,HydroRefineryCalcs!D1221)</f>
        <v>0</v>
      </c>
      <c r="E230" s="210"/>
      <c r="F230" s="210"/>
      <c r="G230" s="210"/>
      <c r="H230" s="210"/>
      <c r="I230" s="210"/>
    </row>
    <row r="231" spans="1:9" ht="18" customHeight="1" x14ac:dyDescent="0.2">
      <c r="A231" s="210"/>
      <c r="B231" s="763" t="s">
        <v>1051</v>
      </c>
      <c r="C231" s="391">
        <f ca="1">IF(CokingRefineryPFD!$E$32=1,HydroRefineryCalcs!D1374,HydroRefineryCalcs!D1210)</f>
        <v>2.4634436918619491E-22</v>
      </c>
      <c r="D231" s="776">
        <f ca="1">IF(CokingRefineryPFD!$E$32=1,HydroRefineryCalcs!D1401,HydroRefineryCalcs!D1223)</f>
        <v>2.4697732480785539E-20</v>
      </c>
      <c r="E231" s="210"/>
      <c r="F231" s="210"/>
      <c r="G231" s="210"/>
      <c r="H231" s="210"/>
      <c r="I231" s="210"/>
    </row>
    <row r="232" spans="1:9" ht="18" customHeight="1" x14ac:dyDescent="0.2">
      <c r="A232" s="210"/>
      <c r="B232" s="763" t="s">
        <v>976</v>
      </c>
      <c r="C232" s="391"/>
      <c r="D232" s="776"/>
      <c r="E232" s="210"/>
      <c r="F232" s="210"/>
      <c r="G232" s="210"/>
      <c r="H232" s="210"/>
      <c r="I232" s="210"/>
    </row>
    <row r="233" spans="1:9" ht="18" customHeight="1" x14ac:dyDescent="0.2">
      <c r="A233" s="210"/>
      <c r="B233" s="779" t="s">
        <v>1504</v>
      </c>
      <c r="C233" s="754">
        <f ca="1">IF(CokingRefineryPFD!$E$32=1,HydroRefineryCalcs!D1377,HydroRefineryCalcs!D1211)</f>
        <v>0.1919935817584025</v>
      </c>
      <c r="D233" s="785">
        <f ca="1">IF(CokingRefineryPFD!$E$32=1,HydroRefineryCalcs!D1404,HydroRefineryCalcs!D1224)</f>
        <v>10.5035302779888</v>
      </c>
      <c r="E233" s="210"/>
      <c r="F233" s="210"/>
      <c r="G233" s="210"/>
      <c r="H233" s="210"/>
      <c r="I233" s="210"/>
    </row>
    <row r="234" spans="1:9" ht="18" customHeight="1" x14ac:dyDescent="0.2">
      <c r="A234" s="210"/>
      <c r="B234" s="958" t="s">
        <v>31</v>
      </c>
      <c r="C234" s="959">
        <f ca="1">IF(CokingRefineryPFD!$E$32=1,HydroRefineryCalcs!D1378,HydroRefineryCalcs!D1212)</f>
        <v>2.0178444924234706</v>
      </c>
      <c r="D234" s="960">
        <f ca="1">IF(CokingRefineryPFD!$E$32=1,HydroRefineryCalcs!D1405,HydroRefineryCalcs!D1225)</f>
        <v>10.5035302779888</v>
      </c>
      <c r="E234" s="210"/>
      <c r="F234" s="210"/>
      <c r="G234" s="210"/>
      <c r="H234" s="210"/>
      <c r="I234" s="210"/>
    </row>
  </sheetData>
  <mergeCells count="21">
    <mergeCell ref="B4:D5"/>
    <mergeCell ref="B10:D10"/>
    <mergeCell ref="C8:C9"/>
    <mergeCell ref="D8:D9"/>
    <mergeCell ref="B8:B9"/>
    <mergeCell ref="B11:B12"/>
    <mergeCell ref="C11:C12"/>
    <mergeCell ref="D11:D12"/>
    <mergeCell ref="B121:D121"/>
    <mergeCell ref="B7:D7"/>
    <mergeCell ref="B122:B123"/>
    <mergeCell ref="C122:C123"/>
    <mergeCell ref="D122:D123"/>
    <mergeCell ref="B51:D51"/>
    <mergeCell ref="B166:D166"/>
    <mergeCell ref="B124:D124"/>
    <mergeCell ref="D125:D126"/>
    <mergeCell ref="B125:B126"/>
    <mergeCell ref="C125:C126"/>
    <mergeCell ref="B165:D165"/>
    <mergeCell ref="B52:D52"/>
  </mergeCells>
  <pageMargins left="0.7" right="0.7" top="0.75" bottom="0.75" header="0.3" footer="0.3"/>
  <pageSetup orientation="portrait"/>
  <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1">
    <tabColor rgb="FFFF0000"/>
  </sheetPr>
  <dimension ref="A1:A234"/>
  <sheetViews>
    <sheetView zoomScale="70" zoomScaleNormal="70" zoomScalePageLayoutView="70" workbookViewId="0">
      <selection activeCell="G16" sqref="G16"/>
    </sheetView>
  </sheetViews>
  <sheetFormatPr defaultColWidth="15.7109375" defaultRowHeight="17.25" customHeight="1" x14ac:dyDescent="0.2"/>
  <cols>
    <col min="1" max="1" width="54.7109375" customWidth="1"/>
  </cols>
  <sheetData>
    <row r="1" spans="1:1" ht="17.25" customHeight="1" x14ac:dyDescent="0.25">
      <c r="A1" s="155"/>
    </row>
    <row r="2" spans="1:1" ht="17.25" customHeight="1" x14ac:dyDescent="0.4">
      <c r="A2" s="157"/>
    </row>
    <row r="3" spans="1:1" ht="17.25" customHeight="1" thickBot="1" x14ac:dyDescent="0.3">
      <c r="A3" s="156"/>
    </row>
    <row r="4" spans="1:1" ht="17.25" customHeight="1" x14ac:dyDescent="0.2">
      <c r="A4" s="2368" t="s">
        <v>1509</v>
      </c>
    </row>
    <row r="5" spans="1:1" ht="17.25" customHeight="1" x14ac:dyDescent="0.2">
      <c r="A5" s="2369"/>
    </row>
    <row r="6" spans="1:1" ht="17.25" customHeight="1" x14ac:dyDescent="0.2">
      <c r="A6" s="802"/>
    </row>
    <row r="7" spans="1:1" ht="17.25" customHeight="1" x14ac:dyDescent="0.2">
      <c r="A7" s="803" t="s">
        <v>1555</v>
      </c>
    </row>
    <row r="8" spans="1:1" ht="17.25" customHeight="1" x14ac:dyDescent="0.2">
      <c r="A8" s="2370" t="s">
        <v>1494</v>
      </c>
    </row>
    <row r="9" spans="1:1" ht="17.25" customHeight="1" x14ac:dyDescent="0.2">
      <c r="A9" s="2370"/>
    </row>
    <row r="10" spans="1:1" ht="17.25" customHeight="1" x14ac:dyDescent="0.2">
      <c r="A10" s="804" t="s">
        <v>1344</v>
      </c>
    </row>
    <row r="11" spans="1:1" ht="17.25" customHeight="1" x14ac:dyDescent="0.2">
      <c r="A11" s="2372" t="s">
        <v>1344</v>
      </c>
    </row>
    <row r="12" spans="1:1" ht="17.25" customHeight="1" x14ac:dyDescent="0.2">
      <c r="A12" s="2372"/>
    </row>
    <row r="13" spans="1:1" ht="17.25" customHeight="1" x14ac:dyDescent="0.2">
      <c r="A13" s="805" t="s">
        <v>519</v>
      </c>
    </row>
    <row r="14" spans="1:1" ht="17.25" customHeight="1" x14ac:dyDescent="0.2">
      <c r="A14" s="805" t="s">
        <v>521</v>
      </c>
    </row>
    <row r="15" spans="1:1" ht="17.25" customHeight="1" x14ac:dyDescent="0.2">
      <c r="A15" s="805" t="s">
        <v>489</v>
      </c>
    </row>
    <row r="16" spans="1:1" ht="17.25" customHeight="1" x14ac:dyDescent="0.2">
      <c r="A16" s="805" t="s">
        <v>520</v>
      </c>
    </row>
    <row r="17" spans="1:1" ht="17.25" customHeight="1" x14ac:dyDescent="0.2">
      <c r="A17" s="805" t="s">
        <v>654</v>
      </c>
    </row>
    <row r="18" spans="1:1" ht="17.25" customHeight="1" x14ac:dyDescent="0.2">
      <c r="A18" s="805" t="s">
        <v>1939</v>
      </c>
    </row>
    <row r="19" spans="1:1" ht="17.25" customHeight="1" x14ac:dyDescent="0.2">
      <c r="A19" s="805" t="s">
        <v>1485</v>
      </c>
    </row>
    <row r="20" spans="1:1" ht="17.25" customHeight="1" x14ac:dyDescent="0.2">
      <c r="A20" s="805"/>
    </row>
    <row r="21" spans="1:1" ht="17.25" customHeight="1" x14ac:dyDescent="0.2">
      <c r="A21" s="806" t="s">
        <v>1344</v>
      </c>
    </row>
    <row r="22" spans="1:1" ht="17.25" customHeight="1" x14ac:dyDescent="0.2">
      <c r="A22" s="805" t="s">
        <v>519</v>
      </c>
    </row>
    <row r="23" spans="1:1" ht="17.25" customHeight="1" x14ac:dyDescent="0.2">
      <c r="A23" s="805" t="s">
        <v>521</v>
      </c>
    </row>
    <row r="24" spans="1:1" ht="17.25" customHeight="1" x14ac:dyDescent="0.2">
      <c r="A24" s="805" t="s">
        <v>489</v>
      </c>
    </row>
    <row r="25" spans="1:1" ht="17.25" customHeight="1" x14ac:dyDescent="0.2">
      <c r="A25" s="805" t="s">
        <v>520</v>
      </c>
    </row>
    <row r="26" spans="1:1" ht="17.25" customHeight="1" x14ac:dyDescent="0.2">
      <c r="A26" s="805" t="s">
        <v>654</v>
      </c>
    </row>
    <row r="27" spans="1:1" ht="17.25" customHeight="1" x14ac:dyDescent="0.2">
      <c r="A27" s="805" t="s">
        <v>1939</v>
      </c>
    </row>
    <row r="28" spans="1:1" ht="17.25" customHeight="1" x14ac:dyDescent="0.2">
      <c r="A28" s="805" t="s">
        <v>1486</v>
      </c>
    </row>
    <row r="29" spans="1:1" ht="17.25" customHeight="1" x14ac:dyDescent="0.2">
      <c r="A29" s="805" t="s">
        <v>1488</v>
      </c>
    </row>
    <row r="30" spans="1:1" ht="17.25" customHeight="1" x14ac:dyDescent="0.2">
      <c r="A30" s="805" t="s">
        <v>1914</v>
      </c>
    </row>
    <row r="31" spans="1:1" ht="17.25" customHeight="1" x14ac:dyDescent="0.2">
      <c r="A31" s="805" t="s">
        <v>1886</v>
      </c>
    </row>
    <row r="32" spans="1:1" ht="17.25" customHeight="1" x14ac:dyDescent="0.2">
      <c r="A32" s="805" t="s">
        <v>1909</v>
      </c>
    </row>
    <row r="33" spans="1:1" ht="17.25" customHeight="1" x14ac:dyDescent="0.2">
      <c r="A33" s="805"/>
    </row>
    <row r="34" spans="1:1" ht="17.25" customHeight="1" x14ac:dyDescent="0.2">
      <c r="A34" s="807" t="s">
        <v>765</v>
      </c>
    </row>
    <row r="35" spans="1:1" ht="17.25" customHeight="1" x14ac:dyDescent="0.2">
      <c r="A35" s="807" t="s">
        <v>766</v>
      </c>
    </row>
    <row r="36" spans="1:1" ht="17.25" customHeight="1" x14ac:dyDescent="0.2">
      <c r="A36" s="808"/>
    </row>
    <row r="37" spans="1:1" ht="17.25" customHeight="1" x14ac:dyDescent="0.2">
      <c r="A37" s="809" t="s">
        <v>1507</v>
      </c>
    </row>
    <row r="38" spans="1:1" ht="17.25" customHeight="1" x14ac:dyDescent="0.2">
      <c r="A38" s="805" t="s">
        <v>519</v>
      </c>
    </row>
    <row r="39" spans="1:1" ht="17.25" customHeight="1" x14ac:dyDescent="0.2">
      <c r="A39" s="805" t="s">
        <v>521</v>
      </c>
    </row>
    <row r="40" spans="1:1" ht="17.25" customHeight="1" x14ac:dyDescent="0.2">
      <c r="A40" s="805" t="s">
        <v>489</v>
      </c>
    </row>
    <row r="41" spans="1:1" ht="17.25" customHeight="1" x14ac:dyDescent="0.2">
      <c r="A41" s="810" t="s">
        <v>520</v>
      </c>
    </row>
    <row r="42" spans="1:1" ht="17.25" customHeight="1" x14ac:dyDescent="0.2">
      <c r="A42" s="810" t="s">
        <v>654</v>
      </c>
    </row>
    <row r="43" spans="1:1" ht="17.25" customHeight="1" x14ac:dyDescent="0.2">
      <c r="A43" s="810" t="s">
        <v>1939</v>
      </c>
    </row>
    <row r="44" spans="1:1" ht="17.25" customHeight="1" x14ac:dyDescent="0.2">
      <c r="A44" s="810" t="s">
        <v>1486</v>
      </c>
    </row>
    <row r="45" spans="1:1" ht="17.25" customHeight="1" x14ac:dyDescent="0.2">
      <c r="A45" s="807" t="s">
        <v>1343</v>
      </c>
    </row>
    <row r="46" spans="1:1" ht="17.25" customHeight="1" x14ac:dyDescent="0.2">
      <c r="A46" s="810" t="s">
        <v>1488</v>
      </c>
    </row>
    <row r="47" spans="1:1" ht="17.25" customHeight="1" x14ac:dyDescent="0.2">
      <c r="A47" s="810" t="s">
        <v>1914</v>
      </c>
    </row>
    <row r="48" spans="1:1" ht="17.25" customHeight="1" x14ac:dyDescent="0.2">
      <c r="A48" s="810" t="s">
        <v>1886</v>
      </c>
    </row>
    <row r="49" spans="1:1" ht="17.25" customHeight="1" x14ac:dyDescent="0.2">
      <c r="A49" s="810" t="s">
        <v>1909</v>
      </c>
    </row>
    <row r="50" spans="1:1" ht="17.25" customHeight="1" x14ac:dyDescent="0.2">
      <c r="A50" s="807"/>
    </row>
    <row r="51" spans="1:1" ht="17.25" customHeight="1" x14ac:dyDescent="0.2">
      <c r="A51" s="804" t="s">
        <v>1496</v>
      </c>
    </row>
    <row r="52" spans="1:1" ht="17.25" customHeight="1" x14ac:dyDescent="0.2">
      <c r="A52" s="811"/>
    </row>
    <row r="53" spans="1:1" ht="17.25" customHeight="1" x14ac:dyDescent="0.2">
      <c r="A53" s="812" t="s">
        <v>1505</v>
      </c>
    </row>
    <row r="54" spans="1:1" ht="17.25" customHeight="1" x14ac:dyDescent="0.2">
      <c r="A54" s="813" t="s">
        <v>1497</v>
      </c>
    </row>
    <row r="55" spans="1:1" ht="17.25" customHeight="1" x14ac:dyDescent="0.2">
      <c r="A55" s="814" t="s">
        <v>160</v>
      </c>
    </row>
    <row r="56" spans="1:1" ht="17.25" customHeight="1" x14ac:dyDescent="0.2">
      <c r="A56" s="815" t="s">
        <v>263</v>
      </c>
    </row>
    <row r="57" spans="1:1" ht="17.25" customHeight="1" x14ac:dyDescent="0.2">
      <c r="A57" s="814" t="s">
        <v>201</v>
      </c>
    </row>
    <row r="58" spans="1:1" ht="17.25" customHeight="1" x14ac:dyDescent="0.2">
      <c r="A58" s="805" t="s">
        <v>392</v>
      </c>
    </row>
    <row r="59" spans="1:1" ht="17.25" customHeight="1" x14ac:dyDescent="0.2">
      <c r="A59" s="805" t="s">
        <v>1023</v>
      </c>
    </row>
    <row r="60" spans="1:1" ht="17.25" customHeight="1" x14ac:dyDescent="0.2">
      <c r="A60" s="816" t="s">
        <v>971</v>
      </c>
    </row>
    <row r="61" spans="1:1" ht="17.25" customHeight="1" x14ac:dyDescent="0.2">
      <c r="A61" s="816" t="s">
        <v>90</v>
      </c>
    </row>
    <row r="62" spans="1:1" ht="17.25" customHeight="1" x14ac:dyDescent="0.2">
      <c r="A62" s="805" t="s">
        <v>485</v>
      </c>
    </row>
    <row r="63" spans="1:1" ht="17.25" customHeight="1" x14ac:dyDescent="0.2">
      <c r="A63" s="816" t="s">
        <v>971</v>
      </c>
    </row>
    <row r="64" spans="1:1" ht="17.25" customHeight="1" x14ac:dyDescent="0.2">
      <c r="A64" s="816" t="s">
        <v>90</v>
      </c>
    </row>
    <row r="65" spans="1:1" ht="17.25" customHeight="1" x14ac:dyDescent="0.2">
      <c r="A65" s="816" t="s">
        <v>392</v>
      </c>
    </row>
    <row r="66" spans="1:1" ht="17.25" customHeight="1" x14ac:dyDescent="0.2">
      <c r="A66" s="805" t="s">
        <v>1027</v>
      </c>
    </row>
    <row r="67" spans="1:1" ht="17.25" customHeight="1" x14ac:dyDescent="0.2">
      <c r="A67" s="816" t="s">
        <v>1036</v>
      </c>
    </row>
    <row r="68" spans="1:1" ht="17.25" customHeight="1" x14ac:dyDescent="0.2">
      <c r="A68" s="816" t="s">
        <v>1037</v>
      </c>
    </row>
    <row r="69" spans="1:1" ht="17.25" customHeight="1" x14ac:dyDescent="0.2">
      <c r="A69" s="816" t="s">
        <v>1034</v>
      </c>
    </row>
    <row r="70" spans="1:1" ht="17.25" customHeight="1" x14ac:dyDescent="0.2">
      <c r="A70" s="816" t="s">
        <v>1028</v>
      </c>
    </row>
    <row r="71" spans="1:1" ht="17.25" customHeight="1" x14ac:dyDescent="0.2">
      <c r="A71" s="816" t="s">
        <v>1029</v>
      </c>
    </row>
    <row r="72" spans="1:1" ht="17.25" customHeight="1" x14ac:dyDescent="0.2">
      <c r="A72" s="816" t="s">
        <v>1038</v>
      </c>
    </row>
    <row r="73" spans="1:1" ht="17.25" customHeight="1" x14ac:dyDescent="0.2">
      <c r="A73" s="816" t="s">
        <v>1039</v>
      </c>
    </row>
    <row r="74" spans="1:1" ht="17.25" customHeight="1" x14ac:dyDescent="0.2">
      <c r="A74" s="805" t="s">
        <v>1053</v>
      </c>
    </row>
    <row r="75" spans="1:1" ht="17.25" customHeight="1" x14ac:dyDescent="0.2">
      <c r="A75" s="805" t="s">
        <v>1051</v>
      </c>
    </row>
    <row r="76" spans="1:1" ht="17.25" customHeight="1" x14ac:dyDescent="0.2">
      <c r="A76" s="805" t="s">
        <v>976</v>
      </c>
    </row>
    <row r="77" spans="1:1" ht="17.25" customHeight="1" x14ac:dyDescent="0.2">
      <c r="A77" s="817" t="s">
        <v>1504</v>
      </c>
    </row>
    <row r="78" spans="1:1" ht="17.25" customHeight="1" x14ac:dyDescent="0.2">
      <c r="A78" s="802"/>
    </row>
    <row r="79" spans="1:1" ht="17.25" customHeight="1" x14ac:dyDescent="0.2">
      <c r="A79" s="813" t="s">
        <v>1498</v>
      </c>
    </row>
    <row r="80" spans="1:1" ht="17.25" customHeight="1" x14ac:dyDescent="0.2">
      <c r="A80" s="817" t="s">
        <v>519</v>
      </c>
    </row>
    <row r="81" spans="1:1" ht="17.25" customHeight="1" x14ac:dyDescent="0.2">
      <c r="A81" s="805" t="s">
        <v>521</v>
      </c>
    </row>
    <row r="82" spans="1:1" ht="17.25" customHeight="1" x14ac:dyDescent="0.2">
      <c r="A82" s="818" t="s">
        <v>489</v>
      </c>
    </row>
    <row r="83" spans="1:1" ht="17.25" customHeight="1" x14ac:dyDescent="0.2">
      <c r="A83" s="805" t="s">
        <v>520</v>
      </c>
    </row>
    <row r="84" spans="1:1" ht="17.25" customHeight="1" x14ac:dyDescent="0.2">
      <c r="A84" s="805" t="s">
        <v>654</v>
      </c>
    </row>
    <row r="85" spans="1:1" ht="17.25" customHeight="1" x14ac:dyDescent="0.2">
      <c r="A85" s="805" t="s">
        <v>1939</v>
      </c>
    </row>
    <row r="86" spans="1:1" ht="17.25" customHeight="1" x14ac:dyDescent="0.2">
      <c r="A86" s="805" t="s">
        <v>971</v>
      </c>
    </row>
    <row r="87" spans="1:1" ht="17.25" customHeight="1" x14ac:dyDescent="0.2">
      <c r="A87" s="805" t="s">
        <v>19</v>
      </c>
    </row>
    <row r="88" spans="1:1" ht="17.25" customHeight="1" x14ac:dyDescent="0.2">
      <c r="A88" s="805" t="s">
        <v>1487</v>
      </c>
    </row>
    <row r="89" spans="1:1" ht="17.25" customHeight="1" x14ac:dyDescent="0.2">
      <c r="A89" s="805" t="s">
        <v>1914</v>
      </c>
    </row>
    <row r="90" spans="1:1" ht="17.25" customHeight="1" x14ac:dyDescent="0.2">
      <c r="A90" s="805" t="s">
        <v>1886</v>
      </c>
    </row>
    <row r="91" spans="1:1" ht="17.25" customHeight="1" x14ac:dyDescent="0.2">
      <c r="A91" s="805" t="s">
        <v>1909</v>
      </c>
    </row>
    <row r="92" spans="1:1" ht="17.25" customHeight="1" x14ac:dyDescent="0.2">
      <c r="A92" s="805"/>
    </row>
    <row r="93" spans="1:1" ht="17.25" customHeight="1" x14ac:dyDescent="0.2">
      <c r="A93" s="819" t="s">
        <v>32</v>
      </c>
    </row>
    <row r="94" spans="1:1" ht="17.25" customHeight="1" x14ac:dyDescent="0.2">
      <c r="A94" s="813" t="s">
        <v>1503</v>
      </c>
    </row>
    <row r="95" spans="1:1" ht="17.25" customHeight="1" x14ac:dyDescent="0.2">
      <c r="A95" s="814" t="s">
        <v>160</v>
      </c>
    </row>
    <row r="96" spans="1:1" ht="17.25" customHeight="1" x14ac:dyDescent="0.2">
      <c r="A96" s="815" t="s">
        <v>263</v>
      </c>
    </row>
    <row r="97" spans="1:1" ht="17.25" customHeight="1" x14ac:dyDescent="0.2">
      <c r="A97" s="814" t="s">
        <v>201</v>
      </c>
    </row>
    <row r="98" spans="1:1" ht="17.25" customHeight="1" x14ac:dyDescent="0.2">
      <c r="A98" s="815" t="s">
        <v>392</v>
      </c>
    </row>
    <row r="99" spans="1:1" ht="17.25" customHeight="1" x14ac:dyDescent="0.2">
      <c r="A99" s="805" t="s">
        <v>1023</v>
      </c>
    </row>
    <row r="100" spans="1:1" ht="17.25" customHeight="1" x14ac:dyDescent="0.2">
      <c r="A100" s="816" t="s">
        <v>971</v>
      </c>
    </row>
    <row r="101" spans="1:1" ht="17.25" customHeight="1" x14ac:dyDescent="0.2">
      <c r="A101" s="816" t="s">
        <v>90</v>
      </c>
    </row>
    <row r="102" spans="1:1" ht="17.25" customHeight="1" x14ac:dyDescent="0.2">
      <c r="A102" s="805" t="s">
        <v>485</v>
      </c>
    </row>
    <row r="103" spans="1:1" ht="17.25" customHeight="1" x14ac:dyDescent="0.2">
      <c r="A103" s="816" t="s">
        <v>971</v>
      </c>
    </row>
    <row r="104" spans="1:1" ht="17.25" customHeight="1" x14ac:dyDescent="0.2">
      <c r="A104" s="816" t="s">
        <v>90</v>
      </c>
    </row>
    <row r="105" spans="1:1" ht="17.25" customHeight="1" x14ac:dyDescent="0.2">
      <c r="A105" s="816" t="s">
        <v>392</v>
      </c>
    </row>
    <row r="106" spans="1:1" ht="17.25" customHeight="1" x14ac:dyDescent="0.2">
      <c r="A106" s="805" t="s">
        <v>1027</v>
      </c>
    </row>
    <row r="107" spans="1:1" ht="17.25" customHeight="1" x14ac:dyDescent="0.2">
      <c r="A107" s="816" t="s">
        <v>1036</v>
      </c>
    </row>
    <row r="108" spans="1:1" ht="17.25" customHeight="1" x14ac:dyDescent="0.2">
      <c r="A108" s="816" t="s">
        <v>1037</v>
      </c>
    </row>
    <row r="109" spans="1:1" ht="17.25" customHeight="1" x14ac:dyDescent="0.2">
      <c r="A109" s="816" t="s">
        <v>1034</v>
      </c>
    </row>
    <row r="110" spans="1:1" ht="17.25" customHeight="1" x14ac:dyDescent="0.2">
      <c r="A110" s="816" t="s">
        <v>1028</v>
      </c>
    </row>
    <row r="111" spans="1:1" ht="17.25" customHeight="1" x14ac:dyDescent="0.2">
      <c r="A111" s="816" t="s">
        <v>1029</v>
      </c>
    </row>
    <row r="112" spans="1:1" ht="17.25" customHeight="1" x14ac:dyDescent="0.2">
      <c r="A112" s="816" t="s">
        <v>1038</v>
      </c>
    </row>
    <row r="113" spans="1:1" ht="17.25" customHeight="1" x14ac:dyDescent="0.2">
      <c r="A113" s="816" t="s">
        <v>1039</v>
      </c>
    </row>
    <row r="114" spans="1:1" ht="17.25" customHeight="1" x14ac:dyDescent="0.2">
      <c r="A114" s="805" t="s">
        <v>1053</v>
      </c>
    </row>
    <row r="115" spans="1:1" ht="17.25" customHeight="1" x14ac:dyDescent="0.2">
      <c r="A115" s="805" t="s">
        <v>1051</v>
      </c>
    </row>
    <row r="116" spans="1:1" ht="17.25" customHeight="1" x14ac:dyDescent="0.2">
      <c r="A116" s="805" t="s">
        <v>976</v>
      </c>
    </row>
    <row r="117" spans="1:1" ht="17.25" customHeight="1" x14ac:dyDescent="0.2">
      <c r="A117" s="817" t="s">
        <v>1504</v>
      </c>
    </row>
    <row r="118" spans="1:1" ht="17.25" customHeight="1" x14ac:dyDescent="0.2">
      <c r="A118" s="820"/>
    </row>
    <row r="119" spans="1:1" ht="17.25" customHeight="1" x14ac:dyDescent="0.2">
      <c r="A119" s="820"/>
    </row>
    <row r="120" spans="1:1" ht="17.25" customHeight="1" x14ac:dyDescent="0.2">
      <c r="A120" s="819" t="s">
        <v>31</v>
      </c>
    </row>
    <row r="121" spans="1:1" ht="17.25" customHeight="1" x14ac:dyDescent="0.2">
      <c r="A121" s="821" t="s">
        <v>1510</v>
      </c>
    </row>
    <row r="122" spans="1:1" ht="17.25" customHeight="1" x14ac:dyDescent="0.2">
      <c r="A122" s="2370" t="s">
        <v>1494</v>
      </c>
    </row>
    <row r="123" spans="1:1" ht="17.25" customHeight="1" x14ac:dyDescent="0.2">
      <c r="A123" s="2370"/>
    </row>
    <row r="124" spans="1:1" ht="17.25" customHeight="1" x14ac:dyDescent="0.2">
      <c r="A124" s="822" t="s">
        <v>1344</v>
      </c>
    </row>
    <row r="125" spans="1:1" ht="17.25" customHeight="1" x14ac:dyDescent="0.2">
      <c r="A125" s="2371" t="s">
        <v>1344</v>
      </c>
    </row>
    <row r="126" spans="1:1" ht="17.25" customHeight="1" x14ac:dyDescent="0.2">
      <c r="A126" s="2371"/>
    </row>
    <row r="127" spans="1:1" ht="17.25" customHeight="1" x14ac:dyDescent="0.2">
      <c r="A127" s="805" t="s">
        <v>519</v>
      </c>
    </row>
    <row r="128" spans="1:1" ht="17.25" customHeight="1" x14ac:dyDescent="0.2">
      <c r="A128" s="805" t="s">
        <v>521</v>
      </c>
    </row>
    <row r="129" spans="1:1" ht="17.25" customHeight="1" x14ac:dyDescent="0.2">
      <c r="A129" s="805" t="s">
        <v>489</v>
      </c>
    </row>
    <row r="130" spans="1:1" ht="17.25" customHeight="1" x14ac:dyDescent="0.2">
      <c r="A130" s="805" t="s">
        <v>520</v>
      </c>
    </row>
    <row r="131" spans="1:1" ht="17.25" customHeight="1" x14ac:dyDescent="0.2">
      <c r="A131" s="805" t="s">
        <v>353</v>
      </c>
    </row>
    <row r="132" spans="1:1" ht="17.25" customHeight="1" x14ac:dyDescent="0.2">
      <c r="A132" s="805" t="s">
        <v>983</v>
      </c>
    </row>
    <row r="133" spans="1:1" ht="17.25" customHeight="1" x14ac:dyDescent="0.2">
      <c r="A133" s="805" t="s">
        <v>1939</v>
      </c>
    </row>
    <row r="134" spans="1:1" ht="17.25" customHeight="1" x14ac:dyDescent="0.2">
      <c r="A134" s="805"/>
    </row>
    <row r="135" spans="1:1" ht="17.25" customHeight="1" x14ac:dyDescent="0.2">
      <c r="A135" s="823" t="s">
        <v>1344</v>
      </c>
    </row>
    <row r="136" spans="1:1" ht="17.25" customHeight="1" x14ac:dyDescent="0.2">
      <c r="A136" s="805" t="s">
        <v>519</v>
      </c>
    </row>
    <row r="137" spans="1:1" ht="17.25" customHeight="1" x14ac:dyDescent="0.2">
      <c r="A137" s="805" t="s">
        <v>521</v>
      </c>
    </row>
    <row r="138" spans="1:1" ht="17.25" customHeight="1" x14ac:dyDescent="0.2">
      <c r="A138" s="805" t="s">
        <v>489</v>
      </c>
    </row>
    <row r="139" spans="1:1" ht="17.25" customHeight="1" x14ac:dyDescent="0.2">
      <c r="A139" s="805" t="s">
        <v>520</v>
      </c>
    </row>
    <row r="140" spans="1:1" ht="17.25" customHeight="1" x14ac:dyDescent="0.2">
      <c r="A140" s="805" t="s">
        <v>353</v>
      </c>
    </row>
    <row r="141" spans="1:1" ht="17.25" customHeight="1" x14ac:dyDescent="0.2">
      <c r="A141" s="805" t="s">
        <v>983</v>
      </c>
    </row>
    <row r="142" spans="1:1" ht="17.25" customHeight="1" x14ac:dyDescent="0.2">
      <c r="A142" s="805" t="s">
        <v>1939</v>
      </c>
    </row>
    <row r="143" spans="1:1" ht="17.25" customHeight="1" x14ac:dyDescent="0.2">
      <c r="A143" s="805" t="s">
        <v>162</v>
      </c>
    </row>
    <row r="144" spans="1:1" ht="17.25" customHeight="1" x14ac:dyDescent="0.2">
      <c r="A144" s="805" t="s">
        <v>1914</v>
      </c>
    </row>
    <row r="145" spans="1:1" ht="17.25" customHeight="1" x14ac:dyDescent="0.2">
      <c r="A145" s="805" t="s">
        <v>1886</v>
      </c>
    </row>
    <row r="146" spans="1:1" ht="17.25" customHeight="1" x14ac:dyDescent="0.2">
      <c r="A146" s="805" t="s">
        <v>1909</v>
      </c>
    </row>
    <row r="147" spans="1:1" ht="17.25" customHeight="1" x14ac:dyDescent="0.2">
      <c r="A147" s="805"/>
    </row>
    <row r="148" spans="1:1" ht="17.25" customHeight="1" x14ac:dyDescent="0.2">
      <c r="A148" s="807" t="s">
        <v>765</v>
      </c>
    </row>
    <row r="149" spans="1:1" ht="17.25" customHeight="1" x14ac:dyDescent="0.2">
      <c r="A149" s="807" t="s">
        <v>766</v>
      </c>
    </row>
    <row r="150" spans="1:1" ht="17.25" customHeight="1" x14ac:dyDescent="0.2">
      <c r="A150" s="807"/>
    </row>
    <row r="151" spans="1:1" ht="17.25" customHeight="1" x14ac:dyDescent="0.2">
      <c r="A151" s="824" t="s">
        <v>1166</v>
      </c>
    </row>
    <row r="152" spans="1:1" ht="17.25" customHeight="1" x14ac:dyDescent="0.2">
      <c r="A152" s="805" t="s">
        <v>519</v>
      </c>
    </row>
    <row r="153" spans="1:1" ht="17.25" customHeight="1" x14ac:dyDescent="0.2">
      <c r="A153" s="805" t="s">
        <v>521</v>
      </c>
    </row>
    <row r="154" spans="1:1" ht="17.25" customHeight="1" x14ac:dyDescent="0.2">
      <c r="A154" s="805" t="s">
        <v>489</v>
      </c>
    </row>
    <row r="155" spans="1:1" ht="17.25" customHeight="1" x14ac:dyDescent="0.2">
      <c r="A155" s="807" t="s">
        <v>520</v>
      </c>
    </row>
    <row r="156" spans="1:1" ht="17.25" customHeight="1" x14ac:dyDescent="0.2">
      <c r="A156" s="807" t="s">
        <v>1167</v>
      </c>
    </row>
    <row r="157" spans="1:1" ht="17.25" customHeight="1" x14ac:dyDescent="0.2">
      <c r="A157" s="807" t="s">
        <v>1939</v>
      </c>
    </row>
    <row r="158" spans="1:1" ht="17.25" customHeight="1" x14ac:dyDescent="0.2">
      <c r="A158" s="810" t="s">
        <v>983</v>
      </c>
    </row>
    <row r="159" spans="1:1" ht="17.25" customHeight="1" x14ac:dyDescent="0.2">
      <c r="A159" s="807" t="s">
        <v>142</v>
      </c>
    </row>
    <row r="160" spans="1:1" ht="17.25" customHeight="1" x14ac:dyDescent="0.2">
      <c r="A160" s="805" t="s">
        <v>259</v>
      </c>
    </row>
    <row r="161" spans="1:1" ht="17.25" customHeight="1" x14ac:dyDescent="0.2">
      <c r="A161" s="805" t="s">
        <v>1914</v>
      </c>
    </row>
    <row r="162" spans="1:1" ht="17.25" customHeight="1" x14ac:dyDescent="0.2">
      <c r="A162" s="805" t="s">
        <v>1886</v>
      </c>
    </row>
    <row r="163" spans="1:1" ht="17.25" customHeight="1" x14ac:dyDescent="0.2">
      <c r="A163" s="805" t="s">
        <v>1909</v>
      </c>
    </row>
    <row r="164" spans="1:1" ht="17.25" customHeight="1" x14ac:dyDescent="0.2">
      <c r="A164" s="807"/>
    </row>
    <row r="165" spans="1:1" ht="17.25" customHeight="1" x14ac:dyDescent="0.2">
      <c r="A165" s="825" t="s">
        <v>1496</v>
      </c>
    </row>
    <row r="166" spans="1:1" ht="17.25" customHeight="1" x14ac:dyDescent="0.2">
      <c r="A166" s="811"/>
    </row>
    <row r="167" spans="1:1" ht="17.25" customHeight="1" x14ac:dyDescent="0.2">
      <c r="A167" s="826" t="s">
        <v>1505</v>
      </c>
    </row>
    <row r="168" spans="1:1" ht="17.25" customHeight="1" x14ac:dyDescent="0.2">
      <c r="A168" s="827" t="s">
        <v>1497</v>
      </c>
    </row>
    <row r="169" spans="1:1" ht="17.25" customHeight="1" x14ac:dyDescent="0.2">
      <c r="A169" s="820" t="s">
        <v>160</v>
      </c>
    </row>
    <row r="170" spans="1:1" ht="17.25" customHeight="1" x14ac:dyDescent="0.2">
      <c r="A170" s="805" t="s">
        <v>263</v>
      </c>
    </row>
    <row r="171" spans="1:1" ht="17.25" customHeight="1" x14ac:dyDescent="0.2">
      <c r="A171" s="820" t="s">
        <v>201</v>
      </c>
    </row>
    <row r="172" spans="1:1" ht="17.25" customHeight="1" x14ac:dyDescent="0.2">
      <c r="A172" s="805" t="s">
        <v>392</v>
      </c>
    </row>
    <row r="173" spans="1:1" ht="17.25" customHeight="1" x14ac:dyDescent="0.2">
      <c r="A173" s="805" t="s">
        <v>1023</v>
      </c>
    </row>
    <row r="174" spans="1:1" ht="17.25" customHeight="1" x14ac:dyDescent="0.2">
      <c r="A174" s="808" t="s">
        <v>971</v>
      </c>
    </row>
    <row r="175" spans="1:1" ht="17.25" customHeight="1" x14ac:dyDescent="0.2">
      <c r="A175" s="808" t="s">
        <v>90</v>
      </c>
    </row>
    <row r="176" spans="1:1" ht="17.25" customHeight="1" x14ac:dyDescent="0.2">
      <c r="A176" s="805" t="s">
        <v>485</v>
      </c>
    </row>
    <row r="177" spans="1:1" ht="17.25" customHeight="1" x14ac:dyDescent="0.2">
      <c r="A177" s="816" t="s">
        <v>971</v>
      </c>
    </row>
    <row r="178" spans="1:1" ht="17.25" customHeight="1" x14ac:dyDescent="0.2">
      <c r="A178" s="816" t="s">
        <v>90</v>
      </c>
    </row>
    <row r="179" spans="1:1" ht="17.25" customHeight="1" x14ac:dyDescent="0.2">
      <c r="A179" s="816" t="s">
        <v>392</v>
      </c>
    </row>
    <row r="180" spans="1:1" ht="17.25" customHeight="1" x14ac:dyDescent="0.2">
      <c r="A180" s="805" t="s">
        <v>1027</v>
      </c>
    </row>
    <row r="181" spans="1:1" ht="17.25" customHeight="1" x14ac:dyDescent="0.2">
      <c r="A181" s="816" t="s">
        <v>1036</v>
      </c>
    </row>
    <row r="182" spans="1:1" ht="17.25" customHeight="1" x14ac:dyDescent="0.2">
      <c r="A182" s="816" t="s">
        <v>1037</v>
      </c>
    </row>
    <row r="183" spans="1:1" ht="17.25" customHeight="1" x14ac:dyDescent="0.2">
      <c r="A183" s="816" t="s">
        <v>1034</v>
      </c>
    </row>
    <row r="184" spans="1:1" ht="17.25" customHeight="1" x14ac:dyDescent="0.2">
      <c r="A184" s="816" t="s">
        <v>1028</v>
      </c>
    </row>
    <row r="185" spans="1:1" ht="17.25" customHeight="1" x14ac:dyDescent="0.2">
      <c r="A185" s="816" t="s">
        <v>1029</v>
      </c>
    </row>
    <row r="186" spans="1:1" ht="17.25" customHeight="1" x14ac:dyDescent="0.2">
      <c r="A186" s="816" t="s">
        <v>1038</v>
      </c>
    </row>
    <row r="187" spans="1:1" ht="17.25" customHeight="1" x14ac:dyDescent="0.2">
      <c r="A187" s="816" t="s">
        <v>1039</v>
      </c>
    </row>
    <row r="188" spans="1:1" ht="17.25" customHeight="1" x14ac:dyDescent="0.2">
      <c r="A188" s="805" t="s">
        <v>1053</v>
      </c>
    </row>
    <row r="189" spans="1:1" ht="17.25" customHeight="1" x14ac:dyDescent="0.2">
      <c r="A189" s="805" t="s">
        <v>1051</v>
      </c>
    </row>
    <row r="190" spans="1:1" ht="17.25" customHeight="1" x14ac:dyDescent="0.2">
      <c r="A190" s="805" t="s">
        <v>976</v>
      </c>
    </row>
    <row r="191" spans="1:1" ht="17.25" customHeight="1" x14ac:dyDescent="0.2">
      <c r="A191" s="817" t="s">
        <v>1504</v>
      </c>
    </row>
    <row r="192" spans="1:1" ht="17.25" customHeight="1" x14ac:dyDescent="0.2">
      <c r="A192" s="819" t="s">
        <v>31</v>
      </c>
    </row>
    <row r="193" spans="1:1" ht="17.25" customHeight="1" x14ac:dyDescent="0.2">
      <c r="A193" s="828" t="s">
        <v>979</v>
      </c>
    </row>
    <row r="194" spans="1:1" ht="17.25" customHeight="1" x14ac:dyDescent="0.2">
      <c r="A194" s="829"/>
    </row>
    <row r="195" spans="1:1" ht="17.25" customHeight="1" x14ac:dyDescent="0.2">
      <c r="A195" s="827" t="s">
        <v>1498</v>
      </c>
    </row>
    <row r="196" spans="1:1" ht="17.25" customHeight="1" x14ac:dyDescent="0.2">
      <c r="A196" s="817" t="s">
        <v>519</v>
      </c>
    </row>
    <row r="197" spans="1:1" ht="17.25" customHeight="1" x14ac:dyDescent="0.2">
      <c r="A197" s="805" t="s">
        <v>521</v>
      </c>
    </row>
    <row r="198" spans="1:1" ht="17.25" customHeight="1" x14ac:dyDescent="0.2">
      <c r="A198" s="817" t="s">
        <v>489</v>
      </c>
    </row>
    <row r="199" spans="1:1" ht="17.25" customHeight="1" x14ac:dyDescent="0.2">
      <c r="A199" s="805" t="s">
        <v>520</v>
      </c>
    </row>
    <row r="200" spans="1:1" ht="17.25" customHeight="1" x14ac:dyDescent="0.2">
      <c r="A200" s="805" t="s">
        <v>353</v>
      </c>
    </row>
    <row r="201" spans="1:1" ht="17.25" customHeight="1" x14ac:dyDescent="0.2">
      <c r="A201" s="805" t="s">
        <v>1939</v>
      </c>
    </row>
    <row r="202" spans="1:1" ht="17.25" customHeight="1" x14ac:dyDescent="0.2">
      <c r="A202" s="805" t="s">
        <v>971</v>
      </c>
    </row>
    <row r="203" spans="1:1" ht="17.25" customHeight="1" x14ac:dyDescent="0.2">
      <c r="A203" s="805" t="s">
        <v>19</v>
      </c>
    </row>
    <row r="204" spans="1:1" ht="17.25" customHeight="1" x14ac:dyDescent="0.2">
      <c r="A204" s="805" t="s">
        <v>1487</v>
      </c>
    </row>
    <row r="205" spans="1:1" ht="17.25" customHeight="1" x14ac:dyDescent="0.2">
      <c r="A205" s="805" t="s">
        <v>1914</v>
      </c>
    </row>
    <row r="206" spans="1:1" ht="17.25" customHeight="1" x14ac:dyDescent="0.2">
      <c r="A206" s="805" t="s">
        <v>1886</v>
      </c>
    </row>
    <row r="207" spans="1:1" ht="17.25" customHeight="1" x14ac:dyDescent="0.2">
      <c r="A207" s="805" t="s">
        <v>1909</v>
      </c>
    </row>
    <row r="208" spans="1:1" ht="17.25" customHeight="1" x14ac:dyDescent="0.2">
      <c r="A208" s="805" t="s">
        <v>32</v>
      </c>
    </row>
    <row r="209" spans="1:1" ht="17.25" customHeight="1" x14ac:dyDescent="0.2">
      <c r="A209" s="830"/>
    </row>
    <row r="210" spans="1:1" ht="17.25" customHeight="1" x14ac:dyDescent="0.2">
      <c r="A210" s="827" t="s">
        <v>1503</v>
      </c>
    </row>
    <row r="211" spans="1:1" ht="17.25" customHeight="1" x14ac:dyDescent="0.2">
      <c r="A211" s="820" t="s">
        <v>160</v>
      </c>
    </row>
    <row r="212" spans="1:1" ht="17.25" customHeight="1" x14ac:dyDescent="0.2">
      <c r="A212" s="805" t="s">
        <v>263</v>
      </c>
    </row>
    <row r="213" spans="1:1" ht="17.25" customHeight="1" x14ac:dyDescent="0.2">
      <c r="A213" s="820" t="s">
        <v>201</v>
      </c>
    </row>
    <row r="214" spans="1:1" ht="17.25" customHeight="1" x14ac:dyDescent="0.2">
      <c r="A214" s="805" t="s">
        <v>392</v>
      </c>
    </row>
    <row r="215" spans="1:1" ht="17.25" customHeight="1" x14ac:dyDescent="0.2">
      <c r="A215" s="805" t="s">
        <v>1023</v>
      </c>
    </row>
    <row r="216" spans="1:1" ht="17.25" customHeight="1" x14ac:dyDescent="0.2">
      <c r="A216" s="808" t="s">
        <v>971</v>
      </c>
    </row>
    <row r="217" spans="1:1" ht="17.25" customHeight="1" x14ac:dyDescent="0.2">
      <c r="A217" s="808" t="s">
        <v>314</v>
      </c>
    </row>
    <row r="218" spans="1:1" ht="17.25" customHeight="1" x14ac:dyDescent="0.2">
      <c r="A218" s="805" t="s">
        <v>485</v>
      </c>
    </row>
    <row r="219" spans="1:1" ht="17.25" customHeight="1" x14ac:dyDescent="0.2">
      <c r="A219" s="808" t="s">
        <v>971</v>
      </c>
    </row>
    <row r="220" spans="1:1" ht="17.25" customHeight="1" x14ac:dyDescent="0.2">
      <c r="A220" s="808" t="s">
        <v>90</v>
      </c>
    </row>
    <row r="221" spans="1:1" ht="17.25" customHeight="1" x14ac:dyDescent="0.2">
      <c r="A221" s="808" t="s">
        <v>392</v>
      </c>
    </row>
    <row r="222" spans="1:1" ht="17.25" customHeight="1" x14ac:dyDescent="0.2">
      <c r="A222" s="805" t="s">
        <v>1027</v>
      </c>
    </row>
    <row r="223" spans="1:1" ht="17.25" customHeight="1" x14ac:dyDescent="0.2">
      <c r="A223" s="808" t="s">
        <v>1036</v>
      </c>
    </row>
    <row r="224" spans="1:1" ht="17.25" customHeight="1" x14ac:dyDescent="0.2">
      <c r="A224" s="808" t="s">
        <v>1037</v>
      </c>
    </row>
    <row r="225" spans="1:1" ht="17.25" customHeight="1" x14ac:dyDescent="0.2">
      <c r="A225" s="808" t="s">
        <v>1034</v>
      </c>
    </row>
    <row r="226" spans="1:1" ht="17.25" customHeight="1" x14ac:dyDescent="0.2">
      <c r="A226" s="808" t="s">
        <v>1028</v>
      </c>
    </row>
    <row r="227" spans="1:1" ht="17.25" customHeight="1" x14ac:dyDescent="0.2">
      <c r="A227" s="808" t="s">
        <v>1029</v>
      </c>
    </row>
    <row r="228" spans="1:1" ht="17.25" customHeight="1" x14ac:dyDescent="0.2">
      <c r="A228" s="808" t="s">
        <v>1038</v>
      </c>
    </row>
    <row r="229" spans="1:1" ht="17.25" customHeight="1" x14ac:dyDescent="0.2">
      <c r="A229" s="808" t="s">
        <v>1039</v>
      </c>
    </row>
    <row r="230" spans="1:1" ht="17.25" customHeight="1" x14ac:dyDescent="0.2">
      <c r="A230" s="805" t="s">
        <v>1053</v>
      </c>
    </row>
    <row r="231" spans="1:1" ht="17.25" customHeight="1" x14ac:dyDescent="0.2">
      <c r="A231" s="805" t="s">
        <v>1051</v>
      </c>
    </row>
    <row r="232" spans="1:1" ht="17.25" customHeight="1" x14ac:dyDescent="0.2">
      <c r="A232" s="805" t="s">
        <v>976</v>
      </c>
    </row>
    <row r="233" spans="1:1" ht="17.25" customHeight="1" x14ac:dyDescent="0.2">
      <c r="A233" s="817" t="s">
        <v>1504</v>
      </c>
    </row>
    <row r="234" spans="1:1" ht="17.25" customHeight="1" thickBot="1" x14ac:dyDescent="0.25">
      <c r="A234" s="2057" t="s">
        <v>31</v>
      </c>
    </row>
  </sheetData>
  <mergeCells count="5">
    <mergeCell ref="A4:A5"/>
    <mergeCell ref="A122:A123"/>
    <mergeCell ref="A125:A126"/>
    <mergeCell ref="A8:A9"/>
    <mergeCell ref="A11:A12"/>
  </mergeCells>
  <phoneticPr fontId="24" type="noConversion"/>
  <pageMargins left="0.7" right="0.7" top="0.75" bottom="0.75" header="0.3" footer="0.3"/>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tabColor rgb="FFFF0000"/>
  </sheetPr>
  <dimension ref="A1:S111"/>
  <sheetViews>
    <sheetView zoomScale="70" zoomScaleNormal="70" zoomScalePageLayoutView="70" workbookViewId="0"/>
  </sheetViews>
  <sheetFormatPr defaultColWidth="8.85546875" defaultRowHeight="18" customHeight="1" x14ac:dyDescent="0.2"/>
  <cols>
    <col min="1" max="1" width="4" customWidth="1"/>
    <col min="2" max="2" width="4.140625" customWidth="1"/>
    <col min="3" max="3" width="50.42578125" customWidth="1"/>
    <col min="4" max="4" width="16.140625" hidden="1" customWidth="1"/>
    <col min="5" max="18" width="14.28515625" customWidth="1"/>
    <col min="19" max="19" width="2.85546875" customWidth="1"/>
  </cols>
  <sheetData>
    <row r="1" spans="1:19" ht="18" customHeight="1" thickBot="1" x14ac:dyDescent="0.25">
      <c r="A1" s="19"/>
      <c r="B1" s="19"/>
      <c r="C1" s="19"/>
      <c r="D1" s="19"/>
      <c r="E1" s="19"/>
      <c r="F1" s="19"/>
      <c r="G1" s="19"/>
      <c r="H1" s="19"/>
      <c r="I1" s="19"/>
      <c r="J1" s="19"/>
      <c r="K1" s="19"/>
      <c r="L1" s="19"/>
      <c r="M1" s="19"/>
      <c r="N1" s="19"/>
      <c r="O1" s="19"/>
      <c r="P1" s="19"/>
      <c r="Q1" s="19"/>
      <c r="R1" s="19"/>
      <c r="S1" s="19"/>
    </row>
    <row r="2" spans="1:19" ht="18" customHeight="1" x14ac:dyDescent="0.2">
      <c r="A2" s="19"/>
      <c r="B2" s="2373" t="str">
        <f ca="1">"Coking Refinery Detailed Results for "&amp;'Assay Inventory'!C9</f>
        <v>Coking Refinery Detailed Results for Bonny Light_Chevron</v>
      </c>
      <c r="C2" s="2374"/>
      <c r="D2" s="2374"/>
      <c r="E2" s="2374"/>
      <c r="F2" s="2374"/>
      <c r="G2" s="2374"/>
      <c r="H2" s="2374"/>
      <c r="I2" s="2374"/>
      <c r="J2" s="2374"/>
      <c r="K2" s="2374"/>
      <c r="L2" s="2374"/>
      <c r="M2" s="2374"/>
      <c r="N2" s="2374"/>
      <c r="O2" s="2374"/>
      <c r="P2" s="2374"/>
      <c r="Q2" s="2374"/>
      <c r="R2" s="2374"/>
      <c r="S2" s="2375"/>
    </row>
    <row r="3" spans="1:19" ht="18" customHeight="1" x14ac:dyDescent="0.2">
      <c r="A3" s="19"/>
      <c r="B3" s="2376"/>
      <c r="C3" s="2377"/>
      <c r="D3" s="2377"/>
      <c r="E3" s="2377"/>
      <c r="F3" s="2377"/>
      <c r="G3" s="2377"/>
      <c r="H3" s="2377"/>
      <c r="I3" s="2377"/>
      <c r="J3" s="2377"/>
      <c r="K3" s="2377"/>
      <c r="L3" s="2377"/>
      <c r="M3" s="2377"/>
      <c r="N3" s="2377"/>
      <c r="O3" s="2377"/>
      <c r="P3" s="2377"/>
      <c r="Q3" s="2377"/>
      <c r="R3" s="2377"/>
      <c r="S3" s="2378"/>
    </row>
    <row r="4" spans="1:19" ht="18" customHeight="1" x14ac:dyDescent="0.2">
      <c r="A4" s="19"/>
      <c r="B4" s="20"/>
      <c r="C4" s="260"/>
      <c r="D4" s="257"/>
      <c r="E4" s="257"/>
      <c r="F4" s="257"/>
      <c r="G4" s="257"/>
      <c r="H4" s="257"/>
      <c r="I4" s="257"/>
      <c r="J4" s="257"/>
      <c r="K4" s="257"/>
      <c r="L4" s="257"/>
      <c r="M4" s="257"/>
      <c r="N4" s="257"/>
      <c r="O4" s="257"/>
      <c r="P4" s="257"/>
      <c r="Q4" s="257"/>
      <c r="R4" s="257"/>
      <c r="S4" s="258"/>
    </row>
    <row r="5" spans="1:19" ht="18" customHeight="1" x14ac:dyDescent="0.2">
      <c r="A5" s="19"/>
      <c r="B5" s="20"/>
      <c r="C5" s="2396" t="s">
        <v>171</v>
      </c>
      <c r="D5" s="2397"/>
      <c r="E5" s="257"/>
      <c r="F5" s="257"/>
      <c r="G5" s="257"/>
      <c r="H5" s="257"/>
      <c r="I5" s="257"/>
      <c r="J5" s="257"/>
      <c r="K5" s="257"/>
      <c r="L5" s="257"/>
      <c r="M5" s="257"/>
      <c r="N5" s="257"/>
      <c r="O5" s="257"/>
      <c r="P5" s="257"/>
      <c r="Q5" s="257"/>
      <c r="R5" s="257"/>
      <c r="S5" s="258"/>
    </row>
    <row r="6" spans="1:19" ht="18" customHeight="1" x14ac:dyDescent="0.2">
      <c r="A6" s="19"/>
      <c r="B6" s="20"/>
      <c r="C6" s="2398"/>
      <c r="D6" s="2399"/>
      <c r="E6" s="2386" t="s">
        <v>1275</v>
      </c>
      <c r="F6" s="2386"/>
      <c r="G6" s="2386"/>
      <c r="H6" s="2386"/>
      <c r="I6" s="2386"/>
      <c r="J6" s="2386"/>
      <c r="K6" s="2386"/>
      <c r="L6" s="2386"/>
      <c r="M6" s="2385" t="s">
        <v>1276</v>
      </c>
      <c r="N6" s="2386"/>
      <c r="O6" s="2386"/>
      <c r="P6" s="2386"/>
      <c r="Q6" s="2386"/>
      <c r="R6" s="2387"/>
      <c r="S6" s="258"/>
    </row>
    <row r="7" spans="1:19" ht="18" customHeight="1" x14ac:dyDescent="0.2">
      <c r="A7" s="19"/>
      <c r="B7" s="20"/>
      <c r="C7" s="2379" t="s">
        <v>170</v>
      </c>
      <c r="D7" s="2380"/>
      <c r="E7" s="2379" t="s">
        <v>206</v>
      </c>
      <c r="F7" s="2380"/>
      <c r="G7" s="2379" t="s">
        <v>542</v>
      </c>
      <c r="H7" s="2380"/>
      <c r="I7" s="2379" t="s">
        <v>207</v>
      </c>
      <c r="J7" s="2380"/>
      <c r="K7" s="2379" t="s">
        <v>208</v>
      </c>
      <c r="L7" s="2380"/>
      <c r="M7" s="2379" t="s">
        <v>1550</v>
      </c>
      <c r="N7" s="2380"/>
      <c r="O7" s="2379" t="s">
        <v>202</v>
      </c>
      <c r="P7" s="2380"/>
      <c r="Q7" s="2379" t="s">
        <v>703</v>
      </c>
      <c r="R7" s="2380"/>
      <c r="S7" s="259"/>
    </row>
    <row r="8" spans="1:19" ht="18" customHeight="1" x14ac:dyDescent="0.2">
      <c r="A8" s="19"/>
      <c r="B8" s="20"/>
      <c r="C8" s="2388"/>
      <c r="D8" s="2389"/>
      <c r="E8" s="264" t="s">
        <v>627</v>
      </c>
      <c r="F8" s="265" t="s">
        <v>522</v>
      </c>
      <c r="G8" s="264" t="s">
        <v>472</v>
      </c>
      <c r="H8" s="265" t="s">
        <v>522</v>
      </c>
      <c r="I8" s="264" t="s">
        <v>622</v>
      </c>
      <c r="J8" s="265" t="s">
        <v>522</v>
      </c>
      <c r="K8" s="264" t="s">
        <v>622</v>
      </c>
      <c r="L8" s="265" t="s">
        <v>522</v>
      </c>
      <c r="M8" s="264" t="s">
        <v>622</v>
      </c>
      <c r="N8" s="265" t="s">
        <v>522</v>
      </c>
      <c r="O8" s="264" t="s">
        <v>622</v>
      </c>
      <c r="P8" s="265" t="s">
        <v>522</v>
      </c>
      <c r="Q8" s="264" t="s">
        <v>622</v>
      </c>
      <c r="R8" s="265" t="s">
        <v>522</v>
      </c>
      <c r="S8" s="261"/>
    </row>
    <row r="9" spans="1:19" ht="18" customHeight="1" x14ac:dyDescent="0.2">
      <c r="A9" s="19"/>
      <c r="B9" s="20"/>
      <c r="C9" s="2096" t="str">
        <f>CokingRefineryCalcs!C5</f>
        <v>Desalter</v>
      </c>
      <c r="D9" s="2097"/>
      <c r="E9" s="835">
        <f ca="1">$F$35+$G$35* CokingRefineryCalcs!I10</f>
        <v>1487.7834559141168</v>
      </c>
      <c r="F9" s="836">
        <f ca="1">E9*'Energy &amp; Unit Conversions'!$G$88</f>
        <v>5356.0204412908206</v>
      </c>
      <c r="G9" s="835"/>
      <c r="H9" s="836"/>
      <c r="I9" s="835"/>
      <c r="J9" s="836"/>
      <c r="K9" s="835"/>
      <c r="L9" s="836"/>
      <c r="M9" s="835"/>
      <c r="N9" s="836"/>
      <c r="O9" s="835"/>
      <c r="P9" s="836"/>
      <c r="Q9" s="835"/>
      <c r="R9" s="836"/>
      <c r="S9" s="258"/>
    </row>
    <row r="10" spans="1:19" ht="18" customHeight="1" x14ac:dyDescent="0.2">
      <c r="A10" s="19"/>
      <c r="B10" s="20"/>
      <c r="C10" s="2096" t="str">
        <f>CokingRefineryCalcs!C21</f>
        <v>Atmospheric Tower Furnace</v>
      </c>
      <c r="D10" s="2097"/>
      <c r="E10" s="835"/>
      <c r="F10" s="836"/>
      <c r="G10" s="835">
        <f ca="1">CokingRefineryCalcs!I27</f>
        <v>4293.121080415196</v>
      </c>
      <c r="H10" s="836">
        <f ca="1">(G10*1000)*'Energy &amp; Unit Conversions'!$G$82*'Energy &amp; Unit Conversions'!$P$25</f>
        <v>4212432.3875972163</v>
      </c>
      <c r="I10" s="835"/>
      <c r="J10" s="836"/>
      <c r="K10" s="835"/>
      <c r="L10" s="836"/>
      <c r="M10" s="835"/>
      <c r="N10" s="836"/>
      <c r="O10" s="835"/>
      <c r="P10" s="836"/>
      <c r="Q10" s="835"/>
      <c r="R10" s="836"/>
      <c r="S10" s="258"/>
    </row>
    <row r="11" spans="1:19" ht="18" customHeight="1" x14ac:dyDescent="0.2">
      <c r="A11" s="19"/>
      <c r="B11" s="20"/>
      <c r="C11" s="2096" t="str">
        <f>CokingRefineryCalcs!C43</f>
        <v>Atmospheric Tower</v>
      </c>
      <c r="D11" s="2097"/>
      <c r="E11" s="835">
        <f ca="1">$F$35+$G$35* CokingRefineryCalcs!D76</f>
        <v>8926.7007354846992</v>
      </c>
      <c r="F11" s="836">
        <f ca="1">E11*'Energy &amp; Unit Conversions'!$G$88</f>
        <v>32136.122647744916</v>
      </c>
      <c r="G11" s="835"/>
      <c r="H11" s="836"/>
      <c r="I11" s="835">
        <f ca="1">CokingRefineryCalcs!D73*(1+F37)</f>
        <v>247479.30303247858</v>
      </c>
      <c r="J11" s="836">
        <f ca="1">I11*'Energy &amp; Unit Conversions'!$E$70</f>
        <v>805664.00529311772</v>
      </c>
      <c r="K11" s="835"/>
      <c r="L11" s="836"/>
      <c r="M11" s="835"/>
      <c r="N11" s="836"/>
      <c r="O11" s="835"/>
      <c r="P11" s="836"/>
      <c r="Q11" s="835"/>
      <c r="R11" s="836"/>
      <c r="S11" s="258"/>
    </row>
    <row r="12" spans="1:19" ht="18" customHeight="1" x14ac:dyDescent="0.2">
      <c r="A12" s="19"/>
      <c r="B12" s="20"/>
      <c r="C12" s="2096" t="str">
        <f>CokingRefineryCalcs!C515</f>
        <v>Vacuum Tower Furnace</v>
      </c>
      <c r="D12" s="2097"/>
      <c r="E12" s="835"/>
      <c r="F12" s="836"/>
      <c r="G12" s="835">
        <f ca="1">CokingRefineryCalcs!I521</f>
        <v>6.742610387417025E-18</v>
      </c>
      <c r="H12" s="836">
        <f ca="1">(G12*1000)*'Energy &amp; Unit Conversions'!$G$82*'Energy &amp; Unit Conversions'!$P$25</f>
        <v>6.6158838385611065E-15</v>
      </c>
      <c r="I12" s="835"/>
      <c r="J12" s="836"/>
      <c r="K12" s="835"/>
      <c r="L12" s="836"/>
      <c r="M12" s="835"/>
      <c r="N12" s="836"/>
      <c r="O12" s="835"/>
      <c r="P12" s="836"/>
      <c r="Q12" s="835"/>
      <c r="R12" s="836"/>
      <c r="S12" s="258"/>
    </row>
    <row r="13" spans="1:19" ht="18" customHeight="1" x14ac:dyDescent="0.2">
      <c r="A13" s="19"/>
      <c r="B13" s="20"/>
      <c r="C13" s="2381" t="str">
        <f>CokingRefineryCalcs!C536</f>
        <v>Vacuum Tower</v>
      </c>
      <c r="D13" s="2382"/>
      <c r="E13" s="835">
        <f ca="1">IF(CokingRefineryConfig=0,0,$F$35+$G$35*CokingRefineryCalcs!D558)</f>
        <v>0</v>
      </c>
      <c r="F13" s="836">
        <f ca="1">E13*'Energy &amp; Unit Conversions'!$G$88</f>
        <v>0</v>
      </c>
      <c r="G13" s="835"/>
      <c r="H13" s="836"/>
      <c r="I13" s="835">
        <f ca="1">CokingRefineryCalcs!D555*(1+F37)</f>
        <v>7.1919733957350275E-14</v>
      </c>
      <c r="J13" s="836">
        <f ca="1">I13*'Energy &amp; Unit Conversions'!$E$70</f>
        <v>2.3413327987306458E-13</v>
      </c>
      <c r="K13" s="835"/>
      <c r="L13" s="836"/>
      <c r="M13" s="835"/>
      <c r="N13" s="836"/>
      <c r="O13" s="835"/>
      <c r="P13" s="836"/>
      <c r="Q13" s="835"/>
      <c r="R13" s="836"/>
      <c r="S13" s="258"/>
    </row>
    <row r="14" spans="1:19" ht="18" customHeight="1" x14ac:dyDescent="0.2">
      <c r="A14" s="19"/>
      <c r="B14" s="20"/>
      <c r="C14" s="2096" t="str">
        <f>CokingRefineryCalcs!C124</f>
        <v>Naphtha Hydrotreater</v>
      </c>
      <c r="D14" s="2097"/>
      <c r="E14" s="835">
        <f ca="1">$F$35+$G$35* CokingRefineryCalcs!D163</f>
        <v>103897.32965820449</v>
      </c>
      <c r="F14" s="836">
        <f ca="1">E14*'Energy &amp; Unit Conversions'!$G$88</f>
        <v>374030.38676953618</v>
      </c>
      <c r="G14" s="835">
        <f ca="1">CokingRefineryCalcs!D158</f>
        <v>3723.7094291690178</v>
      </c>
      <c r="H14" s="836">
        <f ca="1">(G14*1000)*'Energy &amp; Unit Conversions'!$G$82*'Energy &amp; Unit Conversions'!$P$25</f>
        <v>3653722.7596468586</v>
      </c>
      <c r="I14" s="835">
        <f ca="1">CokingRefineryCalcs!D166</f>
        <v>78545.059993893796</v>
      </c>
      <c r="J14" s="836">
        <f ca="1">I14*'Energy &amp; Unit Conversions'!$E$70</f>
        <v>255701.89852346506</v>
      </c>
      <c r="K14" s="835">
        <f ca="1">CokingRefineryCalcs!D155*(1+F36)</f>
        <v>40101.906144388915</v>
      </c>
      <c r="L14" s="836">
        <f ca="1">K14*'Energy &amp; Unit Conversions'!$Q$26</f>
        <v>5095228.6215404151</v>
      </c>
      <c r="M14" s="835">
        <f ca="1">CokingRefineryCalcs!L979</f>
        <v>4314.1135318237602</v>
      </c>
      <c r="N14" s="836">
        <f ca="1">M14*'Energy &amp; Unit Conversions'!$Q$27</f>
        <v>202325.53674514475</v>
      </c>
      <c r="O14" s="835"/>
      <c r="P14" s="836"/>
      <c r="Q14" s="835"/>
      <c r="R14" s="836"/>
      <c r="S14" s="258"/>
    </row>
    <row r="15" spans="1:19" ht="18" customHeight="1" x14ac:dyDescent="0.2">
      <c r="A15" s="19"/>
      <c r="B15" s="20"/>
      <c r="C15" s="2096" t="str">
        <f>CokingRefineryCalcs!C252</f>
        <v>Kerosene Hydrotreater</v>
      </c>
      <c r="D15" s="2097"/>
      <c r="E15" s="835">
        <f ca="1">$F$35+$G$35* CokingRefineryCalcs!D291</f>
        <v>80656.223535115292</v>
      </c>
      <c r="F15" s="836">
        <f ca="1">E15*'Energy &amp; Unit Conversions'!$G$88</f>
        <v>290362.40472641506</v>
      </c>
      <c r="G15" s="835">
        <f ca="1">CokingRefineryCalcs!D286</f>
        <v>4329.2624041539148</v>
      </c>
      <c r="H15" s="836">
        <f ca="1">(G15*1000)*'Energy &amp; Unit Conversions'!$G$82*'Energy &amp; Unit Conversions'!$P$25</f>
        <v>4247894.4395160712</v>
      </c>
      <c r="I15" s="835">
        <f ca="1">CokingRefineryCalcs!D294</f>
        <v>97560.126902780612</v>
      </c>
      <c r="J15" s="836">
        <f ca="1">I15*'Energy &amp; Unit Conversions'!$E$70</f>
        <v>317605.0749871544</v>
      </c>
      <c r="K15" s="835">
        <f ca="1">CokingRefineryCalcs!D283*(1+F36)</f>
        <v>15979.184782805753</v>
      </c>
      <c r="L15" s="836">
        <f ca="1">K15*'Energy &amp; Unit Conversions'!$Q$26</f>
        <v>2030267.5728452108</v>
      </c>
      <c r="M15" s="835">
        <f ca="1">CokingRefineryCalcs!L980</f>
        <v>7214.4939445638938</v>
      </c>
      <c r="N15" s="836">
        <f ca="1">M15*'Energy &amp; Unit Conversions'!$Q$27</f>
        <v>338349.08351645042</v>
      </c>
      <c r="O15" s="835"/>
      <c r="P15" s="836"/>
      <c r="Q15" s="835"/>
      <c r="R15" s="836"/>
      <c r="S15" s="258"/>
    </row>
    <row r="16" spans="1:19" ht="18" customHeight="1" x14ac:dyDescent="0.2">
      <c r="A16" s="19"/>
      <c r="B16" s="20"/>
      <c r="C16" s="2096" t="str">
        <f>CokingRefineryCalcs!C296</f>
        <v>Kerosene Merox Unit</v>
      </c>
      <c r="D16" s="2097"/>
      <c r="E16" s="835">
        <f ca="1">$F$35+$G$35* CokingRefineryCalcs!I302</f>
        <v>2771.1741788300665</v>
      </c>
      <c r="F16" s="836">
        <f ca="1">E16*'Energy &amp; Unit Conversions'!$G$88</f>
        <v>9976.2270437882398</v>
      </c>
      <c r="G16" s="835"/>
      <c r="H16" s="836"/>
      <c r="I16" s="835"/>
      <c r="J16" s="836"/>
      <c r="K16" s="835"/>
      <c r="L16" s="836"/>
      <c r="M16" s="835"/>
      <c r="N16" s="836"/>
      <c r="O16" s="835"/>
      <c r="P16" s="836"/>
      <c r="Q16" s="835"/>
      <c r="R16" s="836"/>
      <c r="S16" s="258"/>
    </row>
    <row r="17" spans="1:19" ht="18" customHeight="1" x14ac:dyDescent="0.2">
      <c r="A17" s="19"/>
      <c r="B17" s="20"/>
      <c r="C17" s="2096" t="str">
        <f>CokingRefineryCalcs!C358</f>
        <v>Gas Oil Hydrocracker</v>
      </c>
      <c r="D17" s="2097"/>
      <c r="E17" s="835">
        <f ca="1">IF(OR(CokingRefineryConfig=0,CokingRefineryConfig=1,CokingRefineryConfig=4),0,$F$35+$G$35* CokingRefineryCalcs!D383)</f>
        <v>0</v>
      </c>
      <c r="F17" s="836">
        <f ca="1">E17*'Energy &amp; Unit Conversions'!$G$88</f>
        <v>0</v>
      </c>
      <c r="G17" s="835">
        <f ca="1">CokingRefineryCalcs!D378</f>
        <v>1.2024173538623429E-9</v>
      </c>
      <c r="H17" s="836">
        <f ca="1">(G17*1000)*'Energy &amp; Unit Conversions'!$G$82*'Energy &amp; Unit Conversions'!$P$25</f>
        <v>1.1798180647466903E-6</v>
      </c>
      <c r="I17" s="835"/>
      <c r="J17" s="836"/>
      <c r="K17" s="835">
        <f ca="1">CokingRefineryCalcs!D375*(1+F36)</f>
        <v>4.2778243563171569E-8</v>
      </c>
      <c r="L17" s="836">
        <f ca="1">K17*'Energy &amp; Unit Conversions'!$Q$26</f>
        <v>5.4352760738480903E-6</v>
      </c>
      <c r="M17" s="835">
        <f ca="1">CokingRefineryCalcs!L982</f>
        <v>3.6555541191970266E-8</v>
      </c>
      <c r="N17" s="836">
        <f ca="1">M17*'Energy &amp; Unit Conversions'!$Q$27</f>
        <v>1.7144007542026779E-6</v>
      </c>
      <c r="O17" s="835"/>
      <c r="P17" s="836"/>
      <c r="Q17" s="835"/>
      <c r="R17" s="836"/>
      <c r="S17" s="258"/>
    </row>
    <row r="18" spans="1:19" ht="18" customHeight="1" x14ac:dyDescent="0.2">
      <c r="A18" s="19"/>
      <c r="B18" s="20"/>
      <c r="C18" s="2096" t="str">
        <f>CokingRefineryCalcs!C466</f>
        <v>Gas Oil Hydrocracker Fractionator</v>
      </c>
      <c r="D18" s="2097"/>
      <c r="E18" s="835">
        <f ca="1">IF(OR(CokingRefineryConfig=0,CokingRefineryConfig=1,CokingRefineryConfig=4),0,$F$35+$G$35*CokingRefineryCalcs!D490)</f>
        <v>0</v>
      </c>
      <c r="F18" s="836">
        <f ca="1">E18*'Energy &amp; Unit Conversions'!$G$88</f>
        <v>0</v>
      </c>
      <c r="G18" s="835"/>
      <c r="H18" s="836"/>
      <c r="I18" s="835">
        <f ca="1">CokingRefineryCalcs!D487*(1+F37)</f>
        <v>3.1283054478691933E-7</v>
      </c>
      <c r="J18" s="836">
        <f ca="1">I18*'Energy &amp; Unit Conversions'!$E$70</f>
        <v>1.0184136879437585E-6</v>
      </c>
      <c r="K18" s="835"/>
      <c r="L18" s="836"/>
      <c r="M18" s="835"/>
      <c r="N18" s="836"/>
      <c r="O18" s="835"/>
      <c r="P18" s="836"/>
      <c r="Q18" s="835"/>
      <c r="R18" s="836"/>
      <c r="S18" s="258"/>
    </row>
    <row r="19" spans="1:19" ht="18" customHeight="1" x14ac:dyDescent="0.2">
      <c r="A19" s="19"/>
      <c r="B19" s="20"/>
      <c r="C19" s="2096" t="str">
        <f>CokingRefineryCalcs!C310</f>
        <v>Diesel Hydrotreater</v>
      </c>
      <c r="D19" s="2097"/>
      <c r="E19" s="835">
        <f ca="1">$F$35+$G$35* CokingRefineryCalcs!D353</f>
        <v>37574.452876418836</v>
      </c>
      <c r="F19" s="836">
        <f ca="1">E19*'Energy &amp; Unit Conversions'!$G$88</f>
        <v>135268.03035510783</v>
      </c>
      <c r="G19" s="835">
        <f ca="1">CokingRefineryCalcs!D348</f>
        <v>2016.8272089222171</v>
      </c>
      <c r="H19" s="836">
        <f ca="1">(G19*1000)*'Energy &amp; Unit Conversions'!$G$82*'Energy &amp; Unit Conversions'!$P$25</f>
        <v>1978921.1848247254</v>
      </c>
      <c r="I19" s="835">
        <f ca="1">CokingRefineryCalcs!D356</f>
        <v>45449.29368444837</v>
      </c>
      <c r="J19" s="836">
        <f ca="1">I19*'Energy &amp; Unit Conversions'!$E$70</f>
        <v>147959.28200408083</v>
      </c>
      <c r="K19" s="835">
        <f ca="1">CokingRefineryCalcs!D345*(1+F36)</f>
        <v>8529.3483619720973</v>
      </c>
      <c r="L19" s="836">
        <f ca="1">K19*'Energy &amp; Unit Conversions'!$Q$26</f>
        <v>1083713.5706350929</v>
      </c>
      <c r="M19" s="835">
        <f ca="1">CokingRefineryCalcs!L981</f>
        <v>3515.4639126487618</v>
      </c>
      <c r="N19" s="836">
        <f ca="1">M19*'Energy &amp; Unit Conversions'!$Q$27</f>
        <v>164870.05216438149</v>
      </c>
      <c r="O19" s="835"/>
      <c r="P19" s="836"/>
      <c r="Q19" s="835"/>
      <c r="R19" s="836"/>
      <c r="S19" s="258"/>
    </row>
    <row r="20" spans="1:19" ht="18" customHeight="1" x14ac:dyDescent="0.2">
      <c r="A20" s="19"/>
      <c r="B20" s="20"/>
      <c r="C20" s="2096" t="str">
        <f>CokingRefineryCalcs!C826</f>
        <v>Coker Furnace</v>
      </c>
      <c r="D20" s="2097"/>
      <c r="E20" s="835"/>
      <c r="F20" s="836"/>
      <c r="G20" s="835">
        <f ca="1">CokingRefineryCalcs!I832</f>
        <v>1.5083492420488977E-15</v>
      </c>
      <c r="H20" s="836">
        <f ca="1">(G20*1000)*'Energy &amp; Unit Conversions'!$G$82*'Energy &amp; Unit Conversions'!$P$25</f>
        <v>1.48E-12</v>
      </c>
      <c r="I20" s="835"/>
      <c r="J20" s="836"/>
      <c r="K20" s="835"/>
      <c r="L20" s="836"/>
      <c r="M20" s="835"/>
      <c r="N20" s="836"/>
      <c r="O20" s="835"/>
      <c r="P20" s="836"/>
      <c r="Q20" s="835"/>
      <c r="R20" s="836"/>
      <c r="S20" s="258"/>
    </row>
    <row r="21" spans="1:19" ht="18" customHeight="1" x14ac:dyDescent="0.2">
      <c r="A21" s="19"/>
      <c r="B21" s="20"/>
      <c r="C21" s="2096" t="str">
        <f>CokingRefineryCalcs!C857</f>
        <v>Coker</v>
      </c>
      <c r="D21" s="2097"/>
      <c r="E21" s="835">
        <f ca="1">IF(CokingRefineryConfig&lt;4,0,$F$35+$G$35* CokingRefineryCalcs!D860)</f>
        <v>0</v>
      </c>
      <c r="F21" s="836">
        <f ca="1">E21*'Energy &amp; Unit Conversions'!$G$88</f>
        <v>0</v>
      </c>
      <c r="G21" s="835"/>
      <c r="H21" s="836"/>
      <c r="I21" s="835"/>
      <c r="J21" s="836"/>
      <c r="K21" s="835"/>
      <c r="L21" s="836"/>
      <c r="M21" s="835">
        <f ca="1">CokingRefineryCalcs!L983</f>
        <v>9.3585669599724856E-16</v>
      </c>
      <c r="N21" s="836">
        <f ca="1">M21*'Energy &amp; Unit Conversions'!$Q$27</f>
        <v>4.3890293321542627E-14</v>
      </c>
      <c r="O21" s="835"/>
      <c r="P21" s="836"/>
      <c r="Q21" s="835"/>
      <c r="R21" s="836"/>
      <c r="S21" s="258"/>
    </row>
    <row r="22" spans="1:19" ht="18" customHeight="1" x14ac:dyDescent="0.2">
      <c r="A22" s="19"/>
      <c r="B22" s="20"/>
      <c r="C22" s="2383" t="str">
        <f>CokingRefineryCalcs!C861</f>
        <v xml:space="preserve">Coker Fractionator </v>
      </c>
      <c r="D22" s="2384"/>
      <c r="E22" s="835">
        <f ca="1">IF(CokingRefineryConfig&lt;4,0,$F$35+$G$35* CokingRefineryCalcs!D868)</f>
        <v>0</v>
      </c>
      <c r="F22" s="836">
        <f ca="1">E22*'Energy &amp; Unit Conversions'!$G$88</f>
        <v>0</v>
      </c>
      <c r="G22" s="835"/>
      <c r="H22" s="836"/>
      <c r="I22" s="835">
        <f ca="1">CokingRefineryCalcs!D865*(1+F37)</f>
        <v>9.415673965839253E-17</v>
      </c>
      <c r="J22" s="836">
        <f ca="1">I22*'Energy &amp; Unit Conversions'!$E$70</f>
        <v>3.0652541472757562E-16</v>
      </c>
      <c r="K22" s="835"/>
      <c r="L22" s="836"/>
      <c r="M22" s="835"/>
      <c r="N22" s="836"/>
      <c r="O22" s="835"/>
      <c r="P22" s="836"/>
      <c r="Q22" s="835"/>
      <c r="R22" s="836"/>
      <c r="S22" s="258"/>
    </row>
    <row r="23" spans="1:19" ht="18" customHeight="1" x14ac:dyDescent="0.2">
      <c r="A23" s="19"/>
      <c r="B23" s="20"/>
      <c r="C23" s="2096" t="str">
        <f>CokingRefineryCalcs!C916</f>
        <v>Coker Naphtha Hydrotreater</v>
      </c>
      <c r="D23" s="2097"/>
      <c r="E23" s="835">
        <f ca="1">IF(CokingRefineryConfig&lt;4,0,$F$35+$G$35* CokingRefineryCalcs!D955)</f>
        <v>0</v>
      </c>
      <c r="F23" s="836">
        <f ca="1">E23*'Energy &amp; Unit Conversions'!$G$88</f>
        <v>0</v>
      </c>
      <c r="G23" s="835">
        <f ca="1">CokingRefineryCalcs!D950</f>
        <v>1.3114074632414043E-18</v>
      </c>
      <c r="H23" s="836">
        <f ca="1">(G23*1000)*'Energy &amp; Unit Conversions'!$G$82*'Energy &amp; Unit Conversions'!$P$25</f>
        <v>1.2867597181676833E-15</v>
      </c>
      <c r="I23" s="835">
        <f ca="1">CokingRefineryCalcs!D958</f>
        <v>3.3352250867669235E-17</v>
      </c>
      <c r="J23" s="836">
        <f ca="1">I23*'Energy &amp; Unit Conversions'!$E$70</f>
        <v>1.0857759695589901E-16</v>
      </c>
      <c r="K23" s="835">
        <f ca="1">CokingRefineryCalcs!D947*(1+F36)</f>
        <v>0</v>
      </c>
      <c r="L23" s="836">
        <f ca="1">K23*'Energy &amp; Unit Conversions'!$Q$26</f>
        <v>0</v>
      </c>
      <c r="M23" s="835">
        <f ca="1">CokingRefineryCalcs!L984</f>
        <v>3.0004839823245577E-18</v>
      </c>
      <c r="N23" s="836">
        <f ca="1">M23*'Energy &amp; Unit Conversions'!$Q$27</f>
        <v>1.4071825596170372E-16</v>
      </c>
      <c r="O23" s="835"/>
      <c r="P23" s="836"/>
      <c r="Q23" s="835"/>
      <c r="R23" s="836"/>
      <c r="S23" s="258"/>
    </row>
    <row r="24" spans="1:19" ht="18" customHeight="1" x14ac:dyDescent="0.2">
      <c r="A24" s="19"/>
      <c r="B24" s="20"/>
      <c r="C24" s="2096" t="str">
        <f>CokingRefineryCalcs!C640</f>
        <v>Fluid Catalytic Cracking Feed Hydrotreater</v>
      </c>
      <c r="D24" s="2097"/>
      <c r="E24" s="835">
        <f ca="1">IF(OR(CokingRefineryConfig=0,CokingRefineryConfig=2,CokingRefineryConfig=5),0,$F$35+$G$35* CokingRefineryCalcs!D665)</f>
        <v>0</v>
      </c>
      <c r="F24" s="836">
        <f ca="1">E24*'Energy &amp; Unit Conversions'!$G$88</f>
        <v>0</v>
      </c>
      <c r="G24" s="835">
        <f ca="1">CokingRefineryCalcs!D660</f>
        <v>2.1444281814348654E-15</v>
      </c>
      <c r="H24" s="836">
        <f ca="1">(G24*1000)*'Energy &amp; Unit Conversions'!$G$82*'Energy &amp; Unit Conversions'!$P$25</f>
        <v>2.1041239124517779E-12</v>
      </c>
      <c r="I24" s="835">
        <f ca="1">CokingRefineryCalcs!D668</f>
        <v>5.4537974412724275E-14</v>
      </c>
      <c r="J24" s="836">
        <f ca="1">I24*'Energy &amp; Unit Conversions'!$E$70</f>
        <v>1.7754730342101587E-13</v>
      </c>
      <c r="K24" s="835">
        <f ca="1">CokingRefineryCalcs!D657*(1+F36)</f>
        <v>0</v>
      </c>
      <c r="L24" s="836">
        <f ca="1">K24*'Energy &amp; Unit Conversions'!$Q$26</f>
        <v>0</v>
      </c>
      <c r="M24" s="835">
        <f ca="1">CokingRefineryCalcs!L985</f>
        <v>5.1664320492357097E-17</v>
      </c>
      <c r="N24" s="836">
        <f ca="1">M24*'Energy &amp; Unit Conversions'!$Q$27</f>
        <v>2.4229801318581423E-15</v>
      </c>
      <c r="O24" s="835"/>
      <c r="P24" s="836"/>
      <c r="Q24" s="835"/>
      <c r="R24" s="836"/>
      <c r="S24" s="258"/>
    </row>
    <row r="25" spans="1:19" ht="18" customHeight="1" x14ac:dyDescent="0.2">
      <c r="A25" s="19"/>
      <c r="B25" s="20"/>
      <c r="C25" s="2381" t="str">
        <f>CokingRefineryCalcs!C693</f>
        <v>Fluid Catalytic Cracker</v>
      </c>
      <c r="D25" s="2382"/>
      <c r="E25" s="835">
        <f ca="1">IF(OR(CokingRefineryConfig=0,CokingRefineryConfig=2,CokingRefineryConfig=5),0,$F$35+$G$35* CokingRefineryCalcs!D711)</f>
        <v>0</v>
      </c>
      <c r="F25" s="836">
        <f ca="1">E25*'Energy &amp; Unit Conversions'!$G$88</f>
        <v>0</v>
      </c>
      <c r="G25" s="835">
        <f ca="1">CokingRefineryCalcs!D714</f>
        <v>2.1258287796603898E-17</v>
      </c>
      <c r="H25" s="836">
        <f ca="1">(G25*1000)*'Energy &amp; Unit Conversions'!$G$82*'Energy &amp; Unit Conversions'!$P$25</f>
        <v>2.085874084189968E-14</v>
      </c>
      <c r="I25" s="835"/>
      <c r="J25" s="836"/>
      <c r="K25" s="835"/>
      <c r="L25" s="836"/>
      <c r="M25" s="835">
        <f ca="1">CokingRefineryCalcs!L986</f>
        <v>9.4845461792606004E-16</v>
      </c>
      <c r="N25" s="836">
        <f ca="1">M25*'Energy &amp; Unit Conversions'!$Q$27</f>
        <v>4.4481117206291599E-14</v>
      </c>
      <c r="O25" s="835"/>
      <c r="P25" s="836"/>
      <c r="Q25" s="835">
        <f ca="1">CokingRefineryCalcs!H710</f>
        <v>1.3795703533469966E-15</v>
      </c>
      <c r="R25" s="836">
        <f ca="1">CokingRefineryCalcs!H711</f>
        <v>4.0704650942312667E-14</v>
      </c>
      <c r="S25" s="258"/>
    </row>
    <row r="26" spans="1:19" ht="18" customHeight="1" x14ac:dyDescent="0.2">
      <c r="A26" s="19"/>
      <c r="B26" s="20"/>
      <c r="C26" s="2096" t="str">
        <f>CokingRefineryCalcs!C749</f>
        <v>Fluid Catalytic Cracker Main Fractionator</v>
      </c>
      <c r="D26" s="2097"/>
      <c r="E26" s="835">
        <f ca="1">IF(OR(CokingRefineryConfig=0,CokingRefineryConfig=2,CokingRefineryConfig=5),0,$F$35+$G$35* CokingRefineryCalcs!D772)</f>
        <v>0</v>
      </c>
      <c r="F26" s="836">
        <f ca="1">E26*'Energy &amp; Unit Conversions'!$G$88</f>
        <v>0</v>
      </c>
      <c r="G26" s="835"/>
      <c r="H26" s="836"/>
      <c r="I26" s="835">
        <f ca="1">CokingRefineryCalcs!D769*(1+F37)</f>
        <v>9.7839782222724186E-17</v>
      </c>
      <c r="J26" s="836">
        <f ca="1">I26*'Energy &amp; Unit Conversions'!$E$70</f>
        <v>3.1851548738288391E-16</v>
      </c>
      <c r="K26" s="835"/>
      <c r="L26" s="836"/>
      <c r="M26" s="835"/>
      <c r="N26" s="836"/>
      <c r="O26" s="835"/>
      <c r="P26" s="836"/>
      <c r="Q26" s="835"/>
      <c r="R26" s="836"/>
      <c r="S26" s="258"/>
    </row>
    <row r="27" spans="1:19" ht="18" customHeight="1" x14ac:dyDescent="0.2">
      <c r="A27" s="19"/>
      <c r="B27" s="20"/>
      <c r="C27" s="2096" t="str">
        <f>CokingRefineryCalcs!C812</f>
        <v>Alkylation Unit</v>
      </c>
      <c r="D27" s="2097"/>
      <c r="E27" s="835">
        <f ca="1">IF(OR(CokingRefineryConfig=0,CokingRefineryConfig=2,CokingRefineryConfig=5),0,$F$35+$G$35* CokingRefineryCalcs!I821)</f>
        <v>0</v>
      </c>
      <c r="F27" s="836">
        <f ca="1">E27*'Energy &amp; Unit Conversions'!$G$88</f>
        <v>0</v>
      </c>
      <c r="G27" s="835"/>
      <c r="H27" s="836">
        <f>(G27*1000)*'Energy &amp; Unit Conversions'!$G$82*'Energy &amp; Unit Conversions'!$P$25</f>
        <v>0</v>
      </c>
      <c r="I27" s="835">
        <f ca="1">CokingRefineryCalcs!I818</f>
        <v>1.058999421319085E-15</v>
      </c>
      <c r="J27" s="836">
        <f ca="1">I27*'Energy &amp; Unit Conversions'!$E$70</f>
        <v>3.4475517949517433E-15</v>
      </c>
      <c r="K27" s="835"/>
      <c r="L27" s="836"/>
      <c r="M27" s="835"/>
      <c r="N27" s="836"/>
      <c r="O27" s="835"/>
      <c r="P27" s="836"/>
      <c r="Q27" s="835"/>
      <c r="R27" s="836"/>
      <c r="S27" s="258"/>
    </row>
    <row r="28" spans="1:19" ht="18" customHeight="1" x14ac:dyDescent="0.2">
      <c r="A28" s="19"/>
      <c r="B28" s="20"/>
      <c r="C28" s="2381" t="str">
        <f>CokingRefineryCalcs!C194</f>
        <v xml:space="preserve">Catalytic naphtha reformer </v>
      </c>
      <c r="D28" s="2382"/>
      <c r="E28" s="835">
        <f ca="1">$F$35+$G$35* CokingRefineryCalcs!D212</f>
        <v>53092.755951271982</v>
      </c>
      <c r="F28" s="836">
        <f ca="1">E28*'Energy &amp; Unit Conversions'!$G$88</f>
        <v>191133.92142457914</v>
      </c>
      <c r="G28" s="835">
        <f ca="1">CokingRefineryCalcs!D215</f>
        <v>5610.1345455177398</v>
      </c>
      <c r="H28" s="836">
        <f ca="1">(G28*1000)*'Energy &amp; Unit Conversions'!$G$82*'Energy &amp; Unit Conversions'!$P$25</f>
        <v>5504692.7434973232</v>
      </c>
      <c r="I28" s="835">
        <f ca="1">CokingRefineryCalcs!D219</f>
        <v>240824.69001769068</v>
      </c>
      <c r="J28" s="836">
        <f ca="1">I28*'Energy &amp; Unit Conversions'!$E$70</f>
        <v>784000.0434608584</v>
      </c>
      <c r="K28" s="835"/>
      <c r="L28" s="836"/>
      <c r="M28" s="835">
        <f ca="1">CokingRefineryCalcs!L987</f>
        <v>219014.26865078407</v>
      </c>
      <c r="N28" s="836">
        <f ca="1">M28*'Energy &amp; Unit Conversions'!$Q$27</f>
        <v>10271444.905828096</v>
      </c>
      <c r="O28" s="835">
        <f ca="1">CokingRefineryCalcs!H212</f>
        <v>49946.755867475033</v>
      </c>
      <c r="P28" s="836">
        <f ca="1">O28*'Energy &amp; Unit Conversions'!$Q$26</f>
        <v>6346085.8726452049</v>
      </c>
      <c r="Q28" s="835"/>
      <c r="R28" s="836"/>
      <c r="S28" s="258"/>
    </row>
    <row r="29" spans="1:19" ht="18" customHeight="1" x14ac:dyDescent="0.2">
      <c r="A29" s="19"/>
      <c r="B29" s="20"/>
      <c r="C29" s="2096" t="str">
        <f>CokingRefineryCalcs!C168</f>
        <v>Isomerization Unit</v>
      </c>
      <c r="D29" s="2097"/>
      <c r="E29" s="835">
        <f ca="1">$F$35+$G$35* CokingRefineryCalcs!D189</f>
        <v>7539.5912655793572</v>
      </c>
      <c r="F29" s="836">
        <f ca="1">E29*'Energy &amp; Unit Conversions'!$G$88</f>
        <v>27142.528556085686</v>
      </c>
      <c r="G29" s="835">
        <f ca="1">CokingRefineryCalcs!D192</f>
        <v>1590.7266888440724</v>
      </c>
      <c r="H29" s="836">
        <f ca="1">(G29*1000)*'Energy &amp; Unit Conversions'!$G$82*'Energy &amp; Unit Conversions'!$P$25</f>
        <v>1560829.172620028</v>
      </c>
      <c r="I29" s="835"/>
      <c r="J29" s="836">
        <f>I29*'Energy &amp; Unit Conversions'!$E$70</f>
        <v>0</v>
      </c>
      <c r="K29" s="835">
        <f ca="1">CokingRefineryCalcs!D184*(1+F36)</f>
        <v>12438.254589234743</v>
      </c>
      <c r="L29" s="836">
        <f ca="1">K29*'Energy &amp; Unit Conversions'!$Q$26</f>
        <v>1580367.5405574918</v>
      </c>
      <c r="M29" s="835">
        <f ca="1">CokingRefineryCalcs!L988</f>
        <v>8544.5148145949242</v>
      </c>
      <c r="N29" s="836">
        <f ca="1">M29*'Energy &amp; Unit Conversions'!$Q$27</f>
        <v>400725.09296224586</v>
      </c>
      <c r="O29" s="835"/>
      <c r="P29" s="836"/>
      <c r="Q29" s="835"/>
      <c r="R29" s="836"/>
      <c r="S29" s="258"/>
    </row>
    <row r="30" spans="1:19" ht="18" customHeight="1" x14ac:dyDescent="0.2">
      <c r="A30" s="19"/>
      <c r="B30" s="20"/>
      <c r="C30" s="473" t="str">
        <f>CokingRefineryCalcs!C974</f>
        <v>Fuel gas treatment and sulphur recovery</v>
      </c>
      <c r="D30" s="2099"/>
      <c r="E30" s="835">
        <f ca="1">$F$35+$G$35* CokingRefineryCalcs!D1009+CokingRefineryCalcs!D1017+CokingRefineryCalcs!D1024</f>
        <v>813.96274999776745</v>
      </c>
      <c r="F30" s="836">
        <f ca="1">E30*'Energy &amp; Unit Conversions'!$G$88</f>
        <v>2930.2658999919627</v>
      </c>
      <c r="G30" s="835">
        <f ca="1">H30/(1000*'Energy &amp; Unit Conversions'!$G$82*'Energy &amp; Unit Conversions'!$P$25)</f>
        <v>40.664389176719077</v>
      </c>
      <c r="H30" s="836">
        <f ca="1">CokingRefineryCalcs!D1011+CokingRefineryCalcs!D1015</f>
        <v>39900.106887575319</v>
      </c>
      <c r="I30" s="835">
        <f ca="1">J30/'Energy &amp; Unit Conversions'!$E$70</f>
        <v>-11124.011718814918</v>
      </c>
      <c r="J30" s="836">
        <f ca="1">(CokingRefineryCalcs!D1020)*(1+F37)</f>
        <v>-36214.001439675245</v>
      </c>
      <c r="K30" s="835"/>
      <c r="L30" s="836"/>
      <c r="M30" s="835"/>
      <c r="N30" s="836"/>
      <c r="O30" s="835"/>
      <c r="P30" s="836"/>
      <c r="Q30" s="835"/>
      <c r="R30" s="836"/>
      <c r="S30" s="258"/>
    </row>
    <row r="31" spans="1:19" ht="18" customHeight="1" x14ac:dyDescent="0.2">
      <c r="A31" s="19"/>
      <c r="B31" s="20"/>
      <c r="C31" s="2100" t="str">
        <f>CokingRefineryCalcs!C960</f>
        <v>Gasoline Blending</v>
      </c>
      <c r="D31" s="2101"/>
      <c r="E31" s="835"/>
      <c r="F31" s="836"/>
      <c r="G31" s="835"/>
      <c r="H31" s="836"/>
      <c r="I31" s="835"/>
      <c r="J31" s="836">
        <f>I31*'Energy &amp; Unit Conversions'!$E$70</f>
        <v>0</v>
      </c>
      <c r="K31" s="835"/>
      <c r="L31" s="836"/>
      <c r="M31" s="835"/>
      <c r="N31" s="836"/>
      <c r="O31" s="835"/>
      <c r="P31" s="836"/>
      <c r="Q31" s="835"/>
      <c r="R31" s="836"/>
      <c r="S31" s="258"/>
    </row>
    <row r="32" spans="1:19" ht="18" customHeight="1" x14ac:dyDescent="0.2">
      <c r="A32" s="19"/>
      <c r="B32" s="20"/>
      <c r="C32" s="266" t="s">
        <v>598</v>
      </c>
      <c r="D32" s="267"/>
      <c r="E32" s="837">
        <f t="shared" ref="E32:R32" ca="1" si="0">SUM(E9:E30)</f>
        <v>296759.97440681659</v>
      </c>
      <c r="F32" s="838">
        <f t="shared" ca="1" si="0"/>
        <v>1068335.9078645399</v>
      </c>
      <c r="G32" s="837">
        <f t="shared" ca="1" si="0"/>
        <v>21604.445746200079</v>
      </c>
      <c r="H32" s="838">
        <f t="shared" ca="1" si="0"/>
        <v>21198392.794590976</v>
      </c>
      <c r="I32" s="837">
        <f t="shared" ca="1" si="0"/>
        <v>698734.46191278985</v>
      </c>
      <c r="J32" s="838">
        <f t="shared" ca="1" si="0"/>
        <v>2274716.30283002</v>
      </c>
      <c r="K32" s="837">
        <f t="shared" ca="1" si="0"/>
        <v>77048.693878444275</v>
      </c>
      <c r="L32" s="838">
        <f t="shared" ca="1" si="0"/>
        <v>9789577.3055836465</v>
      </c>
      <c r="M32" s="837">
        <f t="shared" ca="1" si="0"/>
        <v>242602.85485445199</v>
      </c>
      <c r="N32" s="838">
        <f t="shared" ca="1" si="0"/>
        <v>11377714.671218034</v>
      </c>
      <c r="O32" s="837">
        <f t="shared" ca="1" si="0"/>
        <v>49946.755867475033</v>
      </c>
      <c r="P32" s="838">
        <f t="shared" ca="1" si="0"/>
        <v>6346085.8726452049</v>
      </c>
      <c r="Q32" s="837">
        <f t="shared" ca="1" si="0"/>
        <v>1.3795703533469966E-15</v>
      </c>
      <c r="R32" s="838">
        <f t="shared" ca="1" si="0"/>
        <v>4.0704650942312667E-14</v>
      </c>
      <c r="S32" s="258"/>
    </row>
    <row r="33" spans="1:19" ht="18" customHeight="1" x14ac:dyDescent="0.2">
      <c r="A33" s="19"/>
      <c r="B33" s="20"/>
      <c r="C33" s="939"/>
      <c r="D33" s="939"/>
      <c r="E33" s="941"/>
      <c r="F33" s="941"/>
      <c r="G33" s="941"/>
      <c r="H33" s="941"/>
      <c r="I33" s="941"/>
      <c r="J33" s="941"/>
      <c r="K33" s="941"/>
      <c r="L33" s="941"/>
      <c r="M33" s="941"/>
      <c r="N33" s="941"/>
      <c r="O33" s="941"/>
      <c r="P33" s="941"/>
      <c r="Q33" s="941"/>
      <c r="R33" s="941"/>
      <c r="S33" s="258"/>
    </row>
    <row r="34" spans="1:19" ht="18" customHeight="1" x14ac:dyDescent="0.2">
      <c r="A34" s="19"/>
      <c r="B34" s="20"/>
      <c r="C34" s="942" t="s">
        <v>1629</v>
      </c>
      <c r="D34" s="257"/>
      <c r="E34" s="257"/>
      <c r="F34" s="257"/>
      <c r="G34" s="257"/>
      <c r="H34" s="257"/>
      <c r="I34" s="257"/>
      <c r="J34" s="257"/>
      <c r="K34" s="257"/>
      <c r="L34" s="257"/>
      <c r="M34" s="257"/>
      <c r="N34" s="257"/>
      <c r="O34" s="257"/>
      <c r="P34" s="257"/>
      <c r="Q34" s="257"/>
      <c r="R34" s="257"/>
      <c r="S34" s="258"/>
    </row>
    <row r="35" spans="1:19" ht="18" customHeight="1" x14ac:dyDescent="0.2">
      <c r="A35" s="19"/>
      <c r="B35" s="20"/>
      <c r="C35" s="943" t="s">
        <v>166</v>
      </c>
      <c r="D35" s="944"/>
      <c r="E35" s="944"/>
      <c r="F35" s="945">
        <v>0</v>
      </c>
      <c r="G35" s="946">
        <v>1</v>
      </c>
      <c r="H35" s="947"/>
      <c r="I35" s="257"/>
      <c r="J35" s="257"/>
      <c r="K35" s="257"/>
      <c r="L35" s="257"/>
      <c r="M35" s="257"/>
      <c r="N35" s="257"/>
      <c r="O35" s="257"/>
      <c r="P35" s="257"/>
      <c r="Q35" s="257"/>
      <c r="R35" s="257"/>
      <c r="S35" s="258"/>
    </row>
    <row r="36" spans="1:19" ht="18" customHeight="1" x14ac:dyDescent="0.2">
      <c r="A36" s="19"/>
      <c r="B36" s="20"/>
      <c r="C36" s="948" t="s">
        <v>168</v>
      </c>
      <c r="D36" s="257"/>
      <c r="E36" s="257"/>
      <c r="F36" s="695">
        <f>Constants!H320</f>
        <v>0.05</v>
      </c>
      <c r="G36" s="31" t="s">
        <v>1134</v>
      </c>
      <c r="H36" s="2097"/>
      <c r="I36" s="257"/>
      <c r="J36" s="257"/>
      <c r="K36" s="257"/>
      <c r="L36" s="257"/>
      <c r="M36" s="257"/>
      <c r="N36" s="257"/>
      <c r="O36" s="257"/>
      <c r="P36" s="257"/>
      <c r="Q36" s="257"/>
      <c r="R36" s="257"/>
      <c r="S36" s="258"/>
    </row>
    <row r="37" spans="1:19" ht="18" customHeight="1" x14ac:dyDescent="0.2">
      <c r="A37" s="19"/>
      <c r="B37" s="20"/>
      <c r="C37" s="949" t="s">
        <v>197</v>
      </c>
      <c r="D37" s="950"/>
      <c r="E37" s="950"/>
      <c r="F37" s="951">
        <f>CokingRefineryCalcs!D1036</f>
        <v>5.7039149598133256E-2</v>
      </c>
      <c r="G37" s="950" t="str">
        <f>CokingRefineryCalcs!E1036</f>
        <v>kg steam/kg steam produced</v>
      </c>
      <c r="H37" s="952"/>
      <c r="I37" s="257"/>
      <c r="J37" s="257"/>
      <c r="K37" s="257"/>
      <c r="L37" s="257"/>
      <c r="M37" s="257"/>
      <c r="N37" s="257"/>
      <c r="O37" s="257"/>
      <c r="P37" s="257"/>
      <c r="Q37" s="257"/>
      <c r="R37" s="257"/>
      <c r="S37" s="258"/>
    </row>
    <row r="38" spans="1:19" ht="18" customHeight="1" x14ac:dyDescent="0.2">
      <c r="A38" s="19"/>
      <c r="B38" s="20"/>
      <c r="C38" s="268"/>
      <c r="D38" s="257"/>
      <c r="E38" s="257"/>
      <c r="F38" s="696"/>
      <c r="G38" s="257"/>
      <c r="H38" s="257"/>
      <c r="I38" s="257"/>
      <c r="J38" s="257"/>
      <c r="K38" s="257"/>
      <c r="L38" s="257"/>
      <c r="M38" s="257"/>
      <c r="N38" s="257"/>
      <c r="O38" s="257"/>
      <c r="P38" s="257"/>
      <c r="Q38" s="257"/>
      <c r="R38" s="257"/>
      <c r="S38" s="258"/>
    </row>
    <row r="39" spans="1:19" ht="18" customHeight="1" x14ac:dyDescent="0.2">
      <c r="A39" s="19"/>
      <c r="B39" s="20"/>
      <c r="C39" s="2392" t="s">
        <v>1277</v>
      </c>
      <c r="D39" s="2393"/>
      <c r="E39" s="257"/>
      <c r="F39" s="257"/>
      <c r="G39" s="257"/>
      <c r="H39" s="257"/>
      <c r="I39" s="257"/>
      <c r="J39" s="257"/>
      <c r="K39" s="257"/>
      <c r="L39" s="257"/>
      <c r="M39" s="257"/>
      <c r="N39" s="257"/>
      <c r="O39" s="257"/>
      <c r="P39" s="257"/>
      <c r="Q39" s="257"/>
      <c r="R39" s="257"/>
      <c r="S39" s="258"/>
    </row>
    <row r="40" spans="1:19" ht="18" customHeight="1" x14ac:dyDescent="0.2">
      <c r="A40" s="19"/>
      <c r="B40" s="20"/>
      <c r="C40" s="2394"/>
      <c r="D40" s="2395"/>
      <c r="E40" s="2390" t="s">
        <v>1133</v>
      </c>
      <c r="F40" s="2390"/>
      <c r="G40" s="2390"/>
      <c r="H40" s="2390"/>
      <c r="I40" s="2390"/>
      <c r="J40" s="2391"/>
      <c r="K40" s="2400" t="s">
        <v>1131</v>
      </c>
      <c r="L40" s="2390"/>
      <c r="M40" s="2391"/>
      <c r="N40" s="260"/>
      <c r="O40" s="31"/>
      <c r="P40" s="31"/>
      <c r="Q40" s="260"/>
      <c r="R40" s="260"/>
      <c r="S40" s="259"/>
    </row>
    <row r="41" spans="1:19" ht="18" customHeight="1" x14ac:dyDescent="0.2">
      <c r="A41" s="19"/>
      <c r="B41" s="20"/>
      <c r="C41" s="2403" t="s">
        <v>170</v>
      </c>
      <c r="D41" s="2404"/>
      <c r="E41" s="2401" t="s">
        <v>1143</v>
      </c>
      <c r="F41" s="2402" t="s">
        <v>1130</v>
      </c>
      <c r="G41" s="2402" t="s">
        <v>1551</v>
      </c>
      <c r="H41" s="2402" t="s">
        <v>207</v>
      </c>
      <c r="I41" s="2402" t="s">
        <v>703</v>
      </c>
      <c r="J41" s="2405" t="s">
        <v>208</v>
      </c>
      <c r="K41" s="2401" t="s">
        <v>1552</v>
      </c>
      <c r="L41" s="2402" t="s">
        <v>202</v>
      </c>
      <c r="M41" s="2405" t="s">
        <v>1132</v>
      </c>
      <c r="N41" s="262"/>
      <c r="O41" s="31"/>
      <c r="P41" s="31"/>
      <c r="Q41" s="262"/>
      <c r="R41" s="262"/>
      <c r="S41" s="263"/>
    </row>
    <row r="42" spans="1:19" ht="18" customHeight="1" x14ac:dyDescent="0.2">
      <c r="A42" s="19"/>
      <c r="B42" s="20"/>
      <c r="C42" s="2401"/>
      <c r="D42" s="2405"/>
      <c r="E42" s="2401"/>
      <c r="F42" s="2402"/>
      <c r="G42" s="2402"/>
      <c r="H42" s="2402"/>
      <c r="I42" s="2402"/>
      <c r="J42" s="2405"/>
      <c r="K42" s="2401"/>
      <c r="L42" s="2402"/>
      <c r="M42" s="2405"/>
      <c r="N42" s="262"/>
      <c r="O42" s="31"/>
      <c r="P42" s="31"/>
      <c r="Q42" s="262"/>
      <c r="R42" s="262"/>
      <c r="S42" s="263"/>
    </row>
    <row r="43" spans="1:19" ht="18" customHeight="1" x14ac:dyDescent="0.2">
      <c r="A43" s="19"/>
      <c r="B43" s="20"/>
      <c r="C43" s="2388"/>
      <c r="D43" s="2389"/>
      <c r="E43" s="264" t="s">
        <v>1129</v>
      </c>
      <c r="F43" s="269" t="s">
        <v>1129</v>
      </c>
      <c r="G43" s="269" t="s">
        <v>1129</v>
      </c>
      <c r="H43" s="269" t="s">
        <v>1129</v>
      </c>
      <c r="I43" s="269" t="s">
        <v>1129</v>
      </c>
      <c r="J43" s="265" t="s">
        <v>1129</v>
      </c>
      <c r="K43" s="270" t="s">
        <v>1129</v>
      </c>
      <c r="L43" s="271" t="s">
        <v>1129</v>
      </c>
      <c r="M43" s="272" t="s">
        <v>1129</v>
      </c>
      <c r="N43" s="260"/>
      <c r="O43" s="31"/>
      <c r="P43" s="31"/>
      <c r="Q43" s="260"/>
      <c r="R43" s="260"/>
      <c r="S43" s="259"/>
    </row>
    <row r="44" spans="1:19" ht="18" customHeight="1" x14ac:dyDescent="0.2">
      <c r="A44" s="19"/>
      <c r="B44" s="20"/>
      <c r="C44" s="2096" t="str">
        <f t="shared" ref="C44:C66" si="1">C9</f>
        <v>Desalter</v>
      </c>
      <c r="D44" s="2097"/>
      <c r="E44" s="954">
        <f ca="1">F9*'Emission Factors'!$G$53/'Energy &amp; Unit Conversions'!$E$94</f>
        <v>0.82359321901136406</v>
      </c>
      <c r="F44" s="2121">
        <f>IF((H9-N9)&gt;0,(H9-N9),0)*('Emission Factors'!$J$76+'Emission Factors'!$K$76)/'Energy &amp; Unit Conversions'!$E$94</f>
        <v>0</v>
      </c>
      <c r="G44" s="953">
        <f ca="1">IF((H9-N9)&gt;0,N9,H9)*('Emission Factors'!$J$203+'Emission Factors'!$K$203)/'Energy &amp; Unit Conversions'!$E$94</f>
        <v>0</v>
      </c>
      <c r="H44" s="2121">
        <f>IF(J9&gt;0,J9*'Emission Factors'!$F$100/'Energy &amp; Unit Conversions'!$E$94,0)</f>
        <v>0</v>
      </c>
      <c r="I44" s="2121">
        <f>R9*'Emission Factors'!$E$177/'Energy &amp; Unit Conversions'!$E$94</f>
        <v>0</v>
      </c>
      <c r="J44" s="953">
        <f>L9*'Emission Factors'!$H$135/'Energy &amp; Unit Conversions'!$E$94</f>
        <v>0</v>
      </c>
      <c r="K44" s="2121">
        <f ca="1">IF((H9-N9)&gt;0,0,(H9-N9))*((('Emission Factors'!$J$76+'Emission Factors'!$K$76)/'Energy &amp; Unit Conversions'!$E$94)-(('Emission Factors'!$J$203+'Emission Factors'!$K$203)/'Energy &amp; Unit Conversions'!$E$94))</f>
        <v>0</v>
      </c>
      <c r="L44" s="2121">
        <f>-P9*'Emission Factors'!$H$135/'Energy &amp; Unit Conversions'!$E$94</f>
        <v>0</v>
      </c>
      <c r="M44" s="953">
        <f>IF(J9&lt;0,J9*'Emission Factors'!$F$100/'Energy &amp; Unit Conversions'!$E$94,0)</f>
        <v>0</v>
      </c>
      <c r="N44" s="260"/>
      <c r="O44" s="31"/>
      <c r="P44" s="31"/>
      <c r="Q44" s="260"/>
      <c r="R44" s="260"/>
      <c r="S44" s="259"/>
    </row>
    <row r="45" spans="1:19" ht="18" customHeight="1" x14ac:dyDescent="0.2">
      <c r="A45" s="19"/>
      <c r="B45" s="20"/>
      <c r="C45" s="2096" t="str">
        <f t="shared" si="1"/>
        <v>Atmospheric Tower Furnace</v>
      </c>
      <c r="D45" s="2097"/>
      <c r="E45" s="954">
        <f>F10*'Emission Factors'!$G$53/'Energy &amp; Unit Conversions'!$E$94</f>
        <v>0</v>
      </c>
      <c r="F45" s="2121">
        <f ca="1">IF((H10-N10)&gt;0,(H10-N10),0)*('Emission Factors'!$J$76+'Emission Factors'!$K$76)/'Energy &amp; Unit Conversions'!$E$94</f>
        <v>283.96539814850593</v>
      </c>
      <c r="G45" s="953">
        <f ca="1">IF((H10-N10)&gt;0,N10,H10)*('Emission Factors'!$J$203+'Emission Factors'!$K$203)/'Energy &amp; Unit Conversions'!$E$94</f>
        <v>0</v>
      </c>
      <c r="H45" s="2121">
        <f>IF(J10&gt;0,J10*'Emission Factors'!$F$100/'Energy &amp; Unit Conversions'!$E$94,0)</f>
        <v>0</v>
      </c>
      <c r="I45" s="2121">
        <f>R10*'Emission Factors'!$E$177/'Energy &amp; Unit Conversions'!$E$94</f>
        <v>0</v>
      </c>
      <c r="J45" s="953">
        <f>L10*'Emission Factors'!$H$135/'Energy &amp; Unit Conversions'!$E$94</f>
        <v>0</v>
      </c>
      <c r="K45" s="2121">
        <f ca="1">IF((H10-N10)&gt;0,0,(H10-N10))*((('Emission Factors'!$J$76+'Emission Factors'!$K$76)/'Energy &amp; Unit Conversions'!$E$94)-(('Emission Factors'!$J$203+'Emission Factors'!$K$203)/'Energy &amp; Unit Conversions'!$E$94))</f>
        <v>0</v>
      </c>
      <c r="L45" s="2121">
        <f>-P10*'Emission Factors'!$H$135/'Energy &amp; Unit Conversions'!$E$94</f>
        <v>0</v>
      </c>
      <c r="M45" s="953">
        <f>IF(J10&lt;0,J10*'Emission Factors'!$F$100/'Energy &amp; Unit Conversions'!$E$94,0)</f>
        <v>0</v>
      </c>
      <c r="N45" s="260"/>
      <c r="O45" s="31"/>
      <c r="P45" s="31"/>
      <c r="Q45" s="260"/>
      <c r="R45" s="260"/>
      <c r="S45" s="259"/>
    </row>
    <row r="46" spans="1:19" ht="18" customHeight="1" x14ac:dyDescent="0.2">
      <c r="A46" s="19"/>
      <c r="B46" s="20"/>
      <c r="C46" s="2096" t="str">
        <f t="shared" si="1"/>
        <v>Atmospheric Tower</v>
      </c>
      <c r="D46" s="2097"/>
      <c r="E46" s="954">
        <f ca="1">F11*'Emission Factors'!$G$53/'Energy &amp; Unit Conversions'!$E$94</f>
        <v>4.9415593140681837</v>
      </c>
      <c r="F46" s="2121">
        <f>IF((H11-N11)&gt;0,(H11-N11),0)*('Emission Factors'!$J$76+'Emission Factors'!$K$76)/'Energy &amp; Unit Conversions'!$E$94</f>
        <v>0</v>
      </c>
      <c r="G46" s="953">
        <f ca="1">IF((H11-N11)&gt;0,N11,H11)*('Emission Factors'!$J$203+'Emission Factors'!$K$203)/'Energy &amp; Unit Conversions'!$E$94</f>
        <v>0</v>
      </c>
      <c r="H46" s="2121">
        <f ca="1">IF(J11&gt;0,J11*'Emission Factors'!$F$100/'Energy &amp; Unit Conversions'!$E$94,0)</f>
        <v>59.083155958973833</v>
      </c>
      <c r="I46" s="2121">
        <f>R11*'Emission Factors'!$E$177/'Energy &amp; Unit Conversions'!$E$94</f>
        <v>0</v>
      </c>
      <c r="J46" s="953">
        <f>L11*'Emission Factors'!$H$135/'Energy &amp; Unit Conversions'!$E$94</f>
        <v>0</v>
      </c>
      <c r="K46" s="2121">
        <f ca="1">IF((H11-N11)&gt;0,0,(H11-N11))*((('Emission Factors'!$J$76+'Emission Factors'!$K$76)/'Energy &amp; Unit Conversions'!$E$94)-(('Emission Factors'!$J$203+'Emission Factors'!$K$203)/'Energy &amp; Unit Conversions'!$E$94))</f>
        <v>0</v>
      </c>
      <c r="L46" s="2121">
        <f>-P11*'Emission Factors'!$H$135/'Energy &amp; Unit Conversions'!$E$94</f>
        <v>0</v>
      </c>
      <c r="M46" s="953">
        <f ca="1">IF(J11&lt;0,J11*'Emission Factors'!$F$100/'Energy &amp; Unit Conversions'!$E$94,0)</f>
        <v>0</v>
      </c>
      <c r="N46" s="260"/>
      <c r="O46" s="31"/>
      <c r="P46" s="31"/>
      <c r="Q46" s="260"/>
      <c r="R46" s="260"/>
      <c r="S46" s="259"/>
    </row>
    <row r="47" spans="1:19" ht="18" customHeight="1" x14ac:dyDescent="0.2">
      <c r="A47" s="19"/>
      <c r="B47" s="20"/>
      <c r="C47" s="2096" t="str">
        <f t="shared" si="1"/>
        <v>Vacuum Tower Furnace</v>
      </c>
      <c r="D47" s="2097"/>
      <c r="E47" s="954">
        <f>F12*'Emission Factors'!$G$53/'Energy &amp; Unit Conversions'!$E$94</f>
        <v>0</v>
      </c>
      <c r="F47" s="2121">
        <f ca="1">IF((H12-N12)&gt;0,(H12-N12),0)*('Emission Factors'!$J$76+'Emission Factors'!$K$76)/'Energy &amp; Unit Conversions'!$E$94</f>
        <v>4.4598510206424369E-19</v>
      </c>
      <c r="G47" s="953">
        <f ca="1">IF((H12-N12)&gt;0,N12,H12)*('Emission Factors'!$J$203+'Emission Factors'!$K$203)/'Energy &amp; Unit Conversions'!$E$94</f>
        <v>0</v>
      </c>
      <c r="H47" s="2121">
        <f>IF(J12&gt;0,J12*'Emission Factors'!$F$100/'Energy &amp; Unit Conversions'!$E$94,0)</f>
        <v>0</v>
      </c>
      <c r="I47" s="2121">
        <f>R12*'Emission Factors'!$E$177/'Energy &amp; Unit Conversions'!$E$94</f>
        <v>0</v>
      </c>
      <c r="J47" s="953">
        <f>L12*'Emission Factors'!$H$135/'Energy &amp; Unit Conversions'!$E$94</f>
        <v>0</v>
      </c>
      <c r="K47" s="2121">
        <f ca="1">IF((H12-N12)&gt;0,0,(H12-N12))*((('Emission Factors'!$J$76+'Emission Factors'!$K$76)/'Energy &amp; Unit Conversions'!$E$94)-(('Emission Factors'!$J$203+'Emission Factors'!$K$203)/'Energy &amp; Unit Conversions'!$E$94))</f>
        <v>0</v>
      </c>
      <c r="L47" s="2121">
        <f>-P12*'Emission Factors'!$H$135/'Energy &amp; Unit Conversions'!$E$94</f>
        <v>0</v>
      </c>
      <c r="M47" s="953">
        <f>IF(J12&lt;0,J12*'Emission Factors'!$F$100/'Energy &amp; Unit Conversions'!$E$94,0)</f>
        <v>0</v>
      </c>
      <c r="N47" s="260"/>
      <c r="O47" s="31"/>
      <c r="P47" s="31"/>
      <c r="Q47" s="260"/>
      <c r="R47" s="260"/>
      <c r="S47" s="259"/>
    </row>
    <row r="48" spans="1:19" ht="18" customHeight="1" x14ac:dyDescent="0.2">
      <c r="A48" s="19"/>
      <c r="B48" s="20"/>
      <c r="C48" s="2096" t="str">
        <f t="shared" si="1"/>
        <v>Vacuum Tower</v>
      </c>
      <c r="D48" s="2097"/>
      <c r="E48" s="954">
        <f ca="1">F13*'Emission Factors'!$G$53/'Energy &amp; Unit Conversions'!$E$94</f>
        <v>0</v>
      </c>
      <c r="F48" s="2121">
        <f>IF((H13-N13)&gt;0,(H13-N13),0)*('Emission Factors'!$J$76+'Emission Factors'!$K$76)/'Energy &amp; Unit Conversions'!$E$94</f>
        <v>0</v>
      </c>
      <c r="G48" s="953">
        <f ca="1">IF((H13-N13)&gt;0,N13,H13)*('Emission Factors'!$J$203+'Emission Factors'!$K$203)/'Energy &amp; Unit Conversions'!$E$94</f>
        <v>0</v>
      </c>
      <c r="H48" s="2121">
        <f ca="1">IF(J13&gt;0,J13*'Emission Factors'!$F$100/'Energy &amp; Unit Conversions'!$E$94,0)</f>
        <v>1.7170101927159425E-17</v>
      </c>
      <c r="I48" s="2121">
        <f>R13*'Emission Factors'!$E$177/'Energy &amp; Unit Conversions'!$E$94</f>
        <v>0</v>
      </c>
      <c r="J48" s="953">
        <f>L13*'Emission Factors'!$H$135/'Energy &amp; Unit Conversions'!$E$94</f>
        <v>0</v>
      </c>
      <c r="K48" s="2121">
        <f ca="1">IF((H13-N13)&gt;0,0,(H13-N13))*((('Emission Factors'!$J$76+'Emission Factors'!$K$76)/'Energy &amp; Unit Conversions'!$E$94)-(('Emission Factors'!$J$203+'Emission Factors'!$K$203)/'Energy &amp; Unit Conversions'!$E$94))</f>
        <v>0</v>
      </c>
      <c r="L48" s="2121">
        <f>-P13*'Emission Factors'!$H$135/'Energy &amp; Unit Conversions'!$E$94</f>
        <v>0</v>
      </c>
      <c r="M48" s="953">
        <f ca="1">IF(J13&lt;0,J13*'Emission Factors'!$F$100/'Energy &amp; Unit Conversions'!$E$94,0)</f>
        <v>0</v>
      </c>
      <c r="N48" s="260"/>
      <c r="O48" s="31"/>
      <c r="P48" s="31"/>
      <c r="Q48" s="260"/>
      <c r="R48" s="260"/>
      <c r="S48" s="259"/>
    </row>
    <row r="49" spans="1:19" ht="18" customHeight="1" x14ac:dyDescent="0.2">
      <c r="A49" s="19"/>
      <c r="B49" s="20"/>
      <c r="C49" s="2096" t="str">
        <f t="shared" si="1"/>
        <v>Naphtha Hydrotreater</v>
      </c>
      <c r="D49" s="2097"/>
      <c r="E49" s="954">
        <f ca="1">F14*'Emission Factors'!$G$53/'Energy &amp; Unit Conversions'!$E$94</f>
        <v>57.514509816423875</v>
      </c>
      <c r="F49" s="2121">
        <f ca="1">IF((H14-N14)&gt;0,(H14-N14),0)*('Emission Factors'!$J$76+'Emission Factors'!$K$76)/'Energy &amp; Unit Conversions'!$E$94</f>
        <v>232.66305459420607</v>
      </c>
      <c r="G49" s="953">
        <f ca="1">IF((H14-N14)&gt;0,N14,H14)*('Emission Factors'!$J$203+'Emission Factors'!$K$203)/'Energy &amp; Unit Conversions'!$E$94</f>
        <v>12.112903237159923</v>
      </c>
      <c r="H49" s="2121">
        <f ca="1">IF(J14&gt;0,J14*'Emission Factors'!$F$100/'Energy &amp; Unit Conversions'!$E$94,0)</f>
        <v>18.751830850344483</v>
      </c>
      <c r="I49" s="2121">
        <f>R14*'Emission Factors'!$E$177/'Energy &amp; Unit Conversions'!$E$94</f>
        <v>0</v>
      </c>
      <c r="J49" s="953">
        <f ca="1">L14*'Emission Factors'!$H$135/'Energy &amp; Unit Conversions'!$E$94</f>
        <v>572.42510569852868</v>
      </c>
      <c r="K49" s="2121">
        <f ca="1">IF((H14-N14)&gt;0,0,(H14-N14))*((('Emission Factors'!$J$76+'Emission Factors'!$K$76)/'Energy &amp; Unit Conversions'!$E$94)-(('Emission Factors'!$J$203+'Emission Factors'!$K$203)/'Energy &amp; Unit Conversions'!$E$94))</f>
        <v>0</v>
      </c>
      <c r="L49" s="2121">
        <f>-P14*'Emission Factors'!$H$135/'Energy &amp; Unit Conversions'!$E$94</f>
        <v>0</v>
      </c>
      <c r="M49" s="953">
        <f ca="1">IF(J14&lt;0,J14*'Emission Factors'!$F$100/'Energy &amp; Unit Conversions'!$E$94,0)</f>
        <v>0</v>
      </c>
      <c r="N49" s="260"/>
      <c r="O49" s="31"/>
      <c r="P49" s="31"/>
      <c r="Q49" s="260"/>
      <c r="R49" s="260"/>
      <c r="S49" s="259"/>
    </row>
    <row r="50" spans="1:19" ht="18" customHeight="1" x14ac:dyDescent="0.2">
      <c r="A50" s="19"/>
      <c r="B50" s="20"/>
      <c r="C50" s="2096" t="str">
        <f t="shared" si="1"/>
        <v>Kerosene Hydrotreater</v>
      </c>
      <c r="D50" s="2097"/>
      <c r="E50" s="954">
        <f ca="1">F15*'Emission Factors'!$G$53/'Energy &amp; Unit Conversions'!$E$94</f>
        <v>44.648916151424345</v>
      </c>
      <c r="F50" s="2121">
        <f ca="1">IF((H15-N15)&gt;0,(H15-N15),0)*('Emission Factors'!$J$76+'Emission Factors'!$K$76)/'Energy &amp; Unit Conversions'!$E$94</f>
        <v>263.54740004012791</v>
      </c>
      <c r="G50" s="953">
        <f ca="1">IF((H15-N15)&gt;0,N15,H15)*('Emission Factors'!$J$203+'Emission Factors'!$K$203)/'Energy &amp; Unit Conversions'!$E$94</f>
        <v>20.256413376918204</v>
      </c>
      <c r="H50" s="2121">
        <f ca="1">IF(J15&gt;0,J15*'Emission Factors'!$F$100/'Energy &amp; Unit Conversions'!$E$94,0)</f>
        <v>23.291483863674006</v>
      </c>
      <c r="I50" s="2121">
        <f>R15*'Emission Factors'!$E$177/'Energy &amp; Unit Conversions'!$E$94</f>
        <v>0</v>
      </c>
      <c r="J50" s="953">
        <f ca="1">L15*'Emission Factors'!$H$135/'Energy &amp; Unit Conversions'!$E$94</f>
        <v>228.09106642811645</v>
      </c>
      <c r="K50" s="2121">
        <f ca="1">IF((H15-N15)&gt;0,0,(H15-N15))*((('Emission Factors'!$J$76+'Emission Factors'!$K$76)/'Energy &amp; Unit Conversions'!$E$94)-(('Emission Factors'!$J$203+'Emission Factors'!$K$203)/'Energy &amp; Unit Conversions'!$E$94))</f>
        <v>0</v>
      </c>
      <c r="L50" s="2121">
        <f>-P15*'Emission Factors'!$H$135/'Energy &amp; Unit Conversions'!$E$94</f>
        <v>0</v>
      </c>
      <c r="M50" s="953">
        <f ca="1">IF(J15&lt;0,J15*'Emission Factors'!$F$100/'Energy &amp; Unit Conversions'!$E$94,0)</f>
        <v>0</v>
      </c>
      <c r="N50" s="260"/>
      <c r="O50" s="31"/>
      <c r="P50" s="31"/>
      <c r="Q50" s="260"/>
      <c r="R50" s="260"/>
      <c r="S50" s="259"/>
    </row>
    <row r="51" spans="1:19" ht="18" customHeight="1" x14ac:dyDescent="0.2">
      <c r="A51" s="19"/>
      <c r="B51" s="20"/>
      <c r="C51" s="2096" t="str">
        <f t="shared" si="1"/>
        <v>Kerosene Merox Unit</v>
      </c>
      <c r="D51" s="2097"/>
      <c r="E51" s="954">
        <f ca="1">F16*'Emission Factors'!$G$53/'Energy &amp; Unit Conversions'!$E$94</f>
        <v>1.5340406248714036</v>
      </c>
      <c r="F51" s="2121">
        <f>IF((H16-N16)&gt;0,(H16-N16),0)*('Emission Factors'!$J$76+'Emission Factors'!$K$76)/'Energy &amp; Unit Conversions'!$E$94</f>
        <v>0</v>
      </c>
      <c r="G51" s="953">
        <f ca="1">IF((H16-N16)&gt;0,N16,H16)*('Emission Factors'!$J$203+'Emission Factors'!$K$203)/'Energy &amp; Unit Conversions'!$E$94</f>
        <v>0</v>
      </c>
      <c r="H51" s="2121">
        <f>IF(J16&gt;0,J16*'Emission Factors'!$F$100/'Energy &amp; Unit Conversions'!$E$94,0)</f>
        <v>0</v>
      </c>
      <c r="I51" s="2121">
        <f>R16*'Emission Factors'!$E$177/'Energy &amp; Unit Conversions'!$E$94</f>
        <v>0</v>
      </c>
      <c r="J51" s="953">
        <f>L16*'Emission Factors'!$H$135/'Energy &amp; Unit Conversions'!$E$94</f>
        <v>0</v>
      </c>
      <c r="K51" s="2121">
        <f ca="1">IF((H16-N16)&gt;0,0,(H16-N16))*((('Emission Factors'!$J$76+'Emission Factors'!$K$76)/'Energy &amp; Unit Conversions'!$E$94)-(('Emission Factors'!$J$203+'Emission Factors'!$K$203)/'Energy &amp; Unit Conversions'!$E$94))</f>
        <v>0</v>
      </c>
      <c r="L51" s="2121">
        <f>-P16*'Emission Factors'!$H$135/'Energy &amp; Unit Conversions'!$E$94</f>
        <v>0</v>
      </c>
      <c r="M51" s="953">
        <f>IF(J16&lt;0,J16*'Emission Factors'!$F$100/'Energy &amp; Unit Conversions'!$E$94,0)</f>
        <v>0</v>
      </c>
      <c r="N51" s="260"/>
      <c r="O51" s="31"/>
      <c r="P51" s="31"/>
      <c r="Q51" s="260"/>
      <c r="R51" s="260"/>
      <c r="S51" s="259"/>
    </row>
    <row r="52" spans="1:19" ht="18" customHeight="1" x14ac:dyDescent="0.2">
      <c r="A52" s="19"/>
      <c r="B52" s="20"/>
      <c r="C52" s="2096" t="str">
        <f t="shared" si="1"/>
        <v>Gas Oil Hydrocracker</v>
      </c>
      <c r="D52" s="2097"/>
      <c r="E52" s="954">
        <f ca="1">F17*'Emission Factors'!$G$53/'Energy &amp; Unit Conversions'!$E$94</f>
        <v>0</v>
      </c>
      <c r="F52" s="2121">
        <f ca="1">IF((H17-N17)&gt;0,(H17-N17),0)*('Emission Factors'!$J$76+'Emission Factors'!$K$76)/'Energy &amp; Unit Conversions'!$E$94</f>
        <v>0</v>
      </c>
      <c r="G52" s="953">
        <f ca="1">IF((H17-N17)&gt;0,N17,H17)*('Emission Factors'!$J$203+'Emission Factors'!$K$203)/'Energy &amp; Unit Conversions'!$E$94</f>
        <v>7.0633802759813424E-11</v>
      </c>
      <c r="H52" s="2121">
        <f>IF(J17&gt;0,J17*'Emission Factors'!$F$100/'Energy &amp; Unit Conversions'!$E$94,0)</f>
        <v>0</v>
      </c>
      <c r="I52" s="2121">
        <f>R17*'Emission Factors'!$E$177/'Energy &amp; Unit Conversions'!$E$94</f>
        <v>0</v>
      </c>
      <c r="J52" s="953">
        <f ca="1">L17*'Emission Factors'!$H$135/'Energy &amp; Unit Conversions'!$E$94</f>
        <v>6.1062784659357576E-10</v>
      </c>
      <c r="K52" s="2121">
        <f ca="1">IF((H17-N17)&gt;0,0,(H17-N17))*((('Emission Factors'!$J$76+'Emission Factors'!$K$76)/'Energy &amp; Unit Conversions'!$E$94)-(('Emission Factors'!$J$203+'Emission Factors'!$K$203)/'Energy &amp; Unit Conversions'!$E$94))</f>
        <v>-4.0322930672102351E-12</v>
      </c>
      <c r="L52" s="2121">
        <f>-P17*'Emission Factors'!$H$135/'Energy &amp; Unit Conversions'!$E$94</f>
        <v>0</v>
      </c>
      <c r="M52" s="953">
        <f>IF(J17&lt;0,J17*'Emission Factors'!$F$100/'Energy &amp; Unit Conversions'!$E$94,0)</f>
        <v>0</v>
      </c>
      <c r="N52" s="260"/>
      <c r="O52" s="31"/>
      <c r="P52" s="31"/>
      <c r="Q52" s="260"/>
      <c r="R52" s="260"/>
      <c r="S52" s="259"/>
    </row>
    <row r="53" spans="1:19" ht="18" customHeight="1" x14ac:dyDescent="0.2">
      <c r="A53" s="19"/>
      <c r="B53" s="20"/>
      <c r="C53" s="2096" t="str">
        <f t="shared" si="1"/>
        <v>Gas Oil Hydrocracker Fractionator</v>
      </c>
      <c r="D53" s="2097"/>
      <c r="E53" s="954">
        <f ca="1">F18*'Emission Factors'!$G$53/'Energy &amp; Unit Conversions'!$E$94</f>
        <v>0</v>
      </c>
      <c r="F53" s="2121">
        <f>IF((H18-N18)&gt;0,(H18-N18),0)*('Emission Factors'!$J$76+'Emission Factors'!$K$76)/'Energy &amp; Unit Conversions'!$E$94</f>
        <v>0</v>
      </c>
      <c r="G53" s="953">
        <f ca="1">IF((H18-N18)&gt;0,N18,H18)*('Emission Factors'!$J$203+'Emission Factors'!$K$203)/'Energy &amp; Unit Conversions'!$E$94</f>
        <v>0</v>
      </c>
      <c r="H53" s="2121">
        <f ca="1">IF(J18&gt;0,J18*'Emission Factors'!$F$100/'Energy &amp; Unit Conversions'!$E$94,0)</f>
        <v>7.4685097460253616E-11</v>
      </c>
      <c r="I53" s="2121">
        <f>R18*'Emission Factors'!$E$177/'Energy &amp; Unit Conversions'!$E$94</f>
        <v>0</v>
      </c>
      <c r="J53" s="953">
        <f>L18*'Emission Factors'!$H$135/'Energy &amp; Unit Conversions'!$E$94</f>
        <v>0</v>
      </c>
      <c r="K53" s="2121">
        <f ca="1">IF((H18-N18)&gt;0,0,(H18-N18))*((('Emission Factors'!$J$76+'Emission Factors'!$K$76)/'Energy &amp; Unit Conversions'!$E$94)-(('Emission Factors'!$J$203+'Emission Factors'!$K$203)/'Energy &amp; Unit Conversions'!$E$94))</f>
        <v>0</v>
      </c>
      <c r="L53" s="2121">
        <f>-P18*'Emission Factors'!$H$135/'Energy &amp; Unit Conversions'!$E$94</f>
        <v>0</v>
      </c>
      <c r="M53" s="953">
        <f ca="1">IF(J18&lt;0,J18*'Emission Factors'!$F$100/'Energy &amp; Unit Conversions'!$E$94,0)</f>
        <v>0</v>
      </c>
      <c r="N53" s="260"/>
      <c r="O53" s="31"/>
      <c r="P53" s="31"/>
      <c r="Q53" s="260"/>
      <c r="R53" s="260"/>
      <c r="S53" s="259"/>
    </row>
    <row r="54" spans="1:19" ht="18" customHeight="1" x14ac:dyDescent="0.2">
      <c r="A54" s="19"/>
      <c r="B54" s="20"/>
      <c r="C54" s="2096" t="str">
        <f t="shared" si="1"/>
        <v>Diesel Hydrotreater</v>
      </c>
      <c r="D54" s="2097"/>
      <c r="E54" s="954">
        <f ca="1">F19*'Emission Factors'!$G$53/'Energy &amp; Unit Conversions'!$E$94</f>
        <v>20.800113399612222</v>
      </c>
      <c r="F54" s="2121">
        <f ca="1">IF((H19-N19)&gt;0,(H19-N19),0)*('Emission Factors'!$J$76+'Emission Factors'!$K$76)/'Energy &amp; Unit Conversions'!$E$94</f>
        <v>122.2874825633636</v>
      </c>
      <c r="G54" s="953">
        <f ca="1">IF((H19-N19)&gt;0,N19,H19)*('Emission Factors'!$J$203+'Emission Factors'!$K$203)/'Energy &amp; Unit Conversions'!$E$94</f>
        <v>9.8705038459293046</v>
      </c>
      <c r="H54" s="2121">
        <f ca="1">IF(J19&gt;0,J19*'Emission Factors'!$F$100/'Energy &amp; Unit Conversions'!$E$94,0)</f>
        <v>10.850554668933494</v>
      </c>
      <c r="I54" s="2121">
        <f>R19*'Emission Factors'!$E$177/'Energy &amp; Unit Conversions'!$E$94</f>
        <v>0</v>
      </c>
      <c r="J54" s="953">
        <f ca="1">L19*'Emission Factors'!$H$135/'Energy &amp; Unit Conversions'!$E$94</f>
        <v>121.75015122877394</v>
      </c>
      <c r="K54" s="2121">
        <f ca="1">IF((H19-N19)&gt;0,0,(H19-N19))*((('Emission Factors'!$J$76+'Emission Factors'!$K$76)/'Energy &amp; Unit Conversions'!$E$94)-(('Emission Factors'!$J$203+'Emission Factors'!$K$203)/'Energy &amp; Unit Conversions'!$E$94))</f>
        <v>0</v>
      </c>
      <c r="L54" s="2121">
        <f>-P19*'Emission Factors'!$H$135/'Energy &amp; Unit Conversions'!$E$94</f>
        <v>0</v>
      </c>
      <c r="M54" s="953">
        <f ca="1">IF(J19&lt;0,J19*'Emission Factors'!$F$100/'Energy &amp; Unit Conversions'!$E$94,0)</f>
        <v>0</v>
      </c>
      <c r="N54" s="260"/>
      <c r="O54" s="31"/>
      <c r="P54" s="31"/>
      <c r="Q54" s="260"/>
      <c r="R54" s="260"/>
      <c r="S54" s="259"/>
    </row>
    <row r="55" spans="1:19" ht="18" customHeight="1" x14ac:dyDescent="0.2">
      <c r="A55" s="19"/>
      <c r="B55" s="20"/>
      <c r="C55" s="2096" t="str">
        <f t="shared" si="1"/>
        <v>Coker Furnace</v>
      </c>
      <c r="D55" s="2097"/>
      <c r="E55" s="954">
        <f>F20*'Emission Factors'!$G$53/'Energy &amp; Unit Conversions'!$E$94</f>
        <v>0</v>
      </c>
      <c r="F55" s="2121">
        <f ca="1">IF((H20-N20)&gt;0,(H20-N20),0)*('Emission Factors'!$J$76+'Emission Factors'!$K$76)/'Energy &amp; Unit Conversions'!$E$94</f>
        <v>9.9768672963677239E-17</v>
      </c>
      <c r="G55" s="953">
        <f ca="1">IF((H20-N20)&gt;0,N20,H20)*('Emission Factors'!$J$203+'Emission Factors'!$K$203)/'Energy &amp; Unit Conversions'!$E$94</f>
        <v>0</v>
      </c>
      <c r="H55" s="2121">
        <f>IF(J20&gt;0,J20*'Emission Factors'!$F$100/'Energy &amp; Unit Conversions'!$E$94,0)</f>
        <v>0</v>
      </c>
      <c r="I55" s="2121">
        <f>R20*'Emission Factors'!$E$177/'Energy &amp; Unit Conversions'!$E$94</f>
        <v>0</v>
      </c>
      <c r="J55" s="953">
        <f>L20*'Emission Factors'!$H$135/'Energy &amp; Unit Conversions'!$E$94</f>
        <v>0</v>
      </c>
      <c r="K55" s="2121">
        <f ca="1">IF((H20-N20)&gt;0,0,(H20-N20))*((('Emission Factors'!$J$76+'Emission Factors'!$K$76)/'Energy &amp; Unit Conversions'!$E$94)-(('Emission Factors'!$J$203+'Emission Factors'!$K$203)/'Energy &amp; Unit Conversions'!$E$94))</f>
        <v>0</v>
      </c>
      <c r="L55" s="2121">
        <f>-P20*'Emission Factors'!$H$135/'Energy &amp; Unit Conversions'!$E$94</f>
        <v>0</v>
      </c>
      <c r="M55" s="953">
        <f>IF(J20&lt;0,J20*'Emission Factors'!$F$100/'Energy &amp; Unit Conversions'!$E$94,0)</f>
        <v>0</v>
      </c>
      <c r="N55" s="260"/>
      <c r="O55" s="31"/>
      <c r="P55" s="31"/>
      <c r="Q55" s="260"/>
      <c r="R55" s="260"/>
      <c r="S55" s="259"/>
    </row>
    <row r="56" spans="1:19" ht="18" customHeight="1" x14ac:dyDescent="0.2">
      <c r="A56" s="19"/>
      <c r="B56" s="20"/>
      <c r="C56" s="2096" t="str">
        <f t="shared" si="1"/>
        <v>Coker</v>
      </c>
      <c r="D56" s="2097"/>
      <c r="E56" s="954">
        <f ca="1">F21*'Emission Factors'!$G$53/'Energy &amp; Unit Conversions'!$E$94</f>
        <v>0</v>
      </c>
      <c r="F56" s="2121">
        <f ca="1">IF((H21-N21)&gt;0,(H21-N21),0)*('Emission Factors'!$J$76+'Emission Factors'!$K$76)/'Energy &amp; Unit Conversions'!$E$94</f>
        <v>0</v>
      </c>
      <c r="G56" s="953">
        <f ca="1">IF((H21-N21)&gt;0,N21,H21)*('Emission Factors'!$J$203+'Emission Factors'!$K$203)/'Energy &amp; Unit Conversions'!$E$94</f>
        <v>0</v>
      </c>
      <c r="H56" s="2121">
        <f>IF(J21&gt;0,J21*'Emission Factors'!$F$100/'Energy &amp; Unit Conversions'!$E$94,0)</f>
        <v>0</v>
      </c>
      <c r="I56" s="2121">
        <f>R21*'Emission Factors'!$E$177/'Energy &amp; Unit Conversions'!$E$94</f>
        <v>0</v>
      </c>
      <c r="J56" s="953">
        <f>L21*'Emission Factors'!$H$135/'Energy &amp; Unit Conversions'!$E$94</f>
        <v>0</v>
      </c>
      <c r="K56" s="2121">
        <f ca="1">IF((H21-N21)&gt;0,0,(H21-N21))*((('Emission Factors'!$J$76+'Emission Factors'!$K$76)/'Energy &amp; Unit Conversions'!$E$94)-(('Emission Factors'!$J$203+'Emission Factors'!$K$203)/'Energy &amp; Unit Conversions'!$E$94))</f>
        <v>-3.310592149146848E-19</v>
      </c>
      <c r="L56" s="2121">
        <f>-P21*'Emission Factors'!$H$135/'Energy &amp; Unit Conversions'!$E$94</f>
        <v>0</v>
      </c>
      <c r="M56" s="953">
        <f>IF(J21&lt;0,J21*'Emission Factors'!$F$100/'Energy &amp; Unit Conversions'!$E$94,0)</f>
        <v>0</v>
      </c>
      <c r="N56" s="260"/>
      <c r="O56" s="31"/>
      <c r="P56" s="31"/>
      <c r="Q56" s="260"/>
      <c r="R56" s="260"/>
      <c r="S56" s="259"/>
    </row>
    <row r="57" spans="1:19" ht="18" customHeight="1" x14ac:dyDescent="0.2">
      <c r="A57" s="19"/>
      <c r="B57" s="20"/>
      <c r="C57" s="2096" t="str">
        <f t="shared" si="1"/>
        <v xml:space="preserve">Coker Fractionator </v>
      </c>
      <c r="D57" s="2097"/>
      <c r="E57" s="954">
        <f ca="1">F22*'Emission Factors'!$G$53/'Energy &amp; Unit Conversions'!$E$94</f>
        <v>0</v>
      </c>
      <c r="F57" s="2121">
        <f>IF((H22-N22)&gt;0,(H22-N22),0)*('Emission Factors'!$J$76+'Emission Factors'!$K$76)/'Energy &amp; Unit Conversions'!$E$94</f>
        <v>0</v>
      </c>
      <c r="G57" s="953">
        <f ca="1">IF((H22-N22)&gt;0,N22,H22)*('Emission Factors'!$J$203+'Emission Factors'!$K$203)/'Energy &amp; Unit Conversions'!$E$94</f>
        <v>0</v>
      </c>
      <c r="H57" s="2121">
        <f ca="1">IF(J22&gt;0,J22*'Emission Factors'!$F$100/'Energy &amp; Unit Conversions'!$E$94,0)</f>
        <v>2.247895991971182E-20</v>
      </c>
      <c r="I57" s="2121">
        <f>R22*'Emission Factors'!$E$177/'Energy &amp; Unit Conversions'!$E$94</f>
        <v>0</v>
      </c>
      <c r="J57" s="953">
        <f>L22*'Emission Factors'!$H$135/'Energy &amp; Unit Conversions'!$E$94</f>
        <v>0</v>
      </c>
      <c r="K57" s="2121">
        <f ca="1">IF((H22-N22)&gt;0,0,(H22-N22))*((('Emission Factors'!$J$76+'Emission Factors'!$K$76)/'Energy &amp; Unit Conversions'!$E$94)-(('Emission Factors'!$J$203+'Emission Factors'!$K$203)/'Energy &amp; Unit Conversions'!$E$94))</f>
        <v>0</v>
      </c>
      <c r="L57" s="2121">
        <f>-P22*'Emission Factors'!$H$135/'Energy &amp; Unit Conversions'!$E$94</f>
        <v>0</v>
      </c>
      <c r="M57" s="953">
        <f ca="1">IF(J22&lt;0,J22*'Emission Factors'!$F$100/'Energy &amp; Unit Conversions'!$E$94,0)</f>
        <v>0</v>
      </c>
      <c r="N57" s="260"/>
      <c r="O57" s="31"/>
      <c r="P57" s="31"/>
      <c r="Q57" s="260"/>
      <c r="R57" s="260"/>
      <c r="S57" s="259"/>
    </row>
    <row r="58" spans="1:19" ht="18" customHeight="1" x14ac:dyDescent="0.2">
      <c r="A58" s="19"/>
      <c r="B58" s="20"/>
      <c r="C58" s="2096" t="str">
        <f t="shared" si="1"/>
        <v>Coker Naphtha Hydrotreater</v>
      </c>
      <c r="D58" s="2097"/>
      <c r="E58" s="954">
        <f ca="1">F23*'Emission Factors'!$G$53/'Energy &amp; Unit Conversions'!$E$94</f>
        <v>0</v>
      </c>
      <c r="F58" s="2121">
        <f ca="1">IF((H23-N23)&gt;0,(H23-N23),0)*('Emission Factors'!$J$76+'Emission Factors'!$K$76)/'Energy &amp; Unit Conversions'!$E$94</f>
        <v>7.7256105301110039E-20</v>
      </c>
      <c r="G58" s="953">
        <f ca="1">IF((H23-N23)&gt;0,N23,H23)*('Emission Factors'!$J$203+'Emission Factors'!$K$203)/'Energy &amp; Unit Conversions'!$E$94</f>
        <v>8.4245747995373747E-21</v>
      </c>
      <c r="H58" s="2121">
        <f ca="1">IF(J23&gt;0,J23*'Emission Factors'!$F$100/'Energy &amp; Unit Conversions'!$E$94,0)</f>
        <v>7.96250925007135E-21</v>
      </c>
      <c r="I58" s="2121">
        <f>R23*'Emission Factors'!$E$177/'Energy &amp; Unit Conversions'!$E$94</f>
        <v>0</v>
      </c>
      <c r="J58" s="953">
        <f ca="1">L23*'Emission Factors'!$H$135/'Energy &amp; Unit Conversions'!$E$94</f>
        <v>0</v>
      </c>
      <c r="K58" s="2121">
        <f ca="1">IF((H23-N23)&gt;0,0,(H23-N23))*((('Emission Factors'!$J$76+'Emission Factors'!$K$76)/'Energy &amp; Unit Conversions'!$E$94)-(('Emission Factors'!$J$203+'Emission Factors'!$K$203)/'Energy &amp; Unit Conversions'!$E$94))</f>
        <v>0</v>
      </c>
      <c r="L58" s="2121">
        <f>-P23*'Emission Factors'!$H$135/'Energy &amp; Unit Conversions'!$E$94</f>
        <v>0</v>
      </c>
      <c r="M58" s="953">
        <f ca="1">IF(J23&lt;0,J23*'Emission Factors'!$F$100/'Energy &amp; Unit Conversions'!$E$94,0)</f>
        <v>0</v>
      </c>
      <c r="N58" s="260"/>
      <c r="O58" s="31"/>
      <c r="P58" s="31"/>
      <c r="Q58" s="260"/>
      <c r="R58" s="260"/>
      <c r="S58" s="259"/>
    </row>
    <row r="59" spans="1:19" ht="18" customHeight="1" x14ac:dyDescent="0.2">
      <c r="A59" s="19"/>
      <c r="B59" s="20"/>
      <c r="C59" s="2096" t="str">
        <f t="shared" si="1"/>
        <v>Fluid Catalytic Cracking Feed Hydrotreater</v>
      </c>
      <c r="D59" s="2097"/>
      <c r="E59" s="954">
        <f ca="1">F24*'Emission Factors'!$G$53/'Energy &amp; Unit Conversions'!$E$94</f>
        <v>0</v>
      </c>
      <c r="F59" s="2121">
        <f ca="1">IF((H24-N24)&gt;0,(H24-N24),0)*('Emission Factors'!$J$76+'Emission Factors'!$K$76)/'Energy &amp; Unit Conversions'!$E$94</f>
        <v>1.4167831958383894E-16</v>
      </c>
      <c r="G59" s="953">
        <f ca="1">IF((H24-N24)&gt;0,N24,H24)*('Emission Factors'!$J$203+'Emission Factors'!$K$203)/'Energy &amp; Unit Conversions'!$E$94</f>
        <v>1.4505990867444452E-19</v>
      </c>
      <c r="H59" s="2121">
        <f ca="1">IF(J24&gt;0,J24*'Emission Factors'!$F$100/'Energy &amp; Unit Conversions'!$E$94,0)</f>
        <v>1.3020384365195294E-17</v>
      </c>
      <c r="I59" s="2121">
        <f>R24*'Emission Factors'!$E$177/'Energy &amp; Unit Conversions'!$E$94</f>
        <v>0</v>
      </c>
      <c r="J59" s="953">
        <f ca="1">L24*'Emission Factors'!$H$135/'Energy &amp; Unit Conversions'!$E$94</f>
        <v>0</v>
      </c>
      <c r="K59" s="2121">
        <f ca="1">IF((H24-N24)&gt;0,0,(H24-N24))*((('Emission Factors'!$J$76+'Emission Factors'!$K$76)/'Energy &amp; Unit Conversions'!$E$94)-(('Emission Factors'!$J$203+'Emission Factors'!$K$203)/'Energy &amp; Unit Conversions'!$E$94))</f>
        <v>0</v>
      </c>
      <c r="L59" s="2121">
        <f>-P24*'Emission Factors'!$H$135/'Energy &amp; Unit Conversions'!$E$94</f>
        <v>0</v>
      </c>
      <c r="M59" s="953">
        <f ca="1">IF(J24&lt;0,J24*'Emission Factors'!$F$100/'Energy &amp; Unit Conversions'!$E$94,0)</f>
        <v>0</v>
      </c>
      <c r="N59" s="260"/>
      <c r="O59" s="31"/>
      <c r="P59" s="31"/>
      <c r="Q59" s="260"/>
      <c r="R59" s="260"/>
      <c r="S59" s="259"/>
    </row>
    <row r="60" spans="1:19" ht="18" customHeight="1" x14ac:dyDescent="0.2">
      <c r="A60" s="19"/>
      <c r="B60" s="20"/>
      <c r="C60" s="2096" t="str">
        <f t="shared" si="1"/>
        <v>Fluid Catalytic Cracker</v>
      </c>
      <c r="D60" s="2097"/>
      <c r="E60" s="954">
        <f ca="1">F25*'Emission Factors'!$G$53/'Energy &amp; Unit Conversions'!$E$94</f>
        <v>0</v>
      </c>
      <c r="F60" s="2121">
        <f ca="1">IF((H25-N25)&gt;0,(H25-N25),0)*('Emission Factors'!$J$76+'Emission Factors'!$K$76)/'Energy &amp; Unit Conversions'!$E$94</f>
        <v>0</v>
      </c>
      <c r="G60" s="953">
        <f ca="1">IF((H25-N25)&gt;0,N25,H25)*('Emission Factors'!$J$203+'Emission Factors'!$K$203)/'Energy &amp; Unit Conversions'!$E$94</f>
        <v>1.2487791384692307E-18</v>
      </c>
      <c r="H60" s="2121">
        <f>IF(J25&gt;0,J25*'Emission Factors'!$F$100/'Energy &amp; Unit Conversions'!$E$94,0)</f>
        <v>0</v>
      </c>
      <c r="I60" s="2121">
        <f ca="1">R25*'Emission Factors'!$E$177/'Energy &amp; Unit Conversions'!$E$94</f>
        <v>4.0809237207981241E-18</v>
      </c>
      <c r="J60" s="953">
        <f>L25*'Emission Factors'!$H$135/'Energy &amp; Unit Conversions'!$E$94</f>
        <v>0</v>
      </c>
      <c r="K60" s="2121">
        <f ca="1">IF((H25-N25)&gt;0,0,(H25-N25))*((('Emission Factors'!$J$76+'Emission Factors'!$K$76)/'Energy &amp; Unit Conversions'!$E$94)-(('Emission Factors'!$J$203+'Emission Factors'!$K$203)/'Energy &amp; Unit Conversions'!$E$94))</f>
        <v>-1.7818074981459087E-19</v>
      </c>
      <c r="L60" s="2121">
        <f>-P25*'Emission Factors'!$H$135/'Energy &amp; Unit Conversions'!$E$94</f>
        <v>0</v>
      </c>
      <c r="M60" s="953">
        <f>IF(J25&lt;0,J25*'Emission Factors'!$F$100/'Energy &amp; Unit Conversions'!$E$94,0)</f>
        <v>0</v>
      </c>
      <c r="N60" s="260"/>
      <c r="O60" s="31"/>
      <c r="P60" s="31"/>
      <c r="Q60" s="260"/>
      <c r="R60" s="260"/>
      <c r="S60" s="259"/>
    </row>
    <row r="61" spans="1:19" ht="18" customHeight="1" x14ac:dyDescent="0.2">
      <c r="A61" s="19"/>
      <c r="B61" s="20"/>
      <c r="C61" s="2096" t="str">
        <f t="shared" si="1"/>
        <v>Fluid Catalytic Cracker Main Fractionator</v>
      </c>
      <c r="D61" s="2097"/>
      <c r="E61" s="954">
        <f ca="1">F26*'Emission Factors'!$G$53/'Energy &amp; Unit Conversions'!$E$94</f>
        <v>0</v>
      </c>
      <c r="F61" s="2121">
        <f>IF((H26-N26)&gt;0,(H26-N26),0)*('Emission Factors'!$J$76+'Emission Factors'!$K$76)/'Energy &amp; Unit Conversions'!$E$94</f>
        <v>0</v>
      </c>
      <c r="G61" s="953">
        <f ca="1">IF((H26-N26)&gt;0,N26,H26)*('Emission Factors'!$J$203+'Emission Factors'!$K$203)/'Energy &amp; Unit Conversions'!$E$94</f>
        <v>0</v>
      </c>
      <c r="H61" s="2121">
        <f ca="1">IF(J26&gt;0,J26*'Emission Factors'!$F$100/'Energy &amp; Unit Conversions'!$E$94,0)</f>
        <v>2.3358248715039436E-20</v>
      </c>
      <c r="I61" s="2121">
        <f>R26*'Emission Factors'!$E$177/'Energy &amp; Unit Conversions'!$E$94</f>
        <v>0</v>
      </c>
      <c r="J61" s="953">
        <f>L26*'Emission Factors'!$H$135/'Energy &amp; Unit Conversions'!$E$94</f>
        <v>0</v>
      </c>
      <c r="K61" s="2121">
        <f ca="1">IF((H26-N26)&gt;0,0,(H26-N26))*((('Emission Factors'!$J$76+'Emission Factors'!$K$76)/'Energy &amp; Unit Conversions'!$E$94)-(('Emission Factors'!$J$203+'Emission Factors'!$K$203)/'Energy &amp; Unit Conversions'!$E$94))</f>
        <v>0</v>
      </c>
      <c r="L61" s="2121">
        <f>-P26*'Emission Factors'!$H$135/'Energy &amp; Unit Conversions'!$E$94</f>
        <v>0</v>
      </c>
      <c r="M61" s="953">
        <f ca="1">IF(J26&lt;0,J26*'Emission Factors'!$F$100/'Energy &amp; Unit Conversions'!$E$94,0)</f>
        <v>0</v>
      </c>
      <c r="N61" s="260"/>
      <c r="O61" s="31"/>
      <c r="P61" s="31"/>
      <c r="Q61" s="260"/>
      <c r="R61" s="260"/>
      <c r="S61" s="259"/>
    </row>
    <row r="62" spans="1:19" ht="18" customHeight="1" x14ac:dyDescent="0.2">
      <c r="A62" s="19"/>
      <c r="B62" s="20"/>
      <c r="C62" s="2096" t="str">
        <f t="shared" si="1"/>
        <v>Alkylation Unit</v>
      </c>
      <c r="D62" s="2097"/>
      <c r="E62" s="954">
        <f ca="1">F27*'Emission Factors'!$G$53/'Energy &amp; Unit Conversions'!$E$94</f>
        <v>0</v>
      </c>
      <c r="F62" s="2121">
        <f>IF((H27-N27)&gt;0,(H27-N27),0)*('Emission Factors'!$J$76+'Emission Factors'!$K$76)/'Energy &amp; Unit Conversions'!$E$94</f>
        <v>0</v>
      </c>
      <c r="G62" s="953">
        <f ca="1">IF((H27-N27)&gt;0,N27,H27)*('Emission Factors'!$J$203+'Emission Factors'!$K$203)/'Energy &amp; Unit Conversions'!$E$94</f>
        <v>0</v>
      </c>
      <c r="H62" s="2121">
        <f ca="1">IF(J27&gt;0,J27*'Emission Factors'!$F$100/'Energy &amp; Unit Conversions'!$E$94,0)</f>
        <v>2.5282529570582765E-19</v>
      </c>
      <c r="I62" s="2121">
        <f>R27*'Emission Factors'!$E$177/'Energy &amp; Unit Conversions'!$E$94</f>
        <v>0</v>
      </c>
      <c r="J62" s="953">
        <f>L27*'Emission Factors'!$H$135/'Energy &amp; Unit Conversions'!$E$94</f>
        <v>0</v>
      </c>
      <c r="K62" s="2121">
        <f ca="1">IF((H27-N27)&gt;0,0,(H27-N27))*((('Emission Factors'!$J$76+'Emission Factors'!$K$76)/'Energy &amp; Unit Conversions'!$E$94)-(('Emission Factors'!$J$203+'Emission Factors'!$K$203)/'Energy &amp; Unit Conversions'!$E$94))</f>
        <v>0</v>
      </c>
      <c r="L62" s="2121">
        <f>-P27*'Emission Factors'!$H$135/'Energy &amp; Unit Conversions'!$E$94</f>
        <v>0</v>
      </c>
      <c r="M62" s="953">
        <f ca="1">IF(J27&lt;0,J27*'Emission Factors'!$F$100/'Energy &amp; Unit Conversions'!$E$94,0)</f>
        <v>0</v>
      </c>
      <c r="N62" s="260"/>
      <c r="O62" s="31"/>
      <c r="P62" s="31"/>
      <c r="Q62" s="260"/>
      <c r="R62" s="260"/>
      <c r="S62" s="259"/>
    </row>
    <row r="63" spans="1:19" ht="18" customHeight="1" x14ac:dyDescent="0.2">
      <c r="A63" s="19"/>
      <c r="B63" s="20"/>
      <c r="C63" s="2096" t="str">
        <f t="shared" si="1"/>
        <v xml:space="preserve">Catalytic naphtha reformer </v>
      </c>
      <c r="D63" s="2097"/>
      <c r="E63" s="954">
        <f ca="1">F28*'Emission Factors'!$G$53/'Energy &amp; Unit Conversions'!$E$94</f>
        <v>29.39059014688829</v>
      </c>
      <c r="F63" s="2121">
        <f ca="1">IF((H28-N28)&gt;0,(H28-N28),0)*('Emission Factors'!$J$76+'Emission Factors'!$K$76)/'Energy &amp; Unit Conversions'!$E$94</f>
        <v>0</v>
      </c>
      <c r="G63" s="953">
        <f ca="1">IF((H28-N28)&gt;0,N28,H28)*('Emission Factors'!$J$203+'Emission Factors'!$K$203)/'Energy &amp; Unit Conversions'!$E$94</f>
        <v>329.55706741195411</v>
      </c>
      <c r="H63" s="2121">
        <f ca="1">IF(J28&gt;0,J28*'Emission Factors'!$F$100/'Energy &amp; Unit Conversions'!$E$94,0)</f>
        <v>57.494435068856681</v>
      </c>
      <c r="I63" s="2121">
        <f>R28*'Emission Factors'!$E$177/'Energy &amp; Unit Conversions'!$E$94</f>
        <v>0</v>
      </c>
      <c r="J63" s="953">
        <f>L28*'Emission Factors'!$H$135/'Energy &amp; Unit Conversions'!$E$94</f>
        <v>0</v>
      </c>
      <c r="K63" s="2121">
        <f ca="1">IF((H28-N28)&gt;0,0,(H28-N28))*((('Emission Factors'!$J$76+'Emission Factors'!$K$76)/'Energy &amp; Unit Conversions'!$E$94)-(('Emission Factors'!$J$203+'Emission Factors'!$K$203)/'Energy &amp; Unit Conversions'!$E$94))</f>
        <v>-35.95503946608477</v>
      </c>
      <c r="L63" s="2121">
        <f ca="1">-P28*'Emission Factors'!$H$135/'Energy &amp; Unit Conversions'!$E$94</f>
        <v>-712.95306771193066</v>
      </c>
      <c r="M63" s="953">
        <f ca="1">IF(J28&lt;0,J28*'Emission Factors'!$F$100/'Energy &amp; Unit Conversions'!$E$94,0)</f>
        <v>0</v>
      </c>
      <c r="N63" s="260"/>
      <c r="O63" s="31"/>
      <c r="P63" s="31"/>
      <c r="Q63" s="260"/>
      <c r="R63" s="260"/>
      <c r="S63" s="259"/>
    </row>
    <row r="64" spans="1:19" ht="18" customHeight="1" x14ac:dyDescent="0.2">
      <c r="A64" s="19"/>
      <c r="B64" s="20"/>
      <c r="C64" s="2096" t="str">
        <f t="shared" si="1"/>
        <v>Isomerization Unit</v>
      </c>
      <c r="D64" s="2097"/>
      <c r="E64" s="954">
        <f ca="1">F29*'Emission Factors'!$G$53/'Energy &amp; Unit Conversions'!$E$94</f>
        <v>4.1736962565114837</v>
      </c>
      <c r="F64" s="2121">
        <f ca="1">IF((H29-N29)&gt;0,(H29-N29),0)*('Emission Factors'!$J$76+'Emission Factors'!$K$76)/'Energy &amp; Unit Conversions'!$E$94</f>
        <v>78.204084140003403</v>
      </c>
      <c r="G64" s="953">
        <f ca="1">IF((H29-N29)&gt;0,N29,H29)*('Emission Factors'!$J$203+'Emission Factors'!$K$203)/'Energy &amp; Unit Conversions'!$E$94</f>
        <v>23.990764358469349</v>
      </c>
      <c r="H64" s="2121">
        <f>IF(J29&gt;0,J29*'Emission Factors'!$F$100/'Energy &amp; Unit Conversions'!$E$94,0)</f>
        <v>0</v>
      </c>
      <c r="I64" s="2121">
        <f>R29*'Emission Factors'!$E$177/'Energy &amp; Unit Conversions'!$E$94</f>
        <v>0</v>
      </c>
      <c r="J64" s="953">
        <f ca="1">L29*'Emission Factors'!$H$135/'Energy &amp; Unit Conversions'!$E$94</f>
        <v>177.54690194306727</v>
      </c>
      <c r="K64" s="2121">
        <f ca="1">IF((H29-N29)&gt;0,0,(H29-N29))*((('Emission Factors'!$J$76+'Emission Factors'!$K$76)/'Energy &amp; Unit Conversions'!$E$94)-(('Emission Factors'!$J$203+'Emission Factors'!$K$203)/'Energy &amp; Unit Conversions'!$E$94))</f>
        <v>0</v>
      </c>
      <c r="L64" s="2121">
        <f>-P29*'Emission Factors'!$H$135/'Energy &amp; Unit Conversions'!$E$94</f>
        <v>0</v>
      </c>
      <c r="M64" s="953">
        <f>IF(J29&lt;0,J29*'Emission Factors'!$F$100/'Energy &amp; Unit Conversions'!$E$94,0)</f>
        <v>0</v>
      </c>
      <c r="N64" s="260"/>
      <c r="O64" s="31"/>
      <c r="P64" s="31"/>
      <c r="Q64" s="260"/>
      <c r="R64" s="260"/>
      <c r="S64" s="259"/>
    </row>
    <row r="65" spans="1:19" ht="18" customHeight="1" x14ac:dyDescent="0.2">
      <c r="A65" s="19"/>
      <c r="B65" s="20"/>
      <c r="C65" s="2098" t="str">
        <f t="shared" si="1"/>
        <v>Fuel gas treatment and sulphur recovery</v>
      </c>
      <c r="D65" s="2099"/>
      <c r="E65" s="954">
        <f ca="1">F30*'Emission Factors'!$G$53/'Energy &amp; Unit Conversions'!$E$94</f>
        <v>0.45058586903973558</v>
      </c>
      <c r="F65" s="2121">
        <f ca="1">IF((H30-N30)&gt;0,(H30-N30),0)*('Emission Factors'!$J$76+'Emission Factors'!$K$76)/'Energy &amp; Unit Conversions'!$E$94</f>
        <v>2.6897166995150461</v>
      </c>
      <c r="G65" s="953">
        <f ca="1">IF((H30-N30)&gt;0,N30,H30)*('Emission Factors'!$J$203+'Emission Factors'!$K$203)/'Energy &amp; Unit Conversions'!$E$94</f>
        <v>0</v>
      </c>
      <c r="H65" s="2121">
        <f ca="1">IF(J30&gt;0,J30*'Emission Factors'!$F$100/'Energy &amp; Unit Conversions'!$E$94,0)</f>
        <v>0</v>
      </c>
      <c r="I65" s="2121">
        <f>R30*'Emission Factors'!$E$177/'Energy &amp; Unit Conversions'!$E$94</f>
        <v>0</v>
      </c>
      <c r="J65" s="953">
        <f>L30*'Emission Factors'!$H$135/'Energy &amp; Unit Conversions'!$E$94</f>
        <v>0</v>
      </c>
      <c r="K65" s="2121">
        <f ca="1">IF((H30-N30)&gt;0,0,(H30-N30))*((('Emission Factors'!$J$76+'Emission Factors'!$K$76)/'Energy &amp; Unit Conversions'!$E$94)-(('Emission Factors'!$J$203+'Emission Factors'!$K$203)/'Energy &amp; Unit Conversions'!$E$94))</f>
        <v>0</v>
      </c>
      <c r="L65" s="2121">
        <f>-P30*'Emission Factors'!$H$135/'Energy &amp; Unit Conversions'!$E$94</f>
        <v>0</v>
      </c>
      <c r="M65" s="953">
        <f ca="1">IF(J30&lt;0,J30*'Emission Factors'!$F$100/'Energy &amp; Unit Conversions'!$E$94,0)</f>
        <v>-2.6557441823162864</v>
      </c>
      <c r="N65" s="260"/>
      <c r="O65" s="31"/>
      <c r="P65" s="31"/>
      <c r="Q65" s="260"/>
      <c r="R65" s="260"/>
      <c r="S65" s="259"/>
    </row>
    <row r="66" spans="1:19" ht="18" customHeight="1" x14ac:dyDescent="0.2">
      <c r="A66" s="19"/>
      <c r="B66" s="20"/>
      <c r="C66" s="2098" t="str">
        <f t="shared" si="1"/>
        <v>Gasoline Blending</v>
      </c>
      <c r="D66" s="2099"/>
      <c r="E66" s="955">
        <f>F31*'Emission Factors'!$G$53/'Energy &amp; Unit Conversions'!$E$94</f>
        <v>0</v>
      </c>
      <c r="F66" s="956">
        <f>IF((H31-N31)&gt;0,(H31-N31),0)*('Emission Factors'!$J$76+'Emission Factors'!$K$76)/'Energy &amp; Unit Conversions'!$E$94</f>
        <v>0</v>
      </c>
      <c r="G66" s="957">
        <f ca="1">IF((H31-N31)&gt;0,N31,H31)*('Emission Factors'!$J$203+'Emission Factors'!$K$203)/'Energy &amp; Unit Conversions'!$E$94</f>
        <v>0</v>
      </c>
      <c r="H66" s="956">
        <f>J31*'Emission Factors'!$F$100/'Energy &amp; Unit Conversions'!$E$94</f>
        <v>0</v>
      </c>
      <c r="I66" s="956">
        <f>R31*'Emission Factors'!$E$177/'Energy &amp; Unit Conversions'!$E$94</f>
        <v>0</v>
      </c>
      <c r="J66" s="957">
        <f>L31*'Emission Factors'!$H$135/'Energy &amp; Unit Conversions'!$E$94</f>
        <v>0</v>
      </c>
      <c r="K66" s="956">
        <f ca="1">IF((H31-N31)&gt;0,0,(H31-N31))*((('Emission Factors'!$J$76+'Emission Factors'!$K$76)/'Energy &amp; Unit Conversions'!$E$94)-(('Emission Factors'!$J$203+'Emission Factors'!$K$203)/'Energy &amp; Unit Conversions'!$E$94))</f>
        <v>0</v>
      </c>
      <c r="L66" s="956">
        <f>-P31*'Emission Factors'!$H$135/'Energy &amp; Unit Conversions'!$E$94</f>
        <v>0</v>
      </c>
      <c r="M66" s="957">
        <f>IF(J31&lt;0,J31*'Emission Factors'!$F$100/'Energy &amp; Unit Conversions'!$E$94,0)</f>
        <v>0</v>
      </c>
      <c r="N66" s="260"/>
      <c r="O66" s="31"/>
      <c r="P66" s="31"/>
      <c r="Q66" s="260"/>
      <c r="R66" s="260"/>
      <c r="S66" s="259"/>
    </row>
    <row r="67" spans="1:19" ht="18" customHeight="1" x14ac:dyDescent="0.2">
      <c r="A67" s="19"/>
      <c r="B67" s="20"/>
      <c r="C67" s="273" t="s">
        <v>1630</v>
      </c>
      <c r="D67" s="274"/>
      <c r="E67" s="275"/>
      <c r="F67" s="276"/>
      <c r="G67" s="276"/>
      <c r="H67" s="276"/>
      <c r="I67" s="276"/>
      <c r="J67" s="277"/>
      <c r="K67" s="266"/>
      <c r="L67" s="278"/>
      <c r="M67" s="267"/>
      <c r="N67" s="260"/>
      <c r="O67" s="31"/>
      <c r="P67" s="31"/>
      <c r="Q67" s="260"/>
      <c r="R67" s="260"/>
      <c r="S67" s="259"/>
    </row>
    <row r="68" spans="1:19" ht="18" customHeight="1" x14ac:dyDescent="0.2">
      <c r="A68" s="19"/>
      <c r="B68" s="20"/>
      <c r="C68" s="257"/>
      <c r="D68" s="257"/>
      <c r="E68" s="257"/>
      <c r="F68" s="257"/>
      <c r="G68" s="257"/>
      <c r="H68" s="257"/>
      <c r="I68" s="257"/>
      <c r="J68" s="257"/>
      <c r="K68" s="257"/>
      <c r="L68" s="257"/>
      <c r="M68" s="257"/>
      <c r="N68" s="285"/>
      <c r="O68" s="31"/>
      <c r="P68" s="31"/>
      <c r="Q68" s="257"/>
      <c r="R68" s="257"/>
      <c r="S68" s="258"/>
    </row>
    <row r="69" spans="1:19" ht="18" customHeight="1" x14ac:dyDescent="0.2">
      <c r="A69" s="19"/>
      <c r="B69" s="20"/>
      <c r="C69" s="257"/>
      <c r="D69" s="257"/>
      <c r="E69" s="257"/>
      <c r="F69" s="257"/>
      <c r="G69" s="257"/>
      <c r="H69" s="257"/>
      <c r="I69" s="257"/>
      <c r="J69" s="257"/>
      <c r="K69" s="257"/>
      <c r="L69" s="257"/>
      <c r="M69" s="257"/>
      <c r="N69" s="257"/>
      <c r="O69" s="257"/>
      <c r="P69" s="257"/>
      <c r="Q69" s="257"/>
      <c r="R69" s="257"/>
      <c r="S69" s="258"/>
    </row>
    <row r="70" spans="1:19" ht="18" customHeight="1" x14ac:dyDescent="0.2">
      <c r="A70" s="19"/>
      <c r="B70" s="20"/>
      <c r="C70" s="257"/>
      <c r="D70" s="257"/>
      <c r="E70" s="257"/>
      <c r="F70" s="257"/>
      <c r="G70" s="257"/>
      <c r="H70" s="257"/>
      <c r="I70" s="257"/>
      <c r="J70" s="257"/>
      <c r="K70" s="257"/>
      <c r="L70" s="257"/>
      <c r="M70" s="257"/>
      <c r="N70" s="257"/>
      <c r="O70" s="257"/>
      <c r="P70" s="257"/>
      <c r="Q70" s="257"/>
      <c r="R70" s="257"/>
      <c r="S70" s="258"/>
    </row>
    <row r="71" spans="1:19" ht="18" customHeight="1" x14ac:dyDescent="0.2">
      <c r="A71" s="19"/>
      <c r="B71" s="20"/>
      <c r="C71" s="257"/>
      <c r="D71" s="257"/>
      <c r="E71" s="257"/>
      <c r="F71" s="257"/>
      <c r="G71" s="257"/>
      <c r="H71" s="257"/>
      <c r="I71" s="257"/>
      <c r="J71" s="257"/>
      <c r="K71" s="257"/>
      <c r="L71" s="257"/>
      <c r="M71" s="257"/>
      <c r="N71" s="257"/>
      <c r="O71" s="257"/>
      <c r="P71" s="257"/>
      <c r="Q71" s="257"/>
      <c r="R71" s="257"/>
      <c r="S71" s="258"/>
    </row>
    <row r="72" spans="1:19" ht="18" customHeight="1" x14ac:dyDescent="0.2">
      <c r="A72" s="19"/>
      <c r="B72" s="20"/>
      <c r="C72" s="257"/>
      <c r="D72" s="257"/>
      <c r="E72" s="257"/>
      <c r="F72" s="257"/>
      <c r="G72" s="257"/>
      <c r="H72" s="257"/>
      <c r="I72" s="257"/>
      <c r="J72" s="257"/>
      <c r="K72" s="257"/>
      <c r="L72" s="257"/>
      <c r="M72" s="257"/>
      <c r="N72" s="257"/>
      <c r="O72" s="257"/>
      <c r="P72" s="257"/>
      <c r="Q72" s="257"/>
      <c r="R72" s="257"/>
      <c r="S72" s="258"/>
    </row>
    <row r="73" spans="1:19" ht="18" customHeight="1" x14ac:dyDescent="0.2">
      <c r="A73" s="19"/>
      <c r="B73" s="20"/>
      <c r="C73" s="257"/>
      <c r="D73" s="257"/>
      <c r="E73" s="257"/>
      <c r="F73" s="257"/>
      <c r="G73" s="257"/>
      <c r="H73" s="257"/>
      <c r="I73" s="257"/>
      <c r="J73" s="257"/>
      <c r="K73" s="257"/>
      <c r="L73" s="257"/>
      <c r="M73" s="257"/>
      <c r="N73" s="257"/>
      <c r="O73" s="257"/>
      <c r="P73" s="257"/>
      <c r="Q73" s="257"/>
      <c r="R73" s="257"/>
      <c r="S73" s="258"/>
    </row>
    <row r="74" spans="1:19" ht="18" customHeight="1" x14ac:dyDescent="0.2">
      <c r="A74" s="19"/>
      <c r="B74" s="20"/>
      <c r="C74" s="257"/>
      <c r="D74" s="257"/>
      <c r="E74" s="257"/>
      <c r="F74" s="257"/>
      <c r="G74" s="257"/>
      <c r="H74" s="257"/>
      <c r="I74" s="257"/>
      <c r="J74" s="257"/>
      <c r="K74" s="257"/>
      <c r="L74" s="257"/>
      <c r="M74" s="257"/>
      <c r="N74" s="257"/>
      <c r="O74" s="257"/>
      <c r="P74" s="257"/>
      <c r="Q74" s="257"/>
      <c r="R74" s="257"/>
      <c r="S74" s="258"/>
    </row>
    <row r="75" spans="1:19" ht="18" customHeight="1" x14ac:dyDescent="0.2">
      <c r="A75" s="19"/>
      <c r="B75" s="20"/>
      <c r="C75" s="257"/>
      <c r="D75" s="257"/>
      <c r="E75" s="257"/>
      <c r="F75" s="257"/>
      <c r="G75" s="257"/>
      <c r="H75" s="257"/>
      <c r="I75" s="257"/>
      <c r="J75" s="257"/>
      <c r="K75" s="257"/>
      <c r="L75" s="257"/>
      <c r="M75" s="257"/>
      <c r="N75" s="257"/>
      <c r="O75" s="257"/>
      <c r="P75" s="257"/>
      <c r="Q75" s="257"/>
      <c r="R75" s="257"/>
      <c r="S75" s="258"/>
    </row>
    <row r="76" spans="1:19" ht="18" customHeight="1" x14ac:dyDescent="0.2">
      <c r="A76" s="19"/>
      <c r="B76" s="20"/>
      <c r="C76" s="257"/>
      <c r="D76" s="257"/>
      <c r="E76" s="257"/>
      <c r="F76" s="257"/>
      <c r="G76" s="257"/>
      <c r="H76" s="257"/>
      <c r="I76" s="257"/>
      <c r="J76" s="257"/>
      <c r="K76" s="257"/>
      <c r="L76" s="257"/>
      <c r="M76" s="257"/>
      <c r="N76" s="257"/>
      <c r="O76" s="257"/>
      <c r="P76" s="257"/>
      <c r="Q76" s="257"/>
      <c r="R76" s="257"/>
      <c r="S76" s="258"/>
    </row>
    <row r="77" spans="1:19" ht="18" customHeight="1" x14ac:dyDescent="0.2">
      <c r="A77" s="19"/>
      <c r="B77" s="20"/>
      <c r="C77" s="257"/>
      <c r="D77" s="257"/>
      <c r="E77" s="257"/>
      <c r="F77" s="257"/>
      <c r="G77" s="257"/>
      <c r="H77" s="257"/>
      <c r="I77" s="257"/>
      <c r="J77" s="257"/>
      <c r="K77" s="257"/>
      <c r="L77" s="257"/>
      <c r="M77" s="257"/>
      <c r="N77" s="257"/>
      <c r="O77" s="257"/>
      <c r="P77" s="257"/>
      <c r="Q77" s="257"/>
      <c r="R77" s="257"/>
      <c r="S77" s="258"/>
    </row>
    <row r="78" spans="1:19" ht="18" customHeight="1" x14ac:dyDescent="0.2">
      <c r="A78" s="19"/>
      <c r="B78" s="20"/>
      <c r="C78" s="257"/>
      <c r="D78" s="257"/>
      <c r="E78" s="257"/>
      <c r="F78" s="257"/>
      <c r="G78" s="257"/>
      <c r="H78" s="257"/>
      <c r="I78" s="257"/>
      <c r="J78" s="257"/>
      <c r="K78" s="257"/>
      <c r="L78" s="257"/>
      <c r="M78" s="257"/>
      <c r="N78" s="257"/>
      <c r="O78" s="257"/>
      <c r="P78" s="257"/>
      <c r="Q78" s="257"/>
      <c r="R78" s="257"/>
      <c r="S78" s="258"/>
    </row>
    <row r="79" spans="1:19" ht="18" customHeight="1" x14ac:dyDescent="0.2">
      <c r="A79" s="19"/>
      <c r="B79" s="20"/>
      <c r="C79" s="257"/>
      <c r="D79" s="257"/>
      <c r="E79" s="257"/>
      <c r="F79" s="257"/>
      <c r="G79" s="257"/>
      <c r="H79" s="257"/>
      <c r="I79" s="257"/>
      <c r="J79" s="257"/>
      <c r="K79" s="257"/>
      <c r="L79" s="257"/>
      <c r="M79" s="257"/>
      <c r="N79" s="257"/>
      <c r="O79" s="257"/>
      <c r="P79" s="257"/>
      <c r="Q79" s="257"/>
      <c r="R79" s="257"/>
      <c r="S79" s="258"/>
    </row>
    <row r="80" spans="1:19" ht="18" customHeight="1" x14ac:dyDescent="0.2">
      <c r="A80" s="19"/>
      <c r="B80" s="20"/>
      <c r="C80" s="257"/>
      <c r="D80" s="257"/>
      <c r="E80" s="257"/>
      <c r="F80" s="257"/>
      <c r="G80" s="257"/>
      <c r="H80" s="257"/>
      <c r="I80" s="257"/>
      <c r="J80" s="257"/>
      <c r="K80" s="257"/>
      <c r="L80" s="257"/>
      <c r="M80" s="257"/>
      <c r="N80" s="257"/>
      <c r="O80" s="257"/>
      <c r="P80" s="257"/>
      <c r="Q80" s="257"/>
      <c r="R80" s="257"/>
      <c r="S80" s="258"/>
    </row>
    <row r="81" spans="1:19" ht="18" customHeight="1" x14ac:dyDescent="0.2">
      <c r="A81" s="19"/>
      <c r="B81" s="20"/>
      <c r="C81" s="257"/>
      <c r="D81" s="257"/>
      <c r="E81" s="257"/>
      <c r="F81" s="257"/>
      <c r="G81" s="257"/>
      <c r="H81" s="257"/>
      <c r="I81" s="257"/>
      <c r="J81" s="257"/>
      <c r="K81" s="257"/>
      <c r="L81" s="257"/>
      <c r="M81" s="257"/>
      <c r="N81" s="257"/>
      <c r="O81" s="257"/>
      <c r="P81" s="257"/>
      <c r="Q81" s="257"/>
      <c r="R81" s="257"/>
      <c r="S81" s="258"/>
    </row>
    <row r="82" spans="1:19" ht="18" customHeight="1" x14ac:dyDescent="0.2">
      <c r="A82" s="19"/>
      <c r="B82" s="20"/>
      <c r="C82" s="257"/>
      <c r="D82" s="257"/>
      <c r="E82" s="257"/>
      <c r="F82" s="257"/>
      <c r="G82" s="257"/>
      <c r="H82" s="257"/>
      <c r="I82" s="257"/>
      <c r="J82" s="257"/>
      <c r="K82" s="257"/>
      <c r="L82" s="257"/>
      <c r="M82" s="257"/>
      <c r="N82" s="257"/>
      <c r="O82" s="257"/>
      <c r="P82" s="257"/>
      <c r="Q82" s="257"/>
      <c r="R82" s="257"/>
      <c r="S82" s="258"/>
    </row>
    <row r="83" spans="1:19" ht="18" customHeight="1" x14ac:dyDescent="0.2">
      <c r="A83" s="19"/>
      <c r="B83" s="20"/>
      <c r="C83" s="257"/>
      <c r="D83" s="257"/>
      <c r="E83" s="257"/>
      <c r="F83" s="257"/>
      <c r="G83" s="257"/>
      <c r="H83" s="257"/>
      <c r="I83" s="257"/>
      <c r="J83" s="257"/>
      <c r="K83" s="257"/>
      <c r="L83" s="257"/>
      <c r="M83" s="257"/>
      <c r="N83" s="257"/>
      <c r="O83" s="257"/>
      <c r="P83" s="257"/>
      <c r="Q83" s="257"/>
      <c r="R83" s="257"/>
      <c r="S83" s="258"/>
    </row>
    <row r="84" spans="1:19" ht="18" customHeight="1" x14ac:dyDescent="0.2">
      <c r="A84" s="19"/>
      <c r="B84" s="20"/>
      <c r="C84" s="257"/>
      <c r="D84" s="257"/>
      <c r="E84" s="257"/>
      <c r="F84" s="257"/>
      <c r="G84" s="257"/>
      <c r="H84" s="257"/>
      <c r="I84" s="257"/>
      <c r="J84" s="257"/>
      <c r="K84" s="257"/>
      <c r="L84" s="257"/>
      <c r="M84" s="257"/>
      <c r="N84" s="257"/>
      <c r="O84" s="257"/>
      <c r="P84" s="257"/>
      <c r="Q84" s="257"/>
      <c r="R84" s="257"/>
      <c r="S84" s="258"/>
    </row>
    <row r="85" spans="1:19" ht="18" customHeight="1" x14ac:dyDescent="0.2">
      <c r="A85" s="19"/>
      <c r="B85" s="20"/>
      <c r="C85" s="257"/>
      <c r="D85" s="257"/>
      <c r="E85" s="257"/>
      <c r="F85" s="257"/>
      <c r="G85" s="257"/>
      <c r="H85" s="257"/>
      <c r="I85" s="257"/>
      <c r="J85" s="257"/>
      <c r="K85" s="257"/>
      <c r="L85" s="257"/>
      <c r="M85" s="257"/>
      <c r="N85" s="257"/>
      <c r="O85" s="257"/>
      <c r="P85" s="257"/>
      <c r="Q85" s="257"/>
      <c r="R85" s="257"/>
      <c r="S85" s="258"/>
    </row>
    <row r="86" spans="1:19" ht="18" customHeight="1" x14ac:dyDescent="0.2">
      <c r="A86" s="19"/>
      <c r="B86" s="20"/>
      <c r="C86" s="257"/>
      <c r="D86" s="257"/>
      <c r="E86" s="257"/>
      <c r="F86" s="257"/>
      <c r="G86" s="257"/>
      <c r="H86" s="257"/>
      <c r="I86" s="257"/>
      <c r="J86" s="257"/>
      <c r="K86" s="257"/>
      <c r="L86" s="257"/>
      <c r="M86" s="257"/>
      <c r="N86" s="257"/>
      <c r="O86" s="257"/>
      <c r="P86" s="257"/>
      <c r="Q86" s="257"/>
      <c r="R86" s="257"/>
      <c r="S86" s="258"/>
    </row>
    <row r="87" spans="1:19" ht="18" customHeight="1" x14ac:dyDescent="0.2">
      <c r="A87" s="19"/>
      <c r="B87" s="20"/>
      <c r="C87" s="257"/>
      <c r="D87" s="257"/>
      <c r="E87" s="257"/>
      <c r="F87" s="257"/>
      <c r="G87" s="257"/>
      <c r="H87" s="257"/>
      <c r="I87" s="257"/>
      <c r="J87" s="257"/>
      <c r="K87" s="257"/>
      <c r="L87" s="257"/>
      <c r="M87" s="257"/>
      <c r="N87" s="257"/>
      <c r="O87" s="257"/>
      <c r="P87" s="257"/>
      <c r="Q87" s="257"/>
      <c r="R87" s="257"/>
      <c r="S87" s="258"/>
    </row>
    <row r="88" spans="1:19" ht="18" customHeight="1" x14ac:dyDescent="0.2">
      <c r="A88" s="19"/>
      <c r="B88" s="20"/>
      <c r="C88" s="257"/>
      <c r="D88" s="257"/>
      <c r="E88" s="257"/>
      <c r="F88" s="257"/>
      <c r="G88" s="257"/>
      <c r="H88" s="257"/>
      <c r="I88" s="257"/>
      <c r="J88" s="257"/>
      <c r="K88" s="257"/>
      <c r="L88" s="257"/>
      <c r="M88" s="257"/>
      <c r="N88" s="257"/>
      <c r="O88" s="257"/>
      <c r="P88" s="257"/>
      <c r="Q88" s="257"/>
      <c r="R88" s="257"/>
      <c r="S88" s="258"/>
    </row>
    <row r="89" spans="1:19" ht="18" customHeight="1" x14ac:dyDescent="0.2">
      <c r="A89" s="19"/>
      <c r="B89" s="20"/>
      <c r="C89" s="257"/>
      <c r="D89" s="257"/>
      <c r="E89" s="257"/>
      <c r="F89" s="257"/>
      <c r="G89" s="257"/>
      <c r="H89" s="257"/>
      <c r="I89" s="257"/>
      <c r="J89" s="257"/>
      <c r="K89" s="257"/>
      <c r="L89" s="257"/>
      <c r="M89" s="257"/>
      <c r="N89" s="257"/>
      <c r="O89" s="257"/>
      <c r="P89" s="257"/>
      <c r="Q89" s="257"/>
      <c r="R89" s="257"/>
      <c r="S89" s="258"/>
    </row>
    <row r="90" spans="1:19" ht="18" customHeight="1" x14ac:dyDescent="0.2">
      <c r="A90" s="19"/>
      <c r="B90" s="20"/>
      <c r="C90" s="257"/>
      <c r="D90" s="257"/>
      <c r="E90" s="257"/>
      <c r="F90" s="257"/>
      <c r="G90" s="257"/>
      <c r="H90" s="257"/>
      <c r="I90" s="257"/>
      <c r="J90" s="257"/>
      <c r="K90" s="257"/>
      <c r="L90" s="257"/>
      <c r="M90" s="257"/>
      <c r="N90" s="257"/>
      <c r="O90" s="257"/>
      <c r="P90" s="257"/>
      <c r="Q90" s="257"/>
      <c r="R90" s="257"/>
      <c r="S90" s="258"/>
    </row>
    <row r="91" spans="1:19" ht="18" customHeight="1" x14ac:dyDescent="0.2">
      <c r="A91" s="19"/>
      <c r="B91" s="20"/>
      <c r="C91" s="257"/>
      <c r="D91" s="257"/>
      <c r="E91" s="257"/>
      <c r="F91" s="257"/>
      <c r="G91" s="257"/>
      <c r="H91" s="257"/>
      <c r="I91" s="257"/>
      <c r="J91" s="257"/>
      <c r="K91" s="257"/>
      <c r="L91" s="257"/>
      <c r="M91" s="257"/>
      <c r="N91" s="257"/>
      <c r="O91" s="257"/>
      <c r="P91" s="257"/>
      <c r="Q91" s="257"/>
      <c r="R91" s="257"/>
      <c r="S91" s="258"/>
    </row>
    <row r="92" spans="1:19" ht="18" customHeight="1" x14ac:dyDescent="0.2">
      <c r="A92" s="19"/>
      <c r="B92" s="20"/>
      <c r="C92" s="257"/>
      <c r="D92" s="257"/>
      <c r="E92" s="257"/>
      <c r="F92" s="257"/>
      <c r="G92" s="257"/>
      <c r="H92" s="257"/>
      <c r="I92" s="257"/>
      <c r="J92" s="257"/>
      <c r="K92" s="257"/>
      <c r="L92" s="257"/>
      <c r="M92" s="257"/>
      <c r="N92" s="257"/>
      <c r="O92" s="257"/>
      <c r="P92" s="257"/>
      <c r="Q92" s="257"/>
      <c r="R92" s="257"/>
      <c r="S92" s="258"/>
    </row>
    <row r="93" spans="1:19" ht="18" customHeight="1" x14ac:dyDescent="0.2">
      <c r="A93" s="19"/>
      <c r="B93" s="20"/>
      <c r="C93" s="257"/>
      <c r="D93" s="257"/>
      <c r="E93" s="257"/>
      <c r="F93" s="257"/>
      <c r="G93" s="257"/>
      <c r="H93" s="257"/>
      <c r="I93" s="257"/>
      <c r="J93" s="257"/>
      <c r="K93" s="257"/>
      <c r="L93" s="257"/>
      <c r="M93" s="257"/>
      <c r="N93" s="257"/>
      <c r="O93" s="257"/>
      <c r="P93" s="257"/>
      <c r="Q93" s="257"/>
      <c r="R93" s="257"/>
      <c r="S93" s="258"/>
    </row>
    <row r="94" spans="1:19" ht="18" customHeight="1" x14ac:dyDescent="0.2">
      <c r="A94" s="19"/>
      <c r="B94" s="20"/>
      <c r="C94" s="257"/>
      <c r="D94" s="257"/>
      <c r="E94" s="257"/>
      <c r="F94" s="257"/>
      <c r="G94" s="257"/>
      <c r="H94" s="257"/>
      <c r="I94" s="257"/>
      <c r="J94" s="257"/>
      <c r="K94" s="257"/>
      <c r="L94" s="257"/>
      <c r="M94" s="257"/>
      <c r="N94" s="257"/>
      <c r="O94" s="257"/>
      <c r="P94" s="257"/>
      <c r="Q94" s="257"/>
      <c r="R94" s="257"/>
      <c r="S94" s="258"/>
    </row>
    <row r="95" spans="1:19" ht="18" customHeight="1" x14ac:dyDescent="0.2">
      <c r="A95" s="19"/>
      <c r="B95" s="20"/>
      <c r="C95" s="257"/>
      <c r="D95" s="257"/>
      <c r="E95" s="257"/>
      <c r="F95" s="257"/>
      <c r="G95" s="257"/>
      <c r="H95" s="257"/>
      <c r="I95" s="257"/>
      <c r="J95" s="257"/>
      <c r="K95" s="257"/>
      <c r="L95" s="257"/>
      <c r="M95" s="257"/>
      <c r="N95" s="257"/>
      <c r="O95" s="257"/>
      <c r="P95" s="257"/>
      <c r="Q95" s="257"/>
      <c r="R95" s="257"/>
      <c r="S95" s="258"/>
    </row>
    <row r="96" spans="1:19" ht="18" customHeight="1" x14ac:dyDescent="0.2">
      <c r="A96" s="19"/>
      <c r="B96" s="20"/>
      <c r="C96" s="257"/>
      <c r="D96" s="257"/>
      <c r="E96" s="257"/>
      <c r="F96" s="257"/>
      <c r="G96" s="257"/>
      <c r="H96" s="257"/>
      <c r="I96" s="257"/>
      <c r="J96" s="257"/>
      <c r="K96" s="257"/>
      <c r="L96" s="257"/>
      <c r="M96" s="257"/>
      <c r="N96" s="257"/>
      <c r="O96" s="257"/>
      <c r="P96" s="257"/>
      <c r="Q96" s="257"/>
      <c r="R96" s="257"/>
      <c r="S96" s="258"/>
    </row>
    <row r="97" spans="1:19" ht="18" customHeight="1" x14ac:dyDescent="0.2">
      <c r="A97" s="19"/>
      <c r="B97" s="20"/>
      <c r="C97" s="257"/>
      <c r="D97" s="257"/>
      <c r="E97" s="257"/>
      <c r="F97" s="257"/>
      <c r="G97" s="257"/>
      <c r="H97" s="257"/>
      <c r="I97" s="257"/>
      <c r="J97" s="257"/>
      <c r="K97" s="257"/>
      <c r="L97" s="257"/>
      <c r="M97" s="257"/>
      <c r="N97" s="257"/>
      <c r="O97" s="257"/>
      <c r="P97" s="257"/>
      <c r="Q97" s="257"/>
      <c r="R97" s="257"/>
      <c r="S97" s="258"/>
    </row>
    <row r="98" spans="1:19" ht="18" customHeight="1" x14ac:dyDescent="0.2">
      <c r="A98" s="19"/>
      <c r="B98" s="20"/>
      <c r="C98" s="257"/>
      <c r="D98" s="257"/>
      <c r="E98" s="257"/>
      <c r="F98" s="257"/>
      <c r="G98" s="257"/>
      <c r="H98" s="257"/>
      <c r="I98" s="257"/>
      <c r="J98" s="257"/>
      <c r="K98" s="257"/>
      <c r="L98" s="257"/>
      <c r="M98" s="257"/>
      <c r="N98" s="257"/>
      <c r="O98" s="257"/>
      <c r="P98" s="257"/>
      <c r="Q98" s="257"/>
      <c r="R98" s="257"/>
      <c r="S98" s="258"/>
    </row>
    <row r="99" spans="1:19" ht="18" customHeight="1" x14ac:dyDescent="0.2">
      <c r="A99" s="19"/>
      <c r="B99" s="20"/>
      <c r="C99" s="257"/>
      <c r="D99" s="257"/>
      <c r="E99" s="257"/>
      <c r="F99" s="257"/>
      <c r="G99" s="257"/>
      <c r="H99" s="257"/>
      <c r="I99" s="257"/>
      <c r="J99" s="257"/>
      <c r="K99" s="257"/>
      <c r="L99" s="257"/>
      <c r="M99" s="257"/>
      <c r="N99" s="257"/>
      <c r="O99" s="257"/>
      <c r="P99" s="257"/>
      <c r="Q99" s="257"/>
      <c r="R99" s="257"/>
      <c r="S99" s="258"/>
    </row>
    <row r="100" spans="1:19" ht="18" customHeight="1" x14ac:dyDescent="0.2">
      <c r="A100" s="19"/>
      <c r="B100" s="20"/>
      <c r="C100" s="257"/>
      <c r="D100" s="257"/>
      <c r="E100" s="257"/>
      <c r="F100" s="257"/>
      <c r="G100" s="257"/>
      <c r="H100" s="257"/>
      <c r="I100" s="257"/>
      <c r="J100" s="257"/>
      <c r="K100" s="257"/>
      <c r="L100" s="257"/>
      <c r="M100" s="257"/>
      <c r="N100" s="257"/>
      <c r="O100" s="257"/>
      <c r="P100" s="257"/>
      <c r="Q100" s="257"/>
      <c r="R100" s="257"/>
      <c r="S100" s="258"/>
    </row>
    <row r="101" spans="1:19" ht="18" customHeight="1" x14ac:dyDescent="0.2">
      <c r="B101" s="2069"/>
      <c r="C101" s="2408" t="s">
        <v>1932</v>
      </c>
      <c r="D101" s="2409"/>
      <c r="E101" s="257"/>
      <c r="F101" s="257"/>
      <c r="G101" s="257"/>
      <c r="H101" s="2408" t="s">
        <v>1943</v>
      </c>
      <c r="I101" s="2409"/>
      <c r="J101" s="257"/>
      <c r="K101" s="257"/>
      <c r="L101" s="257"/>
      <c r="M101" s="257"/>
      <c r="N101" s="329"/>
      <c r="O101" s="329"/>
      <c r="P101" s="329"/>
      <c r="Q101" s="329"/>
      <c r="R101" s="329"/>
      <c r="S101" s="1626"/>
    </row>
    <row r="102" spans="1:19" ht="18" customHeight="1" x14ac:dyDescent="0.2">
      <c r="A102" s="184"/>
      <c r="B102" s="1632"/>
      <c r="C102" s="2394"/>
      <c r="D102" s="2395"/>
      <c r="E102" s="2112"/>
      <c r="F102" s="2112"/>
      <c r="G102" s="329"/>
      <c r="H102" s="2394"/>
      <c r="I102" s="2395"/>
      <c r="J102" s="2141"/>
      <c r="K102" s="2141"/>
      <c r="L102" s="329"/>
      <c r="M102" s="329"/>
      <c r="N102" s="329"/>
      <c r="O102" s="329"/>
      <c r="P102" s="329"/>
      <c r="Q102" s="329"/>
      <c r="R102" s="329"/>
      <c r="S102" s="1626"/>
    </row>
    <row r="103" spans="1:19" ht="18" customHeight="1" x14ac:dyDescent="0.2">
      <c r="A103" s="184"/>
      <c r="B103" s="1632"/>
      <c r="C103" s="2403" t="s">
        <v>568</v>
      </c>
      <c r="D103" s="2404"/>
      <c r="E103" s="2401" t="s">
        <v>527</v>
      </c>
      <c r="F103" s="2402" t="s">
        <v>430</v>
      </c>
      <c r="G103" s="329"/>
      <c r="H103" s="2403" t="s">
        <v>568</v>
      </c>
      <c r="I103" s="2404"/>
      <c r="J103" s="2410" t="s">
        <v>1944</v>
      </c>
      <c r="K103" s="2410" t="s">
        <v>661</v>
      </c>
      <c r="L103" s="329"/>
      <c r="M103" s="329"/>
      <c r="N103" s="329"/>
      <c r="O103" s="329"/>
      <c r="P103" s="329"/>
      <c r="Q103" s="329"/>
      <c r="R103" s="329"/>
      <c r="S103" s="1626"/>
    </row>
    <row r="104" spans="1:19" ht="18" customHeight="1" x14ac:dyDescent="0.2">
      <c r="A104" s="184"/>
      <c r="B104" s="1632"/>
      <c r="C104" s="2401"/>
      <c r="D104" s="2405"/>
      <c r="E104" s="2401"/>
      <c r="F104" s="2402"/>
      <c r="G104" s="329"/>
      <c r="H104" s="2401"/>
      <c r="I104" s="2405"/>
      <c r="J104" s="2410"/>
      <c r="K104" s="2410"/>
      <c r="L104" s="329"/>
      <c r="M104" s="329"/>
      <c r="N104" s="329"/>
      <c r="O104" s="329"/>
      <c r="P104" s="329"/>
      <c r="Q104" s="329"/>
      <c r="R104" s="329"/>
      <c r="S104" s="1626"/>
    </row>
    <row r="105" spans="1:19" ht="18" customHeight="1" x14ac:dyDescent="0.2">
      <c r="A105" s="184"/>
      <c r="B105" s="1632"/>
      <c r="C105" s="2406" t="s">
        <v>580</v>
      </c>
      <c r="D105" s="2407"/>
      <c r="E105" s="2114" t="s">
        <v>991</v>
      </c>
      <c r="F105" s="2115">
        <v>80.766000000000005</v>
      </c>
      <c r="G105" s="329"/>
      <c r="H105" s="2406" t="s">
        <v>1945</v>
      </c>
      <c r="I105" s="2407"/>
      <c r="J105" s="2146">
        <f ca="1">CokingRefineryCalcs!I1430/CokingRefineryCalcs!I1432/(CokingRefineryCalcs!I$1430/CokingRefineryCalcs!I1432+CokingRefineryCalcs!$K1430/CokingRefineryCalcs!K1432+CokingRefineryCalcs!L$1430/CokingRefineryCalcs!L1432)</f>
        <v>0.68178883638241683</v>
      </c>
      <c r="K105" s="2143">
        <f ca="1">CokingRefineryCalcs!I1430/(CokingRefineryCalcs!I$1430+CokingRefineryCalcs!$K1430+CokingRefineryCalcs!L$1430)</f>
        <v>0.61647984705083547</v>
      </c>
      <c r="L105" s="329"/>
      <c r="M105" s="329"/>
      <c r="N105" s="329"/>
      <c r="O105" s="329"/>
      <c r="P105" s="329"/>
      <c r="Q105" s="329"/>
      <c r="R105" s="329"/>
      <c r="S105" s="1626"/>
    </row>
    <row r="106" spans="1:19" ht="18" customHeight="1" x14ac:dyDescent="0.2">
      <c r="A106" s="184"/>
      <c r="B106" s="1632"/>
      <c r="C106" s="2096" t="s">
        <v>1933</v>
      </c>
      <c r="D106" s="2097"/>
      <c r="E106" s="2113" t="s">
        <v>447</v>
      </c>
      <c r="F106" s="2116" t="e">
        <f ca="1">CokingRefineryCalcs!G1438/CokingRefineryCalcs!E1438</f>
        <v>#DIV/0!</v>
      </c>
      <c r="G106" s="329"/>
      <c r="H106" s="2136" t="s">
        <v>1947</v>
      </c>
      <c r="I106" s="2137"/>
      <c r="J106" s="2144">
        <f ca="1">CokingRefineryCalcs!K1430/CokingRefineryCalcs!K1432/(CokingRefineryCalcs!I$1430/CokingRefineryCalcs!I1432+CokingRefineryCalcs!$K1430/CokingRefineryCalcs!K1432+CokingRefineryCalcs!L$1430/CokingRefineryCalcs!L1432)</f>
        <v>0.27218771114397911</v>
      </c>
      <c r="K106" s="2147">
        <f ca="1">CokingRefineryCalcs!K1430/(CokingRefineryCalcs!I$1430+CokingRefineryCalcs!K$1430+CokingRefineryCalcs!L$1430)</f>
        <v>0.32824008323271286</v>
      </c>
      <c r="L106" s="329"/>
      <c r="M106" s="329"/>
      <c r="N106" s="329"/>
      <c r="O106" s="329"/>
      <c r="P106" s="329"/>
      <c r="Q106" s="329"/>
      <c r="R106" s="329"/>
      <c r="S106" s="1626"/>
    </row>
    <row r="107" spans="1:19" ht="18" customHeight="1" x14ac:dyDescent="0.2">
      <c r="A107" s="184"/>
      <c r="B107" s="1632"/>
      <c r="C107" s="2096" t="s">
        <v>793</v>
      </c>
      <c r="D107" s="2097"/>
      <c r="E107" s="2113" t="s">
        <v>633</v>
      </c>
      <c r="F107" s="953">
        <f ca="1">CokingRefineryCalcs!M1438</f>
        <v>0</v>
      </c>
      <c r="G107" s="329"/>
      <c r="H107" s="2117" t="s">
        <v>1946</v>
      </c>
      <c r="I107" s="952"/>
      <c r="J107" s="2145">
        <f ca="1">CokingRefineryCalcs!L1430/CokingRefineryCalcs!L1432/(CokingRefineryCalcs!I$1430/CokingRefineryCalcs!I1432+CokingRefineryCalcs!$K1430/CokingRefineryCalcs!K1432+CokingRefineryCalcs!L$1430/CokingRefineryCalcs!L1432)</f>
        <v>4.6023452473603996E-2</v>
      </c>
      <c r="K107" s="2148">
        <f ca="1">CokingRefineryCalcs!L1430/(CokingRefineryCalcs!I$1430+CokingRefineryCalcs!K$1430+CokingRefineryCalcs!L$1430)</f>
        <v>5.5280069716451684E-2</v>
      </c>
      <c r="L107" s="329"/>
      <c r="M107" s="329"/>
      <c r="N107" s="329"/>
      <c r="O107" s="329"/>
      <c r="P107" s="329"/>
      <c r="Q107" s="329"/>
      <c r="R107" s="329"/>
      <c r="S107" s="1626"/>
    </row>
    <row r="108" spans="1:19" ht="18" customHeight="1" x14ac:dyDescent="0.2">
      <c r="A108" s="184"/>
      <c r="B108" s="1632"/>
      <c r="C108" s="2096"/>
      <c r="D108" s="2097"/>
      <c r="E108" s="954"/>
      <c r="F108" s="953"/>
      <c r="G108" s="329"/>
      <c r="H108" s="257"/>
      <c r="I108" s="257"/>
      <c r="J108" s="2121"/>
      <c r="K108" s="2121"/>
      <c r="L108" s="329"/>
      <c r="M108" s="329"/>
      <c r="N108" s="329"/>
      <c r="O108" s="329"/>
      <c r="P108" s="329"/>
      <c r="Q108" s="329"/>
      <c r="R108" s="329"/>
      <c r="S108" s="1626"/>
    </row>
    <row r="109" spans="1:19" ht="18" customHeight="1" x14ac:dyDescent="0.2">
      <c r="A109" s="184"/>
      <c r="B109" s="1632"/>
      <c r="C109" s="2096" t="s">
        <v>1934</v>
      </c>
      <c r="D109" s="2097"/>
      <c r="E109" s="2113" t="s">
        <v>622</v>
      </c>
      <c r="F109" s="953">
        <f ca="1">CokingRefineryCalcs!E1438</f>
        <v>0</v>
      </c>
      <c r="G109" s="329"/>
      <c r="H109" s="257"/>
      <c r="I109" s="257"/>
      <c r="J109" s="2142"/>
      <c r="K109" s="2121"/>
      <c r="L109" s="329"/>
      <c r="M109" s="329"/>
      <c r="N109" s="329"/>
      <c r="O109" s="329"/>
      <c r="P109" s="329"/>
      <c r="Q109" s="329"/>
      <c r="R109" s="329"/>
      <c r="S109" s="1626"/>
    </row>
    <row r="110" spans="1:19" ht="18" customHeight="1" x14ac:dyDescent="0.2">
      <c r="A110" s="184"/>
      <c r="B110" s="1632"/>
      <c r="C110" s="2117" t="s">
        <v>1935</v>
      </c>
      <c r="D110" s="2118"/>
      <c r="E110" s="2119" t="s">
        <v>1604</v>
      </c>
      <c r="F110" s="2120">
        <f ca="1">F109/F105</f>
        <v>0</v>
      </c>
      <c r="G110" s="329"/>
      <c r="H110" s="257"/>
      <c r="I110" s="1583"/>
      <c r="J110" s="2142"/>
      <c r="K110" s="2121"/>
      <c r="L110" s="329"/>
      <c r="M110" s="329"/>
      <c r="N110" s="329"/>
      <c r="O110" s="329"/>
      <c r="P110" s="329"/>
      <c r="Q110" s="329"/>
      <c r="R110" s="329"/>
      <c r="S110" s="1626"/>
    </row>
    <row r="111" spans="1:19" ht="18" customHeight="1" thickBot="1" x14ac:dyDescent="0.25">
      <c r="A111" s="184"/>
      <c r="B111" s="2033"/>
      <c r="C111" s="1976"/>
      <c r="D111" s="1976"/>
      <c r="E111" s="1976"/>
      <c r="F111" s="1976"/>
      <c r="G111" s="1976"/>
      <c r="H111" s="1976"/>
      <c r="I111" s="1976"/>
      <c r="J111" s="1976"/>
      <c r="K111" s="1976"/>
      <c r="L111" s="1976"/>
      <c r="M111" s="1976"/>
      <c r="N111" s="1976"/>
      <c r="O111" s="1976"/>
      <c r="P111" s="1976"/>
      <c r="Q111" s="1976"/>
      <c r="R111" s="1976"/>
      <c r="S111" s="2056"/>
    </row>
  </sheetData>
  <mergeCells count="41">
    <mergeCell ref="H101:I102"/>
    <mergeCell ref="H103:I104"/>
    <mergeCell ref="J103:J104"/>
    <mergeCell ref="K103:K104"/>
    <mergeCell ref="H105:I105"/>
    <mergeCell ref="C105:D105"/>
    <mergeCell ref="C101:D102"/>
    <mergeCell ref="C103:D104"/>
    <mergeCell ref="E103:E104"/>
    <mergeCell ref="F103:F104"/>
    <mergeCell ref="M41:M42"/>
    <mergeCell ref="H41:H42"/>
    <mergeCell ref="I41:I42"/>
    <mergeCell ref="J41:J42"/>
    <mergeCell ref="K41:K42"/>
    <mergeCell ref="L41:L42"/>
    <mergeCell ref="C25:D25"/>
    <mergeCell ref="C43:D43"/>
    <mergeCell ref="E40:J40"/>
    <mergeCell ref="C39:D40"/>
    <mergeCell ref="C5:D6"/>
    <mergeCell ref="E6:L6"/>
    <mergeCell ref="K7:L7"/>
    <mergeCell ref="K40:M40"/>
    <mergeCell ref="G7:H7"/>
    <mergeCell ref="C28:D28"/>
    <mergeCell ref="C8:D8"/>
    <mergeCell ref="I7:J7"/>
    <mergeCell ref="E41:E42"/>
    <mergeCell ref="F41:F42"/>
    <mergeCell ref="C41:D42"/>
    <mergeCell ref="G41:G42"/>
    <mergeCell ref="B2:S3"/>
    <mergeCell ref="C7:D7"/>
    <mergeCell ref="E7:F7"/>
    <mergeCell ref="C13:D13"/>
    <mergeCell ref="C22:D22"/>
    <mergeCell ref="O7:P7"/>
    <mergeCell ref="Q7:R7"/>
    <mergeCell ref="M6:R6"/>
    <mergeCell ref="M7:N7"/>
  </mergeCells>
  <phoneticPr fontId="24" type="noConversion"/>
  <conditionalFormatting sqref="C41 M9:R29 K9:L27 K29:L29 K28 E67:J67 E9:J29 E30:R31 C43:M43 E41:M41 E33:R33 C44:D64 H105:I105 K105">
    <cfRule type="cellIs" dxfId="37" priority="28" operator="lessThan">
      <formula>0</formula>
    </cfRule>
  </conditionalFormatting>
  <conditionalFormatting sqref="C103 C105:F105 E103:F103 C106:D109 C110">
    <cfRule type="cellIs" dxfId="36" priority="9" operator="lessThan">
      <formula>0</formula>
    </cfRule>
  </conditionalFormatting>
  <conditionalFormatting sqref="H103 J103 H106:I109 H110">
    <cfRule type="cellIs" dxfId="35" priority="8" operator="lessThan">
      <formula>0</formula>
    </cfRule>
  </conditionalFormatting>
  <conditionalFormatting sqref="K103">
    <cfRule type="cellIs" dxfId="34" priority="7" operator="lessThan">
      <formula>0</formula>
    </cfRule>
  </conditionalFormatting>
  <conditionalFormatting sqref="K106">
    <cfRule type="cellIs" dxfId="33" priority="4" operator="lessThan">
      <formula>0</formula>
    </cfRule>
  </conditionalFormatting>
  <conditionalFormatting sqref="K107">
    <cfRule type="cellIs" dxfId="32" priority="3" operator="lessThan">
      <formula>0</formula>
    </cfRule>
  </conditionalFormatting>
  <conditionalFormatting sqref="J105">
    <cfRule type="cellIs" dxfId="31" priority="1" operator="lessThan">
      <formula>0</formula>
    </cfRule>
  </conditionalFormatting>
  <pageMargins left="0.70866141732283472" right="0.70866141732283472" top="0.74803149606299213" bottom="0.74803149606299213" header="0.31496062992125984" footer="0.31496062992125984"/>
  <pageSetup orientation="portrait" horizontalDpi="4294967292" verticalDpi="4294967292"/>
  <ignoredErrors>
    <ignoredError sqref="E32:G32 E45:E66 J29 I27:R27 I31:R32 I29:I30 K29:R30 I28:P28 I44:J46 I48:J48 I47 F48:G48 F44:H45 F50:G65 H47:H65 I50:J66 I49 F49 F66:H66 H27:H32" emptyCellReference="1"/>
    <ignoredError sqref="J30" formula="1" emptyCellReference="1"/>
  </ignoredErrors>
  <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FF0000"/>
  </sheetPr>
  <dimension ref="A1:S114"/>
  <sheetViews>
    <sheetView zoomScale="70" zoomScaleNormal="70" zoomScalePageLayoutView="70" workbookViewId="0"/>
  </sheetViews>
  <sheetFormatPr defaultColWidth="8.85546875" defaultRowHeight="18" customHeight="1" x14ac:dyDescent="0.2"/>
  <cols>
    <col min="1" max="1" width="4" customWidth="1"/>
    <col min="2" max="2" width="5.140625" customWidth="1"/>
    <col min="3" max="3" width="60.42578125" customWidth="1"/>
    <col min="4" max="4" width="38" hidden="1" customWidth="1"/>
    <col min="5" max="18" width="15.7109375" customWidth="1"/>
  </cols>
  <sheetData>
    <row r="1" spans="1:19" ht="18" customHeight="1" thickBot="1" x14ac:dyDescent="0.25">
      <c r="A1" s="19"/>
      <c r="B1" s="19"/>
      <c r="C1" s="19"/>
      <c r="D1" s="19"/>
      <c r="E1" s="19"/>
      <c r="F1" s="19"/>
      <c r="G1" s="19"/>
      <c r="H1" s="19"/>
      <c r="I1" s="19"/>
      <c r="J1" s="19"/>
      <c r="K1" s="19"/>
      <c r="L1" s="19"/>
      <c r="M1" s="19"/>
      <c r="N1" s="19"/>
      <c r="O1" s="19"/>
      <c r="P1" s="19"/>
      <c r="Q1" s="19"/>
      <c r="R1" s="19"/>
      <c r="S1" s="19"/>
    </row>
    <row r="2" spans="1:19" ht="18" customHeight="1" x14ac:dyDescent="0.2">
      <c r="A2" s="19"/>
      <c r="B2" s="2413" t="str">
        <f ca="1">"Hydrocracking Refinery Detailed Results for "&amp;'Assay Inventory'!C9</f>
        <v>Hydrocracking Refinery Detailed Results for Bonny Light_Chevron</v>
      </c>
      <c r="C2" s="2414"/>
      <c r="D2" s="2414"/>
      <c r="E2" s="2414"/>
      <c r="F2" s="2414"/>
      <c r="G2" s="2414"/>
      <c r="H2" s="2414"/>
      <c r="I2" s="2414"/>
      <c r="J2" s="2414"/>
      <c r="K2" s="2414"/>
      <c r="L2" s="2414"/>
      <c r="M2" s="2414"/>
      <c r="N2" s="2414"/>
      <c r="O2" s="2414"/>
      <c r="P2" s="2414"/>
      <c r="Q2" s="2414"/>
      <c r="R2" s="2414"/>
      <c r="S2" s="2415"/>
    </row>
    <row r="3" spans="1:19" ht="18" customHeight="1" x14ac:dyDescent="0.2">
      <c r="A3" s="19"/>
      <c r="B3" s="2416"/>
      <c r="C3" s="2417"/>
      <c r="D3" s="2417"/>
      <c r="E3" s="2417"/>
      <c r="F3" s="2417"/>
      <c r="G3" s="2417"/>
      <c r="H3" s="2417"/>
      <c r="I3" s="2417"/>
      <c r="J3" s="2417"/>
      <c r="K3" s="2417"/>
      <c r="L3" s="2417"/>
      <c r="M3" s="2417"/>
      <c r="N3" s="2417"/>
      <c r="O3" s="2417"/>
      <c r="P3" s="2417"/>
      <c r="Q3" s="2417"/>
      <c r="R3" s="2417"/>
      <c r="S3" s="2418"/>
    </row>
    <row r="4" spans="1:19" ht="18" customHeight="1" x14ac:dyDescent="0.2">
      <c r="A4" s="19"/>
      <c r="B4" s="20"/>
      <c r="C4" s="72"/>
      <c r="D4" s="31"/>
      <c r="E4" s="31"/>
      <c r="F4" s="251"/>
      <c r="G4" s="31"/>
      <c r="H4" s="251"/>
      <c r="I4" s="251"/>
      <c r="J4" s="31"/>
      <c r="K4" s="31"/>
      <c r="L4" s="31"/>
      <c r="M4" s="31"/>
      <c r="N4" s="31"/>
      <c r="O4" s="31"/>
      <c r="P4" s="31"/>
      <c r="Q4" s="31"/>
      <c r="R4" s="31"/>
      <c r="S4" s="21"/>
    </row>
    <row r="5" spans="1:19" ht="18" customHeight="1" x14ac:dyDescent="0.2">
      <c r="A5" s="19"/>
      <c r="B5" s="20"/>
      <c r="C5" s="2396" t="s">
        <v>171</v>
      </c>
      <c r="D5" s="2397"/>
      <c r="E5" s="31"/>
      <c r="F5" s="251"/>
      <c r="G5" s="31"/>
      <c r="H5" s="251"/>
      <c r="I5" s="251"/>
      <c r="J5" s="31"/>
      <c r="K5" s="31"/>
      <c r="L5" s="31"/>
      <c r="M5" s="31"/>
      <c r="N5" s="31"/>
      <c r="O5" s="31"/>
      <c r="P5" s="31"/>
      <c r="Q5" s="31"/>
      <c r="R5" s="31"/>
      <c r="S5" s="21"/>
    </row>
    <row r="6" spans="1:19" ht="18" customHeight="1" x14ac:dyDescent="0.2">
      <c r="A6" s="19"/>
      <c r="B6" s="20"/>
      <c r="C6" s="2398"/>
      <c r="D6" s="2399"/>
      <c r="E6" s="2386" t="s">
        <v>1275</v>
      </c>
      <c r="F6" s="2386"/>
      <c r="G6" s="2386"/>
      <c r="H6" s="2386"/>
      <c r="I6" s="2386"/>
      <c r="J6" s="2386"/>
      <c r="K6" s="2386"/>
      <c r="L6" s="2386"/>
      <c r="M6" s="2385" t="s">
        <v>1276</v>
      </c>
      <c r="N6" s="2386"/>
      <c r="O6" s="2386"/>
      <c r="P6" s="2386"/>
      <c r="Q6" s="2386"/>
      <c r="R6" s="2387"/>
      <c r="S6" s="21"/>
    </row>
    <row r="7" spans="1:19" ht="18" customHeight="1" x14ac:dyDescent="0.2">
      <c r="A7" s="19"/>
      <c r="B7" s="20"/>
      <c r="C7" s="2421" t="s">
        <v>170</v>
      </c>
      <c r="D7" s="2422"/>
      <c r="E7" s="2421" t="s">
        <v>1143</v>
      </c>
      <c r="F7" s="2422"/>
      <c r="G7" s="2421" t="s">
        <v>542</v>
      </c>
      <c r="H7" s="2422"/>
      <c r="I7" s="2421" t="s">
        <v>207</v>
      </c>
      <c r="J7" s="2422"/>
      <c r="K7" s="2421" t="s">
        <v>208</v>
      </c>
      <c r="L7" s="2422"/>
      <c r="M7" s="2421" t="s">
        <v>1550</v>
      </c>
      <c r="N7" s="2422"/>
      <c r="O7" s="2421" t="s">
        <v>202</v>
      </c>
      <c r="P7" s="2422"/>
      <c r="Q7" s="2421" t="s">
        <v>703</v>
      </c>
      <c r="R7" s="2422"/>
      <c r="S7" s="279"/>
    </row>
    <row r="8" spans="1:19" ht="18" customHeight="1" x14ac:dyDescent="0.2">
      <c r="A8" s="19"/>
      <c r="B8" s="20"/>
      <c r="C8" s="2419"/>
      <c r="D8" s="2420"/>
      <c r="E8" s="280" t="s">
        <v>627</v>
      </c>
      <c r="F8" s="281" t="s">
        <v>522</v>
      </c>
      <c r="G8" s="280" t="s">
        <v>585</v>
      </c>
      <c r="H8" s="281" t="s">
        <v>522</v>
      </c>
      <c r="I8" s="280" t="s">
        <v>622</v>
      </c>
      <c r="J8" s="281" t="s">
        <v>522</v>
      </c>
      <c r="K8" s="280" t="s">
        <v>622</v>
      </c>
      <c r="L8" s="281" t="s">
        <v>522</v>
      </c>
      <c r="M8" s="280" t="s">
        <v>622</v>
      </c>
      <c r="N8" s="281" t="s">
        <v>522</v>
      </c>
      <c r="O8" s="280" t="s">
        <v>622</v>
      </c>
      <c r="P8" s="281" t="s">
        <v>522</v>
      </c>
      <c r="Q8" s="280" t="s">
        <v>622</v>
      </c>
      <c r="R8" s="281" t="s">
        <v>522</v>
      </c>
      <c r="S8" s="183"/>
    </row>
    <row r="9" spans="1:19" ht="18" customHeight="1" x14ac:dyDescent="0.2">
      <c r="A9" s="19"/>
      <c r="B9" s="20"/>
      <c r="C9" s="2098" t="str">
        <f>CokingRefineryCalcs!C5</f>
        <v>Desalter</v>
      </c>
      <c r="D9" s="2099"/>
      <c r="E9" s="831">
        <f ca="1">$F$35+$G$35*HydroRefineryCalcs!J10</f>
        <v>1487.7834559141168</v>
      </c>
      <c r="F9" s="832">
        <f ca="1">E9*'Energy &amp; Unit Conversions'!$G$88</f>
        <v>5356.0204412908206</v>
      </c>
      <c r="G9" s="831"/>
      <c r="H9" s="832">
        <f>(G9*1000)*'Energy &amp; Unit Conversions'!$G$82*'Energy &amp; Unit Conversions'!$P$25</f>
        <v>0</v>
      </c>
      <c r="I9" s="831"/>
      <c r="J9" s="832">
        <f>I9*'Energy &amp; Unit Conversions'!$E$70</f>
        <v>0</v>
      </c>
      <c r="K9" s="831"/>
      <c r="L9" s="832">
        <f>K9*'Energy &amp; Unit Conversions'!$Q$26</f>
        <v>0</v>
      </c>
      <c r="M9" s="831"/>
      <c r="N9" s="832">
        <f>M9*'Energy &amp; Unit Conversions'!$Q$27</f>
        <v>0</v>
      </c>
      <c r="O9" s="831"/>
      <c r="P9" s="832"/>
      <c r="Q9" s="831"/>
      <c r="R9" s="832"/>
      <c r="S9" s="21"/>
    </row>
    <row r="10" spans="1:19" ht="18" customHeight="1" x14ac:dyDescent="0.2">
      <c r="A10" s="19"/>
      <c r="B10" s="20"/>
      <c r="C10" s="2098" t="str">
        <f>CokingRefineryCalcs!C21</f>
        <v>Atmospheric Tower Furnace</v>
      </c>
      <c r="D10" s="2099"/>
      <c r="E10" s="831"/>
      <c r="F10" s="832">
        <f>E10*'Energy &amp; Unit Conversions'!$G$88</f>
        <v>0</v>
      </c>
      <c r="G10" s="831">
        <f ca="1">HydroRefineryCalcs!J28</f>
        <v>4293.121080415196</v>
      </c>
      <c r="H10" s="832">
        <f ca="1">(G10*1000)*'Energy &amp; Unit Conversions'!$G$82*'Energy &amp; Unit Conversions'!$P$25</f>
        <v>4212432.3875972163</v>
      </c>
      <c r="I10" s="831"/>
      <c r="J10" s="832">
        <f>I10*'Energy &amp; Unit Conversions'!$E$70</f>
        <v>0</v>
      </c>
      <c r="K10" s="831"/>
      <c r="L10" s="832">
        <f>K10*'Energy &amp; Unit Conversions'!$Q$26</f>
        <v>0</v>
      </c>
      <c r="M10" s="831"/>
      <c r="N10" s="832">
        <f>M10*'Energy &amp; Unit Conversions'!$Q$27</f>
        <v>0</v>
      </c>
      <c r="O10" s="831"/>
      <c r="P10" s="832"/>
      <c r="Q10" s="831"/>
      <c r="R10" s="832"/>
      <c r="S10" s="21"/>
    </row>
    <row r="11" spans="1:19" ht="18" customHeight="1" x14ac:dyDescent="0.2">
      <c r="A11" s="19"/>
      <c r="B11" s="20"/>
      <c r="C11" s="2098" t="str">
        <f>CokingRefineryCalcs!C43</f>
        <v>Atmospheric Tower</v>
      </c>
      <c r="D11" s="2099"/>
      <c r="E11" s="831">
        <f ca="1">$F$35+$G$35* HydroRefineryCalcs!O63</f>
        <v>8926.7007354846992</v>
      </c>
      <c r="F11" s="832">
        <f ca="1">E11*'Energy &amp; Unit Conversions'!$G$88</f>
        <v>32136.122647744916</v>
      </c>
      <c r="G11" s="831"/>
      <c r="H11" s="832">
        <f>(G11*1000)*'Energy &amp; Unit Conversions'!$G$82*'Energy &amp; Unit Conversions'!$P$25</f>
        <v>0</v>
      </c>
      <c r="I11" s="831">
        <f ca="1">HydroRefineryCalcs!O60*(1+F37)</f>
        <v>247479.30303247858</v>
      </c>
      <c r="J11" s="832">
        <f ca="1">I11*'Energy &amp; Unit Conversions'!$E$70</f>
        <v>805664.00529311772</v>
      </c>
      <c r="K11" s="831"/>
      <c r="L11" s="832">
        <f>K11*'Energy &amp; Unit Conversions'!$Q$26</f>
        <v>0</v>
      </c>
      <c r="M11" s="831"/>
      <c r="N11" s="832">
        <f>M11*'Energy &amp; Unit Conversions'!$Q$27</f>
        <v>0</v>
      </c>
      <c r="O11" s="831"/>
      <c r="P11" s="832"/>
      <c r="Q11" s="831"/>
      <c r="R11" s="832"/>
      <c r="S11" s="21"/>
    </row>
    <row r="12" spans="1:19" ht="18" customHeight="1" x14ac:dyDescent="0.2">
      <c r="A12" s="19"/>
      <c r="B12" s="20"/>
      <c r="C12" s="2098" t="str">
        <f>CokingRefineryCalcs!C515</f>
        <v>Vacuum Tower Furnace</v>
      </c>
      <c r="D12" s="2099"/>
      <c r="E12" s="831"/>
      <c r="F12" s="832">
        <f>E12*'Energy &amp; Unit Conversions'!$G$88</f>
        <v>0</v>
      </c>
      <c r="G12" s="831">
        <f ca="1">HydroRefineryCalcs!J496</f>
        <v>6.742610387417025E-18</v>
      </c>
      <c r="H12" s="832">
        <f ca="1">(G12*1000)*'Energy &amp; Unit Conversions'!$G$82*'Energy &amp; Unit Conversions'!$P$25</f>
        <v>6.6158838385611065E-15</v>
      </c>
      <c r="I12" s="831"/>
      <c r="J12" s="832">
        <f>I12*'Energy &amp; Unit Conversions'!$E$70</f>
        <v>0</v>
      </c>
      <c r="K12" s="831"/>
      <c r="L12" s="832">
        <f>K12*'Energy &amp; Unit Conversions'!$Q$26</f>
        <v>0</v>
      </c>
      <c r="M12" s="831"/>
      <c r="N12" s="832">
        <f>M12*'Energy &amp; Unit Conversions'!$Q$27</f>
        <v>0</v>
      </c>
      <c r="O12" s="831"/>
      <c r="P12" s="832"/>
      <c r="Q12" s="831"/>
      <c r="R12" s="832"/>
      <c r="S12" s="21"/>
    </row>
    <row r="13" spans="1:19" ht="18" customHeight="1" x14ac:dyDescent="0.2">
      <c r="A13" s="19"/>
      <c r="B13" s="20"/>
      <c r="C13" s="2411" t="str">
        <f>CokingRefineryCalcs!C536</f>
        <v>Vacuum Tower</v>
      </c>
      <c r="D13" s="2412"/>
      <c r="E13" s="831">
        <f ca="1">IF(HydroRefineryConfig=0,0,$F$35+$G$35* HydroRefineryCalcs!D533)</f>
        <v>0</v>
      </c>
      <c r="F13" s="832">
        <f ca="1">E13*'Energy &amp; Unit Conversions'!$G$88</f>
        <v>0</v>
      </c>
      <c r="G13" s="831"/>
      <c r="H13" s="832">
        <f>(G13*1000)*'Energy &amp; Unit Conversions'!$G$82*'Energy &amp; Unit Conversions'!$P$25</f>
        <v>0</v>
      </c>
      <c r="I13" s="831">
        <f ca="1">HydroRefineryCalcs!D530*(1+F37)</f>
        <v>7.1919733957350275E-14</v>
      </c>
      <c r="J13" s="832">
        <f ca="1">I13*'Energy &amp; Unit Conversions'!$E$70</f>
        <v>2.3413327987306458E-13</v>
      </c>
      <c r="K13" s="831"/>
      <c r="L13" s="832">
        <f>K13*'Energy &amp; Unit Conversions'!$Q$26</f>
        <v>0</v>
      </c>
      <c r="M13" s="831"/>
      <c r="N13" s="832">
        <f>M13*'Energy &amp; Unit Conversions'!$Q$27</f>
        <v>0</v>
      </c>
      <c r="O13" s="831"/>
      <c r="P13" s="832"/>
      <c r="Q13" s="831"/>
      <c r="R13" s="832"/>
      <c r="S13" s="21"/>
    </row>
    <row r="14" spans="1:19" ht="18" customHeight="1" x14ac:dyDescent="0.2">
      <c r="A14" s="19"/>
      <c r="B14" s="20"/>
      <c r="C14" s="2098" t="str">
        <f>CokingRefineryCalcs!C124</f>
        <v>Naphtha Hydrotreater</v>
      </c>
      <c r="D14" s="2099"/>
      <c r="E14" s="831">
        <f ca="1">$F$35+$G$35* HydroRefineryCalcs!D153</f>
        <v>103897.32965820449</v>
      </c>
      <c r="F14" s="832">
        <f ca="1">E14*'Energy &amp; Unit Conversions'!$G$88</f>
        <v>374030.38676953618</v>
      </c>
      <c r="G14" s="831">
        <f ca="1">HydroRefineryCalcs!D148</f>
        <v>3723.7094291690178</v>
      </c>
      <c r="H14" s="832">
        <f ca="1">(G14*1000)*'Energy &amp; Unit Conversions'!$G$82*'Energy &amp; Unit Conversions'!$P$25</f>
        <v>3653722.7596468586</v>
      </c>
      <c r="I14" s="831">
        <f ca="1">HydroRefineryCalcs!D156</f>
        <v>78545.059993893796</v>
      </c>
      <c r="J14" s="832">
        <f ca="1">I14*'Energy &amp; Unit Conversions'!$E$70</f>
        <v>255701.89852346506</v>
      </c>
      <c r="K14" s="831">
        <f ca="1">HydroRefineryCalcs!D145*(1+F36)</f>
        <v>40101.906144388915</v>
      </c>
      <c r="L14" s="832">
        <f ca="1">K14*'Energy &amp; Unit Conversions'!$Q$26</f>
        <v>5095228.6215404151</v>
      </c>
      <c r="M14" s="831">
        <f ca="1">HydroRefineryCalcs!L1038</f>
        <v>4314.1135318237602</v>
      </c>
      <c r="N14" s="832">
        <f ca="1">M14*'Energy &amp; Unit Conversions'!$Q$27</f>
        <v>202325.53674514475</v>
      </c>
      <c r="O14" s="831"/>
      <c r="P14" s="832"/>
      <c r="Q14" s="831"/>
      <c r="R14" s="832"/>
      <c r="S14" s="21"/>
    </row>
    <row r="15" spans="1:19" ht="18" customHeight="1" x14ac:dyDescent="0.2">
      <c r="A15" s="19"/>
      <c r="B15" s="20"/>
      <c r="C15" s="2098" t="str">
        <f>CokingRefineryCalcs!C252</f>
        <v>Kerosene Hydrotreater</v>
      </c>
      <c r="D15" s="2099"/>
      <c r="E15" s="831">
        <f ca="1">$F$35+$G$35* HydroRefineryCalcs!D282</f>
        <v>80656.223535115292</v>
      </c>
      <c r="F15" s="832">
        <f ca="1">E15*'Energy &amp; Unit Conversions'!$G$88</f>
        <v>290362.40472641506</v>
      </c>
      <c r="G15" s="831">
        <f ca="1">HydroRefineryCalcs!D277</f>
        <v>4329.2624041539148</v>
      </c>
      <c r="H15" s="832">
        <f ca="1">(G15*1000)*'Energy &amp; Unit Conversions'!$G$82*'Energy &amp; Unit Conversions'!$P$25</f>
        <v>4247894.4395160712</v>
      </c>
      <c r="I15" s="831">
        <f ca="1">HydroRefineryCalcs!D285</f>
        <v>97560.126902780612</v>
      </c>
      <c r="J15" s="832">
        <f ca="1">I15*'Energy &amp; Unit Conversions'!$E$70</f>
        <v>317605.0749871544</v>
      </c>
      <c r="K15" s="831">
        <f ca="1">HydroRefineryCalcs!D274*(1+F36)</f>
        <v>15979.184782805783</v>
      </c>
      <c r="L15" s="832">
        <f ca="1">K15*'Energy &amp; Unit Conversions'!$Q$26</f>
        <v>2030267.5728452147</v>
      </c>
      <c r="M15" s="831">
        <f ca="1">HydroRefineryCalcs!L1039</f>
        <v>7214.4939445638938</v>
      </c>
      <c r="N15" s="832">
        <f ca="1">M15*'Energy &amp; Unit Conversions'!$Q$27</f>
        <v>338349.08351645042</v>
      </c>
      <c r="O15" s="831"/>
      <c r="P15" s="832"/>
      <c r="Q15" s="831"/>
      <c r="R15" s="832"/>
      <c r="S15" s="21"/>
    </row>
    <row r="16" spans="1:19" ht="18" customHeight="1" x14ac:dyDescent="0.2">
      <c r="A16" s="19"/>
      <c r="B16" s="20"/>
      <c r="C16" s="2098" t="str">
        <f>CokingRefineryCalcs!C296</f>
        <v>Kerosene Merox Unit</v>
      </c>
      <c r="D16" s="2099"/>
      <c r="E16" s="831">
        <f ca="1">$F$35+$G$35* HydroRefineryCalcs!D305</f>
        <v>2771.1741788300665</v>
      </c>
      <c r="F16" s="832">
        <f ca="1">E16*'Energy &amp; Unit Conversions'!$G$88</f>
        <v>9976.2270437882398</v>
      </c>
      <c r="G16" s="831"/>
      <c r="H16" s="832">
        <f>(G16*1000)*'Energy &amp; Unit Conversions'!$G$82*'Energy &amp; Unit Conversions'!$P$25</f>
        <v>0</v>
      </c>
      <c r="I16" s="831"/>
      <c r="J16" s="832">
        <f>I16*'Energy &amp; Unit Conversions'!$E$70</f>
        <v>0</v>
      </c>
      <c r="K16" s="831"/>
      <c r="L16" s="832">
        <f>K16*'Energy &amp; Unit Conversions'!$Q$26</f>
        <v>0</v>
      </c>
      <c r="M16" s="831"/>
      <c r="N16" s="832">
        <f>M16*'Energy &amp; Unit Conversions'!$Q$27</f>
        <v>0</v>
      </c>
      <c r="O16" s="831"/>
      <c r="P16" s="832"/>
      <c r="Q16" s="831"/>
      <c r="R16" s="832"/>
      <c r="S16" s="21"/>
    </row>
    <row r="17" spans="1:19" ht="18" customHeight="1" x14ac:dyDescent="0.2">
      <c r="A17" s="19"/>
      <c r="B17" s="20"/>
      <c r="C17" s="2098" t="str">
        <f>CokingRefineryCalcs!C358</f>
        <v>Gas Oil Hydrocracker</v>
      </c>
      <c r="D17" s="2099"/>
      <c r="E17" s="831">
        <f ca="1">IF(OR(HydroRefineryConfig=0,HydroRefineryConfig=1,HydroRefineryConfig=7),0,$F$35+$G$35*HydroRefineryCalcs!D380)</f>
        <v>0</v>
      </c>
      <c r="F17" s="832">
        <f ca="1">E17*'Energy &amp; Unit Conversions'!$G$88</f>
        <v>0</v>
      </c>
      <c r="G17" s="831">
        <f ca="1">HydroRefineryCalcs!D375</f>
        <v>1.2024173538623429E-9</v>
      </c>
      <c r="H17" s="832">
        <f ca="1">(G17*1000)*'Energy &amp; Unit Conversions'!$G$82*'Energy &amp; Unit Conversions'!$P$25</f>
        <v>1.1798180647466903E-6</v>
      </c>
      <c r="I17" s="831"/>
      <c r="J17" s="832">
        <f>I17*'Energy &amp; Unit Conversions'!$E$70</f>
        <v>0</v>
      </c>
      <c r="K17" s="831">
        <f ca="1">HydroRefineryCalcs!D372*(1+F36)</f>
        <v>4.2778243563171582E-8</v>
      </c>
      <c r="L17" s="832">
        <f ca="1">K17*'Energy &amp; Unit Conversions'!$Q$26</f>
        <v>5.4352760738480919E-6</v>
      </c>
      <c r="M17" s="831">
        <f ca="1">HydroRefineryCalcs!L1041</f>
        <v>3.6555541191970266E-8</v>
      </c>
      <c r="N17" s="832">
        <f ca="1">M17*'Energy &amp; Unit Conversions'!$Q$27</f>
        <v>1.7144007542026779E-6</v>
      </c>
      <c r="O17" s="831"/>
      <c r="P17" s="832"/>
      <c r="Q17" s="831"/>
      <c r="R17" s="832"/>
      <c r="S17" s="21"/>
    </row>
    <row r="18" spans="1:19" ht="18" customHeight="1" x14ac:dyDescent="0.2">
      <c r="A18" s="19"/>
      <c r="B18" s="20"/>
      <c r="C18" s="2098" t="str">
        <f>CokingRefineryCalcs!C466</f>
        <v>Gas Oil Hydrocracker Fractionator</v>
      </c>
      <c r="D18" s="2099"/>
      <c r="E18" s="831">
        <f ca="1">IF(OR(HydroRefineryConfig=0,HydroRefineryConfig=1,HydroRefineryConfig=7),0,$F$35+$G$35*HydroRefineryCalcs!D465)</f>
        <v>0</v>
      </c>
      <c r="F18" s="832">
        <f ca="1">E18*'Energy &amp; Unit Conversions'!$G$88</f>
        <v>0</v>
      </c>
      <c r="G18" s="831"/>
      <c r="H18" s="832">
        <f>(G18*1000)*'Energy &amp; Unit Conversions'!$G$82*'Energy &amp; Unit Conversions'!$P$25</f>
        <v>0</v>
      </c>
      <c r="I18" s="831">
        <f ca="1">HydroRefineryCalcs!D462*(1+F37)</f>
        <v>3.1283054478691933E-7</v>
      </c>
      <c r="J18" s="832">
        <f ca="1">I18*'Energy &amp; Unit Conversions'!$E$70</f>
        <v>1.0184136879437585E-6</v>
      </c>
      <c r="K18" s="831"/>
      <c r="L18" s="832">
        <f>K18*'Energy &amp; Unit Conversions'!$Q$26</f>
        <v>0</v>
      </c>
      <c r="M18" s="831"/>
      <c r="N18" s="832">
        <f>M18*'Energy &amp; Unit Conversions'!$Q$27</f>
        <v>0</v>
      </c>
      <c r="O18" s="831"/>
      <c r="P18" s="832"/>
      <c r="Q18" s="831"/>
      <c r="R18" s="832"/>
      <c r="S18" s="21"/>
    </row>
    <row r="19" spans="1:19" ht="18" customHeight="1" x14ac:dyDescent="0.2">
      <c r="A19" s="19"/>
      <c r="B19" s="20"/>
      <c r="C19" s="2098" t="str">
        <f>CokingRefineryCalcs!C310</f>
        <v>Diesel Hydrotreater</v>
      </c>
      <c r="D19" s="2099"/>
      <c r="E19" s="831">
        <f ca="1">$F$35+$G$35* HydroRefineryCalcs!D350</f>
        <v>37574.452876418836</v>
      </c>
      <c r="F19" s="832">
        <f ca="1">E19*'Energy &amp; Unit Conversions'!$G$88</f>
        <v>135268.03035510783</v>
      </c>
      <c r="G19" s="831">
        <f ca="1">HydroRefineryCalcs!D345</f>
        <v>2016.8272089222171</v>
      </c>
      <c r="H19" s="832">
        <f ca="1">(G19*1000)*'Energy &amp; Unit Conversions'!$G$82*'Energy &amp; Unit Conversions'!$P$25</f>
        <v>1978921.1848247254</v>
      </c>
      <c r="I19" s="831">
        <f ca="1">HydroRefineryCalcs!D353</f>
        <v>45449.29368444837</v>
      </c>
      <c r="J19" s="832">
        <f ca="1">I19*'Energy &amp; Unit Conversions'!$E$70</f>
        <v>147959.28200408083</v>
      </c>
      <c r="K19" s="831">
        <f ca="1">HydroRefineryCalcs!D342*(1+F36)</f>
        <v>8529.3483619720973</v>
      </c>
      <c r="L19" s="832">
        <f ca="1">K19*'Energy &amp; Unit Conversions'!$Q$26</f>
        <v>1083713.5706350929</v>
      </c>
      <c r="M19" s="831">
        <f ca="1">HydroRefineryCalcs!L1040</f>
        <v>3515.4639126487618</v>
      </c>
      <c r="N19" s="832">
        <f ca="1">M19*'Energy &amp; Unit Conversions'!$Q$27</f>
        <v>164870.05216438149</v>
      </c>
      <c r="O19" s="831"/>
      <c r="P19" s="832"/>
      <c r="Q19" s="831"/>
      <c r="R19" s="832"/>
      <c r="S19" s="21"/>
    </row>
    <row r="20" spans="1:19" ht="18" customHeight="1" x14ac:dyDescent="0.2">
      <c r="A20" s="19"/>
      <c r="B20" s="20"/>
      <c r="C20" s="2098" t="str">
        <f>HydroRefineryCalcs!C800</f>
        <v>Residue Hydrocracker Furnace</v>
      </c>
      <c r="D20" s="2099"/>
      <c r="E20" s="831"/>
      <c r="F20" s="832"/>
      <c r="G20" s="831">
        <f ca="1">HydroRefineryCalcs!D818</f>
        <v>4.5000000000000002E-16</v>
      </c>
      <c r="H20" s="832">
        <f ca="1">(G20*1000)*'Energy &amp; Unit Conversions'!$G$82*'Energy &amp; Unit Conversions'!$P$25</f>
        <v>4.4154230428446728E-13</v>
      </c>
      <c r="I20" s="831"/>
      <c r="J20" s="832">
        <f>I20*'Energy &amp; Unit Conversions'!$E$70</f>
        <v>0</v>
      </c>
      <c r="K20" s="831"/>
      <c r="L20" s="832">
        <f>K20*'Energy &amp; Unit Conversions'!$Q$26</f>
        <v>0</v>
      </c>
      <c r="M20" s="831"/>
      <c r="N20" s="832">
        <f>M20*'Energy &amp; Unit Conversions'!$Q$27</f>
        <v>0</v>
      </c>
      <c r="O20" s="831"/>
      <c r="P20" s="832"/>
      <c r="Q20" s="831"/>
      <c r="R20" s="832"/>
      <c r="S20" s="21"/>
    </row>
    <row r="21" spans="1:19" ht="18" customHeight="1" x14ac:dyDescent="0.2">
      <c r="A21" s="19"/>
      <c r="B21" s="20"/>
      <c r="C21" s="2098" t="str">
        <f>HydroRefineryCalcs!C822</f>
        <v xml:space="preserve">Residue Hydrocracker </v>
      </c>
      <c r="D21" s="2099"/>
      <c r="E21" s="831">
        <f ca="1">IF(HydroRefineryConfig&lt;4,0,$F$35+$G$35* HydroRefineryCalcs!D846)</f>
        <v>0</v>
      </c>
      <c r="F21" s="832">
        <f ca="1">E21*'Energy &amp; Unit Conversions'!$G$88</f>
        <v>0</v>
      </c>
      <c r="G21" s="831">
        <f ca="1">HydroRefineryCalcs!D841</f>
        <v>7.3942020175524306E-19</v>
      </c>
      <c r="H21" s="832">
        <f ca="1">(G21*1000)*'Energy &amp; Unit Conversions'!$G$82*'Energy &amp; Unit Conversions'!$P$25</f>
        <v>7.2552288826110166E-16</v>
      </c>
      <c r="I21" s="831"/>
      <c r="J21" s="832">
        <f>I21*'Energy &amp; Unit Conversions'!$E$70</f>
        <v>0</v>
      </c>
      <c r="K21" s="831">
        <f ca="1">HydroRefineryCalcs!D838*(1+F36)</f>
        <v>3.951549016402616E-16</v>
      </c>
      <c r="L21" s="832">
        <f ca="1">K21*'Energy &amp; Unit Conversions'!$Q$26</f>
        <v>5.0207203556112386E-14</v>
      </c>
      <c r="M21" s="831">
        <f ca="1">HydroRefineryCalcs!L1042</f>
        <v>8.7633800156215396E-16</v>
      </c>
      <c r="N21" s="832">
        <f ca="1">M21*'Energy &amp; Unit Conversions'!$Q$27</f>
        <v>4.1098954681722451E-14</v>
      </c>
      <c r="O21" s="831"/>
      <c r="P21" s="832"/>
      <c r="Q21" s="831"/>
      <c r="R21" s="832"/>
      <c r="S21" s="21"/>
    </row>
    <row r="22" spans="1:19" ht="18" customHeight="1" x14ac:dyDescent="0.2">
      <c r="A22" s="19"/>
      <c r="B22" s="20"/>
      <c r="C22" s="2423" t="str">
        <f>HydroRefineryCalcs!C903</f>
        <v>Residue Hydrocracker Fractionator</v>
      </c>
      <c r="D22" s="2424"/>
      <c r="E22" s="831">
        <f ca="1">IF(HydroRefineryConfig&lt;4,0,$F$35+$G$35* HydroRefineryCalcs!D929)</f>
        <v>0</v>
      </c>
      <c r="F22" s="832">
        <f ca="1">E22*'Energy &amp; Unit Conversions'!$G$88</f>
        <v>0</v>
      </c>
      <c r="G22" s="831">
        <f ca="1">HydroRefineryCalcs!D923</f>
        <v>2.9372162974566019E-18</v>
      </c>
      <c r="H22" s="832">
        <f ca="1">(G22*1000)*'Energy &amp; Unit Conversions'!$G$82*'Energy &amp; Unit Conversions'!$P$25</f>
        <v>2.8820116714686205E-15</v>
      </c>
      <c r="I22" s="831">
        <f ca="1">HydroRefineryCalcs!D926*(1+F37)</f>
        <v>3.9391780883658854E-17</v>
      </c>
      <c r="J22" s="832">
        <f ca="1">I22*'Energy &amp; Unit Conversions'!$E$70</f>
        <v>1.2823916817881305E-16</v>
      </c>
      <c r="K22" s="831"/>
      <c r="L22" s="832">
        <f>K22*'Energy &amp; Unit Conversions'!$Q$26</f>
        <v>0</v>
      </c>
      <c r="M22" s="831"/>
      <c r="N22" s="832">
        <f>M22*'Energy &amp; Unit Conversions'!$Q$27</f>
        <v>0</v>
      </c>
      <c r="O22" s="831"/>
      <c r="P22" s="832"/>
      <c r="Q22" s="831"/>
      <c r="R22" s="832"/>
      <c r="S22" s="21"/>
    </row>
    <row r="23" spans="1:19" ht="18" customHeight="1" x14ac:dyDescent="0.2">
      <c r="A23" s="19"/>
      <c r="B23" s="20"/>
      <c r="C23" s="2098" t="str">
        <f>HydroRefineryCalcs!C975</f>
        <v>HC Naphtha Hydrotreater</v>
      </c>
      <c r="D23" s="2099"/>
      <c r="E23" s="831">
        <f ca="1">IF(HydroRefineryConfig&lt;4,0,$F$35+$G$35*HydroRefineryCalcs!D1014)</f>
        <v>0</v>
      </c>
      <c r="F23" s="832">
        <f ca="1">E23*'Energy &amp; Unit Conversions'!$G$88</f>
        <v>0</v>
      </c>
      <c r="G23" s="831">
        <f ca="1">HydroRefineryCalcs!D1009</f>
        <v>1.1240688216438961E-18</v>
      </c>
      <c r="H23" s="832">
        <f ca="1">(G23*1000)*'Energy &amp; Unit Conversions'!$G$82*'Energy &amp; Unit Conversions'!$P$25</f>
        <v>1.1029420837399374E-15</v>
      </c>
      <c r="I23" s="831">
        <f ca="1">HydroRefineryCalcs!D1017</f>
        <v>2.8587777927790671E-17</v>
      </c>
      <c r="J23" s="832">
        <f ca="1">I23*'Energy &amp; Unit Conversions'!$E$70</f>
        <v>9.306694897516878E-17</v>
      </c>
      <c r="K23" s="831">
        <f ca="1">HydroRefineryCalcs!D1006*(1+F36)</f>
        <v>0</v>
      </c>
      <c r="L23" s="832">
        <f ca="1">K23*'Energy &amp; Unit Conversions'!$Q$26</f>
        <v>0</v>
      </c>
      <c r="M23" s="831">
        <f ca="1">HydroRefineryCalcs!L1043</f>
        <v>2.4516129032278489E-18</v>
      </c>
      <c r="N23" s="832">
        <f ca="1">M23*'Energy &amp; Unit Conversions'!$Q$27</f>
        <v>1.1497701506413685E-16</v>
      </c>
      <c r="O23" s="831"/>
      <c r="P23" s="832"/>
      <c r="Q23" s="831"/>
      <c r="R23" s="832"/>
      <c r="S23" s="21"/>
    </row>
    <row r="24" spans="1:19" ht="18" customHeight="1" x14ac:dyDescent="0.2">
      <c r="A24" s="19"/>
      <c r="B24" s="20"/>
      <c r="C24" s="2098" t="str">
        <f>HydroRefineryCalcs!C616</f>
        <v>Fluid Catalytic Cracking Feed Hydrotreater</v>
      </c>
      <c r="D24" s="2099"/>
      <c r="E24" s="831">
        <f ca="1">IF(OR(HydroRefineryConfig=0,HydroRefineryConfig=2,HydroRefineryConfig=8),0,$F$35+$G$35*HydroRefineryCalcs!D640)</f>
        <v>0</v>
      </c>
      <c r="F24" s="832">
        <f ca="1">E24*'Energy &amp; Unit Conversions'!$G$88</f>
        <v>0</v>
      </c>
      <c r="G24" s="831">
        <f ca="1">HydroRefineryCalcs!D635</f>
        <v>2.1419836378839322E-15</v>
      </c>
      <c r="H24" s="832">
        <f ca="1">(G24*1000)*'Energy &amp; Unit Conversions'!$G$82*'Energy &amp; Unit Conversions'!$P$25</f>
        <v>2.1017253138019943E-12</v>
      </c>
      <c r="I24" s="831">
        <f ca="1">HydroRefineryCalcs!D643</f>
        <v>5.4475803781510883E-14</v>
      </c>
      <c r="J24" s="832">
        <f ca="1">I24*'Energy &amp; Unit Conversions'!$E$70</f>
        <v>1.7734490815344713E-13</v>
      </c>
      <c r="K24" s="831">
        <f ca="1">HydroRefineryCalcs!D632*(1+F36)</f>
        <v>0</v>
      </c>
      <c r="L24" s="832">
        <f ca="1">K24*'Energy &amp; Unit Conversions'!$Q$26</f>
        <v>0</v>
      </c>
      <c r="M24" s="831">
        <f ca="1">HydroRefineryCalcs!L1044</f>
        <v>4.5005376344041782E-17</v>
      </c>
      <c r="N24" s="832">
        <f ca="1">M24*'Energy &amp; Unit Conversions'!$Q$27</f>
        <v>2.1106855111845212E-15</v>
      </c>
      <c r="O24" s="831"/>
      <c r="P24" s="832"/>
      <c r="Q24" s="831"/>
      <c r="R24" s="832"/>
      <c r="S24" s="21"/>
    </row>
    <row r="25" spans="1:19" ht="18" customHeight="1" x14ac:dyDescent="0.2">
      <c r="A25" s="19"/>
      <c r="B25" s="20"/>
      <c r="C25" s="2411" t="str">
        <f>HydroRefineryCalcs!C667</f>
        <v>Fluid Catalytic Cracker</v>
      </c>
      <c r="D25" s="2412"/>
      <c r="E25" s="831">
        <f ca="1">IF(OR(HydroRefineryConfig=0,HydroRefineryConfig=2,HydroRefineryConfig=8),0,$F$35+$G$35*HydroRefineryCalcs!D684)</f>
        <v>0</v>
      </c>
      <c r="F25" s="832">
        <f ca="1">E25*'Energy &amp; Unit Conversions'!$G$88</f>
        <v>0</v>
      </c>
      <c r="G25" s="831">
        <f ca="1">HydroRefineryCalcs!D687</f>
        <v>1.8754643822357902E-17</v>
      </c>
      <c r="H25" s="832">
        <f ca="1">(G25*1000)*'Energy &amp; Unit Conversions'!$G$82*'Energy &amp; Unit Conversions'!$P$25</f>
        <v>1.8402152554129682E-14</v>
      </c>
      <c r="I25" s="831"/>
      <c r="J25" s="832">
        <f>I25*'Energy &amp; Unit Conversions'!$E$70</f>
        <v>0</v>
      </c>
      <c r="K25" s="831"/>
      <c r="L25" s="832">
        <f>K25*'Energy &amp; Unit Conversions'!$Q$26</f>
        <v>0</v>
      </c>
      <c r="M25" s="831">
        <f ca="1">HydroRefineryCalcs!L1045</f>
        <v>8.3675264494798612E-16</v>
      </c>
      <c r="N25" s="832">
        <f ca="1">M25*'Energy &amp; Unit Conversions'!$Q$27</f>
        <v>3.9242460070459015E-14</v>
      </c>
      <c r="O25" s="831"/>
      <c r="P25" s="832"/>
      <c r="Q25" s="831">
        <f ca="1">HydroRefineryCalcs!H683</f>
        <v>1.2170947562879799E-15</v>
      </c>
      <c r="R25" s="832">
        <f ca="1">HydroRefineryCalcs!H684</f>
        <v>3.5910758083651294E-14</v>
      </c>
      <c r="S25" s="21"/>
    </row>
    <row r="26" spans="1:19" ht="18" customHeight="1" x14ac:dyDescent="0.2">
      <c r="A26" s="19"/>
      <c r="B26" s="20"/>
      <c r="C26" s="2098" t="str">
        <f>HydroRefineryCalcs!C721</f>
        <v>Fluid Catalytic Cracker Main Fractionator</v>
      </c>
      <c r="D26" s="2099"/>
      <c r="E26" s="831">
        <f ca="1">IF(OR(HydroRefineryConfig=0,HydroRefineryConfig=2,HydroRefineryConfig=8),0,$F$35+$G$35*HydroRefineryCalcs!D745)</f>
        <v>0</v>
      </c>
      <c r="F26" s="832">
        <f ca="1">E26*'Energy &amp; Unit Conversions'!$G$88</f>
        <v>0</v>
      </c>
      <c r="G26" s="831"/>
      <c r="H26" s="832">
        <f>(G26*1000)*'Energy &amp; Unit Conversions'!$G$82*'Energy &amp; Unit Conversions'!$P$25</f>
        <v>0</v>
      </c>
      <c r="I26" s="831">
        <f ca="1">HydroRefineryCalcs!D742*(1+F37)</f>
        <v>8.631693600165664E-17</v>
      </c>
      <c r="J26" s="832">
        <f ca="1">I26*'Energy &amp; Unit Conversions'!$E$70</f>
        <v>2.8100308806267251E-16</v>
      </c>
      <c r="K26" s="831"/>
      <c r="L26" s="832">
        <f>K26*'Energy &amp; Unit Conversions'!$Q$26</f>
        <v>0</v>
      </c>
      <c r="M26" s="831"/>
      <c r="N26" s="832">
        <f>M26*'Energy &amp; Unit Conversions'!$Q$27</f>
        <v>0</v>
      </c>
      <c r="O26" s="831"/>
      <c r="P26" s="832"/>
      <c r="Q26" s="831"/>
      <c r="R26" s="832"/>
      <c r="S26" s="21"/>
    </row>
    <row r="27" spans="1:19" ht="18" customHeight="1" x14ac:dyDescent="0.2">
      <c r="A27" s="19"/>
      <c r="B27" s="20"/>
      <c r="C27" s="2098" t="str">
        <f>HydroRefineryCalcs!C777</f>
        <v>Alkylation Unit</v>
      </c>
      <c r="D27" s="2099"/>
      <c r="E27" s="831">
        <f ca="1">IF(OR(HydroRefineryConfig=0,HydroRefineryConfig=2,HydroRefineryConfig=8),0,$F$35+$G$35*HydroRefineryCalcs!D798)</f>
        <v>0</v>
      </c>
      <c r="F27" s="832">
        <f ca="1">E27*'Energy &amp; Unit Conversions'!$G$88</f>
        <v>0</v>
      </c>
      <c r="G27" s="831"/>
      <c r="H27" s="832">
        <f>(G27*1000)*'Energy &amp; Unit Conversions'!$G$82*'Energy &amp; Unit Conversions'!$P$25</f>
        <v>0</v>
      </c>
      <c r="I27" s="831">
        <f ca="1">HydroRefineryCalcs!D795</f>
        <v>9.3427829865467718E-16</v>
      </c>
      <c r="J27" s="832">
        <f ca="1">I27*'Energy &amp; Unit Conversions'!$E$70</f>
        <v>3.0415246322791786E-15</v>
      </c>
      <c r="K27" s="831"/>
      <c r="L27" s="832">
        <f>K27*'Energy &amp; Unit Conversions'!$Q$26</f>
        <v>0</v>
      </c>
      <c r="M27" s="831"/>
      <c r="N27" s="832">
        <f>M27*'Energy &amp; Unit Conversions'!$Q$27</f>
        <v>0</v>
      </c>
      <c r="O27" s="831"/>
      <c r="P27" s="832"/>
      <c r="Q27" s="831"/>
      <c r="R27" s="832"/>
      <c r="S27" s="21"/>
    </row>
    <row r="28" spans="1:19" ht="18" customHeight="1" x14ac:dyDescent="0.2">
      <c r="A28" s="19"/>
      <c r="B28" s="20"/>
      <c r="C28" s="2411" t="str">
        <f>HydroRefineryCalcs!C184</f>
        <v>Catalytic Naphtha Reformer</v>
      </c>
      <c r="D28" s="2412"/>
      <c r="E28" s="831">
        <f ca="1">$F$35+$G$35*HydroRefineryCalcs!D201</f>
        <v>53092.755951271982</v>
      </c>
      <c r="F28" s="832">
        <f ca="1">E28*'Energy &amp; Unit Conversions'!$G$88</f>
        <v>191133.92142457914</v>
      </c>
      <c r="G28" s="831">
        <f ca="1">HydroRefineryCalcs!D204</f>
        <v>5610.1345455177398</v>
      </c>
      <c r="H28" s="832">
        <f ca="1">(G28*1000)*'Energy &amp; Unit Conversions'!$G$82*'Energy &amp; Unit Conversions'!$P$25</f>
        <v>5504692.7434973232</v>
      </c>
      <c r="I28" s="831">
        <f ca="1">HydroRefineryCalcs!D208</f>
        <v>240824.69001769068</v>
      </c>
      <c r="J28" s="832">
        <f ca="1">I28*'Energy &amp; Unit Conversions'!$E$70</f>
        <v>784000.0434608584</v>
      </c>
      <c r="K28" s="831"/>
      <c r="L28" s="832"/>
      <c r="M28" s="831">
        <f ca="1">HydroRefineryCalcs!L1046</f>
        <v>219014.26865078407</v>
      </c>
      <c r="N28" s="832">
        <f ca="1">M28*'Energy &amp; Unit Conversions'!$Q$27</f>
        <v>10271444.905828096</v>
      </c>
      <c r="O28" s="831">
        <f ca="1">HydroRefineryCalcs!H201</f>
        <v>49946.755867475033</v>
      </c>
      <c r="P28" s="832">
        <f ca="1">O28*'Energy &amp; Unit Conversions'!$Q$26</f>
        <v>6346085.8726452049</v>
      </c>
      <c r="Q28" s="831">
        <f>-CokingRefineryCalcs!J212</f>
        <v>0</v>
      </c>
      <c r="R28" s="832">
        <f>Q28*'Energy &amp; Unit Conversions'!$Q$26</f>
        <v>0</v>
      </c>
      <c r="S28" s="21"/>
    </row>
    <row r="29" spans="1:19" ht="18" customHeight="1" x14ac:dyDescent="0.2">
      <c r="A29" s="19"/>
      <c r="B29" s="20"/>
      <c r="C29" s="2098" t="str">
        <f>HydroRefineryCalcs!C158</f>
        <v>Isomerisation Unit</v>
      </c>
      <c r="D29" s="2099"/>
      <c r="E29" s="831">
        <f ca="1">$F$35+$G$35*HydroRefineryCalcs!D179</f>
        <v>7539.5912655793572</v>
      </c>
      <c r="F29" s="832">
        <f ca="1">E29*'Energy &amp; Unit Conversions'!$G$88</f>
        <v>27142.528556085686</v>
      </c>
      <c r="G29" s="831">
        <f ca="1">HydroRefineryCalcs!D182</f>
        <v>1590.7266888440724</v>
      </c>
      <c r="H29" s="832">
        <f ca="1">(G29*1000)*'Energy &amp; Unit Conversions'!$G$82*'Energy &amp; Unit Conversions'!$P$25</f>
        <v>1560829.172620028</v>
      </c>
      <c r="I29" s="831"/>
      <c r="J29" s="832">
        <f>I29*'Energy &amp; Unit Conversions'!$E$70</f>
        <v>0</v>
      </c>
      <c r="K29" s="831">
        <f ca="1">HydroRefineryCalcs!D174*(1+F36)</f>
        <v>12438.254589234743</v>
      </c>
      <c r="L29" s="832">
        <f ca="1">K29*'Energy &amp; Unit Conversions'!$Q$26</f>
        <v>1580367.5405574918</v>
      </c>
      <c r="M29" s="831">
        <f ca="1">HydroRefineryCalcs!L1047</f>
        <v>8544.5148145949242</v>
      </c>
      <c r="N29" s="832">
        <f ca="1">M29*'Energy &amp; Unit Conversions'!$Q$27</f>
        <v>400725.09296224586</v>
      </c>
      <c r="O29" s="831"/>
      <c r="P29" s="832"/>
      <c r="Q29" s="831"/>
      <c r="R29" s="832"/>
      <c r="S29" s="21"/>
    </row>
    <row r="30" spans="1:19" ht="18" customHeight="1" x14ac:dyDescent="0.2">
      <c r="A30" s="19"/>
      <c r="B30" s="20"/>
      <c r="C30" s="2098" t="str">
        <f>HydroRefineryCalcs!C1019</f>
        <v>Gasoline Blending</v>
      </c>
      <c r="D30" s="2099"/>
      <c r="E30" s="831"/>
      <c r="F30" s="832"/>
      <c r="G30" s="831"/>
      <c r="H30" s="832">
        <f>(G30*1000)*'Energy &amp; Unit Conversions'!$G$82*'Energy &amp; Unit Conversions'!$P$25</f>
        <v>0</v>
      </c>
      <c r="I30" s="831"/>
      <c r="J30" s="832">
        <f>I30*'Energy &amp; Unit Conversions'!$E$70</f>
        <v>0</v>
      </c>
      <c r="K30" s="831"/>
      <c r="L30" s="832">
        <f>K30*'Energy &amp; Unit Conversions'!$Q$26</f>
        <v>0</v>
      </c>
      <c r="M30" s="831"/>
      <c r="N30" s="832">
        <f>M30*'Energy &amp; Unit Conversions'!$Q$27</f>
        <v>0</v>
      </c>
      <c r="O30" s="831"/>
      <c r="P30" s="832"/>
      <c r="Q30" s="831"/>
      <c r="R30" s="832"/>
      <c r="S30" s="21"/>
    </row>
    <row r="31" spans="1:19" ht="18" customHeight="1" x14ac:dyDescent="0.2">
      <c r="A31" s="19"/>
      <c r="B31" s="20"/>
      <c r="C31" s="2100" t="str">
        <f>HydroRefineryCalcs!C1033</f>
        <v>Fuel Gas treatment, Sulfur Recovery and Pollution control</v>
      </c>
      <c r="D31" s="2101"/>
      <c r="E31" s="831">
        <f ca="1">$F$35+$G$35*HydroRefineryCalcs!D1070+HydroRefineryCalcs!D1078+HydroRefineryCalcs!D1085</f>
        <v>813.96274999776745</v>
      </c>
      <c r="F31" s="832">
        <f ca="1">E31*'Energy &amp; Unit Conversions'!$G$88</f>
        <v>2930.2658999919627</v>
      </c>
      <c r="G31" s="831">
        <f ca="1">H31/(1000*'Energy &amp; Unit Conversions'!$G$82*'Energy &amp; Unit Conversions'!$P$25)</f>
        <v>40.664389176719077</v>
      </c>
      <c r="H31" s="832">
        <f ca="1">HydroRefineryCalcs!D1072+HydroRefineryCalcs!D1076</f>
        <v>39900.106887575319</v>
      </c>
      <c r="I31" s="831">
        <f ca="1">J31/'Energy &amp; Unit Conversions'!$E$70</f>
        <v>-11124.011718814918</v>
      </c>
      <c r="J31" s="832">
        <f ca="1">(HydroRefineryCalcs!D1081)*(1+F37)</f>
        <v>-36214.001439675245</v>
      </c>
      <c r="K31" s="831"/>
      <c r="L31" s="832"/>
      <c r="M31" s="831"/>
      <c r="N31" s="832"/>
      <c r="O31" s="831"/>
      <c r="P31" s="832"/>
      <c r="Q31" s="831"/>
      <c r="R31" s="832"/>
      <c r="S31" s="21"/>
    </row>
    <row r="32" spans="1:19" ht="18" customHeight="1" x14ac:dyDescent="0.2">
      <c r="A32" s="19"/>
      <c r="B32" s="20"/>
      <c r="C32" s="273" t="s">
        <v>598</v>
      </c>
      <c r="D32" s="274"/>
      <c r="E32" s="833">
        <f t="shared" ref="E32:L32" ca="1" si="0">SUM(E9:E31)</f>
        <v>296759.97440681659</v>
      </c>
      <c r="F32" s="834">
        <f ca="1">SUM(F9:F31)</f>
        <v>1068335.9078645399</v>
      </c>
      <c r="G32" s="833">
        <f t="shared" ca="1" si="0"/>
        <v>21604.445746200079</v>
      </c>
      <c r="H32" s="834">
        <f t="shared" ca="1" si="0"/>
        <v>21198392.794590976</v>
      </c>
      <c r="I32" s="833">
        <f t="shared" ca="1" si="0"/>
        <v>698734.46191278985</v>
      </c>
      <c r="J32" s="834">
        <f ca="1">SUM(J9:J31)</f>
        <v>2274716.30283002</v>
      </c>
      <c r="K32" s="833">
        <f t="shared" ca="1" si="0"/>
        <v>77048.693878444319</v>
      </c>
      <c r="L32" s="834">
        <f t="shared" ca="1" si="0"/>
        <v>9789577.3055836502</v>
      </c>
      <c r="M32" s="833">
        <f t="shared" ref="M32:R32" ca="1" si="1">SUM(M9:M31)</f>
        <v>242602.85485445199</v>
      </c>
      <c r="N32" s="834">
        <f t="shared" ca="1" si="1"/>
        <v>11377714.671218034</v>
      </c>
      <c r="O32" s="833">
        <f t="shared" ca="1" si="1"/>
        <v>49946.755867475033</v>
      </c>
      <c r="P32" s="834">
        <f t="shared" ca="1" si="1"/>
        <v>6346085.8726452049</v>
      </c>
      <c r="Q32" s="833">
        <f t="shared" ca="1" si="1"/>
        <v>1.2170947562879799E-15</v>
      </c>
      <c r="R32" s="834">
        <f t="shared" ca="1" si="1"/>
        <v>3.5910758083651294E-14</v>
      </c>
      <c r="S32" s="21"/>
    </row>
    <row r="33" spans="1:19" ht="18" customHeight="1" x14ac:dyDescent="0.2">
      <c r="A33" s="19"/>
      <c r="B33" s="20"/>
      <c r="C33" s="31"/>
      <c r="D33" s="31"/>
      <c r="E33" s="257"/>
      <c r="F33" s="257"/>
      <c r="G33" s="257"/>
      <c r="H33" s="257"/>
      <c r="I33" s="257"/>
      <c r="J33" s="257"/>
      <c r="K33" s="257"/>
      <c r="L33" s="257"/>
      <c r="M33" s="257"/>
      <c r="N33" s="257"/>
      <c r="O33" s="257"/>
      <c r="P33" s="257"/>
      <c r="Q33" s="257"/>
      <c r="R33" s="257"/>
      <c r="S33" s="21"/>
    </row>
    <row r="34" spans="1:19" ht="18" customHeight="1" x14ac:dyDescent="0.2">
      <c r="A34" s="19"/>
      <c r="B34" s="20"/>
      <c r="C34" s="942" t="s">
        <v>167</v>
      </c>
      <c r="D34" s="257"/>
      <c r="E34" s="257"/>
      <c r="F34" s="257"/>
      <c r="G34" s="257"/>
      <c r="H34" s="257"/>
      <c r="I34" s="251"/>
      <c r="J34" s="31"/>
      <c r="K34" s="31"/>
      <c r="L34" s="31"/>
      <c r="M34" s="31"/>
      <c r="N34" s="31"/>
      <c r="O34" s="31"/>
      <c r="P34" s="31"/>
      <c r="Q34" s="31"/>
      <c r="R34" s="31"/>
      <c r="S34" s="21"/>
    </row>
    <row r="35" spans="1:19" ht="18" customHeight="1" x14ac:dyDescent="0.2">
      <c r="A35" s="19"/>
      <c r="B35" s="20"/>
      <c r="C35" s="943" t="s">
        <v>166</v>
      </c>
      <c r="D35" s="944"/>
      <c r="E35" s="944"/>
      <c r="F35" s="945">
        <v>0</v>
      </c>
      <c r="G35" s="946">
        <v>1</v>
      </c>
      <c r="H35" s="947"/>
      <c r="I35" s="251"/>
      <c r="J35" s="31"/>
      <c r="K35" s="31"/>
      <c r="L35" s="31"/>
      <c r="M35" s="31"/>
      <c r="N35" s="31"/>
      <c r="O35" s="31"/>
      <c r="P35" s="31"/>
      <c r="Q35" s="31"/>
      <c r="R35" s="31"/>
      <c r="S35" s="21"/>
    </row>
    <row r="36" spans="1:19" ht="18" customHeight="1" x14ac:dyDescent="0.2">
      <c r="A36" s="19"/>
      <c r="B36" s="20"/>
      <c r="C36" s="948" t="s">
        <v>168</v>
      </c>
      <c r="D36" s="257"/>
      <c r="E36" s="257"/>
      <c r="F36" s="695">
        <f>Constants!H320</f>
        <v>0.05</v>
      </c>
      <c r="G36" s="31" t="s">
        <v>169</v>
      </c>
      <c r="H36" s="2097"/>
      <c r="I36" s="251"/>
      <c r="J36" s="31"/>
      <c r="K36" s="31"/>
      <c r="L36" s="31"/>
      <c r="M36" s="31"/>
      <c r="N36" s="31"/>
      <c r="O36" s="31"/>
      <c r="P36" s="31"/>
      <c r="Q36" s="31"/>
      <c r="R36" s="31"/>
      <c r="S36" s="21"/>
    </row>
    <row r="37" spans="1:19" ht="18" customHeight="1" x14ac:dyDescent="0.2">
      <c r="A37" s="19"/>
      <c r="B37" s="20"/>
      <c r="C37" s="949" t="s">
        <v>197</v>
      </c>
      <c r="D37" s="950"/>
      <c r="E37" s="950"/>
      <c r="F37" s="951">
        <f>HydroRefineryCalcs!D1097</f>
        <v>5.7039149598133256E-2</v>
      </c>
      <c r="G37" s="950" t="str">
        <f>CokingRefineryCalcs!E1036</f>
        <v>kg steam/kg steam produced</v>
      </c>
      <c r="H37" s="952"/>
      <c r="I37" s="251"/>
      <c r="J37" s="31"/>
      <c r="K37" s="31"/>
      <c r="L37" s="31"/>
      <c r="M37" s="31"/>
      <c r="N37" s="31"/>
      <c r="O37" s="31"/>
      <c r="P37" s="31"/>
      <c r="Q37" s="31"/>
      <c r="R37" s="31"/>
      <c r="S37" s="21"/>
    </row>
    <row r="38" spans="1:19" ht="18" customHeight="1" x14ac:dyDescent="0.2">
      <c r="A38" s="19"/>
      <c r="B38" s="20"/>
      <c r="C38" s="31"/>
      <c r="D38" s="72"/>
      <c r="E38" s="31"/>
      <c r="F38" s="251"/>
      <c r="G38" s="31"/>
      <c r="H38" s="251"/>
      <c r="I38" s="251"/>
      <c r="J38" s="31"/>
      <c r="K38" s="31"/>
      <c r="L38" s="31"/>
      <c r="M38" s="31"/>
      <c r="N38" s="31"/>
      <c r="O38" s="31"/>
      <c r="P38" s="31"/>
      <c r="Q38" s="31"/>
      <c r="R38" s="31"/>
      <c r="S38" s="21"/>
    </row>
    <row r="39" spans="1:19" ht="18" customHeight="1" x14ac:dyDescent="0.2">
      <c r="A39" s="19"/>
      <c r="B39" s="20"/>
      <c r="C39" s="2392" t="s">
        <v>1277</v>
      </c>
      <c r="D39" s="2393"/>
      <c r="E39" s="257"/>
      <c r="F39" s="257"/>
      <c r="G39" s="257"/>
      <c r="H39" s="257"/>
      <c r="I39" s="257"/>
      <c r="J39" s="257"/>
      <c r="K39" s="257"/>
      <c r="L39" s="257"/>
      <c r="M39" s="257"/>
      <c r="N39" s="31"/>
      <c r="O39" s="31"/>
      <c r="P39" s="31"/>
      <c r="Q39" s="31"/>
      <c r="R39" s="31"/>
      <c r="S39" s="21"/>
    </row>
    <row r="40" spans="1:19" ht="18" customHeight="1" x14ac:dyDescent="0.2">
      <c r="A40" s="19"/>
      <c r="B40" s="20"/>
      <c r="C40" s="2394"/>
      <c r="D40" s="2395"/>
      <c r="E40" s="2385" t="s">
        <v>1133</v>
      </c>
      <c r="F40" s="2386"/>
      <c r="G40" s="2386"/>
      <c r="H40" s="2386"/>
      <c r="I40" s="2386"/>
      <c r="J40" s="2387"/>
      <c r="K40" s="2385" t="s">
        <v>1131</v>
      </c>
      <c r="L40" s="2386"/>
      <c r="M40" s="2387"/>
      <c r="N40" s="31"/>
      <c r="O40" s="31"/>
      <c r="P40" s="31"/>
      <c r="Q40" s="31"/>
      <c r="R40" s="31"/>
      <c r="S40" s="21"/>
    </row>
    <row r="41" spans="1:19" ht="18" customHeight="1" x14ac:dyDescent="0.2">
      <c r="A41" s="19"/>
      <c r="B41" s="20"/>
      <c r="C41" s="2421" t="s">
        <v>170</v>
      </c>
      <c r="D41" s="2422"/>
      <c r="E41" s="2401" t="s">
        <v>1143</v>
      </c>
      <c r="F41" s="2402" t="s">
        <v>1130</v>
      </c>
      <c r="G41" s="2402" t="s">
        <v>1551</v>
      </c>
      <c r="H41" s="2402" t="s">
        <v>207</v>
      </c>
      <c r="I41" s="2402" t="s">
        <v>703</v>
      </c>
      <c r="J41" s="2405" t="s">
        <v>208</v>
      </c>
      <c r="K41" s="2401" t="s">
        <v>1552</v>
      </c>
      <c r="L41" s="2402" t="s">
        <v>202</v>
      </c>
      <c r="M41" s="2405" t="s">
        <v>1132</v>
      </c>
      <c r="N41" s="31"/>
      <c r="O41" s="31"/>
      <c r="P41" s="31"/>
      <c r="Q41" s="31"/>
      <c r="R41" s="31"/>
      <c r="S41" s="21"/>
    </row>
    <row r="42" spans="1:19" ht="18" customHeight="1" x14ac:dyDescent="0.2">
      <c r="A42" s="19"/>
      <c r="B42" s="20"/>
      <c r="C42" s="2425"/>
      <c r="D42" s="2426"/>
      <c r="E42" s="2401"/>
      <c r="F42" s="2402"/>
      <c r="G42" s="2402"/>
      <c r="H42" s="2402"/>
      <c r="I42" s="2402"/>
      <c r="J42" s="2405"/>
      <c r="K42" s="2401"/>
      <c r="L42" s="2402"/>
      <c r="M42" s="2405"/>
      <c r="N42" s="31"/>
      <c r="O42" s="31"/>
      <c r="P42" s="31"/>
      <c r="Q42" s="31"/>
      <c r="R42" s="31"/>
      <c r="S42" s="21"/>
    </row>
    <row r="43" spans="1:19" ht="18" customHeight="1" x14ac:dyDescent="0.2">
      <c r="A43" s="19"/>
      <c r="B43" s="20"/>
      <c r="C43" s="2419"/>
      <c r="D43" s="2420"/>
      <c r="E43" s="264" t="s">
        <v>1129</v>
      </c>
      <c r="F43" s="269" t="s">
        <v>1129</v>
      </c>
      <c r="G43" s="269" t="s">
        <v>1129</v>
      </c>
      <c r="H43" s="269" t="s">
        <v>1129</v>
      </c>
      <c r="I43" s="269" t="s">
        <v>1129</v>
      </c>
      <c r="J43" s="265" t="s">
        <v>1129</v>
      </c>
      <c r="K43" s="264" t="s">
        <v>1129</v>
      </c>
      <c r="L43" s="269" t="s">
        <v>1129</v>
      </c>
      <c r="M43" s="265" t="s">
        <v>1129</v>
      </c>
      <c r="N43" s="31"/>
      <c r="O43" s="31"/>
      <c r="P43" s="31"/>
      <c r="Q43" s="31"/>
      <c r="R43" s="31"/>
      <c r="S43" s="21"/>
    </row>
    <row r="44" spans="1:19" ht="18" customHeight="1" x14ac:dyDescent="0.2">
      <c r="A44" s="19"/>
      <c r="B44" s="20"/>
      <c r="C44" s="2098" t="str">
        <f t="shared" ref="C44:C64" si="2">C9</f>
        <v>Desalter</v>
      </c>
      <c r="D44" s="2099"/>
      <c r="E44" s="282">
        <f ca="1">F9*'Emission Factors'!$G$53/'Energy &amp; Unit Conversions'!$E$94</f>
        <v>0.82359321901136406</v>
      </c>
      <c r="F44" s="283">
        <f>IF((H9-N9)&gt;0,(H9-N9),0)*('Emission Factors'!$J$76+'Emission Factors'!$K$76)/'Energy &amp; Unit Conversions'!$E$94</f>
        <v>0</v>
      </c>
      <c r="G44" s="283">
        <f ca="1">IF((H9-N9)&gt;0,N9,H9)*('Emission Factors'!$J$203+'Emission Factors'!$K$203)/'Energy &amp; Unit Conversions'!$E$94</f>
        <v>0</v>
      </c>
      <c r="H44" s="283">
        <f>IF(J9&gt;0,J9*'Emission Factors'!$F$100/'Energy &amp; Unit Conversions'!$E$94,0)</f>
        <v>0</v>
      </c>
      <c r="I44" s="283">
        <f>R9*'Emission Factors'!$E$177/'Energy &amp; Unit Conversions'!$E$94</f>
        <v>0</v>
      </c>
      <c r="J44" s="284">
        <f>L9*'Emission Factors'!$H$135/'Energy &amp; Unit Conversions'!$E$94</f>
        <v>0</v>
      </c>
      <c r="K44" s="282">
        <f ca="1">IF((H9-N9)&gt;0,0,(H9-N9))*((('Emission Factors'!$J$76+'Emission Factors'!$K$76)/'Energy &amp; Unit Conversions'!$E$94)-(('Emission Factors'!$J$203+'Emission Factors'!$K$203)/'Energy &amp; Unit Conversions'!$E$94))</f>
        <v>0</v>
      </c>
      <c r="L44" s="283">
        <f>-P9*'Emission Factors'!$H$135/'Energy &amp; Unit Conversions'!$E$94</f>
        <v>0</v>
      </c>
      <c r="M44" s="284">
        <f>IF(J9&lt;0,J9*'Emission Factors'!$F$100/'Energy &amp; Unit Conversions'!$E$94,0)</f>
        <v>0</v>
      </c>
      <c r="N44" s="31"/>
      <c r="O44" s="31"/>
      <c r="P44" s="31"/>
      <c r="Q44" s="31"/>
      <c r="R44" s="31"/>
      <c r="S44" s="21"/>
    </row>
    <row r="45" spans="1:19" ht="18" customHeight="1" x14ac:dyDescent="0.2">
      <c r="A45" s="19"/>
      <c r="B45" s="20"/>
      <c r="C45" s="2098" t="str">
        <f t="shared" si="2"/>
        <v>Atmospheric Tower Furnace</v>
      </c>
      <c r="D45" s="2099"/>
      <c r="E45" s="282">
        <f>F10*'Emission Factors'!$G$53/'Energy &amp; Unit Conversions'!$E$94</f>
        <v>0</v>
      </c>
      <c r="F45" s="283">
        <f ca="1">IF((H10-N10)&gt;0,(H10-N10),0)*('Emission Factors'!$J$76+'Emission Factors'!$K$76)/'Energy &amp; Unit Conversions'!$E$94</f>
        <v>283.96539814850593</v>
      </c>
      <c r="G45" s="283">
        <f ca="1">IF((H10-N10)&gt;0,N10,H10)*('Emission Factors'!$J$203+'Emission Factors'!$K$203)/'Energy &amp; Unit Conversions'!$E$94</f>
        <v>0</v>
      </c>
      <c r="H45" s="283">
        <f>J10*'Emission Factors'!$F$100/'Energy &amp; Unit Conversions'!$E$94</f>
        <v>0</v>
      </c>
      <c r="I45" s="283">
        <f>R10*'Emission Factors'!$E$177/'Energy &amp; Unit Conversions'!$E$94</f>
        <v>0</v>
      </c>
      <c r="J45" s="284">
        <f>L10*'Emission Factors'!$H$135/'Energy &amp; Unit Conversions'!$E$94</f>
        <v>0</v>
      </c>
      <c r="K45" s="282">
        <f ca="1">IF((H10-N10)&gt;0,0,(H10-N10))*((('Emission Factors'!$J$76+'Emission Factors'!$K$76)/'Energy &amp; Unit Conversions'!$E$94)-(('Emission Factors'!$J$203+'Emission Factors'!$K$203)/'Energy &amp; Unit Conversions'!$E$94))</f>
        <v>0</v>
      </c>
      <c r="L45" s="283">
        <f>-P10*'Emission Factors'!$H$135/'Energy &amp; Unit Conversions'!$E$94</f>
        <v>0</v>
      </c>
      <c r="M45" s="284">
        <f>IF(J10&lt;0,J10*'Emission Factors'!$F$100/'Energy &amp; Unit Conversions'!$E$94,0)</f>
        <v>0</v>
      </c>
      <c r="N45" s="31"/>
      <c r="O45" s="31"/>
      <c r="P45" s="31"/>
      <c r="Q45" s="31"/>
      <c r="R45" s="31"/>
      <c r="S45" s="21"/>
    </row>
    <row r="46" spans="1:19" ht="18" customHeight="1" x14ac:dyDescent="0.2">
      <c r="A46" s="19"/>
      <c r="B46" s="20"/>
      <c r="C46" s="2098" t="str">
        <f t="shared" si="2"/>
        <v>Atmospheric Tower</v>
      </c>
      <c r="D46" s="2099"/>
      <c r="E46" s="282">
        <f ca="1">F11*'Emission Factors'!$G$53/'Energy &amp; Unit Conversions'!$E$94</f>
        <v>4.9415593140681837</v>
      </c>
      <c r="F46" s="283">
        <f>IF((H11-N11)&gt;0,(H11-N11),0)*('Emission Factors'!$J$76+'Emission Factors'!$K$76)/'Energy &amp; Unit Conversions'!$E$94</f>
        <v>0</v>
      </c>
      <c r="G46" s="283">
        <f ca="1">IF((H11-N11)&gt;0,N11,H11)*('Emission Factors'!$J$203+'Emission Factors'!$K$203)/'Energy &amp; Unit Conversions'!$E$94</f>
        <v>0</v>
      </c>
      <c r="H46" s="283">
        <f ca="1">J11*'Emission Factors'!$F$100/'Energy &amp; Unit Conversions'!$E$94</f>
        <v>59.083155958973833</v>
      </c>
      <c r="I46" s="283">
        <f>R11*'Emission Factors'!$E$177/'Energy &amp; Unit Conversions'!$E$94</f>
        <v>0</v>
      </c>
      <c r="J46" s="284">
        <f>L11*'Emission Factors'!$H$135/'Energy &amp; Unit Conversions'!$E$94</f>
        <v>0</v>
      </c>
      <c r="K46" s="282">
        <f ca="1">IF((H11-N11)&gt;0,0,(H11-N11))*((('Emission Factors'!$J$76+'Emission Factors'!$K$76)/'Energy &amp; Unit Conversions'!$E$94)-(('Emission Factors'!$J$203+'Emission Factors'!$K$203)/'Energy &amp; Unit Conversions'!$E$94))</f>
        <v>0</v>
      </c>
      <c r="L46" s="283">
        <f>-P11*'Emission Factors'!$H$135/'Energy &amp; Unit Conversions'!$E$94</f>
        <v>0</v>
      </c>
      <c r="M46" s="284">
        <f ca="1">IF(J11&lt;0,J11*'Emission Factors'!$F$100/'Energy &amp; Unit Conversions'!$E$94,0)</f>
        <v>0</v>
      </c>
      <c r="N46" s="31"/>
      <c r="O46" s="31"/>
      <c r="P46" s="31"/>
      <c r="Q46" s="31"/>
      <c r="R46" s="31"/>
      <c r="S46" s="21"/>
    </row>
    <row r="47" spans="1:19" ht="18" customHeight="1" x14ac:dyDescent="0.2">
      <c r="A47" s="19"/>
      <c r="B47" s="20"/>
      <c r="C47" s="2098" t="str">
        <f t="shared" si="2"/>
        <v>Vacuum Tower Furnace</v>
      </c>
      <c r="D47" s="2099"/>
      <c r="E47" s="282">
        <f>F12*'Emission Factors'!$G$53/'Energy &amp; Unit Conversions'!$E$94</f>
        <v>0</v>
      </c>
      <c r="F47" s="283">
        <f ca="1">IF((H12-N12)&gt;0,(H12-N12),0)*('Emission Factors'!$J$76+'Emission Factors'!$K$76)/'Energy &amp; Unit Conversions'!$E$94</f>
        <v>4.4598510206424369E-19</v>
      </c>
      <c r="G47" s="283">
        <f ca="1">IF((H12-N12)&gt;0,N12,H12)*('Emission Factors'!$J$203+'Emission Factors'!$K$203)/'Energy &amp; Unit Conversions'!$E$94</f>
        <v>0</v>
      </c>
      <c r="H47" s="283">
        <f>J12*'Emission Factors'!$F$100/'Energy &amp; Unit Conversions'!$E$94</f>
        <v>0</v>
      </c>
      <c r="I47" s="283">
        <f>R12*'Emission Factors'!$E$177/'Energy &amp; Unit Conversions'!$E$94</f>
        <v>0</v>
      </c>
      <c r="J47" s="284">
        <f>L12*'Emission Factors'!$H$135/'Energy &amp; Unit Conversions'!$E$94</f>
        <v>0</v>
      </c>
      <c r="K47" s="282">
        <f ca="1">IF((H12-N12)&gt;0,0,(H12-N12))*((('Emission Factors'!$J$76+'Emission Factors'!$K$76)/'Energy &amp; Unit Conversions'!$E$94)-(('Emission Factors'!$J$203+'Emission Factors'!$K$203)/'Energy &amp; Unit Conversions'!$E$94))</f>
        <v>0</v>
      </c>
      <c r="L47" s="283">
        <f>-P12*'Emission Factors'!$H$135/'Energy &amp; Unit Conversions'!$E$94</f>
        <v>0</v>
      </c>
      <c r="M47" s="284">
        <f>IF(J12&lt;0,J12*'Emission Factors'!$F$100/'Energy &amp; Unit Conversions'!$E$94,0)</f>
        <v>0</v>
      </c>
      <c r="N47" s="31"/>
      <c r="O47" s="31"/>
      <c r="P47" s="31"/>
      <c r="Q47" s="31"/>
      <c r="R47" s="31"/>
      <c r="S47" s="21"/>
    </row>
    <row r="48" spans="1:19" ht="18" customHeight="1" x14ac:dyDescent="0.2">
      <c r="A48" s="19"/>
      <c r="B48" s="20"/>
      <c r="C48" s="2098" t="str">
        <f t="shared" si="2"/>
        <v>Vacuum Tower</v>
      </c>
      <c r="D48" s="2099"/>
      <c r="E48" s="282">
        <f ca="1">F13*'Emission Factors'!$G$53/'Energy &amp; Unit Conversions'!$E$94</f>
        <v>0</v>
      </c>
      <c r="F48" s="283">
        <f>IF((H13-N13)&gt;0,(H13-N13),0)*('Emission Factors'!$J$76+'Emission Factors'!$K$76)/'Energy &amp; Unit Conversions'!$E$94</f>
        <v>0</v>
      </c>
      <c r="G48" s="283">
        <f ca="1">IF((H13-N13)&gt;0,N13,H13)*('Emission Factors'!$J$203+'Emission Factors'!$K$203)/'Energy &amp; Unit Conversions'!$E$94</f>
        <v>0</v>
      </c>
      <c r="H48" s="283">
        <f ca="1">J13*'Emission Factors'!$F$100/'Energy &amp; Unit Conversions'!$E$94</f>
        <v>1.7170101927159425E-17</v>
      </c>
      <c r="I48" s="283">
        <f>R13*'Emission Factors'!$E$177/'Energy &amp; Unit Conversions'!$E$94</f>
        <v>0</v>
      </c>
      <c r="J48" s="284">
        <f>L13*'Emission Factors'!$H$135/'Energy &amp; Unit Conversions'!$E$94</f>
        <v>0</v>
      </c>
      <c r="K48" s="282">
        <f ca="1">IF((H13-N13)&gt;0,0,(H13-N13))*((('Emission Factors'!$J$76+'Emission Factors'!$K$76)/'Energy &amp; Unit Conversions'!$E$94)-(('Emission Factors'!$J$203+'Emission Factors'!$K$203)/'Energy &amp; Unit Conversions'!$E$94))</f>
        <v>0</v>
      </c>
      <c r="L48" s="283">
        <f>-P13*'Emission Factors'!$H$135/'Energy &amp; Unit Conversions'!$E$94</f>
        <v>0</v>
      </c>
      <c r="M48" s="284">
        <f ca="1">IF(J13&lt;0,J13*'Emission Factors'!$F$100/'Energy &amp; Unit Conversions'!$E$94,0)</f>
        <v>0</v>
      </c>
      <c r="N48" s="31"/>
      <c r="O48" s="31"/>
      <c r="P48" s="31"/>
      <c r="Q48" s="31"/>
      <c r="R48" s="31"/>
      <c r="S48" s="21"/>
    </row>
    <row r="49" spans="1:19" ht="18" customHeight="1" x14ac:dyDescent="0.2">
      <c r="A49" s="19"/>
      <c r="B49" s="20"/>
      <c r="C49" s="2098" t="str">
        <f t="shared" si="2"/>
        <v>Naphtha Hydrotreater</v>
      </c>
      <c r="D49" s="2099"/>
      <c r="E49" s="282">
        <f ca="1">F14*'Emission Factors'!$G$53/'Energy &amp; Unit Conversions'!$E$94</f>
        <v>57.514509816423875</v>
      </c>
      <c r="F49" s="283">
        <f ca="1">IF((H14-N14)&gt;0,(H14-N14),0)*('Emission Factors'!$J$76+'Emission Factors'!$K$76)/'Energy &amp; Unit Conversions'!$E$94</f>
        <v>232.66305459420607</v>
      </c>
      <c r="G49" s="283">
        <f ca="1">IF((H14-N14)&gt;0,N14,H14)*('Emission Factors'!$J$203+'Emission Factors'!$K$203)/'Energy &amp; Unit Conversions'!$E$94</f>
        <v>12.112903237159923</v>
      </c>
      <c r="H49" s="283">
        <f ca="1">J14*'Emission Factors'!$F$100/'Energy &amp; Unit Conversions'!$E$94</f>
        <v>18.751830850344483</v>
      </c>
      <c r="I49" s="283">
        <f>R14*'Emission Factors'!$E$177/'Energy &amp; Unit Conversions'!$E$94</f>
        <v>0</v>
      </c>
      <c r="J49" s="284">
        <f ca="1">L14*'Emission Factors'!$H$135/'Energy &amp; Unit Conversions'!$E$94</f>
        <v>572.42510569852868</v>
      </c>
      <c r="K49" s="282">
        <f ca="1">IF((H14-N14)&gt;0,0,(H14-N14))*((('Emission Factors'!$J$76+'Emission Factors'!$K$76)/'Energy &amp; Unit Conversions'!$E$94)-(('Emission Factors'!$J$203+'Emission Factors'!$K$203)/'Energy &amp; Unit Conversions'!$E$94))</f>
        <v>0</v>
      </c>
      <c r="L49" s="283">
        <f>-P14*'Emission Factors'!$H$135/'Energy &amp; Unit Conversions'!$E$94</f>
        <v>0</v>
      </c>
      <c r="M49" s="284">
        <f ca="1">IF(J14&lt;0,J14*'Emission Factors'!$F$100/'Energy &amp; Unit Conversions'!$E$94,0)</f>
        <v>0</v>
      </c>
      <c r="N49" s="31"/>
      <c r="O49" s="31"/>
      <c r="P49" s="31"/>
      <c r="Q49" s="31"/>
      <c r="R49" s="31"/>
      <c r="S49" s="21"/>
    </row>
    <row r="50" spans="1:19" ht="18" customHeight="1" x14ac:dyDescent="0.2">
      <c r="A50" s="19"/>
      <c r="B50" s="20"/>
      <c r="C50" s="2098" t="str">
        <f t="shared" si="2"/>
        <v>Kerosene Hydrotreater</v>
      </c>
      <c r="D50" s="2099"/>
      <c r="E50" s="282">
        <f ca="1">F15*'Emission Factors'!$G$53/'Energy &amp; Unit Conversions'!$E$94</f>
        <v>44.648916151424345</v>
      </c>
      <c r="F50" s="283">
        <f ca="1">IF((H15-N15)&gt;0,(H15-N15),0)*('Emission Factors'!$J$76+'Emission Factors'!$K$76)/'Energy &amp; Unit Conversions'!$E$94</f>
        <v>263.54740004012791</v>
      </c>
      <c r="G50" s="283">
        <f ca="1">IF((H15-N15)&gt;0,N15,H15)*('Emission Factors'!$J$203+'Emission Factors'!$K$203)/'Energy &amp; Unit Conversions'!$E$94</f>
        <v>20.256413376918204</v>
      </c>
      <c r="H50" s="283">
        <f ca="1">J15*'Emission Factors'!$F$100/'Energy &amp; Unit Conversions'!$E$94</f>
        <v>23.291483863674006</v>
      </c>
      <c r="I50" s="283">
        <f>R15*'Emission Factors'!$E$177/'Energy &amp; Unit Conversions'!$E$94</f>
        <v>0</v>
      </c>
      <c r="J50" s="284">
        <f ca="1">L15*'Emission Factors'!$H$135/'Energy &amp; Unit Conversions'!$E$94</f>
        <v>228.09106642811687</v>
      </c>
      <c r="K50" s="282">
        <f ca="1">IF((H15-N15)&gt;0,0,(H15-N15))*((('Emission Factors'!$J$76+'Emission Factors'!$K$76)/'Energy &amp; Unit Conversions'!$E$94)-(('Emission Factors'!$J$203+'Emission Factors'!$K$203)/'Energy &amp; Unit Conversions'!$E$94))</f>
        <v>0</v>
      </c>
      <c r="L50" s="283">
        <f>-P15*'Emission Factors'!$H$135/'Energy &amp; Unit Conversions'!$E$94</f>
        <v>0</v>
      </c>
      <c r="M50" s="284">
        <f ca="1">IF(J15&lt;0,J15*'Emission Factors'!$F$100/'Energy &amp; Unit Conversions'!$E$94,0)</f>
        <v>0</v>
      </c>
      <c r="N50" s="31"/>
      <c r="O50" s="31"/>
      <c r="P50" s="31"/>
      <c r="Q50" s="31"/>
      <c r="R50" s="31"/>
      <c r="S50" s="21"/>
    </row>
    <row r="51" spans="1:19" ht="18" customHeight="1" x14ac:dyDescent="0.2">
      <c r="A51" s="19"/>
      <c r="B51" s="20"/>
      <c r="C51" s="2098" t="str">
        <f t="shared" si="2"/>
        <v>Kerosene Merox Unit</v>
      </c>
      <c r="D51" s="2099"/>
      <c r="E51" s="282">
        <f ca="1">F16*'Emission Factors'!$G$53/'Energy &amp; Unit Conversions'!$E$94</f>
        <v>1.5340406248714036</v>
      </c>
      <c r="F51" s="283">
        <f>IF((H16-N16)&gt;0,(H16-N16),0)*('Emission Factors'!$J$76+'Emission Factors'!$K$76)/'Energy &amp; Unit Conversions'!$E$94</f>
        <v>0</v>
      </c>
      <c r="G51" s="283">
        <f ca="1">IF((H16-N16)&gt;0,N16,H16)*('Emission Factors'!$J$203+'Emission Factors'!$K$203)/'Energy &amp; Unit Conversions'!$E$94</f>
        <v>0</v>
      </c>
      <c r="H51" s="283">
        <f>J16*'Emission Factors'!$F$100/'Energy &amp; Unit Conversions'!$E$94</f>
        <v>0</v>
      </c>
      <c r="I51" s="283">
        <f>R16*'Emission Factors'!$E$177/'Energy &amp; Unit Conversions'!$E$94</f>
        <v>0</v>
      </c>
      <c r="J51" s="284">
        <f>L16*'Emission Factors'!$H$135/'Energy &amp; Unit Conversions'!$E$94</f>
        <v>0</v>
      </c>
      <c r="K51" s="282">
        <f ca="1">IF((H16-N16)&gt;0,0,(H16-N16))*((('Emission Factors'!$J$76+'Emission Factors'!$K$76)/'Energy &amp; Unit Conversions'!$E$94)-(('Emission Factors'!$J$203+'Emission Factors'!$K$203)/'Energy &amp; Unit Conversions'!$E$94))</f>
        <v>0</v>
      </c>
      <c r="L51" s="283">
        <f>-P16*'Emission Factors'!$H$135/'Energy &amp; Unit Conversions'!$E$94</f>
        <v>0</v>
      </c>
      <c r="M51" s="284">
        <f>IF(J16&lt;0,J16*'Emission Factors'!$F$100/'Energy &amp; Unit Conversions'!$E$94,0)</f>
        <v>0</v>
      </c>
      <c r="N51" s="31"/>
      <c r="O51" s="31"/>
      <c r="P51" s="31"/>
      <c r="Q51" s="31"/>
      <c r="R51" s="31"/>
      <c r="S51" s="21"/>
    </row>
    <row r="52" spans="1:19" ht="18" customHeight="1" x14ac:dyDescent="0.2">
      <c r="A52" s="19"/>
      <c r="B52" s="20"/>
      <c r="C52" s="2098" t="str">
        <f t="shared" si="2"/>
        <v>Gas Oil Hydrocracker</v>
      </c>
      <c r="D52" s="2099"/>
      <c r="E52" s="282">
        <f ca="1">F17*'Emission Factors'!$G$53/'Energy &amp; Unit Conversions'!$E$94</f>
        <v>0</v>
      </c>
      <c r="F52" s="283">
        <f ca="1">IF((H17-N17)&gt;0,(H17-N17),0)*('Emission Factors'!$J$76+'Emission Factors'!$K$76)/'Energy &amp; Unit Conversions'!$E$94</f>
        <v>0</v>
      </c>
      <c r="G52" s="283">
        <f ca="1">IF((H17-N17)&gt;0,N17,H17)*('Emission Factors'!$J$203+'Emission Factors'!$K$203)/'Energy &amp; Unit Conversions'!$E$94</f>
        <v>7.0633802759813424E-11</v>
      </c>
      <c r="H52" s="283">
        <f>J17*'Emission Factors'!$F$100/'Energy &amp; Unit Conversions'!$E$94</f>
        <v>0</v>
      </c>
      <c r="I52" s="283">
        <f>R17*'Emission Factors'!$E$177/'Energy &amp; Unit Conversions'!$E$94</f>
        <v>0</v>
      </c>
      <c r="J52" s="284">
        <f ca="1">L17*'Emission Factors'!$H$135/'Energy &amp; Unit Conversions'!$E$94</f>
        <v>6.1062784659357597E-10</v>
      </c>
      <c r="K52" s="282">
        <f ca="1">IF((H17-N17)&gt;0,0,(H17-N17))*((('Emission Factors'!$J$76+'Emission Factors'!$K$76)/'Energy &amp; Unit Conversions'!$E$94)-(('Emission Factors'!$J$203+'Emission Factors'!$K$203)/'Energy &amp; Unit Conversions'!$E$94))</f>
        <v>-4.0322930672102351E-12</v>
      </c>
      <c r="L52" s="283">
        <f>-P17*'Emission Factors'!$H$135/'Energy &amp; Unit Conversions'!$E$94</f>
        <v>0</v>
      </c>
      <c r="M52" s="284">
        <f>IF(J17&lt;0,J17*'Emission Factors'!$F$100/'Energy &amp; Unit Conversions'!$E$94,0)</f>
        <v>0</v>
      </c>
      <c r="N52" s="31"/>
      <c r="O52" s="31"/>
      <c r="P52" s="31"/>
      <c r="Q52" s="31"/>
      <c r="R52" s="31"/>
      <c r="S52" s="21"/>
    </row>
    <row r="53" spans="1:19" ht="18" customHeight="1" x14ac:dyDescent="0.2">
      <c r="A53" s="19"/>
      <c r="B53" s="20"/>
      <c r="C53" s="2098" t="str">
        <f t="shared" si="2"/>
        <v>Gas Oil Hydrocracker Fractionator</v>
      </c>
      <c r="D53" s="2099"/>
      <c r="E53" s="282">
        <f ca="1">F18*'Emission Factors'!$G$53/'Energy &amp; Unit Conversions'!$E$94</f>
        <v>0</v>
      </c>
      <c r="F53" s="283">
        <f>IF((H18-N18)&gt;0,(H18-N18),0)*('Emission Factors'!$J$76+'Emission Factors'!$K$76)/'Energy &amp; Unit Conversions'!$E$94</f>
        <v>0</v>
      </c>
      <c r="G53" s="283">
        <f ca="1">IF((H18-N18)&gt;0,N18,H18)*('Emission Factors'!$J$203+'Emission Factors'!$K$203)/'Energy &amp; Unit Conversions'!$E$94</f>
        <v>0</v>
      </c>
      <c r="H53" s="283">
        <f ca="1">J18*'Emission Factors'!$F$100/'Energy &amp; Unit Conversions'!$E$94</f>
        <v>7.4685097460253616E-11</v>
      </c>
      <c r="I53" s="283">
        <f>R18*'Emission Factors'!$E$177/'Energy &amp; Unit Conversions'!$E$94</f>
        <v>0</v>
      </c>
      <c r="J53" s="284">
        <f>L18*'Emission Factors'!$H$135/'Energy &amp; Unit Conversions'!$E$94</f>
        <v>0</v>
      </c>
      <c r="K53" s="282">
        <f ca="1">IF((H18-N18)&gt;0,0,(H18-N18))*((('Emission Factors'!$J$76+'Emission Factors'!$K$76)/'Energy &amp; Unit Conversions'!$E$94)-(('Emission Factors'!$J$203+'Emission Factors'!$K$203)/'Energy &amp; Unit Conversions'!$E$94))</f>
        <v>0</v>
      </c>
      <c r="L53" s="283">
        <f>-P18*'Emission Factors'!$H$135/'Energy &amp; Unit Conversions'!$E$94</f>
        <v>0</v>
      </c>
      <c r="M53" s="284">
        <f ca="1">IF(J18&lt;0,J18*'Emission Factors'!$F$100/'Energy &amp; Unit Conversions'!$E$94,0)</f>
        <v>0</v>
      </c>
      <c r="N53" s="31"/>
      <c r="O53" s="31"/>
      <c r="P53" s="31"/>
      <c r="Q53" s="31"/>
      <c r="R53" s="31"/>
      <c r="S53" s="21"/>
    </row>
    <row r="54" spans="1:19" ht="18" customHeight="1" x14ac:dyDescent="0.2">
      <c r="A54" s="19"/>
      <c r="B54" s="20"/>
      <c r="C54" s="2098" t="str">
        <f t="shared" si="2"/>
        <v>Diesel Hydrotreater</v>
      </c>
      <c r="D54" s="2099"/>
      <c r="E54" s="282">
        <f ca="1">F19*'Emission Factors'!$G$53/'Energy &amp; Unit Conversions'!$E$94</f>
        <v>20.800113399612222</v>
      </c>
      <c r="F54" s="283">
        <f ca="1">IF((H19-N19)&gt;0,(H19-N19),0)*('Emission Factors'!$J$76+'Emission Factors'!$K$76)/'Energy &amp; Unit Conversions'!$E$94</f>
        <v>122.2874825633636</v>
      </c>
      <c r="G54" s="283">
        <f ca="1">IF((H19-N19)&gt;0,N19,H19)*('Emission Factors'!$J$203+'Emission Factors'!$K$203)/'Energy &amp; Unit Conversions'!$E$94</f>
        <v>9.8705038459293046</v>
      </c>
      <c r="H54" s="283">
        <f ca="1">J19*'Emission Factors'!$F$100/'Energy &amp; Unit Conversions'!$E$94</f>
        <v>10.850554668933494</v>
      </c>
      <c r="I54" s="283">
        <f>R19*'Emission Factors'!$E$177/'Energy &amp; Unit Conversions'!$E$94</f>
        <v>0</v>
      </c>
      <c r="J54" s="284">
        <f ca="1">L19*'Emission Factors'!$H$135/'Energy &amp; Unit Conversions'!$E$94</f>
        <v>121.75015122877394</v>
      </c>
      <c r="K54" s="282">
        <f ca="1">IF((H19-N19)&gt;0,0,(H19-N19))*((('Emission Factors'!$J$76+'Emission Factors'!$K$76)/'Energy &amp; Unit Conversions'!$E$94)-(('Emission Factors'!$J$203+'Emission Factors'!$K$203)/'Energy &amp; Unit Conversions'!$E$94))</f>
        <v>0</v>
      </c>
      <c r="L54" s="283">
        <f>-P19*'Emission Factors'!$H$135/'Energy &amp; Unit Conversions'!$E$94</f>
        <v>0</v>
      </c>
      <c r="M54" s="284">
        <f ca="1">IF(J19&lt;0,J19*'Emission Factors'!$F$100/'Energy &amp; Unit Conversions'!$E$94,0)</f>
        <v>0</v>
      </c>
      <c r="N54" s="31"/>
      <c r="O54" s="31"/>
      <c r="P54" s="31"/>
      <c r="Q54" s="31"/>
      <c r="R54" s="31"/>
      <c r="S54" s="21"/>
    </row>
    <row r="55" spans="1:19" ht="18" customHeight="1" x14ac:dyDescent="0.2">
      <c r="A55" s="19"/>
      <c r="B55" s="20"/>
      <c r="C55" s="2098" t="str">
        <f t="shared" si="2"/>
        <v>Residue Hydrocracker Furnace</v>
      </c>
      <c r="D55" s="2099"/>
      <c r="E55" s="282">
        <f>F20*'Emission Factors'!$G$53/'Energy &amp; Unit Conversions'!$E$94</f>
        <v>0</v>
      </c>
      <c r="F55" s="283">
        <f ca="1">IF((H20-N20)&gt;0,(H20-N20),0)*('Emission Factors'!$J$76+'Emission Factors'!$K$76)/'Energy &amp; Unit Conversions'!$E$94</f>
        <v>2.9764925510665868E-17</v>
      </c>
      <c r="G55" s="283">
        <f ca="1">IF((H20-N20)&gt;0,N20,H20)*('Emission Factors'!$J$203+'Emission Factors'!$K$203)/'Energy &amp; Unit Conversions'!$E$94</f>
        <v>0</v>
      </c>
      <c r="H55" s="283">
        <f>J20*'Emission Factors'!$F$100/'Energy &amp; Unit Conversions'!$E$94</f>
        <v>0</v>
      </c>
      <c r="I55" s="283">
        <f>R20*'Emission Factors'!$E$177/'Energy &amp; Unit Conversions'!$E$94</f>
        <v>0</v>
      </c>
      <c r="J55" s="284">
        <f>L20*'Emission Factors'!$H$135/'Energy &amp; Unit Conversions'!$E$94</f>
        <v>0</v>
      </c>
      <c r="K55" s="282">
        <f ca="1">IF((H20-N20)&gt;0,0,(H20-N20))*((('Emission Factors'!$J$76+'Emission Factors'!$K$76)/'Energy &amp; Unit Conversions'!$E$94)-(('Emission Factors'!$J$203+'Emission Factors'!$K$203)/'Energy &amp; Unit Conversions'!$E$94))</f>
        <v>0</v>
      </c>
      <c r="L55" s="283">
        <f>-P20*'Emission Factors'!$H$135/'Energy &amp; Unit Conversions'!$E$94</f>
        <v>0</v>
      </c>
      <c r="M55" s="284">
        <f>IF(J20&lt;0,J20*'Emission Factors'!$F$100/'Energy &amp; Unit Conversions'!$E$94,0)</f>
        <v>0</v>
      </c>
      <c r="N55" s="31"/>
      <c r="O55" s="31"/>
      <c r="P55" s="31"/>
      <c r="Q55" s="31"/>
      <c r="R55" s="31"/>
      <c r="S55" s="21"/>
    </row>
    <row r="56" spans="1:19" ht="18" customHeight="1" x14ac:dyDescent="0.2">
      <c r="A56" s="19"/>
      <c r="B56" s="20"/>
      <c r="C56" s="2098" t="str">
        <f t="shared" si="2"/>
        <v xml:space="preserve">Residue Hydrocracker </v>
      </c>
      <c r="D56" s="2099"/>
      <c r="E56" s="282">
        <f ca="1">F21*'Emission Factors'!$G$53/'Energy &amp; Unit Conversions'!$E$94</f>
        <v>0</v>
      </c>
      <c r="F56" s="283">
        <f ca="1">IF((H21-N21)&gt;0,(H21-N21),0)*('Emission Factors'!$J$76+'Emission Factors'!$K$76)/'Energy &amp; Unit Conversions'!$E$94</f>
        <v>0</v>
      </c>
      <c r="G56" s="283">
        <f ca="1">IF((H21-N21)&gt;0,N21,H21)*('Emission Factors'!$J$203+'Emission Factors'!$K$203)/'Energy &amp; Unit Conversions'!$E$94</f>
        <v>4.3435883987899058E-20</v>
      </c>
      <c r="H56" s="283">
        <f>J21*'Emission Factors'!$F$100/'Energy &amp; Unit Conversions'!$E$94</f>
        <v>0</v>
      </c>
      <c r="I56" s="283">
        <f>R21*'Emission Factors'!$E$177/'Energy &amp; Unit Conversions'!$E$94</f>
        <v>0</v>
      </c>
      <c r="J56" s="284">
        <f ca="1">L21*'Emission Factors'!$H$135/'Energy &amp; Unit Conversions'!$E$94</f>
        <v>5.6405445048992515E-18</v>
      </c>
      <c r="K56" s="282">
        <f ca="1">IF((H21-N21)&gt;0,0,(H21-N21))*((('Emission Factors'!$J$76+'Emission Factors'!$K$76)/'Energy &amp; Unit Conversions'!$E$94)-(('Emission Factors'!$J$203+'Emission Factors'!$K$203)/'Energy &amp; Unit Conversions'!$E$94))</f>
        <v>-3.0453195049381163E-19</v>
      </c>
      <c r="L56" s="283">
        <f>-P21*'Emission Factors'!$H$135/'Energy &amp; Unit Conversions'!$E$94</f>
        <v>0</v>
      </c>
      <c r="M56" s="284">
        <f>IF(J21&lt;0,J21*'Emission Factors'!$F$100/'Energy &amp; Unit Conversions'!$E$94,0)</f>
        <v>0</v>
      </c>
      <c r="N56" s="31"/>
      <c r="O56" s="31"/>
      <c r="P56" s="31"/>
      <c r="Q56" s="31"/>
      <c r="R56" s="31"/>
      <c r="S56" s="21"/>
    </row>
    <row r="57" spans="1:19" ht="18" customHeight="1" x14ac:dyDescent="0.2">
      <c r="A57" s="19"/>
      <c r="B57" s="20"/>
      <c r="C57" s="2098" t="str">
        <f t="shared" si="2"/>
        <v>Residue Hydrocracker Fractionator</v>
      </c>
      <c r="D57" s="2099"/>
      <c r="E57" s="282">
        <f ca="1">F22*'Emission Factors'!$G$53/'Energy &amp; Unit Conversions'!$E$94</f>
        <v>0</v>
      </c>
      <c r="F57" s="283">
        <f ca="1">IF((H22-N22)&gt;0,(H22-N22),0)*('Emission Factors'!$J$76+'Emission Factors'!$K$76)/'Energy &amp; Unit Conversions'!$E$94</f>
        <v>1.9428005400557676E-19</v>
      </c>
      <c r="G57" s="283">
        <f ca="1">IF((H22-N22)&gt;0,N22,H22)*('Emission Factors'!$J$203+'Emission Factors'!$K$203)/'Energy &amp; Unit Conversions'!$E$94</f>
        <v>0</v>
      </c>
      <c r="H57" s="283">
        <f ca="1">J22*'Emission Factors'!$F$100/'Energy &amp; Unit Conversions'!$E$94</f>
        <v>9.4043853564008909E-21</v>
      </c>
      <c r="I57" s="283">
        <f>R22*'Emission Factors'!$E$177/'Energy &amp; Unit Conversions'!$E$94</f>
        <v>0</v>
      </c>
      <c r="J57" s="284">
        <f>L22*'Emission Factors'!$H$135/'Energy &amp; Unit Conversions'!$E$94</f>
        <v>0</v>
      </c>
      <c r="K57" s="282">
        <f ca="1">IF((H22-N22)&gt;0,0,(H22-N22))*((('Emission Factors'!$J$76+'Emission Factors'!$K$76)/'Energy &amp; Unit Conversions'!$E$94)-(('Emission Factors'!$J$203+'Emission Factors'!$K$203)/'Energy &amp; Unit Conversions'!$E$94))</f>
        <v>0</v>
      </c>
      <c r="L57" s="283">
        <f>-P22*'Emission Factors'!$H$135/'Energy &amp; Unit Conversions'!$E$94</f>
        <v>0</v>
      </c>
      <c r="M57" s="284">
        <f ca="1">IF(J22&lt;0,J22*'Emission Factors'!$F$100/'Energy &amp; Unit Conversions'!$E$94,0)</f>
        <v>0</v>
      </c>
      <c r="N57" s="31"/>
      <c r="O57" s="31"/>
      <c r="P57" s="31"/>
      <c r="Q57" s="31"/>
      <c r="R57" s="31"/>
      <c r="S57" s="21"/>
    </row>
    <row r="58" spans="1:19" ht="18" customHeight="1" x14ac:dyDescent="0.2">
      <c r="A58" s="19"/>
      <c r="B58" s="20"/>
      <c r="C58" s="2098" t="str">
        <f t="shared" si="2"/>
        <v>HC Naphtha Hydrotreater</v>
      </c>
      <c r="D58" s="2099"/>
      <c r="E58" s="282">
        <f ca="1">F23*'Emission Factors'!$G$53/'Energy &amp; Unit Conversions'!$E$94</f>
        <v>0</v>
      </c>
      <c r="F58" s="283">
        <f ca="1">IF((H23-N23)&gt;0,(H23-N23),0)*('Emission Factors'!$J$76+'Emission Factors'!$K$76)/'Energy &amp; Unit Conversions'!$E$94</f>
        <v>6.6599975565035732E-20</v>
      </c>
      <c r="G58" s="283">
        <f ca="1">IF((H23-N23)&gt;0,N23,H23)*('Emission Factors'!$J$203+'Emission Factors'!$K$203)/'Energy &amp; Unit Conversions'!$E$94</f>
        <v>6.8834882653674194E-21</v>
      </c>
      <c r="H58" s="283">
        <f ca="1">J23*'Emission Factors'!$F$100/'Energy &amp; Unit Conversions'!$E$94</f>
        <v>6.8250399978154867E-21</v>
      </c>
      <c r="I58" s="283">
        <f>R23*'Emission Factors'!$E$177/'Energy &amp; Unit Conversions'!$E$94</f>
        <v>0</v>
      </c>
      <c r="J58" s="284">
        <f ca="1">L23*'Emission Factors'!$H$135/'Energy &amp; Unit Conversions'!$E$94</f>
        <v>0</v>
      </c>
      <c r="K58" s="282">
        <f ca="1">IF((H23-N23)&gt;0,0,(H23-N23))*((('Emission Factors'!$J$76+'Emission Factors'!$K$76)/'Energy &amp; Unit Conversions'!$E$94)-(('Emission Factors'!$J$203+'Emission Factors'!$K$203)/'Energy &amp; Unit Conversions'!$E$94))</f>
        <v>0</v>
      </c>
      <c r="L58" s="283">
        <f>-P23*'Emission Factors'!$H$135/'Energy &amp; Unit Conversions'!$E$94</f>
        <v>0</v>
      </c>
      <c r="M58" s="284">
        <f ca="1">IF(J23&lt;0,J23*'Emission Factors'!$F$100/'Energy &amp; Unit Conversions'!$E$94,0)</f>
        <v>0</v>
      </c>
      <c r="N58" s="31"/>
      <c r="O58" s="31"/>
      <c r="P58" s="31"/>
      <c r="Q58" s="31"/>
      <c r="R58" s="31"/>
      <c r="S58" s="21"/>
    </row>
    <row r="59" spans="1:19" ht="18" customHeight="1" x14ac:dyDescent="0.2">
      <c r="A59" s="19"/>
      <c r="B59" s="20"/>
      <c r="C59" s="2098" t="str">
        <f t="shared" si="2"/>
        <v>Fluid Catalytic Cracking Feed Hydrotreater</v>
      </c>
      <c r="D59" s="2099"/>
      <c r="E59" s="282">
        <f ca="1">F24*'Emission Factors'!$G$53/'Energy &amp; Unit Conversions'!$E$94</f>
        <v>0</v>
      </c>
      <c r="F59" s="283">
        <f ca="1">IF((H24-N24)&gt;0,(H24-N24),0)*('Emission Factors'!$J$76+'Emission Factors'!$K$76)/'Energy &amp; Unit Conversions'!$E$94</f>
        <v>1.4153767918898552E-16</v>
      </c>
      <c r="G59" s="283">
        <f ca="1">IF((H24-N24)&gt;0,N24,H24)*('Emission Factors'!$J$203+'Emission Factors'!$K$203)/'Energy &amp; Unit Conversions'!$E$94</f>
        <v>1.2636333392387284E-19</v>
      </c>
      <c r="H59" s="283">
        <f ca="1">J24*'Emission Factors'!$F$100/'Energy &amp; Unit Conversions'!$E$94</f>
        <v>1.3005541761975394E-17</v>
      </c>
      <c r="I59" s="283">
        <f>R24*'Emission Factors'!$E$177/'Energy &amp; Unit Conversions'!$E$94</f>
        <v>0</v>
      </c>
      <c r="J59" s="284">
        <f ca="1">L24*'Emission Factors'!$H$135/'Energy &amp; Unit Conversions'!$E$94</f>
        <v>0</v>
      </c>
      <c r="K59" s="282">
        <f ca="1">IF((H24-N24)&gt;0,0,(H24-N24))*((('Emission Factors'!$J$76+'Emission Factors'!$K$76)/'Energy &amp; Unit Conversions'!$E$94)-(('Emission Factors'!$J$203+'Emission Factors'!$K$203)/'Energy &amp; Unit Conversions'!$E$94))</f>
        <v>0</v>
      </c>
      <c r="L59" s="283">
        <f>-P24*'Emission Factors'!$H$135/'Energy &amp; Unit Conversions'!$E$94</f>
        <v>0</v>
      </c>
      <c r="M59" s="284">
        <f ca="1">IF(J24&lt;0,J24*'Emission Factors'!$F$100/'Energy &amp; Unit Conversions'!$E$94,0)</f>
        <v>0</v>
      </c>
      <c r="N59" s="31"/>
      <c r="O59" s="31"/>
      <c r="P59" s="31"/>
      <c r="Q59" s="31"/>
      <c r="R59" s="31"/>
      <c r="S59" s="21"/>
    </row>
    <row r="60" spans="1:19" ht="18" customHeight="1" x14ac:dyDescent="0.2">
      <c r="A60" s="19"/>
      <c r="B60" s="20"/>
      <c r="C60" s="2098" t="str">
        <f t="shared" si="2"/>
        <v>Fluid Catalytic Cracker</v>
      </c>
      <c r="D60" s="2099"/>
      <c r="E60" s="282">
        <f ca="1">F25*'Emission Factors'!$G$53/'Energy &amp; Unit Conversions'!$E$94</f>
        <v>0</v>
      </c>
      <c r="F60" s="283">
        <f ca="1">IF((H25-N25)&gt;0,(H25-N25),0)*('Emission Factors'!$J$76+'Emission Factors'!$K$76)/'Energy &amp; Unit Conversions'!$E$94</f>
        <v>0</v>
      </c>
      <c r="G60" s="283">
        <f ca="1">IF((H25-N25)&gt;0,N25,H25)*('Emission Factors'!$J$203+'Emission Factors'!$K$203)/'Energy &amp; Unit Conversions'!$E$94</f>
        <v>1.1017071637595804E-18</v>
      </c>
      <c r="H60" s="283">
        <f>J25*'Emission Factors'!$F$100/'Energy &amp; Unit Conversions'!$E$94</f>
        <v>0</v>
      </c>
      <c r="I60" s="283">
        <f ca="1">R25*'Emission Factors'!$E$177/'Energy &amp; Unit Conversions'!$E$94</f>
        <v>3.6003026952155274E-18</v>
      </c>
      <c r="J60" s="284">
        <f>L25*'Emission Factors'!$H$135/'Energy &amp; Unit Conversions'!$E$94</f>
        <v>0</v>
      </c>
      <c r="K60" s="282">
        <f ca="1">IF((H25-N25)&gt;0,0,(H25-N25))*((('Emission Factors'!$J$76+'Emission Factors'!$K$76)/'Energy &amp; Unit Conversions'!$E$94)-(('Emission Factors'!$J$203+'Emission Factors'!$K$203)/'Energy &amp; Unit Conversions'!$E$94))</f>
        <v>-1.571959383910105E-19</v>
      </c>
      <c r="L60" s="283">
        <f>-P25*'Emission Factors'!$H$135/'Energy &amp; Unit Conversions'!$E$94</f>
        <v>0</v>
      </c>
      <c r="M60" s="284">
        <f>IF(J25&lt;0,J25*'Emission Factors'!$F$100/'Energy &amp; Unit Conversions'!$E$94,0)</f>
        <v>0</v>
      </c>
      <c r="N60" s="31"/>
      <c r="O60" s="31"/>
      <c r="P60" s="31"/>
      <c r="Q60" s="31"/>
      <c r="R60" s="31"/>
      <c r="S60" s="21"/>
    </row>
    <row r="61" spans="1:19" ht="18" customHeight="1" x14ac:dyDescent="0.2">
      <c r="A61" s="19"/>
      <c r="B61" s="20"/>
      <c r="C61" s="2098" t="str">
        <f t="shared" si="2"/>
        <v>Fluid Catalytic Cracker Main Fractionator</v>
      </c>
      <c r="D61" s="2099"/>
      <c r="E61" s="282">
        <f ca="1">F26*'Emission Factors'!$G$53/'Energy &amp; Unit Conversions'!$E$94</f>
        <v>0</v>
      </c>
      <c r="F61" s="283">
        <f>IF((H26-N26)&gt;0,(H26-N26),0)*('Emission Factors'!$J$76+'Emission Factors'!$K$76)/'Energy &amp; Unit Conversions'!$E$94</f>
        <v>0</v>
      </c>
      <c r="G61" s="283">
        <f ca="1">IF((H26-N26)&gt;0,N26,H26)*('Emission Factors'!$J$203+'Emission Factors'!$K$203)/'Energy &amp; Unit Conversions'!$E$94</f>
        <v>0</v>
      </c>
      <c r="H61" s="283">
        <f ca="1">J26*'Emission Factors'!$F$100/'Energy &amp; Unit Conversions'!$E$94</f>
        <v>2.0607286868822911E-20</v>
      </c>
      <c r="I61" s="283">
        <f>R26*'Emission Factors'!$E$177/'Energy &amp; Unit Conversions'!$E$94</f>
        <v>0</v>
      </c>
      <c r="J61" s="284">
        <f>L26*'Emission Factors'!$H$135/'Energy &amp; Unit Conversions'!$E$94</f>
        <v>0</v>
      </c>
      <c r="K61" s="282">
        <f ca="1">IF((H26-N26)&gt;0,0,(H26-N26))*((('Emission Factors'!$J$76+'Emission Factors'!$K$76)/'Energy &amp; Unit Conversions'!$E$94)-(('Emission Factors'!$J$203+'Emission Factors'!$K$203)/'Energy &amp; Unit Conversions'!$E$94))</f>
        <v>0</v>
      </c>
      <c r="L61" s="283">
        <f>-P26*'Emission Factors'!$H$135/'Energy &amp; Unit Conversions'!$E$94</f>
        <v>0</v>
      </c>
      <c r="M61" s="284">
        <f ca="1">IF(J26&lt;0,J26*'Emission Factors'!$F$100/'Energy &amp; Unit Conversions'!$E$94,0)</f>
        <v>0</v>
      </c>
      <c r="N61" s="31"/>
      <c r="O61" s="31"/>
      <c r="P61" s="31"/>
      <c r="Q61" s="31"/>
      <c r="R61" s="31"/>
      <c r="S61" s="21"/>
    </row>
    <row r="62" spans="1:19" ht="18" customHeight="1" x14ac:dyDescent="0.2">
      <c r="A62" s="19"/>
      <c r="B62" s="20"/>
      <c r="C62" s="2098" t="str">
        <f t="shared" si="2"/>
        <v>Alkylation Unit</v>
      </c>
      <c r="D62" s="2099"/>
      <c r="E62" s="282">
        <f ca="1">F27*'Emission Factors'!$G$53/'Energy &amp; Unit Conversions'!$E$94</f>
        <v>0</v>
      </c>
      <c r="F62" s="283">
        <f>IF((H27-N27)&gt;0,(H27-N27),0)*('Emission Factors'!$J$76+'Emission Factors'!$K$76)/'Energy &amp; Unit Conversions'!$E$94</f>
        <v>0</v>
      </c>
      <c r="G62" s="283">
        <f ca="1">IF((H27-N27)&gt;0,N27,H27)*('Emission Factors'!$J$203+'Emission Factors'!$K$203)/'Energy &amp; Unit Conversions'!$E$94</f>
        <v>0</v>
      </c>
      <c r="H62" s="283">
        <f ca="1">J27*'Emission Factors'!$F$100/'Energy &amp; Unit Conversions'!$E$94</f>
        <v>2.2304940151401144E-19</v>
      </c>
      <c r="I62" s="283">
        <f>R27*'Emission Factors'!$E$177/'Energy &amp; Unit Conversions'!$E$94</f>
        <v>0</v>
      </c>
      <c r="J62" s="284">
        <f>L27*'Emission Factors'!$H$135/'Energy &amp; Unit Conversions'!$E$94</f>
        <v>0</v>
      </c>
      <c r="K62" s="282">
        <f ca="1">IF((H27-N27)&gt;0,0,(H27-N27))*((('Emission Factors'!$J$76+'Emission Factors'!$K$76)/'Energy &amp; Unit Conversions'!$E$94)-(('Emission Factors'!$J$203+'Emission Factors'!$K$203)/'Energy &amp; Unit Conversions'!$E$94))</f>
        <v>0</v>
      </c>
      <c r="L62" s="283">
        <f>-P27*'Emission Factors'!$H$135/'Energy &amp; Unit Conversions'!$E$94</f>
        <v>0</v>
      </c>
      <c r="M62" s="284">
        <f ca="1">IF(J27&lt;0,J27*'Emission Factors'!$F$100/'Energy &amp; Unit Conversions'!$E$94,0)</f>
        <v>0</v>
      </c>
      <c r="N62" s="31"/>
      <c r="O62" s="31"/>
      <c r="P62" s="31"/>
      <c r="Q62" s="31"/>
      <c r="R62" s="31"/>
      <c r="S62" s="21"/>
    </row>
    <row r="63" spans="1:19" ht="18" customHeight="1" x14ac:dyDescent="0.2">
      <c r="A63" s="19"/>
      <c r="B63" s="20"/>
      <c r="C63" s="2098" t="str">
        <f t="shared" si="2"/>
        <v>Catalytic Naphtha Reformer</v>
      </c>
      <c r="D63" s="2099"/>
      <c r="E63" s="282">
        <f ca="1">F28*'Emission Factors'!$G$53/'Energy &amp; Unit Conversions'!$E$94</f>
        <v>29.39059014688829</v>
      </c>
      <c r="F63" s="283">
        <f ca="1">IF((H28-N28)&gt;0,(H28-N28),0)*('Emission Factors'!$J$76+'Emission Factors'!$K$76)/'Energy &amp; Unit Conversions'!$E$94</f>
        <v>0</v>
      </c>
      <c r="G63" s="283">
        <f ca="1">IF((H28-N28)&gt;0,N28,H28)*('Emission Factors'!$J$203+'Emission Factors'!$K$203)/'Energy &amp; Unit Conversions'!$E$94</f>
        <v>329.55706741195411</v>
      </c>
      <c r="H63" s="283">
        <f ca="1">J28*'Emission Factors'!$F$100/'Energy &amp; Unit Conversions'!$E$94</f>
        <v>57.494435068856681</v>
      </c>
      <c r="I63" s="283">
        <f>R28*'Emission Factors'!$E$177/'Energy &amp; Unit Conversions'!$E$94</f>
        <v>0</v>
      </c>
      <c r="J63" s="284">
        <f>L28*'Emission Factors'!$H$135/'Energy &amp; Unit Conversions'!$E$94</f>
        <v>0</v>
      </c>
      <c r="K63" s="282">
        <f ca="1">IF((H28-N28)&gt;0,0,(H28-N28))*((('Emission Factors'!$J$76+'Emission Factors'!$K$76)/'Energy &amp; Unit Conversions'!$E$94)-(('Emission Factors'!$J$203+'Emission Factors'!$K$203)/'Energy &amp; Unit Conversions'!$E$94))</f>
        <v>-35.95503946608477</v>
      </c>
      <c r="L63" s="283">
        <f ca="1">-P28*'Emission Factors'!$H$135/'Energy &amp; Unit Conversions'!$E$94</f>
        <v>-712.95306771193066</v>
      </c>
      <c r="M63" s="284">
        <f ca="1">IF(J28&lt;0,J28*'Emission Factors'!$F$100/'Energy &amp; Unit Conversions'!$E$94,0)</f>
        <v>0</v>
      </c>
      <c r="N63" s="31"/>
      <c r="O63" s="31"/>
      <c r="P63" s="31"/>
      <c r="Q63" s="31"/>
      <c r="R63" s="31"/>
      <c r="S63" s="21"/>
    </row>
    <row r="64" spans="1:19" ht="18" customHeight="1" x14ac:dyDescent="0.2">
      <c r="A64" s="19"/>
      <c r="B64" s="20"/>
      <c r="C64" s="2098" t="str">
        <f t="shared" si="2"/>
        <v>Isomerisation Unit</v>
      </c>
      <c r="D64" s="2099"/>
      <c r="E64" s="282">
        <f ca="1">F29*'Emission Factors'!$G$53/'Energy &amp; Unit Conversions'!$E$94</f>
        <v>4.1736962565114837</v>
      </c>
      <c r="F64" s="283">
        <f ca="1">IF((H29-N29)&gt;0,(H29-N29),0)*('Emission Factors'!$J$76+'Emission Factors'!$K$76)/'Energy &amp; Unit Conversions'!$E$94</f>
        <v>78.204084140003403</v>
      </c>
      <c r="G64" s="283">
        <f ca="1">IF((H29-N29)&gt;0,N29,H29)*('Emission Factors'!$J$203+'Emission Factors'!$K$203)/'Energy &amp; Unit Conversions'!$E$94</f>
        <v>23.990764358469349</v>
      </c>
      <c r="H64" s="283">
        <f>J29*'Emission Factors'!$F$100/'Energy &amp; Unit Conversions'!$E$94</f>
        <v>0</v>
      </c>
      <c r="I64" s="283">
        <f>R29*'Emission Factors'!$E$177/'Energy &amp; Unit Conversions'!$E$94</f>
        <v>0</v>
      </c>
      <c r="J64" s="284">
        <f ca="1">L29*'Emission Factors'!$H$135/'Energy &amp; Unit Conversions'!$E$94</f>
        <v>177.54690194306727</v>
      </c>
      <c r="K64" s="282">
        <f ca="1">IF((H29-N29)&gt;0,0,(H29-N29))*((('Emission Factors'!$J$76+'Emission Factors'!$K$76)/'Energy &amp; Unit Conversions'!$E$94)-(('Emission Factors'!$J$203+'Emission Factors'!$K$203)/'Energy &amp; Unit Conversions'!$E$94))</f>
        <v>0</v>
      </c>
      <c r="L64" s="283">
        <f>-P29*'Emission Factors'!$H$135/'Energy &amp; Unit Conversions'!$E$94</f>
        <v>0</v>
      </c>
      <c r="M64" s="284">
        <f>IF(J29&lt;0,J29*'Emission Factors'!$F$100/'Energy &amp; Unit Conversions'!$E$94,0)</f>
        <v>0</v>
      </c>
      <c r="N64" s="31"/>
      <c r="O64" s="31"/>
      <c r="P64" s="31"/>
      <c r="Q64" s="31"/>
      <c r="R64" s="31"/>
      <c r="S64" s="21"/>
    </row>
    <row r="65" spans="1:19" ht="18" customHeight="1" x14ac:dyDescent="0.2">
      <c r="A65" s="19"/>
      <c r="B65" s="20"/>
      <c r="C65" s="2098" t="str">
        <f>C31</f>
        <v>Fuel Gas treatment, Sulfur Recovery and Pollution control</v>
      </c>
      <c r="D65" s="2099"/>
      <c r="E65" s="282">
        <f>F30*'Emission Factors'!$G$53/'Energy &amp; Unit Conversions'!$E$94</f>
        <v>0</v>
      </c>
      <c r="F65" s="283">
        <f>IF((H30-N30)&gt;0,(H30-N30),0)*('Emission Factors'!$J$76+'Emission Factors'!$K$76)/'Energy &amp; Unit Conversions'!$E$94</f>
        <v>0</v>
      </c>
      <c r="G65" s="283">
        <f ca="1">IF((H30-N30)&gt;0,N30,H30)*('Emission Factors'!$J$203+'Emission Factors'!$K$203)/'Energy &amp; Unit Conversions'!$E$94</f>
        <v>0</v>
      </c>
      <c r="H65" s="283">
        <f>J30*'Emission Factors'!$F$100/'Energy &amp; Unit Conversions'!$E$94</f>
        <v>0</v>
      </c>
      <c r="I65" s="283">
        <f>R30*'Emission Factors'!$E$177/'Energy &amp; Unit Conversions'!$E$94</f>
        <v>0</v>
      </c>
      <c r="J65" s="284">
        <f>L30*'Emission Factors'!$H$135/'Energy &amp; Unit Conversions'!$E$94</f>
        <v>0</v>
      </c>
      <c r="K65" s="282">
        <f ca="1">IF((H30-N30)&gt;0,0,(H30-N30))*((('Emission Factors'!$J$76+'Emission Factors'!$K$76)/'Energy &amp; Unit Conversions'!$E$94)-(('Emission Factors'!$J$203+'Emission Factors'!$K$203)/'Energy &amp; Unit Conversions'!$E$94))</f>
        <v>0</v>
      </c>
      <c r="L65" s="283">
        <f>-P30*'Emission Factors'!$H$135/'Energy &amp; Unit Conversions'!$E$94</f>
        <v>0</v>
      </c>
      <c r="M65" s="284">
        <f>IF(J30&lt;0,J30*'Emission Factors'!$F$100/'Energy &amp; Unit Conversions'!$E$94,0)</f>
        <v>0</v>
      </c>
      <c r="N65" s="31"/>
      <c r="O65" s="31"/>
      <c r="P65" s="31"/>
      <c r="Q65" s="31"/>
      <c r="R65" s="31"/>
      <c r="S65" s="21"/>
    </row>
    <row r="66" spans="1:19" ht="18" customHeight="1" x14ac:dyDescent="0.2">
      <c r="A66" s="19"/>
      <c r="B66" s="20"/>
      <c r="C66" s="2098" t="str">
        <f>C30</f>
        <v>Gasoline Blending</v>
      </c>
      <c r="D66" s="2099"/>
      <c r="E66" s="282">
        <f ca="1">F31*'Emission Factors'!$G$53/'Energy &amp; Unit Conversions'!$E$94</f>
        <v>0.45058586903973558</v>
      </c>
      <c r="F66" s="283">
        <f ca="1">IF((H31-N31)&gt;0,(H31-N31),0)*('Emission Factors'!$J$76+'Emission Factors'!$K$76)/'Energy &amp; Unit Conversions'!$E$94</f>
        <v>2.6897166995150461</v>
      </c>
      <c r="G66" s="283">
        <f ca="1">IF((H31-N31)&gt;0,N31,H31)*('Emission Factors'!$J$203+'Emission Factors'!$K$203)/'Energy &amp; Unit Conversions'!$E$94</f>
        <v>0</v>
      </c>
      <c r="H66" s="283">
        <f ca="1">J31*'Emission Factors'!$F$100/'Energy &amp; Unit Conversions'!$E$94</f>
        <v>-2.6557441823162864</v>
      </c>
      <c r="I66" s="283">
        <f>R31*'Emission Factors'!$E$177/'Energy &amp; Unit Conversions'!$E$94</f>
        <v>0</v>
      </c>
      <c r="J66" s="284">
        <f>L31*'Emission Factors'!$H$135/'Energy &amp; Unit Conversions'!$E$94</f>
        <v>0</v>
      </c>
      <c r="K66" s="282">
        <f ca="1">IF((H31-N31)&gt;0,0,(H31-N31))*((('Emission Factors'!$J$76+'Emission Factors'!$K$76)/'Energy &amp; Unit Conversions'!$E$94)-(('Emission Factors'!$J$203+'Emission Factors'!$K$203)/'Energy &amp; Unit Conversions'!$E$94))</f>
        <v>0</v>
      </c>
      <c r="L66" s="283">
        <f>-P31*'Emission Factors'!$H$135/'Energy &amp; Unit Conversions'!$E$94</f>
        <v>0</v>
      </c>
      <c r="M66" s="284">
        <f ca="1">IF(J31&lt;0,J31*'Emission Factors'!$F$100/'Energy &amp; Unit Conversions'!$E$94,0)</f>
        <v>-2.6557441823162864</v>
      </c>
      <c r="N66" s="31"/>
      <c r="O66" s="31"/>
      <c r="P66" s="31"/>
      <c r="Q66" s="31"/>
      <c r="R66" s="31"/>
      <c r="S66" s="21"/>
    </row>
    <row r="67" spans="1:19" ht="18" customHeight="1" x14ac:dyDescent="0.2">
      <c r="A67" s="19"/>
      <c r="B67" s="20"/>
      <c r="C67" s="273" t="s">
        <v>1630</v>
      </c>
      <c r="D67" s="274"/>
      <c r="E67" s="275"/>
      <c r="F67" s="276"/>
      <c r="G67" s="276"/>
      <c r="H67" s="276"/>
      <c r="I67" s="276"/>
      <c r="J67" s="277"/>
      <c r="K67" s="266"/>
      <c r="L67" s="278"/>
      <c r="M67" s="267"/>
      <c r="N67" s="31"/>
      <c r="O67" s="31"/>
      <c r="P67" s="31"/>
      <c r="Q67" s="31"/>
      <c r="R67" s="31"/>
      <c r="S67" s="21"/>
    </row>
    <row r="68" spans="1:19" ht="18" customHeight="1" x14ac:dyDescent="0.2">
      <c r="A68" s="19"/>
      <c r="B68" s="20"/>
      <c r="C68" s="31"/>
      <c r="D68" s="31"/>
      <c r="E68" s="31"/>
      <c r="F68" s="251"/>
      <c r="G68" s="31"/>
      <c r="H68" s="251"/>
      <c r="I68" s="251"/>
      <c r="J68" s="31"/>
      <c r="K68" s="31"/>
      <c r="L68" s="31"/>
      <c r="M68" s="31"/>
      <c r="N68" s="31"/>
      <c r="O68" s="31"/>
      <c r="P68" s="31"/>
      <c r="Q68" s="31"/>
      <c r="R68" s="31"/>
      <c r="S68" s="21"/>
    </row>
    <row r="69" spans="1:19" ht="18" customHeight="1" x14ac:dyDescent="0.2">
      <c r="A69" s="19"/>
      <c r="B69" s="20"/>
      <c r="C69" s="31"/>
      <c r="D69" s="31"/>
      <c r="E69" s="31"/>
      <c r="F69" s="251"/>
      <c r="G69" s="31"/>
      <c r="H69" s="251"/>
      <c r="I69" s="251"/>
      <c r="J69" s="31"/>
      <c r="K69" s="31"/>
      <c r="L69" s="31"/>
      <c r="M69" s="31"/>
      <c r="N69" s="31"/>
      <c r="O69" s="31"/>
      <c r="P69" s="31"/>
      <c r="Q69" s="31"/>
      <c r="R69" s="31"/>
      <c r="S69" s="21"/>
    </row>
    <row r="70" spans="1:19" ht="18" customHeight="1" x14ac:dyDescent="0.2">
      <c r="A70" s="19"/>
      <c r="B70" s="20"/>
      <c r="C70" s="31"/>
      <c r="D70" s="31"/>
      <c r="E70" s="31"/>
      <c r="F70" s="251"/>
      <c r="G70" s="31"/>
      <c r="H70" s="251"/>
      <c r="I70" s="251"/>
      <c r="J70" s="31"/>
      <c r="K70" s="31"/>
      <c r="L70" s="31"/>
      <c r="M70" s="31"/>
      <c r="N70" s="31"/>
      <c r="O70" s="31"/>
      <c r="P70" s="31"/>
      <c r="Q70" s="31"/>
      <c r="R70" s="31"/>
      <c r="S70" s="21"/>
    </row>
    <row r="71" spans="1:19" ht="18" customHeight="1" x14ac:dyDescent="0.2">
      <c r="A71" s="19"/>
      <c r="B71" s="20"/>
      <c r="C71" s="31"/>
      <c r="D71" s="31"/>
      <c r="E71" s="31"/>
      <c r="F71" s="251"/>
      <c r="G71" s="31"/>
      <c r="H71" s="251"/>
      <c r="I71" s="251"/>
      <c r="J71" s="31"/>
      <c r="K71" s="31"/>
      <c r="L71" s="31"/>
      <c r="M71" s="31"/>
      <c r="N71" s="31"/>
      <c r="O71" s="31"/>
      <c r="P71" s="31"/>
      <c r="Q71" s="31"/>
      <c r="R71" s="31"/>
      <c r="S71" s="21"/>
    </row>
    <row r="72" spans="1:19" ht="18" customHeight="1" x14ac:dyDescent="0.2">
      <c r="A72" s="19"/>
      <c r="B72" s="20"/>
      <c r="C72" s="31"/>
      <c r="D72" s="31"/>
      <c r="E72" s="31"/>
      <c r="F72" s="251"/>
      <c r="G72" s="31"/>
      <c r="H72" s="251"/>
      <c r="I72" s="251"/>
      <c r="J72" s="31"/>
      <c r="K72" s="31"/>
      <c r="L72" s="31"/>
      <c r="M72" s="31"/>
      <c r="N72" s="31"/>
      <c r="O72" s="31"/>
      <c r="P72" s="31"/>
      <c r="Q72" s="31"/>
      <c r="R72" s="31"/>
      <c r="S72" s="21"/>
    </row>
    <row r="73" spans="1:19" ht="18" customHeight="1" x14ac:dyDescent="0.2">
      <c r="A73" s="19"/>
      <c r="B73" s="20"/>
      <c r="C73" s="31"/>
      <c r="D73" s="31"/>
      <c r="E73" s="31"/>
      <c r="F73" s="251"/>
      <c r="G73" s="31"/>
      <c r="H73" s="251"/>
      <c r="I73" s="251"/>
      <c r="J73" s="31"/>
      <c r="K73" s="31"/>
      <c r="L73" s="31"/>
      <c r="M73" s="31"/>
      <c r="N73" s="31"/>
      <c r="O73" s="31"/>
      <c r="P73" s="31"/>
      <c r="Q73" s="31"/>
      <c r="R73" s="31"/>
      <c r="S73" s="21"/>
    </row>
    <row r="74" spans="1:19" ht="18" customHeight="1" x14ac:dyDescent="0.2">
      <c r="A74" s="19"/>
      <c r="B74" s="20"/>
      <c r="C74" s="31"/>
      <c r="D74" s="31"/>
      <c r="E74" s="31"/>
      <c r="F74" s="251"/>
      <c r="G74" s="31"/>
      <c r="H74" s="251"/>
      <c r="I74" s="251"/>
      <c r="J74" s="31"/>
      <c r="K74" s="31"/>
      <c r="L74" s="31"/>
      <c r="M74" s="31"/>
      <c r="N74" s="31"/>
      <c r="O74" s="31"/>
      <c r="P74" s="31"/>
      <c r="Q74" s="31"/>
      <c r="R74" s="31"/>
      <c r="S74" s="21"/>
    </row>
    <row r="75" spans="1:19" ht="18" customHeight="1" x14ac:dyDescent="0.2">
      <c r="A75" s="19"/>
      <c r="B75" s="20"/>
      <c r="C75" s="31"/>
      <c r="D75" s="31"/>
      <c r="E75" s="31"/>
      <c r="F75" s="251"/>
      <c r="G75" s="31"/>
      <c r="H75" s="251"/>
      <c r="I75" s="251"/>
      <c r="J75" s="31"/>
      <c r="K75" s="31"/>
      <c r="L75" s="31"/>
      <c r="M75" s="31"/>
      <c r="N75" s="31"/>
      <c r="O75" s="31"/>
      <c r="P75" s="31"/>
      <c r="Q75" s="31"/>
      <c r="R75" s="31"/>
      <c r="S75" s="21"/>
    </row>
    <row r="76" spans="1:19" ht="18" customHeight="1" x14ac:dyDescent="0.2">
      <c r="A76" s="19"/>
      <c r="B76" s="20"/>
      <c r="C76" s="31"/>
      <c r="D76" s="31"/>
      <c r="E76" s="31"/>
      <c r="F76" s="251"/>
      <c r="G76" s="31"/>
      <c r="H76" s="251"/>
      <c r="I76" s="251"/>
      <c r="J76" s="31"/>
      <c r="K76" s="31"/>
      <c r="L76" s="31"/>
      <c r="M76" s="31"/>
      <c r="N76" s="31"/>
      <c r="O76" s="31"/>
      <c r="P76" s="31"/>
      <c r="Q76" s="31"/>
      <c r="R76" s="31"/>
      <c r="S76" s="21"/>
    </row>
    <row r="77" spans="1:19" ht="18" customHeight="1" x14ac:dyDescent="0.2">
      <c r="A77" s="19"/>
      <c r="B77" s="20"/>
      <c r="C77" s="31"/>
      <c r="D77" s="31"/>
      <c r="E77" s="31"/>
      <c r="F77" s="251"/>
      <c r="G77" s="31"/>
      <c r="H77" s="251"/>
      <c r="I77" s="251"/>
      <c r="J77" s="31"/>
      <c r="K77" s="31"/>
      <c r="L77" s="31"/>
      <c r="M77" s="31"/>
      <c r="N77" s="31"/>
      <c r="O77" s="31"/>
      <c r="P77" s="31"/>
      <c r="Q77" s="31"/>
      <c r="R77" s="31"/>
      <c r="S77" s="21"/>
    </row>
    <row r="78" spans="1:19" ht="18" customHeight="1" x14ac:dyDescent="0.2">
      <c r="A78" s="19"/>
      <c r="B78" s="20"/>
      <c r="C78" s="31"/>
      <c r="D78" s="31"/>
      <c r="E78" s="31"/>
      <c r="F78" s="251"/>
      <c r="G78" s="31"/>
      <c r="H78" s="251"/>
      <c r="I78" s="251"/>
      <c r="J78" s="31"/>
      <c r="K78" s="31"/>
      <c r="L78" s="31"/>
      <c r="M78" s="31"/>
      <c r="N78" s="31"/>
      <c r="O78" s="31"/>
      <c r="P78" s="31"/>
      <c r="Q78" s="31"/>
      <c r="R78" s="31"/>
      <c r="S78" s="21"/>
    </row>
    <row r="79" spans="1:19" ht="18" customHeight="1" x14ac:dyDescent="0.2">
      <c r="A79" s="19"/>
      <c r="B79" s="20"/>
      <c r="C79" s="31"/>
      <c r="D79" s="31"/>
      <c r="E79" s="31"/>
      <c r="F79" s="251"/>
      <c r="G79" s="31"/>
      <c r="H79" s="251"/>
      <c r="I79" s="251"/>
      <c r="J79" s="31"/>
      <c r="K79" s="31"/>
      <c r="L79" s="31"/>
      <c r="M79" s="31"/>
      <c r="N79" s="31"/>
      <c r="O79" s="31"/>
      <c r="P79" s="31"/>
      <c r="Q79" s="31"/>
      <c r="R79" s="31"/>
      <c r="S79" s="21"/>
    </row>
    <row r="80" spans="1:19" ht="18" customHeight="1" x14ac:dyDescent="0.2">
      <c r="A80" s="19"/>
      <c r="B80" s="20"/>
      <c r="C80" s="31"/>
      <c r="D80" s="31"/>
      <c r="E80" s="31"/>
      <c r="F80" s="251"/>
      <c r="G80" s="31"/>
      <c r="H80" s="251"/>
      <c r="I80" s="251"/>
      <c r="J80" s="31"/>
      <c r="K80" s="31"/>
      <c r="L80" s="31"/>
      <c r="M80" s="31"/>
      <c r="N80" s="31"/>
      <c r="O80" s="31"/>
      <c r="P80" s="31"/>
      <c r="Q80" s="31"/>
      <c r="R80" s="31"/>
      <c r="S80" s="21"/>
    </row>
    <row r="81" spans="1:19" ht="18" customHeight="1" x14ac:dyDescent="0.2">
      <c r="A81" s="19"/>
      <c r="B81" s="20"/>
      <c r="C81" s="31"/>
      <c r="D81" s="31"/>
      <c r="E81" s="31"/>
      <c r="F81" s="251"/>
      <c r="G81" s="31"/>
      <c r="H81" s="251"/>
      <c r="I81" s="251"/>
      <c r="J81" s="31"/>
      <c r="K81" s="31"/>
      <c r="L81" s="31"/>
      <c r="M81" s="31"/>
      <c r="N81" s="31"/>
      <c r="O81" s="31"/>
      <c r="P81" s="31"/>
      <c r="Q81" s="31"/>
      <c r="R81" s="31"/>
      <c r="S81" s="21"/>
    </row>
    <row r="82" spans="1:19" ht="18" customHeight="1" x14ac:dyDescent="0.2">
      <c r="A82" s="19"/>
      <c r="B82" s="20"/>
      <c r="C82" s="31"/>
      <c r="D82" s="31"/>
      <c r="E82" s="31"/>
      <c r="F82" s="251"/>
      <c r="G82" s="31"/>
      <c r="H82" s="251"/>
      <c r="I82" s="251"/>
      <c r="J82" s="31"/>
      <c r="K82" s="31"/>
      <c r="L82" s="31"/>
      <c r="M82" s="31"/>
      <c r="N82" s="31"/>
      <c r="O82" s="31"/>
      <c r="P82" s="31"/>
      <c r="Q82" s="31"/>
      <c r="R82" s="31"/>
      <c r="S82" s="21"/>
    </row>
    <row r="83" spans="1:19" ht="18" customHeight="1" x14ac:dyDescent="0.2">
      <c r="A83" s="19"/>
      <c r="B83" s="20"/>
      <c r="C83" s="31"/>
      <c r="D83" s="31"/>
      <c r="E83" s="31"/>
      <c r="F83" s="251"/>
      <c r="G83" s="31"/>
      <c r="H83" s="251"/>
      <c r="I83" s="251"/>
      <c r="J83" s="31"/>
      <c r="K83" s="31"/>
      <c r="L83" s="31"/>
      <c r="M83" s="31"/>
      <c r="N83" s="31"/>
      <c r="O83" s="31"/>
      <c r="P83" s="31"/>
      <c r="Q83" s="31"/>
      <c r="R83" s="31"/>
      <c r="S83" s="21"/>
    </row>
    <row r="84" spans="1:19" ht="18" customHeight="1" x14ac:dyDescent="0.2">
      <c r="A84" s="19"/>
      <c r="B84" s="20"/>
      <c r="C84" s="31"/>
      <c r="D84" s="31"/>
      <c r="E84" s="31"/>
      <c r="F84" s="251"/>
      <c r="G84" s="31"/>
      <c r="H84" s="251"/>
      <c r="I84" s="251"/>
      <c r="J84" s="31"/>
      <c r="K84" s="31"/>
      <c r="L84" s="31"/>
      <c r="M84" s="31"/>
      <c r="N84" s="31"/>
      <c r="O84" s="31"/>
      <c r="P84" s="31"/>
      <c r="Q84" s="31"/>
      <c r="R84" s="31"/>
      <c r="S84" s="21"/>
    </row>
    <row r="85" spans="1:19" ht="18" customHeight="1" x14ac:dyDescent="0.2">
      <c r="A85" s="19"/>
      <c r="B85" s="20"/>
      <c r="C85" s="31"/>
      <c r="D85" s="31"/>
      <c r="E85" s="31"/>
      <c r="F85" s="251"/>
      <c r="G85" s="31"/>
      <c r="H85" s="251"/>
      <c r="I85" s="251"/>
      <c r="J85" s="31"/>
      <c r="K85" s="31"/>
      <c r="L85" s="31"/>
      <c r="M85" s="31"/>
      <c r="N85" s="31"/>
      <c r="O85" s="31"/>
      <c r="P85" s="31"/>
      <c r="Q85" s="31"/>
      <c r="R85" s="31"/>
      <c r="S85" s="21"/>
    </row>
    <row r="86" spans="1:19" ht="18" customHeight="1" x14ac:dyDescent="0.2">
      <c r="A86" s="19"/>
      <c r="B86" s="20"/>
      <c r="C86" s="31"/>
      <c r="D86" s="31"/>
      <c r="E86" s="31"/>
      <c r="F86" s="251"/>
      <c r="G86" s="31"/>
      <c r="H86" s="251"/>
      <c r="I86" s="251"/>
      <c r="J86" s="31"/>
      <c r="K86" s="31"/>
      <c r="L86" s="31"/>
      <c r="M86" s="31"/>
      <c r="N86" s="31"/>
      <c r="O86" s="31"/>
      <c r="P86" s="31"/>
      <c r="Q86" s="31"/>
      <c r="R86" s="31"/>
      <c r="S86" s="21"/>
    </row>
    <row r="87" spans="1:19" ht="18" customHeight="1" x14ac:dyDescent="0.2">
      <c r="A87" s="19"/>
      <c r="B87" s="20"/>
      <c r="C87" s="31"/>
      <c r="D87" s="31"/>
      <c r="E87" s="31"/>
      <c r="F87" s="251"/>
      <c r="G87" s="31"/>
      <c r="H87" s="251"/>
      <c r="I87" s="251"/>
      <c r="J87" s="31"/>
      <c r="K87" s="31"/>
      <c r="L87" s="31"/>
      <c r="M87" s="31"/>
      <c r="N87" s="31"/>
      <c r="O87" s="31"/>
      <c r="P87" s="31"/>
      <c r="Q87" s="31"/>
      <c r="R87" s="31"/>
      <c r="S87" s="21"/>
    </row>
    <row r="88" spans="1:19" ht="18" customHeight="1" x14ac:dyDescent="0.2">
      <c r="A88" s="19"/>
      <c r="B88" s="20"/>
      <c r="C88" s="31"/>
      <c r="D88" s="31"/>
      <c r="E88" s="31"/>
      <c r="F88" s="251"/>
      <c r="G88" s="31"/>
      <c r="H88" s="251"/>
      <c r="I88" s="251"/>
      <c r="J88" s="31"/>
      <c r="K88" s="31"/>
      <c r="L88" s="31"/>
      <c r="M88" s="31"/>
      <c r="N88" s="31"/>
      <c r="O88" s="31"/>
      <c r="P88" s="31"/>
      <c r="Q88" s="31"/>
      <c r="R88" s="31"/>
      <c r="S88" s="21"/>
    </row>
    <row r="89" spans="1:19" ht="18" customHeight="1" x14ac:dyDescent="0.2">
      <c r="A89" s="19"/>
      <c r="B89" s="20"/>
      <c r="C89" s="31"/>
      <c r="D89" s="31"/>
      <c r="E89" s="31"/>
      <c r="F89" s="251"/>
      <c r="G89" s="31"/>
      <c r="H89" s="251"/>
      <c r="I89" s="251"/>
      <c r="J89" s="31"/>
      <c r="K89" s="31"/>
      <c r="L89" s="31"/>
      <c r="M89" s="31"/>
      <c r="N89" s="31"/>
      <c r="O89" s="31"/>
      <c r="P89" s="31"/>
      <c r="Q89" s="31"/>
      <c r="R89" s="31"/>
      <c r="S89" s="21"/>
    </row>
    <row r="90" spans="1:19" ht="18" customHeight="1" x14ac:dyDescent="0.2">
      <c r="A90" s="19"/>
      <c r="B90" s="20"/>
      <c r="C90" s="31"/>
      <c r="D90" s="31"/>
      <c r="E90" s="31"/>
      <c r="F90" s="251"/>
      <c r="G90" s="31"/>
      <c r="H90" s="251"/>
      <c r="I90" s="251"/>
      <c r="J90" s="31"/>
      <c r="K90" s="31"/>
      <c r="L90" s="31"/>
      <c r="M90" s="31"/>
      <c r="N90" s="31"/>
      <c r="O90" s="31"/>
      <c r="P90" s="31"/>
      <c r="Q90" s="31"/>
      <c r="R90" s="31"/>
      <c r="S90" s="21"/>
    </row>
    <row r="91" spans="1:19" ht="18" customHeight="1" x14ac:dyDescent="0.2">
      <c r="A91" s="19"/>
      <c r="B91" s="20"/>
      <c r="C91" s="31"/>
      <c r="D91" s="31"/>
      <c r="E91" s="31"/>
      <c r="F91" s="251"/>
      <c r="G91" s="31"/>
      <c r="H91" s="251"/>
      <c r="I91" s="251"/>
      <c r="J91" s="31"/>
      <c r="K91" s="31"/>
      <c r="L91" s="31"/>
      <c r="M91" s="31"/>
      <c r="N91" s="31"/>
      <c r="O91" s="31"/>
      <c r="P91" s="31"/>
      <c r="Q91" s="31"/>
      <c r="R91" s="31"/>
      <c r="S91" s="21"/>
    </row>
    <row r="92" spans="1:19" ht="18" customHeight="1" x14ac:dyDescent="0.2">
      <c r="A92" s="19"/>
      <c r="B92" s="20"/>
      <c r="C92" s="31"/>
      <c r="D92" s="31"/>
      <c r="E92" s="31"/>
      <c r="F92" s="251"/>
      <c r="G92" s="31"/>
      <c r="H92" s="251"/>
      <c r="I92" s="251"/>
      <c r="J92" s="31"/>
      <c r="K92" s="31"/>
      <c r="L92" s="31"/>
      <c r="M92" s="31"/>
      <c r="N92" s="31"/>
      <c r="O92" s="31"/>
      <c r="P92" s="31"/>
      <c r="Q92" s="31"/>
      <c r="R92" s="31"/>
      <c r="S92" s="21"/>
    </row>
    <row r="93" spans="1:19" ht="18" customHeight="1" x14ac:dyDescent="0.2">
      <c r="A93" s="19"/>
      <c r="B93" s="20"/>
      <c r="C93" s="31"/>
      <c r="D93" s="31"/>
      <c r="E93" s="31"/>
      <c r="F93" s="251"/>
      <c r="G93" s="31"/>
      <c r="H93" s="251"/>
      <c r="I93" s="251"/>
      <c r="J93" s="31"/>
      <c r="K93" s="31"/>
      <c r="L93" s="31"/>
      <c r="M93" s="31"/>
      <c r="N93" s="31"/>
      <c r="O93" s="31"/>
      <c r="P93" s="31"/>
      <c r="Q93" s="31"/>
      <c r="R93" s="31"/>
      <c r="S93" s="21"/>
    </row>
    <row r="94" spans="1:19" ht="18" customHeight="1" x14ac:dyDescent="0.2">
      <c r="A94" s="19"/>
      <c r="B94" s="20"/>
      <c r="C94" s="31"/>
      <c r="D94" s="31"/>
      <c r="E94" s="31"/>
      <c r="F94" s="251"/>
      <c r="G94" s="31"/>
      <c r="H94" s="251"/>
      <c r="I94" s="251"/>
      <c r="J94" s="31"/>
      <c r="K94" s="31"/>
      <c r="L94" s="31"/>
      <c r="M94" s="31"/>
      <c r="N94" s="31"/>
      <c r="O94" s="31"/>
      <c r="P94" s="31"/>
      <c r="Q94" s="31"/>
      <c r="R94" s="31"/>
      <c r="S94" s="21"/>
    </row>
    <row r="95" spans="1:19" ht="18" customHeight="1" x14ac:dyDescent="0.2">
      <c r="A95" s="19"/>
      <c r="B95" s="20"/>
      <c r="C95" s="31"/>
      <c r="D95" s="31"/>
      <c r="E95" s="31"/>
      <c r="F95" s="251"/>
      <c r="G95" s="31"/>
      <c r="H95" s="251"/>
      <c r="I95" s="251"/>
      <c r="J95" s="31"/>
      <c r="K95" s="31"/>
      <c r="L95" s="31"/>
      <c r="M95" s="31"/>
      <c r="N95" s="31"/>
      <c r="O95" s="31"/>
      <c r="P95" s="31"/>
      <c r="Q95" s="31"/>
      <c r="R95" s="31"/>
      <c r="S95" s="21"/>
    </row>
    <row r="96" spans="1:19" ht="18" customHeight="1" x14ac:dyDescent="0.2">
      <c r="A96" s="19"/>
      <c r="B96" s="20"/>
      <c r="C96" s="31"/>
      <c r="D96" s="31"/>
      <c r="E96" s="31"/>
      <c r="F96" s="251"/>
      <c r="G96" s="31"/>
      <c r="H96" s="251"/>
      <c r="I96" s="251"/>
      <c r="J96" s="31"/>
      <c r="K96" s="31"/>
      <c r="L96" s="31"/>
      <c r="M96" s="31"/>
      <c r="N96" s="31"/>
      <c r="O96" s="31"/>
      <c r="P96" s="31"/>
      <c r="Q96" s="31"/>
      <c r="R96" s="31"/>
      <c r="S96" s="21"/>
    </row>
    <row r="97" spans="1:19" ht="18" customHeight="1" x14ac:dyDescent="0.2">
      <c r="A97" s="19"/>
      <c r="B97" s="20"/>
      <c r="C97" s="31"/>
      <c r="D97" s="31"/>
      <c r="E97" s="31"/>
      <c r="F97" s="251"/>
      <c r="G97" s="31"/>
      <c r="H97" s="251"/>
      <c r="I97" s="251"/>
      <c r="J97" s="31"/>
      <c r="K97" s="31"/>
      <c r="L97" s="31"/>
      <c r="M97" s="31"/>
      <c r="N97" s="31"/>
      <c r="O97" s="31"/>
      <c r="P97" s="31"/>
      <c r="Q97" s="31"/>
      <c r="R97" s="31"/>
      <c r="S97" s="21"/>
    </row>
    <row r="98" spans="1:19" ht="18" customHeight="1" x14ac:dyDescent="0.2">
      <c r="A98" s="19"/>
      <c r="B98" s="20"/>
      <c r="C98" s="31"/>
      <c r="D98" s="31"/>
      <c r="E98" s="31"/>
      <c r="F98" s="251"/>
      <c r="G98" s="31"/>
      <c r="H98" s="251"/>
      <c r="I98" s="251"/>
      <c r="J98" s="31"/>
      <c r="K98" s="31"/>
      <c r="L98" s="31"/>
      <c r="M98" s="31"/>
      <c r="N98" s="31"/>
      <c r="O98" s="31"/>
      <c r="P98" s="31"/>
      <c r="Q98" s="31"/>
      <c r="R98" s="31"/>
      <c r="S98" s="21"/>
    </row>
    <row r="99" spans="1:19" ht="18" customHeight="1" x14ac:dyDescent="0.2">
      <c r="A99" s="19"/>
      <c r="B99" s="20"/>
      <c r="C99" s="31"/>
      <c r="D99" s="31"/>
      <c r="E99" s="31"/>
      <c r="F99" s="251"/>
      <c r="G99" s="31"/>
      <c r="H99" s="251"/>
      <c r="I99" s="251"/>
      <c r="J99" s="31"/>
      <c r="K99" s="31"/>
      <c r="L99" s="31"/>
      <c r="M99" s="31"/>
      <c r="N99" s="31"/>
      <c r="O99" s="31"/>
      <c r="P99" s="31"/>
      <c r="Q99" s="31"/>
      <c r="R99" s="31"/>
      <c r="S99" s="21"/>
    </row>
    <row r="100" spans="1:19" ht="18" customHeight="1" x14ac:dyDescent="0.2">
      <c r="A100" s="19"/>
      <c r="B100" s="20"/>
      <c r="C100" s="31"/>
      <c r="D100" s="31"/>
      <c r="E100" s="31"/>
      <c r="F100" s="251"/>
      <c r="G100" s="31"/>
      <c r="H100" s="251"/>
      <c r="I100" s="251"/>
      <c r="J100" s="31"/>
      <c r="K100" s="31"/>
      <c r="L100" s="31"/>
      <c r="M100" s="31"/>
      <c r="N100" s="31"/>
      <c r="O100" s="31"/>
      <c r="P100" s="31"/>
      <c r="Q100" s="31"/>
      <c r="R100" s="31"/>
      <c r="S100" s="21"/>
    </row>
    <row r="101" spans="1:19" ht="18" customHeight="1" x14ac:dyDescent="0.2">
      <c r="A101" s="19"/>
      <c r="B101" s="20"/>
      <c r="C101" s="31"/>
      <c r="D101" s="31"/>
      <c r="E101" s="31"/>
      <c r="F101" s="251"/>
      <c r="G101" s="31"/>
      <c r="H101" s="251"/>
      <c r="I101" s="251"/>
      <c r="J101" s="31"/>
      <c r="K101" s="31"/>
      <c r="L101" s="31"/>
      <c r="M101" s="31"/>
      <c r="N101" s="31"/>
      <c r="O101" s="31"/>
      <c r="P101" s="31"/>
      <c r="Q101" s="31"/>
      <c r="R101" s="31"/>
      <c r="S101" s="21"/>
    </row>
    <row r="102" spans="1:19" ht="18" customHeight="1" x14ac:dyDescent="0.2">
      <c r="A102" s="19"/>
      <c r="B102" s="20"/>
      <c r="C102" s="31"/>
      <c r="D102" s="31"/>
      <c r="E102" s="31"/>
      <c r="F102" s="251"/>
      <c r="G102" s="31"/>
      <c r="H102" s="251"/>
      <c r="I102" s="251"/>
      <c r="J102" s="31"/>
      <c r="K102" s="31"/>
      <c r="L102" s="31"/>
      <c r="M102" s="31"/>
      <c r="N102" s="31"/>
      <c r="O102" s="31"/>
      <c r="P102" s="31"/>
      <c r="Q102" s="31"/>
      <c r="R102" s="31"/>
      <c r="S102" s="21"/>
    </row>
    <row r="103" spans="1:19" ht="18" customHeight="1" x14ac:dyDescent="0.2">
      <c r="A103" s="184"/>
      <c r="B103" s="20"/>
      <c r="C103" s="257"/>
      <c r="D103" s="257"/>
      <c r="E103" s="257"/>
      <c r="F103" s="257"/>
      <c r="G103" s="257"/>
      <c r="H103" s="257"/>
      <c r="I103" s="257"/>
      <c r="J103" s="257"/>
      <c r="K103" s="257"/>
      <c r="L103" s="257"/>
      <c r="M103" s="257"/>
      <c r="N103" s="257"/>
      <c r="O103" s="257"/>
      <c r="P103" s="257"/>
      <c r="Q103" s="257"/>
      <c r="R103" s="257"/>
      <c r="S103" s="258"/>
    </row>
    <row r="104" spans="1:19" ht="18" customHeight="1" x14ac:dyDescent="0.2">
      <c r="A104" s="184"/>
      <c r="B104" s="1632"/>
      <c r="C104" s="2408" t="s">
        <v>1932</v>
      </c>
      <c r="D104" s="2409"/>
      <c r="E104" s="257"/>
      <c r="F104" s="257"/>
      <c r="G104" s="329"/>
      <c r="H104" s="2408" t="s">
        <v>1943</v>
      </c>
      <c r="I104" s="2409"/>
      <c r="J104" s="257"/>
      <c r="K104" s="257"/>
      <c r="L104" s="329"/>
      <c r="M104" s="329"/>
      <c r="N104" s="329"/>
      <c r="O104" s="329"/>
      <c r="P104" s="329"/>
      <c r="Q104" s="329"/>
      <c r="R104" s="329"/>
      <c r="S104" s="1626"/>
    </row>
    <row r="105" spans="1:19" ht="18" customHeight="1" x14ac:dyDescent="0.2">
      <c r="A105" s="184"/>
      <c r="B105" s="1632"/>
      <c r="C105" s="2394"/>
      <c r="D105" s="2395"/>
      <c r="E105" s="2112"/>
      <c r="F105" s="2112"/>
      <c r="G105" s="329"/>
      <c r="H105" s="2394"/>
      <c r="I105" s="2395"/>
      <c r="J105" s="2141"/>
      <c r="K105" s="2141"/>
      <c r="L105" s="329"/>
      <c r="M105" s="329"/>
      <c r="N105" s="329"/>
      <c r="O105" s="329"/>
      <c r="P105" s="329"/>
      <c r="Q105" s="329"/>
      <c r="R105" s="329"/>
      <c r="S105" s="1626"/>
    </row>
    <row r="106" spans="1:19" ht="18" customHeight="1" x14ac:dyDescent="0.2">
      <c r="A106" s="184"/>
      <c r="B106" s="1632"/>
      <c r="C106" s="2403" t="s">
        <v>568</v>
      </c>
      <c r="D106" s="2404"/>
      <c r="E106" s="2401" t="s">
        <v>527</v>
      </c>
      <c r="F106" s="2402" t="s">
        <v>430</v>
      </c>
      <c r="G106" s="329"/>
      <c r="H106" s="2403" t="s">
        <v>568</v>
      </c>
      <c r="I106" s="2404"/>
      <c r="J106" s="2410" t="s">
        <v>1944</v>
      </c>
      <c r="K106" s="2410" t="s">
        <v>661</v>
      </c>
      <c r="L106" s="329"/>
      <c r="M106" s="329"/>
      <c r="N106" s="329"/>
      <c r="O106" s="329"/>
      <c r="P106" s="329"/>
      <c r="Q106" s="329"/>
      <c r="R106" s="329"/>
      <c r="S106" s="1626"/>
    </row>
    <row r="107" spans="1:19" ht="18" customHeight="1" x14ac:dyDescent="0.2">
      <c r="A107" s="184"/>
      <c r="B107" s="1632"/>
      <c r="C107" s="2401"/>
      <c r="D107" s="2405"/>
      <c r="E107" s="2401"/>
      <c r="F107" s="2402"/>
      <c r="G107" s="329"/>
      <c r="H107" s="2401"/>
      <c r="I107" s="2405"/>
      <c r="J107" s="2410"/>
      <c r="K107" s="2410"/>
      <c r="L107" s="329"/>
      <c r="M107" s="329"/>
      <c r="N107" s="329"/>
      <c r="O107" s="329"/>
      <c r="P107" s="329"/>
      <c r="Q107" s="329"/>
      <c r="R107" s="329"/>
      <c r="S107" s="1626"/>
    </row>
    <row r="108" spans="1:19" ht="18" customHeight="1" x14ac:dyDescent="0.2">
      <c r="A108" s="184"/>
      <c r="B108" s="1632"/>
      <c r="C108" s="2406" t="s">
        <v>580</v>
      </c>
      <c r="D108" s="2407"/>
      <c r="E108" s="2114" t="s">
        <v>991</v>
      </c>
      <c r="F108" s="2115">
        <v>80.766000000000005</v>
      </c>
      <c r="G108" s="329"/>
      <c r="H108" s="2406" t="s">
        <v>1945</v>
      </c>
      <c r="I108" s="2407"/>
      <c r="J108" s="2146">
        <f ca="1">HydroRefineryCalcs!I1491/HydroRefineryCalcs!I1493/(HydroRefineryCalcs!I$1491/HydroRefineryCalcs!I1493+HydroRefineryCalcs!$K1491/HydroRefineryCalcs!K1493+HydroRefineryCalcs!L$1491/HydroRefineryCalcs!L1493)</f>
        <v>0.68178883638241683</v>
      </c>
      <c r="K108" s="2143">
        <f ca="1">HydroRefineryCalcs!I1491/(HydroRefineryCalcs!I$1491+HydroRefineryCalcs!$K1491+HydroRefineryCalcs!L$1491)</f>
        <v>0.61647984705083547</v>
      </c>
      <c r="L108" s="329"/>
      <c r="M108" s="329"/>
      <c r="N108" s="329"/>
      <c r="O108" s="329"/>
      <c r="P108" s="329"/>
      <c r="Q108" s="329"/>
      <c r="R108" s="329"/>
      <c r="S108" s="1626"/>
    </row>
    <row r="109" spans="1:19" ht="18" customHeight="1" x14ac:dyDescent="0.2">
      <c r="A109" s="184"/>
      <c r="B109" s="1632"/>
      <c r="C109" s="2096" t="s">
        <v>1933</v>
      </c>
      <c r="D109" s="2097"/>
      <c r="E109" s="2113" t="s">
        <v>447</v>
      </c>
      <c r="F109" s="2116" t="e">
        <f ca="1">HydroRefineryCalcs!G1499/HydroRefineryCalcs!E1499</f>
        <v>#DIV/0!</v>
      </c>
      <c r="G109" s="329"/>
      <c r="H109" s="2136" t="s">
        <v>1947</v>
      </c>
      <c r="I109" s="2137"/>
      <c r="J109" s="2144">
        <f ca="1">HydroRefineryCalcs!K1491/HydroRefineryCalcs!K1493/(HydroRefineryCalcs!I$1491/HydroRefineryCalcs!I1493+HydroRefineryCalcs!$K1491/HydroRefineryCalcs!K1493+HydroRefineryCalcs!L$1491/HydroRefineryCalcs!L1493)</f>
        <v>0.27218771114397911</v>
      </c>
      <c r="K109" s="2147">
        <f ca="1">HydroRefineryCalcs!K1491/(HydroRefineryCalcs!I$1491+HydroRefineryCalcs!$K1491+HydroRefineryCalcs!L$1491)</f>
        <v>0.32824008323271286</v>
      </c>
      <c r="L109" s="329"/>
      <c r="M109" s="329"/>
      <c r="N109" s="329"/>
      <c r="O109" s="329"/>
      <c r="P109" s="329"/>
      <c r="Q109" s="329"/>
      <c r="R109" s="329"/>
      <c r="S109" s="1626"/>
    </row>
    <row r="110" spans="1:19" ht="18" customHeight="1" x14ac:dyDescent="0.2">
      <c r="A110" s="184"/>
      <c r="B110" s="1632"/>
      <c r="C110" s="2096" t="s">
        <v>793</v>
      </c>
      <c r="D110" s="2097"/>
      <c r="E110" s="2113" t="s">
        <v>633</v>
      </c>
      <c r="F110" s="953">
        <f ca="1">HydroRefineryCalcs!M1499</f>
        <v>0</v>
      </c>
      <c r="G110" s="329"/>
      <c r="H110" s="2117" t="s">
        <v>1946</v>
      </c>
      <c r="I110" s="952"/>
      <c r="J110" s="2145">
        <f ca="1">HydroRefineryCalcs!L1491/HydroRefineryCalcs!L1493/(HydroRefineryCalcs!I$1491/HydroRefineryCalcs!I1493+HydroRefineryCalcs!$K1491/HydroRefineryCalcs!K1493+HydroRefineryCalcs!L$1491/HydroRefineryCalcs!L1493)</f>
        <v>4.6023452473604003E-2</v>
      </c>
      <c r="K110" s="2148">
        <f ca="1">HydroRefineryCalcs!K1491/(HydroRefineryCalcs!I$1491+HydroRefineryCalcs!$K1491+HydroRefineryCalcs!L$1491)</f>
        <v>0.32824008323271286</v>
      </c>
      <c r="L110" s="329"/>
      <c r="M110" s="329"/>
      <c r="N110" s="329"/>
      <c r="O110" s="329"/>
      <c r="P110" s="329"/>
      <c r="Q110" s="329"/>
      <c r="R110" s="329"/>
      <c r="S110" s="1626"/>
    </row>
    <row r="111" spans="1:19" ht="18" customHeight="1" x14ac:dyDescent="0.2">
      <c r="A111" s="184"/>
      <c r="B111" s="1632"/>
      <c r="C111" s="2096"/>
      <c r="D111" s="2097"/>
      <c r="E111" s="954"/>
      <c r="F111" s="953"/>
      <c r="G111" s="329"/>
      <c r="H111" s="329"/>
      <c r="I111" s="329"/>
      <c r="J111" s="329"/>
      <c r="K111" s="329"/>
      <c r="L111" s="329"/>
      <c r="M111" s="329"/>
      <c r="N111" s="329"/>
      <c r="O111" s="329"/>
      <c r="P111" s="329"/>
      <c r="Q111" s="329"/>
      <c r="R111" s="329"/>
      <c r="S111" s="1626"/>
    </row>
    <row r="112" spans="1:19" ht="18" customHeight="1" x14ac:dyDescent="0.2">
      <c r="A112" s="184"/>
      <c r="B112" s="1632"/>
      <c r="C112" s="2096" t="s">
        <v>1934</v>
      </c>
      <c r="D112" s="2097"/>
      <c r="E112" s="2113" t="s">
        <v>622</v>
      </c>
      <c r="F112" s="953">
        <f ca="1">HydroRefineryCalcs!E1499</f>
        <v>0</v>
      </c>
      <c r="G112" s="329"/>
      <c r="H112" s="329"/>
      <c r="I112" s="329"/>
      <c r="J112" s="329"/>
      <c r="K112" s="329"/>
      <c r="L112" s="329"/>
      <c r="M112" s="329"/>
      <c r="N112" s="329"/>
      <c r="O112" s="329"/>
      <c r="P112" s="329"/>
      <c r="Q112" s="329"/>
      <c r="R112" s="329"/>
      <c r="S112" s="1626"/>
    </row>
    <row r="113" spans="1:19" ht="18" customHeight="1" x14ac:dyDescent="0.2">
      <c r="A113" s="184"/>
      <c r="B113" s="1632"/>
      <c r="C113" s="2117" t="s">
        <v>1935</v>
      </c>
      <c r="D113" s="2118"/>
      <c r="E113" s="2119" t="s">
        <v>1604</v>
      </c>
      <c r="F113" s="2120">
        <f ca="1">F112/F108</f>
        <v>0</v>
      </c>
      <c r="G113" s="329"/>
      <c r="H113" s="329"/>
      <c r="I113" s="329"/>
      <c r="J113" s="329"/>
      <c r="K113" s="329"/>
      <c r="L113" s="329"/>
      <c r="M113" s="329"/>
      <c r="N113" s="329"/>
      <c r="O113" s="329"/>
      <c r="P113" s="329"/>
      <c r="Q113" s="329"/>
      <c r="R113" s="329"/>
      <c r="S113" s="1626"/>
    </row>
    <row r="114" spans="1:19" ht="18" customHeight="1" thickBot="1" x14ac:dyDescent="0.25">
      <c r="A114" s="184"/>
      <c r="B114" s="2033"/>
      <c r="C114" s="1976"/>
      <c r="D114" s="1976"/>
      <c r="E114" s="1976"/>
      <c r="F114" s="1976"/>
      <c r="G114" s="1976"/>
      <c r="H114" s="1976"/>
      <c r="I114" s="1976"/>
      <c r="J114" s="1976"/>
      <c r="K114" s="1976"/>
      <c r="L114" s="1976"/>
      <c r="M114" s="1976"/>
      <c r="N114" s="1976"/>
      <c r="O114" s="1976"/>
      <c r="P114" s="1976"/>
      <c r="Q114" s="1976"/>
      <c r="R114" s="1976"/>
      <c r="S114" s="2056"/>
    </row>
  </sheetData>
  <mergeCells count="41">
    <mergeCell ref="H104:I105"/>
    <mergeCell ref="H106:I107"/>
    <mergeCell ref="J106:J107"/>
    <mergeCell ref="K106:K107"/>
    <mergeCell ref="H108:I108"/>
    <mergeCell ref="C104:D105"/>
    <mergeCell ref="C106:D107"/>
    <mergeCell ref="E106:E107"/>
    <mergeCell ref="F106:F107"/>
    <mergeCell ref="C108:D108"/>
    <mergeCell ref="J41:J42"/>
    <mergeCell ref="K41:K42"/>
    <mergeCell ref="L41:L42"/>
    <mergeCell ref="M41:M42"/>
    <mergeCell ref="C41:D42"/>
    <mergeCell ref="E41:E42"/>
    <mergeCell ref="F41:F42"/>
    <mergeCell ref="G41:G42"/>
    <mergeCell ref="H41:H42"/>
    <mergeCell ref="I41:I42"/>
    <mergeCell ref="B2:S3"/>
    <mergeCell ref="C43:D43"/>
    <mergeCell ref="E40:J40"/>
    <mergeCell ref="M6:R6"/>
    <mergeCell ref="C7:D7"/>
    <mergeCell ref="E7:F7"/>
    <mergeCell ref="G7:H7"/>
    <mergeCell ref="I7:J7"/>
    <mergeCell ref="K7:L7"/>
    <mergeCell ref="M7:N7"/>
    <mergeCell ref="O7:P7"/>
    <mergeCell ref="Q7:R7"/>
    <mergeCell ref="C22:D22"/>
    <mergeCell ref="C25:D25"/>
    <mergeCell ref="C8:D8"/>
    <mergeCell ref="C13:D13"/>
    <mergeCell ref="C5:D6"/>
    <mergeCell ref="C39:D40"/>
    <mergeCell ref="K40:M40"/>
    <mergeCell ref="C28:D28"/>
    <mergeCell ref="E6:L6"/>
  </mergeCells>
  <conditionalFormatting sqref="K29:L31 E9:J31 K9:L27 M9:R31 E43:M66">
    <cfRule type="cellIs" dxfId="30" priority="14" operator="lessThan">
      <formula>0</formula>
    </cfRule>
  </conditionalFormatting>
  <conditionalFormatting sqref="E41:M41">
    <cfRule type="cellIs" dxfId="29" priority="9" operator="lessThan">
      <formula>0</formula>
    </cfRule>
  </conditionalFormatting>
  <conditionalFormatting sqref="E67:J67">
    <cfRule type="cellIs" dxfId="28" priority="8" operator="lessThan">
      <formula>0</formula>
    </cfRule>
  </conditionalFormatting>
  <conditionalFormatting sqref="C106 C108:F108 E106:F106 C109:D112 C113">
    <cfRule type="cellIs" dxfId="27" priority="7" operator="lessThan">
      <formula>0</formula>
    </cfRule>
  </conditionalFormatting>
  <conditionalFormatting sqref="H108:I108 K108">
    <cfRule type="cellIs" dxfId="26" priority="6" operator="lessThan">
      <formula>0</formula>
    </cfRule>
  </conditionalFormatting>
  <conditionalFormatting sqref="H106 J106 H109:I110">
    <cfRule type="cellIs" dxfId="25" priority="5" operator="lessThan">
      <formula>0</formula>
    </cfRule>
  </conditionalFormatting>
  <conditionalFormatting sqref="K106">
    <cfRule type="cellIs" dxfId="24" priority="4" operator="lessThan">
      <formula>0</formula>
    </cfRule>
  </conditionalFormatting>
  <conditionalFormatting sqref="K109">
    <cfRule type="cellIs" dxfId="23" priority="3" operator="lessThan">
      <formula>0</formula>
    </cfRule>
  </conditionalFormatting>
  <conditionalFormatting sqref="K110">
    <cfRule type="cellIs" dxfId="22" priority="2" operator="lessThan">
      <formula>0</formula>
    </cfRule>
  </conditionalFormatting>
  <conditionalFormatting sqref="J108">
    <cfRule type="cellIs" dxfId="21" priority="1" operator="lessThan">
      <formula>0</formula>
    </cfRule>
  </conditionalFormatting>
  <pageMargins left="0.70866141732283472" right="0.70866141732283472" top="0.74803149606299213" bottom="0.74803149606299213" header="0.31496062992125984" footer="0.31496062992125984"/>
  <ignoredErrors>
    <ignoredError sqref="F11:O33 F10:G10 H10:O10 H9:O9 E32 P32:R32 I45:J65 I66:J66 F68:J68 F66:H66 E55:E65 G44:J44" emptyCellReference="1"/>
  </ignoredErrors>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tabColor rgb="FF0450FF"/>
    <pageSetUpPr fitToPage="1"/>
  </sheetPr>
  <dimension ref="A1:EF322"/>
  <sheetViews>
    <sheetView zoomScale="55" zoomScaleNormal="55" zoomScalePageLayoutView="55" workbookViewId="0">
      <selection activeCell="M2" sqref="M2"/>
    </sheetView>
  </sheetViews>
  <sheetFormatPr defaultColWidth="9.140625" defaultRowHeight="12.75" customHeight="1" x14ac:dyDescent="0.2"/>
  <cols>
    <col min="2" max="2" width="1.42578125" customWidth="1"/>
    <col min="3" max="3" width="14.7109375" customWidth="1"/>
    <col min="4" max="4" width="12.7109375" customWidth="1"/>
    <col min="5" max="5" width="17.42578125" customWidth="1"/>
    <col min="6" max="6" width="12.42578125" customWidth="1"/>
    <col min="7" max="7" width="15" customWidth="1"/>
    <col min="8" max="10" width="10.7109375" customWidth="1"/>
    <col min="11" max="11" width="8.140625" customWidth="1"/>
    <col min="12" max="12" width="17.140625" customWidth="1"/>
    <col min="13" max="13" width="14.85546875" customWidth="1"/>
    <col min="14" max="14" width="15.42578125" customWidth="1"/>
    <col min="15" max="15" width="13.85546875" customWidth="1"/>
    <col min="16" max="16" width="13.42578125" customWidth="1"/>
    <col min="17" max="17" width="13.85546875" customWidth="1"/>
    <col min="18" max="18" width="13.42578125" customWidth="1"/>
    <col min="19" max="19" width="13.85546875" customWidth="1"/>
    <col min="20" max="20" width="15.7109375" customWidth="1"/>
    <col min="21" max="21" width="15.42578125" customWidth="1"/>
    <col min="22" max="22" width="15.7109375" customWidth="1"/>
    <col min="23" max="23" width="15.28515625" customWidth="1"/>
    <col min="24" max="24" width="9.140625" customWidth="1"/>
    <col min="25" max="25" width="13" customWidth="1"/>
    <col min="26" max="26" width="22.42578125" customWidth="1"/>
    <col min="27" max="27" width="19.5703125" bestFit="1" customWidth="1"/>
    <col min="28" max="28" width="12.42578125" customWidth="1"/>
    <col min="29" max="29" width="15.42578125" customWidth="1"/>
    <col min="30" max="30" width="9.140625" customWidth="1"/>
    <col min="31" max="31" width="13.85546875" customWidth="1"/>
    <col min="32" max="35" width="11.28515625" customWidth="1"/>
    <col min="36" max="36" width="9.140625" customWidth="1"/>
    <col min="37" max="37" width="11.42578125" customWidth="1"/>
    <col min="38" max="38" width="22.85546875" customWidth="1"/>
    <col min="39" max="40" width="20.7109375" customWidth="1"/>
    <col min="41" max="42" width="9.28515625" customWidth="1"/>
    <col min="43" max="44" width="16.140625" customWidth="1"/>
    <col min="45" max="45" width="17.42578125" customWidth="1"/>
    <col min="46" max="46" width="16.42578125" customWidth="1"/>
    <col min="47" max="47" width="14.28515625" customWidth="1"/>
    <col min="48" max="48" width="12.140625" customWidth="1"/>
    <col min="49" max="49" width="11" customWidth="1"/>
    <col min="50" max="50" width="10.42578125" customWidth="1"/>
    <col min="51" max="51" width="9.140625" customWidth="1"/>
    <col min="52" max="52" width="15.7109375" customWidth="1"/>
    <col min="53" max="53" width="11.42578125" customWidth="1"/>
    <col min="54" max="54" width="15.28515625" customWidth="1"/>
    <col min="55" max="55" width="9.140625" customWidth="1"/>
    <col min="56" max="56" width="16.28515625" customWidth="1"/>
    <col min="57" max="57" width="12" customWidth="1"/>
    <col min="58" max="58" width="11.42578125" customWidth="1"/>
    <col min="59" max="60" width="13.42578125" customWidth="1"/>
    <col min="61" max="61" width="16.42578125" customWidth="1"/>
    <col min="62" max="63" width="13.42578125" customWidth="1"/>
    <col min="64" max="64" width="15.140625" customWidth="1"/>
    <col min="65" max="65" width="14.7109375" customWidth="1"/>
    <col min="66" max="66" width="14.85546875" customWidth="1"/>
    <col min="67" max="69" width="15.85546875" customWidth="1"/>
    <col min="70" max="70" width="14" customWidth="1"/>
    <col min="71" max="71" width="12.42578125" customWidth="1"/>
    <col min="72" max="72" width="16.140625" customWidth="1"/>
    <col min="73" max="73" width="8.42578125" customWidth="1"/>
    <col min="74" max="74" width="15.42578125" customWidth="1"/>
    <col min="75" max="75" width="13.42578125" customWidth="1"/>
    <col min="76" max="76" width="19" customWidth="1"/>
    <col min="77" max="77" width="17.42578125" customWidth="1"/>
    <col min="78" max="78" width="14" customWidth="1"/>
    <col min="79" max="79" width="13" customWidth="1"/>
    <col min="80" max="80" width="20.28515625" customWidth="1"/>
    <col min="81" max="81" width="18.140625" customWidth="1"/>
    <col min="82" max="82" width="13" customWidth="1"/>
    <col min="83" max="83" width="15.42578125" customWidth="1"/>
    <col min="84" max="84" width="15" customWidth="1"/>
    <col min="85" max="85" width="16.42578125" customWidth="1"/>
    <col min="86" max="87" width="14.7109375" customWidth="1"/>
    <col min="88" max="88" width="17.42578125" customWidth="1"/>
    <col min="89" max="89" width="9.140625" customWidth="1"/>
    <col min="90" max="90" width="16.140625" customWidth="1"/>
    <col min="91" max="91" width="17.140625" customWidth="1"/>
    <col min="92" max="93" width="15" customWidth="1"/>
    <col min="94" max="96" width="12.42578125" customWidth="1"/>
    <col min="97" max="97" width="16.28515625" customWidth="1"/>
    <col min="98" max="98" width="16" customWidth="1"/>
    <col min="99" max="99" width="18.140625" customWidth="1"/>
    <col min="100" max="100" width="14.7109375" customWidth="1"/>
    <col min="101" max="101" width="15.42578125" customWidth="1"/>
    <col min="102" max="102" width="14.85546875" customWidth="1"/>
    <col min="103" max="104" width="9.140625" customWidth="1"/>
    <col min="105" max="105" width="18" customWidth="1"/>
    <col min="106" max="106" width="86.42578125" bestFit="1" customWidth="1"/>
    <col min="107" max="107" width="13" customWidth="1"/>
    <col min="108" max="108" width="15.42578125" customWidth="1"/>
    <col min="109" max="109" width="17.42578125" customWidth="1"/>
    <col min="110" max="110" width="10" customWidth="1"/>
    <col min="111" max="111" width="22.42578125" customWidth="1"/>
    <col min="112" max="112" width="64.28515625" customWidth="1"/>
    <col min="113" max="113" width="9.140625" customWidth="1"/>
    <col min="114" max="114" width="16.85546875" customWidth="1"/>
    <col min="115" max="115" width="16.42578125" customWidth="1"/>
    <col min="116" max="116" width="19.85546875" customWidth="1"/>
    <col min="117" max="117" width="18" customWidth="1"/>
    <col min="118" max="118" width="15.42578125" customWidth="1"/>
    <col min="119" max="119" width="13.42578125" customWidth="1"/>
    <col min="120" max="120" width="9.42578125" customWidth="1"/>
    <col min="121" max="121" width="15" customWidth="1"/>
    <col min="122" max="122" width="14" customWidth="1"/>
    <col min="123" max="124" width="9.140625" customWidth="1"/>
    <col min="125" max="125" width="25.7109375" customWidth="1"/>
    <col min="126" max="129" width="21.85546875" customWidth="1"/>
    <col min="130" max="130" width="17.7109375" customWidth="1"/>
    <col min="131" max="131" width="20.85546875" customWidth="1"/>
    <col min="132" max="132" width="21.85546875" customWidth="1"/>
    <col min="133" max="133" width="9.140625" customWidth="1"/>
    <col min="134" max="134" width="20.140625" bestFit="1" customWidth="1"/>
    <col min="135" max="135" width="23.7109375" bestFit="1" customWidth="1"/>
    <col min="136" max="136" width="14.42578125" bestFit="1" customWidth="1"/>
    <col min="151" max="152" width="9.140625" customWidth="1"/>
  </cols>
  <sheetData>
    <row r="1" spans="1:132" ht="12.75" customHeight="1" x14ac:dyDescent="0.2">
      <c r="A1" s="1160"/>
      <c r="B1" s="1160"/>
      <c r="C1" s="1160"/>
      <c r="D1" s="1160"/>
      <c r="E1" s="1160"/>
      <c r="F1" s="1160"/>
      <c r="G1" s="1160"/>
      <c r="H1" s="1160"/>
      <c r="I1" s="1160"/>
      <c r="J1" s="1160"/>
      <c r="K1" s="1160"/>
      <c r="L1" s="1160"/>
      <c r="M1" s="1160"/>
      <c r="N1" s="1160"/>
      <c r="O1" s="1160"/>
      <c r="P1" s="1160"/>
      <c r="Q1" s="1160"/>
      <c r="R1" s="1160"/>
      <c r="S1" s="1160"/>
      <c r="T1" s="1160"/>
      <c r="U1" s="1160"/>
      <c r="V1" s="1160"/>
      <c r="W1" s="1160"/>
      <c r="X1" s="1160"/>
      <c r="Y1" s="1160"/>
      <c r="Z1" s="1160"/>
      <c r="AA1" s="1160"/>
      <c r="AB1" s="1160"/>
      <c r="AC1" s="1160"/>
      <c r="AD1" s="1160"/>
      <c r="AE1" s="1160"/>
      <c r="AF1" s="1160"/>
      <c r="AG1" s="1160"/>
      <c r="AH1" s="1160"/>
      <c r="AI1" s="1160"/>
      <c r="AJ1" s="1160"/>
      <c r="AK1" s="1160"/>
      <c r="AL1" s="1160"/>
      <c r="AM1" s="1160"/>
      <c r="AN1" s="1160"/>
      <c r="AO1" s="1160"/>
      <c r="AP1" s="1160"/>
      <c r="AQ1" s="1160"/>
      <c r="AR1" s="1160"/>
      <c r="AS1" s="1160"/>
      <c r="AT1" s="1160"/>
      <c r="AU1" s="1160"/>
      <c r="AV1" s="1160"/>
      <c r="AW1" s="1160"/>
      <c r="AX1" s="1160"/>
      <c r="AY1" s="1160"/>
      <c r="AZ1" s="1160"/>
      <c r="BA1" s="1160"/>
      <c r="BB1" s="1160"/>
      <c r="BC1" s="1160"/>
      <c r="BD1" s="1160"/>
      <c r="BE1" s="1160"/>
      <c r="BF1" s="1160"/>
      <c r="BG1" s="1160"/>
      <c r="BH1" s="1160"/>
      <c r="BI1" s="1160"/>
      <c r="BJ1" s="1160"/>
      <c r="BK1" s="1160"/>
      <c r="BL1" s="1160"/>
      <c r="BM1" s="1160"/>
      <c r="BN1" s="1160"/>
      <c r="BO1" s="1160"/>
      <c r="BP1" s="1160"/>
      <c r="BQ1" s="1160"/>
      <c r="BR1" s="1160"/>
      <c r="BS1" s="1160"/>
      <c r="BT1" s="1160"/>
      <c r="BU1" s="1160"/>
      <c r="BV1" s="1160"/>
      <c r="BW1" s="1160"/>
      <c r="BX1" s="1160"/>
      <c r="BY1" s="1160"/>
      <c r="BZ1" s="1160"/>
      <c r="CA1" s="1160"/>
      <c r="CB1" s="1160"/>
      <c r="CC1" s="1160"/>
      <c r="CD1" s="1160"/>
      <c r="CE1" s="1160"/>
      <c r="CF1" s="1160"/>
      <c r="CG1" s="1160"/>
      <c r="CH1" s="1160"/>
      <c r="CI1" s="1160"/>
      <c r="CJ1" s="1160"/>
      <c r="CK1" s="1160"/>
      <c r="CL1" s="1160"/>
      <c r="CM1" s="1160"/>
      <c r="CN1" s="1160"/>
      <c r="CO1" s="1160"/>
      <c r="CP1" s="1160"/>
      <c r="CQ1" s="1160"/>
      <c r="CR1" s="1160"/>
      <c r="CS1" s="1160"/>
      <c r="CT1" s="1160"/>
      <c r="CU1" s="1160"/>
      <c r="CV1" s="1160"/>
      <c r="CW1" s="1160"/>
      <c r="CX1" s="1160"/>
      <c r="CY1" s="1160"/>
      <c r="CZ1" s="1160"/>
      <c r="DA1" s="1160"/>
      <c r="DB1" s="1160"/>
      <c r="DC1" s="1160"/>
      <c r="DD1" s="1160"/>
      <c r="DE1" s="1160"/>
      <c r="DF1" s="1160"/>
      <c r="DG1" s="1160"/>
      <c r="DH1" s="1160"/>
      <c r="DI1" s="1160"/>
      <c r="DJ1" s="1160"/>
      <c r="DK1" s="1160"/>
      <c r="DL1" s="1160"/>
      <c r="DM1" s="1160"/>
      <c r="DN1" s="1160"/>
      <c r="DO1" s="1160"/>
      <c r="DP1" s="1160"/>
      <c r="DQ1" s="1160"/>
      <c r="DR1" s="1160"/>
      <c r="DS1" s="1160"/>
      <c r="DT1" s="1160"/>
      <c r="DU1" s="1160"/>
      <c r="DV1" s="1160"/>
      <c r="DW1" s="1160"/>
      <c r="DX1" s="1160"/>
      <c r="DY1" s="1160"/>
      <c r="DZ1" s="1160"/>
      <c r="EA1" s="1160"/>
      <c r="EB1" s="1160"/>
    </row>
    <row r="2" spans="1:132" ht="12.75" customHeight="1" x14ac:dyDescent="0.2">
      <c r="A2" s="1160"/>
      <c r="B2" s="1161"/>
      <c r="C2" s="2430" t="s">
        <v>1693</v>
      </c>
      <c r="D2" s="2430"/>
      <c r="E2" s="2430"/>
      <c r="F2" s="2430"/>
      <c r="G2" s="2430"/>
      <c r="H2" s="2430"/>
      <c r="I2" s="2430"/>
      <c r="J2" s="2430"/>
      <c r="K2" s="2430"/>
      <c r="L2" s="2430"/>
      <c r="M2" s="1160"/>
      <c r="N2" s="1160"/>
      <c r="O2" s="1160"/>
      <c r="P2" s="1160"/>
      <c r="Q2" s="1160"/>
      <c r="R2" s="1160"/>
      <c r="S2" s="1160"/>
      <c r="T2" s="1160"/>
      <c r="U2" s="1160"/>
      <c r="V2" s="1160"/>
      <c r="W2" s="1160"/>
      <c r="X2" s="1160"/>
      <c r="Y2" s="1160"/>
      <c r="Z2" s="1160"/>
      <c r="AA2" s="1160"/>
      <c r="AB2" s="1160"/>
      <c r="AC2" s="1160"/>
      <c r="AD2" s="1160"/>
      <c r="AE2" s="1160"/>
      <c r="AF2" s="1160"/>
      <c r="AG2" s="1160"/>
      <c r="AH2" s="1160"/>
      <c r="AI2" s="1160"/>
      <c r="AJ2" s="1160"/>
      <c r="AK2" s="1160"/>
      <c r="AL2" s="1160"/>
      <c r="AM2" s="1160"/>
      <c r="AN2" s="1160"/>
      <c r="AO2" s="1160"/>
      <c r="AP2" s="1160"/>
      <c r="AQ2" s="1160"/>
      <c r="AR2" s="1160"/>
      <c r="AS2" s="1160"/>
      <c r="AT2" s="1160"/>
      <c r="AU2" s="1160"/>
      <c r="AV2" s="1160"/>
      <c r="AW2" s="1160"/>
      <c r="AX2" s="1160"/>
      <c r="AY2" s="1160"/>
      <c r="AZ2" s="1160"/>
      <c r="BA2" s="1160"/>
      <c r="BB2" s="1160"/>
      <c r="BC2" s="1160"/>
      <c r="BD2" s="1160"/>
      <c r="BE2" s="1160"/>
      <c r="BF2" s="1160"/>
      <c r="BG2" s="1160"/>
      <c r="BH2" s="1160"/>
      <c r="BI2" s="1160"/>
      <c r="BJ2" s="1160"/>
      <c r="BK2" s="1160"/>
      <c r="BL2" s="1160"/>
      <c r="BM2" s="1160"/>
      <c r="BN2" s="1160"/>
      <c r="BO2" s="1160"/>
      <c r="BP2" s="1160"/>
      <c r="BQ2" s="1160"/>
      <c r="BR2" s="1160"/>
      <c r="BS2" s="1160"/>
      <c r="BT2" s="1160"/>
      <c r="BU2" s="1160"/>
      <c r="BV2" s="1160"/>
      <c r="BW2" s="1160"/>
      <c r="BX2" s="1160"/>
      <c r="BY2" s="1160"/>
      <c r="BZ2" s="1160"/>
      <c r="CA2" s="1160"/>
      <c r="CB2" s="1160"/>
      <c r="CC2" s="1160"/>
      <c r="CD2" s="1160"/>
      <c r="CE2" s="1160"/>
      <c r="CF2" s="1160"/>
      <c r="CG2" s="1160"/>
      <c r="CH2" s="1160"/>
      <c r="CI2" s="1160"/>
      <c r="CJ2" s="1160"/>
      <c r="CK2" s="1160"/>
      <c r="CL2" s="1160"/>
      <c r="CM2" s="1160"/>
      <c r="CN2" s="1160"/>
      <c r="CO2" s="1160"/>
      <c r="CP2" s="1160"/>
      <c r="CQ2" s="1160"/>
      <c r="CR2" s="1160"/>
      <c r="CS2" s="1160"/>
      <c r="CT2" s="1160"/>
      <c r="CU2" s="1160"/>
      <c r="CV2" s="1160"/>
      <c r="CW2" s="1160"/>
      <c r="CX2" s="1160"/>
      <c r="CY2" s="1160"/>
      <c r="CZ2" s="1160"/>
      <c r="DA2" s="1160"/>
      <c r="DB2" s="1160"/>
      <c r="DC2" s="1160"/>
      <c r="DD2" s="1160"/>
      <c r="DE2" s="1160"/>
      <c r="DF2" s="1160"/>
      <c r="DG2" s="1160"/>
      <c r="DH2" s="1160"/>
      <c r="DI2" s="1160"/>
      <c r="DJ2" s="1160"/>
      <c r="DK2" s="1160"/>
      <c r="DL2" s="1160"/>
      <c r="DM2" s="1160"/>
      <c r="DN2" s="1160"/>
      <c r="DO2" s="1160"/>
      <c r="DP2" s="1160"/>
      <c r="DQ2" s="1160"/>
      <c r="DR2" s="1160"/>
      <c r="DS2" s="1160"/>
      <c r="DT2" s="1160"/>
      <c r="DU2" s="1160"/>
      <c r="DV2" s="1160"/>
      <c r="DW2" s="1160"/>
      <c r="DX2" s="1160"/>
      <c r="DY2" s="1160"/>
      <c r="DZ2" s="1160"/>
      <c r="EA2" s="1160"/>
      <c r="EB2" s="1160"/>
    </row>
    <row r="3" spans="1:132" ht="12.75" customHeight="1" x14ac:dyDescent="0.2">
      <c r="A3" s="1160"/>
      <c r="B3" s="1161"/>
      <c r="C3" s="2430"/>
      <c r="D3" s="2430"/>
      <c r="E3" s="2430"/>
      <c r="F3" s="2430"/>
      <c r="G3" s="2430"/>
      <c r="H3" s="2430"/>
      <c r="I3" s="2430"/>
      <c r="J3" s="2430"/>
      <c r="K3" s="2430"/>
      <c r="L3" s="2430"/>
      <c r="M3" s="1160"/>
      <c r="N3" s="1160"/>
      <c r="O3" s="1160"/>
      <c r="P3" s="1160"/>
      <c r="Q3" s="1160"/>
      <c r="R3" s="1160"/>
      <c r="S3" s="1160"/>
      <c r="T3" s="1160"/>
      <c r="U3" s="1160"/>
      <c r="V3" s="1160"/>
      <c r="W3" s="1160"/>
      <c r="X3" s="1160"/>
      <c r="Y3" s="1160"/>
      <c r="Z3" s="1160"/>
      <c r="AA3" s="1160"/>
      <c r="AB3" s="1160"/>
      <c r="AC3" s="1160"/>
      <c r="AD3" s="1160"/>
      <c r="AE3" s="1160"/>
      <c r="AF3" s="1160"/>
      <c r="AG3" s="1160"/>
      <c r="AH3" s="1160"/>
      <c r="AI3" s="1160"/>
      <c r="AJ3" s="1160"/>
      <c r="AK3" s="1160"/>
      <c r="AL3" s="1160"/>
      <c r="AM3" s="1160"/>
      <c r="AN3" s="1160"/>
      <c r="AO3" s="1160"/>
      <c r="AP3" s="1160"/>
      <c r="AQ3" s="1160"/>
      <c r="AR3" s="1160"/>
      <c r="AS3" s="1160"/>
      <c r="AT3" s="1160"/>
      <c r="AU3" s="1160"/>
      <c r="AV3" s="1160"/>
      <c r="AW3" s="1160"/>
      <c r="AX3" s="1160"/>
      <c r="AY3" s="1160"/>
      <c r="AZ3" s="1160"/>
      <c r="BA3" s="1160"/>
      <c r="BB3" s="1160"/>
      <c r="BC3" s="1160"/>
      <c r="BD3" s="1160"/>
      <c r="BE3" s="1160"/>
      <c r="BF3" s="1160"/>
      <c r="BG3" s="1160"/>
      <c r="BH3" s="1160"/>
      <c r="BI3" s="1160"/>
      <c r="BJ3" s="1160"/>
      <c r="BK3" s="1160"/>
      <c r="BL3" s="1160"/>
      <c r="BM3" s="1160"/>
      <c r="BN3" s="1160"/>
      <c r="BO3" s="1160"/>
      <c r="BP3" s="1160"/>
      <c r="BQ3" s="1160"/>
      <c r="BR3" s="1160"/>
      <c r="BS3" s="1160"/>
      <c r="BT3" s="1160"/>
      <c r="BU3" s="1160"/>
      <c r="BV3" s="1160"/>
      <c r="BW3" s="1160"/>
      <c r="BX3" s="1160"/>
      <c r="BY3" s="1160"/>
      <c r="BZ3" s="1160"/>
      <c r="CA3" s="1160"/>
      <c r="CB3" s="1160"/>
      <c r="CC3" s="1160"/>
      <c r="CD3" s="1160"/>
      <c r="CE3" s="1160"/>
      <c r="CF3" s="1160"/>
      <c r="CG3" s="1160"/>
      <c r="CH3" s="1160"/>
      <c r="CI3" s="1160"/>
      <c r="CJ3" s="1160"/>
      <c r="CK3" s="1160"/>
      <c r="CL3" s="1160"/>
      <c r="CM3" s="1160"/>
      <c r="CN3" s="1160"/>
      <c r="CO3" s="1160"/>
      <c r="CP3" s="1160"/>
      <c r="CQ3" s="1160"/>
      <c r="CR3" s="1160"/>
      <c r="CS3" s="1160"/>
      <c r="CT3" s="1160"/>
      <c r="CU3" s="1160"/>
      <c r="CV3" s="1160"/>
      <c r="CW3" s="1160"/>
      <c r="CX3" s="1160"/>
      <c r="CY3" s="1160"/>
      <c r="CZ3" s="1160"/>
      <c r="DA3" s="1160"/>
      <c r="DB3" s="1160"/>
      <c r="DC3" s="1160"/>
      <c r="DD3" s="1160"/>
      <c r="DE3" s="1160"/>
      <c r="DF3" s="1160"/>
      <c r="DG3" s="1160"/>
      <c r="DH3" s="1160"/>
      <c r="DI3" s="1160"/>
      <c r="DJ3" s="1160"/>
      <c r="DK3" s="1160"/>
      <c r="DL3" s="1160"/>
      <c r="DM3" s="1160"/>
      <c r="DN3" s="1160"/>
      <c r="DO3" s="1160"/>
      <c r="DP3" s="1160"/>
      <c r="DQ3" s="1160"/>
      <c r="DR3" s="1160"/>
      <c r="DS3" s="1160"/>
      <c r="DT3" s="1160"/>
      <c r="DU3" s="1160"/>
      <c r="DV3" s="1160"/>
      <c r="DW3" s="1160"/>
      <c r="DX3" s="1160"/>
      <c r="DY3" s="1160"/>
      <c r="DZ3" s="1160"/>
      <c r="EA3" s="1160"/>
      <c r="EB3" s="1160"/>
    </row>
    <row r="4" spans="1:132" ht="15" customHeight="1" thickBot="1" x14ac:dyDescent="0.25">
      <c r="A4" s="1160"/>
      <c r="B4" s="1160"/>
      <c r="C4" s="1160"/>
      <c r="D4" s="1160"/>
      <c r="E4" s="1160"/>
      <c r="F4" s="1160"/>
      <c r="G4" s="1160"/>
      <c r="H4" s="1160"/>
      <c r="I4" s="1160"/>
      <c r="J4" s="1160"/>
      <c r="K4" s="1160"/>
      <c r="L4" s="1160"/>
      <c r="M4" s="1160"/>
      <c r="N4" s="1160"/>
      <c r="O4" s="1160"/>
      <c r="P4" s="1160"/>
      <c r="Q4" s="1160"/>
      <c r="R4" s="1160"/>
      <c r="S4" s="1160"/>
      <c r="T4" s="1160"/>
      <c r="U4" s="1160"/>
      <c r="V4" s="1160"/>
      <c r="W4" s="1160"/>
      <c r="X4" s="1160"/>
      <c r="Y4" s="1160"/>
      <c r="Z4" s="1160"/>
      <c r="AA4" s="1160"/>
      <c r="AB4" s="1160"/>
      <c r="AC4" s="1160"/>
      <c r="AD4" s="1160"/>
      <c r="AE4" s="1160"/>
      <c r="AF4" s="1160"/>
      <c r="AG4" s="1160"/>
      <c r="AH4" s="1160"/>
      <c r="AI4" s="1160"/>
      <c r="AJ4" s="1160"/>
      <c r="AK4" s="1160"/>
      <c r="AL4" s="1160"/>
      <c r="AM4" s="1160"/>
      <c r="AN4" s="1160"/>
      <c r="AO4" s="1160"/>
      <c r="AP4" s="1160"/>
      <c r="AQ4" s="1160"/>
      <c r="AR4" s="1160"/>
      <c r="AS4" s="1160"/>
      <c r="AT4" s="1160"/>
      <c r="AU4" s="1160"/>
      <c r="AV4" s="1160"/>
      <c r="AW4" s="1160"/>
      <c r="AX4" s="1160"/>
      <c r="AY4" s="1160"/>
      <c r="AZ4" s="1160"/>
      <c r="BA4" s="1160"/>
      <c r="BB4" s="1160"/>
      <c r="BC4" s="1160"/>
      <c r="BD4" s="1160"/>
      <c r="BE4" s="1160"/>
      <c r="BF4" s="1160"/>
      <c r="BG4" s="1160"/>
      <c r="BH4" s="1160"/>
      <c r="BI4" s="1160"/>
      <c r="BJ4" s="1160"/>
      <c r="BK4" s="1160"/>
      <c r="BL4" s="1160"/>
      <c r="BM4" s="1160"/>
      <c r="BN4" s="1160"/>
      <c r="BO4" s="1160"/>
      <c r="BP4" s="1160"/>
      <c r="BQ4" s="1160"/>
      <c r="BR4" s="1160"/>
      <c r="BS4" s="1160"/>
      <c r="BT4" s="1160"/>
      <c r="BU4" s="1160"/>
      <c r="BV4" s="1160"/>
      <c r="BW4" s="1160"/>
      <c r="BX4" s="1160"/>
      <c r="BY4" s="1160"/>
      <c r="BZ4" s="1160"/>
      <c r="CA4" s="1160"/>
      <c r="CB4" s="1160"/>
      <c r="CC4" s="1160"/>
      <c r="CD4" s="1160"/>
      <c r="CE4" s="1160"/>
      <c r="CF4" s="1160"/>
      <c r="CG4" s="1160"/>
      <c r="CH4" s="1160"/>
      <c r="CI4" s="1160"/>
      <c r="CJ4" s="1160"/>
      <c r="CK4" s="1160"/>
      <c r="CL4" s="1160"/>
      <c r="CM4" s="1160"/>
      <c r="CN4" s="1160"/>
      <c r="CO4" s="1160"/>
      <c r="CP4" s="1160"/>
      <c r="CQ4" s="1160"/>
      <c r="CR4" s="1160"/>
      <c r="CS4" s="1160"/>
      <c r="CT4" s="1160"/>
      <c r="CU4" s="1160"/>
      <c r="CV4" s="1160"/>
      <c r="CW4" s="1160"/>
      <c r="CX4" s="1160"/>
      <c r="CY4" s="1160"/>
      <c r="CZ4" s="1160"/>
      <c r="DA4" s="1160"/>
      <c r="DB4" s="1160"/>
      <c r="DC4" s="1160"/>
      <c r="DD4" s="1160"/>
      <c r="DE4" s="1160"/>
      <c r="DF4" s="1160"/>
      <c r="DG4" s="1160"/>
      <c r="DH4" s="1160"/>
      <c r="DI4" s="1160"/>
      <c r="DJ4" s="1160"/>
      <c r="DK4" s="1160"/>
      <c r="DL4" s="1160"/>
      <c r="DM4" s="1160"/>
      <c r="DN4" s="1160"/>
      <c r="DO4" s="1160"/>
      <c r="DP4" s="1160"/>
      <c r="DQ4" s="1160"/>
      <c r="DR4" s="1160"/>
      <c r="DS4" s="1160"/>
      <c r="DT4" s="1160"/>
      <c r="DU4" s="1160"/>
      <c r="DV4" s="1160"/>
      <c r="DW4" s="1160"/>
      <c r="DX4" s="1160"/>
      <c r="DY4" s="1160"/>
      <c r="DZ4" s="1160"/>
      <c r="EA4" s="1160"/>
      <c r="EB4" s="1160"/>
    </row>
    <row r="5" spans="1:132" ht="21" customHeight="1" x14ac:dyDescent="0.25">
      <c r="A5" s="1160"/>
      <c r="B5" s="1162"/>
      <c r="C5" s="1163" t="s">
        <v>1019</v>
      </c>
      <c r="D5" s="1164"/>
      <c r="E5" s="1165"/>
      <c r="F5" s="1165"/>
      <c r="G5" s="1165"/>
      <c r="H5" s="1166"/>
      <c r="I5" s="1166"/>
      <c r="J5" s="1166"/>
      <c r="K5" s="1166"/>
      <c r="L5" s="1167"/>
      <c r="M5" s="1168"/>
      <c r="N5" s="1169"/>
      <c r="O5" s="1169"/>
      <c r="P5" s="1169"/>
      <c r="Q5" s="1168"/>
      <c r="R5" s="1170"/>
      <c r="S5" s="1170"/>
      <c r="T5" s="1170"/>
      <c r="U5" s="1170"/>
      <c r="V5" s="1170"/>
      <c r="W5" s="1170"/>
      <c r="X5" s="1170"/>
      <c r="Y5" s="1170"/>
      <c r="Z5" s="1170"/>
      <c r="AA5" s="1170"/>
      <c r="AB5" s="1170"/>
      <c r="AC5" s="1170"/>
      <c r="AD5" s="1170"/>
      <c r="AE5" s="1170"/>
      <c r="AF5" s="1170"/>
      <c r="AG5" s="1170"/>
      <c r="AH5" s="1170"/>
      <c r="AI5" s="1170"/>
      <c r="AJ5" s="1170"/>
      <c r="AK5" s="1170"/>
      <c r="AL5" s="1170"/>
      <c r="AM5" s="1170"/>
      <c r="AN5" s="1170"/>
      <c r="AO5" s="1170"/>
      <c r="AP5" s="1170"/>
      <c r="AQ5" s="1170"/>
      <c r="AR5" s="1170"/>
      <c r="AS5" s="1170"/>
      <c r="AT5" s="1170"/>
      <c r="AU5" s="1170"/>
      <c r="AV5" s="1170"/>
      <c r="AW5" s="1170"/>
      <c r="AX5" s="1170"/>
      <c r="AY5" s="1170"/>
      <c r="AZ5" s="1170"/>
      <c r="BA5" s="1170"/>
      <c r="BB5" s="1170"/>
      <c r="BC5" s="1170"/>
      <c r="BD5" s="1170"/>
      <c r="BE5" s="1170"/>
      <c r="BF5" s="1170"/>
      <c r="BG5" s="1170"/>
      <c r="BH5" s="1170"/>
      <c r="BI5" s="1170"/>
      <c r="BJ5" s="1170"/>
      <c r="BK5" s="1170"/>
      <c r="BL5" s="1170"/>
      <c r="BM5" s="1170"/>
      <c r="BN5" s="1170"/>
      <c r="BO5" s="1170"/>
      <c r="BP5" s="1160"/>
      <c r="BQ5" s="1160"/>
      <c r="BR5" s="1160"/>
      <c r="BS5" s="1160"/>
      <c r="BT5" s="1160"/>
      <c r="BU5" s="1160"/>
      <c r="BV5" s="1170"/>
      <c r="BW5" s="1170"/>
      <c r="BX5" s="1170"/>
      <c r="BY5" s="1170"/>
      <c r="BZ5" s="1170"/>
      <c r="CA5" s="1170"/>
      <c r="CB5" s="1170"/>
      <c r="CC5" s="1170"/>
      <c r="CD5" s="1170"/>
      <c r="CE5" s="1170"/>
      <c r="CF5" s="1170"/>
      <c r="CG5" s="1170"/>
      <c r="CH5" s="1170"/>
      <c r="CI5" s="1170"/>
      <c r="CJ5" s="1170"/>
      <c r="CK5" s="1170"/>
      <c r="CL5" s="1170"/>
      <c r="CM5" s="1170"/>
      <c r="CN5" s="1170"/>
      <c r="CO5" s="1170"/>
      <c r="CP5" s="1170"/>
      <c r="CQ5" s="1170"/>
      <c r="CR5" s="1170"/>
      <c r="CS5" s="1170"/>
      <c r="CT5" s="1170"/>
      <c r="CU5" s="1170"/>
      <c r="CV5" s="1170"/>
      <c r="CW5" s="1170"/>
      <c r="CX5" s="1170"/>
      <c r="CY5" s="1160"/>
      <c r="CZ5" s="1160"/>
      <c r="DA5" s="1160"/>
      <c r="DB5" s="1160"/>
      <c r="DC5" s="1160"/>
      <c r="DD5" s="1160"/>
      <c r="DE5" s="1160"/>
      <c r="DF5" s="1160"/>
      <c r="DG5" s="1160"/>
      <c r="DH5" s="1160"/>
      <c r="DI5" s="1160"/>
      <c r="DJ5" s="1160"/>
      <c r="DK5" s="1171"/>
      <c r="DL5" s="1160"/>
      <c r="DM5" s="1160"/>
      <c r="DN5" s="1160"/>
      <c r="DO5" s="1160"/>
      <c r="DP5" s="1160"/>
      <c r="DQ5" s="1160"/>
      <c r="DR5" s="1160"/>
      <c r="DS5" s="1160"/>
      <c r="DT5" s="1160"/>
      <c r="DU5" s="1160"/>
      <c r="DV5" s="1160"/>
      <c r="DW5" s="1160"/>
      <c r="DX5" s="1160"/>
      <c r="DY5" s="1160"/>
      <c r="DZ5" s="1160"/>
      <c r="EA5" s="1160"/>
      <c r="EB5" s="1160"/>
    </row>
    <row r="6" spans="1:132" ht="15" x14ac:dyDescent="0.25">
      <c r="A6" s="1160"/>
      <c r="B6" s="1172"/>
      <c r="C6" s="1173"/>
      <c r="D6" s="1174"/>
      <c r="E6" s="1175"/>
      <c r="F6" s="1175"/>
      <c r="G6" s="1175"/>
      <c r="H6" s="1107"/>
      <c r="I6" s="1107"/>
      <c r="J6" s="1107"/>
      <c r="K6" s="1107"/>
      <c r="L6" s="1150"/>
      <c r="M6" s="1170"/>
      <c r="N6" s="1107"/>
      <c r="O6" s="1107"/>
      <c r="P6" s="1107"/>
      <c r="Q6" s="1170"/>
      <c r="R6" s="1170"/>
      <c r="S6" s="1170"/>
      <c r="T6" s="1170"/>
      <c r="U6" s="1170"/>
      <c r="V6" s="1170"/>
      <c r="W6" s="1170"/>
      <c r="X6" s="1170"/>
      <c r="Y6" s="1170"/>
      <c r="Z6" s="1170"/>
      <c r="AA6" s="1170"/>
      <c r="AB6" s="1170"/>
      <c r="AC6" s="1170"/>
      <c r="AD6" s="1170"/>
      <c r="AE6" s="1170"/>
      <c r="AF6" s="1170"/>
      <c r="AG6" s="1170"/>
      <c r="AH6" s="1170"/>
      <c r="AI6" s="1170"/>
      <c r="AJ6" s="1170"/>
      <c r="AK6" s="1170"/>
      <c r="AL6" s="1170"/>
      <c r="AM6" s="1170"/>
      <c r="AN6" s="1170"/>
      <c r="AO6" s="1170"/>
      <c r="AP6" s="1170"/>
      <c r="AQ6" s="1170"/>
      <c r="AR6" s="1170"/>
      <c r="AS6" s="1170"/>
      <c r="AT6" s="1170"/>
      <c r="AU6" s="1170"/>
      <c r="AV6" s="1170"/>
      <c r="AW6" s="1170"/>
      <c r="AX6" s="1170"/>
      <c r="AY6" s="1170"/>
      <c r="AZ6" s="1170"/>
      <c r="BA6" s="1170"/>
      <c r="BB6" s="1170"/>
      <c r="BC6" s="1170"/>
      <c r="BD6" s="1170"/>
      <c r="BE6" s="1170"/>
      <c r="BF6" s="1170"/>
      <c r="BG6" s="1170"/>
      <c r="BH6" s="1170"/>
      <c r="BI6" s="1170"/>
      <c r="BJ6" s="1170"/>
      <c r="BK6" s="1170"/>
      <c r="BL6" s="1170"/>
      <c r="BM6" s="1170"/>
      <c r="BN6" s="1170"/>
      <c r="BO6" s="1170"/>
      <c r="BP6" s="1170"/>
      <c r="BQ6" s="1170"/>
      <c r="BR6" s="1170"/>
      <c r="BS6" s="1170"/>
      <c r="BT6" s="1170"/>
      <c r="BU6" s="1170"/>
      <c r="BV6" s="1170"/>
      <c r="BW6" s="1170"/>
      <c r="BX6" s="1170"/>
      <c r="BY6" s="1170"/>
      <c r="BZ6" s="1170"/>
      <c r="CA6" s="1170"/>
      <c r="CB6" s="1170"/>
      <c r="CC6" s="1170"/>
      <c r="CD6" s="1170"/>
      <c r="CE6" s="1170"/>
      <c r="CF6" s="1170"/>
      <c r="CG6" s="1170"/>
      <c r="CH6" s="1170"/>
      <c r="CI6" s="1170"/>
      <c r="CJ6" s="1170"/>
      <c r="CK6" s="1170"/>
      <c r="CL6" s="1170"/>
      <c r="CM6" s="1170"/>
      <c r="CN6" s="1170"/>
      <c r="CO6" s="1170"/>
      <c r="CP6" s="1170"/>
      <c r="CQ6" s="1170"/>
      <c r="CR6" s="1170"/>
      <c r="CS6" s="1170"/>
      <c r="CT6" s="1170"/>
      <c r="CU6" s="1170"/>
      <c r="CV6" s="1170"/>
      <c r="CW6" s="1170"/>
      <c r="CX6" s="1170"/>
      <c r="CY6" s="1160"/>
      <c r="CZ6" s="1160"/>
      <c r="DA6" s="1160"/>
      <c r="DB6" s="1160"/>
      <c r="DC6" s="1160"/>
      <c r="DD6" s="1160"/>
      <c r="DE6" s="1160"/>
      <c r="DF6" s="1160"/>
      <c r="DG6" s="1160"/>
      <c r="DH6" s="1160"/>
      <c r="DI6" s="1160"/>
      <c r="DJ6" s="1160"/>
      <c r="DK6" s="1171"/>
      <c r="DL6" s="1160"/>
      <c r="DM6" s="1160"/>
      <c r="DN6" s="1160"/>
      <c r="DO6" s="1160"/>
      <c r="DP6" s="1160"/>
      <c r="DQ6" s="1160"/>
      <c r="DR6" s="1160"/>
      <c r="DS6" s="1160"/>
      <c r="DT6" s="1160"/>
      <c r="DU6" s="1160"/>
      <c r="DV6" s="1160"/>
      <c r="DW6" s="1160"/>
      <c r="DX6" s="1160"/>
      <c r="DY6" s="1160"/>
      <c r="DZ6" s="1160"/>
      <c r="EA6" s="1160"/>
      <c r="EB6" s="1160"/>
    </row>
    <row r="7" spans="1:132" ht="18" customHeight="1" x14ac:dyDescent="0.25">
      <c r="A7" s="1160"/>
      <c r="B7" s="1176"/>
      <c r="C7" s="1177" t="s">
        <v>1260</v>
      </c>
      <c r="D7" s="1178"/>
      <c r="E7" s="1175"/>
      <c r="F7" s="1175"/>
      <c r="G7" s="1175"/>
      <c r="H7" s="1107"/>
      <c r="I7" s="1107"/>
      <c r="J7" s="1107"/>
      <c r="K7" s="1107"/>
      <c r="L7" s="1150"/>
      <c r="M7" s="1170"/>
      <c r="N7" s="1160"/>
      <c r="O7" s="1160"/>
      <c r="P7" s="1160"/>
      <c r="Q7" s="1170"/>
      <c r="R7" s="1170"/>
      <c r="S7" s="1170"/>
      <c r="T7" s="1170"/>
      <c r="U7" s="1170"/>
      <c r="V7" s="1170"/>
      <c r="W7" s="1170"/>
      <c r="X7" s="1170"/>
      <c r="Y7" s="1170"/>
      <c r="Z7" s="1170"/>
      <c r="AA7" s="1170"/>
      <c r="AB7" s="1170"/>
      <c r="AC7" s="1170"/>
      <c r="AD7" s="1170"/>
      <c r="AE7" s="1170"/>
      <c r="AF7" s="1170"/>
      <c r="AG7" s="1170"/>
      <c r="AH7" s="1170"/>
      <c r="AI7" s="1170"/>
      <c r="AJ7" s="1170"/>
      <c r="AK7" s="1170"/>
      <c r="AL7" s="1170"/>
      <c r="AM7" s="1170"/>
      <c r="AN7" s="1170"/>
      <c r="AO7" s="1170"/>
      <c r="AP7" s="1170"/>
      <c r="AQ7" s="1170"/>
      <c r="AR7" s="1170"/>
      <c r="AS7" s="1170"/>
      <c r="AT7" s="1170"/>
      <c r="AU7" s="1170"/>
      <c r="AV7" s="1170"/>
      <c r="AW7" s="1170"/>
      <c r="AX7" s="1170"/>
      <c r="AY7" s="1170"/>
      <c r="AZ7" s="1170"/>
      <c r="BA7" s="1170"/>
      <c r="BB7" s="1170"/>
      <c r="BC7" s="1170"/>
      <c r="BD7" s="1170"/>
      <c r="BE7" s="1170"/>
      <c r="BF7" s="1170"/>
      <c r="BG7" s="1170"/>
      <c r="BH7" s="1170"/>
      <c r="BI7" s="1170"/>
      <c r="BJ7" s="1170"/>
      <c r="BK7" s="1170"/>
      <c r="BL7" s="1170"/>
      <c r="BM7" s="1170"/>
      <c r="BN7" s="1179" t="str">
        <f>CokingRefineryCalcs!G171</f>
        <v>Isom Fuel Gas</v>
      </c>
      <c r="BO7" s="1170"/>
      <c r="BP7" s="1170"/>
      <c r="BQ7" s="1170"/>
      <c r="BR7" s="1170"/>
      <c r="BS7" s="1170"/>
      <c r="BT7" s="1170"/>
      <c r="BU7" s="1170"/>
      <c r="BV7" s="1179" t="str">
        <f>CokingRefineryCalcs!F171</f>
        <v>iC5</v>
      </c>
      <c r="BW7" s="1170"/>
      <c r="BX7" s="1179"/>
      <c r="BY7" s="1170"/>
      <c r="BZ7" s="1180" t="str">
        <f>BV7</f>
        <v>iC5</v>
      </c>
      <c r="CA7" s="1170"/>
      <c r="CB7" s="1170"/>
      <c r="CC7" s="1170"/>
      <c r="CD7" s="1181" t="str">
        <f>CokingRefineryCalcs!G197</f>
        <v>Reformer H2</v>
      </c>
      <c r="CE7" s="1170"/>
      <c r="CF7" s="1170"/>
      <c r="CG7" s="1170"/>
      <c r="CH7" s="1180" t="str">
        <f>CD7</f>
        <v>Reformer H2</v>
      </c>
      <c r="CI7" s="1170"/>
      <c r="CJ7" s="1170"/>
      <c r="CK7" s="1170"/>
      <c r="CL7" s="1170"/>
      <c r="CM7" s="1170"/>
      <c r="CN7" s="1170"/>
      <c r="CO7" s="1170"/>
      <c r="CP7" s="1170"/>
      <c r="CQ7" s="1170"/>
      <c r="CR7" s="1170"/>
      <c r="CS7" s="1170"/>
      <c r="CT7" s="1170"/>
      <c r="CU7" s="1170"/>
      <c r="CV7" s="1170"/>
      <c r="CW7" s="1170"/>
      <c r="CX7" s="184"/>
      <c r="CY7" s="184"/>
      <c r="CZ7" s="184"/>
      <c r="DA7" s="184"/>
      <c r="DB7" s="184"/>
      <c r="DC7" s="184"/>
      <c r="DD7" s="184"/>
      <c r="DE7" s="184"/>
      <c r="DF7" s="184"/>
      <c r="DG7" s="184"/>
      <c r="DH7" s="184"/>
      <c r="DI7" s="1160"/>
      <c r="DJ7" s="1160"/>
      <c r="DK7" s="1171"/>
      <c r="DL7" s="1160"/>
      <c r="DM7" s="1160"/>
      <c r="DN7" s="1160"/>
      <c r="DO7" s="1160"/>
      <c r="DP7" s="1160"/>
      <c r="DQ7" s="1160"/>
      <c r="DR7" s="1160"/>
      <c r="DS7" s="1160"/>
      <c r="DT7" s="1160"/>
      <c r="DU7" s="1160"/>
      <c r="DV7" s="1160"/>
      <c r="DW7" s="1160"/>
      <c r="DX7" s="1160"/>
      <c r="DY7" s="1160"/>
      <c r="DZ7" s="1160"/>
      <c r="EA7" s="1160"/>
      <c r="EB7" s="1160"/>
    </row>
    <row r="8" spans="1:132" ht="15" customHeight="1" x14ac:dyDescent="0.25">
      <c r="A8" s="1160"/>
      <c r="B8" s="1172"/>
      <c r="C8" s="1115" t="s">
        <v>1643</v>
      </c>
      <c r="D8" s="1102"/>
      <c r="E8" s="989">
        <f ca="1">IF(E9=1,E10,IF(E9=2,E11,IF(E9=3,E12,IF(E9=4,E13,IF(E9=5,E14,IF(E9=6,E15,IF(E9=7,E16,IF(E9=8,E17))))))))</f>
        <v>0</v>
      </c>
      <c r="F8" s="1102"/>
      <c r="G8" s="2428" t="s">
        <v>1646</v>
      </c>
      <c r="H8" s="2429"/>
      <c r="I8" s="2429"/>
      <c r="J8" s="2429"/>
      <c r="K8" s="1107"/>
      <c r="L8" s="1150"/>
      <c r="M8" s="1170"/>
      <c r="N8" s="1160"/>
      <c r="O8" s="1160"/>
      <c r="P8" s="1160"/>
      <c r="Q8" s="1160"/>
      <c r="R8" s="1160"/>
      <c r="S8" s="1170"/>
      <c r="T8" s="1170"/>
      <c r="U8" s="1170"/>
      <c r="V8" s="1170"/>
      <c r="W8" s="1170"/>
      <c r="X8" s="1170"/>
      <c r="Y8" s="1170"/>
      <c r="Z8" s="1160"/>
      <c r="AA8" s="1160"/>
      <c r="AB8" s="1160"/>
      <c r="AC8" s="1160"/>
      <c r="AD8" s="1160"/>
      <c r="AE8" s="1160"/>
      <c r="AF8" s="1170"/>
      <c r="AG8" s="1170"/>
      <c r="AH8" s="1170"/>
      <c r="AI8" s="1170"/>
      <c r="AJ8" s="1170"/>
      <c r="AK8" s="1170"/>
      <c r="AL8" s="1170"/>
      <c r="AM8" s="1170"/>
      <c r="AN8" s="1170"/>
      <c r="AO8" s="1170"/>
      <c r="AP8" s="1170"/>
      <c r="AQ8" s="1170"/>
      <c r="AR8" s="1170"/>
      <c r="AS8" s="1170"/>
      <c r="AT8" s="1170"/>
      <c r="AU8" s="1170"/>
      <c r="AV8" s="1170"/>
      <c r="AW8" s="1170"/>
      <c r="AX8" s="1170"/>
      <c r="AY8" s="1170"/>
      <c r="AZ8" s="1170"/>
      <c r="BA8" s="1170"/>
      <c r="BB8" s="1170"/>
      <c r="BC8" s="1170"/>
      <c r="BD8" s="1170"/>
      <c r="BE8" s="1170"/>
      <c r="BF8" s="1170"/>
      <c r="BG8" s="1170"/>
      <c r="BH8" s="1170"/>
      <c r="BI8" s="1170"/>
      <c r="BJ8" s="1170"/>
      <c r="BK8" s="1170"/>
      <c r="BL8" s="1170"/>
      <c r="BM8" s="1170"/>
      <c r="BN8" s="1182" t="str">
        <f>CokingRefineryCalcs!C171</f>
        <v>Property</v>
      </c>
      <c r="BO8" s="1182" t="str">
        <f>CokingRefineryCalcs!D171</f>
        <v>Units</v>
      </c>
      <c r="BP8" s="1170"/>
      <c r="BQ8" s="1170"/>
      <c r="BR8" s="1170"/>
      <c r="BS8" s="1170"/>
      <c r="BT8" s="1170"/>
      <c r="BU8" s="1170"/>
      <c r="BV8" s="1182" t="str">
        <f>CokingRefineryCalcs!C171</f>
        <v>Property</v>
      </c>
      <c r="BW8" s="1182" t="str">
        <f>CokingRefineryCalcs!D171</f>
        <v>Units</v>
      </c>
      <c r="BX8" s="1170"/>
      <c r="BY8" s="1170"/>
      <c r="BZ8" s="1183" t="s">
        <v>226</v>
      </c>
      <c r="CA8" s="1170"/>
      <c r="CB8" s="1184" t="s">
        <v>522</v>
      </c>
      <c r="CC8" s="1170"/>
      <c r="CD8" s="1182" t="str">
        <f>CokingRefineryCalcs!C197</f>
        <v>Property</v>
      </c>
      <c r="CE8" s="1182" t="str">
        <f>CokingRefineryCalcs!D197</f>
        <v>Units</v>
      </c>
      <c r="CF8" s="1170"/>
      <c r="CG8" s="1170"/>
      <c r="CH8" s="1183" t="s">
        <v>226</v>
      </c>
      <c r="CI8" s="1170"/>
      <c r="CJ8" s="1184" t="s">
        <v>522</v>
      </c>
      <c r="CK8" s="1170"/>
      <c r="CL8" s="1170"/>
      <c r="CM8" s="1170"/>
      <c r="CN8" s="1170"/>
      <c r="CO8" s="1170"/>
      <c r="CP8" s="1170"/>
      <c r="CQ8" s="1170"/>
      <c r="CR8" s="1170"/>
      <c r="CS8" s="1170"/>
      <c r="CT8" s="1170"/>
      <c r="CU8" s="1170"/>
      <c r="CV8" s="1170"/>
      <c r="CW8" s="1170"/>
      <c r="CX8" s="184"/>
      <c r="CY8" s="184"/>
      <c r="CZ8" s="184"/>
      <c r="DA8" s="184"/>
      <c r="DB8" s="184"/>
      <c r="DC8" s="184"/>
      <c r="DD8" s="184"/>
      <c r="DE8" s="184"/>
      <c r="DF8" s="184"/>
      <c r="DG8" s="184"/>
      <c r="DH8" s="184"/>
      <c r="DI8" s="1160"/>
      <c r="DJ8" s="1160"/>
      <c r="DK8" s="1171"/>
      <c r="DL8" s="1160"/>
      <c r="DM8" s="1160"/>
      <c r="DN8" s="1160"/>
      <c r="DO8" s="1160"/>
      <c r="DP8" s="1160"/>
      <c r="DQ8" s="1160"/>
      <c r="DR8" s="1160"/>
      <c r="DS8" s="1160"/>
      <c r="DT8" s="1160"/>
      <c r="DU8" s="1160"/>
      <c r="DV8" s="1160"/>
      <c r="DW8" s="1160"/>
      <c r="DX8" s="1160"/>
      <c r="DY8" s="1160"/>
      <c r="DZ8" s="1160"/>
      <c r="EA8" s="1160"/>
      <c r="EB8" s="1160"/>
    </row>
    <row r="9" spans="1:132" ht="15" x14ac:dyDescent="0.25">
      <c r="A9" s="1160"/>
      <c r="B9" s="1172"/>
      <c r="C9" s="1159" t="s">
        <v>1647</v>
      </c>
      <c r="D9" s="1159"/>
      <c r="E9" s="1185">
        <v>1</v>
      </c>
      <c r="F9" s="1102"/>
      <c r="G9" s="2428"/>
      <c r="H9" s="2429"/>
      <c r="I9" s="2429"/>
      <c r="J9" s="2429"/>
      <c r="K9" s="1107"/>
      <c r="L9" s="1150"/>
      <c r="M9" s="1170"/>
      <c r="N9" s="1160"/>
      <c r="O9" s="1160"/>
      <c r="P9" s="1160"/>
      <c r="Q9" s="1160"/>
      <c r="R9" s="1160"/>
      <c r="S9" s="1170"/>
      <c r="T9" s="1170"/>
      <c r="U9" s="1170"/>
      <c r="V9" s="1170"/>
      <c r="W9" s="1170"/>
      <c r="X9" s="1170"/>
      <c r="Y9" s="1170"/>
      <c r="Z9" s="1160"/>
      <c r="AA9" s="1160"/>
      <c r="AB9" s="1160"/>
      <c r="AC9" s="1160"/>
      <c r="AD9" s="1160"/>
      <c r="AE9" s="1160"/>
      <c r="AF9" s="1170"/>
      <c r="AG9" s="1170"/>
      <c r="AH9" s="1170"/>
      <c r="AI9" s="1170"/>
      <c r="AJ9" s="1170"/>
      <c r="AK9" s="1170"/>
      <c r="AL9" s="1170"/>
      <c r="AM9" s="1170"/>
      <c r="AN9" s="1170"/>
      <c r="AO9" s="1170"/>
      <c r="AP9" s="1170"/>
      <c r="AQ9" s="1170"/>
      <c r="AR9" s="1170"/>
      <c r="AS9" s="1170"/>
      <c r="AT9" s="1170"/>
      <c r="AU9" s="1170"/>
      <c r="AV9" s="1170"/>
      <c r="AW9" s="1170"/>
      <c r="AX9" s="1170"/>
      <c r="AY9" s="1170"/>
      <c r="AZ9" s="1170"/>
      <c r="BA9" s="1170"/>
      <c r="BB9" s="1170"/>
      <c r="BC9" s="1170"/>
      <c r="BD9" s="1170"/>
      <c r="BE9" s="1179" t="str">
        <f ca="1">CokingRefineryCalcs!I127</f>
        <v>LSR</v>
      </c>
      <c r="BF9" s="1170"/>
      <c r="BG9" s="1170"/>
      <c r="BH9" s="1170"/>
      <c r="BI9" s="1180" t="str">
        <f ca="1">BE9</f>
        <v>LSR</v>
      </c>
      <c r="BJ9" s="1170"/>
      <c r="BK9" s="1170"/>
      <c r="BL9" s="1170"/>
      <c r="BM9" s="1170"/>
      <c r="BN9" s="1186" t="str">
        <f>CokingRefineryCalcs!C172</f>
        <v>Vol Flow</v>
      </c>
      <c r="BO9" s="1170" t="str">
        <f>CokingRefineryCalcs!D172</f>
        <v>bpd</v>
      </c>
      <c r="BP9" s="1187">
        <f ca="1">BP10/'Energy &amp; Unit Conversions'!$G$80</f>
        <v>62252.081382554679</v>
      </c>
      <c r="BQ9" s="1170"/>
      <c r="BR9" s="1170"/>
      <c r="BS9" s="1170"/>
      <c r="BT9" s="1170"/>
      <c r="BU9" s="1170"/>
      <c r="BV9" s="1186" t="str">
        <f>CokingRefineryCalcs!C172</f>
        <v>Vol Flow</v>
      </c>
      <c r="BW9" s="1170" t="str">
        <f>CokingRefineryCalcs!D172</f>
        <v>bpd</v>
      </c>
      <c r="BX9" s="1170">
        <f ca="1">CokingRefineryCalcs!F172</f>
        <v>8512.9513277591104</v>
      </c>
      <c r="BY9" s="1170"/>
      <c r="BZ9" s="1170" t="s">
        <v>263</v>
      </c>
      <c r="CA9" s="1170"/>
      <c r="CB9" s="1187">
        <f ca="1">BK11*CB14</f>
        <v>61315414.57160116</v>
      </c>
      <c r="CC9" s="1170"/>
      <c r="CD9" s="1186" t="str">
        <f>CokingRefineryCalcs!C198</f>
        <v>Vol Flow</v>
      </c>
      <c r="CE9" s="1170" t="str">
        <f>CokingRefineryCalcs!D198</f>
        <v>bpd</v>
      </c>
      <c r="CF9" s="1170">
        <f ca="1">CF10/'Energy &amp; Unit Conversions'!$G$80</f>
        <v>0</v>
      </c>
      <c r="CG9" s="1170"/>
      <c r="CH9" s="1170" t="s">
        <v>263</v>
      </c>
      <c r="CI9" s="1170"/>
      <c r="CJ9" s="1187">
        <f ca="1">(BK35+IF(reformerFeedstockActive=1,0,CC171))*CJ14</f>
        <v>0</v>
      </c>
      <c r="CK9" s="1170"/>
      <c r="CL9" s="1170"/>
      <c r="CM9" s="1170"/>
      <c r="CN9" s="1170"/>
      <c r="CO9" s="1170"/>
      <c r="CP9" s="1170"/>
      <c r="CQ9" s="1170"/>
      <c r="CR9" s="1170"/>
      <c r="CS9" s="1170"/>
      <c r="CT9" s="1170"/>
      <c r="CU9" s="1170"/>
      <c r="CV9" s="1170"/>
      <c r="CW9" s="1170"/>
      <c r="CX9" s="184"/>
      <c r="CY9" s="184"/>
      <c r="CZ9" s="184"/>
      <c r="DA9" s="184"/>
      <c r="DB9" s="184"/>
      <c r="DC9" s="184"/>
      <c r="DD9" s="184"/>
      <c r="DE9" s="184"/>
      <c r="DF9" s="184"/>
      <c r="DG9" s="184"/>
      <c r="DH9" s="184"/>
      <c r="DI9" s="1160"/>
      <c r="DJ9" s="1160"/>
      <c r="DK9" s="1171"/>
      <c r="DL9" s="1160"/>
      <c r="DM9" s="1160"/>
      <c r="DN9" s="1160"/>
      <c r="DO9" s="1160"/>
      <c r="DP9" s="1160"/>
      <c r="DQ9" s="1160"/>
      <c r="DR9" s="1160"/>
      <c r="DS9" s="1160"/>
      <c r="DT9" s="1160"/>
      <c r="DU9" s="1160"/>
      <c r="DV9" s="1160"/>
      <c r="DW9" s="1160"/>
      <c r="DX9" s="1160"/>
      <c r="DY9" s="1160"/>
      <c r="DZ9" s="1160"/>
      <c r="EA9" s="1160"/>
      <c r="EB9" s="1160"/>
    </row>
    <row r="10" spans="1:132" ht="15" x14ac:dyDescent="0.25">
      <c r="A10" s="1160"/>
      <c r="B10" s="1172"/>
      <c r="C10" s="1102" t="str">
        <f ca="1">IF(CokingRefineryPFD!E10=0,"Default value: "&amp;C11, IF(CokingRefineryPFD!E10=1,"Default value: "&amp;C12,IF(CokingRefineryPFD!E10=2,"Default value: "&amp;C13,IF(CokingRefineryPFD!E10=3,"Default value: "&amp;C14,IF(CokingRefineryPFD!E10=4,"Default value: "&amp;C15, IF(CokingRefineryPFD!E10=5,"Default value: "&amp;C16, IF(CokingRefineryPFD!E10=6,"Default value: "&amp;C17,"Default value: "&amp;C17)))))))</f>
        <v>Default value: Hydroskimming Configuration (0)</v>
      </c>
      <c r="D10" s="1102"/>
      <c r="E10" s="1152">
        <f ca="1">IF(AND('Assay Inventory'!E17&gt;32,'Assay Inventory'!E15&lt;0.5),0,IF(OR(AND('Assay Inventory'!E17&gt;32,'Assay Inventory'!E15&gt;0.5),AND(AND(22&lt;'Assay Inventory'!E17,'Assay Inventory'!E17&lt;32),'Assay Inventory'!E15&lt;0.5),AND(AND(22&lt;'Assay Inventory'!E17,'Assay Inventory'!E17&lt;32),'Assay Inventory'!E15&gt;0.5)),3,IF('Assay Inventory'!E17&lt;22,6)))</f>
        <v>0</v>
      </c>
      <c r="F10" s="1102"/>
      <c r="G10" s="2428"/>
      <c r="H10" s="2429"/>
      <c r="I10" s="2429"/>
      <c r="J10" s="2429"/>
      <c r="K10" s="1107"/>
      <c r="L10" s="1150"/>
      <c r="M10" s="1170"/>
      <c r="N10" s="1188"/>
      <c r="O10" s="1160"/>
      <c r="P10" s="1160"/>
      <c r="Q10" s="1160"/>
      <c r="R10" s="1160"/>
      <c r="S10" s="1170"/>
      <c r="T10" s="1170"/>
      <c r="U10" s="1170"/>
      <c r="V10" s="1170"/>
      <c r="W10" s="1170"/>
      <c r="X10" s="1170"/>
      <c r="Y10" s="1170"/>
      <c r="Z10" s="1160"/>
      <c r="AA10" s="1160"/>
      <c r="AB10" s="1160"/>
      <c r="AC10" s="1160"/>
      <c r="AD10" s="1160"/>
      <c r="AE10" s="1160"/>
      <c r="AF10" s="1170"/>
      <c r="AG10" s="1170"/>
      <c r="AH10" s="1170"/>
      <c r="AI10" s="1170"/>
      <c r="AJ10" s="1170"/>
      <c r="AK10" s="1170"/>
      <c r="AL10" s="1170"/>
      <c r="AM10" s="1170"/>
      <c r="AN10" s="1170"/>
      <c r="AO10" s="1170"/>
      <c r="AP10" s="1170"/>
      <c r="AQ10" s="1170"/>
      <c r="AR10" s="1170"/>
      <c r="AS10" s="1170"/>
      <c r="AT10" s="1170"/>
      <c r="AU10" s="1170"/>
      <c r="AV10" s="1170"/>
      <c r="AW10" s="1170"/>
      <c r="AX10" s="1170"/>
      <c r="AY10" s="1170"/>
      <c r="AZ10" s="1170"/>
      <c r="BA10" s="1170"/>
      <c r="BB10" s="1170"/>
      <c r="BC10" s="1170"/>
      <c r="BD10" s="1170"/>
      <c r="BE10" s="1182" t="str">
        <f>CokingRefineryCalcs!C127</f>
        <v>Property</v>
      </c>
      <c r="BF10" s="1182" t="str">
        <f>CokingRefineryCalcs!D127</f>
        <v>Units</v>
      </c>
      <c r="BG10" s="1170"/>
      <c r="BH10" s="1170"/>
      <c r="BI10" s="1183" t="s">
        <v>226</v>
      </c>
      <c r="BJ10" s="1170"/>
      <c r="BK10" s="1184" t="s">
        <v>522</v>
      </c>
      <c r="BL10" s="1170"/>
      <c r="BM10" s="1170"/>
      <c r="BN10" s="1186" t="str">
        <f>CokingRefineryCalcs!C173</f>
        <v>Vol Flow</v>
      </c>
      <c r="BO10" s="1170" t="str">
        <f>CokingRefineryCalcs!D173</f>
        <v>m^3/d</v>
      </c>
      <c r="BP10" s="1187">
        <f ca="1">BP11*BP14</f>
        <v>9897.290338392635</v>
      </c>
      <c r="BQ10" s="1170"/>
      <c r="BR10" s="1170"/>
      <c r="BS10" s="1170"/>
      <c r="BT10" s="1170"/>
      <c r="BU10" s="1170"/>
      <c r="BV10" s="1186" t="str">
        <f>CokingRefineryCalcs!C173</f>
        <v>Vol Flow</v>
      </c>
      <c r="BW10" s="1170" t="str">
        <f>CokingRefineryCalcs!D173</f>
        <v>m^3/d</v>
      </c>
      <c r="BX10" s="1170">
        <f ca="1">CokingRefineryCalcs!F173</f>
        <v>1353.4511466318361</v>
      </c>
      <c r="BY10" s="1170"/>
      <c r="BZ10" s="1170" t="s">
        <v>392</v>
      </c>
      <c r="CA10" s="1170"/>
      <c r="CB10" s="1187">
        <f ca="1">(BK12+BT22)*$CB$14</f>
        <v>137837.46515968448</v>
      </c>
      <c r="CC10" s="1170"/>
      <c r="CD10" s="1186" t="str">
        <f>CokingRefineryCalcs!C199</f>
        <v>Vol Flow</v>
      </c>
      <c r="CE10" s="1170" t="str">
        <f>CokingRefineryCalcs!D199</f>
        <v>m^3/d</v>
      </c>
      <c r="CF10" s="1170">
        <f ca="1">CF11*'Energy &amp; Unit Conversions'!$E$93/'Energy &amp; Unit Conversions'!$E$26*'Energy &amp; Unit Conversions'!G81</f>
        <v>0</v>
      </c>
      <c r="CG10" s="1170"/>
      <c r="CH10" s="1170" t="s">
        <v>392</v>
      </c>
      <c r="CI10" s="1170"/>
      <c r="CJ10" s="1187">
        <f ca="1">(BK36+BT46+IF(reformerFeedstockActive=1,0,CC172))*$CJ$14</f>
        <v>0</v>
      </c>
      <c r="CK10" s="1170"/>
      <c r="CL10" s="1170"/>
      <c r="CM10" s="1170"/>
      <c r="CN10" s="1170"/>
      <c r="CO10" s="1170"/>
      <c r="CP10" s="1170"/>
      <c r="CQ10" s="1170"/>
      <c r="CR10" s="1170"/>
      <c r="CS10" s="1170"/>
      <c r="CT10" s="1170"/>
      <c r="CU10" s="1170"/>
      <c r="CV10" s="1170"/>
      <c r="CW10" s="1170"/>
      <c r="CX10" s="184"/>
      <c r="CY10" s="184"/>
      <c r="CZ10" s="184"/>
      <c r="DA10" s="184"/>
      <c r="DB10" s="184"/>
      <c r="DC10" s="184"/>
      <c r="DD10" s="184"/>
      <c r="DE10" s="184"/>
      <c r="DF10" s="184"/>
      <c r="DG10" s="184"/>
      <c r="DH10" s="184"/>
      <c r="DI10" s="1160"/>
      <c r="DJ10" s="1160"/>
      <c r="DK10" s="1171"/>
      <c r="DL10" s="1160"/>
      <c r="DM10" s="1160"/>
      <c r="DN10" s="1160"/>
      <c r="DO10" s="1160"/>
      <c r="DP10" s="1160"/>
      <c r="DQ10" s="1160"/>
      <c r="DR10" s="1160"/>
      <c r="DS10" s="1160"/>
      <c r="DT10" s="1160"/>
      <c r="DU10" s="1160"/>
      <c r="DV10" s="1160"/>
      <c r="DW10" s="1160"/>
      <c r="DX10" s="1160"/>
      <c r="DY10" s="1160"/>
      <c r="DZ10" s="1160"/>
      <c r="EA10" s="1160"/>
      <c r="EB10" s="1160"/>
    </row>
    <row r="11" spans="1:132" ht="15" customHeight="1" x14ac:dyDescent="0.25">
      <c r="A11" s="1160"/>
      <c r="B11" s="1172"/>
      <c r="C11" s="1102" t="s">
        <v>1648</v>
      </c>
      <c r="D11" s="1102"/>
      <c r="E11" s="1189">
        <v>0</v>
      </c>
      <c r="F11" s="1102"/>
      <c r="G11" s="2428"/>
      <c r="H11" s="2429"/>
      <c r="I11" s="2429"/>
      <c r="J11" s="2429"/>
      <c r="K11" s="1107"/>
      <c r="L11" s="1150"/>
      <c r="M11" s="1170"/>
      <c r="N11" s="1190"/>
      <c r="O11" s="1160"/>
      <c r="P11" s="1160"/>
      <c r="Q11" s="1160"/>
      <c r="R11" s="1160"/>
      <c r="S11" s="1170"/>
      <c r="T11" s="1170"/>
      <c r="U11" s="1170"/>
      <c r="V11" s="1170"/>
      <c r="W11" s="1170"/>
      <c r="X11" s="1170"/>
      <c r="Y11" s="1170"/>
      <c r="Z11" s="1160"/>
      <c r="AA11" s="1160"/>
      <c r="AB11" s="1160"/>
      <c r="AC11" s="1160"/>
      <c r="AD11" s="1160"/>
      <c r="AE11" s="1160"/>
      <c r="AF11" s="1170"/>
      <c r="AG11" s="1170"/>
      <c r="AH11" s="1170"/>
      <c r="AI11" s="1170"/>
      <c r="AJ11" s="1170"/>
      <c r="AK11" s="1170"/>
      <c r="AL11" s="1170"/>
      <c r="AM11" s="1170"/>
      <c r="AN11" s="1170"/>
      <c r="AO11" s="1170"/>
      <c r="AP11" s="1170"/>
      <c r="AQ11" s="1170"/>
      <c r="AR11" s="1170"/>
      <c r="AS11" s="1170"/>
      <c r="AT11" s="1170"/>
      <c r="AU11" s="1170"/>
      <c r="AV11" s="1170"/>
      <c r="AW11" s="1170"/>
      <c r="AX11" s="1170"/>
      <c r="AY11" s="1170"/>
      <c r="AZ11" s="1170"/>
      <c r="BA11" s="1170"/>
      <c r="BB11" s="1170"/>
      <c r="BC11" s="1170"/>
      <c r="BD11" s="1170"/>
      <c r="BE11" s="1186" t="str">
        <f>CokingRefineryCalcs!C128</f>
        <v>Vol Flow</v>
      </c>
      <c r="BF11" s="1170" t="str">
        <f ca="1">CokingRefineryCalcs!D128</f>
        <v>bpd</v>
      </c>
      <c r="BG11" s="1170">
        <f ca="1">CokingRefineryCalcs!I128</f>
        <v>7538.9890466543711</v>
      </c>
      <c r="BH11" s="1170"/>
      <c r="BI11" s="1170" t="s">
        <v>263</v>
      </c>
      <c r="BJ11" s="1170"/>
      <c r="BK11" s="1187">
        <f ca="1">AE43*BK16</f>
        <v>61315414.57160116</v>
      </c>
      <c r="BL11" s="1170"/>
      <c r="BM11" s="1170"/>
      <c r="BN11" s="1186" t="str">
        <f>CokingRefineryCalcs!C174</f>
        <v>Mass Flow</v>
      </c>
      <c r="BO11" s="1170" t="str">
        <f>CokingRefineryCalcs!D174</f>
        <v>kg/d</v>
      </c>
      <c r="BP11" s="1170">
        <f ca="1">CokingRefineryCalcs!G174</f>
        <v>8544.5148145949242</v>
      </c>
      <c r="BQ11" s="1170"/>
      <c r="BR11" s="1170"/>
      <c r="BS11" s="1170"/>
      <c r="BT11" s="1170"/>
      <c r="BU11" s="1170"/>
      <c r="BV11" s="1186" t="str">
        <f>CokingRefineryCalcs!C174</f>
        <v>Mass Flow</v>
      </c>
      <c r="BW11" s="1170" t="str">
        <f>CokingRefineryCalcs!D174</f>
        <v>kg/d</v>
      </c>
      <c r="BX11" s="1170">
        <f ca="1">CokingRefineryCalcs!F174</f>
        <v>845906.96664489759</v>
      </c>
      <c r="BY11" s="1170"/>
      <c r="BZ11" s="1170" t="s">
        <v>224</v>
      </c>
      <c r="CA11" s="1170"/>
      <c r="CB11" s="1187">
        <f ca="1">(BK13+BT23)*$CB$14</f>
        <v>3064327.8442405444</v>
      </c>
      <c r="CC11" s="1170"/>
      <c r="CD11" s="1186" t="str">
        <f>CokingRefineryCalcs!C200</f>
        <v>Mass Flow</v>
      </c>
      <c r="CE11" s="1170" t="str">
        <f>CokingRefineryCalcs!D200</f>
        <v>kg/d</v>
      </c>
      <c r="CF11" s="1170">
        <f ca="1">IF(CokingRefineryCalcs!G200-'CokingRefinery Detailed Results'!K32&lt;0,0,CokingRefineryCalcs!G200-'CokingRefinery Detailed Results'!K32)</f>
        <v>0</v>
      </c>
      <c r="CG11" s="1170"/>
      <c r="CH11" s="1170" t="s">
        <v>224</v>
      </c>
      <c r="CI11" s="1170"/>
      <c r="CJ11" s="1187">
        <f ca="1">(BK37+BT47+IF(reformerFeedstockActive=1,0,CC173))*$CJ$14</f>
        <v>0</v>
      </c>
      <c r="CK11" s="1170"/>
      <c r="CL11" s="1170"/>
      <c r="CM11" s="1170"/>
      <c r="CN11" s="1170"/>
      <c r="CO11" s="1170"/>
      <c r="CP11" s="1170"/>
      <c r="CQ11" s="1170"/>
      <c r="CR11" s="1170"/>
      <c r="CS11" s="1170"/>
      <c r="CT11" s="1170"/>
      <c r="CU11" s="1170"/>
      <c r="CV11" s="1170"/>
      <c r="CW11" s="1170"/>
      <c r="CX11" s="184"/>
      <c r="CY11" s="184"/>
      <c r="CZ11" s="184"/>
      <c r="DA11" s="184"/>
      <c r="DB11" s="184"/>
      <c r="DC11" s="184"/>
      <c r="DD11" s="184"/>
      <c r="DE11" s="184"/>
      <c r="DF11" s="184"/>
      <c r="DG11" s="184"/>
      <c r="DH11" s="184"/>
      <c r="DI11" s="1160"/>
      <c r="DJ11" s="1160"/>
      <c r="DK11" s="1171"/>
      <c r="DL11" s="1160"/>
      <c r="DM11" s="1160"/>
      <c r="DN11" s="1160"/>
      <c r="DO11" s="1160"/>
      <c r="DP11" s="1160"/>
      <c r="DQ11" s="1160"/>
      <c r="DR11" s="1160"/>
      <c r="DS11" s="1160"/>
      <c r="DT11" s="1160"/>
      <c r="DU11" s="1160"/>
      <c r="DV11" s="1160"/>
      <c r="DW11" s="1160"/>
      <c r="DX11" s="1160"/>
      <c r="DY11" s="1160"/>
      <c r="DZ11" s="1160"/>
      <c r="EA11" s="1160"/>
      <c r="EB11" s="1160"/>
    </row>
    <row r="12" spans="1:132" ht="15" x14ac:dyDescent="0.25">
      <c r="A12" s="1160"/>
      <c r="B12" s="1172"/>
      <c r="C12" s="1102" t="s">
        <v>1654</v>
      </c>
      <c r="D12" s="1102"/>
      <c r="E12" s="1189">
        <v>1</v>
      </c>
      <c r="F12" s="1192"/>
      <c r="G12" s="1192"/>
      <c r="H12" s="1192"/>
      <c r="I12" s="1192"/>
      <c r="J12" s="1107"/>
      <c r="K12" s="1107"/>
      <c r="L12" s="1150"/>
      <c r="M12" s="1170"/>
      <c r="N12" s="1107"/>
      <c r="O12" s="1107"/>
      <c r="P12" s="1107"/>
      <c r="Q12" s="1170"/>
      <c r="R12" s="1170"/>
      <c r="S12" s="1170"/>
      <c r="T12" s="1170"/>
      <c r="U12" s="1170"/>
      <c r="V12" s="1170"/>
      <c r="W12" s="1170"/>
      <c r="X12" s="1170"/>
      <c r="Y12" s="1170"/>
      <c r="Z12" s="1160"/>
      <c r="AA12" s="1160"/>
      <c r="AB12" s="1160"/>
      <c r="AC12" s="1160"/>
      <c r="AD12" s="1160"/>
      <c r="AE12" s="1160"/>
      <c r="AF12" s="1170"/>
      <c r="AG12" s="1170"/>
      <c r="AH12" s="1170"/>
      <c r="AI12" s="1170"/>
      <c r="AJ12" s="1170"/>
      <c r="AK12" s="1170"/>
      <c r="AL12" s="1170"/>
      <c r="AM12" s="1170"/>
      <c r="AN12" s="1170"/>
      <c r="AO12" s="1170"/>
      <c r="AP12" s="1170"/>
      <c r="AQ12" s="1170"/>
      <c r="AR12" s="1170"/>
      <c r="AS12" s="1170"/>
      <c r="AT12" s="1170"/>
      <c r="AU12" s="1170"/>
      <c r="AV12" s="1170"/>
      <c r="AW12" s="1170"/>
      <c r="AX12" s="1170"/>
      <c r="AY12" s="1170"/>
      <c r="AZ12" s="1170"/>
      <c r="BA12" s="1170"/>
      <c r="BB12" s="1170"/>
      <c r="BC12" s="1170"/>
      <c r="BD12" s="1170"/>
      <c r="BE12" s="1186" t="str">
        <f>CokingRefineryCalcs!C129</f>
        <v>Vol Flow</v>
      </c>
      <c r="BF12" s="1170" t="str">
        <f ca="1">CokingRefineryCalcs!D129</f>
        <v>m^3/d</v>
      </c>
      <c r="BG12" s="1170">
        <f ca="1">CokingRefineryCalcs!I129</f>
        <v>1198.699258418045</v>
      </c>
      <c r="BH12" s="1170"/>
      <c r="BI12" s="1170" t="s">
        <v>392</v>
      </c>
      <c r="BJ12" s="1170"/>
      <c r="BK12" s="1187">
        <f ca="1">(AE44+AZ44)*$BK$16</f>
        <v>110694.93660359879</v>
      </c>
      <c r="BL12" s="1170"/>
      <c r="BM12" s="1170"/>
      <c r="BN12" s="1186" t="str">
        <f>CokingRefineryCalcs!C175</f>
        <v>S</v>
      </c>
      <c r="BO12" s="1170" t="str">
        <f>CokingRefineryCalcs!D175</f>
        <v>wt%</v>
      </c>
      <c r="BP12" s="1170">
        <f ca="1">CokingRefineryCalcs!G175</f>
        <v>0</v>
      </c>
      <c r="BQ12" s="1170"/>
      <c r="BR12" s="1170"/>
      <c r="BS12" s="1170"/>
      <c r="BT12" s="1170"/>
      <c r="BU12" s="1170"/>
      <c r="BV12" s="1186" t="str">
        <f>CokingRefineryCalcs!C175</f>
        <v>S</v>
      </c>
      <c r="BW12" s="1170" t="str">
        <f>CokingRefineryCalcs!D175</f>
        <v>wt%</v>
      </c>
      <c r="BX12" s="1170">
        <f>CokingRefineryCalcs!F175</f>
        <v>0</v>
      </c>
      <c r="BY12" s="1170"/>
      <c r="BZ12" s="1170" t="s">
        <v>485</v>
      </c>
      <c r="CA12" s="1170"/>
      <c r="CB12" s="1187">
        <f ca="1">(BK14+BT24)*$CB$14</f>
        <v>161294.94164421203</v>
      </c>
      <c r="CC12" s="1170"/>
      <c r="CD12" s="1186" t="str">
        <f>CokingRefineryCalcs!C201</f>
        <v>S</v>
      </c>
      <c r="CE12" s="1170" t="str">
        <f>CokingRefineryCalcs!D201</f>
        <v>wt%</v>
      </c>
      <c r="CF12" s="1170">
        <f>CokingRefineryCalcs!G201</f>
        <v>0</v>
      </c>
      <c r="CG12" s="1170"/>
      <c r="CH12" s="1170" t="s">
        <v>485</v>
      </c>
      <c r="CI12" s="1170"/>
      <c r="CJ12" s="1187">
        <f ca="1">(BK38+BT48+IF(reformerFeedstockActive=1,0,CC174))*$CJ$14</f>
        <v>0</v>
      </c>
      <c r="CK12" s="1170"/>
      <c r="CL12" s="1170"/>
      <c r="CM12" s="1170"/>
      <c r="CN12" s="1170"/>
      <c r="CO12" s="1170"/>
      <c r="CP12" s="1170"/>
      <c r="CQ12" s="1170"/>
      <c r="CR12" s="1170"/>
      <c r="CS12" s="1170"/>
      <c r="CT12" s="1170"/>
      <c r="CU12" s="1170"/>
      <c r="CV12" s="1170"/>
      <c r="CW12" s="1170"/>
      <c r="CX12" s="184"/>
      <c r="CY12" s="184"/>
      <c r="CZ12" s="184"/>
      <c r="DA12" s="184"/>
      <c r="DB12" s="184"/>
      <c r="DC12" s="184"/>
      <c r="DD12" s="184"/>
      <c r="DE12" s="184"/>
      <c r="DF12" s="184"/>
      <c r="DG12" s="184"/>
      <c r="DH12" s="184"/>
      <c r="DI12" s="1160"/>
      <c r="DJ12" s="1160"/>
      <c r="DK12" s="1171"/>
      <c r="DL12" s="1160"/>
      <c r="DM12" s="1160"/>
      <c r="DN12" s="1160"/>
      <c r="DO12" s="1160"/>
      <c r="DP12" s="1160"/>
      <c r="DQ12" s="1160"/>
      <c r="DR12" s="1160"/>
      <c r="DS12" s="1160"/>
      <c r="DT12" s="1160"/>
      <c r="DU12" s="1160"/>
      <c r="DV12" s="1160"/>
      <c r="DW12" s="1160"/>
      <c r="DX12" s="1160"/>
      <c r="DY12" s="1160"/>
      <c r="DZ12" s="1160"/>
      <c r="EA12" s="1160"/>
      <c r="EB12" s="1160"/>
    </row>
    <row r="13" spans="1:132" ht="15" x14ac:dyDescent="0.25">
      <c r="A13" s="1160"/>
      <c r="B13" s="1172"/>
      <c r="C13" s="1102" t="s">
        <v>1650</v>
      </c>
      <c r="D13" s="1102"/>
      <c r="E13" s="1189">
        <v>2</v>
      </c>
      <c r="F13" s="1192"/>
      <c r="G13" s="1192"/>
      <c r="H13" s="1192"/>
      <c r="I13" s="1192"/>
      <c r="J13" s="1107"/>
      <c r="K13" s="1107"/>
      <c r="L13" s="1150"/>
      <c r="M13" s="1170"/>
      <c r="N13" s="1170"/>
      <c r="O13" s="1170"/>
      <c r="P13" s="1170"/>
      <c r="Q13" s="1170"/>
      <c r="R13" s="1170"/>
      <c r="S13" s="1170"/>
      <c r="T13" s="1170"/>
      <c r="U13" s="1170"/>
      <c r="V13" s="1170"/>
      <c r="W13" s="1170"/>
      <c r="X13" s="1170"/>
      <c r="Y13" s="1170"/>
      <c r="Z13" s="1160"/>
      <c r="AA13" s="1160"/>
      <c r="AB13" s="1160"/>
      <c r="AC13" s="1160"/>
      <c r="AD13" s="1160"/>
      <c r="AE13" s="1160"/>
      <c r="AF13" s="1170"/>
      <c r="AG13" s="1170"/>
      <c r="AH13" s="1170"/>
      <c r="AI13" s="1170"/>
      <c r="AJ13" s="1170"/>
      <c r="AK13" s="1170"/>
      <c r="AL13" s="1170"/>
      <c r="AM13" s="1170"/>
      <c r="AN13" s="1170"/>
      <c r="AO13" s="1170"/>
      <c r="AP13" s="1170"/>
      <c r="AQ13" s="1170"/>
      <c r="AR13" s="1170"/>
      <c r="AS13" s="1170"/>
      <c r="AT13" s="1170"/>
      <c r="AU13" s="1170"/>
      <c r="AV13" s="1170"/>
      <c r="AW13" s="1170"/>
      <c r="AX13" s="1170"/>
      <c r="AY13" s="1170"/>
      <c r="AZ13" s="1170"/>
      <c r="BA13" s="1170"/>
      <c r="BB13" s="1170"/>
      <c r="BC13" s="1170"/>
      <c r="BD13" s="1170"/>
      <c r="BE13" s="1186" t="str">
        <f>CokingRefineryCalcs!C130</f>
        <v>Mass Flow</v>
      </c>
      <c r="BF13" s="1170" t="str">
        <f>CokingRefineryCalcs!D130</f>
        <v>kg/d</v>
      </c>
      <c r="BG13" s="1170">
        <f ca="1">CokingRefineryCalcs!I130</f>
        <v>854451.48145949247</v>
      </c>
      <c r="BH13" s="1170"/>
      <c r="BI13" s="1170" t="s">
        <v>224</v>
      </c>
      <c r="BJ13" s="1170"/>
      <c r="BK13" s="1187">
        <f ca="1">(AE45+AZ45)*$BK$16</f>
        <v>1503498.6716205161</v>
      </c>
      <c r="BL13" s="1170"/>
      <c r="BM13" s="1170"/>
      <c r="BN13" s="1186" t="str">
        <f>CokingRefineryCalcs!C176</f>
        <v>API</v>
      </c>
      <c r="BO13" s="1170">
        <f>CokingRefineryCalcs!D176</f>
        <v>0</v>
      </c>
      <c r="BP13" s="1170">
        <f>CokingRefineryCalcs!G176</f>
        <v>0</v>
      </c>
      <c r="BQ13" s="1170"/>
      <c r="BR13" s="1170"/>
      <c r="BS13" s="1170"/>
      <c r="BT13" s="1170"/>
      <c r="BU13" s="1170"/>
      <c r="BV13" s="1186" t="str">
        <f>CokingRefineryCalcs!C176</f>
        <v>API</v>
      </c>
      <c r="BW13" s="1170"/>
      <c r="BX13" s="1170">
        <f>CokingRefineryCalcs!F176</f>
        <v>94.9</v>
      </c>
      <c r="BY13" s="1170"/>
      <c r="BZ13" s="1170" t="s">
        <v>541</v>
      </c>
      <c r="CA13" s="1170"/>
      <c r="CB13" s="1187">
        <f ca="1">(BK15+BT25)*$CB$14</f>
        <v>3032248.7216237299</v>
      </c>
      <c r="CC13" s="1170"/>
      <c r="CD13" s="1186" t="str">
        <f>CokingRefineryCalcs!C202</f>
        <v>API</v>
      </c>
      <c r="CE13" s="1170">
        <f>CokingRefineryCalcs!D202</f>
        <v>0</v>
      </c>
      <c r="CF13" s="1170">
        <f>CokingRefineryCalcs!G202</f>
        <v>0</v>
      </c>
      <c r="CG13" s="1170"/>
      <c r="CH13" s="1170" t="s">
        <v>541</v>
      </c>
      <c r="CI13" s="1170"/>
      <c r="CJ13" s="1187">
        <f ca="1">(BK39+BT49+IF(reformerFeedstockActive=1,0,CC175))*$CJ$14</f>
        <v>0</v>
      </c>
      <c r="CK13" s="1170"/>
      <c r="CL13" s="1170"/>
      <c r="CM13" s="1170"/>
      <c r="CN13" s="1170"/>
      <c r="CO13" s="1170"/>
      <c r="CP13" s="1170"/>
      <c r="CQ13" s="1170"/>
      <c r="CR13" s="1170"/>
      <c r="CS13" s="1170"/>
      <c r="CT13" s="1170"/>
      <c r="CU13" s="1170"/>
      <c r="CV13" s="1170"/>
      <c r="CW13" s="1170"/>
      <c r="CX13" s="184"/>
      <c r="CY13" s="184"/>
      <c r="CZ13" s="184"/>
      <c r="DA13" s="184"/>
      <c r="DB13" s="184"/>
      <c r="DC13" s="184"/>
      <c r="DD13" s="184"/>
      <c r="DE13" s="184"/>
      <c r="DF13" s="184"/>
      <c r="DG13" s="184"/>
      <c r="DH13" s="184"/>
      <c r="DI13" s="1160"/>
      <c r="DJ13" s="1160"/>
      <c r="DK13" s="1171"/>
      <c r="DL13" s="1160"/>
      <c r="DM13" s="1160"/>
      <c r="DN13" s="1160"/>
      <c r="DO13" s="1160"/>
      <c r="DP13" s="1160"/>
      <c r="DQ13" s="1160"/>
      <c r="DR13" s="1160"/>
      <c r="DS13" s="1160"/>
      <c r="DT13" s="1160"/>
      <c r="DU13" s="1160"/>
      <c r="DV13" s="1160"/>
      <c r="DW13" s="1160"/>
      <c r="DX13" s="1160"/>
      <c r="DY13" s="1160"/>
      <c r="DZ13" s="1160"/>
      <c r="EA13" s="1160"/>
      <c r="EB13" s="1160"/>
    </row>
    <row r="14" spans="1:132" ht="15" x14ac:dyDescent="0.25">
      <c r="A14" s="1160"/>
      <c r="B14" s="1172"/>
      <c r="C14" s="1102" t="s">
        <v>1651</v>
      </c>
      <c r="D14" s="1102"/>
      <c r="E14" s="1189">
        <v>3</v>
      </c>
      <c r="F14" s="1192"/>
      <c r="G14" s="1192"/>
      <c r="H14" s="1192"/>
      <c r="I14" s="1192"/>
      <c r="J14" s="1107"/>
      <c r="K14" s="1107"/>
      <c r="L14" s="1150"/>
      <c r="M14" s="1170"/>
      <c r="N14" s="1170"/>
      <c r="O14" s="1160"/>
      <c r="P14" s="1160"/>
      <c r="Q14" s="1160"/>
      <c r="R14" s="1160"/>
      <c r="S14" s="1170"/>
      <c r="T14" s="1170"/>
      <c r="U14" s="1170"/>
      <c r="V14" s="1170"/>
      <c r="W14" s="1170"/>
      <c r="X14" s="1170"/>
      <c r="Y14" s="1170"/>
      <c r="Z14" s="1160"/>
      <c r="AA14" s="1160"/>
      <c r="AB14" s="1160"/>
      <c r="AC14" s="1160"/>
      <c r="AD14" s="1160"/>
      <c r="AE14" s="1160"/>
      <c r="AF14" s="1170"/>
      <c r="AG14" s="1170"/>
      <c r="AH14" s="1170"/>
      <c r="AI14" s="1170"/>
      <c r="AJ14" s="1170"/>
      <c r="AK14" s="1170"/>
      <c r="AL14" s="1170"/>
      <c r="AM14" s="1170"/>
      <c r="AN14" s="1170"/>
      <c r="AO14" s="1170"/>
      <c r="AP14" s="1170"/>
      <c r="AQ14" s="1170"/>
      <c r="AR14" s="1170"/>
      <c r="AS14" s="1170"/>
      <c r="AT14" s="1170"/>
      <c r="AU14" s="1170"/>
      <c r="AV14" s="1170"/>
      <c r="AW14" s="1170"/>
      <c r="AX14" s="1170"/>
      <c r="AY14" s="1170"/>
      <c r="AZ14" s="1170"/>
      <c r="BA14" s="1170"/>
      <c r="BB14" s="1170"/>
      <c r="BC14" s="1170"/>
      <c r="BD14" s="1170"/>
      <c r="BE14" s="1186" t="str">
        <f>CokingRefineryCalcs!C131</f>
        <v xml:space="preserve">Sulphur </v>
      </c>
      <c r="BF14" s="1170" t="str">
        <f ca="1">CokingRefineryCalcs!D131</f>
        <v>wt%</v>
      </c>
      <c r="BG14" s="1170">
        <f ca="1">CokingRefineryCalcs!I131</f>
        <v>0</v>
      </c>
      <c r="BH14" s="1170"/>
      <c r="BI14" s="1170" t="s">
        <v>485</v>
      </c>
      <c r="BJ14" s="1170"/>
      <c r="BK14" s="1187">
        <f ca="1">(AE46+AZ46)*$BK$16</f>
        <v>161294.94164421203</v>
      </c>
      <c r="BL14" s="1170"/>
      <c r="BM14" s="1170"/>
      <c r="BN14" s="1186" t="str">
        <f>CokingRefineryCalcs!C177</f>
        <v>Density</v>
      </c>
      <c r="BO14" s="1170" t="str">
        <f>CokingRefineryCalcs!D177</f>
        <v>kg/m^3</v>
      </c>
      <c r="BP14" s="1170">
        <f>'Energy &amp; Unit Conversions'!$E$27/'Energy &amp; Unit Conversions'!$E$93/'Energy &amp; Unit Conversions'!$G$81</f>
        <v>1.1583209290581402</v>
      </c>
      <c r="BQ14" s="1170"/>
      <c r="BR14" s="1170"/>
      <c r="BS14" s="1170"/>
      <c r="BT14" s="1170"/>
      <c r="BU14" s="1170"/>
      <c r="BV14" s="1186" t="str">
        <f>CokingRefineryCalcs!C177</f>
        <v>Density</v>
      </c>
      <c r="BW14" s="1170" t="str">
        <f>CokingRefineryCalcs!D177</f>
        <v>kg/m^3</v>
      </c>
      <c r="BX14" s="1170">
        <f>CokingRefineryCalcs!F177</f>
        <v>625</v>
      </c>
      <c r="BY14" s="1170"/>
      <c r="BZ14" s="1180" t="s">
        <v>1066</v>
      </c>
      <c r="CA14" s="1170"/>
      <c r="CB14" s="1170">
        <f ca="1">IF(CokingRefineryPFD!E50=TRUE,CB15,1)</f>
        <v>1</v>
      </c>
      <c r="CC14" s="1170"/>
      <c r="CD14" s="1186" t="str">
        <f>CokingRefineryCalcs!C203</f>
        <v>Density</v>
      </c>
      <c r="CE14" s="1170" t="str">
        <f>CokingRefineryCalcs!D203</f>
        <v>kg/m^3</v>
      </c>
      <c r="CF14" s="1170">
        <f>CokingRefineryCalcs!G203</f>
        <v>0</v>
      </c>
      <c r="CG14" s="1170"/>
      <c r="CH14" s="1180" t="s">
        <v>1066</v>
      </c>
      <c r="CI14" s="1170"/>
      <c r="CJ14" s="1170">
        <f>IF(AND(CokingRefineryPFD!E49=TRUE,CokingRefineryPFD!E50=TRUE),CJ15,IF(CokingRefineryPFD!E49=TRUE,CJ17,0))</f>
        <v>0</v>
      </c>
      <c r="CK14" s="1170"/>
      <c r="CL14" s="1170"/>
      <c r="CM14" s="1170"/>
      <c r="CN14" s="1170"/>
      <c r="CO14" s="1170"/>
      <c r="CP14" s="1170"/>
      <c r="CQ14" s="1170"/>
      <c r="CR14" s="1170"/>
      <c r="CS14" s="1170"/>
      <c r="CT14" s="1170"/>
      <c r="CU14" s="1170"/>
      <c r="CV14" s="1170"/>
      <c r="CW14" s="1170"/>
      <c r="CX14" s="184"/>
      <c r="CY14" s="184"/>
      <c r="CZ14" s="184"/>
      <c r="DA14" s="184"/>
      <c r="DB14" s="184"/>
      <c r="DC14" s="184"/>
      <c r="DD14" s="184"/>
      <c r="DE14" s="184"/>
      <c r="DF14" s="184"/>
      <c r="DG14" s="184"/>
      <c r="DH14" s="184"/>
      <c r="DI14" s="1160"/>
      <c r="DJ14" s="1160"/>
      <c r="DK14" s="1171"/>
      <c r="DL14" s="1160"/>
      <c r="DM14" s="1160"/>
      <c r="DN14" s="1160"/>
      <c r="DO14" s="1160"/>
      <c r="DP14" s="1160"/>
      <c r="DQ14" s="1160"/>
      <c r="DR14" s="1160"/>
      <c r="DS14" s="1160"/>
      <c r="DT14" s="1160"/>
      <c r="DU14" s="1160"/>
      <c r="DV14" s="1160"/>
      <c r="DW14" s="1160"/>
      <c r="DX14" s="1160"/>
      <c r="DY14" s="1160"/>
      <c r="DZ14" s="1160"/>
      <c r="EA14" s="1160"/>
      <c r="EB14" s="1160"/>
    </row>
    <row r="15" spans="1:132" ht="15" customHeight="1" x14ac:dyDescent="0.25">
      <c r="A15" s="1160"/>
      <c r="B15" s="1172"/>
      <c r="C15" s="1102" t="s">
        <v>1655</v>
      </c>
      <c r="D15" s="1102"/>
      <c r="E15" s="1189">
        <v>4</v>
      </c>
      <c r="F15" s="1192"/>
      <c r="G15" s="1192"/>
      <c r="H15" s="1192"/>
      <c r="I15" s="1192"/>
      <c r="J15" s="1107"/>
      <c r="K15" s="1107"/>
      <c r="L15" s="1150"/>
      <c r="M15" s="1170"/>
      <c r="N15" s="1170"/>
      <c r="O15" s="1160"/>
      <c r="P15" s="1160"/>
      <c r="Q15" s="1160"/>
      <c r="R15" s="1160"/>
      <c r="S15" s="1170"/>
      <c r="T15" s="1170"/>
      <c r="U15" s="1170"/>
      <c r="V15" s="1170"/>
      <c r="W15" s="1170"/>
      <c r="X15" s="1170"/>
      <c r="Y15" s="1170"/>
      <c r="Z15" s="1160"/>
      <c r="AA15" s="1160"/>
      <c r="AB15" s="1160"/>
      <c r="AC15" s="1160"/>
      <c r="AD15" s="1160"/>
      <c r="AE15" s="1160"/>
      <c r="AF15" s="1170"/>
      <c r="AG15" s="1170"/>
      <c r="AH15" s="1170"/>
      <c r="AI15" s="1170"/>
      <c r="AJ15" s="1170"/>
      <c r="AK15" s="1170"/>
      <c r="AL15" s="1170"/>
      <c r="AM15" s="1170"/>
      <c r="AN15" s="1170"/>
      <c r="AO15" s="1170"/>
      <c r="AP15" s="1170"/>
      <c r="AQ15" s="1170"/>
      <c r="AR15" s="1170"/>
      <c r="AS15" s="1170"/>
      <c r="AT15" s="1170"/>
      <c r="AU15" s="1170"/>
      <c r="AV15" s="1170"/>
      <c r="AW15" s="1170"/>
      <c r="AX15" s="1170"/>
      <c r="AY15" s="1170"/>
      <c r="AZ15" s="1170"/>
      <c r="BA15" s="1170"/>
      <c r="BB15" s="1170"/>
      <c r="BC15" s="1170"/>
      <c r="BD15" s="1170"/>
      <c r="BE15" s="1186" t="str">
        <f>CokingRefineryCalcs!C133</f>
        <v xml:space="preserve">API gravity </v>
      </c>
      <c r="BF15" s="1170" t="str">
        <f ca="1">CokingRefineryCalcs!D133</f>
        <v>oAPI</v>
      </c>
      <c r="BG15" s="1170">
        <f ca="1">CokingRefineryCalcs!I133</f>
        <v>66.810065343505755</v>
      </c>
      <c r="BH15" s="1170"/>
      <c r="BI15" s="1170" t="s">
        <v>541</v>
      </c>
      <c r="BJ15" s="1170"/>
      <c r="BK15" s="1187">
        <f ca="1">(AE47+AZ47)*$BK$16</f>
        <v>1451881.1810662381</v>
      </c>
      <c r="BL15" s="1170"/>
      <c r="BM15" s="1170"/>
      <c r="BN15" s="1186" t="str">
        <f>CokingRefineryCalcs!C178</f>
        <v>H</v>
      </c>
      <c r="BO15" s="1170" t="str">
        <f>CokingRefineryCalcs!D178</f>
        <v>wt%</v>
      </c>
      <c r="BP15" s="1170">
        <f>CokingRefineryCalcs!G178</f>
        <v>17.507418662350211</v>
      </c>
      <c r="BQ15" s="1170"/>
      <c r="BR15" s="1170"/>
      <c r="BS15" s="1170"/>
      <c r="BT15" s="1170"/>
      <c r="BU15" s="1170"/>
      <c r="BV15" s="1186" t="str">
        <f>CokingRefineryCalcs!C178</f>
        <v>H</v>
      </c>
      <c r="BW15" s="1170" t="str">
        <f>CokingRefineryCalcs!D178</f>
        <v>wt%</v>
      </c>
      <c r="BX15" s="1170">
        <f ca="1">CokingRefineryCalcs!F178</f>
        <v>16.7</v>
      </c>
      <c r="BY15" s="1170"/>
      <c r="BZ15" s="1180" t="s">
        <v>1065</v>
      </c>
      <c r="CA15" s="1170"/>
      <c r="CB15" s="1196">
        <f ca="1">BX19/(BX19+BP19)</f>
        <v>1</v>
      </c>
      <c r="CC15" s="1170"/>
      <c r="CD15" s="1186" t="str">
        <f>CokingRefineryCalcs!C204</f>
        <v>H</v>
      </c>
      <c r="CE15" s="1170" t="str">
        <f>CokingRefineryCalcs!D204</f>
        <v>wt%</v>
      </c>
      <c r="CF15" s="1170">
        <f>CokingRefineryCalcs!G204</f>
        <v>100</v>
      </c>
      <c r="CG15" s="1170"/>
      <c r="CH15" s="1180" t="s">
        <v>1065</v>
      </c>
      <c r="CI15" s="1170"/>
      <c r="CJ15" s="1196">
        <f ca="1">CF19/(CF19+BX53+BP41)</f>
        <v>0</v>
      </c>
      <c r="CK15" s="1170"/>
      <c r="CL15" s="1170"/>
      <c r="CM15" s="1170"/>
      <c r="CN15" s="1170"/>
      <c r="CO15" s="1170"/>
      <c r="CP15" s="1170"/>
      <c r="CQ15" s="1170"/>
      <c r="CR15" s="1170"/>
      <c r="CS15" s="1170"/>
      <c r="CT15" s="1170"/>
      <c r="CU15" s="1170"/>
      <c r="CV15" s="1170"/>
      <c r="CW15" s="1170"/>
      <c r="CX15" s="184"/>
      <c r="CY15" s="184"/>
      <c r="CZ15" s="184"/>
      <c r="DA15" s="184"/>
      <c r="DB15" s="184"/>
      <c r="DC15" s="184"/>
      <c r="DD15" s="184"/>
      <c r="DE15" s="184"/>
      <c r="DF15" s="184"/>
      <c r="DG15" s="184"/>
      <c r="DH15" s="184"/>
      <c r="DI15" s="1160"/>
      <c r="DJ15" s="1160"/>
      <c r="DK15" s="1171"/>
      <c r="DL15" s="1160"/>
      <c r="DM15" s="1160"/>
      <c r="DN15" s="1160"/>
      <c r="DO15" s="1160"/>
      <c r="DP15" s="1160"/>
      <c r="DQ15" s="1160"/>
      <c r="DR15" s="1160"/>
      <c r="DS15" s="1160"/>
      <c r="DT15" s="1160"/>
      <c r="DU15" s="1160"/>
      <c r="DV15" s="1160"/>
      <c r="DW15" s="1160"/>
      <c r="DX15" s="1160"/>
      <c r="DY15" s="1160"/>
      <c r="DZ15" s="1160"/>
      <c r="EA15" s="1160"/>
      <c r="EB15" s="1160"/>
    </row>
    <row r="16" spans="1:132" ht="15" x14ac:dyDescent="0.25">
      <c r="A16" s="1160"/>
      <c r="B16" s="1172"/>
      <c r="C16" s="1102" t="s">
        <v>1656</v>
      </c>
      <c r="D16" s="1102"/>
      <c r="E16" s="1189">
        <v>5</v>
      </c>
      <c r="F16" s="1192"/>
      <c r="G16" s="1192"/>
      <c r="H16" s="1192"/>
      <c r="I16" s="1192"/>
      <c r="J16" s="1107"/>
      <c r="K16" s="1107"/>
      <c r="L16" s="1150"/>
      <c r="M16" s="1170"/>
      <c r="N16" s="1170"/>
      <c r="O16" s="1160"/>
      <c r="P16" s="1160"/>
      <c r="Q16" s="1160"/>
      <c r="R16" s="1160"/>
      <c r="S16" s="1170"/>
      <c r="T16" s="1170"/>
      <c r="U16" s="1170"/>
      <c r="V16" s="1170"/>
      <c r="W16" s="1170"/>
      <c r="X16" s="1170"/>
      <c r="Y16" s="1170"/>
      <c r="Z16" s="1160"/>
      <c r="AA16" s="1160"/>
      <c r="AB16" s="1160"/>
      <c r="AC16" s="1160"/>
      <c r="AD16" s="1160"/>
      <c r="AE16" s="1160"/>
      <c r="AF16" s="1170"/>
      <c r="AG16" s="1170"/>
      <c r="AH16" s="1170"/>
      <c r="AI16" s="1170"/>
      <c r="AJ16" s="1170"/>
      <c r="AK16" s="1170"/>
      <c r="AL16" s="1170"/>
      <c r="AM16" s="1170"/>
      <c r="AN16" s="1170"/>
      <c r="AO16" s="1170"/>
      <c r="AP16" s="1170"/>
      <c r="AQ16" s="1170"/>
      <c r="AR16" s="1170"/>
      <c r="AS16" s="1170"/>
      <c r="AT16" s="1170"/>
      <c r="AU16" s="1170"/>
      <c r="AV16" s="1170"/>
      <c r="AW16" s="1170"/>
      <c r="AX16" s="1170"/>
      <c r="AY16" s="1170"/>
      <c r="AZ16" s="1170"/>
      <c r="BA16" s="1170"/>
      <c r="BB16" s="1170"/>
      <c r="BC16" s="1170"/>
      <c r="BD16" s="1170"/>
      <c r="BE16" s="1186" t="str">
        <f>CokingRefineryCalcs!C134</f>
        <v>Density</v>
      </c>
      <c r="BF16" s="1170" t="str">
        <f ca="1">CokingRefineryCalcs!D134</f>
        <v>kg/m^3</v>
      </c>
      <c r="BG16" s="1170">
        <f ca="1">CokingRefineryCalcs!I134</f>
        <v>712.81555858066895</v>
      </c>
      <c r="BH16" s="1170"/>
      <c r="BI16" s="1180" t="s">
        <v>1066</v>
      </c>
      <c r="BJ16" s="1170"/>
      <c r="BK16" s="1170">
        <f ca="1">IF(CokingRefineryPFD!E50=TRUE,BK17,BG21/(BG45+BG21))</f>
        <v>0.2849491728257913</v>
      </c>
      <c r="BL16" s="1170"/>
      <c r="BM16" s="1170"/>
      <c r="BN16" s="1186" t="str">
        <f>CokingRefineryCalcs!C179</f>
        <v>MCR</v>
      </c>
      <c r="BO16" s="1170" t="str">
        <f>CokingRefineryCalcs!D179</f>
        <v>wt%</v>
      </c>
      <c r="BP16" s="1170">
        <f>CokingRefineryCalcs!G179</f>
        <v>0</v>
      </c>
      <c r="BQ16" s="1170"/>
      <c r="BR16" s="1170"/>
      <c r="BS16" s="1170"/>
      <c r="BT16" s="1170"/>
      <c r="BU16" s="1170"/>
      <c r="BV16" s="1186" t="str">
        <f>CokingRefineryCalcs!C179</f>
        <v>MCR</v>
      </c>
      <c r="BW16" s="1170" t="str">
        <f>CokingRefineryCalcs!D179</f>
        <v>wt%</v>
      </c>
      <c r="BX16" s="1170">
        <f>CokingRefineryCalcs!F179</f>
        <v>0</v>
      </c>
      <c r="BY16" s="1170"/>
      <c r="BZ16" s="1197" t="s">
        <v>228</v>
      </c>
      <c r="CA16" s="1170"/>
      <c r="CB16" s="1170">
        <f ca="1">BX11/BG13</f>
        <v>0.9900000000000001</v>
      </c>
      <c r="CC16" s="1170"/>
      <c r="CD16" s="1186" t="str">
        <f>CokingRefineryCalcs!C205</f>
        <v>MCR</v>
      </c>
      <c r="CE16" s="1170" t="str">
        <f>CokingRefineryCalcs!D205</f>
        <v>wt%</v>
      </c>
      <c r="CF16" s="1170"/>
      <c r="CG16" s="1170"/>
      <c r="CH16" s="1198" t="s">
        <v>228</v>
      </c>
      <c r="CI16" s="1170"/>
      <c r="CJ16" s="1170">
        <f ca="1">+CF11/BG37</f>
        <v>0</v>
      </c>
      <c r="CK16" s="1170"/>
      <c r="CL16" s="1170"/>
      <c r="CM16" s="1170"/>
      <c r="CN16" s="1170"/>
      <c r="CO16" s="1170"/>
      <c r="CP16" s="1170"/>
      <c r="CQ16" s="1170"/>
      <c r="CR16" s="1170"/>
      <c r="CS16" s="1170"/>
      <c r="CT16" s="1170"/>
      <c r="CU16" s="1170"/>
      <c r="CV16" s="1170"/>
      <c r="CW16" s="1170"/>
      <c r="CX16" s="184"/>
      <c r="CY16" s="184"/>
      <c r="CZ16" s="184"/>
      <c r="DA16" s="184"/>
      <c r="DB16" s="184"/>
      <c r="DC16" s="184"/>
      <c r="DD16" s="184"/>
      <c r="DE16" s="184"/>
      <c r="DF16" s="184"/>
      <c r="DG16" s="184"/>
      <c r="DH16" s="184"/>
      <c r="DI16" s="1160"/>
      <c r="DJ16" s="1160"/>
      <c r="DK16" s="1171"/>
      <c r="DL16" s="1160"/>
      <c r="DM16" s="1160"/>
      <c r="DN16" s="1160"/>
      <c r="DO16" s="1160"/>
      <c r="DP16" s="1160"/>
      <c r="DQ16" s="1160"/>
      <c r="DR16" s="1160"/>
      <c r="DS16" s="1160"/>
      <c r="DT16" s="1160"/>
      <c r="DU16" s="1160"/>
      <c r="DV16" s="1160"/>
      <c r="DW16" s="1160"/>
      <c r="DX16" s="1160"/>
      <c r="DY16" s="1160"/>
      <c r="DZ16" s="1160"/>
      <c r="EA16" s="1160"/>
      <c r="EB16" s="1160"/>
    </row>
    <row r="17" spans="1:132" ht="15" x14ac:dyDescent="0.25">
      <c r="A17" s="1160"/>
      <c r="B17" s="1172"/>
      <c r="C17" s="1102" t="s">
        <v>1661</v>
      </c>
      <c r="D17" s="1102"/>
      <c r="E17" s="1189">
        <v>6</v>
      </c>
      <c r="F17" s="1192"/>
      <c r="G17" s="1192"/>
      <c r="H17" s="1192"/>
      <c r="I17" s="1192"/>
      <c r="J17" s="1107"/>
      <c r="K17" s="1107"/>
      <c r="L17" s="1150"/>
      <c r="M17" s="1170"/>
      <c r="N17" s="1170"/>
      <c r="O17" s="1160"/>
      <c r="P17" s="1160"/>
      <c r="Q17" s="1160"/>
      <c r="R17" s="1160"/>
      <c r="S17" s="1170"/>
      <c r="T17" s="1170"/>
      <c r="U17" s="1170"/>
      <c r="V17" s="1170"/>
      <c r="W17" s="1170"/>
      <c r="X17" s="1170"/>
      <c r="Y17" s="1170"/>
      <c r="Z17" s="1160"/>
      <c r="AA17" s="1160"/>
      <c r="AB17" s="1160"/>
      <c r="AC17" s="1160"/>
      <c r="AD17" s="1160"/>
      <c r="AE17" s="1160"/>
      <c r="AF17" s="1170"/>
      <c r="AG17" s="1170"/>
      <c r="AH17" s="1170"/>
      <c r="AI17" s="1170"/>
      <c r="AJ17" s="1170"/>
      <c r="AK17" s="1170"/>
      <c r="AL17" s="1170"/>
      <c r="AM17" s="1170"/>
      <c r="AN17" s="1170"/>
      <c r="AO17" s="1170"/>
      <c r="AP17" s="1170"/>
      <c r="AQ17" s="1170"/>
      <c r="AR17" s="1170"/>
      <c r="AS17" s="1170"/>
      <c r="AT17" s="1170"/>
      <c r="AU17" s="1170"/>
      <c r="AV17" s="1170"/>
      <c r="AW17" s="1170"/>
      <c r="AX17" s="1170"/>
      <c r="AY17" s="1170"/>
      <c r="AZ17" s="1170"/>
      <c r="BA17" s="1170"/>
      <c r="BB17" s="1170"/>
      <c r="BC17" s="1170"/>
      <c r="BD17" s="1170"/>
      <c r="BE17" s="1186" t="str">
        <f>CokingRefineryCalcs!C135</f>
        <v>Hydrogen</v>
      </c>
      <c r="BF17" s="1170" t="str">
        <f ca="1">CokingRefineryCalcs!D135</f>
        <v>wt%</v>
      </c>
      <c r="BG17" s="1170">
        <f ca="1">CokingRefineryCalcs!I135</f>
        <v>15.321692746753095</v>
      </c>
      <c r="BH17" s="1170"/>
      <c r="BI17" s="1180" t="s">
        <v>1065</v>
      </c>
      <c r="BJ17" s="1170"/>
      <c r="BK17" s="1196">
        <f ca="1">BG21/(BG45+AW36+BG21)</f>
        <v>0.2849491728257913</v>
      </c>
      <c r="BL17" s="1170"/>
      <c r="BM17" s="1170"/>
      <c r="BN17" s="1186" t="s">
        <v>1698</v>
      </c>
      <c r="BO17" s="1199" t="s">
        <v>447</v>
      </c>
      <c r="BP17" s="1199">
        <f>'Energy &amp; Unit Conversions'!$Q$27</f>
        <v>46.898519302437805</v>
      </c>
      <c r="BQ17" s="1199"/>
      <c r="BR17" s="1170"/>
      <c r="BS17" s="1170"/>
      <c r="BT17" s="1170"/>
      <c r="BU17" s="1170"/>
      <c r="BV17" s="1200" t="s">
        <v>1056</v>
      </c>
      <c r="BW17" s="1199" t="s">
        <v>447</v>
      </c>
      <c r="BX17" s="1199">
        <f>('Energy &amp; Unit Conversions'!$D$63-('Energy &amp; Unit Conversions'!$E$63*POWER((CokingRefineryPFD!BX14/'Energy &amp; Unit Conversions'!$E$54),2)))</f>
        <v>43.593320865501802</v>
      </c>
      <c r="BY17" s="1170"/>
      <c r="BZ17" s="1170"/>
      <c r="CA17" s="1170"/>
      <c r="CB17" s="1170"/>
      <c r="CC17" s="1170"/>
      <c r="CD17" s="1200" t="s">
        <v>1056</v>
      </c>
      <c r="CE17" s="1199" t="s">
        <v>447</v>
      </c>
      <c r="CF17" s="1199">
        <f>'Energy &amp; Unit Conversions'!$Q$26</f>
        <v>127.05701826728111</v>
      </c>
      <c r="CG17" s="1170"/>
      <c r="CH17" s="1198" t="s">
        <v>1699</v>
      </c>
      <c r="CI17" s="1170"/>
      <c r="CJ17" s="1107">
        <f ca="1">CF19/(CF19+BX53)</f>
        <v>0</v>
      </c>
      <c r="CK17" s="1170"/>
      <c r="CL17" s="1170"/>
      <c r="CM17" s="1170"/>
      <c r="CN17" s="1170"/>
      <c r="CO17" s="1170"/>
      <c r="CP17" s="1170"/>
      <c r="CQ17" s="1170"/>
      <c r="CR17" s="1170"/>
      <c r="CS17" s="1170"/>
      <c r="CT17" s="1170"/>
      <c r="CU17" s="1170"/>
      <c r="CV17" s="1170"/>
      <c r="CW17" s="1170"/>
      <c r="CX17" s="184"/>
      <c r="CY17" s="184"/>
      <c r="CZ17" s="184"/>
      <c r="DA17" s="184"/>
      <c r="DB17" s="184"/>
      <c r="DC17" s="184"/>
      <c r="DD17" s="184"/>
      <c r="DE17" s="184"/>
      <c r="DF17" s="184"/>
      <c r="DG17" s="184"/>
      <c r="DH17" s="184"/>
      <c r="DI17" s="1160"/>
      <c r="DJ17" s="1160"/>
      <c r="DK17" s="1171"/>
      <c r="DL17" s="1160"/>
      <c r="DM17" s="1160"/>
      <c r="DN17" s="1160"/>
      <c r="DO17" s="1160"/>
      <c r="DP17" s="1160"/>
      <c r="DQ17" s="1160"/>
      <c r="DR17" s="1160"/>
      <c r="DS17" s="1160"/>
      <c r="DT17" s="1160"/>
      <c r="DU17" s="1160"/>
      <c r="DV17" s="1160"/>
      <c r="DW17" s="1160"/>
      <c r="DX17" s="1160"/>
      <c r="DY17" s="1160"/>
      <c r="DZ17" s="1160"/>
      <c r="EA17" s="1160"/>
      <c r="EB17" s="1160"/>
    </row>
    <row r="18" spans="1:132" ht="15" x14ac:dyDescent="0.25">
      <c r="A18" s="1160"/>
      <c r="B18" s="1172"/>
      <c r="C18" s="1201"/>
      <c r="D18" s="1202"/>
      <c r="E18" s="1203"/>
      <c r="F18" s="1192"/>
      <c r="G18" s="1192"/>
      <c r="H18" s="1192"/>
      <c r="I18" s="1192"/>
      <c r="J18" s="1107"/>
      <c r="K18" s="1107"/>
      <c r="L18" s="1150"/>
      <c r="M18" s="1170"/>
      <c r="N18" s="1170"/>
      <c r="O18" s="1170"/>
      <c r="P18" s="1170"/>
      <c r="Q18" s="1170"/>
      <c r="R18" s="1170"/>
      <c r="S18" s="1170"/>
      <c r="T18" s="1170"/>
      <c r="U18" s="1170"/>
      <c r="V18" s="1170"/>
      <c r="W18" s="1170"/>
      <c r="X18" s="1170"/>
      <c r="Y18" s="1170"/>
      <c r="Z18" s="1160"/>
      <c r="AA18" s="1160"/>
      <c r="AB18" s="1160"/>
      <c r="AC18" s="1160"/>
      <c r="AD18" s="1160"/>
      <c r="AE18" s="1160"/>
      <c r="AF18" s="1170"/>
      <c r="AG18" s="1170"/>
      <c r="AH18" s="1170"/>
      <c r="AI18" s="1170"/>
      <c r="AJ18" s="1170"/>
      <c r="AK18" s="1170"/>
      <c r="AL18" s="1170"/>
      <c r="AM18" s="1170"/>
      <c r="AN18" s="1170"/>
      <c r="AO18" s="1170"/>
      <c r="AP18" s="1170"/>
      <c r="AQ18" s="1170"/>
      <c r="AR18" s="1170"/>
      <c r="AS18" s="1170"/>
      <c r="AT18" s="1170"/>
      <c r="AU18" s="1170"/>
      <c r="AV18" s="1170"/>
      <c r="AW18" s="1170"/>
      <c r="AX18" s="1170"/>
      <c r="AY18" s="1170"/>
      <c r="AZ18" s="1170"/>
      <c r="BA18" s="1170"/>
      <c r="BB18" s="1170"/>
      <c r="BC18" s="1170"/>
      <c r="BD18" s="1170"/>
      <c r="BE18" s="1186" t="str">
        <f>CokingRefineryCalcs!C136</f>
        <v>MCR</v>
      </c>
      <c r="BF18" s="1170" t="str">
        <f ca="1">CokingRefineryCalcs!D136</f>
        <v>wt%</v>
      </c>
      <c r="BG18" s="1170"/>
      <c r="BH18" s="1170"/>
      <c r="BI18" s="1197" t="s">
        <v>228</v>
      </c>
      <c r="BJ18" s="1170"/>
      <c r="BK18" s="1170">
        <f ca="1">BG13/(AA45+AZ50)</f>
        <v>0.28017553545017604</v>
      </c>
      <c r="BL18" s="1170"/>
      <c r="BM18" s="1170"/>
      <c r="BN18" s="1200" t="s">
        <v>1021</v>
      </c>
      <c r="BO18" s="1199" t="s">
        <v>1022</v>
      </c>
      <c r="BP18" s="1199">
        <f>Constants!G353</f>
        <v>33.957001686096191</v>
      </c>
      <c r="BQ18" s="1199"/>
      <c r="BR18" s="1170"/>
      <c r="BS18" s="1170"/>
      <c r="BT18" s="1170"/>
      <c r="BU18" s="1170"/>
      <c r="BV18" s="1200" t="s">
        <v>1021</v>
      </c>
      <c r="BW18" s="1199" t="s">
        <v>1022</v>
      </c>
      <c r="BX18" s="1199">
        <f>Constants!G348</f>
        <v>69.294178009033203</v>
      </c>
      <c r="BY18" s="1170"/>
      <c r="BZ18" s="1170"/>
      <c r="CA18" s="1170"/>
      <c r="CB18" s="1170"/>
      <c r="CC18" s="1170"/>
      <c r="CD18" s="1200" t="s">
        <v>1021</v>
      </c>
      <c r="CE18" s="1199" t="s">
        <v>1022</v>
      </c>
      <c r="CF18" s="1199">
        <f>Constants!G347</f>
        <v>87.138671875</v>
      </c>
      <c r="CG18" s="1170"/>
      <c r="CH18" s="1170"/>
      <c r="CI18" s="1170"/>
      <c r="CJ18" s="1170"/>
      <c r="CK18" s="1170"/>
      <c r="CL18" s="1170"/>
      <c r="CM18" s="1170"/>
      <c r="CN18" s="1170"/>
      <c r="CO18" s="1170"/>
      <c r="CP18" s="1170"/>
      <c r="CQ18" s="1170"/>
      <c r="CR18" s="1170"/>
      <c r="CS18" s="1170"/>
      <c r="CT18" s="1170"/>
      <c r="CU18" s="1170"/>
      <c r="CV18" s="1170"/>
      <c r="CW18" s="1170"/>
      <c r="CX18" s="184"/>
      <c r="CY18" s="184"/>
      <c r="CZ18" s="184"/>
      <c r="DA18" s="184"/>
      <c r="DB18" s="184"/>
      <c r="DC18" s="184"/>
      <c r="DD18" s="184"/>
      <c r="DE18" s="184"/>
      <c r="DF18" s="184"/>
      <c r="DG18" s="184"/>
      <c r="DH18" s="184"/>
      <c r="DI18" s="1160"/>
      <c r="DJ18" s="1160"/>
      <c r="DK18" s="1171"/>
      <c r="DL18" s="1160"/>
      <c r="DM18" s="1160"/>
      <c r="DN18" s="1160"/>
      <c r="DO18" s="1160"/>
      <c r="DP18" s="1160"/>
      <c r="DQ18" s="1160"/>
      <c r="DR18" s="1160"/>
      <c r="DS18" s="1160"/>
      <c r="DT18" s="1160"/>
      <c r="DU18" s="1160"/>
      <c r="DV18" s="1160"/>
      <c r="DW18" s="1160"/>
      <c r="DX18" s="1160"/>
      <c r="DY18" s="1160"/>
      <c r="DZ18" s="1160"/>
      <c r="EA18" s="1160"/>
      <c r="EB18" s="1160"/>
    </row>
    <row r="19" spans="1:132" ht="15.75" x14ac:dyDescent="0.25">
      <c r="A19" s="1160"/>
      <c r="B19" s="1176"/>
      <c r="C19" s="1177" t="s">
        <v>1268</v>
      </c>
      <c r="D19" s="1178"/>
      <c r="E19" s="1175"/>
      <c r="F19" s="1175"/>
      <c r="G19" s="1175"/>
      <c r="H19" s="1107"/>
      <c r="I19" s="1107"/>
      <c r="J19" s="1107"/>
      <c r="K19" s="1107"/>
      <c r="L19" s="1150"/>
      <c r="M19" s="1170"/>
      <c r="N19" s="1170"/>
      <c r="O19" s="1170"/>
      <c r="P19" s="1170"/>
      <c r="Q19" s="1170"/>
      <c r="R19" s="1170"/>
      <c r="S19" s="1170"/>
      <c r="T19" s="1170"/>
      <c r="U19" s="1170"/>
      <c r="V19" s="1170"/>
      <c r="W19" s="1170"/>
      <c r="X19" s="1170"/>
      <c r="Y19" s="1170"/>
      <c r="Z19" s="1160"/>
      <c r="AA19" s="1160"/>
      <c r="AB19" s="1160"/>
      <c r="AC19" s="1160"/>
      <c r="AD19" s="1160"/>
      <c r="AE19" s="1160"/>
      <c r="AF19" s="1170"/>
      <c r="AG19" s="1170"/>
      <c r="AH19" s="1170"/>
      <c r="AI19" s="1170"/>
      <c r="AJ19" s="1170"/>
      <c r="AK19" s="1170"/>
      <c r="AL19" s="1170"/>
      <c r="AM19" s="1170"/>
      <c r="AN19" s="1170"/>
      <c r="AO19" s="1170"/>
      <c r="AP19" s="1170"/>
      <c r="AQ19" s="1170"/>
      <c r="AR19" s="1170"/>
      <c r="AS19" s="1170"/>
      <c r="AT19" s="1170"/>
      <c r="AU19" s="1170"/>
      <c r="AV19" s="1170"/>
      <c r="AW19" s="1170"/>
      <c r="AX19" s="1170"/>
      <c r="AY19" s="1170"/>
      <c r="AZ19" s="1170"/>
      <c r="BA19" s="1170"/>
      <c r="BB19" s="1170"/>
      <c r="BC19" s="1170"/>
      <c r="BD19" s="1170"/>
      <c r="BE19" s="1200" t="s">
        <v>1056</v>
      </c>
      <c r="BF19" s="1199" t="s">
        <v>447</v>
      </c>
      <c r="BG19" s="1199">
        <f ca="1">('Energy &amp; Unit Conversions'!$D$63-('Energy &amp; Unit Conversions'!$E$63*POWER((CokingRefineryPFD!BG16/'Energy &amp; Unit Conversions'!$E$54),2)))</f>
        <v>42.660955656511312</v>
      </c>
      <c r="BH19" s="1170"/>
      <c r="BI19" s="1170"/>
      <c r="BJ19" s="1170"/>
      <c r="BK19" s="1170"/>
      <c r="BL19" s="1170"/>
      <c r="BM19" s="1170"/>
      <c r="BN19" s="1204" t="s">
        <v>1054</v>
      </c>
      <c r="BO19" s="1204" t="str">
        <f>IF(allocationMethod=1,$C$21,IF(allocationMethod=2,$C$22,IF(allocationMethod=3,$C$23,$C$24)))</f>
        <v>Hydrogen Content Basis</v>
      </c>
      <c r="BP19" s="1204">
        <f ca="1">CokingRefineryCalcs!R1448</f>
        <v>0</v>
      </c>
      <c r="BQ19" s="1204"/>
      <c r="BR19" s="1170"/>
      <c r="BS19" s="1170"/>
      <c r="BT19" s="1170"/>
      <c r="BU19" s="1170"/>
      <c r="BV19" s="1204" t="s">
        <v>1054</v>
      </c>
      <c r="BW19" s="1204" t="str">
        <f>IF(allocationMethod=1,$C$21,IF(allocationMethod=2,$C$22,IF(allocationMethod=3,$C$23,$C$24)))</f>
        <v>Hydrogen Content Basis</v>
      </c>
      <c r="BX19" s="1204">
        <f ca="1">IF(allocationMethod=1,BX11,IF(allocationMethod=2,BX17*BX11,IF(allocationMethod=3,BX18*BX9,BX15*BX11/100)))</f>
        <v>141266.46342969791</v>
      </c>
      <c r="BY19" s="1170"/>
      <c r="BZ19" s="1170"/>
      <c r="CA19" s="1170"/>
      <c r="CB19" s="1170"/>
      <c r="CC19" s="1170"/>
      <c r="CD19" s="1204" t="s">
        <v>1054</v>
      </c>
      <c r="CE19" s="1204" t="str">
        <f>IF(allocationMethod=1,$C$21,IF(allocationMethod=2,$C$22,IF(allocationMethod=3,$C$23,$C$24)))</f>
        <v>Hydrogen Content Basis</v>
      </c>
      <c r="CF19" s="1204">
        <f ca="1">IF(allocationMethod=1,CF11,IF(allocationMethod=2,CF17*CF11,IF(allocationMethod=3,CF18*CF9,CF15*CF11/100)))</f>
        <v>0</v>
      </c>
      <c r="CG19" s="1170"/>
      <c r="CH19" s="1170"/>
      <c r="CI19" s="1170"/>
      <c r="CJ19" s="1170"/>
      <c r="CK19" s="1170"/>
      <c r="CL19" s="1170"/>
      <c r="CM19" s="1170"/>
      <c r="CN19" s="1170"/>
      <c r="CO19" s="1170"/>
      <c r="CP19" s="1170"/>
      <c r="CQ19" s="1170"/>
      <c r="CR19" s="1170"/>
      <c r="CS19" s="1170"/>
      <c r="CT19" s="1170"/>
      <c r="CU19" s="1170"/>
      <c r="CV19" s="1170"/>
      <c r="CW19" s="1170"/>
      <c r="CX19" s="184"/>
      <c r="CY19" s="184"/>
      <c r="CZ19" s="184"/>
      <c r="DA19" s="184"/>
      <c r="DB19" s="184"/>
      <c r="DC19" s="184"/>
      <c r="DD19" s="184"/>
      <c r="DE19" s="184"/>
      <c r="DF19" s="184"/>
      <c r="DG19" s="184"/>
      <c r="DH19" s="184"/>
      <c r="DI19" s="1160"/>
      <c r="DJ19" s="1160"/>
      <c r="DK19" s="1171"/>
      <c r="DL19" s="1160"/>
      <c r="DM19" s="1160"/>
      <c r="DN19" s="1160"/>
      <c r="DO19" s="1160"/>
      <c r="DP19" s="1160"/>
      <c r="DQ19" s="1160"/>
      <c r="DR19" s="1160"/>
      <c r="DS19" s="1160"/>
      <c r="DT19" s="1160"/>
      <c r="DU19" s="1160"/>
      <c r="DV19" s="1160"/>
      <c r="DW19" s="1160"/>
      <c r="DX19" s="1160"/>
      <c r="DY19" s="1160"/>
      <c r="DZ19" s="1160"/>
      <c r="EA19" s="1160"/>
      <c r="EB19" s="1160"/>
    </row>
    <row r="20" spans="1:132" ht="15" x14ac:dyDescent="0.25">
      <c r="A20" s="1160"/>
      <c r="B20" s="1172"/>
      <c r="C20" s="1206" t="s">
        <v>1348</v>
      </c>
      <c r="D20" s="1102"/>
      <c r="E20" s="1207">
        <v>4</v>
      </c>
      <c r="F20" s="1102"/>
      <c r="G20" s="2428" t="s">
        <v>1531</v>
      </c>
      <c r="H20" s="2429"/>
      <c r="I20" s="2429"/>
      <c r="J20" s="2429"/>
      <c r="K20" s="1107"/>
      <c r="L20" s="1150"/>
      <c r="M20" s="1170"/>
      <c r="N20" s="1170"/>
      <c r="O20" s="1170"/>
      <c r="P20" s="1170"/>
      <c r="Q20" s="1170"/>
      <c r="R20" s="1170"/>
      <c r="S20" s="1170"/>
      <c r="T20" s="1170"/>
      <c r="U20" s="1170"/>
      <c r="V20" s="1170"/>
      <c r="W20" s="1170"/>
      <c r="X20" s="1170"/>
      <c r="Y20" s="1170"/>
      <c r="Z20" s="1160"/>
      <c r="AA20" s="1160"/>
      <c r="AB20" s="1160"/>
      <c r="AC20" s="1160"/>
      <c r="AD20" s="1160"/>
      <c r="AE20" s="1160"/>
      <c r="AF20" s="1170"/>
      <c r="AG20" s="1170"/>
      <c r="AH20" s="1170"/>
      <c r="AI20" s="1170"/>
      <c r="AJ20" s="1170"/>
      <c r="AK20" s="1170"/>
      <c r="AL20" s="1170"/>
      <c r="AM20" s="1170"/>
      <c r="AN20" s="1170"/>
      <c r="AO20" s="1170"/>
      <c r="AP20" s="1170"/>
      <c r="AQ20" s="1170"/>
      <c r="AR20" s="1170"/>
      <c r="AS20" s="1170"/>
      <c r="AT20" s="1170"/>
      <c r="AU20" s="1170"/>
      <c r="AV20" s="1170"/>
      <c r="AW20" s="1170"/>
      <c r="AX20" s="1170"/>
      <c r="AY20" s="1170"/>
      <c r="AZ20" s="1170"/>
      <c r="BA20" s="1170"/>
      <c r="BB20" s="1170"/>
      <c r="BC20" s="1170"/>
      <c r="BD20" s="1170"/>
      <c r="BE20" s="1200" t="s">
        <v>1021</v>
      </c>
      <c r="BF20" s="1199" t="s">
        <v>1022</v>
      </c>
      <c r="BG20" s="1199">
        <f>Constants!G337</f>
        <v>72.819999999999993</v>
      </c>
      <c r="BH20" s="1199"/>
      <c r="BI20" s="1199"/>
      <c r="BJ20" s="1199"/>
      <c r="BK20" s="1199"/>
      <c r="BL20" s="1170"/>
      <c r="BM20" s="1170"/>
      <c r="BN20" s="1170"/>
      <c r="BO20" s="1170"/>
      <c r="BP20" s="1170"/>
      <c r="BQ20" s="1170"/>
      <c r="BR20" s="1184" t="str">
        <f>'CokingRefinery Detailed Results'!C29</f>
        <v>Isomerization Unit</v>
      </c>
      <c r="BS20" s="1170"/>
      <c r="BT20" s="1170"/>
      <c r="BU20" s="1170"/>
      <c r="BV20" s="1170"/>
      <c r="BW20" s="1170"/>
      <c r="BX20" s="1170"/>
      <c r="BY20" s="1170"/>
      <c r="BZ20" s="1170"/>
      <c r="CA20" s="1170"/>
      <c r="CB20" s="1170"/>
      <c r="CC20" s="1170"/>
      <c r="CD20" s="1170"/>
      <c r="CE20" s="1170"/>
      <c r="CF20" s="1170"/>
      <c r="CG20" s="1170"/>
      <c r="CH20" s="1170"/>
      <c r="CI20" s="1170"/>
      <c r="CJ20" s="1170"/>
      <c r="CK20" s="1170"/>
      <c r="CL20" s="1170"/>
      <c r="CM20" s="1170"/>
      <c r="CN20" s="1170"/>
      <c r="CO20" s="1170"/>
      <c r="CP20" s="1170"/>
      <c r="CQ20" s="1170"/>
      <c r="CR20" s="1170"/>
      <c r="CS20" s="1170"/>
      <c r="CT20" s="1170"/>
      <c r="CU20" s="1170"/>
      <c r="CV20" s="1170"/>
      <c r="CW20" s="1170"/>
      <c r="CX20" s="184"/>
      <c r="CY20" s="184"/>
      <c r="CZ20" s="184"/>
      <c r="DA20" s="184"/>
      <c r="DB20" s="184"/>
      <c r="DC20" s="184"/>
      <c r="DD20" s="184"/>
      <c r="DE20" s="184"/>
      <c r="DF20" s="184"/>
      <c r="DG20" s="184"/>
      <c r="DH20" s="184"/>
      <c r="DI20" s="1160"/>
      <c r="DJ20" s="1160"/>
      <c r="DK20" s="1171"/>
      <c r="DL20" s="1160"/>
      <c r="DM20" s="1160"/>
      <c r="DN20" s="1160"/>
      <c r="DO20" s="1160"/>
      <c r="DP20" s="1160"/>
      <c r="DQ20" s="1160"/>
      <c r="DR20" s="1160"/>
      <c r="DS20" s="1160"/>
      <c r="DT20" s="1160"/>
      <c r="DU20" s="1160"/>
      <c r="DV20" s="1160"/>
      <c r="DW20" s="1160"/>
      <c r="DX20" s="1160"/>
      <c r="DY20" s="1160"/>
      <c r="DZ20" s="1160"/>
      <c r="EA20" s="1160"/>
      <c r="EB20" s="1160"/>
    </row>
    <row r="21" spans="1:132" ht="15" x14ac:dyDescent="0.25">
      <c r="A21" s="1160"/>
      <c r="B21" s="1172"/>
      <c r="C21" s="1201" t="s">
        <v>1016</v>
      </c>
      <c r="D21" s="1102"/>
      <c r="E21" s="1202">
        <v>1</v>
      </c>
      <c r="F21" s="1102"/>
      <c r="G21" s="2428"/>
      <c r="H21" s="2429"/>
      <c r="I21" s="2429"/>
      <c r="J21" s="2429"/>
      <c r="K21" s="1107"/>
      <c r="L21" s="1150"/>
      <c r="M21" s="1170"/>
      <c r="N21" s="1170"/>
      <c r="O21" s="1170"/>
      <c r="P21" s="1170"/>
      <c r="Q21" s="1170"/>
      <c r="R21" s="1170"/>
      <c r="S21" s="1170"/>
      <c r="T21" s="1170"/>
      <c r="U21" s="1170"/>
      <c r="V21" s="1170"/>
      <c r="W21" s="1170"/>
      <c r="X21" s="1170"/>
      <c r="Y21" s="1170"/>
      <c r="Z21" s="1160"/>
      <c r="AA21" s="1160"/>
      <c r="AB21" s="1160"/>
      <c r="AC21" s="1160"/>
      <c r="AD21" s="1160"/>
      <c r="AE21" s="1160"/>
      <c r="AF21" s="1170"/>
      <c r="AG21" s="1170"/>
      <c r="AH21" s="1170"/>
      <c r="AI21" s="1170"/>
      <c r="AJ21" s="1170"/>
      <c r="AK21" s="1170"/>
      <c r="AL21" s="1170"/>
      <c r="AM21" s="1170"/>
      <c r="AN21" s="1170"/>
      <c r="AO21" s="1170"/>
      <c r="AP21" s="1170"/>
      <c r="AQ21" s="1170"/>
      <c r="AR21" s="1170"/>
      <c r="AS21" s="1170"/>
      <c r="AT21" s="1170"/>
      <c r="AU21" s="1170"/>
      <c r="AV21" s="1170"/>
      <c r="AW21" s="1170"/>
      <c r="AX21" s="1170"/>
      <c r="AY21" s="1170"/>
      <c r="AZ21" s="1170"/>
      <c r="BA21" s="1170"/>
      <c r="BB21" s="1170"/>
      <c r="BC21" s="1170"/>
      <c r="BD21" s="1170"/>
      <c r="BE21" s="1204" t="s">
        <v>1054</v>
      </c>
      <c r="BF21" s="1204" t="str">
        <f>IF(allocationMethod=1,$C$21,IF(allocationMethod=2,$C$22,IF(allocationMethod=3,$C$23,$C$24)))</f>
        <v>Hydrogen Content Basis</v>
      </c>
      <c r="BG21" s="1204">
        <f ca="1">IF(allocationMethod=1,BG13,IF(allocationMethod=2,BG19*BG13,IF(allocationMethod=3,BG20*BG11,BG17*BG13/100)))</f>
        <v>130916.43065930343</v>
      </c>
      <c r="BH21" s="1199"/>
      <c r="BI21" s="1199"/>
      <c r="BJ21" s="1199"/>
      <c r="BK21" s="1199"/>
      <c r="BL21" s="1170"/>
      <c r="BM21" s="1170"/>
      <c r="BN21" s="1170"/>
      <c r="BO21" s="1170"/>
      <c r="BP21" s="1170"/>
      <c r="BQ21" s="1170"/>
      <c r="BR21" s="1184" t="s">
        <v>225</v>
      </c>
      <c r="BS21" s="1170"/>
      <c r="BT21" s="1184" t="s">
        <v>522</v>
      </c>
      <c r="BU21" s="1184"/>
      <c r="BV21" s="1170"/>
      <c r="BW21" s="1170"/>
      <c r="BX21" s="1170"/>
      <c r="BY21" s="1170"/>
      <c r="BZ21" s="1170"/>
      <c r="CA21" s="1170"/>
      <c r="CB21" s="1170"/>
      <c r="CC21" s="1170"/>
      <c r="CD21" s="1170"/>
      <c r="CE21" s="1170"/>
      <c r="CF21" s="1170"/>
      <c r="CG21" s="1170"/>
      <c r="CH21" s="1170"/>
      <c r="CI21" s="1170"/>
      <c r="CJ21" s="1170"/>
      <c r="CK21" s="1170"/>
      <c r="CL21" s="1170"/>
      <c r="CM21" s="1170"/>
      <c r="CN21" s="1170"/>
      <c r="CO21" s="1170"/>
      <c r="CP21" s="1170"/>
      <c r="CQ21" s="1170"/>
      <c r="CR21" s="1170"/>
      <c r="CS21" s="1170"/>
      <c r="CT21" s="1170"/>
      <c r="CU21" s="1170"/>
      <c r="CV21" s="1170"/>
      <c r="CW21" s="1170"/>
      <c r="CX21" s="184"/>
      <c r="CY21" s="184"/>
      <c r="CZ21" s="184"/>
      <c r="DA21" s="184"/>
      <c r="DB21" s="184"/>
      <c r="DC21" s="184"/>
      <c r="DD21" s="184"/>
      <c r="DE21" s="184"/>
      <c r="DF21" s="184"/>
      <c r="DG21" s="184"/>
      <c r="DH21" s="184"/>
      <c r="DI21" s="1160"/>
      <c r="DJ21" s="1160"/>
      <c r="DK21" s="1171"/>
      <c r="DL21" s="1160"/>
      <c r="DM21" s="1160"/>
      <c r="DN21" s="1160"/>
      <c r="DO21" s="1160"/>
      <c r="DP21" s="1160"/>
      <c r="DQ21" s="1160"/>
      <c r="DR21" s="1160"/>
      <c r="DS21" s="1160"/>
      <c r="DT21" s="1160"/>
      <c r="DU21" s="1160"/>
      <c r="DV21" s="1160"/>
      <c r="DW21" s="1160"/>
      <c r="DX21" s="1160"/>
      <c r="DY21" s="1160"/>
      <c r="DZ21" s="1160"/>
      <c r="EA21" s="1160"/>
      <c r="EB21" s="1160"/>
    </row>
    <row r="22" spans="1:132" ht="15" x14ac:dyDescent="0.25">
      <c r="A22" s="1160"/>
      <c r="B22" s="1172"/>
      <c r="C22" s="1201" t="s">
        <v>1017</v>
      </c>
      <c r="D22" s="1102"/>
      <c r="E22" s="1202">
        <v>2</v>
      </c>
      <c r="F22" s="1102"/>
      <c r="G22" s="2428"/>
      <c r="H22" s="2429"/>
      <c r="I22" s="2429"/>
      <c r="J22" s="2429"/>
      <c r="K22" s="1107"/>
      <c r="L22" s="1150"/>
      <c r="M22" s="1170"/>
      <c r="N22" s="1170"/>
      <c r="O22" s="1170"/>
      <c r="P22" s="1170"/>
      <c r="Q22" s="1170"/>
      <c r="R22" s="1170"/>
      <c r="S22" s="1170"/>
      <c r="T22" s="1170"/>
      <c r="U22" s="1170"/>
      <c r="V22" s="1170"/>
      <c r="W22" s="1170"/>
      <c r="X22" s="1170"/>
      <c r="Y22" s="1170"/>
      <c r="Z22" s="1160"/>
      <c r="AA22" s="1160"/>
      <c r="AB22" s="1160"/>
      <c r="AC22" s="1160"/>
      <c r="AD22" s="1160"/>
      <c r="AE22" s="1160"/>
      <c r="AF22" s="1170"/>
      <c r="AG22" s="1170"/>
      <c r="AH22" s="1170"/>
      <c r="AI22" s="1170"/>
      <c r="AJ22" s="1170"/>
      <c r="AK22" s="1170"/>
      <c r="AL22" s="1170"/>
      <c r="AM22" s="1170"/>
      <c r="AN22" s="1170"/>
      <c r="AO22" s="1170"/>
      <c r="AP22" s="1170"/>
      <c r="AQ22" s="1170"/>
      <c r="AR22" s="1170"/>
      <c r="AS22" s="1170"/>
      <c r="AT22" s="1170"/>
      <c r="AU22" s="1170"/>
      <c r="AV22" s="1170"/>
      <c r="AW22" s="1170"/>
      <c r="AX22" s="1170"/>
      <c r="AY22" s="1170"/>
      <c r="AZ22" s="1170"/>
      <c r="BA22" s="1170"/>
      <c r="BB22" s="1170"/>
      <c r="BC22" s="1170"/>
      <c r="BD22" s="1170"/>
      <c r="BE22" s="1170"/>
      <c r="BF22" s="1170"/>
      <c r="BG22" s="1170"/>
      <c r="BH22" s="1170"/>
      <c r="BI22" s="1170"/>
      <c r="BJ22" s="1170"/>
      <c r="BK22" s="1170"/>
      <c r="BL22" s="1170"/>
      <c r="BM22" s="1170"/>
      <c r="BN22" s="1170"/>
      <c r="BO22" s="1170"/>
      <c r="BP22" s="1170"/>
      <c r="BQ22" s="1170"/>
      <c r="BR22" s="1170" t="s">
        <v>392</v>
      </c>
      <c r="BS22" s="1170"/>
      <c r="BT22" s="1187">
        <f ca="1">'CokingRefinery Detailed Results'!F29+IF(AND($EB$144+$EB$161=0,E51=FALSE),'CokingRefinery Detailed Results'!F30*CokingRefineryCalcs!$U$988,0)</f>
        <v>27142.528556085686</v>
      </c>
      <c r="BU22" s="1187"/>
      <c r="BV22" s="1170"/>
      <c r="BW22" s="1170"/>
      <c r="BX22" s="1170"/>
      <c r="BY22" s="1170"/>
      <c r="BZ22" s="1170"/>
      <c r="CA22" s="1170"/>
      <c r="CB22" s="1170"/>
      <c r="CC22" s="1170"/>
      <c r="CD22" s="1170"/>
      <c r="CE22" s="1170"/>
      <c r="CF22" s="1170"/>
      <c r="CG22" s="1170"/>
      <c r="CH22" s="1170"/>
      <c r="CI22" s="1170"/>
      <c r="CJ22" s="1170"/>
      <c r="CK22" s="1170"/>
      <c r="CL22" s="1170"/>
      <c r="CM22" s="1170"/>
      <c r="CN22" s="1170"/>
      <c r="CO22" s="1170"/>
      <c r="CP22" s="1170"/>
      <c r="CQ22" s="1170"/>
      <c r="CR22" s="1170"/>
      <c r="CS22" s="1170"/>
      <c r="CT22" s="1170"/>
      <c r="CU22" s="1170"/>
      <c r="CV22" s="1170"/>
      <c r="CW22" s="1170"/>
      <c r="CX22" s="184"/>
      <c r="CY22" s="184"/>
      <c r="CZ22" s="184"/>
      <c r="DA22" s="184"/>
      <c r="DB22" s="184"/>
      <c r="DC22" s="184"/>
      <c r="DD22" s="184"/>
      <c r="DE22" s="184"/>
      <c r="DF22" s="184"/>
      <c r="DG22" s="184"/>
      <c r="DH22" s="184"/>
      <c r="DI22" s="1160"/>
      <c r="DJ22" s="1160"/>
      <c r="DK22" s="1171"/>
      <c r="DL22" s="1160"/>
      <c r="DM22" s="1160"/>
      <c r="DN22" s="1160"/>
      <c r="DO22" s="1160"/>
      <c r="DP22" s="1160"/>
      <c r="DQ22" s="1160"/>
      <c r="DR22" s="1160"/>
      <c r="DS22" s="1160"/>
      <c r="DT22" s="1160"/>
      <c r="DU22" s="1160"/>
      <c r="DV22" s="1160"/>
      <c r="DW22" s="1160"/>
      <c r="DX22" s="1160"/>
      <c r="DY22" s="1160"/>
      <c r="DZ22" s="1160"/>
      <c r="EA22" s="1160"/>
      <c r="EB22" s="1160"/>
    </row>
    <row r="23" spans="1:132" ht="15" x14ac:dyDescent="0.25">
      <c r="A23" s="1160"/>
      <c r="B23" s="1172"/>
      <c r="C23" s="1201" t="s">
        <v>1018</v>
      </c>
      <c r="D23" s="1102"/>
      <c r="E23" s="1202">
        <v>3</v>
      </c>
      <c r="F23" s="1102"/>
      <c r="G23" s="2428"/>
      <c r="H23" s="2429"/>
      <c r="I23" s="2429"/>
      <c r="J23" s="2429"/>
      <c r="K23" s="1107"/>
      <c r="L23" s="1150"/>
      <c r="M23" s="1170"/>
      <c r="N23" s="1170"/>
      <c r="O23" s="1170"/>
      <c r="P23" s="1170"/>
      <c r="Q23" s="1170"/>
      <c r="R23" s="1170"/>
      <c r="S23" s="1170"/>
      <c r="T23" s="1170"/>
      <c r="U23" s="1170"/>
      <c r="V23" s="1170"/>
      <c r="W23" s="1170"/>
      <c r="X23" s="1170"/>
      <c r="Y23" s="1170"/>
      <c r="Z23" s="1160"/>
      <c r="AA23" s="1160"/>
      <c r="AB23" s="1160"/>
      <c r="AC23" s="1160"/>
      <c r="AD23" s="1160"/>
      <c r="AE23" s="1160"/>
      <c r="AF23" s="1170"/>
      <c r="AG23" s="1170"/>
      <c r="AH23" s="1170"/>
      <c r="AI23" s="1170"/>
      <c r="AJ23" s="1170"/>
      <c r="AK23" s="1170"/>
      <c r="AL23" s="1170"/>
      <c r="AM23" s="1170"/>
      <c r="AN23" s="1170"/>
      <c r="AO23" s="1170"/>
      <c r="AP23" s="1170"/>
      <c r="AQ23" s="1170"/>
      <c r="AR23" s="1170"/>
      <c r="AS23" s="1170"/>
      <c r="AT23" s="1170"/>
      <c r="AU23" s="1170"/>
      <c r="AV23" s="1170"/>
      <c r="AW23" s="1170"/>
      <c r="AX23" s="1170"/>
      <c r="AY23" s="1170"/>
      <c r="AZ23" s="1170"/>
      <c r="BA23" s="1170"/>
      <c r="BB23" s="1170"/>
      <c r="BC23" s="1170"/>
      <c r="BD23" s="1170"/>
      <c r="BE23" s="1170"/>
      <c r="BF23" s="1170"/>
      <c r="BG23" s="1170"/>
      <c r="BH23" s="1170"/>
      <c r="BI23" s="1170"/>
      <c r="BJ23" s="1170"/>
      <c r="BK23" s="1170"/>
      <c r="BL23" s="1170"/>
      <c r="BM23" s="1170"/>
      <c r="BN23" s="1170"/>
      <c r="BO23" s="1170"/>
      <c r="BP23" s="1170"/>
      <c r="BQ23" s="1170"/>
      <c r="BR23" s="1170" t="s">
        <v>224</v>
      </c>
      <c r="BS23" s="1170"/>
      <c r="BT23" s="1187">
        <f ca="1">'CokingRefinery Detailed Results'!H29+IF(AND($EB$144+$EB$161=0,E51=FALSE),'CokingRefinery Detailed Results'!H30*CokingRefineryCalcs!$U$988,0)</f>
        <v>1560829.172620028</v>
      </c>
      <c r="BU23" s="1187"/>
      <c r="BV23" s="1170"/>
      <c r="BW23" s="1170"/>
      <c r="BX23" s="1170"/>
      <c r="BY23" s="1170"/>
      <c r="BZ23" s="1170"/>
      <c r="CA23" s="1170"/>
      <c r="CB23" s="1170"/>
      <c r="CC23" s="1170"/>
      <c r="CD23" s="1170"/>
      <c r="CE23" s="1170"/>
      <c r="CF23" s="1170"/>
      <c r="CG23" s="1170"/>
      <c r="CH23" s="1170"/>
      <c r="CI23" s="1170"/>
      <c r="CJ23" s="1170"/>
      <c r="CK23" s="1170"/>
      <c r="CL23" s="1170"/>
      <c r="CM23" s="1170"/>
      <c r="CN23" s="1170"/>
      <c r="CO23" s="1170"/>
      <c r="CP23" s="1170"/>
      <c r="CQ23" s="1170"/>
      <c r="CR23" s="1170"/>
      <c r="CS23" s="1170"/>
      <c r="CT23" s="1170"/>
      <c r="CU23" s="1170"/>
      <c r="CV23" s="1170"/>
      <c r="CW23" s="1170"/>
      <c r="CX23" s="184"/>
      <c r="CY23" s="184"/>
      <c r="CZ23" s="184"/>
      <c r="DA23" s="184"/>
      <c r="DB23" s="184"/>
      <c r="DC23" s="184"/>
      <c r="DD23" s="184"/>
      <c r="DE23" s="184"/>
      <c r="DF23" s="184"/>
      <c r="DG23" s="184"/>
      <c r="DH23" s="184"/>
      <c r="DI23" s="1160"/>
      <c r="DJ23" s="1160"/>
      <c r="DK23" s="1171"/>
      <c r="DL23" s="1160"/>
      <c r="DM23" s="1160"/>
      <c r="DN23" s="1160"/>
      <c r="DO23" s="1160"/>
      <c r="DP23" s="1160"/>
      <c r="DQ23" s="1160"/>
      <c r="DR23" s="1160"/>
      <c r="DS23" s="1160"/>
      <c r="DT23" s="1160"/>
      <c r="DU23" s="1160"/>
      <c r="DV23" s="1160"/>
      <c r="DW23" s="1160"/>
      <c r="DX23" s="1160"/>
      <c r="DY23" s="1160"/>
      <c r="DZ23" s="1160"/>
      <c r="EA23" s="1160"/>
      <c r="EB23" s="1160"/>
    </row>
    <row r="24" spans="1:132" ht="15" x14ac:dyDescent="0.25">
      <c r="A24" s="1160"/>
      <c r="B24" s="1172"/>
      <c r="C24" s="1201" t="s">
        <v>1055</v>
      </c>
      <c r="D24" s="2059"/>
      <c r="E24" s="1202">
        <v>4</v>
      </c>
      <c r="F24" s="1192"/>
      <c r="G24" s="1192"/>
      <c r="H24" s="1192"/>
      <c r="I24" s="1192"/>
      <c r="J24" s="1107"/>
      <c r="K24" s="1107"/>
      <c r="L24" s="1150"/>
      <c r="M24" s="1170"/>
      <c r="N24" s="1170"/>
      <c r="O24" s="1170"/>
      <c r="P24" s="1170"/>
      <c r="Q24" s="1170"/>
      <c r="R24" s="1170"/>
      <c r="S24" s="1170"/>
      <c r="T24" s="1170"/>
      <c r="U24" s="1170"/>
      <c r="V24" s="1170"/>
      <c r="W24" s="1170"/>
      <c r="X24" s="1170"/>
      <c r="Y24" s="1170"/>
      <c r="Z24" s="1160"/>
      <c r="AA24" s="1160"/>
      <c r="AB24" s="1160"/>
      <c r="AC24" s="1160"/>
      <c r="AD24" s="1160"/>
      <c r="AE24" s="1160"/>
      <c r="AF24" s="1170"/>
      <c r="AG24" s="1170"/>
      <c r="AH24" s="1170"/>
      <c r="AI24" s="1170"/>
      <c r="AJ24" s="1170"/>
      <c r="AK24" s="1170"/>
      <c r="AL24" s="1170"/>
      <c r="AM24" s="1170"/>
      <c r="AN24" s="1170"/>
      <c r="AO24" s="1170"/>
      <c r="AP24" s="1170"/>
      <c r="AQ24" s="1170"/>
      <c r="AR24" s="1170"/>
      <c r="AS24" s="1170"/>
      <c r="AT24" s="1170"/>
      <c r="AU24" s="1179" t="str">
        <f>CokingRefineryCalcs!J127</f>
        <v>NHT Fuel Gas</v>
      </c>
      <c r="AV24" s="1170"/>
      <c r="AW24" s="1170"/>
      <c r="AX24" s="1170"/>
      <c r="AY24" s="1170"/>
      <c r="AZ24" s="1170"/>
      <c r="BA24" s="1170"/>
      <c r="BB24" s="1170"/>
      <c r="BC24" s="1170"/>
      <c r="BD24" s="1170"/>
      <c r="BE24" s="1170"/>
      <c r="BF24" s="1170"/>
      <c r="BG24" s="1170"/>
      <c r="BH24" s="1170"/>
      <c r="BI24" s="1170"/>
      <c r="BJ24" s="1170"/>
      <c r="BK24" s="1170"/>
      <c r="BL24" s="1170"/>
      <c r="BM24" s="1170"/>
      <c r="BN24" s="1170"/>
      <c r="BO24" s="1170"/>
      <c r="BP24" s="1170"/>
      <c r="BQ24" s="1170"/>
      <c r="BR24" s="1170" t="s">
        <v>485</v>
      </c>
      <c r="BS24" s="1170"/>
      <c r="BT24" s="1187">
        <f ca="1">'CokingRefinery Detailed Results'!J29+IF(AND($EB$144+$EB$161=0,E51=FALSE),'CokingRefinery Detailed Results'!J30*CokingRefineryCalcs!$U$988,0)</f>
        <v>0</v>
      </c>
      <c r="BU24" s="1187"/>
      <c r="BV24" s="1170"/>
      <c r="BW24" s="1170"/>
      <c r="BX24" s="1170"/>
      <c r="BY24" s="1170"/>
      <c r="BZ24" s="1170"/>
      <c r="CA24" s="1170"/>
      <c r="CB24" s="1170"/>
      <c r="CC24" s="1170"/>
      <c r="CD24" s="1170"/>
      <c r="CE24" s="1170"/>
      <c r="CF24" s="1170"/>
      <c r="CG24" s="1170"/>
      <c r="CH24" s="1170"/>
      <c r="CI24" s="1170"/>
      <c r="CJ24" s="1170"/>
      <c r="CK24" s="1170"/>
      <c r="CL24" s="1170"/>
      <c r="CM24" s="1170"/>
      <c r="CN24" s="1170"/>
      <c r="CO24" s="1170"/>
      <c r="CP24" s="1170"/>
      <c r="CQ24" s="1170"/>
      <c r="CR24" s="1170"/>
      <c r="CS24" s="1170"/>
      <c r="CT24" s="1170"/>
      <c r="CU24" s="1170"/>
      <c r="CV24" s="1170"/>
      <c r="CW24" s="1170"/>
      <c r="CX24" s="1170"/>
      <c r="CY24" s="1160"/>
      <c r="CZ24" s="1160"/>
      <c r="DA24" s="1160"/>
      <c r="DB24" s="1160"/>
      <c r="DC24" s="1160"/>
      <c r="DD24" s="1160"/>
      <c r="DE24" s="1160"/>
      <c r="DF24" s="1160"/>
      <c r="DG24" s="1160"/>
      <c r="DH24" s="1160"/>
      <c r="DI24" s="1160"/>
      <c r="DJ24" s="1160"/>
      <c r="DK24" s="1171"/>
      <c r="DL24" s="1160"/>
      <c r="DM24" s="1160"/>
      <c r="DN24" s="1160"/>
      <c r="DO24" s="1160"/>
      <c r="DP24" s="1160"/>
      <c r="DQ24" s="1160"/>
      <c r="DR24" s="1160"/>
      <c r="DS24" s="1160"/>
      <c r="DT24" s="1160"/>
      <c r="DU24" s="1160"/>
      <c r="DV24" s="1160"/>
      <c r="DW24" s="1160"/>
      <c r="DX24" s="1160"/>
      <c r="DY24" s="1160"/>
      <c r="DZ24" s="1160"/>
      <c r="EA24" s="1160"/>
      <c r="EB24" s="1160"/>
    </row>
    <row r="25" spans="1:132" ht="15" x14ac:dyDescent="0.25">
      <c r="A25" s="1160"/>
      <c r="B25" s="1172"/>
      <c r="C25" s="1201"/>
      <c r="D25" s="1202"/>
      <c r="E25" s="1203"/>
      <c r="F25" s="1192"/>
      <c r="G25" s="1192"/>
      <c r="H25" s="1192"/>
      <c r="I25" s="1192"/>
      <c r="J25" s="1107"/>
      <c r="K25" s="1107"/>
      <c r="L25" s="1150"/>
      <c r="M25" s="1170"/>
      <c r="N25" s="1170"/>
      <c r="O25" s="1170"/>
      <c r="P25" s="1170"/>
      <c r="Q25" s="1170"/>
      <c r="R25" s="1170"/>
      <c r="S25" s="1170"/>
      <c r="T25" s="1170"/>
      <c r="U25" s="1170"/>
      <c r="V25" s="1170"/>
      <c r="W25" s="1170"/>
      <c r="X25" s="1170"/>
      <c r="Y25" s="1170"/>
      <c r="Z25" s="1160"/>
      <c r="AA25" s="1160"/>
      <c r="AB25" s="1160"/>
      <c r="AC25" s="1160"/>
      <c r="AD25" s="1160"/>
      <c r="AE25" s="1160"/>
      <c r="AF25" s="1170"/>
      <c r="AG25" s="1170"/>
      <c r="AH25" s="1170"/>
      <c r="AI25" s="1170"/>
      <c r="AJ25" s="1170"/>
      <c r="AK25" s="1170"/>
      <c r="AL25" s="1170"/>
      <c r="AM25" s="1170"/>
      <c r="AN25" s="1170"/>
      <c r="AO25" s="1170"/>
      <c r="AP25" s="1170"/>
      <c r="AQ25" s="1170"/>
      <c r="AR25" s="1170"/>
      <c r="AS25" s="1170"/>
      <c r="AT25" s="1170"/>
      <c r="AU25" s="1182" t="str">
        <f>CokingRefineryCalcs!C127</f>
        <v>Property</v>
      </c>
      <c r="AV25" s="1182" t="str">
        <f>CokingRefineryCalcs!D127</f>
        <v>Units</v>
      </c>
      <c r="AW25" s="1170"/>
      <c r="AX25" s="1170"/>
      <c r="AY25" s="1170"/>
      <c r="AZ25" s="1170"/>
      <c r="BA25" s="1170"/>
      <c r="BB25" s="1170"/>
      <c r="BC25" s="1170"/>
      <c r="BD25" s="1170"/>
      <c r="BE25" s="1170"/>
      <c r="BF25" s="1170"/>
      <c r="BG25" s="1170"/>
      <c r="BH25" s="1170"/>
      <c r="BI25" s="1170"/>
      <c r="BJ25" s="1170"/>
      <c r="BK25" s="1170"/>
      <c r="BL25" s="1170"/>
      <c r="BM25" s="1170"/>
      <c r="BN25" s="1170"/>
      <c r="BO25" s="1170"/>
      <c r="BP25" s="1170"/>
      <c r="BQ25" s="1170"/>
      <c r="BR25" s="1170" t="s">
        <v>541</v>
      </c>
      <c r="BS25" s="1170"/>
      <c r="BT25" s="1187">
        <f ca="1">'CokingRefinery Detailed Results'!L29+IF(AND($EB$144+$EB$161=0,E51=FALSE),'CokingRefinery Detailed Results'!L30*CokingRefineryCalcs!$U$988,0)</f>
        <v>1580367.5405574918</v>
      </c>
      <c r="BU25" s="1187"/>
      <c r="BV25" s="1170"/>
      <c r="BW25" s="1170"/>
      <c r="BX25" s="1170"/>
      <c r="BY25" s="1170"/>
      <c r="BZ25" s="1170"/>
      <c r="CA25" s="1170"/>
      <c r="CB25" s="1170"/>
      <c r="CC25" s="1170"/>
      <c r="CD25" s="1170"/>
      <c r="CE25" s="1170"/>
      <c r="CF25" s="1170"/>
      <c r="CG25" s="1170"/>
      <c r="CH25" s="1170"/>
      <c r="CI25" s="1170"/>
      <c r="CJ25" s="1170"/>
      <c r="CK25" s="1170"/>
      <c r="CL25" s="1170"/>
      <c r="CM25" s="1170"/>
      <c r="CN25" s="1170"/>
      <c r="CO25" s="1170"/>
      <c r="CP25" s="1170"/>
      <c r="CQ25" s="1170"/>
      <c r="CR25" s="1170"/>
      <c r="CS25" s="1170"/>
      <c r="CT25" s="1170"/>
      <c r="CU25" s="1170"/>
      <c r="CV25" s="1170"/>
      <c r="CW25" s="1170"/>
      <c r="CX25" s="1170"/>
      <c r="CY25" s="1160"/>
      <c r="CZ25" s="1160"/>
      <c r="DA25" s="1160"/>
      <c r="DB25" s="1160"/>
      <c r="DC25" s="1160"/>
      <c r="DD25" s="1160"/>
      <c r="DE25" s="1160"/>
      <c r="DF25" s="1160"/>
      <c r="DG25" s="1160"/>
      <c r="DH25" s="1160"/>
      <c r="DI25" s="1160"/>
      <c r="DJ25" s="1160"/>
      <c r="DK25" s="1171"/>
      <c r="DL25" s="1160"/>
      <c r="DM25" s="1160"/>
      <c r="DN25" s="1160"/>
      <c r="DO25" s="1160"/>
      <c r="DP25" s="1160"/>
      <c r="DQ25" s="1160"/>
      <c r="DR25" s="1160"/>
      <c r="DS25" s="1160"/>
      <c r="DT25" s="1160"/>
      <c r="DU25" s="1160"/>
      <c r="DV25" s="1160"/>
      <c r="DW25" s="1160"/>
      <c r="DX25" s="1160"/>
      <c r="DY25" s="1160"/>
      <c r="DZ25" s="1160"/>
      <c r="EA25" s="1160"/>
      <c r="EB25" s="1160"/>
    </row>
    <row r="26" spans="1:132" ht="15.75" x14ac:dyDescent="0.25">
      <c r="A26" s="1160"/>
      <c r="B26" s="1176"/>
      <c r="C26" s="1177" t="s">
        <v>1376</v>
      </c>
      <c r="D26" s="1178"/>
      <c r="E26" s="1209"/>
      <c r="F26" s="1192"/>
      <c r="G26" s="1192"/>
      <c r="H26" s="1192"/>
      <c r="I26" s="1192"/>
      <c r="J26" s="1107"/>
      <c r="K26" s="1107"/>
      <c r="L26" s="1150"/>
      <c r="M26" s="1170"/>
      <c r="N26" s="1170"/>
      <c r="O26" s="1170"/>
      <c r="P26" s="1170"/>
      <c r="Q26" s="1170"/>
      <c r="R26" s="1170"/>
      <c r="S26" s="1170"/>
      <c r="T26" s="1170"/>
      <c r="U26" s="1170"/>
      <c r="V26" s="1170"/>
      <c r="W26" s="1170"/>
      <c r="X26" s="1170"/>
      <c r="Y26" s="1170"/>
      <c r="Z26" s="1160"/>
      <c r="AA26" s="1160"/>
      <c r="AB26" s="1160"/>
      <c r="AC26" s="1160"/>
      <c r="AD26" s="1160"/>
      <c r="AE26" s="1160"/>
      <c r="AF26" s="1170"/>
      <c r="AG26" s="1170"/>
      <c r="AH26" s="1170"/>
      <c r="AI26" s="1170"/>
      <c r="AJ26" s="1170"/>
      <c r="AK26" s="1170"/>
      <c r="AL26" s="1170"/>
      <c r="AM26" s="1170"/>
      <c r="AN26" s="1170"/>
      <c r="AO26" s="1170"/>
      <c r="AP26" s="1170"/>
      <c r="AQ26" s="1170"/>
      <c r="AR26" s="1170"/>
      <c r="AS26" s="1170"/>
      <c r="AT26" s="1170"/>
      <c r="AU26" s="1186" t="str">
        <f>CokingRefineryCalcs!C128</f>
        <v>Vol Flow</v>
      </c>
      <c r="AV26" s="1170" t="str">
        <f ca="1">CokingRefineryCalcs!D128</f>
        <v>bpd</v>
      </c>
      <c r="AW26" s="1187">
        <f ca="1">AW27/'Energy &amp; Unit Conversions'!$G$80</f>
        <v>31430.988476717277</v>
      </c>
      <c r="AX26" s="1170"/>
      <c r="AY26" s="1170"/>
      <c r="AZ26" s="1170"/>
      <c r="BA26" s="1170"/>
      <c r="BB26" s="1170"/>
      <c r="BC26" s="1170"/>
      <c r="BD26" s="1170"/>
      <c r="BE26" s="1170"/>
      <c r="BF26" s="1170"/>
      <c r="BG26" s="1170"/>
      <c r="BH26" s="1170"/>
      <c r="BI26" s="1170"/>
      <c r="BJ26" s="1170"/>
      <c r="BK26" s="1170"/>
      <c r="BL26" s="1170"/>
      <c r="BM26" s="1170"/>
      <c r="BN26" s="1170"/>
      <c r="BO26" s="1170"/>
      <c r="BP26" s="1170"/>
      <c r="BQ26" s="1170"/>
      <c r="BR26" s="1170"/>
      <c r="BS26" s="1170"/>
      <c r="BT26" s="1170"/>
      <c r="BU26" s="1170"/>
      <c r="BV26" s="1170"/>
      <c r="BW26" s="1170"/>
      <c r="BX26" s="1170"/>
      <c r="BY26" s="1170"/>
      <c r="BZ26" s="1170"/>
      <c r="CA26" s="1170"/>
      <c r="CB26" s="1170"/>
      <c r="CC26" s="1170"/>
      <c r="CD26" s="1170"/>
      <c r="CE26" s="1170"/>
      <c r="CF26" s="1170"/>
      <c r="CG26" s="1170"/>
      <c r="CH26" s="1170"/>
      <c r="CI26" s="1170"/>
      <c r="CJ26" s="1170"/>
      <c r="CK26" s="1170"/>
      <c r="CL26" s="1170"/>
      <c r="CM26" s="1170"/>
      <c r="CN26" s="1170"/>
      <c r="CO26" s="1170"/>
      <c r="CP26" s="1170"/>
      <c r="CQ26" s="1170"/>
      <c r="CR26" s="1170"/>
      <c r="CS26" s="1170"/>
      <c r="CT26" s="1170"/>
      <c r="CU26" s="1170"/>
      <c r="CV26" s="1170"/>
      <c r="CW26" s="1170"/>
      <c r="CX26" s="1170"/>
      <c r="CY26" s="1160"/>
      <c r="CZ26" s="1160"/>
      <c r="DA26" s="1160"/>
      <c r="DB26" s="1181" t="str">
        <f>CokingRefineryCalcs!K963</f>
        <v>Blended Gasoline</v>
      </c>
      <c r="DC26" s="1170"/>
      <c r="DD26" s="1170"/>
      <c r="DE26" s="1191" t="str">
        <f>DB26</f>
        <v>Blended Gasoline</v>
      </c>
      <c r="DF26" s="1191"/>
      <c r="DG26" s="1160"/>
      <c r="DH26" s="1160"/>
      <c r="DI26" s="1160"/>
      <c r="DJ26" s="1160"/>
      <c r="DK26" s="1171"/>
      <c r="DL26" s="1160"/>
      <c r="DM26" s="1160"/>
      <c r="DN26" s="1160"/>
      <c r="DO26" s="1160"/>
      <c r="DP26" s="1160"/>
      <c r="DQ26" s="1160"/>
      <c r="DR26" s="1160"/>
      <c r="DS26" s="1160"/>
      <c r="DT26" s="1160"/>
      <c r="DU26" s="1160"/>
      <c r="DV26" s="1160"/>
      <c r="DW26" s="1160"/>
      <c r="DX26" s="1160"/>
      <c r="DY26" s="1160"/>
      <c r="DZ26" s="1160"/>
      <c r="EA26" s="1160"/>
      <c r="EB26" s="1160"/>
    </row>
    <row r="27" spans="1:132" ht="15" x14ac:dyDescent="0.25">
      <c r="A27" s="1160"/>
      <c r="B27" s="1172"/>
      <c r="C27" s="1206" t="s">
        <v>1348</v>
      </c>
      <c r="D27" s="989"/>
      <c r="E27" s="1210">
        <v>1</v>
      </c>
      <c r="F27" s="1192"/>
      <c r="G27" s="2428" t="s">
        <v>1532</v>
      </c>
      <c r="H27" s="2429"/>
      <c r="I27" s="2429"/>
      <c r="J27" s="2429"/>
      <c r="K27" s="1107"/>
      <c r="L27" s="1150"/>
      <c r="M27" s="1170"/>
      <c r="N27" s="1170"/>
      <c r="O27" s="1170"/>
      <c r="P27" s="1170"/>
      <c r="Q27" s="1170"/>
      <c r="R27" s="1170"/>
      <c r="S27" s="1170"/>
      <c r="T27" s="1170"/>
      <c r="U27" s="1170"/>
      <c r="V27" s="1170"/>
      <c r="W27" s="1170"/>
      <c r="X27" s="1170"/>
      <c r="Y27" s="1170"/>
      <c r="Z27" s="1160"/>
      <c r="AA27" s="1160"/>
      <c r="AB27" s="1160"/>
      <c r="AC27" s="1160"/>
      <c r="AD27" s="1160"/>
      <c r="AE27" s="1160"/>
      <c r="AF27" s="1170"/>
      <c r="AG27" s="1170"/>
      <c r="AH27" s="1170"/>
      <c r="AI27" s="1170"/>
      <c r="AJ27" s="1170"/>
      <c r="AK27" s="1170"/>
      <c r="AL27" s="1170"/>
      <c r="AM27" s="1170"/>
      <c r="AN27" s="1170"/>
      <c r="AO27" s="1170"/>
      <c r="AP27" s="1170"/>
      <c r="AQ27" s="1170"/>
      <c r="AR27" s="1170"/>
      <c r="AS27" s="1170"/>
      <c r="AT27" s="1170"/>
      <c r="AU27" s="1186" t="str">
        <f>CokingRefineryCalcs!C129</f>
        <v>Vol Flow</v>
      </c>
      <c r="AV27" s="1170" t="str">
        <f ca="1">CokingRefineryCalcs!D129</f>
        <v>m^3/d</v>
      </c>
      <c r="AW27" s="1187">
        <f ca="1">AW28*AW31</f>
        <v>4997.1279942443925</v>
      </c>
      <c r="AX27" s="1170"/>
      <c r="AY27" s="1170"/>
      <c r="AZ27" s="1170"/>
      <c r="BA27" s="1170"/>
      <c r="BB27" s="1170"/>
      <c r="BC27" s="1170"/>
      <c r="BD27" s="1170"/>
      <c r="BE27" s="1170"/>
      <c r="BF27" s="1170"/>
      <c r="BG27" s="1170"/>
      <c r="BH27" s="1170"/>
      <c r="BI27" s="1170"/>
      <c r="BJ27" s="1170"/>
      <c r="BK27" s="1170"/>
      <c r="BL27" s="1170"/>
      <c r="BM27" s="1170"/>
      <c r="BN27" s="1170"/>
      <c r="BO27" s="1170"/>
      <c r="BP27" s="1170"/>
      <c r="BQ27" s="1170"/>
      <c r="BR27" s="1170"/>
      <c r="BS27" s="1170"/>
      <c r="BT27" s="1170"/>
      <c r="BU27" s="1170"/>
      <c r="BV27" s="1170"/>
      <c r="BW27" s="1170"/>
      <c r="BX27" s="1170"/>
      <c r="BY27" s="1170"/>
      <c r="BZ27" s="1170"/>
      <c r="CA27" s="1170"/>
      <c r="CB27" s="1170"/>
      <c r="CC27" s="1170"/>
      <c r="CD27" s="1170"/>
      <c r="CE27" s="1170"/>
      <c r="CF27" s="1170"/>
      <c r="CG27" s="1170"/>
      <c r="CH27" s="1170"/>
      <c r="CI27" s="1170"/>
      <c r="CJ27" s="1170"/>
      <c r="CK27" s="1170"/>
      <c r="CL27" s="1170"/>
      <c r="CM27" s="1170"/>
      <c r="CN27" s="1170"/>
      <c r="CO27" s="1170"/>
      <c r="CP27" s="1170"/>
      <c r="CQ27" s="1170"/>
      <c r="CR27" s="1170"/>
      <c r="CS27" s="1170"/>
      <c r="CT27" s="1170"/>
      <c r="CU27" s="1170"/>
      <c r="CV27" s="1170"/>
      <c r="CW27" s="1170"/>
      <c r="CX27" s="1170"/>
      <c r="CY27" s="1160"/>
      <c r="CZ27" s="1160"/>
      <c r="DA27" s="1160"/>
      <c r="DB27" s="1182" t="str">
        <f>CokingRefineryCalcs!C963</f>
        <v>Property</v>
      </c>
      <c r="DC27" s="1182" t="str">
        <f>CokingRefineryCalcs!D963</f>
        <v>Units</v>
      </c>
      <c r="DD27" s="1170"/>
      <c r="DE27" s="1191" t="s">
        <v>226</v>
      </c>
      <c r="DF27" s="1191"/>
      <c r="DG27" s="1194" t="s">
        <v>522</v>
      </c>
      <c r="DH27" s="1160"/>
      <c r="DI27" s="1160"/>
      <c r="DJ27" s="1160"/>
      <c r="DK27" s="1171"/>
      <c r="DL27" s="1160"/>
      <c r="DM27" s="1160"/>
      <c r="DN27" s="1160"/>
      <c r="DO27" s="1160"/>
      <c r="DP27" s="1160"/>
      <c r="DQ27" s="1160"/>
      <c r="DR27" s="1160"/>
      <c r="DS27" s="1160"/>
      <c r="DT27" s="1160"/>
      <c r="DU27" s="1160"/>
      <c r="DV27" s="1160"/>
      <c r="DW27" s="1160"/>
      <c r="DX27" s="1160"/>
      <c r="DY27" s="1160"/>
      <c r="DZ27" s="1160"/>
      <c r="EA27" s="1160"/>
      <c r="EB27" s="1160"/>
    </row>
    <row r="28" spans="1:132" ht="15" x14ac:dyDescent="0.25">
      <c r="A28" s="1160"/>
      <c r="B28" s="1172"/>
      <c r="C28" s="2058" t="s">
        <v>1428</v>
      </c>
      <c r="D28" s="1211"/>
      <c r="E28" s="1189">
        <v>1</v>
      </c>
      <c r="F28" s="1192"/>
      <c r="G28" s="2428"/>
      <c r="H28" s="2429"/>
      <c r="I28" s="2429"/>
      <c r="J28" s="2429"/>
      <c r="K28" s="1107"/>
      <c r="L28" s="1150"/>
      <c r="M28" s="1170"/>
      <c r="N28" s="1170"/>
      <c r="O28" s="1170"/>
      <c r="P28" s="1170"/>
      <c r="Q28" s="1170"/>
      <c r="R28" s="1170"/>
      <c r="S28" s="1170"/>
      <c r="T28" s="1170"/>
      <c r="U28" s="1170"/>
      <c r="V28" s="1170"/>
      <c r="W28" s="1170"/>
      <c r="X28" s="1170"/>
      <c r="Y28" s="1170"/>
      <c r="Z28" s="1160"/>
      <c r="AA28" s="1160"/>
      <c r="AB28" s="1160"/>
      <c r="AC28" s="1160"/>
      <c r="AD28" s="1160"/>
      <c r="AE28" s="1160"/>
      <c r="AF28" s="1170"/>
      <c r="AG28" s="1170"/>
      <c r="AH28" s="1170"/>
      <c r="AI28" s="1170"/>
      <c r="AJ28" s="1170"/>
      <c r="AK28" s="1170"/>
      <c r="AL28" s="1170"/>
      <c r="AM28" s="1170"/>
      <c r="AN28" s="1170"/>
      <c r="AO28" s="1170"/>
      <c r="AP28" s="1170"/>
      <c r="AQ28" s="1170"/>
      <c r="AR28" s="1170"/>
      <c r="AS28" s="1170"/>
      <c r="AT28" s="1170"/>
      <c r="AU28" s="1186" t="str">
        <f>CokingRefineryCalcs!C130</f>
        <v>Mass Flow</v>
      </c>
      <c r="AV28" s="1170" t="str">
        <f>CokingRefineryCalcs!D130</f>
        <v>kg/d</v>
      </c>
      <c r="AW28" s="1170">
        <f ca="1">CokingRefineryCalcs!J130</f>
        <v>4314.1135318237602</v>
      </c>
      <c r="AX28" s="1170"/>
      <c r="AY28" s="1170"/>
      <c r="AZ28" s="1170"/>
      <c r="BA28" s="1170"/>
      <c r="BB28" s="1170"/>
      <c r="BC28" s="1170"/>
      <c r="BD28" s="1170"/>
      <c r="BE28" s="1170"/>
      <c r="BF28" s="1170"/>
      <c r="BG28" s="1170"/>
      <c r="BH28" s="1170"/>
      <c r="BI28" s="1170"/>
      <c r="BJ28" s="1170"/>
      <c r="BK28" s="1170"/>
      <c r="BL28" s="1170"/>
      <c r="BM28" s="1170"/>
      <c r="BN28" s="1170"/>
      <c r="BO28" s="1170"/>
      <c r="BP28" s="1170"/>
      <c r="BQ28" s="1170"/>
      <c r="BR28" s="1170"/>
      <c r="BS28" s="1170"/>
      <c r="BT28" s="1170"/>
      <c r="BU28" s="1170"/>
      <c r="BV28" s="1170"/>
      <c r="BW28" s="1170"/>
      <c r="BX28" s="1170"/>
      <c r="BY28" s="1170"/>
      <c r="BZ28" s="1170"/>
      <c r="CA28" s="1170"/>
      <c r="CB28" s="1170"/>
      <c r="CC28" s="1170"/>
      <c r="CD28" s="1170"/>
      <c r="CE28" s="1170"/>
      <c r="CF28" s="1170"/>
      <c r="CG28" s="1170"/>
      <c r="CH28" s="1170"/>
      <c r="CI28" s="1170"/>
      <c r="CJ28" s="1170"/>
      <c r="CK28" s="1170"/>
      <c r="CL28" s="1170"/>
      <c r="CM28" s="1170"/>
      <c r="CN28" s="1170"/>
      <c r="CO28" s="1170"/>
      <c r="CP28" s="1170"/>
      <c r="CQ28" s="1170"/>
      <c r="CR28" s="1170"/>
      <c r="CS28" s="1170"/>
      <c r="CT28" s="1170"/>
      <c r="CU28" s="1170"/>
      <c r="CV28" s="1170"/>
      <c r="CW28" s="1170"/>
      <c r="CX28" s="1170"/>
      <c r="CY28" s="1160"/>
      <c r="CZ28" s="1160"/>
      <c r="DA28" s="1160"/>
      <c r="DB28" s="1186" t="str">
        <f>CokingRefineryCalcs!C964</f>
        <v>Vol Flow</v>
      </c>
      <c r="DC28" s="1170" t="str">
        <f>CokingRefineryCalcs!D964</f>
        <v>bpd</v>
      </c>
      <c r="DD28" s="1170">
        <f ca="1">CokingRefineryCalcs!K964</f>
        <v>24206.28733301266</v>
      </c>
      <c r="DE28" s="1160" t="s">
        <v>263</v>
      </c>
      <c r="DF28" s="1160"/>
      <c r="DG28" s="1187">
        <f ca="1">(CB9+CB43+IF(reformerFeedstockActive=1,CC171,0)+CU181+CU242+CJ96)</f>
        <v>215180180.95489407</v>
      </c>
      <c r="DH28" s="1170"/>
      <c r="DI28" s="1160"/>
      <c r="DJ28" s="1160"/>
      <c r="DK28" s="1171"/>
      <c r="DL28" s="1160"/>
      <c r="DM28" s="1160"/>
      <c r="DN28" s="1160"/>
      <c r="DO28" s="1160"/>
      <c r="DP28" s="1160"/>
      <c r="DQ28" s="1160"/>
      <c r="DR28" s="1160"/>
      <c r="DS28" s="1160"/>
      <c r="DT28" s="1160"/>
      <c r="DU28" s="1160"/>
      <c r="DV28" s="1160"/>
      <c r="DW28" s="1160"/>
      <c r="DX28" s="1160"/>
      <c r="DY28" s="1160"/>
      <c r="DZ28" s="1160"/>
      <c r="EA28" s="1160"/>
      <c r="EB28" s="1160"/>
    </row>
    <row r="29" spans="1:132" ht="15" x14ac:dyDescent="0.25">
      <c r="A29" s="1160"/>
      <c r="B29" s="1172"/>
      <c r="C29" s="2431" t="s">
        <v>1371</v>
      </c>
      <c r="D29" s="2431"/>
      <c r="E29" s="1189">
        <v>2</v>
      </c>
      <c r="F29" s="1192"/>
      <c r="G29" s="2428"/>
      <c r="H29" s="2429"/>
      <c r="I29" s="2429"/>
      <c r="J29" s="2429"/>
      <c r="K29" s="1107"/>
      <c r="L29" s="1150"/>
      <c r="M29" s="1170"/>
      <c r="N29" s="1170"/>
      <c r="O29" s="1170"/>
      <c r="P29" s="1170"/>
      <c r="Q29" s="1170"/>
      <c r="R29" s="1170"/>
      <c r="S29" s="1170"/>
      <c r="T29" s="1170"/>
      <c r="U29" s="1170"/>
      <c r="V29" s="1170"/>
      <c r="W29" s="1170"/>
      <c r="X29" s="1170"/>
      <c r="Y29" s="1170"/>
      <c r="Z29" s="1160"/>
      <c r="AA29" s="1160"/>
      <c r="AB29" s="1160"/>
      <c r="AC29" s="1160"/>
      <c r="AD29" s="1160"/>
      <c r="AE29" s="1160"/>
      <c r="AF29" s="1170"/>
      <c r="AG29" s="1170"/>
      <c r="AH29" s="1170"/>
      <c r="AI29" s="1170"/>
      <c r="AJ29" s="1170"/>
      <c r="AK29" s="1170"/>
      <c r="AL29" s="1170"/>
      <c r="AM29" s="1170"/>
      <c r="AN29" s="1170"/>
      <c r="AO29" s="1170"/>
      <c r="AP29" s="1170"/>
      <c r="AQ29" s="1170"/>
      <c r="AR29" s="1170"/>
      <c r="AS29" s="1170"/>
      <c r="AT29" s="1170"/>
      <c r="AU29" s="1186" t="str">
        <f>CokingRefineryCalcs!C131</f>
        <v xml:space="preserve">Sulphur </v>
      </c>
      <c r="AV29" s="1170" t="str">
        <f ca="1">CokingRefineryCalcs!D131</f>
        <v>wt%</v>
      </c>
      <c r="AW29" s="1170">
        <f ca="1">CokingRefineryCalcs!J131</f>
        <v>0</v>
      </c>
      <c r="AX29" s="1170"/>
      <c r="AY29" s="1170"/>
      <c r="AZ29" s="1170"/>
      <c r="BA29" s="1170"/>
      <c r="BB29" s="1170"/>
      <c r="BC29" s="1170"/>
      <c r="BD29" s="1170"/>
      <c r="BE29" s="1170"/>
      <c r="BF29" s="1170"/>
      <c r="BG29" s="1170"/>
      <c r="BH29" s="1170"/>
      <c r="BI29" s="1170"/>
      <c r="BJ29" s="1170"/>
      <c r="BK29" s="1170"/>
      <c r="BL29" s="1170"/>
      <c r="BM29" s="1170"/>
      <c r="BN29" s="1181" t="str">
        <f>CokingRefineryCalcs!H197</f>
        <v>Reformer Fuel Gas</v>
      </c>
      <c r="BO29" s="1170"/>
      <c r="BP29" s="1170"/>
      <c r="BQ29" s="1170"/>
      <c r="BR29" s="1170"/>
      <c r="BS29" s="1170"/>
      <c r="BT29" s="1170"/>
      <c r="BU29" s="1170"/>
      <c r="BV29" s="1170"/>
      <c r="BW29" s="1170"/>
      <c r="BX29" s="1170"/>
      <c r="BY29" s="1170"/>
      <c r="BZ29" s="1170"/>
      <c r="CA29" s="1170"/>
      <c r="CB29" s="1170"/>
      <c r="CC29" s="1170"/>
      <c r="CD29" s="1170"/>
      <c r="CE29" s="1170"/>
      <c r="CF29" s="1170"/>
      <c r="CG29" s="1170"/>
      <c r="CH29" s="1170"/>
      <c r="CI29" s="1170"/>
      <c r="CJ29" s="1170"/>
      <c r="CK29" s="1170"/>
      <c r="CL29" s="1170"/>
      <c r="CM29" s="1170"/>
      <c r="CN29" s="1170"/>
      <c r="CO29" s="1170"/>
      <c r="CP29" s="1170"/>
      <c r="CQ29" s="1170"/>
      <c r="CR29" s="1170"/>
      <c r="CS29" s="1170"/>
      <c r="CT29" s="1170"/>
      <c r="CU29" s="1170"/>
      <c r="CV29" s="1170"/>
      <c r="CW29" s="1170"/>
      <c r="CX29" s="1170"/>
      <c r="CY29" s="1160"/>
      <c r="CZ29" s="1160"/>
      <c r="DA29" s="1160"/>
      <c r="DB29" s="1186" t="str">
        <f>CokingRefineryCalcs!C965</f>
        <v>Vol Flow</v>
      </c>
      <c r="DC29" s="1170" t="str">
        <f>CokingRefineryCalcs!D965</f>
        <v>m^3/d</v>
      </c>
      <c r="DD29" s="1170">
        <f ca="1">CokingRefineryCalcs!K965</f>
        <v>3848.4922660998836</v>
      </c>
      <c r="DE29" s="1160" t="s">
        <v>392</v>
      </c>
      <c r="DF29" s="1160"/>
      <c r="DG29" s="1187">
        <f ca="1">(CB10+CB44+IF(reformerFeedstockActive=1,CC172,0)+CU182+CU243+CJ97)</f>
        <v>606749.01688042691</v>
      </c>
      <c r="DH29" s="1170"/>
      <c r="DI29" s="1160"/>
      <c r="DJ29" s="1160"/>
      <c r="DK29" s="1171"/>
      <c r="DL29" s="1160"/>
      <c r="DM29" s="1160"/>
      <c r="DN29" s="1160"/>
      <c r="DO29" s="1160"/>
      <c r="DP29" s="1160"/>
      <c r="DQ29" s="1160"/>
      <c r="DR29" s="1160"/>
      <c r="DS29" s="1160"/>
      <c r="DT29" s="1160"/>
      <c r="DU29" s="1160"/>
      <c r="DV29" s="1160"/>
      <c r="DW29" s="1160"/>
      <c r="DX29" s="1160"/>
      <c r="DY29" s="1160"/>
      <c r="DZ29" s="1160"/>
      <c r="EA29" s="1160"/>
      <c r="EB29" s="1160"/>
    </row>
    <row r="30" spans="1:132" ht="15" x14ac:dyDescent="0.25">
      <c r="A30" s="1160"/>
      <c r="B30" s="1172"/>
      <c r="C30" s="1212"/>
      <c r="D30" s="1202"/>
      <c r="E30" s="1203"/>
      <c r="F30" s="1192"/>
      <c r="G30" s="2428"/>
      <c r="H30" s="2429"/>
      <c r="I30" s="2429"/>
      <c r="J30" s="2429"/>
      <c r="K30" s="1107"/>
      <c r="L30" s="1150"/>
      <c r="M30" s="1170"/>
      <c r="N30" s="1170"/>
      <c r="O30" s="1170"/>
      <c r="P30" s="1170"/>
      <c r="Q30" s="1170"/>
      <c r="R30" s="1170"/>
      <c r="S30" s="1170"/>
      <c r="T30" s="1170"/>
      <c r="U30" s="1170"/>
      <c r="V30" s="1170"/>
      <c r="W30" s="1170"/>
      <c r="X30" s="1170"/>
      <c r="Y30" s="1170"/>
      <c r="Z30" s="1160"/>
      <c r="AA30" s="1160"/>
      <c r="AB30" s="1160"/>
      <c r="AC30" s="1160"/>
      <c r="AD30" s="1160"/>
      <c r="AE30" s="1160"/>
      <c r="AF30" s="1170"/>
      <c r="AG30" s="1170"/>
      <c r="AH30" s="1170"/>
      <c r="AI30" s="1170"/>
      <c r="AJ30" s="1170"/>
      <c r="AK30" s="1170"/>
      <c r="AL30" s="1170"/>
      <c r="AM30" s="1170"/>
      <c r="AN30" s="1170"/>
      <c r="AO30" s="1170"/>
      <c r="AP30" s="1170"/>
      <c r="AQ30" s="1170"/>
      <c r="AR30" s="1170"/>
      <c r="AS30" s="1170"/>
      <c r="AT30" s="1170"/>
      <c r="AU30" s="1186" t="str">
        <f>CokingRefineryCalcs!C133</f>
        <v xml:space="preserve">API gravity </v>
      </c>
      <c r="AV30" s="1170"/>
      <c r="AW30" s="1170"/>
      <c r="AX30" s="1170"/>
      <c r="AY30" s="1170"/>
      <c r="AZ30" s="1170"/>
      <c r="BA30" s="1170"/>
      <c r="BB30" s="1170"/>
      <c r="BC30" s="1170"/>
      <c r="BD30" s="1170"/>
      <c r="BE30" s="1170"/>
      <c r="BF30" s="1170"/>
      <c r="BG30" s="1170"/>
      <c r="BH30" s="1170"/>
      <c r="BI30" s="1170"/>
      <c r="BJ30" s="1170"/>
      <c r="BK30" s="1170"/>
      <c r="BL30" s="1170"/>
      <c r="BM30" s="1170"/>
      <c r="BN30" s="1182" t="str">
        <f>CokingRefineryCalcs!C197</f>
        <v>Property</v>
      </c>
      <c r="BO30" s="1182" t="str">
        <f>CokingRefineryCalcs!D197</f>
        <v>Units</v>
      </c>
      <c r="BP30" s="1170"/>
      <c r="BQ30" s="1170"/>
      <c r="BR30" s="1170"/>
      <c r="BS30" s="1170"/>
      <c r="BT30" s="1170"/>
      <c r="BU30" s="1170"/>
      <c r="BV30" s="1170"/>
      <c r="BW30" s="1170"/>
      <c r="BX30" s="1170"/>
      <c r="BY30" s="1170"/>
      <c r="BZ30" s="1170"/>
      <c r="CA30" s="1170"/>
      <c r="CB30" s="1170"/>
      <c r="CC30" s="1170"/>
      <c r="CD30" s="1170"/>
      <c r="CE30" s="1170"/>
      <c r="CF30" s="1170"/>
      <c r="CG30" s="1170"/>
      <c r="CH30" s="1170"/>
      <c r="CI30" s="1170"/>
      <c r="CJ30" s="1170"/>
      <c r="CK30" s="1170"/>
      <c r="CL30" s="1170"/>
      <c r="CM30" s="1170"/>
      <c r="CN30" s="1170"/>
      <c r="CO30" s="1170"/>
      <c r="CP30" s="1170"/>
      <c r="CQ30" s="1170"/>
      <c r="CR30" s="1170"/>
      <c r="CS30" s="1170"/>
      <c r="CT30" s="1170"/>
      <c r="CU30" s="1170"/>
      <c r="CV30" s="1170"/>
      <c r="CW30" s="1170"/>
      <c r="CX30" s="1170"/>
      <c r="CY30" s="1160"/>
      <c r="CZ30" s="1160"/>
      <c r="DA30" s="1160"/>
      <c r="DB30" s="1186" t="str">
        <f>CokingRefineryCalcs!C966</f>
        <v>Mass Flow</v>
      </c>
      <c r="DC30" s="1170" t="str">
        <f>CokingRefineryCalcs!D966</f>
        <v>kg/d</v>
      </c>
      <c r="DD30" s="1170">
        <f ca="1">CokingRefineryCalcs!K966</f>
        <v>2767088.6286352449</v>
      </c>
      <c r="DE30" s="1160" t="s">
        <v>224</v>
      </c>
      <c r="DF30" s="1160"/>
      <c r="DG30" s="1187">
        <f ca="1">(CB11+CB45+IF(reformerFeedstockActive=1,CC173,0)+CU183+CU244+CJ98)</f>
        <v>12341896.845410015</v>
      </c>
      <c r="DH30" s="1170"/>
      <c r="DI30" s="1160"/>
      <c r="DJ30" s="1160"/>
      <c r="DK30" s="1171"/>
      <c r="DL30" s="1160"/>
      <c r="DM30" s="1160"/>
      <c r="DN30" s="1160"/>
      <c r="DO30" s="1160"/>
      <c r="DP30" s="1160"/>
      <c r="DQ30" s="1160"/>
      <c r="DR30" s="1160"/>
      <c r="DS30" s="1160"/>
      <c r="DT30" s="1160"/>
      <c r="DU30" s="1160"/>
      <c r="DV30" s="1160"/>
      <c r="DW30" s="1160"/>
      <c r="DX30" s="1160"/>
      <c r="DY30" s="1160"/>
      <c r="DZ30" s="1160"/>
      <c r="EA30" s="1160"/>
      <c r="EB30" s="1160"/>
    </row>
    <row r="31" spans="1:132" ht="15.75" x14ac:dyDescent="0.25">
      <c r="A31" s="1160"/>
      <c r="B31" s="1176"/>
      <c r="C31" s="1177" t="s">
        <v>1165</v>
      </c>
      <c r="D31" s="1178"/>
      <c r="E31" s="1209"/>
      <c r="F31" s="1192"/>
      <c r="G31" s="1213"/>
      <c r="H31" s="1213"/>
      <c r="I31" s="1213"/>
      <c r="J31" s="1213"/>
      <c r="K31" s="1107"/>
      <c r="L31" s="1150"/>
      <c r="M31" s="1170"/>
      <c r="N31" s="1170"/>
      <c r="O31" s="1170"/>
      <c r="P31" s="1170"/>
      <c r="Q31" s="1170"/>
      <c r="R31" s="1170"/>
      <c r="S31" s="1170"/>
      <c r="T31" s="1170"/>
      <c r="U31" s="1170"/>
      <c r="V31" s="1170"/>
      <c r="W31" s="1170"/>
      <c r="X31" s="1170"/>
      <c r="Y31" s="1170"/>
      <c r="Z31" s="1160"/>
      <c r="AA31" s="1160"/>
      <c r="AB31" s="1160"/>
      <c r="AC31" s="1160"/>
      <c r="AD31" s="1160"/>
      <c r="AE31" s="1160"/>
      <c r="AF31" s="1170"/>
      <c r="AG31" s="1170"/>
      <c r="AH31" s="1170"/>
      <c r="AI31" s="1170"/>
      <c r="AJ31" s="1170"/>
      <c r="AK31" s="1170"/>
      <c r="AL31" s="1170"/>
      <c r="AM31" s="1170"/>
      <c r="AN31" s="1170"/>
      <c r="AO31" s="1170"/>
      <c r="AP31" s="1170"/>
      <c r="AQ31" s="1170"/>
      <c r="AR31" s="1170"/>
      <c r="AS31" s="1170"/>
      <c r="AT31" s="1170"/>
      <c r="AU31" s="1186" t="str">
        <f>CokingRefineryCalcs!C134</f>
        <v>Density</v>
      </c>
      <c r="AV31" s="1170" t="str">
        <f ca="1">CokingRefineryCalcs!D134</f>
        <v>kg/m^3</v>
      </c>
      <c r="AW31" s="1170">
        <f>'Energy &amp; Unit Conversions'!$E$27/'Energy &amp; Unit Conversions'!$E$93/'Energy &amp; Unit Conversions'!$G$81</f>
        <v>1.1583209290581402</v>
      </c>
      <c r="AX31" s="1170"/>
      <c r="AY31" s="1170"/>
      <c r="AZ31" s="1170"/>
      <c r="BA31" s="1170"/>
      <c r="BB31" s="1170"/>
      <c r="BC31" s="1170"/>
      <c r="BD31" s="1170"/>
      <c r="BE31" s="1170"/>
      <c r="BF31" s="1170"/>
      <c r="BG31" s="1170"/>
      <c r="BH31" s="1170"/>
      <c r="BI31" s="1170"/>
      <c r="BJ31" s="1170"/>
      <c r="BK31" s="1170"/>
      <c r="BL31" s="1170"/>
      <c r="BM31" s="1170"/>
      <c r="BN31" s="1214" t="str">
        <f>CokingRefineryCalcs!C198</f>
        <v>Vol Flow</v>
      </c>
      <c r="BO31" s="1170" t="str">
        <f>CokingRefineryCalcs!D198</f>
        <v>bpd</v>
      </c>
      <c r="BP31" s="1187">
        <f ca="1">BP32/'Energy &amp; Unit Conversions'!$G$80</f>
        <v>1595654.5657455993</v>
      </c>
      <c r="BQ31" s="1170"/>
      <c r="BR31" s="1170"/>
      <c r="BS31" s="1170"/>
      <c r="BT31" s="1170"/>
      <c r="BU31" s="1170"/>
      <c r="BV31" s="1170"/>
      <c r="BW31" s="1170"/>
      <c r="BX31" s="1170"/>
      <c r="BY31" s="1170"/>
      <c r="BZ31" s="1170"/>
      <c r="CA31" s="1170"/>
      <c r="CB31" s="1170"/>
      <c r="CC31" s="1170"/>
      <c r="CD31" s="1170"/>
      <c r="CE31" s="1170"/>
      <c r="CF31" s="1170"/>
      <c r="CG31" s="1170"/>
      <c r="CH31" s="1170"/>
      <c r="CI31" s="1170"/>
      <c r="CJ31" s="1170"/>
      <c r="CK31" s="1170"/>
      <c r="CL31" s="1170"/>
      <c r="CM31" s="1170"/>
      <c r="CN31" s="1170"/>
      <c r="CO31" s="1170"/>
      <c r="CP31" s="1170"/>
      <c r="CQ31" s="1170"/>
      <c r="CR31" s="1170"/>
      <c r="CS31" s="1170"/>
      <c r="CT31" s="1170"/>
      <c r="CU31" s="1170"/>
      <c r="CV31" s="1170"/>
      <c r="CW31" s="1170"/>
      <c r="CX31" s="1170"/>
      <c r="CY31" s="1160"/>
      <c r="CZ31" s="1160"/>
      <c r="DA31" s="1160"/>
      <c r="DB31" s="1186" t="str">
        <f>CokingRefineryCalcs!C967</f>
        <v>S</v>
      </c>
      <c r="DC31" s="1170" t="str">
        <f>CokingRefineryCalcs!D967</f>
        <v>wt%</v>
      </c>
      <c r="DD31" s="1170">
        <f ca="1">CokingRefineryCalcs!K967</f>
        <v>0</v>
      </c>
      <c r="DE31" s="1160" t="s">
        <v>485</v>
      </c>
      <c r="DF31" s="1160"/>
      <c r="DG31" s="1187">
        <f ca="1">(CB12+CB46+IF(reformerFeedstockActive=1,CC174,0)+CU184+CU245+CJ99)</f>
        <v>1350048.1566903843</v>
      </c>
      <c r="DH31" s="1170"/>
      <c r="DI31" s="1160"/>
      <c r="DJ31" s="1160"/>
      <c r="DK31" s="1171"/>
      <c r="DL31" s="1160"/>
      <c r="DM31" s="1160"/>
      <c r="DN31" s="1160"/>
      <c r="DO31" s="1160"/>
      <c r="DP31" s="1160"/>
      <c r="DQ31" s="1160"/>
      <c r="DR31" s="1160"/>
      <c r="DS31" s="1160"/>
      <c r="DT31" s="1160"/>
      <c r="DU31" s="1160"/>
      <c r="DV31" s="1160"/>
      <c r="DW31" s="1160"/>
      <c r="DX31" s="1160"/>
      <c r="DY31" s="1160"/>
      <c r="DZ31" s="1160"/>
      <c r="EA31" s="1160"/>
      <c r="EB31" s="1160"/>
    </row>
    <row r="32" spans="1:132" ht="15" x14ac:dyDescent="0.25">
      <c r="A32" s="1160"/>
      <c r="B32" s="1172"/>
      <c r="C32" s="1206" t="s">
        <v>1348</v>
      </c>
      <c r="D32" s="2059"/>
      <c r="E32" s="1215">
        <v>1</v>
      </c>
      <c r="F32" s="1192"/>
      <c r="G32" s="1213"/>
      <c r="H32" s="1213"/>
      <c r="I32" s="1213"/>
      <c r="J32" s="1213"/>
      <c r="K32" s="1107"/>
      <c r="L32" s="1150"/>
      <c r="M32" s="1170"/>
      <c r="N32" s="1170"/>
      <c r="O32" s="1170"/>
      <c r="P32" s="1170"/>
      <c r="Q32" s="1170"/>
      <c r="R32" s="1170"/>
      <c r="S32" s="1170"/>
      <c r="T32" s="1170"/>
      <c r="U32" s="1170"/>
      <c r="V32" s="1170"/>
      <c r="W32" s="1170"/>
      <c r="X32" s="1170"/>
      <c r="Y32" s="1170"/>
      <c r="Z32" s="1160"/>
      <c r="AA32" s="1160"/>
      <c r="AB32" s="1160"/>
      <c r="AC32" s="1160"/>
      <c r="AD32" s="1160"/>
      <c r="AE32" s="1160"/>
      <c r="AF32" s="1170"/>
      <c r="AG32" s="1170"/>
      <c r="AH32" s="1170"/>
      <c r="AI32" s="1170"/>
      <c r="AJ32" s="1170"/>
      <c r="AK32" s="1170"/>
      <c r="AL32" s="1170"/>
      <c r="AM32" s="1170"/>
      <c r="AN32" s="1170"/>
      <c r="AO32" s="1170"/>
      <c r="AP32" s="1170"/>
      <c r="AQ32" s="1170"/>
      <c r="AR32" s="1170"/>
      <c r="AS32" s="1170"/>
      <c r="AT32" s="1170"/>
      <c r="AU32" s="1186" t="str">
        <f>CokingRefineryCalcs!C135</f>
        <v>Hydrogen</v>
      </c>
      <c r="AV32" s="1170" t="str">
        <f ca="1">CokingRefineryCalcs!D135</f>
        <v>wt%</v>
      </c>
      <c r="AW32" s="1170">
        <f ca="1">CokingRefineryCalcs!J135</f>
        <v>18.364315923905643</v>
      </c>
      <c r="AX32" s="1170"/>
      <c r="AY32" s="1186"/>
      <c r="AZ32" s="1170"/>
      <c r="BA32" s="1170"/>
      <c r="BB32" s="1170"/>
      <c r="BC32" s="1170"/>
      <c r="BD32" s="1170"/>
      <c r="BE32" s="1170"/>
      <c r="BF32" s="1170"/>
      <c r="BG32" s="1170"/>
      <c r="BH32" s="1170"/>
      <c r="BI32" s="1170"/>
      <c r="BJ32" s="1170"/>
      <c r="BK32" s="1170"/>
      <c r="BL32" s="1170"/>
      <c r="BM32" s="1170"/>
      <c r="BN32" s="1214" t="str">
        <f>CokingRefineryCalcs!C199</f>
        <v>Vol Flow</v>
      </c>
      <c r="BO32" s="1170" t="str">
        <f>CokingRefineryCalcs!D199</f>
        <v>m^3/d</v>
      </c>
      <c r="BP32" s="1187">
        <f ca="1">BP33*BP36</f>
        <v>253688.81114056532</v>
      </c>
      <c r="BQ32" s="1170"/>
      <c r="BR32" s="1170"/>
      <c r="BS32" s="1170"/>
      <c r="BT32" s="1170"/>
      <c r="BU32" s="1170"/>
      <c r="BV32" s="1170"/>
      <c r="BW32" s="1170"/>
      <c r="BX32" s="1170"/>
      <c r="BY32" s="1170"/>
      <c r="BZ32" s="1170"/>
      <c r="CA32" s="1170"/>
      <c r="CB32" s="1170"/>
      <c r="CC32" s="1170"/>
      <c r="CD32" s="1170"/>
      <c r="CE32" s="1170"/>
      <c r="CF32" s="1170"/>
      <c r="CG32" s="1170"/>
      <c r="CH32" s="1170"/>
      <c r="CI32" s="1170"/>
      <c r="CJ32" s="1170"/>
      <c r="CK32" s="1170"/>
      <c r="CL32" s="1170"/>
      <c r="CM32" s="1170"/>
      <c r="CN32" s="1170"/>
      <c r="CO32" s="1170"/>
      <c r="CP32" s="1170"/>
      <c r="CQ32" s="1170"/>
      <c r="CR32" s="1170"/>
      <c r="CS32" s="1170"/>
      <c r="CT32" s="1170"/>
      <c r="CU32" s="1170"/>
      <c r="CV32" s="1170"/>
      <c r="CW32" s="1170"/>
      <c r="CX32" s="1170"/>
      <c r="CY32" s="1160"/>
      <c r="CZ32" s="1160"/>
      <c r="DA32" s="1160"/>
      <c r="DB32" s="1186" t="str">
        <f>CokingRefineryCalcs!C969</f>
        <v>API</v>
      </c>
      <c r="DC32" s="1170"/>
      <c r="DD32" s="1170">
        <f ca="1">CokingRefineryCalcs!K969</f>
        <v>65.299498945473488</v>
      </c>
      <c r="DE32" s="1160" t="s">
        <v>541</v>
      </c>
      <c r="DF32" s="1160"/>
      <c r="DG32" s="1187">
        <f ca="1">(CB13+CB47+IF(reformerFeedstockActive=1,CC175,0)+CU185+CU246+CJ100)</f>
        <v>6675596.1621006178</v>
      </c>
      <c r="DH32" s="1160"/>
      <c r="DI32" s="1160"/>
      <c r="DJ32" s="1160"/>
      <c r="DK32" s="1171"/>
      <c r="DL32" s="1160"/>
      <c r="DM32" s="1160"/>
      <c r="DN32" s="1160"/>
      <c r="DO32" s="1160"/>
      <c r="DP32" s="1160"/>
      <c r="DQ32" s="1160"/>
      <c r="DR32" s="1160"/>
      <c r="DS32" s="1160"/>
      <c r="DT32" s="1160"/>
      <c r="DU32" s="1160"/>
      <c r="DV32" s="1160"/>
      <c r="DW32" s="1160"/>
      <c r="DX32" s="1160"/>
      <c r="DY32" s="1160"/>
      <c r="DZ32" s="1160"/>
      <c r="EA32" s="1160"/>
      <c r="EB32" s="1160"/>
    </row>
    <row r="33" spans="1:132" ht="15" x14ac:dyDescent="0.25">
      <c r="A33" s="1160"/>
      <c r="B33" s="1172"/>
      <c r="C33" s="1216" t="s">
        <v>1249</v>
      </c>
      <c r="D33" s="1102"/>
      <c r="E33" s="1189">
        <v>1</v>
      </c>
      <c r="F33" s="1192"/>
      <c r="G33" s="1213"/>
      <c r="H33" s="1213"/>
      <c r="I33" s="1213"/>
      <c r="J33" s="1213"/>
      <c r="K33" s="1107"/>
      <c r="L33" s="1150"/>
      <c r="M33" s="1170"/>
      <c r="N33" s="1170"/>
      <c r="O33" s="1170"/>
      <c r="P33" s="1170"/>
      <c r="Q33" s="1170"/>
      <c r="R33" s="1170"/>
      <c r="S33" s="1170"/>
      <c r="T33" s="1170"/>
      <c r="U33" s="1170"/>
      <c r="V33" s="1170"/>
      <c r="W33" s="1170"/>
      <c r="X33" s="1170"/>
      <c r="Y33" s="1170"/>
      <c r="Z33" s="1160"/>
      <c r="AA33" s="1160"/>
      <c r="AB33" s="1160"/>
      <c r="AC33" s="1160"/>
      <c r="AD33" s="1160"/>
      <c r="AE33" s="1160"/>
      <c r="AF33" s="1170"/>
      <c r="AG33" s="1170"/>
      <c r="AH33" s="1170"/>
      <c r="AI33" s="1170"/>
      <c r="AJ33" s="1170"/>
      <c r="AK33" s="1170"/>
      <c r="AL33" s="1170"/>
      <c r="AM33" s="1170"/>
      <c r="AN33" s="1170"/>
      <c r="AO33" s="1170"/>
      <c r="AP33" s="1170"/>
      <c r="AQ33" s="1170"/>
      <c r="AR33" s="1170"/>
      <c r="AS33" s="1170"/>
      <c r="AT33" s="1170"/>
      <c r="AU33" s="1170"/>
      <c r="AV33" s="1170"/>
      <c r="AW33" s="1170"/>
      <c r="AX33" s="1170"/>
      <c r="AY33" s="1170"/>
      <c r="AZ33" s="1170"/>
      <c r="BA33" s="1170"/>
      <c r="BB33" s="1170"/>
      <c r="BC33" s="1170"/>
      <c r="BD33" s="1170"/>
      <c r="BE33" s="1179" t="str">
        <f>CokingRefineryCalcs!H127</f>
        <v>Hydrotreated Naphtha</v>
      </c>
      <c r="BF33" s="1170"/>
      <c r="BG33" s="1170"/>
      <c r="BH33" s="1170"/>
      <c r="BI33" s="1180" t="str">
        <f>BE33</f>
        <v>Hydrotreated Naphtha</v>
      </c>
      <c r="BJ33" s="1170"/>
      <c r="BK33" s="1170"/>
      <c r="BL33" s="1170"/>
      <c r="BM33" s="1170"/>
      <c r="BN33" s="1214" t="str">
        <f>CokingRefineryCalcs!C200</f>
        <v>Mass Flow</v>
      </c>
      <c r="BO33" s="1170" t="str">
        <f>CokingRefineryCalcs!D200</f>
        <v>kg/d</v>
      </c>
      <c r="BP33" s="1170">
        <f ca="1">CokingRefineryCalcs!H200</f>
        <v>219014.26865078407</v>
      </c>
      <c r="BQ33" s="1170"/>
      <c r="BR33" s="1170"/>
      <c r="BS33" s="1170"/>
      <c r="BT33" s="1170"/>
      <c r="BU33" s="1170"/>
      <c r="BV33" s="1170"/>
      <c r="BW33" s="1170"/>
      <c r="BX33" s="1170"/>
      <c r="BY33" s="1170"/>
      <c r="BZ33" s="1170"/>
      <c r="CA33" s="1170"/>
      <c r="CB33" s="1170"/>
      <c r="CC33" s="1170"/>
      <c r="CD33" s="1170"/>
      <c r="CE33" s="1170"/>
      <c r="CF33" s="1170"/>
      <c r="CG33" s="1170"/>
      <c r="CH33" s="1170"/>
      <c r="CI33" s="1170"/>
      <c r="CJ33" s="1170"/>
      <c r="CK33" s="1170"/>
      <c r="CL33" s="1170"/>
      <c r="CM33" s="1170"/>
      <c r="CN33" s="1170"/>
      <c r="CO33" s="1170"/>
      <c r="CP33" s="1170"/>
      <c r="CQ33" s="1170"/>
      <c r="CR33" s="1170"/>
      <c r="CS33" s="1170"/>
      <c r="CT33" s="1170"/>
      <c r="CU33" s="1170"/>
      <c r="CV33" s="1170"/>
      <c r="CW33" s="1170"/>
      <c r="CX33" s="1170"/>
      <c r="CY33" s="1160"/>
      <c r="CZ33" s="1160"/>
      <c r="DA33" s="1160"/>
      <c r="DB33" s="1186" t="str">
        <f>CokingRefineryCalcs!C970</f>
        <v>Density</v>
      </c>
      <c r="DC33" s="1170" t="str">
        <f>CokingRefineryCalcs!D970</f>
        <v>kg/m^3</v>
      </c>
      <c r="DD33" s="1170">
        <f ca="1">CokingRefineryCalcs!K970</f>
        <v>719.0058956359685</v>
      </c>
      <c r="DE33" s="1160" t="str">
        <f>CS247</f>
        <v>Catalyst Coke</v>
      </c>
      <c r="DF33" s="1160"/>
      <c r="DG33" s="1170">
        <f ca="1">(CU186+CU247)</f>
        <v>3.2907815775243731E-14</v>
      </c>
      <c r="DH33" s="1160"/>
      <c r="DI33" s="1160"/>
      <c r="DJ33" s="1160"/>
      <c r="DK33" s="1171"/>
      <c r="DL33" s="1160"/>
      <c r="DM33" s="1160"/>
      <c r="DN33" s="1160"/>
      <c r="DO33" s="1160"/>
      <c r="DP33" s="1160"/>
      <c r="DQ33" s="1160"/>
      <c r="DR33" s="1160"/>
      <c r="DS33" s="1160"/>
      <c r="DT33" s="1160"/>
      <c r="DU33" s="1160"/>
      <c r="DV33" s="1160"/>
      <c r="DW33" s="1160"/>
      <c r="DX33" s="1160"/>
      <c r="DY33" s="1160"/>
      <c r="DZ33" s="1160"/>
      <c r="EA33" s="1160"/>
      <c r="EB33" s="1160"/>
    </row>
    <row r="34" spans="1:132" ht="15" x14ac:dyDescent="0.25">
      <c r="A34" s="1160"/>
      <c r="B34" s="1172"/>
      <c r="C34" s="1216" t="s">
        <v>1250</v>
      </c>
      <c r="D34" s="1202"/>
      <c r="E34" s="1189">
        <v>2</v>
      </c>
      <c r="F34" s="1192"/>
      <c r="G34" s="1213"/>
      <c r="H34" s="1213"/>
      <c r="I34" s="1213"/>
      <c r="J34" s="1213"/>
      <c r="K34" s="1107"/>
      <c r="L34" s="1150"/>
      <c r="M34" s="1170"/>
      <c r="N34" s="1170"/>
      <c r="O34" s="1170"/>
      <c r="P34" s="1170"/>
      <c r="Q34" s="1170"/>
      <c r="R34" s="1170"/>
      <c r="S34" s="1170"/>
      <c r="T34" s="1170"/>
      <c r="U34" s="1170"/>
      <c r="V34" s="1170"/>
      <c r="W34" s="1170"/>
      <c r="X34" s="1170"/>
      <c r="Y34" s="1170"/>
      <c r="Z34" s="1160"/>
      <c r="AA34" s="1160"/>
      <c r="AB34" s="1160"/>
      <c r="AC34" s="1160"/>
      <c r="AD34" s="1160"/>
      <c r="AE34" s="1160"/>
      <c r="AF34" s="1170"/>
      <c r="AG34" s="1170"/>
      <c r="AH34" s="1170"/>
      <c r="AI34" s="1170"/>
      <c r="AJ34" s="1170"/>
      <c r="AK34" s="1170"/>
      <c r="AL34" s="1170"/>
      <c r="AM34" s="1170"/>
      <c r="AN34" s="1170"/>
      <c r="AO34" s="1170"/>
      <c r="AP34" s="1170"/>
      <c r="AQ34" s="1170"/>
      <c r="AR34" s="1170"/>
      <c r="AS34" s="1170"/>
      <c r="AT34" s="1170"/>
      <c r="AU34" s="1186" t="s">
        <v>1698</v>
      </c>
      <c r="AV34" s="1199" t="s">
        <v>447</v>
      </c>
      <c r="AW34" s="1199">
        <f>'Energy &amp; Unit Conversions'!$Q$27</f>
        <v>46.898519302437805</v>
      </c>
      <c r="AX34" s="1170"/>
      <c r="AY34" s="1170"/>
      <c r="AZ34" s="1170"/>
      <c r="BA34" s="1170"/>
      <c r="BB34" s="1170"/>
      <c r="BC34" s="1170"/>
      <c r="BD34" s="1170"/>
      <c r="BE34" s="1182" t="str">
        <f>CokingRefineryCalcs!C127</f>
        <v>Property</v>
      </c>
      <c r="BF34" s="1182" t="str">
        <f>CokingRefineryCalcs!D127</f>
        <v>Units</v>
      </c>
      <c r="BG34" s="1170"/>
      <c r="BH34" s="1170"/>
      <c r="BI34" s="1183" t="s">
        <v>226</v>
      </c>
      <c r="BJ34" s="1170"/>
      <c r="BK34" s="1184" t="s">
        <v>522</v>
      </c>
      <c r="BL34" s="1170"/>
      <c r="BM34" s="1170"/>
      <c r="BN34" s="1186" t="str">
        <f>CokingRefineryCalcs!C201</f>
        <v>S</v>
      </c>
      <c r="BO34" s="1170" t="str">
        <f>CokingRefineryCalcs!D201</f>
        <v>wt%</v>
      </c>
      <c r="BP34" s="1170">
        <f>CokingRefineryCalcs!H201</f>
        <v>0</v>
      </c>
      <c r="BQ34" s="1170"/>
      <c r="BR34" s="1170"/>
      <c r="BS34" s="1170"/>
      <c r="BT34" s="1170"/>
      <c r="BU34" s="1170"/>
      <c r="BV34" s="1170"/>
      <c r="BW34" s="1170"/>
      <c r="BX34" s="1170"/>
      <c r="BY34" s="1170"/>
      <c r="BZ34" s="1170"/>
      <c r="CA34" s="1170"/>
      <c r="CB34" s="1170"/>
      <c r="CC34" s="1170"/>
      <c r="CD34" s="1170"/>
      <c r="CE34" s="1170"/>
      <c r="CF34" s="1170"/>
      <c r="CG34" s="1170"/>
      <c r="CH34" s="1170"/>
      <c r="CI34" s="1170"/>
      <c r="CJ34" s="1170"/>
      <c r="CK34" s="1170"/>
      <c r="CL34" s="1170"/>
      <c r="CM34" s="1170"/>
      <c r="CN34" s="1170"/>
      <c r="CO34" s="1170"/>
      <c r="CP34" s="1170"/>
      <c r="CQ34" s="1170"/>
      <c r="CR34" s="1170"/>
      <c r="CS34" s="1170"/>
      <c r="CT34" s="1170"/>
      <c r="CU34" s="1170"/>
      <c r="CV34" s="1170"/>
      <c r="CW34" s="1170"/>
      <c r="CX34" s="1170"/>
      <c r="CY34" s="1160"/>
      <c r="CZ34" s="1160"/>
      <c r="DA34" s="1160"/>
      <c r="DB34" s="1186" t="str">
        <f>CokingRefineryCalcs!C971</f>
        <v>H</v>
      </c>
      <c r="DC34" s="1170" t="str">
        <f>CokingRefineryCalcs!D971</f>
        <v>wt%</v>
      </c>
      <c r="DD34" s="1170">
        <f ca="1">CokingRefineryCalcs!K971</f>
        <v>13.645092677813897</v>
      </c>
      <c r="DE34" s="1191"/>
      <c r="DF34" s="1191"/>
      <c r="DG34" s="1217"/>
      <c r="DH34" s="1160"/>
      <c r="DI34" s="1160"/>
      <c r="DJ34" s="1160"/>
      <c r="DK34" s="1171"/>
      <c r="DL34" s="1160"/>
      <c r="DM34" s="1160"/>
      <c r="DN34" s="1160"/>
      <c r="DO34" s="1160"/>
      <c r="DP34" s="1160"/>
      <c r="DQ34" s="1160"/>
      <c r="DR34" s="1160"/>
      <c r="DS34" s="1160"/>
      <c r="DT34" s="1160"/>
      <c r="DU34" s="1160"/>
      <c r="DV34" s="1160"/>
      <c r="DW34" s="1160"/>
      <c r="DX34" s="1160"/>
      <c r="DY34" s="1160"/>
      <c r="DZ34" s="1160"/>
      <c r="EA34" s="1160"/>
      <c r="EB34" s="1160"/>
    </row>
    <row r="35" spans="1:132" ht="15" x14ac:dyDescent="0.25">
      <c r="A35" s="1160"/>
      <c r="B35" s="1172"/>
      <c r="C35" s="1216"/>
      <c r="D35" s="2059"/>
      <c r="E35" s="1189"/>
      <c r="F35" s="1192"/>
      <c r="G35" s="1213"/>
      <c r="H35" s="1213"/>
      <c r="I35" s="1213"/>
      <c r="J35" s="1213"/>
      <c r="K35" s="1107"/>
      <c r="L35" s="1150"/>
      <c r="M35" s="1170"/>
      <c r="N35" s="1170"/>
      <c r="O35" s="1170"/>
      <c r="P35" s="1170"/>
      <c r="Q35" s="1170"/>
      <c r="R35" s="1170"/>
      <c r="S35" s="1170"/>
      <c r="T35" s="1170"/>
      <c r="U35" s="1170"/>
      <c r="V35" s="1170"/>
      <c r="W35" s="1170"/>
      <c r="X35" s="1170"/>
      <c r="Y35" s="1170"/>
      <c r="Z35" s="1170"/>
      <c r="AA35" s="1170"/>
      <c r="AB35" s="1170"/>
      <c r="AC35" s="1170"/>
      <c r="AD35" s="1170"/>
      <c r="AE35" s="1170"/>
      <c r="AF35" s="1170"/>
      <c r="AG35" s="1170"/>
      <c r="AH35" s="1170"/>
      <c r="AI35" s="1170"/>
      <c r="AJ35" s="1170"/>
      <c r="AK35" s="1170"/>
      <c r="AL35" s="1170"/>
      <c r="AM35" s="1170"/>
      <c r="AN35" s="1170"/>
      <c r="AO35" s="1170"/>
      <c r="AP35" s="1170"/>
      <c r="AQ35" s="1170"/>
      <c r="AR35" s="1170"/>
      <c r="AS35" s="1170"/>
      <c r="AT35" s="1170"/>
      <c r="AU35" s="1200" t="s">
        <v>1021</v>
      </c>
      <c r="AV35" s="1199" t="s">
        <v>1022</v>
      </c>
      <c r="AW35" s="1199">
        <f>Constants!$G$353</f>
        <v>33.957001686096191</v>
      </c>
      <c r="AX35" s="1170"/>
      <c r="AY35" s="1170"/>
      <c r="AZ35" s="1170"/>
      <c r="BA35" s="1170"/>
      <c r="BB35" s="1170"/>
      <c r="BC35" s="1170"/>
      <c r="BD35" s="1170"/>
      <c r="BE35" s="1186" t="str">
        <f>CokingRefineryCalcs!C128</f>
        <v>Vol Flow</v>
      </c>
      <c r="BF35" s="1170" t="str">
        <f ca="1">CokingRefineryCalcs!D128</f>
        <v>bpd</v>
      </c>
      <c r="BG35" s="1170">
        <f ca="1">CokingRefineryCalcs!H128</f>
        <v>17697.585317090663</v>
      </c>
      <c r="BH35" s="1170"/>
      <c r="BI35" s="1170" t="s">
        <v>263</v>
      </c>
      <c r="BJ35" s="1170"/>
      <c r="BK35" s="1187">
        <f ca="1">AE43*BK40</f>
        <v>153864766.38329291</v>
      </c>
      <c r="BL35" s="1170"/>
      <c r="BM35" s="1170"/>
      <c r="BN35" s="1186" t="str">
        <f>CokingRefineryCalcs!C202</f>
        <v>API</v>
      </c>
      <c r="BO35" s="1170">
        <f>CokingRefineryCalcs!D202</f>
        <v>0</v>
      </c>
      <c r="BP35" s="1170"/>
      <c r="BQ35" s="1170"/>
      <c r="BR35" s="1170"/>
      <c r="BS35" s="1170"/>
      <c r="BT35" s="1170"/>
      <c r="BU35" s="1170"/>
      <c r="BV35" s="1170"/>
      <c r="BW35" s="1170"/>
      <c r="BX35" s="1170"/>
      <c r="BY35" s="1170"/>
      <c r="BZ35" s="1170"/>
      <c r="CA35" s="1170"/>
      <c r="CB35" s="1170"/>
      <c r="CC35" s="1170"/>
      <c r="CD35" s="1170"/>
      <c r="CE35" s="1170"/>
      <c r="CF35" s="1170"/>
      <c r="CG35" s="1170"/>
      <c r="CH35" s="1170"/>
      <c r="CI35" s="1170"/>
      <c r="CJ35" s="1170"/>
      <c r="CK35" s="1170"/>
      <c r="CL35" s="1170"/>
      <c r="CM35" s="1170"/>
      <c r="CN35" s="1170"/>
      <c r="CO35" s="1170"/>
      <c r="CP35" s="1170"/>
      <c r="CQ35" s="1170"/>
      <c r="CR35" s="1170"/>
      <c r="CS35" s="1170"/>
      <c r="CT35" s="1170"/>
      <c r="CU35" s="1170"/>
      <c r="CV35" s="1170"/>
      <c r="CW35" s="1170"/>
      <c r="CX35" s="1170"/>
      <c r="CY35" s="1160"/>
      <c r="CZ35" s="1160"/>
      <c r="DA35" s="1160"/>
      <c r="DB35" s="1186" t="str">
        <f>CokingRefineryCalcs!C972</f>
        <v>MCR</v>
      </c>
      <c r="DC35" s="1170" t="str">
        <f>CokingRefineryCalcs!D972</f>
        <v>wt%</v>
      </c>
      <c r="DD35" s="1170">
        <f>CokingRefineryCalcs!K972</f>
        <v>0</v>
      </c>
      <c r="DE35" s="1160"/>
      <c r="DF35" s="1160"/>
      <c r="DG35" s="1170"/>
      <c r="DH35" s="1160"/>
      <c r="DI35" s="1160"/>
      <c r="DJ35" s="1160"/>
      <c r="DK35" s="1171"/>
      <c r="DL35" s="1160"/>
      <c r="DM35" s="1160"/>
      <c r="DN35" s="1160"/>
      <c r="DO35" s="1160"/>
      <c r="DP35" s="1160"/>
      <c r="DQ35" s="1160"/>
      <c r="DR35" s="1160"/>
      <c r="DS35" s="1160"/>
      <c r="DT35" s="1160"/>
      <c r="DU35" s="1160"/>
      <c r="DV35" s="1160"/>
      <c r="DW35" s="1160"/>
      <c r="DX35" s="1160"/>
      <c r="DY35" s="1160"/>
      <c r="DZ35" s="1160"/>
      <c r="EA35" s="1160"/>
      <c r="EB35" s="1160"/>
    </row>
    <row r="36" spans="1:132" ht="16.5" thickBot="1" x14ac:dyDescent="0.3">
      <c r="A36" s="1160"/>
      <c r="B36" s="1176"/>
      <c r="C36" s="1177" t="s">
        <v>1808</v>
      </c>
      <c r="D36" s="1178"/>
      <c r="E36" s="1209"/>
      <c r="F36" s="1192"/>
      <c r="G36" s="1213"/>
      <c r="H36" s="1213"/>
      <c r="I36" s="1213"/>
      <c r="J36" s="1213"/>
      <c r="K36" s="1107"/>
      <c r="L36" s="1150"/>
      <c r="M36" s="1170"/>
      <c r="N36" s="1170"/>
      <c r="O36" s="1170"/>
      <c r="P36" s="1170"/>
      <c r="Q36" s="1170"/>
      <c r="R36" s="1170"/>
      <c r="S36" s="1170"/>
      <c r="T36" s="1170"/>
      <c r="U36" s="1170"/>
      <c r="V36" s="1170"/>
      <c r="W36" s="1170"/>
      <c r="X36" s="1170"/>
      <c r="Y36" s="1170"/>
      <c r="Z36" s="1170"/>
      <c r="AA36" s="1170"/>
      <c r="AB36" s="1170"/>
      <c r="AC36" s="1170"/>
      <c r="AD36" s="1170"/>
      <c r="AE36" s="1170"/>
      <c r="AF36" s="1170"/>
      <c r="AG36" s="1170"/>
      <c r="AH36" s="1170"/>
      <c r="AI36" s="1170"/>
      <c r="AJ36" s="1170"/>
      <c r="AK36" s="1170"/>
      <c r="AL36" s="1170"/>
      <c r="AM36" s="1170"/>
      <c r="AN36" s="1170"/>
      <c r="AO36" s="1170"/>
      <c r="AP36" s="1170"/>
      <c r="AQ36" s="1170"/>
      <c r="AR36" s="1170"/>
      <c r="AS36" s="1170"/>
      <c r="AT36" s="1170"/>
      <c r="AU36" s="1204" t="s">
        <v>1054</v>
      </c>
      <c r="AV36" s="1204" t="str">
        <f>IF(allocationMethod=1,$C$21,IF(allocationMethod=2,$C$22,IF(allocationMethod=3,$C$23,$C$24)))</f>
        <v>Hydrogen Content Basis</v>
      </c>
      <c r="AW36" s="1204">
        <f ca="1">CokingRefineryCalcs!R1449</f>
        <v>0</v>
      </c>
      <c r="AX36" s="1170"/>
      <c r="AY36" s="1170"/>
      <c r="AZ36" s="1170"/>
      <c r="BA36" s="1170"/>
      <c r="BB36" s="1170"/>
      <c r="BC36" s="1170"/>
      <c r="BD36" s="1170"/>
      <c r="BE36" s="1186" t="str">
        <f>CokingRefineryCalcs!C129</f>
        <v>Vol Flow</v>
      </c>
      <c r="BF36" s="1170" t="str">
        <f ca="1">CokingRefineryCalcs!D129</f>
        <v>m^3/d</v>
      </c>
      <c r="BG36" s="1170">
        <f ca="1">CokingRefineryCalcs!H129</f>
        <v>2813.6913060838883</v>
      </c>
      <c r="BH36" s="1170"/>
      <c r="BI36" s="1170" t="s">
        <v>392</v>
      </c>
      <c r="BJ36" s="1170"/>
      <c r="BK36" s="1187">
        <f ca="1">(AE44+AZ44)*$BK$40</f>
        <v>277777.63029616227</v>
      </c>
      <c r="BL36" s="1170"/>
      <c r="BM36" s="1170"/>
      <c r="BN36" s="1186" t="str">
        <f>CokingRefineryCalcs!C203</f>
        <v>Density</v>
      </c>
      <c r="BO36" s="1170" t="str">
        <f>CokingRefineryCalcs!D203</f>
        <v>kg/m^3</v>
      </c>
      <c r="BP36" s="1170">
        <f>'Energy &amp; Unit Conversions'!$E$27/'Energy &amp; Unit Conversions'!$E$93/'Energy &amp; Unit Conversions'!$G$81</f>
        <v>1.1583209290581402</v>
      </c>
      <c r="BQ36" s="1170"/>
      <c r="BR36" s="1170"/>
      <c r="BS36" s="1170"/>
      <c r="BT36" s="1170"/>
      <c r="BU36" s="1170"/>
      <c r="BV36" s="1170"/>
      <c r="BW36" s="1170"/>
      <c r="BX36" s="1170"/>
      <c r="BY36" s="1170"/>
      <c r="BZ36" s="1170"/>
      <c r="CA36" s="1170"/>
      <c r="CB36" s="1170"/>
      <c r="CC36" s="1170"/>
      <c r="CD36" s="1170"/>
      <c r="CE36" s="1170"/>
      <c r="CF36" s="1170"/>
      <c r="CG36" s="1170"/>
      <c r="CH36" s="1170"/>
      <c r="CI36" s="1170"/>
      <c r="CJ36" s="1170"/>
      <c r="CK36" s="1170"/>
      <c r="CL36" s="1170"/>
      <c r="CM36" s="1170"/>
      <c r="CN36" s="1170"/>
      <c r="CO36" s="1170"/>
      <c r="CP36" s="1170"/>
      <c r="CQ36" s="1170"/>
      <c r="CR36" s="1170"/>
      <c r="CS36" s="1170"/>
      <c r="CT36" s="1170"/>
      <c r="CU36" s="1170"/>
      <c r="CV36" s="1170"/>
      <c r="CW36" s="1170"/>
      <c r="CX36" s="1170"/>
      <c r="CY36" s="1160"/>
      <c r="CZ36" s="1160"/>
      <c r="DA36" s="1160"/>
      <c r="DB36" s="1183" t="s">
        <v>1700</v>
      </c>
      <c r="DC36" s="1184" t="s">
        <v>447</v>
      </c>
      <c r="DD36" s="1170">
        <f ca="1">('Energy &amp; Unit Conversions'!$D$63-('Energy &amp; Unit Conversions'!$E$63*POWER((CokingRefineryPFD!DD33/'Energy &amp; Unit Conversions'!$E$54),2)))</f>
        <v>42.590612555332839</v>
      </c>
      <c r="DE36" s="1160"/>
      <c r="DF36" s="1160"/>
      <c r="DG36" s="1160"/>
      <c r="DH36" s="1160"/>
      <c r="DI36" s="1160"/>
      <c r="DJ36" s="1160"/>
      <c r="DK36" s="1171"/>
      <c r="DL36" s="1160"/>
      <c r="DM36" s="1160"/>
      <c r="DN36" s="1160"/>
      <c r="DO36" s="1160"/>
      <c r="DP36" s="1160"/>
      <c r="DQ36" s="1160"/>
      <c r="DR36" s="1160"/>
      <c r="DS36" s="1160"/>
      <c r="DT36" s="1160"/>
      <c r="DU36" s="1160"/>
      <c r="DV36" s="1160"/>
      <c r="DW36" s="1160"/>
      <c r="DX36" s="1160"/>
      <c r="DY36" s="1160"/>
      <c r="DZ36" s="1160"/>
      <c r="EA36" s="1160"/>
      <c r="EB36" s="1160"/>
    </row>
    <row r="37" spans="1:132" ht="15.75" thickBot="1" x14ac:dyDescent="0.3">
      <c r="A37" s="1160"/>
      <c r="B37" s="1172"/>
      <c r="C37" s="1206" t="s">
        <v>1348</v>
      </c>
      <c r="D37" s="2059"/>
      <c r="E37" s="1215">
        <v>1</v>
      </c>
      <c r="F37" s="1192"/>
      <c r="G37" s="1213"/>
      <c r="H37" s="1213"/>
      <c r="I37" s="1213"/>
      <c r="J37" s="1213"/>
      <c r="K37" s="1107"/>
      <c r="L37" s="1150"/>
      <c r="M37" s="1170"/>
      <c r="N37" s="1170"/>
      <c r="O37" s="1170"/>
      <c r="P37" s="1170"/>
      <c r="Q37" s="1170"/>
      <c r="R37" s="1170"/>
      <c r="S37" s="1170"/>
      <c r="T37" s="1170"/>
      <c r="U37" s="1170"/>
      <c r="V37" s="1170"/>
      <c r="W37" s="1170"/>
      <c r="X37" s="1170"/>
      <c r="Y37" s="1170"/>
      <c r="Z37" s="1170"/>
      <c r="AA37" s="1170"/>
      <c r="AB37" s="1170"/>
      <c r="AC37" s="1170"/>
      <c r="AD37" s="1170"/>
      <c r="AE37" s="1170"/>
      <c r="AF37" s="1170"/>
      <c r="AG37" s="1170"/>
      <c r="AH37" s="1170"/>
      <c r="AI37" s="1170"/>
      <c r="AJ37" s="1170"/>
      <c r="AK37" s="1170"/>
      <c r="AL37" s="1170"/>
      <c r="AM37" s="1170"/>
      <c r="AN37" s="1170"/>
      <c r="AO37" s="1170"/>
      <c r="AP37" s="1170"/>
      <c r="AQ37" s="1170"/>
      <c r="AR37" s="1170"/>
      <c r="AS37" s="1170"/>
      <c r="AT37" s="1170"/>
      <c r="AU37" s="1170"/>
      <c r="AV37" s="1170"/>
      <c r="AW37" s="1170"/>
      <c r="AX37" s="1170"/>
      <c r="AY37" s="1170"/>
      <c r="AZ37" s="1170"/>
      <c r="BA37" s="1170"/>
      <c r="BB37" s="1170"/>
      <c r="BC37" s="1170"/>
      <c r="BD37" s="1170"/>
      <c r="BE37" s="1186" t="str">
        <f>CokingRefineryCalcs!C130</f>
        <v>Mass Flow</v>
      </c>
      <c r="BF37" s="1170" t="str">
        <f>CokingRefineryCalcs!D130</f>
        <v>kg/d</v>
      </c>
      <c r="BG37" s="1170">
        <f ca="1">CokingRefineryCalcs!H130</f>
        <v>2190142.6865078406</v>
      </c>
      <c r="BH37" s="1170"/>
      <c r="BI37" s="1170" t="s">
        <v>224</v>
      </c>
      <c r="BJ37" s="1170"/>
      <c r="BK37" s="1187">
        <f ca="1">(AE45+AZ45)*$BK$40</f>
        <v>3772876.2576715457</v>
      </c>
      <c r="BL37" s="1170"/>
      <c r="BM37" s="1170"/>
      <c r="BN37" s="1186" t="str">
        <f>CokingRefineryCalcs!C204</f>
        <v>H</v>
      </c>
      <c r="BO37" s="1170" t="str">
        <f>CokingRefineryCalcs!D204</f>
        <v>wt%</v>
      </c>
      <c r="BP37" s="1170">
        <f>CokingRefineryCalcs!H204</f>
        <v>19.299794001723541</v>
      </c>
      <c r="BQ37" s="1170"/>
      <c r="BR37" s="1170"/>
      <c r="BS37" s="1170"/>
      <c r="BT37" s="1170"/>
      <c r="BU37" s="1170"/>
      <c r="BV37" s="1170"/>
      <c r="BW37" s="1170"/>
      <c r="BX37" s="1170"/>
      <c r="BY37" s="1170"/>
      <c r="BZ37" s="1170"/>
      <c r="CA37" s="1170"/>
      <c r="CB37" s="1170"/>
      <c r="CC37" s="1170"/>
      <c r="CD37" s="1170"/>
      <c r="CE37" s="1170"/>
      <c r="CF37" s="1170"/>
      <c r="CG37" s="1170"/>
      <c r="CH37" s="1170"/>
      <c r="CI37" s="1170"/>
      <c r="CJ37" s="1170"/>
      <c r="CK37" s="1170"/>
      <c r="CL37" s="1170"/>
      <c r="CM37" s="1170"/>
      <c r="CN37" s="1170"/>
      <c r="CO37" s="1170"/>
      <c r="CP37" s="1170"/>
      <c r="CQ37" s="1170"/>
      <c r="CR37" s="1170"/>
      <c r="CS37" s="1170"/>
      <c r="CT37" s="1170"/>
      <c r="CU37" s="1170"/>
      <c r="CV37" s="1170"/>
      <c r="CW37" s="1170"/>
      <c r="CX37" s="1170"/>
      <c r="CY37" s="1160"/>
      <c r="CZ37" s="1160"/>
      <c r="DA37" s="1160"/>
      <c r="DB37" s="1200" t="s">
        <v>1021</v>
      </c>
      <c r="DC37" s="1199" t="s">
        <v>1022</v>
      </c>
      <c r="DD37" s="1222">
        <f>Constants!G355</f>
        <v>97.641761779785156</v>
      </c>
      <c r="DE37" s="1160"/>
      <c r="DF37" s="1160"/>
      <c r="DG37" s="1160"/>
      <c r="DH37" s="1160"/>
      <c r="DI37" s="1160"/>
      <c r="DJ37" s="1160"/>
      <c r="DK37" s="1160"/>
      <c r="DL37" s="1171"/>
      <c r="DM37" s="1160"/>
      <c r="DN37" s="1160"/>
      <c r="DO37" s="1160"/>
      <c r="DP37" s="1160"/>
      <c r="DQ37" s="1160"/>
      <c r="DR37" s="1160"/>
      <c r="DS37" s="1160"/>
      <c r="DT37" s="1160"/>
      <c r="DU37" s="1160"/>
      <c r="DV37" s="1160"/>
      <c r="DW37" s="1160"/>
      <c r="DX37" s="1160"/>
      <c r="DY37" s="1160"/>
      <c r="DZ37" s="1160"/>
      <c r="EA37" s="1160"/>
      <c r="EB37" s="1160"/>
    </row>
    <row r="38" spans="1:132" ht="15" customHeight="1" x14ac:dyDescent="0.25">
      <c r="A38" s="1160"/>
      <c r="B38" s="1172"/>
      <c r="C38" s="1216" t="s">
        <v>1811</v>
      </c>
      <c r="D38" s="1102"/>
      <c r="E38" s="1189">
        <v>1</v>
      </c>
      <c r="F38" s="1192"/>
      <c r="G38" s="1213"/>
      <c r="H38" s="1213"/>
      <c r="I38" s="1213"/>
      <c r="J38" s="1213"/>
      <c r="K38" s="1107"/>
      <c r="L38" s="1150"/>
      <c r="M38" s="1170"/>
      <c r="N38" s="1170"/>
      <c r="O38" s="1170"/>
      <c r="P38" s="1170"/>
      <c r="Q38" s="1170"/>
      <c r="R38" s="1170"/>
      <c r="S38" s="1170"/>
      <c r="T38" s="1170"/>
      <c r="U38" s="1170"/>
      <c r="V38" s="1170"/>
      <c r="W38" s="1170"/>
      <c r="X38" s="1170"/>
      <c r="Y38" s="1170"/>
      <c r="Z38" s="1170"/>
      <c r="AA38" s="1170"/>
      <c r="AB38" s="1170"/>
      <c r="AC38" s="1170"/>
      <c r="AD38" s="1170"/>
      <c r="AE38" s="1170"/>
      <c r="AF38" s="1170"/>
      <c r="AG38" s="1170"/>
      <c r="AH38" s="1170"/>
      <c r="AI38" s="1170"/>
      <c r="AJ38" s="1170"/>
      <c r="AK38" s="1170"/>
      <c r="AL38" s="1170"/>
      <c r="AM38" s="1170"/>
      <c r="AN38" s="1170"/>
      <c r="AO38" s="1170"/>
      <c r="AP38" s="1170"/>
      <c r="AQ38" s="1170"/>
      <c r="AR38" s="1170"/>
      <c r="AS38" s="1170"/>
      <c r="AT38" s="1170"/>
      <c r="AU38" s="1170"/>
      <c r="AV38" s="1170"/>
      <c r="AW38" s="1170"/>
      <c r="AX38" s="1170"/>
      <c r="AY38" s="1170"/>
      <c r="AZ38" s="1170"/>
      <c r="BA38" s="1170"/>
      <c r="BB38" s="1170"/>
      <c r="BC38" s="1170"/>
      <c r="BD38" s="1170"/>
      <c r="BE38" s="1186" t="str">
        <f>CokingRefineryCalcs!C131</f>
        <v xml:space="preserve">Sulphur </v>
      </c>
      <c r="BF38" s="1170" t="str">
        <f ca="1">CokingRefineryCalcs!D131</f>
        <v>wt%</v>
      </c>
      <c r="BG38" s="1170">
        <f>CokingRefineryCalcs!H131</f>
        <v>0</v>
      </c>
      <c r="BH38" s="1170"/>
      <c r="BI38" s="1170" t="s">
        <v>485</v>
      </c>
      <c r="BJ38" s="1170"/>
      <c r="BK38" s="1187">
        <f ca="1">(AE46+AZ46)*$BK$40</f>
        <v>404753.17158481822</v>
      </c>
      <c r="BL38" s="1170"/>
      <c r="BM38" s="1170"/>
      <c r="BN38" s="1170"/>
      <c r="BO38" s="1170"/>
      <c r="BP38" s="1170"/>
      <c r="BQ38" s="1170"/>
      <c r="BR38" s="1170"/>
      <c r="BS38" s="1170"/>
      <c r="BT38" s="1170"/>
      <c r="BU38" s="1170"/>
      <c r="BV38" s="1170"/>
      <c r="BW38" s="1170"/>
      <c r="BX38" s="1170"/>
      <c r="BY38" s="1170"/>
      <c r="BZ38" s="1170"/>
      <c r="CA38" s="1170"/>
      <c r="CB38" s="1170"/>
      <c r="CC38" s="1170"/>
      <c r="CD38" s="1170"/>
      <c r="CE38" s="1170"/>
      <c r="CF38" s="1170"/>
      <c r="CG38" s="1170"/>
      <c r="CH38" s="1170"/>
      <c r="CI38" s="1170"/>
      <c r="CJ38" s="1170"/>
      <c r="CK38" s="1170"/>
      <c r="CL38" s="1170"/>
      <c r="CM38" s="1170"/>
      <c r="CN38" s="1170"/>
      <c r="CO38" s="1170"/>
      <c r="CP38" s="1170"/>
      <c r="CQ38" s="1170"/>
      <c r="CR38" s="1170"/>
      <c r="CS38" s="1170"/>
      <c r="CT38" s="1170"/>
      <c r="CU38" s="1170"/>
      <c r="CV38" s="1170"/>
      <c r="CW38" s="1170"/>
      <c r="CX38" s="1199"/>
      <c r="CY38" s="1160"/>
      <c r="CZ38" s="1160"/>
      <c r="DA38" s="1160"/>
      <c r="DB38" s="1160"/>
      <c r="DC38" s="1160"/>
      <c r="DD38" s="1160"/>
      <c r="DE38" s="1160"/>
      <c r="DF38" s="1160"/>
      <c r="DG38" s="1160"/>
      <c r="DH38" s="1160"/>
      <c r="DI38" s="1160"/>
      <c r="DJ38" s="1160"/>
      <c r="DK38" s="1160"/>
      <c r="DL38" s="1171"/>
      <c r="DM38" s="1160"/>
      <c r="DN38" s="1160"/>
      <c r="DO38" s="1160"/>
      <c r="DP38" s="1160"/>
      <c r="DQ38" s="1160"/>
      <c r="DR38" s="1160"/>
      <c r="DS38" s="1160"/>
      <c r="DT38" s="1160"/>
      <c r="DU38" s="1160"/>
      <c r="DV38" s="1160"/>
      <c r="DW38" s="1160"/>
      <c r="DX38" s="1160"/>
      <c r="DY38" s="1160"/>
      <c r="DZ38" s="1160"/>
      <c r="EA38" s="1160"/>
      <c r="EB38" s="1160"/>
    </row>
    <row r="39" spans="1:132" ht="15" x14ac:dyDescent="0.25">
      <c r="A39" s="1160"/>
      <c r="B39" s="1172"/>
      <c r="C39" s="1216" t="s">
        <v>1809</v>
      </c>
      <c r="D39" s="1202"/>
      <c r="E39" s="1189">
        <v>2</v>
      </c>
      <c r="F39" s="1192"/>
      <c r="G39" s="1213"/>
      <c r="H39" s="1213"/>
      <c r="I39" s="1213"/>
      <c r="J39" s="1213"/>
      <c r="K39" s="1107"/>
      <c r="L39" s="1150"/>
      <c r="M39" s="1170"/>
      <c r="N39" s="1170"/>
      <c r="O39" s="1170"/>
      <c r="P39" s="1170"/>
      <c r="Q39" s="1170"/>
      <c r="R39" s="1170"/>
      <c r="S39" s="1170"/>
      <c r="T39" s="1170"/>
      <c r="U39" s="1170"/>
      <c r="V39" s="1170"/>
      <c r="W39" s="1170"/>
      <c r="X39" s="1170"/>
      <c r="Y39" s="1170"/>
      <c r="Z39" s="1170"/>
      <c r="AA39" s="1170"/>
      <c r="AB39" s="1170"/>
      <c r="AC39" s="1170"/>
      <c r="AD39" s="1170"/>
      <c r="AE39" s="1170"/>
      <c r="AF39" s="1170"/>
      <c r="AG39" s="1170"/>
      <c r="AH39" s="1170"/>
      <c r="AI39" s="1170"/>
      <c r="AJ39" s="1170"/>
      <c r="AK39" s="1170"/>
      <c r="AL39" s="1170"/>
      <c r="AM39" s="1170"/>
      <c r="AN39" s="1170"/>
      <c r="AO39" s="1170"/>
      <c r="AP39" s="1170"/>
      <c r="AQ39" s="1170"/>
      <c r="AR39" s="1170"/>
      <c r="AS39" s="1170"/>
      <c r="AT39" s="1170"/>
      <c r="AU39" s="1170"/>
      <c r="AV39" s="1170"/>
      <c r="AW39" s="1170"/>
      <c r="AX39" s="1170"/>
      <c r="AY39" s="1170"/>
      <c r="AZ39" s="1170"/>
      <c r="BA39" s="1170"/>
      <c r="BB39" s="1170"/>
      <c r="BC39" s="1170"/>
      <c r="BD39" s="1170"/>
      <c r="BE39" s="1186" t="str">
        <f>CokingRefineryCalcs!C133</f>
        <v xml:space="preserve">API gravity </v>
      </c>
      <c r="BF39" s="1170"/>
      <c r="BG39" s="1170">
        <f ca="1">CokingRefineryCalcs!H133</f>
        <v>50.096959674877127</v>
      </c>
      <c r="BH39" s="1170"/>
      <c r="BI39" s="1170" t="s">
        <v>541</v>
      </c>
      <c r="BJ39" s="1170"/>
      <c r="BK39" s="1187">
        <f ca="1">(AE47+AZ47)*$BK$40</f>
        <v>3643347.4404741768</v>
      </c>
      <c r="BL39" s="1170"/>
      <c r="BM39" s="1170"/>
      <c r="BN39" s="1186" t="s">
        <v>1698</v>
      </c>
      <c r="BO39" s="1199" t="s">
        <v>447</v>
      </c>
      <c r="BP39" s="1199">
        <f>'Energy &amp; Unit Conversions'!$Q$27</f>
        <v>46.898519302437805</v>
      </c>
      <c r="BQ39" s="1199"/>
      <c r="BR39" s="1170"/>
      <c r="BS39" s="1170"/>
      <c r="BT39" s="1170"/>
      <c r="BU39" s="1170"/>
      <c r="BV39" s="1170"/>
      <c r="BW39" s="1170"/>
      <c r="BX39" s="1170"/>
      <c r="BY39" s="1170"/>
      <c r="BZ39" s="1170"/>
      <c r="CA39" s="1170"/>
      <c r="CB39" s="1170"/>
      <c r="CC39" s="1170"/>
      <c r="CD39" s="1170"/>
      <c r="CE39" s="1170"/>
      <c r="CF39" s="1170"/>
      <c r="CG39" s="1170"/>
      <c r="CH39" s="1170"/>
      <c r="CI39" s="1170"/>
      <c r="CJ39" s="1170"/>
      <c r="CK39" s="1170"/>
      <c r="CL39" s="1170"/>
      <c r="CM39" s="1170"/>
      <c r="CN39" s="1170"/>
      <c r="CO39" s="1170"/>
      <c r="CP39" s="1170"/>
      <c r="CQ39" s="1170"/>
      <c r="CR39" s="1170"/>
      <c r="CS39" s="1170"/>
      <c r="CT39" s="1170"/>
      <c r="CU39" s="1170"/>
      <c r="CV39" s="1170"/>
      <c r="CW39" s="1170"/>
      <c r="CX39" s="1170"/>
      <c r="CY39" s="1160"/>
      <c r="CZ39" s="1160"/>
      <c r="DA39" s="1160"/>
      <c r="DB39" s="1160"/>
      <c r="DC39" s="1160"/>
      <c r="DD39" s="1160"/>
      <c r="DE39" s="1160"/>
      <c r="DF39" s="1160"/>
      <c r="DG39" s="1160"/>
      <c r="DH39" s="1160"/>
      <c r="DI39" s="1160"/>
      <c r="DJ39" s="1160"/>
      <c r="DK39" s="1160"/>
      <c r="DL39" s="1171"/>
      <c r="DM39" s="1160"/>
      <c r="DN39" s="1160"/>
      <c r="DO39" s="1160"/>
      <c r="DP39" s="1160"/>
      <c r="DQ39" s="1160"/>
      <c r="DR39" s="1160"/>
      <c r="DS39" s="1160"/>
      <c r="DT39" s="1160"/>
      <c r="DU39" s="1160"/>
      <c r="DV39" s="1160"/>
      <c r="DW39" s="1160"/>
      <c r="DX39" s="1160"/>
      <c r="DY39" s="1160"/>
      <c r="DZ39" s="1160"/>
      <c r="EA39" s="1160"/>
      <c r="EB39" s="1160"/>
    </row>
    <row r="40" spans="1:132" ht="15" x14ac:dyDescent="0.25">
      <c r="A40" s="1160"/>
      <c r="B40" s="1172"/>
      <c r="C40" s="1212"/>
      <c r="D40" s="1202"/>
      <c r="E40" s="1203"/>
      <c r="F40" s="1192"/>
      <c r="G40" s="1213"/>
      <c r="H40" s="1213"/>
      <c r="I40" s="1213"/>
      <c r="J40" s="1213"/>
      <c r="K40" s="1107"/>
      <c r="L40" s="1150"/>
      <c r="M40" s="1170"/>
      <c r="N40" s="1170"/>
      <c r="O40" s="1170"/>
      <c r="P40" s="1170"/>
      <c r="Q40" s="1170"/>
      <c r="R40" s="1170"/>
      <c r="S40" s="1170"/>
      <c r="T40" s="1170"/>
      <c r="U40" s="1170"/>
      <c r="V40" s="1170"/>
      <c r="W40" s="1170"/>
      <c r="X40" s="1170"/>
      <c r="Y40" s="1170"/>
      <c r="Z40" s="1170"/>
      <c r="AA40" s="1170"/>
      <c r="AB40" s="1170"/>
      <c r="AC40" s="1170"/>
      <c r="AD40" s="1170"/>
      <c r="AE40" s="1170"/>
      <c r="AF40" s="1170"/>
      <c r="AG40" s="1170"/>
      <c r="AH40" s="1170"/>
      <c r="AI40" s="1170"/>
      <c r="AJ40" s="1170"/>
      <c r="AK40" s="1170"/>
      <c r="AL40" s="1170"/>
      <c r="AM40" s="1170"/>
      <c r="AN40" s="1170"/>
      <c r="AO40" s="1170"/>
      <c r="AP40" s="1170"/>
      <c r="AQ40" s="1170"/>
      <c r="AR40" s="1170"/>
      <c r="AS40" s="1170"/>
      <c r="AT40" s="1170"/>
      <c r="AU40" s="1170"/>
      <c r="AV40" s="1170"/>
      <c r="AW40" s="1170"/>
      <c r="AX40" s="1170"/>
      <c r="AY40" s="1170"/>
      <c r="AZ40" s="1170"/>
      <c r="BA40" s="1170"/>
      <c r="BB40" s="1170"/>
      <c r="BC40" s="1170"/>
      <c r="BD40" s="1170"/>
      <c r="BE40" s="1186" t="str">
        <f>CokingRefineryCalcs!C134</f>
        <v>Density</v>
      </c>
      <c r="BF40" s="1170" t="str">
        <f ca="1">CokingRefineryCalcs!D134</f>
        <v>kg/m^3</v>
      </c>
      <c r="BG40" s="1170">
        <f ca="1">CokingRefineryCalcs!H134</f>
        <v>778.38769369341151</v>
      </c>
      <c r="BH40" s="1170"/>
      <c r="BI40" s="1180" t="s">
        <v>1066</v>
      </c>
      <c r="BJ40" s="1170"/>
      <c r="BK40" s="1170">
        <f ca="1">IF(CokingRefineryPFD!E50=TRUE,BK41,BG45/(BG45+BG21))</f>
        <v>0.71505082717420865</v>
      </c>
      <c r="BL40" s="1170"/>
      <c r="BM40" s="1170"/>
      <c r="BN40" s="1200" t="s">
        <v>1021</v>
      </c>
      <c r="BO40" s="1199" t="s">
        <v>1022</v>
      </c>
      <c r="BP40" s="1199">
        <f>Constants!G353</f>
        <v>33.957001686096191</v>
      </c>
      <c r="BQ40" s="1199"/>
      <c r="BR40" s="1170"/>
      <c r="BS40" s="1170"/>
      <c r="BT40" s="1170"/>
      <c r="BU40" s="1170"/>
      <c r="BV40" s="1170"/>
      <c r="BW40" s="1170"/>
      <c r="BX40" s="1170"/>
      <c r="BY40" s="1170"/>
      <c r="BZ40" s="1170"/>
      <c r="CA40" s="1170"/>
      <c r="CB40" s="1170"/>
      <c r="CC40" s="1170"/>
      <c r="CD40" s="1170"/>
      <c r="CE40" s="1170"/>
      <c r="CF40" s="1170"/>
      <c r="CG40" s="1170"/>
      <c r="CH40" s="1170"/>
      <c r="CI40" s="1170"/>
      <c r="CJ40" s="1170"/>
      <c r="CK40" s="1170"/>
      <c r="CL40" s="1170"/>
      <c r="CM40" s="1170"/>
      <c r="CN40" s="1170"/>
      <c r="CO40" s="1170"/>
      <c r="CP40" s="1170"/>
      <c r="CQ40" s="1170"/>
      <c r="CR40" s="1170"/>
      <c r="CS40" s="1170"/>
      <c r="CT40" s="1170"/>
      <c r="CU40" s="1170"/>
      <c r="CV40" s="1170"/>
      <c r="CW40" s="1170"/>
      <c r="CX40" s="1170"/>
      <c r="CY40" s="1160"/>
      <c r="CZ40" s="1160"/>
      <c r="DA40" s="1160"/>
      <c r="DB40" s="1160"/>
      <c r="DC40" s="1160"/>
      <c r="DD40" s="1160"/>
      <c r="DE40" s="1160"/>
      <c r="DF40" s="1160"/>
      <c r="DG40" s="1160"/>
      <c r="DH40" s="1160"/>
      <c r="DI40" s="1160"/>
      <c r="DJ40" s="1160"/>
      <c r="DK40" s="1160"/>
      <c r="DL40" s="1171"/>
      <c r="DM40" s="1194" t="str">
        <f>'CokingRefinery Detailed Results'!C30</f>
        <v>Fuel gas treatment and sulphur recovery</v>
      </c>
      <c r="DN40" s="1160"/>
      <c r="DO40" s="1160"/>
      <c r="DP40" s="1160"/>
      <c r="DQ40" s="1160"/>
      <c r="DR40" s="1160"/>
      <c r="DS40" s="1160"/>
      <c r="DT40" s="1160"/>
      <c r="DU40" s="1160"/>
      <c r="DV40" s="1160"/>
      <c r="DW40" s="1160"/>
      <c r="DX40" s="1160"/>
      <c r="DY40" s="1160"/>
      <c r="DZ40" s="1160"/>
      <c r="EA40" s="1160"/>
      <c r="EB40" s="1160"/>
    </row>
    <row r="41" spans="1:132" ht="15.75" x14ac:dyDescent="0.2">
      <c r="A41" s="1160"/>
      <c r="B41" s="1218" t="s">
        <v>1302</v>
      </c>
      <c r="C41" s="1219"/>
      <c r="D41" s="1219"/>
      <c r="E41" s="1219"/>
      <c r="F41" s="1192"/>
      <c r="G41" s="1192"/>
      <c r="H41" s="1192"/>
      <c r="I41" s="1192"/>
      <c r="J41" s="1107"/>
      <c r="K41" s="1107"/>
      <c r="L41" s="1150"/>
      <c r="M41" s="1170"/>
      <c r="N41" s="1170"/>
      <c r="O41" s="1170"/>
      <c r="P41" s="1170"/>
      <c r="Q41" s="1170"/>
      <c r="R41" s="1170"/>
      <c r="S41" s="1170"/>
      <c r="T41" s="1170"/>
      <c r="U41" s="1170"/>
      <c r="V41" s="1170"/>
      <c r="W41" s="1170"/>
      <c r="X41" s="1170"/>
      <c r="Y41" s="1181" t="str">
        <f>CokingRefineryCalcs!G127</f>
        <v>LSR &amp; HSR Naphtha</v>
      </c>
      <c r="Z41" s="1170"/>
      <c r="AA41" s="1170"/>
      <c r="AB41" s="1170"/>
      <c r="AC41" s="1180" t="str">
        <f>Y41</f>
        <v>LSR &amp; HSR Naphtha</v>
      </c>
      <c r="AD41" s="1170"/>
      <c r="AE41" s="1170"/>
      <c r="AF41" s="1170"/>
      <c r="AG41" s="1170"/>
      <c r="AH41" s="1170"/>
      <c r="AI41" s="1170"/>
      <c r="AJ41" s="1170"/>
      <c r="AK41" s="1170"/>
      <c r="AL41" s="1170"/>
      <c r="AM41" s="1170"/>
      <c r="AN41" s="1170"/>
      <c r="AO41" s="1170"/>
      <c r="AP41" s="1170"/>
      <c r="AQ41" s="1170"/>
      <c r="AR41" s="1170"/>
      <c r="AS41" s="1170"/>
      <c r="AT41" s="1170"/>
      <c r="AU41" s="1170"/>
      <c r="AV41" s="1170"/>
      <c r="AW41" s="1170"/>
      <c r="AX41" s="1170"/>
      <c r="AY41" s="1170"/>
      <c r="AZ41" s="1170"/>
      <c r="BA41" s="1170"/>
      <c r="BB41" s="1170"/>
      <c r="BC41" s="1170"/>
      <c r="BD41" s="1170"/>
      <c r="BE41" s="1186" t="str">
        <f>CokingRefineryCalcs!C135</f>
        <v>Hydrogen</v>
      </c>
      <c r="BF41" s="1170" t="str">
        <f ca="1">CokingRefineryCalcs!D135</f>
        <v>wt%</v>
      </c>
      <c r="BG41" s="1170">
        <f ca="1">CokingRefineryCalcs!H135</f>
        <v>15</v>
      </c>
      <c r="BH41" s="1170"/>
      <c r="BI41" s="1180" t="s">
        <v>1065</v>
      </c>
      <c r="BJ41" s="1170"/>
      <c r="BK41" s="1196">
        <f ca="1">BG45/(BG45+AW36+BG21)</f>
        <v>0.71505082717420865</v>
      </c>
      <c r="BL41" s="1170"/>
      <c r="BM41" s="1170"/>
      <c r="BN41" s="1204" t="s">
        <v>1054</v>
      </c>
      <c r="BO41" s="1204" t="str">
        <f>IF(allocationMethod=1,$C$21,IF(allocationMethod=2,$C$22,IF(allocationMethod=3,$C$23,$C$24)))</f>
        <v>Hydrogen Content Basis</v>
      </c>
      <c r="BP41" s="1204">
        <f ca="1">CokingRefineryCalcs!R1447</f>
        <v>0</v>
      </c>
      <c r="BQ41" s="1204"/>
      <c r="BR41" s="1170"/>
      <c r="BS41" s="1170"/>
      <c r="BT41" s="1170"/>
      <c r="BU41" s="1170"/>
      <c r="BV41" s="1181" t="str">
        <f>CokingRefineryCalcs!F197</f>
        <v>Reformate</v>
      </c>
      <c r="BW41" s="1170"/>
      <c r="BX41" s="1170"/>
      <c r="BY41" s="1170"/>
      <c r="BZ41" s="1180" t="str">
        <f>BV41</f>
        <v>Reformate</v>
      </c>
      <c r="CA41" s="1170"/>
      <c r="CB41" s="1170"/>
      <c r="CC41" s="1170"/>
      <c r="CD41" s="1170"/>
      <c r="CE41" s="1170"/>
      <c r="CF41" s="1170"/>
      <c r="CG41" s="1170"/>
      <c r="CH41" s="1170"/>
      <c r="CI41" s="1170"/>
      <c r="CJ41" s="1170"/>
      <c r="CK41" s="1170"/>
      <c r="CL41" s="1170"/>
      <c r="CM41" s="1170"/>
      <c r="CN41" s="1170"/>
      <c r="CO41" s="1170"/>
      <c r="CP41" s="1170"/>
      <c r="CQ41" s="1170"/>
      <c r="CR41" s="1170"/>
      <c r="CS41" s="1170"/>
      <c r="CT41" s="1170"/>
      <c r="CU41" s="1170"/>
      <c r="CV41" s="1170"/>
      <c r="CW41" s="1170"/>
      <c r="CX41" s="1170"/>
      <c r="CY41" s="1160"/>
      <c r="CZ41" s="1160"/>
      <c r="DA41" s="1160"/>
      <c r="DB41" s="1160"/>
      <c r="DC41" s="1160"/>
      <c r="DD41" s="1160"/>
      <c r="DE41" s="1160"/>
      <c r="DF41" s="1160"/>
      <c r="DG41" s="1160"/>
      <c r="DH41" s="1160"/>
      <c r="DI41" s="1160"/>
      <c r="DJ41" s="1160"/>
      <c r="DK41" s="1160"/>
      <c r="DL41" s="1171"/>
      <c r="DM41" s="1194" t="s">
        <v>225</v>
      </c>
      <c r="DN41" s="1194" t="s">
        <v>522</v>
      </c>
      <c r="DO41" s="1160"/>
      <c r="DP41" s="1160"/>
      <c r="DQ41" s="1160"/>
      <c r="DR41" s="1160"/>
      <c r="DS41" s="1160"/>
      <c r="DT41" s="1160"/>
      <c r="DU41" s="1160"/>
      <c r="DV41" s="1160"/>
      <c r="DW41" s="1160"/>
      <c r="DX41" s="1160"/>
      <c r="DY41" s="1160"/>
      <c r="DZ41" s="1160"/>
      <c r="EA41" s="1160"/>
      <c r="EB41" s="1160"/>
    </row>
    <row r="42" spans="1:132" ht="15" customHeight="1" x14ac:dyDescent="0.25">
      <c r="A42" s="1160"/>
      <c r="B42" s="1172"/>
      <c r="C42" s="1220"/>
      <c r="D42" s="1221"/>
      <c r="E42" s="1221"/>
      <c r="F42" s="1221"/>
      <c r="G42" s="1221"/>
      <c r="H42" s="1107"/>
      <c r="I42" s="1107"/>
      <c r="J42" s="1107"/>
      <c r="K42" s="1107"/>
      <c r="L42" s="1150"/>
      <c r="M42" s="1170"/>
      <c r="N42" s="1170"/>
      <c r="O42" s="1170"/>
      <c r="P42" s="1170"/>
      <c r="Q42" s="1170"/>
      <c r="R42" s="1170"/>
      <c r="S42" s="1170"/>
      <c r="T42" s="1170"/>
      <c r="U42" s="1170"/>
      <c r="V42" s="1170"/>
      <c r="W42" s="1170"/>
      <c r="X42" s="1170"/>
      <c r="Y42" s="1182" t="str">
        <f>CokingRefineryCalcs!C127</f>
        <v>Property</v>
      </c>
      <c r="Z42" s="1182" t="str">
        <f>CokingRefineryCalcs!D46</f>
        <v>Units</v>
      </c>
      <c r="AA42" s="1170"/>
      <c r="AB42" s="1170"/>
      <c r="AC42" s="1183" t="s">
        <v>226</v>
      </c>
      <c r="AD42" s="1170"/>
      <c r="AE42" s="1184" t="s">
        <v>522</v>
      </c>
      <c r="AF42" s="1170"/>
      <c r="AG42" s="1170"/>
      <c r="AH42" s="1170"/>
      <c r="AI42" s="1170"/>
      <c r="AJ42" s="1170"/>
      <c r="AK42" s="1170"/>
      <c r="AL42" s="1170"/>
      <c r="AM42" s="1170"/>
      <c r="AN42" s="1170"/>
      <c r="AO42" s="1170"/>
      <c r="AP42" s="1170"/>
      <c r="AQ42" s="1170"/>
      <c r="AR42" s="1170"/>
      <c r="AS42" s="1170"/>
      <c r="AT42" s="1170"/>
      <c r="AU42" s="1170"/>
      <c r="AV42" s="1170"/>
      <c r="AW42" s="1170"/>
      <c r="AX42" s="1184" t="str">
        <f>'CokingRefinery Detailed Results'!C14</f>
        <v>Naphtha Hydrotreater</v>
      </c>
      <c r="AY42" s="1170"/>
      <c r="AZ42" s="1170"/>
      <c r="BA42" s="1170"/>
      <c r="BB42" s="1170"/>
      <c r="BC42" s="1170"/>
      <c r="BD42" s="1170"/>
      <c r="BE42" s="1186" t="str">
        <f>CokingRefineryCalcs!C136</f>
        <v>MCR</v>
      </c>
      <c r="BF42" s="1170" t="str">
        <f ca="1">CokingRefineryCalcs!D136</f>
        <v>wt%</v>
      </c>
      <c r="BG42" s="1170" t="str">
        <f ca="1">CokingRefineryCalcs!F136</f>
        <v/>
      </c>
      <c r="BH42" s="1170"/>
      <c r="BI42" s="1197" t="s">
        <v>228</v>
      </c>
      <c r="BJ42" s="1170"/>
      <c r="BK42" s="1170">
        <f ca="1">BG37/(AA45+AZ50)</f>
        <v>0.71815008016193815</v>
      </c>
      <c r="BL42" s="1170"/>
      <c r="BM42" s="1170"/>
      <c r="BN42" s="1170"/>
      <c r="BO42" s="1170"/>
      <c r="BP42" s="1170"/>
      <c r="BQ42" s="1170"/>
      <c r="BR42" s="1170"/>
      <c r="BS42" s="1170"/>
      <c r="BT42" s="1170"/>
      <c r="BU42" s="1170"/>
      <c r="BV42" s="1182" t="str">
        <f>CokingRefineryCalcs!C197</f>
        <v>Property</v>
      </c>
      <c r="BW42" s="1182" t="str">
        <f>CokingRefineryCalcs!D197</f>
        <v>Units</v>
      </c>
      <c r="BX42" s="1170"/>
      <c r="BY42" s="1170"/>
      <c r="BZ42" s="1183" t="s">
        <v>226</v>
      </c>
      <c r="CA42" s="1170"/>
      <c r="CB42" s="1184" t="s">
        <v>522</v>
      </c>
      <c r="CC42" s="1170"/>
      <c r="CD42" s="1170"/>
      <c r="CE42" s="1170"/>
      <c r="CF42" s="1170"/>
      <c r="CG42" s="1170"/>
      <c r="CH42" s="1170"/>
      <c r="CI42" s="1170"/>
      <c r="CJ42" s="1170"/>
      <c r="CK42" s="1170"/>
      <c r="CL42" s="1170"/>
      <c r="CM42" s="1170"/>
      <c r="CN42" s="1170"/>
      <c r="CO42" s="1170"/>
      <c r="CP42" s="1170"/>
      <c r="CQ42" s="1170"/>
      <c r="CR42" s="1170"/>
      <c r="CS42" s="1170"/>
      <c r="CT42" s="1170"/>
      <c r="CU42" s="1170"/>
      <c r="CV42" s="1170"/>
      <c r="CW42" s="1170"/>
      <c r="CX42" s="1170"/>
      <c r="CY42" s="1160"/>
      <c r="CZ42" s="1160"/>
      <c r="DA42" s="1160"/>
      <c r="DB42" s="1160"/>
      <c r="DC42" s="1160"/>
      <c r="DD42" s="1160"/>
      <c r="DE42" s="1160"/>
      <c r="DF42" s="1160"/>
      <c r="DG42" s="1160"/>
      <c r="DH42" s="1160"/>
      <c r="DI42" s="1160"/>
      <c r="DJ42" s="1160"/>
      <c r="DK42" s="1160"/>
      <c r="DL42" s="1171"/>
      <c r="DM42" s="1160" t="s">
        <v>392</v>
      </c>
      <c r="DN42" s="1187">
        <f ca="1">'CokingRefinery Detailed Results'!F30</f>
        <v>2930.2658999919627</v>
      </c>
      <c r="DO42" s="1160"/>
      <c r="DP42" s="1160"/>
      <c r="DQ42" s="1160"/>
      <c r="DR42" s="1160"/>
      <c r="DS42" s="1160"/>
      <c r="DT42" s="1160"/>
      <c r="DU42" s="1160"/>
      <c r="DV42" s="1160"/>
      <c r="DW42" s="1160"/>
      <c r="DX42" s="1160"/>
      <c r="DY42" s="1160"/>
      <c r="DZ42" s="1160"/>
      <c r="EA42" s="1160"/>
      <c r="EB42" s="1160"/>
    </row>
    <row r="43" spans="1:132" ht="15" x14ac:dyDescent="0.25">
      <c r="A43" s="1160"/>
      <c r="B43" s="1172"/>
      <c r="C43" s="1223" t="s">
        <v>592</v>
      </c>
      <c r="D43" s="1221"/>
      <c r="E43" s="1201" t="b">
        <v>1</v>
      </c>
      <c r="F43" s="1221"/>
      <c r="G43" s="2428" t="s">
        <v>1529</v>
      </c>
      <c r="H43" s="2429"/>
      <c r="I43" s="2429"/>
      <c r="J43" s="2429"/>
      <c r="K43" s="1107"/>
      <c r="L43" s="1150"/>
      <c r="M43" s="1170"/>
      <c r="N43" s="1170"/>
      <c r="O43" s="1170"/>
      <c r="P43" s="1170"/>
      <c r="Q43" s="1170"/>
      <c r="R43" s="1170"/>
      <c r="S43" s="1170"/>
      <c r="T43" s="1170"/>
      <c r="U43" s="1170"/>
      <c r="V43" s="1170"/>
      <c r="W43" s="1170"/>
      <c r="X43" s="1170"/>
      <c r="Y43" s="1186" t="str">
        <f>CokingRefineryCalcs!C128</f>
        <v>Vol Flow</v>
      </c>
      <c r="Z43" s="1170" t="str">
        <f ca="1">CokingRefineryCalcs!D128</f>
        <v>bpd</v>
      </c>
      <c r="AA43" s="1170">
        <f ca="1">CokingRefineryCalcs!G128</f>
        <v>24855.210656355121</v>
      </c>
      <c r="AB43" s="1170"/>
      <c r="AC43" s="1170" t="s">
        <v>263</v>
      </c>
      <c r="AD43" s="1170"/>
      <c r="AE43" s="1187">
        <f ca="1">U111*AE48</f>
        <v>215180180.9548941</v>
      </c>
      <c r="AF43" s="1170"/>
      <c r="AG43" s="1170"/>
      <c r="AH43" s="1170"/>
      <c r="AI43" s="1170"/>
      <c r="AJ43" s="1170"/>
      <c r="AK43" s="1170"/>
      <c r="AL43" s="1170"/>
      <c r="AM43" s="1170"/>
      <c r="AN43" s="1170"/>
      <c r="AO43" s="1170"/>
      <c r="AP43" s="1170"/>
      <c r="AQ43" s="1170"/>
      <c r="AR43" s="1170"/>
      <c r="AS43" s="1170"/>
      <c r="AT43" s="1170"/>
      <c r="AU43" s="1170"/>
      <c r="AV43" s="1170"/>
      <c r="AW43" s="1170"/>
      <c r="AX43" s="1184" t="s">
        <v>225</v>
      </c>
      <c r="AY43" s="1170"/>
      <c r="AZ43" s="1227" t="s">
        <v>522</v>
      </c>
      <c r="BA43" s="1187"/>
      <c r="BB43" s="1187"/>
      <c r="BC43" s="1170"/>
      <c r="BD43" s="1170"/>
      <c r="BE43" s="1200" t="s">
        <v>1056</v>
      </c>
      <c r="BF43" s="1199" t="s">
        <v>447</v>
      </c>
      <c r="BG43" s="1199">
        <f ca="1">('Energy &amp; Unit Conversions'!$D$63-('Energy &amp; Unit Conversions'!$E$63*POWER((CokingRefineryPFD!BG40/'Energy &amp; Unit Conversions'!$E$54),2)))</f>
        <v>41.884932794007184</v>
      </c>
      <c r="BH43" s="1199"/>
      <c r="BI43" s="1199"/>
      <c r="BJ43" s="1199"/>
      <c r="BK43" s="1199"/>
      <c r="BL43" s="1170"/>
      <c r="BM43" s="1170"/>
      <c r="BN43" s="1170"/>
      <c r="BO43" s="1170"/>
      <c r="BP43" s="1170"/>
      <c r="BQ43" s="1170"/>
      <c r="BR43" s="1170"/>
      <c r="BS43" s="1170"/>
      <c r="BT43" s="1170"/>
      <c r="BU43" s="1170"/>
      <c r="BV43" s="1186" t="str">
        <f>CokingRefineryCalcs!C198</f>
        <v>Vol Flow</v>
      </c>
      <c r="BW43" s="1170" t="str">
        <f>CokingRefineryCalcs!D198</f>
        <v>bpd</v>
      </c>
      <c r="BX43" s="1170">
        <f ca="1">CokingRefineryCalcs!F198</f>
        <v>15693.336005246892</v>
      </c>
      <c r="BY43" s="1170"/>
      <c r="BZ43" s="1170" t="s">
        <v>263</v>
      </c>
      <c r="CA43" s="1170"/>
      <c r="CB43" s="1187">
        <f ca="1">(BK35+IF(reformerFeedstockActive=1,0,CC171))*CB48</f>
        <v>153864766.38329291</v>
      </c>
      <c r="CC43" s="1170"/>
      <c r="CD43" s="1170"/>
      <c r="CE43" s="1170"/>
      <c r="CF43" s="1170"/>
      <c r="CG43" s="1170"/>
      <c r="CH43" s="1170"/>
      <c r="CI43" s="1170"/>
      <c r="CJ43" s="1170"/>
      <c r="CK43" s="1170"/>
      <c r="CL43" s="1170"/>
      <c r="CM43" s="1170"/>
      <c r="CN43" s="1170"/>
      <c r="CO43" s="1170"/>
      <c r="CP43" s="1170"/>
      <c r="CQ43" s="1170"/>
      <c r="CR43" s="1170"/>
      <c r="CS43" s="1170"/>
      <c r="CT43" s="1170"/>
      <c r="CU43" s="1170"/>
      <c r="CV43" s="1170"/>
      <c r="CW43" s="1170"/>
      <c r="CX43" s="1170"/>
      <c r="CY43" s="1160"/>
      <c r="CZ43" s="1160"/>
      <c r="DA43" s="1160"/>
      <c r="DB43" s="1160"/>
      <c r="DC43" s="1160"/>
      <c r="DD43" s="1160"/>
      <c r="DE43" s="1160"/>
      <c r="DF43" s="1160"/>
      <c r="DG43" s="1160"/>
      <c r="DH43" s="1160"/>
      <c r="DI43" s="1160"/>
      <c r="DJ43" s="1160"/>
      <c r="DK43" s="1160"/>
      <c r="DL43" s="1171"/>
      <c r="DM43" s="1160" t="s">
        <v>224</v>
      </c>
      <c r="DN43" s="1187">
        <f ca="1">'CokingRefinery Detailed Results'!H30</f>
        <v>39900.106887575319</v>
      </c>
      <c r="DO43" s="1160"/>
      <c r="DP43" s="1160"/>
      <c r="DQ43" s="1160"/>
      <c r="DR43" s="1160"/>
      <c r="DS43" s="1160"/>
      <c r="DT43" s="1160"/>
      <c r="DU43" s="1160"/>
      <c r="DV43" s="1160"/>
      <c r="DW43" s="1160"/>
      <c r="DX43" s="1160"/>
      <c r="DY43" s="1160"/>
      <c r="DZ43" s="1160"/>
      <c r="EA43" s="1160"/>
      <c r="EB43" s="1160"/>
    </row>
    <row r="44" spans="1:132" ht="15" x14ac:dyDescent="0.25">
      <c r="A44" s="1160"/>
      <c r="B44" s="1172"/>
      <c r="C44" s="1223" t="s">
        <v>1350</v>
      </c>
      <c r="D44" s="1221"/>
      <c r="E44" s="1201" t="b">
        <v>1</v>
      </c>
      <c r="F44" s="1221"/>
      <c r="G44" s="2428"/>
      <c r="H44" s="2429"/>
      <c r="I44" s="2429"/>
      <c r="J44" s="2429"/>
      <c r="K44" s="1107"/>
      <c r="L44" s="1150"/>
      <c r="M44" s="1170"/>
      <c r="N44" s="1170"/>
      <c r="O44" s="1170"/>
      <c r="P44" s="1170"/>
      <c r="Q44" s="1170"/>
      <c r="R44" s="1170"/>
      <c r="S44" s="1170"/>
      <c r="T44" s="1170"/>
      <c r="U44" s="1170"/>
      <c r="V44" s="1170"/>
      <c r="W44" s="1170"/>
      <c r="X44" s="1170"/>
      <c r="Y44" s="1186" t="str">
        <f>CokingRefineryCalcs!C129</f>
        <v>Vol Flow</v>
      </c>
      <c r="Z44" s="1170" t="str">
        <f ca="1">CokingRefineryCalcs!D129</f>
        <v>m^3/d</v>
      </c>
      <c r="AA44" s="1170">
        <f ca="1">CokingRefineryCalcs!G129</f>
        <v>3951.7585783460208</v>
      </c>
      <c r="AB44" s="1170"/>
      <c r="AC44" s="1170" t="s">
        <v>392</v>
      </c>
      <c r="AD44" s="1170"/>
      <c r="AE44" s="1187">
        <f ca="1">(U112+W50)*$AE$48</f>
        <v>14442.18013022488</v>
      </c>
      <c r="AF44" s="1170"/>
      <c r="AG44" s="1170"/>
      <c r="AH44" s="1170"/>
      <c r="AI44" s="1170"/>
      <c r="AJ44" s="1170"/>
      <c r="AK44" s="1170"/>
      <c r="AL44" s="1170"/>
      <c r="AM44" s="1170"/>
      <c r="AN44" s="1170"/>
      <c r="AO44" s="1170"/>
      <c r="AP44" s="1170"/>
      <c r="AQ44" s="1170"/>
      <c r="AR44" s="1170"/>
      <c r="AS44" s="1170"/>
      <c r="AT44" s="1170"/>
      <c r="AU44" s="1170"/>
      <c r="AV44" s="1170"/>
      <c r="AW44" s="1170"/>
      <c r="AX44" s="1170" t="s">
        <v>392</v>
      </c>
      <c r="AY44" s="1170"/>
      <c r="AZ44" s="1187">
        <f ca="1">'CokingRefinery Detailed Results'!F14+IF(AND($EB$144+$EB$161=0,E51=FALSE),'CokingRefinery Detailed Results'!F30*CokingRefineryCalcs!$U$979,0)</f>
        <v>374030.38676953618</v>
      </c>
      <c r="BA44" s="1187"/>
      <c r="BB44" s="1187"/>
      <c r="BC44" s="1170"/>
      <c r="BD44" s="1170"/>
      <c r="BE44" s="1200" t="s">
        <v>1021</v>
      </c>
      <c r="BF44" s="1199" t="s">
        <v>1022</v>
      </c>
      <c r="BG44" s="1199">
        <f>Constants!G345</f>
        <v>84.555000305175781</v>
      </c>
      <c r="BH44" s="1199"/>
      <c r="BI44" s="1199"/>
      <c r="BJ44" s="1199"/>
      <c r="BK44" s="1199"/>
      <c r="BL44" s="1170"/>
      <c r="BM44" s="1170"/>
      <c r="BN44" s="1170"/>
      <c r="BO44" s="1170"/>
      <c r="BP44" s="1170"/>
      <c r="BQ44" s="1170"/>
      <c r="BR44" s="1184" t="str">
        <f>'CokingRefinery Detailed Results'!C28</f>
        <v xml:space="preserve">Catalytic naphtha reformer </v>
      </c>
      <c r="BS44" s="1170"/>
      <c r="BT44" s="1170"/>
      <c r="BU44" s="1170"/>
      <c r="BV44" s="1186" t="str">
        <f>CokingRefineryCalcs!C199</f>
        <v>Vol Flow</v>
      </c>
      <c r="BW44" s="1170" t="str">
        <f>CokingRefineryCalcs!D199</f>
        <v>m^3/d</v>
      </c>
      <c r="BX44" s="1170">
        <f ca="1">CokingRefineryCalcs!F199</f>
        <v>2495.0411194669891</v>
      </c>
      <c r="BY44" s="1170"/>
      <c r="BZ44" s="1170" t="s">
        <v>392</v>
      </c>
      <c r="CA44" s="1170"/>
      <c r="CB44" s="1187">
        <f ca="1">(BK36+BT46+IF(reformerFeedstockActive=1,0,CC172))*$CB$48</f>
        <v>468911.55172074144</v>
      </c>
      <c r="CC44" s="1170"/>
      <c r="CD44" s="1170"/>
      <c r="CE44" s="1170"/>
      <c r="CF44" s="1170"/>
      <c r="CG44" s="1170"/>
      <c r="CH44" s="1170"/>
      <c r="CI44" s="1170"/>
      <c r="CJ44" s="1170"/>
      <c r="CK44" s="1170"/>
      <c r="CL44" s="1170"/>
      <c r="CM44" s="1170"/>
      <c r="CN44" s="1170"/>
      <c r="CO44" s="1170"/>
      <c r="CP44" s="1170"/>
      <c r="CQ44" s="1170"/>
      <c r="CR44" s="1170"/>
      <c r="CS44" s="1170"/>
      <c r="CT44" s="1170"/>
      <c r="CU44" s="1170"/>
      <c r="CV44" s="1170"/>
      <c r="CW44" s="1170"/>
      <c r="CX44" s="1170"/>
      <c r="CY44" s="1160"/>
      <c r="CZ44" s="1160"/>
      <c r="DA44" s="1160"/>
      <c r="DB44" s="1160"/>
      <c r="DC44" s="1160"/>
      <c r="DD44" s="1160"/>
      <c r="DE44" s="1160"/>
      <c r="DF44" s="1160"/>
      <c r="DG44" s="1160"/>
      <c r="DH44" s="1160"/>
      <c r="DI44" s="1160"/>
      <c r="DJ44" s="1160"/>
      <c r="DK44" s="1160"/>
      <c r="DL44" s="1171"/>
      <c r="DM44" s="1160" t="s">
        <v>485</v>
      </c>
      <c r="DN44" s="1187">
        <f ca="1">'CokingRefinery Detailed Results'!J30</f>
        <v>-36214.001439675245</v>
      </c>
      <c r="DO44" s="1160"/>
      <c r="DP44" s="1160"/>
      <c r="DQ44" s="1160"/>
      <c r="DR44" s="1160"/>
      <c r="DS44" s="1160"/>
      <c r="DT44" s="1160"/>
      <c r="DU44" s="1160"/>
      <c r="DV44" s="1160"/>
      <c r="DW44" s="1160"/>
      <c r="DX44" s="1160"/>
      <c r="DY44" s="1160"/>
      <c r="DZ44" s="1160"/>
      <c r="EA44" s="1160"/>
      <c r="EB44" s="1160"/>
    </row>
    <row r="45" spans="1:132" ht="15" x14ac:dyDescent="0.25">
      <c r="A45" s="1160"/>
      <c r="B45" s="1172"/>
      <c r="C45" s="1223" t="s">
        <v>489</v>
      </c>
      <c r="D45" s="1221"/>
      <c r="E45" s="1201" t="b">
        <v>1</v>
      </c>
      <c r="F45" s="1221"/>
      <c r="G45" s="2428"/>
      <c r="H45" s="2429"/>
      <c r="I45" s="2429"/>
      <c r="J45" s="2429"/>
      <c r="K45" s="1107"/>
      <c r="L45" s="1150"/>
      <c r="M45" s="1170"/>
      <c r="N45" s="1170"/>
      <c r="O45" s="1170"/>
      <c r="P45" s="1170"/>
      <c r="Q45" s="1170"/>
      <c r="R45" s="1170"/>
      <c r="S45" s="1170"/>
      <c r="T45" s="1170"/>
      <c r="U45" s="1170"/>
      <c r="V45" s="1170"/>
      <c r="W45" s="1170"/>
      <c r="X45" s="1170"/>
      <c r="Y45" s="1186" t="str">
        <f>CokingRefineryCalcs!C130</f>
        <v>Mass Flow</v>
      </c>
      <c r="Z45" s="1170" t="str">
        <f>CokingRefineryCalcs!D130</f>
        <v>kg/d</v>
      </c>
      <c r="AA45" s="1170">
        <f ca="1">CokingRefineryCalcs!G130</f>
        <v>3011508.2473713723</v>
      </c>
      <c r="AB45" s="1170"/>
      <c r="AC45" s="1170" t="s">
        <v>224</v>
      </c>
      <c r="AD45" s="1170"/>
      <c r="AE45" s="1187">
        <f ca="1">(U113+W51)*$AE$48</f>
        <v>1622652.1696452037</v>
      </c>
      <c r="AF45" s="1170"/>
      <c r="AG45" s="1170"/>
      <c r="AH45" s="1170"/>
      <c r="AI45" s="1170"/>
      <c r="AJ45" s="1170"/>
      <c r="AK45" s="1170"/>
      <c r="AL45" s="1170"/>
      <c r="AM45" s="1170"/>
      <c r="AN45" s="1170"/>
      <c r="AO45" s="1170"/>
      <c r="AP45" s="1170"/>
      <c r="AQ45" s="1170"/>
      <c r="AR45" s="1170"/>
      <c r="AS45" s="1170"/>
      <c r="AT45" s="1170"/>
      <c r="AU45" s="1170"/>
      <c r="AV45" s="1170"/>
      <c r="AW45" s="1170"/>
      <c r="AX45" s="1170" t="s">
        <v>224</v>
      </c>
      <c r="AY45" s="1170"/>
      <c r="AZ45" s="1187">
        <f ca="1">'CokingRefinery Detailed Results'!H14+IF(AND($EB$144+$EB$161=0,E51=FALSE),'CokingRefinery Detailed Results'!H30*CokingRefineryCalcs!$U$979,0)</f>
        <v>3653722.7596468586</v>
      </c>
      <c r="BA45" s="1187"/>
      <c r="BB45" s="1187"/>
      <c r="BC45" s="1170"/>
      <c r="BD45" s="1170"/>
      <c r="BE45" s="1204" t="s">
        <v>1054</v>
      </c>
      <c r="BF45" s="1204" t="str">
        <f>IF(allocationMethod=1,$C$21,IF(allocationMethod=2,$C$22,IF(allocationMethod=3,$C$23,$C$24)))</f>
        <v>Hydrogen Content Basis</v>
      </c>
      <c r="BG45" s="1204">
        <f ca="1">IF(allocationMethod=1,BG37,IF(allocationMethod=2,BG43*BG37,IF(allocationMethod=3,BG44*BG35,BG41*BG37/100)))</f>
        <v>328521.40297617612</v>
      </c>
      <c r="BH45" s="1170"/>
      <c r="BI45" s="1170"/>
      <c r="BJ45" s="1170"/>
      <c r="BK45" s="1170"/>
      <c r="BL45" s="1170"/>
      <c r="BM45" s="1170"/>
      <c r="BN45" s="1170"/>
      <c r="BO45" s="1170"/>
      <c r="BP45" s="1170"/>
      <c r="BQ45" s="1170"/>
      <c r="BR45" s="1184" t="s">
        <v>225</v>
      </c>
      <c r="BS45" s="1170"/>
      <c r="BT45" s="1184" t="s">
        <v>522</v>
      </c>
      <c r="BU45" s="1184"/>
      <c r="BV45" s="1186" t="str">
        <f>CokingRefineryCalcs!C200</f>
        <v>Mass Flow</v>
      </c>
      <c r="BW45" s="1170" t="str">
        <f>CokingRefineryCalcs!D200</f>
        <v>kg/d</v>
      </c>
      <c r="BX45" s="1170">
        <f ca="1">CokingRefineryCalcs!F200</f>
        <v>1921181.6619895815</v>
      </c>
      <c r="BY45" s="1170"/>
      <c r="BZ45" s="1170" t="s">
        <v>224</v>
      </c>
      <c r="CA45" s="1170"/>
      <c r="CB45" s="1187">
        <f ca="1">(BK37+BT47+IF(reformerFeedstockActive=1,0,CC173))*$CB$48</f>
        <v>9277569.0011688694</v>
      </c>
      <c r="CC45" s="1170"/>
      <c r="CD45" s="1170"/>
      <c r="CE45" s="1170"/>
      <c r="CF45" s="1170"/>
      <c r="CG45" s="1170"/>
      <c r="CH45" s="1170"/>
      <c r="CI45" s="1170"/>
      <c r="CJ45" s="1170"/>
      <c r="CK45" s="1170"/>
      <c r="CL45" s="1170"/>
      <c r="CM45" s="1170"/>
      <c r="CN45" s="1170"/>
      <c r="CO45" s="1170"/>
      <c r="CP45" s="1170"/>
      <c r="CQ45" s="1170"/>
      <c r="CR45" s="1170"/>
      <c r="CS45" s="1170"/>
      <c r="CT45" s="1170"/>
      <c r="CU45" s="1170"/>
      <c r="CV45" s="1170"/>
      <c r="CW45" s="1170"/>
      <c r="CX45" s="1170"/>
      <c r="CY45" s="1160"/>
      <c r="CZ45" s="1160"/>
      <c r="DA45" s="1160"/>
      <c r="DB45" s="1160"/>
      <c r="DC45" s="1160"/>
      <c r="DD45" s="1160"/>
      <c r="DE45" s="1160"/>
      <c r="DF45" s="1160"/>
      <c r="DG45" s="1160"/>
      <c r="DH45" s="1160"/>
      <c r="DI45" s="1160"/>
      <c r="DJ45" s="1160"/>
      <c r="DK45" s="1160"/>
      <c r="DL45" s="1171"/>
      <c r="DM45" s="1160" t="s">
        <v>541</v>
      </c>
      <c r="DN45" s="1170">
        <f>'CokingRefinery Detailed Results'!L30</f>
        <v>0</v>
      </c>
      <c r="DO45" s="1160"/>
      <c r="DP45" s="1160"/>
      <c r="DQ45" s="1160"/>
      <c r="DR45" s="1160"/>
      <c r="DS45" s="1160"/>
      <c r="DT45" s="1160"/>
      <c r="DU45" s="1160"/>
      <c r="DV45" s="1160"/>
      <c r="DW45" s="1160"/>
      <c r="DX45" s="1160"/>
      <c r="DY45" s="1160"/>
      <c r="DZ45" s="1160"/>
      <c r="EA45" s="1160"/>
      <c r="EB45" s="1160"/>
    </row>
    <row r="46" spans="1:132" ht="15" x14ac:dyDescent="0.25">
      <c r="A46" s="1160"/>
      <c r="B46" s="1172"/>
      <c r="C46" s="1224" t="s">
        <v>520</v>
      </c>
      <c r="D46" s="1225"/>
      <c r="E46" s="1201" t="b">
        <v>0</v>
      </c>
      <c r="F46" s="1203"/>
      <c r="G46" s="1226"/>
      <c r="H46" s="1226"/>
      <c r="I46" s="1226"/>
      <c r="J46" s="1226"/>
      <c r="K46" s="1107"/>
      <c r="L46" s="1150"/>
      <c r="M46" s="1170"/>
      <c r="N46" s="1170"/>
      <c r="O46" s="1170"/>
      <c r="P46" s="1170"/>
      <c r="Q46" s="1170"/>
      <c r="R46" s="1170"/>
      <c r="S46" s="1170"/>
      <c r="T46" s="1170"/>
      <c r="U46" s="1170"/>
      <c r="V46" s="1170"/>
      <c r="W46" s="1170"/>
      <c r="X46" s="1170"/>
      <c r="Y46" s="1186" t="str">
        <f>CokingRefineryCalcs!C131</f>
        <v xml:space="preserve">Sulphur </v>
      </c>
      <c r="Z46" s="1170" t="str">
        <f ca="1">CokingRefineryCalcs!D131</f>
        <v>wt%</v>
      </c>
      <c r="AA46" s="1170">
        <f ca="1">CokingRefineryCalcs!G131</f>
        <v>0</v>
      </c>
      <c r="AB46" s="1170"/>
      <c r="AC46" s="1170" t="s">
        <v>485</v>
      </c>
      <c r="AD46" s="1170"/>
      <c r="AE46" s="1187">
        <f ca="1">(U114+W52)*$AE$48</f>
        <v>310346.21470556519</v>
      </c>
      <c r="AF46" s="1170"/>
      <c r="AG46" s="1170"/>
      <c r="AH46" s="1170"/>
      <c r="AI46" s="1170"/>
      <c r="AJ46" s="1170"/>
      <c r="AK46" s="1170"/>
      <c r="AL46" s="1170"/>
      <c r="AM46" s="1170"/>
      <c r="AN46" s="1170"/>
      <c r="AO46" s="1170"/>
      <c r="AP46" s="1170"/>
      <c r="AQ46" s="1170"/>
      <c r="AR46" s="1170"/>
      <c r="AS46" s="1170"/>
      <c r="AT46" s="1170"/>
      <c r="AU46" s="1170"/>
      <c r="AV46" s="1170"/>
      <c r="AW46" s="1170"/>
      <c r="AX46" s="1170" t="s">
        <v>485</v>
      </c>
      <c r="AY46" s="1170"/>
      <c r="AZ46" s="1187">
        <f ca="1">'CokingRefinery Detailed Results'!J14+IF(AND($EB$144+$EB$161=0,E51=FALSE),'CokingRefinery Detailed Results'!J30*CokingRefineryCalcs!$U$979,0)</f>
        <v>255701.89852346506</v>
      </c>
      <c r="BA46" s="1187"/>
      <c r="BB46" s="1187"/>
      <c r="BC46" s="1170"/>
      <c r="BD46" s="1170"/>
      <c r="BE46" s="1170"/>
      <c r="BF46" s="1170"/>
      <c r="BG46" s="1170"/>
      <c r="BH46" s="1170"/>
      <c r="BI46" s="1170"/>
      <c r="BJ46" s="1170"/>
      <c r="BK46" s="1170"/>
      <c r="BL46" s="1170"/>
      <c r="BM46" s="1170"/>
      <c r="BN46" s="1170"/>
      <c r="BO46" s="1170"/>
      <c r="BP46" s="1170"/>
      <c r="BQ46" s="1170"/>
      <c r="BR46" s="1170" t="s">
        <v>392</v>
      </c>
      <c r="BS46" s="1170"/>
      <c r="BT46" s="1187">
        <f ca="1">'CokingRefinery Detailed Results'!F28+IF(AND($EB$144+$EB$161=0,E51=FALSE),'CokingRefinery Detailed Results'!F30*CokingRefineryCalcs!$U$987,0)</f>
        <v>191133.92142457914</v>
      </c>
      <c r="BU46" s="1187"/>
      <c r="BV46" s="1186" t="str">
        <f>CokingRefineryCalcs!C201</f>
        <v>S</v>
      </c>
      <c r="BW46" s="1170" t="str">
        <f>CokingRefineryCalcs!D201</f>
        <v>wt%</v>
      </c>
      <c r="BX46" s="1170">
        <f>CokingRefineryCalcs!F201</f>
        <v>0</v>
      </c>
      <c r="BY46" s="1170"/>
      <c r="BZ46" s="1170" t="s">
        <v>485</v>
      </c>
      <c r="CA46" s="1170"/>
      <c r="CB46" s="1187">
        <f ca="1">(BK38+BT48+IF(reformerFeedstockActive=1,0,CC174))*$CB$48</f>
        <v>1188753.2150456766</v>
      </c>
      <c r="CC46" s="1170"/>
      <c r="CD46" s="1170"/>
      <c r="CE46" s="1170"/>
      <c r="CF46" s="1170"/>
      <c r="CG46" s="1170"/>
      <c r="CH46" s="1170"/>
      <c r="CI46" s="1170"/>
      <c r="CJ46" s="1170"/>
      <c r="CK46" s="1170"/>
      <c r="CL46" s="1170"/>
      <c r="CM46" s="1170"/>
      <c r="CN46" s="1170"/>
      <c r="CO46" s="1170"/>
      <c r="CP46" s="1170"/>
      <c r="CQ46" s="1170"/>
      <c r="CR46" s="1170"/>
      <c r="CS46" s="1170"/>
      <c r="CT46" s="1170"/>
      <c r="CU46" s="1170"/>
      <c r="CV46" s="1170"/>
      <c r="CW46" s="1170"/>
      <c r="CX46" s="1170"/>
      <c r="CY46" s="1160"/>
      <c r="CZ46" s="1160"/>
      <c r="DA46" s="1160"/>
      <c r="DB46" s="1160"/>
      <c r="DC46" s="1160"/>
      <c r="DD46" s="1160"/>
      <c r="DE46" s="1160"/>
      <c r="DF46" s="1160"/>
      <c r="DG46" s="1160"/>
      <c r="DH46" s="1160"/>
      <c r="DI46" s="1160"/>
      <c r="DJ46" s="1160"/>
      <c r="DK46" s="1160"/>
      <c r="DL46" s="1171"/>
      <c r="DM46" s="1160"/>
      <c r="DN46" s="1195" t="str">
        <f>CokingRefineryCalcs!S977</f>
        <v>Treated Gases to incinerator</v>
      </c>
      <c r="DO46" s="1160"/>
      <c r="DP46" s="1160"/>
      <c r="DQ46" s="1160"/>
      <c r="DR46" s="1160"/>
      <c r="DS46" s="1160"/>
      <c r="DT46" s="1160"/>
      <c r="DU46" s="1160"/>
      <c r="DV46" s="1160"/>
      <c r="DW46" s="1160"/>
      <c r="DX46" s="1160"/>
      <c r="DY46" s="1160"/>
      <c r="DZ46" s="1160"/>
      <c r="EA46" s="1160"/>
      <c r="EB46" s="1160"/>
    </row>
    <row r="47" spans="1:132" ht="15" x14ac:dyDescent="0.25">
      <c r="A47" s="1160"/>
      <c r="B47" s="1172"/>
      <c r="C47" s="1224" t="s">
        <v>1939</v>
      </c>
      <c r="D47" s="1225"/>
      <c r="E47" s="1201" t="b">
        <v>0</v>
      </c>
      <c r="F47" s="1203"/>
      <c r="G47" s="2428" t="s">
        <v>1530</v>
      </c>
      <c r="H47" s="2429"/>
      <c r="I47" s="2429"/>
      <c r="J47" s="2429"/>
      <c r="K47" s="1107"/>
      <c r="L47" s="1150"/>
      <c r="M47" s="1170"/>
      <c r="N47" s="1170"/>
      <c r="O47" s="1170"/>
      <c r="P47" s="1170"/>
      <c r="Q47" s="1170"/>
      <c r="R47" s="1170"/>
      <c r="S47" s="1170"/>
      <c r="T47" s="1170"/>
      <c r="U47" s="1170"/>
      <c r="V47" s="1170"/>
      <c r="W47" s="1170"/>
      <c r="X47" s="1170"/>
      <c r="Y47" s="1186" t="str">
        <f>CokingRefineryCalcs!C133</f>
        <v xml:space="preserve">API gravity </v>
      </c>
      <c r="Z47" s="1170" t="str">
        <f ca="1">CokingRefineryCalcs!D133</f>
        <v>oAPI</v>
      </c>
      <c r="AA47" s="1170">
        <f ca="1">CokingRefineryCalcs!G133</f>
        <v>54.178999658740054</v>
      </c>
      <c r="AB47" s="1170"/>
      <c r="AC47" s="1170" t="s">
        <v>541</v>
      </c>
      <c r="AD47" s="1170"/>
      <c r="AE47" s="1187">
        <f ca="1">(U115+W53)*$AE$48</f>
        <v>0</v>
      </c>
      <c r="AF47" s="1170"/>
      <c r="AG47" s="1170"/>
      <c r="AH47" s="1170"/>
      <c r="AI47" s="1170"/>
      <c r="AJ47" s="1170"/>
      <c r="AK47" s="1170"/>
      <c r="AL47" s="1170"/>
      <c r="AM47" s="1170"/>
      <c r="AN47" s="1170"/>
      <c r="AO47" s="1170"/>
      <c r="AP47" s="1170"/>
      <c r="AQ47" s="1170"/>
      <c r="AR47" s="1170"/>
      <c r="AS47" s="1170"/>
      <c r="AT47" s="1170"/>
      <c r="AU47" s="1170"/>
      <c r="AV47" s="1170"/>
      <c r="AW47" s="1170"/>
      <c r="AX47" s="1170" t="s">
        <v>541</v>
      </c>
      <c r="AY47" s="1170"/>
      <c r="AZ47" s="1187">
        <f ca="1">'CokingRefinery Detailed Results'!L14+IF(AND($EB$144+$EB$161=0,E51=FALSE),'CokingRefinery Detailed Results'!L30*CokingRefineryCalcs!$U$979,0)</f>
        <v>5095228.6215404151</v>
      </c>
      <c r="BA47" s="1187"/>
      <c r="BB47" s="1187"/>
      <c r="BC47" s="1170"/>
      <c r="BD47" s="1170"/>
      <c r="BE47" s="1170"/>
      <c r="BF47" s="1170"/>
      <c r="BG47" s="1170"/>
      <c r="BH47" s="1170"/>
      <c r="BI47" s="1170"/>
      <c r="BJ47" s="1170"/>
      <c r="BK47" s="1170"/>
      <c r="BL47" s="1170"/>
      <c r="BM47" s="1170"/>
      <c r="BN47" s="1170"/>
      <c r="BO47" s="1170"/>
      <c r="BP47" s="1170"/>
      <c r="BQ47" s="1170"/>
      <c r="BR47" s="1170" t="s">
        <v>224</v>
      </c>
      <c r="BS47" s="1170"/>
      <c r="BT47" s="1187">
        <f ca="1">'CokingRefinery Detailed Results'!H28+IF(AND($EB$144+$EB$161=0,E51=FALSE),'CokingRefinery Detailed Results'!H30*CokingRefineryCalcs!$U$987,0)</f>
        <v>5504692.7434973232</v>
      </c>
      <c r="BU47" s="1187"/>
      <c r="BV47" s="1186" t="str">
        <f>CokingRefineryCalcs!C202</f>
        <v>API</v>
      </c>
      <c r="BW47" s="1170"/>
      <c r="BX47" s="1170">
        <f>CokingRefineryCalcs!F202</f>
        <v>52.266233766233768</v>
      </c>
      <c r="BY47" s="1170"/>
      <c r="BZ47" s="1170" t="s">
        <v>541</v>
      </c>
      <c r="CA47" s="1170"/>
      <c r="CB47" s="1187">
        <f ca="1">(BK39+BT49+IF(reformerFeedstockActive=1,0,CC175))*$CB$48</f>
        <v>3643347.4404741768</v>
      </c>
      <c r="CC47" s="1170"/>
      <c r="CD47" s="1170"/>
      <c r="CE47" s="1170"/>
      <c r="CF47" s="1170"/>
      <c r="CG47" s="1170"/>
      <c r="CH47" s="1170"/>
      <c r="CI47" s="1170"/>
      <c r="CJ47" s="1170"/>
      <c r="CK47" s="1170"/>
      <c r="CL47" s="1170"/>
      <c r="CM47" s="1170"/>
      <c r="CN47" s="1170"/>
      <c r="CO47" s="1170"/>
      <c r="CP47" s="1170"/>
      <c r="CQ47" s="1170"/>
      <c r="CR47" s="1170"/>
      <c r="CS47" s="1170"/>
      <c r="CT47" s="1170"/>
      <c r="CU47" s="1170"/>
      <c r="CV47" s="1170"/>
      <c r="CW47" s="1170"/>
      <c r="CX47" s="1170"/>
      <c r="CY47" s="1160"/>
      <c r="CZ47" s="1160"/>
      <c r="DA47" s="1160"/>
      <c r="DB47" s="1160"/>
      <c r="DC47" s="1160"/>
      <c r="DD47" s="1160"/>
      <c r="DE47" s="1160"/>
      <c r="DF47" s="1160"/>
      <c r="DG47" s="1160"/>
      <c r="DH47" s="1160"/>
      <c r="DI47" s="1160"/>
      <c r="DJ47" s="1160"/>
      <c r="DK47" s="1160"/>
      <c r="DL47" s="1171"/>
      <c r="DM47" s="1160"/>
      <c r="DN47" s="1229" t="s">
        <v>620</v>
      </c>
      <c r="DO47" s="1160"/>
      <c r="DP47" s="1160"/>
      <c r="DQ47" s="1160"/>
      <c r="DR47" s="1160"/>
      <c r="DS47" s="1160"/>
      <c r="DT47" s="1160"/>
      <c r="DU47" s="1160"/>
      <c r="DV47" s="1160"/>
      <c r="DW47" s="1160"/>
      <c r="DX47" s="1160"/>
      <c r="DY47" s="1160"/>
      <c r="DZ47" s="1160"/>
      <c r="EA47" s="1160"/>
      <c r="EB47" s="1160"/>
    </row>
    <row r="48" spans="1:132" ht="15" x14ac:dyDescent="0.25">
      <c r="A48" s="1160"/>
      <c r="B48" s="1172"/>
      <c r="C48" s="1224" t="s">
        <v>654</v>
      </c>
      <c r="D48" s="1225"/>
      <c r="E48" s="1201" t="b">
        <v>0</v>
      </c>
      <c r="F48" s="1203"/>
      <c r="G48" s="2428"/>
      <c r="H48" s="2429"/>
      <c r="I48" s="2429"/>
      <c r="J48" s="2429"/>
      <c r="K48" s="1107"/>
      <c r="L48" s="1150"/>
      <c r="M48" s="1170"/>
      <c r="N48" s="1170"/>
      <c r="O48" s="1170"/>
      <c r="P48" s="1170"/>
      <c r="Q48" s="1170"/>
      <c r="R48" s="1170"/>
      <c r="S48" s="1170"/>
      <c r="T48" s="1170"/>
      <c r="U48" s="1170"/>
      <c r="V48" s="1231" t="str">
        <f>'CokingRefinery Detailed Results'!C11</f>
        <v>Atmospheric Tower</v>
      </c>
      <c r="W48" s="1107"/>
      <c r="X48" s="1170"/>
      <c r="Y48" s="1186" t="str">
        <f>CokingRefineryCalcs!C134</f>
        <v>Density</v>
      </c>
      <c r="Z48" s="1170" t="str">
        <f ca="1">CokingRefineryCalcs!D134</f>
        <v>kg/m^3</v>
      </c>
      <c r="AA48" s="1170">
        <f ca="1">CokingRefineryCalcs!G134</f>
        <v>762.06787121894899</v>
      </c>
      <c r="AB48" s="1170"/>
      <c r="AC48" s="1180" t="s">
        <v>1065</v>
      </c>
      <c r="AD48" s="1170"/>
      <c r="AE48" s="1170">
        <f ca="1">IF(CokingRefineryConfig=0,IF(E46=TRUE,IF(E47=TRUE,AA53/(AA53+AA70+AA87+AA102+CokingRefineryPFD!AN293),AA53/(AA53+AA70+AA87+AA102+W140)),IF(E47=TRUE,AA53/(AA53+AA70+AA87+CokingRefineryPFD!AN293),AA53/(AA53+AA70+AA87+W140))),AA53/(AA53+AA70+AA87+AA102+W140))</f>
        <v>0.38520551081670162</v>
      </c>
      <c r="AF48" s="1170"/>
      <c r="AG48" s="1170"/>
      <c r="AH48" s="1170"/>
      <c r="AI48" s="1170"/>
      <c r="AJ48" s="1170"/>
      <c r="AK48" s="1170"/>
      <c r="AL48" s="1170"/>
      <c r="AM48" s="1170"/>
      <c r="AN48" s="1170"/>
      <c r="AO48" s="1170"/>
      <c r="AP48" s="1170"/>
      <c r="AQ48" s="1170"/>
      <c r="AR48" s="1170"/>
      <c r="AS48" s="1170"/>
      <c r="AT48" s="1170"/>
      <c r="AU48" s="1170"/>
      <c r="AV48" s="1170"/>
      <c r="AW48" s="1170"/>
      <c r="AX48" s="1170"/>
      <c r="AY48" s="1170"/>
      <c r="AZ48" s="1187"/>
      <c r="BA48" s="1187"/>
      <c r="BB48" s="1187"/>
      <c r="BC48" s="1170"/>
      <c r="BD48" s="1170"/>
      <c r="BE48" s="1170"/>
      <c r="BF48" s="1170"/>
      <c r="BG48" s="1170"/>
      <c r="BH48" s="1170"/>
      <c r="BI48" s="1170"/>
      <c r="BJ48" s="1170"/>
      <c r="BK48" s="1170"/>
      <c r="BL48" s="1170"/>
      <c r="BM48" s="1170"/>
      <c r="BN48" s="1170"/>
      <c r="BO48" s="1170"/>
      <c r="BP48" s="1170"/>
      <c r="BQ48" s="1170"/>
      <c r="BR48" s="1170" t="s">
        <v>485</v>
      </c>
      <c r="BS48" s="1170"/>
      <c r="BT48" s="1187">
        <f ca="1">'CokingRefinery Detailed Results'!J28+IF(AND($EB$144+$EB$161=0,E51=FALSE),'CokingRefinery Detailed Results'!J30*CokingRefineryCalcs!$U$987,0)</f>
        <v>784000.0434608584</v>
      </c>
      <c r="BU48" s="1187"/>
      <c r="BV48" s="1186" t="str">
        <f>CokingRefineryCalcs!C203</f>
        <v>Density</v>
      </c>
      <c r="BW48" s="1170" t="str">
        <f>CokingRefineryCalcs!D203</f>
        <v>kg/m^3</v>
      </c>
      <c r="BX48" s="1170">
        <f>CokingRefineryCalcs!F203</f>
        <v>770</v>
      </c>
      <c r="BY48" s="1170"/>
      <c r="BZ48" s="1180" t="s">
        <v>1066</v>
      </c>
      <c r="CA48" s="1170"/>
      <c r="CB48" s="1170">
        <f ca="1">IF(AND(CokingRefineryPFD!E49=TRUE,CokingRefineryPFD!E50=TRUE),CB49,IF(CokingRefineryPFD!E49=TRUE,CB51,IF(CokingRefineryPFD!E50=TRUE,CB52,1)))</f>
        <v>1</v>
      </c>
      <c r="CC48" s="1170"/>
      <c r="CD48" s="1170"/>
      <c r="CE48" s="1170"/>
      <c r="CF48" s="1170"/>
      <c r="CG48" s="1170"/>
      <c r="CH48" s="1170"/>
      <c r="CI48" s="1170"/>
      <c r="CJ48" s="1170"/>
      <c r="CK48" s="1170"/>
      <c r="CL48" s="1170"/>
      <c r="CM48" s="1170"/>
      <c r="CN48" s="1170"/>
      <c r="CO48" s="1170"/>
      <c r="CP48" s="1170"/>
      <c r="CQ48" s="1170"/>
      <c r="CR48" s="1170"/>
      <c r="CS48" s="1170"/>
      <c r="CT48" s="1170"/>
      <c r="CU48" s="1170"/>
      <c r="CV48" s="1170"/>
      <c r="CW48" s="1170"/>
      <c r="CX48" s="1170"/>
      <c r="CY48" s="1160"/>
      <c r="CZ48" s="1160"/>
      <c r="DA48" s="1160"/>
      <c r="DB48" s="1160"/>
      <c r="DC48" s="1160"/>
      <c r="DD48" s="1160"/>
      <c r="DE48" s="1160"/>
      <c r="DF48" s="1160"/>
      <c r="DG48" s="1160"/>
      <c r="DH48" s="1160"/>
      <c r="DI48" s="1160"/>
      <c r="DJ48" s="1160"/>
      <c r="DK48" s="1160"/>
      <c r="DL48" s="1171"/>
      <c r="DM48" s="1160"/>
      <c r="DN48" s="1160"/>
      <c r="DO48" s="1160"/>
      <c r="DP48" s="1160"/>
      <c r="DQ48" s="1160"/>
      <c r="DR48" s="1160"/>
      <c r="DS48" s="1160"/>
      <c r="DT48" s="1160"/>
      <c r="DU48" s="1160"/>
      <c r="DV48" s="1160"/>
      <c r="DW48" s="1160"/>
      <c r="DX48" s="1160"/>
      <c r="DY48" s="1160"/>
      <c r="DZ48" s="1160"/>
      <c r="EA48" s="1160"/>
      <c r="EB48" s="1160"/>
    </row>
    <row r="49" spans="1:132" ht="15" x14ac:dyDescent="0.25">
      <c r="A49" s="1160"/>
      <c r="B49" s="1172"/>
      <c r="C49" s="1224" t="s">
        <v>89</v>
      </c>
      <c r="D49" s="1225"/>
      <c r="E49" s="1201" t="b">
        <v>0</v>
      </c>
      <c r="F49" s="1203"/>
      <c r="G49" s="2428"/>
      <c r="H49" s="2429"/>
      <c r="I49" s="2429"/>
      <c r="J49" s="2429"/>
      <c r="K49" s="1107"/>
      <c r="L49" s="1150"/>
      <c r="M49" s="1170"/>
      <c r="N49" s="1170"/>
      <c r="O49" s="1170"/>
      <c r="P49" s="1170"/>
      <c r="Q49" s="1170"/>
      <c r="R49" s="1170"/>
      <c r="S49" s="1170"/>
      <c r="T49" s="1170"/>
      <c r="U49" s="1170"/>
      <c r="V49" s="1231" t="s">
        <v>225</v>
      </c>
      <c r="W49" s="1231" t="s">
        <v>522</v>
      </c>
      <c r="X49" s="1170"/>
      <c r="Y49" s="1186" t="str">
        <f>CokingRefineryCalcs!C135</f>
        <v>Hydrogen</v>
      </c>
      <c r="Z49" s="1170" t="str">
        <f ca="1">CokingRefineryCalcs!D135</f>
        <v>wt%</v>
      </c>
      <c r="AA49" s="1170">
        <f ca="1">CokingRefineryCalcs!G135</f>
        <v>14.018113298939959</v>
      </c>
      <c r="AB49" s="1170"/>
      <c r="AC49" s="1197" t="s">
        <v>228</v>
      </c>
      <c r="AD49" s="1170"/>
      <c r="AE49" s="1170">
        <f ca="1">IF(CokingRefineryConfig=0,IF(E46=TRUE,IF(E47=TRUE,AA45/U101,AA45/(U101-CokingRefineryPFD!AN285)),IF(E47=TRUE,AA45/(U101-AA94),AA45/(U101-AA94-CokingRefineryPFD!AN285))),AA45/U101)</f>
        <v>0.35951923331391844</v>
      </c>
      <c r="AF49" s="1170"/>
      <c r="AG49" s="1170"/>
      <c r="AH49" s="1170"/>
      <c r="AI49" s="1170"/>
      <c r="AJ49" s="1170"/>
      <c r="AK49" s="1170"/>
      <c r="AL49" s="1170"/>
      <c r="AM49" s="1170"/>
      <c r="AN49" s="1170"/>
      <c r="AO49" s="1170"/>
      <c r="AP49" s="1170"/>
      <c r="AQ49" s="1170"/>
      <c r="AR49" s="1170"/>
      <c r="AS49" s="1170"/>
      <c r="AT49" s="1170"/>
      <c r="AU49" s="1170"/>
      <c r="AV49" s="1170"/>
      <c r="AW49" s="1170"/>
      <c r="AX49" s="1179" t="str">
        <f>CokingRefineryCalcs!C155</f>
        <v>Total hydrogen consumed</v>
      </c>
      <c r="AY49" s="1170"/>
      <c r="AZ49" s="1187"/>
      <c r="BA49" s="1187"/>
      <c r="BB49" s="1187"/>
      <c r="BC49" s="1170"/>
      <c r="BD49" s="1170"/>
      <c r="BE49" s="1170"/>
      <c r="BF49" s="1170"/>
      <c r="BG49" s="1170"/>
      <c r="BH49" s="1170"/>
      <c r="BI49" s="1170"/>
      <c r="BJ49" s="1170"/>
      <c r="BK49" s="1170"/>
      <c r="BL49" s="1170"/>
      <c r="BM49" s="1170"/>
      <c r="BN49" s="1170"/>
      <c r="BO49" s="1170"/>
      <c r="BP49" s="1170"/>
      <c r="BQ49" s="1170"/>
      <c r="BR49" s="1170" t="s">
        <v>541</v>
      </c>
      <c r="BS49" s="1170"/>
      <c r="BT49" s="1187">
        <f ca="1">0+IF(AND($EB$144+$EB$161=0,E51=FALSE),'CokingRefinery Detailed Results'!L30*CokingRefineryCalcs!$U$987,0)</f>
        <v>0</v>
      </c>
      <c r="BU49" s="1187"/>
      <c r="BV49" s="1186" t="str">
        <f>CokingRefineryCalcs!C204</f>
        <v>H</v>
      </c>
      <c r="BW49" s="1170" t="str">
        <f>CokingRefineryCalcs!D204</f>
        <v>wt%</v>
      </c>
      <c r="BX49" s="1170">
        <f>CokingRefineryCalcs!F204</f>
        <v>12.3</v>
      </c>
      <c r="BY49" s="1170"/>
      <c r="BZ49" s="1232" t="s">
        <v>1065</v>
      </c>
      <c r="CA49" s="1170"/>
      <c r="CB49" s="1196">
        <f ca="1">BX53/(BX53+CF19+BP41)</f>
        <v>1</v>
      </c>
      <c r="CC49" s="1170"/>
      <c r="CD49" s="1170"/>
      <c r="CE49" s="1170"/>
      <c r="CF49" s="1170"/>
      <c r="CG49" s="1170"/>
      <c r="CH49" s="1170"/>
      <c r="CI49" s="1170"/>
      <c r="CJ49" s="1170"/>
      <c r="CK49" s="1170"/>
      <c r="CL49" s="1170"/>
      <c r="CM49" s="1170"/>
      <c r="CN49" s="1170"/>
      <c r="CO49" s="1170"/>
      <c r="CP49" s="1170"/>
      <c r="CQ49" s="1170"/>
      <c r="CR49" s="1170"/>
      <c r="CS49" s="1170"/>
      <c r="CT49" s="1170"/>
      <c r="CU49" s="1170"/>
      <c r="CV49" s="1170"/>
      <c r="CW49" s="1170"/>
      <c r="CX49" s="1170"/>
      <c r="CY49" s="1160"/>
      <c r="CZ49" s="1160"/>
      <c r="DA49" s="1160"/>
      <c r="DB49" s="1160"/>
      <c r="DC49" s="1160"/>
      <c r="DD49" s="1160"/>
      <c r="DE49" s="1160"/>
      <c r="DF49" s="1160"/>
      <c r="DG49" s="1160"/>
      <c r="DH49" s="1160"/>
      <c r="DI49" s="1170"/>
      <c r="DJ49" s="1160"/>
      <c r="DK49" s="1160"/>
      <c r="DL49" s="1171"/>
      <c r="DM49" s="1160"/>
      <c r="DN49" s="1160"/>
      <c r="DO49" s="1160"/>
      <c r="DP49" s="1160"/>
      <c r="DQ49" s="1160"/>
      <c r="DR49" s="1160"/>
      <c r="DS49" s="1160"/>
      <c r="DT49" s="1160"/>
      <c r="DU49" s="1160"/>
      <c r="DV49" s="1160"/>
      <c r="DW49" s="1160"/>
      <c r="DX49" s="1160"/>
      <c r="DY49" s="1160"/>
      <c r="DZ49" s="1160"/>
      <c r="EA49" s="1160"/>
      <c r="EB49" s="1160"/>
    </row>
    <row r="50" spans="1:132" ht="15" x14ac:dyDescent="0.25">
      <c r="A50" s="1160"/>
      <c r="B50" s="1172"/>
      <c r="C50" s="1224" t="s">
        <v>1923</v>
      </c>
      <c r="D50" s="1225"/>
      <c r="E50" s="1201" t="b">
        <v>1</v>
      </c>
      <c r="F50" s="1203"/>
      <c r="G50" s="2428"/>
      <c r="H50" s="2429"/>
      <c r="I50" s="2429"/>
      <c r="J50" s="2429"/>
      <c r="K50" s="1107"/>
      <c r="L50" s="1150"/>
      <c r="M50" s="1170"/>
      <c r="N50" s="1170"/>
      <c r="O50" s="1170"/>
      <c r="P50" s="1170"/>
      <c r="Q50" s="1170"/>
      <c r="R50" s="1170"/>
      <c r="S50" s="1170"/>
      <c r="T50" s="1170"/>
      <c r="U50" s="1170"/>
      <c r="V50" s="1107" t="s">
        <v>392</v>
      </c>
      <c r="W50" s="1107">
        <f ca="1">'CokingRefinery Detailed Results'!F11</f>
        <v>32136.122647744916</v>
      </c>
      <c r="X50" s="1170"/>
      <c r="Y50" s="1186" t="str">
        <f>CokingRefineryCalcs!C136</f>
        <v>MCR</v>
      </c>
      <c r="Z50" s="1170" t="str">
        <f ca="1">CokingRefineryCalcs!D136</f>
        <v>wt%</v>
      </c>
      <c r="AA50" s="1170">
        <f>CokingRefineryCalcs!G136</f>
        <v>0</v>
      </c>
      <c r="AB50" s="1170"/>
      <c r="AC50" s="1170"/>
      <c r="AD50" s="1170"/>
      <c r="AE50" s="1170"/>
      <c r="AF50" s="1170"/>
      <c r="AG50" s="1170"/>
      <c r="AH50" s="1170"/>
      <c r="AI50" s="1170"/>
      <c r="AJ50" s="1170"/>
      <c r="AK50" s="1170"/>
      <c r="AL50" s="1170"/>
      <c r="AM50" s="1170"/>
      <c r="AN50" s="1170"/>
      <c r="AO50" s="1170"/>
      <c r="AP50" s="1170"/>
      <c r="AQ50" s="1170"/>
      <c r="AR50" s="1170"/>
      <c r="AS50" s="1170"/>
      <c r="AT50" s="1170"/>
      <c r="AU50" s="1170"/>
      <c r="AV50" s="1170"/>
      <c r="AW50" s="1170"/>
      <c r="AX50" s="1170"/>
      <c r="AY50" s="1170" t="str">
        <f>CokingRefineryCalcs!E155</f>
        <v>kg/d</v>
      </c>
      <c r="AZ50" s="1187">
        <f ca="1">CokingRefineryCalcs!D155</f>
        <v>38192.291566084677</v>
      </c>
      <c r="BA50" s="1187"/>
      <c r="BB50" s="1187"/>
      <c r="BC50" s="1170"/>
      <c r="BD50" s="1170"/>
      <c r="BE50" s="1170"/>
      <c r="BF50" s="1170"/>
      <c r="BG50" s="1170"/>
      <c r="BH50" s="1170"/>
      <c r="BI50" s="1170"/>
      <c r="BJ50" s="1170"/>
      <c r="BK50" s="1170"/>
      <c r="BL50" s="1170"/>
      <c r="BM50" s="1170"/>
      <c r="BN50" s="1170"/>
      <c r="BO50" s="1170"/>
      <c r="BP50" s="1170"/>
      <c r="BQ50" s="1170"/>
      <c r="BR50" s="1170"/>
      <c r="BS50" s="1170"/>
      <c r="BT50" s="1170"/>
      <c r="BU50" s="1170"/>
      <c r="BV50" s="1186" t="str">
        <f>CokingRefineryCalcs!C205</f>
        <v>MCR</v>
      </c>
      <c r="BW50" s="1170" t="str">
        <f>CokingRefineryCalcs!D205</f>
        <v>wt%</v>
      </c>
      <c r="BX50" s="1170" t="str">
        <f ca="1">CokingRefineryCalcs!F205</f>
        <v/>
      </c>
      <c r="BY50" s="1170"/>
      <c r="BZ50" s="1233" t="s">
        <v>228</v>
      </c>
      <c r="CA50" s="1170"/>
      <c r="CB50" s="1170">
        <f ca="1">+BX45/BG37</f>
        <v>0.87719474800652619</v>
      </c>
      <c r="CC50" s="1170"/>
      <c r="CD50" s="1170"/>
      <c r="CE50" s="1170"/>
      <c r="CF50" s="1234"/>
      <c r="CG50" s="1170"/>
      <c r="CH50" s="1170"/>
      <c r="CI50" s="1170"/>
      <c r="CJ50" s="1170"/>
      <c r="CK50" s="1170"/>
      <c r="CL50" s="1170"/>
      <c r="CM50" s="1170"/>
      <c r="CN50" s="1170"/>
      <c r="CO50" s="1170"/>
      <c r="CP50" s="1170"/>
      <c r="CQ50" s="1170"/>
      <c r="CR50" s="1170"/>
      <c r="CS50" s="1170"/>
      <c r="CT50" s="1170"/>
      <c r="CU50" s="1170"/>
      <c r="CV50" s="1170"/>
      <c r="CW50" s="1170"/>
      <c r="CX50" s="1170"/>
      <c r="CY50" s="1160"/>
      <c r="CZ50" s="1160"/>
      <c r="DA50" s="1160"/>
      <c r="DB50" s="1160"/>
      <c r="DC50" s="1160"/>
      <c r="DD50" s="1160"/>
      <c r="DE50" s="1160"/>
      <c r="DF50" s="1160"/>
      <c r="DG50" s="1160"/>
      <c r="DH50" s="1160"/>
      <c r="DI50" s="1160"/>
      <c r="DJ50" s="1160"/>
      <c r="DK50" s="1160"/>
      <c r="DL50" s="1171"/>
      <c r="DM50" s="1160"/>
      <c r="DN50" s="1160"/>
      <c r="DO50" s="1160"/>
      <c r="DP50" s="1160"/>
      <c r="DQ50" s="1160"/>
      <c r="DR50" s="1160"/>
      <c r="DS50" s="1160"/>
      <c r="DT50" s="1160"/>
      <c r="DU50" s="1160"/>
      <c r="DV50" s="1160"/>
      <c r="DW50" s="1160"/>
      <c r="DX50" s="1160"/>
      <c r="DY50" s="1160"/>
      <c r="DZ50" s="1160"/>
      <c r="EA50" s="1160"/>
      <c r="EB50" s="1160"/>
    </row>
    <row r="51" spans="1:132" ht="15" x14ac:dyDescent="0.25">
      <c r="A51" s="1160"/>
      <c r="B51" s="1172"/>
      <c r="C51" s="1224" t="s">
        <v>1343</v>
      </c>
      <c r="D51" s="1225"/>
      <c r="E51" s="1201" t="b">
        <v>0</v>
      </c>
      <c r="F51" s="1203"/>
      <c r="G51" s="1203"/>
      <c r="H51" s="1107"/>
      <c r="I51" s="1107"/>
      <c r="J51" s="1107"/>
      <c r="K51" s="1107"/>
      <c r="L51" s="1150"/>
      <c r="M51" s="1170"/>
      <c r="N51" s="1170"/>
      <c r="O51" s="1170"/>
      <c r="P51" s="1170"/>
      <c r="Q51" s="1170"/>
      <c r="R51" s="1170"/>
      <c r="S51" s="1170"/>
      <c r="T51" s="1170"/>
      <c r="U51" s="1170"/>
      <c r="V51" s="1107" t="s">
        <v>224</v>
      </c>
      <c r="W51" s="1107">
        <f>'CokingRefinery Detailed Results'!H11</f>
        <v>0</v>
      </c>
      <c r="X51" s="1170"/>
      <c r="Y51" s="1200" t="s">
        <v>1056</v>
      </c>
      <c r="Z51" s="1199" t="s">
        <v>447</v>
      </c>
      <c r="AA51" s="1199">
        <f ca="1">('Energy &amp; Unit Conversions'!$D$63-('Energy &amp; Unit Conversions'!$E$63*POWER((CokingRefineryPFD!AA48/'Energy &amp; Unit Conversions'!$E$54),2)))</f>
        <v>42.084451194568082</v>
      </c>
      <c r="AB51" s="1170"/>
      <c r="AC51" s="1170"/>
      <c r="AD51" s="1170"/>
      <c r="AE51" s="1170"/>
      <c r="AF51" s="1170"/>
      <c r="AG51" s="1170"/>
      <c r="AH51" s="1170"/>
      <c r="AI51" s="1170"/>
      <c r="AJ51" s="1170"/>
      <c r="AK51" s="1170"/>
      <c r="AL51" s="1170"/>
      <c r="AM51" s="1170"/>
      <c r="AN51" s="1170"/>
      <c r="AO51" s="1170"/>
      <c r="AP51" s="1170"/>
      <c r="AQ51" s="1170"/>
      <c r="AR51" s="1170"/>
      <c r="AS51" s="1170"/>
      <c r="AT51" s="1170"/>
      <c r="AU51" s="1170"/>
      <c r="AV51" s="1170"/>
      <c r="AW51" s="1170"/>
      <c r="AX51" s="1170"/>
      <c r="AY51" s="1170"/>
      <c r="AZ51" s="1170"/>
      <c r="BA51" s="1170"/>
      <c r="BB51" s="1170"/>
      <c r="BC51" s="1170"/>
      <c r="BD51" s="1170"/>
      <c r="BE51" s="1170"/>
      <c r="BF51" s="1170"/>
      <c r="BG51" s="1170"/>
      <c r="BH51" s="1170"/>
      <c r="BI51" s="1170"/>
      <c r="BJ51" s="1170"/>
      <c r="BK51" s="1170"/>
      <c r="BL51" s="1170"/>
      <c r="BM51" s="1170"/>
      <c r="BN51" s="1170"/>
      <c r="BO51" s="1170"/>
      <c r="BP51" s="1170"/>
      <c r="BQ51" s="1170"/>
      <c r="BR51" s="1170"/>
      <c r="BS51" s="1170"/>
      <c r="BT51" s="1170"/>
      <c r="BU51" s="1170"/>
      <c r="BV51" s="1200" t="s">
        <v>1056</v>
      </c>
      <c r="BW51" s="1199" t="s">
        <v>447</v>
      </c>
      <c r="BX51" s="1199">
        <f>('Energy &amp; Unit Conversions'!$D$63-('Energy &amp; Unit Conversions'!$E$63*POWER((CokingRefineryPFD!BX48/'Energy &amp; Unit Conversions'!$E$54),2)))</f>
        <v>41.988004774799407</v>
      </c>
      <c r="BY51" s="1170"/>
      <c r="BZ51" s="1235" t="s">
        <v>1701</v>
      </c>
      <c r="CA51" s="1170"/>
      <c r="CB51" s="1236">
        <f ca="1">BX53/(BX53+CF19)</f>
        <v>1</v>
      </c>
      <c r="CC51" s="1170"/>
      <c r="CD51" s="1170"/>
      <c r="CE51" s="1170"/>
      <c r="CF51" s="1234"/>
      <c r="CG51" s="1170"/>
      <c r="CH51" s="1170"/>
      <c r="CI51" s="1170"/>
      <c r="CJ51" s="1170"/>
      <c r="CK51" s="1170"/>
      <c r="CL51" s="1170"/>
      <c r="CM51" s="1170"/>
      <c r="CN51" s="1170"/>
      <c r="CO51" s="1170"/>
      <c r="CP51" s="1170"/>
      <c r="CQ51" s="1170"/>
      <c r="CR51" s="1170"/>
      <c r="CS51" s="1170"/>
      <c r="CT51" s="1170"/>
      <c r="CU51" s="1170"/>
      <c r="CV51" s="1170"/>
      <c r="CW51" s="1170"/>
      <c r="CX51" s="1170"/>
      <c r="CY51" s="1160"/>
      <c r="CZ51" s="1160"/>
      <c r="DA51" s="1160"/>
      <c r="DB51" s="1160"/>
      <c r="DC51" s="1160"/>
      <c r="DD51" s="1160"/>
      <c r="DE51" s="1160"/>
      <c r="DF51" s="1160"/>
      <c r="DG51" s="1160"/>
      <c r="DH51" s="1160"/>
      <c r="DI51" s="1160"/>
      <c r="DJ51" s="1160"/>
      <c r="DK51" s="1160"/>
      <c r="DL51" s="1171"/>
      <c r="DM51" s="1160"/>
      <c r="DN51" s="1160"/>
      <c r="DO51" s="1160"/>
      <c r="DP51" s="1160"/>
      <c r="DQ51" s="1160"/>
      <c r="DR51" s="1160"/>
      <c r="DS51" s="1160"/>
      <c r="DT51" s="1160"/>
      <c r="DU51" s="1160"/>
      <c r="DV51" s="1160"/>
      <c r="DW51" s="1160"/>
      <c r="DX51" s="1160"/>
      <c r="DY51" s="1160"/>
      <c r="DZ51" s="1160"/>
      <c r="EA51" s="1160"/>
      <c r="EB51" s="1160"/>
    </row>
    <row r="52" spans="1:132" ht="15" customHeight="1" x14ac:dyDescent="0.25">
      <c r="A52" s="1160"/>
      <c r="B52" s="1632"/>
      <c r="C52" s="1224" t="s">
        <v>1854</v>
      </c>
      <c r="D52" s="329"/>
      <c r="E52" s="1201" t="b">
        <v>0</v>
      </c>
      <c r="F52" s="329"/>
      <c r="G52" s="329"/>
      <c r="H52" s="329"/>
      <c r="I52" s="329"/>
      <c r="J52" s="329"/>
      <c r="K52" s="329"/>
      <c r="L52" s="1626"/>
      <c r="M52" s="1170"/>
      <c r="N52" s="1170"/>
      <c r="O52" s="1170"/>
      <c r="P52" s="1170"/>
      <c r="Q52" s="1170"/>
      <c r="R52" s="1170"/>
      <c r="S52" s="1170"/>
      <c r="T52" s="1170"/>
      <c r="U52" s="1170"/>
      <c r="V52" s="1107" t="s">
        <v>485</v>
      </c>
      <c r="W52" s="1107">
        <f ca="1">'CokingRefinery Detailed Results'!J11</f>
        <v>805664.00529311772</v>
      </c>
      <c r="X52" s="1170"/>
      <c r="Y52" s="1200" t="s">
        <v>1021</v>
      </c>
      <c r="Z52" s="1199" t="s">
        <v>1022</v>
      </c>
      <c r="AA52" s="1199">
        <f>Constants!G337</f>
        <v>72.819999999999993</v>
      </c>
      <c r="AB52" s="1170"/>
      <c r="AC52" s="1170"/>
      <c r="AD52" s="1170"/>
      <c r="AE52" s="1170"/>
      <c r="AF52" s="1170"/>
      <c r="AG52" s="1170"/>
      <c r="AH52" s="1170"/>
      <c r="AI52" s="1170"/>
      <c r="AJ52" s="1170"/>
      <c r="AK52" s="1170"/>
      <c r="AL52" s="1170"/>
      <c r="AM52" s="1170"/>
      <c r="AN52" s="1170"/>
      <c r="AO52" s="1170"/>
      <c r="AP52" s="1170"/>
      <c r="AQ52" s="1170"/>
      <c r="AR52" s="1170"/>
      <c r="AS52" s="1170"/>
      <c r="AT52" s="1170"/>
      <c r="AU52" s="1170"/>
      <c r="AV52" s="1170"/>
      <c r="AW52" s="1170"/>
      <c r="AX52" s="1170"/>
      <c r="AY52" s="1170"/>
      <c r="AZ52" s="1170"/>
      <c r="BA52" s="1170"/>
      <c r="BB52" s="1170"/>
      <c r="BC52" s="1170"/>
      <c r="BD52" s="1170"/>
      <c r="BE52" s="1170"/>
      <c r="BF52" s="1170"/>
      <c r="BG52" s="1170"/>
      <c r="BH52" s="1170"/>
      <c r="BI52" s="1170"/>
      <c r="BJ52" s="1170"/>
      <c r="BK52" s="1170"/>
      <c r="BL52" s="1170"/>
      <c r="BM52" s="1170"/>
      <c r="BN52" s="1170"/>
      <c r="BO52" s="1170"/>
      <c r="BP52" s="1170"/>
      <c r="BQ52" s="1170"/>
      <c r="BR52" s="1170"/>
      <c r="BS52" s="1170"/>
      <c r="BT52" s="1170"/>
      <c r="BU52" s="1170"/>
      <c r="BV52" s="1200" t="s">
        <v>1021</v>
      </c>
      <c r="BW52" s="1199" t="s">
        <v>1022</v>
      </c>
      <c r="BX52" s="1199">
        <f>Constants!G346</f>
        <v>111.30000305175781</v>
      </c>
      <c r="BY52" s="1170"/>
      <c r="BZ52" s="1237" t="s">
        <v>1702</v>
      </c>
      <c r="CA52" s="1170"/>
      <c r="CB52" s="1238">
        <f ca="1">BX53/(BX53+BP41)</f>
        <v>1</v>
      </c>
      <c r="CC52" s="1170"/>
      <c r="CD52" s="1170"/>
      <c r="CE52" s="1170"/>
      <c r="CF52" s="1234"/>
      <c r="CG52" s="1170"/>
      <c r="CH52" s="1170"/>
      <c r="CI52" s="1170"/>
      <c r="CJ52" s="1170"/>
      <c r="CK52" s="1170"/>
      <c r="CL52" s="1170"/>
      <c r="CM52" s="1170"/>
      <c r="CN52" s="1170"/>
      <c r="CO52" s="1170"/>
      <c r="CP52" s="1170"/>
      <c r="CQ52" s="1170"/>
      <c r="CR52" s="1170"/>
      <c r="CS52" s="1170"/>
      <c r="CT52" s="1170"/>
      <c r="CU52" s="1170"/>
      <c r="CV52" s="1170"/>
      <c r="CW52" s="1170"/>
      <c r="CX52" s="1170"/>
      <c r="CY52" s="1160"/>
      <c r="CZ52" s="1160"/>
      <c r="DA52" s="1160"/>
      <c r="DB52" s="1160"/>
      <c r="DC52" s="1160"/>
      <c r="DD52" s="1160"/>
      <c r="DE52" s="1160"/>
      <c r="DF52" s="1160"/>
      <c r="DG52" s="1160"/>
      <c r="DH52" s="1160"/>
      <c r="DI52" s="1160"/>
      <c r="DJ52" s="1160"/>
      <c r="DK52" s="1160"/>
      <c r="DL52" s="1171"/>
      <c r="DM52" s="1160"/>
      <c r="DN52" s="1160"/>
      <c r="DO52" s="1160"/>
      <c r="DP52" s="1160"/>
      <c r="DQ52" s="1160" t="s">
        <v>622</v>
      </c>
      <c r="DR52" s="1170">
        <f ca="1">CokingRefineryCalcs!S990</f>
        <v>1073.889253564899</v>
      </c>
      <c r="DS52" s="1160"/>
      <c r="DT52" s="1160"/>
      <c r="DU52" s="1160"/>
      <c r="DV52" s="1191"/>
      <c r="DW52" s="1160"/>
      <c r="DX52" s="1160"/>
      <c r="DY52" s="1160"/>
      <c r="DZ52" s="1160"/>
      <c r="EA52" s="1160"/>
      <c r="EB52" s="1160"/>
    </row>
    <row r="53" spans="1:132" ht="15" x14ac:dyDescent="0.25">
      <c r="A53" s="1160"/>
      <c r="B53" s="1632"/>
      <c r="C53" s="1224" t="s">
        <v>1886</v>
      </c>
      <c r="D53" s="329"/>
      <c r="E53" s="1201" t="b">
        <v>0</v>
      </c>
      <c r="F53" s="329"/>
      <c r="G53" s="329"/>
      <c r="H53" s="329"/>
      <c r="I53" s="329"/>
      <c r="J53" s="329"/>
      <c r="K53" s="329"/>
      <c r="L53" s="1626"/>
      <c r="M53" s="1170"/>
      <c r="N53" s="1170"/>
      <c r="O53" s="1170"/>
      <c r="P53" s="1170"/>
      <c r="Q53" s="1170"/>
      <c r="R53" s="1170"/>
      <c r="S53" s="1170"/>
      <c r="T53" s="1170"/>
      <c r="U53" s="1170"/>
      <c r="V53" s="1107" t="s">
        <v>541</v>
      </c>
      <c r="W53" s="1107">
        <f>'CokingRefinery Detailed Results'!L11</f>
        <v>0</v>
      </c>
      <c r="X53" s="1170"/>
      <c r="Y53" s="1204" t="s">
        <v>1054</v>
      </c>
      <c r="Z53" s="1204" t="str">
        <f>IF(allocationMethod=1,$C$21,IF(allocationMethod=2,$C$22,IF(allocationMethod=3,$C$23,$C$24)))</f>
        <v>Hydrogen Content Basis</v>
      </c>
      <c r="AA53" s="1204">
        <f ca="1">IF(allocationMethod=1,AA45,IF(allocationMethod=2,AA51*AA45,IF(allocationMethod=3,AA52*AA43,AA49*AA45/100)))</f>
        <v>422156.63812343997</v>
      </c>
      <c r="AB53" s="1170"/>
      <c r="AC53" s="1170"/>
      <c r="AD53" s="1170"/>
      <c r="AE53" s="1170"/>
      <c r="AF53" s="1170"/>
      <c r="AG53" s="1170"/>
      <c r="AH53" s="1170"/>
      <c r="AI53" s="1170"/>
      <c r="AJ53" s="1170"/>
      <c r="AK53" s="1170"/>
      <c r="AL53" s="1170"/>
      <c r="AM53" s="1170"/>
      <c r="AN53" s="1170"/>
      <c r="AO53" s="1170"/>
      <c r="AP53" s="1170"/>
      <c r="AQ53" s="1170"/>
      <c r="AR53" s="1170"/>
      <c r="AS53" s="1170"/>
      <c r="AT53" s="1170"/>
      <c r="AU53" s="1170"/>
      <c r="AV53" s="1170"/>
      <c r="AW53" s="1170"/>
      <c r="AX53" s="1170"/>
      <c r="AY53" s="1170"/>
      <c r="AZ53" s="1170"/>
      <c r="BA53" s="1170"/>
      <c r="BB53" s="1170"/>
      <c r="BC53" s="1170"/>
      <c r="BD53" s="1170"/>
      <c r="BE53" s="1170"/>
      <c r="BF53" s="1170"/>
      <c r="BG53" s="1170"/>
      <c r="BH53" s="1170"/>
      <c r="BI53" s="1170"/>
      <c r="BJ53" s="1170"/>
      <c r="BK53" s="1170"/>
      <c r="BL53" s="1170"/>
      <c r="BM53" s="1170"/>
      <c r="BN53" s="1170"/>
      <c r="BO53" s="1198"/>
      <c r="BP53" s="1217"/>
      <c r="BQ53" s="1217"/>
      <c r="BR53" s="1170"/>
      <c r="BS53" s="1170"/>
      <c r="BT53" s="1170"/>
      <c r="BU53" s="1170"/>
      <c r="BV53" s="1204" t="s">
        <v>1054</v>
      </c>
      <c r="BW53" s="1204" t="str">
        <f>IF(allocationMethod=1,$C$21,IF(allocationMethod=2,$C$22,IF(allocationMethod=3,$C$23,$C$24)))</f>
        <v>Hydrogen Content Basis</v>
      </c>
      <c r="BX53" s="1204">
        <f ca="1">IF(allocationMethod=1,BX45,IF(allocationMethod=2,BX51*BX45,IF(allocationMethod=3,BX52*BX43,BX49*BX45/100)))</f>
        <v>236305.34442471855</v>
      </c>
      <c r="BY53" s="1170"/>
      <c r="BZ53" s="1170"/>
      <c r="CA53" s="1170"/>
      <c r="CB53" s="1170"/>
      <c r="CC53" s="1170"/>
      <c r="CD53" s="1170"/>
      <c r="CE53" s="1170"/>
      <c r="CF53" s="1234"/>
      <c r="CG53" s="1170"/>
      <c r="CH53" s="1170"/>
      <c r="CI53" s="1170"/>
      <c r="CJ53" s="1170"/>
      <c r="CK53" s="1170"/>
      <c r="CL53" s="1170"/>
      <c r="CM53" s="1170"/>
      <c r="CN53" s="1170"/>
      <c r="CO53" s="1170"/>
      <c r="CP53" s="1170"/>
      <c r="CQ53" s="1170"/>
      <c r="CR53" s="1170"/>
      <c r="CS53" s="1170"/>
      <c r="CT53" s="1170"/>
      <c r="CU53" s="1170"/>
      <c r="CV53" s="1170"/>
      <c r="CW53" s="1170"/>
      <c r="CX53" s="1170"/>
      <c r="CY53" s="1160"/>
      <c r="CZ53" s="1160"/>
      <c r="DA53" s="1160"/>
      <c r="DB53" s="1160"/>
      <c r="DC53" s="1160"/>
      <c r="DD53" s="1160"/>
      <c r="DE53" s="1160"/>
      <c r="DF53" s="1160"/>
      <c r="DG53" s="1160"/>
      <c r="DH53" s="1160"/>
      <c r="DI53" s="1160"/>
      <c r="DJ53" s="1160"/>
      <c r="DK53" s="1160"/>
      <c r="DL53" s="1171"/>
      <c r="DM53" s="1160"/>
      <c r="DN53" s="1160"/>
      <c r="DO53" s="1160"/>
      <c r="DP53" s="1160"/>
      <c r="DQ53" s="1160"/>
      <c r="DR53" s="1160"/>
      <c r="DS53" s="1160"/>
      <c r="DT53" s="1160"/>
      <c r="DU53" s="1160"/>
      <c r="DV53" s="1195"/>
      <c r="DW53" s="1160"/>
      <c r="DX53" s="1160"/>
      <c r="DY53" s="1160"/>
      <c r="DZ53" s="1160"/>
      <c r="EA53" s="1160"/>
      <c r="EB53" s="1160"/>
    </row>
    <row r="54" spans="1:132" ht="15" customHeight="1" x14ac:dyDescent="0.25">
      <c r="A54" s="1160"/>
      <c r="B54" s="1632"/>
      <c r="C54" s="1224" t="s">
        <v>1909</v>
      </c>
      <c r="D54" s="329"/>
      <c r="E54" s="1201" t="b">
        <v>0</v>
      </c>
      <c r="F54" s="329"/>
      <c r="G54" s="329"/>
      <c r="H54" s="329"/>
      <c r="I54" s="329"/>
      <c r="J54" s="329"/>
      <c r="K54" s="329"/>
      <c r="L54" s="1626"/>
      <c r="M54" s="1170"/>
      <c r="N54" s="1170"/>
      <c r="O54" s="1170"/>
      <c r="P54" s="1170"/>
      <c r="Q54" s="1170"/>
      <c r="R54" s="1170"/>
      <c r="S54" s="1170"/>
      <c r="T54" s="1170"/>
      <c r="U54" s="1170"/>
      <c r="V54" s="1170"/>
      <c r="W54" s="1170"/>
      <c r="X54" s="1170"/>
      <c r="Y54" s="1170"/>
      <c r="Z54" s="1170"/>
      <c r="AA54" s="1170"/>
      <c r="AB54" s="1170"/>
      <c r="AC54" s="1170"/>
      <c r="AD54" s="1170"/>
      <c r="AE54" s="1170"/>
      <c r="AF54" s="1170"/>
      <c r="AG54" s="1170"/>
      <c r="AH54" s="1170"/>
      <c r="AI54" s="1170"/>
      <c r="AJ54" s="1170"/>
      <c r="AK54" s="1170"/>
      <c r="AL54" s="1170"/>
      <c r="AM54" s="1170"/>
      <c r="AN54" s="1170"/>
      <c r="AO54" s="1170"/>
      <c r="AP54" s="1170"/>
      <c r="AQ54" s="1170"/>
      <c r="AR54" s="1170"/>
      <c r="AS54" s="1170"/>
      <c r="AT54" s="1170"/>
      <c r="AU54" s="1170"/>
      <c r="AV54" s="1170"/>
      <c r="AW54" s="1170"/>
      <c r="AX54" s="1170"/>
      <c r="AY54" s="1170"/>
      <c r="AZ54" s="1170"/>
      <c r="BA54" s="1170"/>
      <c r="BB54" s="1170"/>
      <c r="BC54" s="1170"/>
      <c r="BD54" s="1170"/>
      <c r="BE54" s="1170"/>
      <c r="BF54" s="1170"/>
      <c r="BG54" s="1170"/>
      <c r="BH54" s="1170"/>
      <c r="BI54" s="1170"/>
      <c r="BJ54" s="1170"/>
      <c r="BK54" s="1170"/>
      <c r="BL54" s="1170"/>
      <c r="BM54" s="1170"/>
      <c r="BN54" s="1170"/>
      <c r="BO54" s="1170"/>
      <c r="BP54" s="1170"/>
      <c r="BQ54" s="1170"/>
      <c r="BR54" s="1170"/>
      <c r="BS54" s="1170"/>
      <c r="BT54" s="1181"/>
      <c r="BU54" s="1181"/>
      <c r="BV54" s="1170"/>
      <c r="BW54" s="1170"/>
      <c r="BX54" s="1170"/>
      <c r="BY54" s="1170"/>
      <c r="BZ54" s="1170"/>
      <c r="CA54" s="1170"/>
      <c r="CB54" s="1170"/>
      <c r="CC54" s="1170"/>
      <c r="CD54" s="1170"/>
      <c r="CE54" s="1170"/>
      <c r="CF54" s="1234"/>
      <c r="CG54" s="1170"/>
      <c r="CH54" s="1170"/>
      <c r="CI54" s="1170"/>
      <c r="CJ54" s="1170"/>
      <c r="CK54" s="1170"/>
      <c r="CL54" s="1170"/>
      <c r="CM54" s="1170"/>
      <c r="CN54" s="1239"/>
      <c r="CO54" s="1240"/>
      <c r="CP54" s="1170"/>
      <c r="CQ54" s="1170"/>
      <c r="CR54" s="1170"/>
      <c r="CS54" s="1170"/>
      <c r="CT54" s="1170"/>
      <c r="CU54" s="1170"/>
      <c r="CV54" s="1170"/>
      <c r="CW54" s="1170"/>
      <c r="CX54" s="1170"/>
      <c r="CY54" s="1160"/>
      <c r="CZ54" s="1160"/>
      <c r="DA54" s="1160"/>
      <c r="DB54" s="1160"/>
      <c r="DC54" s="1160"/>
      <c r="DD54" s="1160"/>
      <c r="DE54" s="1160"/>
      <c r="DF54" s="1160"/>
      <c r="DG54" s="1160"/>
      <c r="DH54" s="1160"/>
      <c r="DI54" s="1160"/>
      <c r="DJ54" s="1160"/>
      <c r="DK54" s="1160"/>
      <c r="DL54" s="1171"/>
      <c r="DM54" s="1160"/>
      <c r="DN54" s="1160"/>
      <c r="DO54" s="1160"/>
      <c r="DP54" s="1160"/>
      <c r="DQ54" s="1160"/>
      <c r="DR54" s="1160"/>
      <c r="DS54" s="1160"/>
      <c r="DT54" s="1160"/>
      <c r="DU54" s="1160"/>
      <c r="DV54" s="1160"/>
      <c r="DW54" s="1160"/>
      <c r="DX54" s="1160"/>
      <c r="DY54" s="1160"/>
      <c r="DZ54" s="1160"/>
      <c r="EA54" s="1160"/>
      <c r="EB54" s="1160"/>
    </row>
    <row r="55" spans="1:132" ht="15" x14ac:dyDescent="0.25">
      <c r="A55" s="1160"/>
      <c r="B55" s="1172"/>
      <c r="C55" s="1224" t="s">
        <v>1486</v>
      </c>
      <c r="D55" s="1225"/>
      <c r="E55" s="2071" t="b">
        <v>0</v>
      </c>
      <c r="F55" s="1203"/>
      <c r="G55" s="1203"/>
      <c r="H55" s="1107"/>
      <c r="I55" s="1107"/>
      <c r="J55" s="1107"/>
      <c r="K55" s="1107"/>
      <c r="L55" s="1150"/>
      <c r="M55" s="1170"/>
      <c r="N55" s="1170"/>
      <c r="O55" s="1170"/>
      <c r="P55" s="1170"/>
      <c r="Q55" s="1170"/>
      <c r="R55" s="1170"/>
      <c r="S55" s="1170"/>
      <c r="T55" s="1170"/>
      <c r="U55" s="1170"/>
      <c r="V55" s="1170"/>
      <c r="W55" s="1170"/>
      <c r="X55" s="1170"/>
      <c r="Y55" s="1170"/>
      <c r="Z55" s="1170"/>
      <c r="AA55" s="1170"/>
      <c r="AB55" s="1170"/>
      <c r="AC55" s="1170"/>
      <c r="AD55" s="1170"/>
      <c r="AE55" s="1170"/>
      <c r="AF55" s="1170"/>
      <c r="AG55" s="1170"/>
      <c r="AH55" s="1170"/>
      <c r="AI55" s="1170"/>
      <c r="AJ55" s="1170"/>
      <c r="AK55" s="1170"/>
      <c r="AL55" s="1170"/>
      <c r="AM55" s="1170"/>
      <c r="AN55" s="1170"/>
      <c r="AO55" s="1170"/>
      <c r="AP55" s="1170"/>
      <c r="AQ55" s="1170"/>
      <c r="AR55" s="1170"/>
      <c r="AS55" s="1170"/>
      <c r="AT55" s="1170"/>
      <c r="AU55" s="1170"/>
      <c r="AV55" s="1170"/>
      <c r="AW55" s="1170"/>
      <c r="AX55" s="1170"/>
      <c r="AY55" s="1170"/>
      <c r="AZ55" s="1170"/>
      <c r="BA55" s="1170"/>
      <c r="BB55" s="1170"/>
      <c r="BC55" s="1170"/>
      <c r="BD55" s="1170"/>
      <c r="BE55" s="1170"/>
      <c r="BF55" s="1170"/>
      <c r="BG55" s="1170"/>
      <c r="BH55" s="1170"/>
      <c r="BI55" s="1170"/>
      <c r="BJ55" s="1170"/>
      <c r="BK55" s="1170"/>
      <c r="BL55" s="1170"/>
      <c r="BM55" s="1170"/>
      <c r="BN55" s="1170"/>
      <c r="BO55" s="1170"/>
      <c r="BP55" s="1170"/>
      <c r="BQ55" s="1170"/>
      <c r="BR55" s="1170"/>
      <c r="BS55" s="1170"/>
      <c r="BT55" s="1170"/>
      <c r="BU55" s="1170"/>
      <c r="BV55" s="1170"/>
      <c r="BW55" s="1170"/>
      <c r="BX55" s="1170"/>
      <c r="BY55" s="1170"/>
      <c r="BZ55" s="1170"/>
      <c r="CA55" s="1170"/>
      <c r="CB55" s="1170"/>
      <c r="CC55" s="1170"/>
      <c r="CD55" s="1170"/>
      <c r="CE55" s="1170"/>
      <c r="CF55" s="1234"/>
      <c r="CG55" s="1170"/>
      <c r="CH55" s="1170"/>
      <c r="CI55" s="1170"/>
      <c r="CJ55" s="1170"/>
      <c r="CK55" s="1170"/>
      <c r="CL55" s="1170"/>
      <c r="CM55" s="1170"/>
      <c r="CN55" s="1170"/>
      <c r="CO55" s="1170"/>
      <c r="CP55" s="1170"/>
      <c r="CQ55" s="1170"/>
      <c r="CR55" s="1170"/>
      <c r="CS55" s="1170"/>
      <c r="CT55" s="1170"/>
      <c r="CU55" s="1170"/>
      <c r="CV55" s="1170"/>
      <c r="CW55" s="1170"/>
      <c r="CX55" s="1170"/>
      <c r="CY55" s="1160"/>
      <c r="CZ55" s="1160"/>
      <c r="DA55" s="1160"/>
      <c r="DB55" s="1160"/>
      <c r="DC55" s="1160"/>
      <c r="DD55" s="1160"/>
      <c r="DE55" s="1160"/>
      <c r="DF55" s="1160"/>
      <c r="DG55" s="1160"/>
      <c r="DH55" s="1160"/>
      <c r="DI55" s="1160"/>
      <c r="DJ55" s="1160"/>
      <c r="DK55" s="1160"/>
      <c r="DL55" s="1171"/>
      <c r="DM55" s="1160"/>
      <c r="DN55" s="1160"/>
      <c r="DO55" s="1160"/>
      <c r="DP55" s="1160"/>
      <c r="DQ55" s="1160"/>
      <c r="DR55" s="1160"/>
      <c r="DS55" s="1160"/>
      <c r="DT55" s="1160"/>
      <c r="DU55" s="1160"/>
      <c r="DV55" s="1195"/>
      <c r="DW55" s="1160"/>
      <c r="DX55" s="1160"/>
      <c r="DY55" s="1160"/>
      <c r="DZ55" s="1160"/>
      <c r="EA55" s="1160"/>
      <c r="EB55" s="1160"/>
    </row>
    <row r="56" spans="1:132" ht="15" x14ac:dyDescent="0.25">
      <c r="A56" s="1160"/>
      <c r="B56" s="1172"/>
      <c r="C56" s="1230" t="s">
        <v>1065</v>
      </c>
      <c r="D56" s="1201" t="s">
        <v>1068</v>
      </c>
      <c r="E56" s="1203"/>
      <c r="F56" s="1203"/>
      <c r="G56" s="1203"/>
      <c r="H56" s="1107"/>
      <c r="I56" s="1107"/>
      <c r="J56" s="1107"/>
      <c r="K56" s="1107"/>
      <c r="L56" s="1150"/>
      <c r="M56" s="1170"/>
      <c r="N56" s="1170"/>
      <c r="O56" s="1170"/>
      <c r="P56" s="1170"/>
      <c r="Q56" s="1170"/>
      <c r="R56" s="1170"/>
      <c r="S56" s="1170"/>
      <c r="T56" s="1170"/>
      <c r="U56" s="1170"/>
      <c r="V56" s="1170"/>
      <c r="W56" s="1170"/>
      <c r="X56" s="1170"/>
      <c r="Y56" s="1170"/>
      <c r="Z56" s="1170"/>
      <c r="AA56" s="1170"/>
      <c r="AB56" s="1170"/>
      <c r="AC56" s="1170"/>
      <c r="AD56" s="1170"/>
      <c r="AE56" s="1170"/>
      <c r="AF56" s="1170"/>
      <c r="AG56" s="1170"/>
      <c r="AH56" s="1170"/>
      <c r="AI56" s="1170"/>
      <c r="AJ56" s="1170"/>
      <c r="AK56" s="1170"/>
      <c r="AL56" s="1170"/>
      <c r="AM56" s="1170"/>
      <c r="AN56" s="1170"/>
      <c r="AO56" s="1170"/>
      <c r="AP56" s="1170"/>
      <c r="AQ56" s="1170"/>
      <c r="AR56" s="1170"/>
      <c r="AS56" s="1170"/>
      <c r="AT56" s="1170"/>
      <c r="AU56" s="1170"/>
      <c r="AV56" s="1170"/>
      <c r="AW56" s="1170"/>
      <c r="AX56" s="1170"/>
      <c r="AY56" s="1170"/>
      <c r="AZ56" s="1170"/>
      <c r="BA56" s="1170"/>
      <c r="BB56" s="1170"/>
      <c r="BC56" s="1170"/>
      <c r="BD56" s="1170"/>
      <c r="BE56" s="1181" t="str">
        <f>CokingRefineryCalcs!H255</f>
        <v>KHT Fuel Gas</v>
      </c>
      <c r="BF56" s="1170"/>
      <c r="BG56" s="1170"/>
      <c r="BH56" s="1170"/>
      <c r="BI56" s="1170"/>
      <c r="BJ56" s="1170"/>
      <c r="BK56" s="1170"/>
      <c r="BL56" s="1170"/>
      <c r="BM56" s="1170"/>
      <c r="BN56" s="1170"/>
      <c r="BO56" s="1170"/>
      <c r="BP56" s="1170"/>
      <c r="BQ56" s="1170"/>
      <c r="BR56" s="1170"/>
      <c r="BS56" s="1170"/>
      <c r="BT56" s="1170"/>
      <c r="BU56" s="1170"/>
      <c r="BV56" s="1170"/>
      <c r="BW56" s="1170"/>
      <c r="BX56" s="1170"/>
      <c r="BY56" s="1170"/>
      <c r="BZ56" s="1170"/>
      <c r="CA56" s="1170"/>
      <c r="CB56" s="1170"/>
      <c r="CC56" s="1170"/>
      <c r="CD56" s="1170"/>
      <c r="CE56" s="1170"/>
      <c r="CF56" s="1234"/>
      <c r="CG56" s="1170"/>
      <c r="CH56" s="1170"/>
      <c r="CI56" s="1170"/>
      <c r="CJ56" s="1170"/>
      <c r="CK56" s="1170"/>
      <c r="CL56" s="1170"/>
      <c r="CM56" s="1170"/>
      <c r="CN56" s="1170"/>
      <c r="CO56" s="1170"/>
      <c r="CP56" s="1170"/>
      <c r="CQ56" s="1170"/>
      <c r="CR56" s="1170"/>
      <c r="CS56" s="1170"/>
      <c r="CT56" s="1170"/>
      <c r="CU56" s="1170"/>
      <c r="CV56" s="1170"/>
      <c r="CW56" s="1170"/>
      <c r="CX56" s="1170"/>
      <c r="CY56" s="1160"/>
      <c r="CZ56" s="1160"/>
      <c r="DA56" s="1170"/>
      <c r="DB56" s="1160"/>
      <c r="DC56" s="1160"/>
      <c r="DD56" s="1160"/>
      <c r="DE56" s="1160"/>
      <c r="DF56" s="1160"/>
      <c r="DG56" s="1160"/>
      <c r="DH56" s="1160"/>
      <c r="DI56" s="1160"/>
      <c r="DJ56" s="1160"/>
      <c r="DK56" s="1191" t="str">
        <f>BN29</f>
        <v>Reformer Fuel Gas</v>
      </c>
      <c r="DL56" s="1171">
        <f ca="1">CokingRefineryCalcs!E987</f>
        <v>219014.26865078407</v>
      </c>
      <c r="DM56" s="1160" t="s">
        <v>622</v>
      </c>
      <c r="DN56" s="1160"/>
      <c r="DO56" s="1160"/>
      <c r="DP56" s="1160"/>
      <c r="DQ56" s="1160"/>
      <c r="DR56" s="1160"/>
      <c r="DS56" s="1160"/>
      <c r="DT56" s="1160"/>
      <c r="DU56" s="1160"/>
      <c r="DV56" s="1160"/>
      <c r="DW56" s="1160"/>
      <c r="DX56" s="1160"/>
      <c r="DY56" s="1160"/>
      <c r="DZ56" s="1160"/>
      <c r="EA56" s="1160"/>
      <c r="EB56" s="1160"/>
    </row>
    <row r="57" spans="1:132" ht="15" customHeight="1" x14ac:dyDescent="0.25">
      <c r="A57" s="1160"/>
      <c r="B57" s="1172"/>
      <c r="C57" s="1230" t="s">
        <v>1066</v>
      </c>
      <c r="D57" s="1201" t="s">
        <v>1069</v>
      </c>
      <c r="E57" s="1203"/>
      <c r="F57" s="1203"/>
      <c r="G57" s="1203"/>
      <c r="H57" s="1107"/>
      <c r="I57" s="1107"/>
      <c r="J57" s="1107"/>
      <c r="K57" s="1107"/>
      <c r="L57" s="1150"/>
      <c r="M57" s="1170"/>
      <c r="N57" s="1170"/>
      <c r="O57" s="1170"/>
      <c r="P57" s="1170"/>
      <c r="Q57" s="1170"/>
      <c r="R57" s="1170"/>
      <c r="S57" s="1170"/>
      <c r="T57" s="1170"/>
      <c r="U57" s="1170"/>
      <c r="V57" s="1170"/>
      <c r="W57" s="1170"/>
      <c r="X57" s="1170"/>
      <c r="Y57" s="1170"/>
      <c r="Z57" s="1170"/>
      <c r="AA57" s="1170"/>
      <c r="AB57" s="1170"/>
      <c r="AC57" s="1170"/>
      <c r="AD57" s="1170"/>
      <c r="AE57" s="1170"/>
      <c r="AF57" s="1170"/>
      <c r="AG57" s="1170"/>
      <c r="AH57" s="1170"/>
      <c r="AI57" s="1170"/>
      <c r="AJ57" s="1170"/>
      <c r="AK57" s="1170"/>
      <c r="AL57" s="1170"/>
      <c r="AM57" s="1170"/>
      <c r="AN57" s="1170"/>
      <c r="AO57" s="1170"/>
      <c r="AP57" s="1170"/>
      <c r="AQ57" s="1170"/>
      <c r="AR57" s="1170"/>
      <c r="AS57" s="1170"/>
      <c r="AT57" s="1170"/>
      <c r="AU57" s="1170"/>
      <c r="AV57" s="1170"/>
      <c r="AW57" s="1170"/>
      <c r="AX57" s="1170"/>
      <c r="AY57" s="1170"/>
      <c r="AZ57" s="1170"/>
      <c r="BA57" s="1170"/>
      <c r="BB57" s="1170"/>
      <c r="BC57" s="1170"/>
      <c r="BD57" s="1170"/>
      <c r="BE57" s="1182" t="str">
        <f>CokingRefineryCalcs!C255</f>
        <v>Property</v>
      </c>
      <c r="BF57" s="1182" t="str">
        <f>CokingRefineryCalcs!D255</f>
        <v>Units</v>
      </c>
      <c r="BG57" s="1170"/>
      <c r="BH57" s="1170"/>
      <c r="BI57" s="1170"/>
      <c r="BJ57" s="1170"/>
      <c r="BK57" s="1170"/>
      <c r="BL57" s="1170"/>
      <c r="BM57" s="1170"/>
      <c r="BN57" s="1170"/>
      <c r="BO57" s="1170"/>
      <c r="BP57" s="1170"/>
      <c r="BQ57" s="1170"/>
      <c r="BR57" s="1170"/>
      <c r="BS57" s="1170"/>
      <c r="BT57" s="1170"/>
      <c r="BU57" s="1170"/>
      <c r="BV57" s="1170"/>
      <c r="BW57" s="1170"/>
      <c r="BX57" s="1170"/>
      <c r="BY57" s="1170"/>
      <c r="BZ57" s="1170"/>
      <c r="CA57" s="1170"/>
      <c r="CB57" s="1170"/>
      <c r="CC57" s="1170"/>
      <c r="CD57" s="1170"/>
      <c r="CE57" s="1170"/>
      <c r="CF57" s="1234"/>
      <c r="CG57" s="1170"/>
      <c r="CH57" s="1170"/>
      <c r="CI57" s="1170"/>
      <c r="CJ57" s="1170"/>
      <c r="CK57" s="1170"/>
      <c r="CL57" s="1170"/>
      <c r="CM57" s="1242"/>
      <c r="CN57" s="1170"/>
      <c r="CO57" s="1170"/>
      <c r="CP57" s="1170"/>
      <c r="CQ57" s="1170"/>
      <c r="CR57" s="1170"/>
      <c r="CS57" s="1170"/>
      <c r="CT57" s="1170"/>
      <c r="CU57" s="1170"/>
      <c r="CV57" s="1170"/>
      <c r="CW57" s="1170"/>
      <c r="CX57" s="1170"/>
      <c r="CY57" s="1160"/>
      <c r="CZ57" s="1160"/>
      <c r="DA57" s="1170"/>
      <c r="DB57" s="1160"/>
      <c r="DC57" s="1160"/>
      <c r="DD57" s="1160"/>
      <c r="DE57" s="1160"/>
      <c r="DF57" s="1160"/>
      <c r="DG57" s="1160"/>
      <c r="DH57" s="1160"/>
      <c r="DI57" s="1160"/>
      <c r="DJ57" s="1160"/>
      <c r="DK57" s="1191" t="s">
        <v>226</v>
      </c>
      <c r="DL57" s="1243" t="s">
        <v>522</v>
      </c>
      <c r="DM57" s="1160"/>
      <c r="DN57" s="1160"/>
      <c r="DO57" s="1160"/>
      <c r="DP57" s="1160"/>
      <c r="DQ57" s="1160"/>
      <c r="DR57" s="1160"/>
      <c r="DS57" s="1160"/>
      <c r="DT57" s="1160"/>
      <c r="DU57" s="1160"/>
      <c r="DV57" s="1160"/>
      <c r="DW57" s="1160"/>
      <c r="DX57" s="1160"/>
      <c r="DY57" s="1160"/>
      <c r="DZ57" s="1160"/>
      <c r="EA57" s="1160"/>
      <c r="EB57" s="1160"/>
    </row>
    <row r="58" spans="1:132" ht="15" x14ac:dyDescent="0.25">
      <c r="A58" s="1160"/>
      <c r="B58" s="1172"/>
      <c r="C58" s="1230" t="s">
        <v>1071</v>
      </c>
      <c r="D58" s="1201" t="s">
        <v>1070</v>
      </c>
      <c r="E58" s="1203"/>
      <c r="F58" s="1203"/>
      <c r="G58" s="1203"/>
      <c r="H58" s="1107"/>
      <c r="I58" s="1107"/>
      <c r="J58" s="1107"/>
      <c r="K58" s="1107"/>
      <c r="L58" s="1150"/>
      <c r="M58" s="1170"/>
      <c r="N58" s="1170"/>
      <c r="O58" s="1170"/>
      <c r="P58" s="1170"/>
      <c r="Q58" s="1170"/>
      <c r="R58" s="1170"/>
      <c r="S58" s="1170"/>
      <c r="T58" s="1170"/>
      <c r="U58" s="1170"/>
      <c r="V58" s="1170"/>
      <c r="W58" s="1170"/>
      <c r="X58" s="1170"/>
      <c r="Y58" s="1181" t="str">
        <f>CokingRefineryCalcs!H46</f>
        <v>Straight Run Kerosene</v>
      </c>
      <c r="Z58" s="1170"/>
      <c r="AA58" s="1170"/>
      <c r="AB58" s="1170"/>
      <c r="AC58" s="1180" t="str">
        <f>Y58</f>
        <v>Straight Run Kerosene</v>
      </c>
      <c r="AD58" s="1170"/>
      <c r="AE58" s="1170"/>
      <c r="AF58" s="1170"/>
      <c r="AG58" s="1170"/>
      <c r="AH58" s="1170"/>
      <c r="AI58" s="1170"/>
      <c r="AJ58" s="1170"/>
      <c r="AK58" s="1170"/>
      <c r="AL58" s="1170"/>
      <c r="AM58" s="1170"/>
      <c r="AN58" s="1170"/>
      <c r="AO58" s="1170"/>
      <c r="AP58" s="1170"/>
      <c r="AQ58" s="1170"/>
      <c r="AR58" s="1170"/>
      <c r="AS58" s="1170"/>
      <c r="AT58" s="1170"/>
      <c r="AU58" s="1170"/>
      <c r="AV58" s="1170"/>
      <c r="AW58" s="1170"/>
      <c r="AX58" s="1170"/>
      <c r="AY58" s="1170"/>
      <c r="AZ58" s="1170"/>
      <c r="BA58" s="1170"/>
      <c r="BB58" s="1170"/>
      <c r="BC58" s="1170"/>
      <c r="BD58" s="1170"/>
      <c r="BE58" s="1186" t="str">
        <f>CokingRefineryCalcs!C256</f>
        <v>Vol Flow</v>
      </c>
      <c r="BF58" s="1170" t="str">
        <f ca="1">CokingRefineryCalcs!D256</f>
        <v>bpd</v>
      </c>
      <c r="BG58" s="1187">
        <f ca="1">BG59/'Energy &amp; Unit Conversions'!$G$80</f>
        <v>70648.247038913119</v>
      </c>
      <c r="BH58" s="1170"/>
      <c r="BI58" s="1170"/>
      <c r="BJ58" s="1170"/>
      <c r="BK58" s="1170"/>
      <c r="BL58" s="1170"/>
      <c r="BM58" s="1170"/>
      <c r="BN58" s="1170"/>
      <c r="BO58" s="1170"/>
      <c r="BP58" s="1170"/>
      <c r="BQ58" s="1170"/>
      <c r="BR58" s="1170"/>
      <c r="BS58" s="1170"/>
      <c r="BT58" s="1170"/>
      <c r="BU58" s="1170"/>
      <c r="BV58" s="1170"/>
      <c r="BW58" s="1170"/>
      <c r="BX58" s="1170"/>
      <c r="BY58" s="1170"/>
      <c r="BZ58" s="1170"/>
      <c r="CA58" s="1170"/>
      <c r="CB58" s="1170"/>
      <c r="CC58" s="1170"/>
      <c r="CD58" s="1170"/>
      <c r="CE58" s="1170"/>
      <c r="CF58" s="1234"/>
      <c r="CG58" s="1170"/>
      <c r="CH58" s="1170"/>
      <c r="CI58" s="1170"/>
      <c r="CJ58" s="1170"/>
      <c r="CK58" s="1170"/>
      <c r="CL58" s="1170"/>
      <c r="CM58" s="1242"/>
      <c r="CN58" s="1170"/>
      <c r="CO58" s="1170"/>
      <c r="CP58" s="1170"/>
      <c r="CQ58" s="1170"/>
      <c r="CR58" s="1170"/>
      <c r="CS58" s="1170"/>
      <c r="CT58" s="1170"/>
      <c r="CU58" s="1170"/>
      <c r="CV58" s="1170"/>
      <c r="CW58" s="1170"/>
      <c r="CX58" s="1170"/>
      <c r="CY58" s="1160"/>
      <c r="CZ58" s="1160"/>
      <c r="DA58" s="1170"/>
      <c r="DB58" s="1160"/>
      <c r="DC58" s="1160"/>
      <c r="DD58" s="1160"/>
      <c r="DE58" s="1160"/>
      <c r="DF58" s="1160"/>
      <c r="DG58" s="1160"/>
      <c r="DH58" s="1160"/>
      <c r="DI58" s="1160"/>
      <c r="DJ58" s="1160"/>
      <c r="DK58" s="1160" t="s">
        <v>263</v>
      </c>
      <c r="DL58" s="1171">
        <f ca="1">(BK35+IF(reformerFeedstockActive=1,0,CC171))*DL63</f>
        <v>0</v>
      </c>
      <c r="DM58" s="1160"/>
      <c r="DN58" s="1160"/>
      <c r="DO58" s="1160"/>
      <c r="DP58" s="1160"/>
      <c r="DQ58" s="1160"/>
      <c r="DR58" s="1160"/>
      <c r="DS58" s="1160"/>
      <c r="DT58" s="1160"/>
      <c r="DU58" s="1160"/>
      <c r="DV58" s="1160"/>
      <c r="DW58" s="1160"/>
      <c r="DX58" s="1160"/>
      <c r="DY58" s="1160"/>
      <c r="DZ58" s="1160"/>
      <c r="EA58" s="1160"/>
      <c r="EB58" s="1160"/>
    </row>
    <row r="59" spans="1:132" ht="15" customHeight="1" x14ac:dyDescent="0.25">
      <c r="A59" s="1160"/>
      <c r="B59" s="1172"/>
      <c r="C59" s="1230" t="s">
        <v>33</v>
      </c>
      <c r="D59" s="1201" t="s">
        <v>1072</v>
      </c>
      <c r="E59" s="1203"/>
      <c r="F59" s="1203"/>
      <c r="G59" s="1203"/>
      <c r="H59" s="1107"/>
      <c r="I59" s="1107"/>
      <c r="J59" s="1107"/>
      <c r="K59" s="1107"/>
      <c r="L59" s="1150"/>
      <c r="M59" s="1170"/>
      <c r="N59" s="1170"/>
      <c r="O59" s="1170"/>
      <c r="P59" s="1170"/>
      <c r="Q59" s="1170"/>
      <c r="R59" s="1170"/>
      <c r="S59" s="1170"/>
      <c r="T59" s="1170"/>
      <c r="U59" s="1170"/>
      <c r="V59" s="1170"/>
      <c r="W59" s="1170"/>
      <c r="X59" s="1170"/>
      <c r="Y59" s="1182" t="str">
        <f>CokingRefineryCalcs!C46</f>
        <v>Property</v>
      </c>
      <c r="Z59" s="1182" t="str">
        <f>CokingRefineryCalcs!D46</f>
        <v>Units</v>
      </c>
      <c r="AA59" s="1170"/>
      <c r="AB59" s="1170"/>
      <c r="AC59" s="1183" t="s">
        <v>226</v>
      </c>
      <c r="AD59" s="1170"/>
      <c r="AE59" s="1184" t="s">
        <v>522</v>
      </c>
      <c r="AF59" s="1170"/>
      <c r="AG59" s="1170"/>
      <c r="AH59" s="1170"/>
      <c r="AI59" s="1170"/>
      <c r="AJ59" s="1170"/>
      <c r="AK59" s="1170"/>
      <c r="AL59" s="1170"/>
      <c r="AM59" s="1170"/>
      <c r="AN59" s="1170"/>
      <c r="AO59" s="1170"/>
      <c r="AP59" s="1170"/>
      <c r="AQ59" s="1170"/>
      <c r="AR59" s="1170"/>
      <c r="AS59" s="1170"/>
      <c r="AT59" s="1170"/>
      <c r="AU59" s="1170"/>
      <c r="AV59" s="1170"/>
      <c r="AW59" s="1170"/>
      <c r="AX59" s="1170"/>
      <c r="AY59" s="1170"/>
      <c r="AZ59" s="1170"/>
      <c r="BA59" s="1170"/>
      <c r="BB59" s="1170"/>
      <c r="BC59" s="1170"/>
      <c r="BD59" s="1170"/>
      <c r="BE59" s="1186" t="str">
        <f>CokingRefineryCalcs!C257</f>
        <v>Vol Flow</v>
      </c>
      <c r="BF59" s="1170" t="str">
        <f ca="1">CokingRefineryCalcs!D257</f>
        <v>m^3/d</v>
      </c>
      <c r="BG59" s="1187">
        <f ca="1">BG60*BG63</f>
        <v>11232.174046449793</v>
      </c>
      <c r="BH59" s="1170"/>
      <c r="BI59" s="1170"/>
      <c r="BJ59" s="1170"/>
      <c r="BK59" s="1170"/>
      <c r="BL59" s="1170"/>
      <c r="BM59" s="1170"/>
      <c r="BN59" s="1170"/>
      <c r="BO59" s="1170"/>
      <c r="BP59" s="1170"/>
      <c r="BQ59" s="1170"/>
      <c r="BR59" s="1170"/>
      <c r="BS59" s="1170"/>
      <c r="BT59" s="1170"/>
      <c r="BU59" s="1170"/>
      <c r="BV59" s="1170"/>
      <c r="BW59" s="1170"/>
      <c r="BX59" s="1170"/>
      <c r="BY59" s="1170"/>
      <c r="BZ59" s="1170"/>
      <c r="CA59" s="1170"/>
      <c r="CB59" s="1170"/>
      <c r="CC59" s="1170"/>
      <c r="CD59" s="1170"/>
      <c r="CE59" s="1170"/>
      <c r="CF59" s="1170"/>
      <c r="CG59" s="1170"/>
      <c r="CH59" s="1170"/>
      <c r="CI59" s="1170"/>
      <c r="CJ59" s="1170"/>
      <c r="CK59" s="1170"/>
      <c r="CL59" s="1170"/>
      <c r="CM59" s="1242"/>
      <c r="CN59" s="1170"/>
      <c r="CO59" s="1170"/>
      <c r="CP59" s="1170"/>
      <c r="CQ59" s="1170"/>
      <c r="CR59" s="1170"/>
      <c r="CS59" s="1170"/>
      <c r="CT59" s="1170"/>
      <c r="CU59" s="1170"/>
      <c r="CV59" s="1170"/>
      <c r="CW59" s="1170"/>
      <c r="CX59" s="1170"/>
      <c r="CY59" s="1160"/>
      <c r="CZ59" s="1160"/>
      <c r="DA59" s="1170"/>
      <c r="DB59" s="1160"/>
      <c r="DC59" s="1160"/>
      <c r="DD59" s="1160"/>
      <c r="DE59" s="1160"/>
      <c r="DF59" s="1160"/>
      <c r="DG59" s="1160"/>
      <c r="DH59" s="1160"/>
      <c r="DI59" s="1160"/>
      <c r="DJ59" s="1160"/>
      <c r="DK59" s="1160" t="s">
        <v>392</v>
      </c>
      <c r="DL59" s="1171">
        <f ca="1">(BK36+BT46++IF(reformerFeedstockActive=1,0,CC172))*$DL$63</f>
        <v>0</v>
      </c>
      <c r="DM59" s="1160"/>
      <c r="DN59" s="1160"/>
      <c r="DO59" s="1160"/>
      <c r="DP59" s="1160"/>
      <c r="DQ59" s="1160"/>
      <c r="DR59" s="1160"/>
      <c r="DS59" s="1160"/>
      <c r="DT59" s="1160"/>
      <c r="DU59" s="1160"/>
      <c r="DV59" s="1160"/>
      <c r="DW59" s="1160"/>
      <c r="DX59" s="1160"/>
      <c r="DY59" s="1160"/>
      <c r="DZ59" s="1160"/>
      <c r="EA59" s="1160"/>
      <c r="EB59" s="1160"/>
    </row>
    <row r="60" spans="1:132" ht="15" x14ac:dyDescent="0.25">
      <c r="A60" s="1160"/>
      <c r="B60" s="1172"/>
      <c r="C60" s="1230"/>
      <c r="D60" s="2427" t="s">
        <v>35</v>
      </c>
      <c r="E60" s="2427"/>
      <c r="F60" s="2427"/>
      <c r="G60" s="2427"/>
      <c r="H60" s="2427"/>
      <c r="I60" s="2427"/>
      <c r="J60" s="2427"/>
      <c r="K60" s="2427"/>
      <c r="L60" s="1150"/>
      <c r="M60" s="1170"/>
      <c r="N60" s="1170"/>
      <c r="O60" s="1170"/>
      <c r="P60" s="1170"/>
      <c r="Q60" s="1170"/>
      <c r="R60" s="1170"/>
      <c r="S60" s="1170"/>
      <c r="T60" s="1170"/>
      <c r="U60" s="1170"/>
      <c r="V60" s="1170"/>
      <c r="W60" s="1170"/>
      <c r="X60" s="1170"/>
      <c r="Y60" s="1186" t="str">
        <f>CokingRefineryCalcs!C47</f>
        <v>Vol Flow</v>
      </c>
      <c r="Z60" s="1170" t="str">
        <f ca="1">CokingRefineryCalcs!D47</f>
        <v>bpd</v>
      </c>
      <c r="AA60" s="1170">
        <f ca="1">CokingRefineryCalcs!H47</f>
        <v>26885.40784503843</v>
      </c>
      <c r="AB60" s="1170"/>
      <c r="AC60" s="1170" t="s">
        <v>263</v>
      </c>
      <c r="AD60" s="1170"/>
      <c r="AE60" s="1187">
        <f ca="1">U111*AE65</f>
        <v>232380340.50842014</v>
      </c>
      <c r="AF60" s="1170"/>
      <c r="AG60" s="1170"/>
      <c r="AH60" s="1170"/>
      <c r="AI60" s="1170"/>
      <c r="AJ60" s="1170"/>
      <c r="AK60" s="1170"/>
      <c r="AL60" s="1170"/>
      <c r="AM60" s="1170"/>
      <c r="AN60" s="1170"/>
      <c r="AO60" s="1170"/>
      <c r="AP60" s="1170"/>
      <c r="AQ60" s="1170"/>
      <c r="AR60" s="1170"/>
      <c r="AS60" s="1170"/>
      <c r="AT60" s="1170"/>
      <c r="AU60" s="1170"/>
      <c r="AV60" s="1170"/>
      <c r="AW60" s="1170"/>
      <c r="AX60" s="1170"/>
      <c r="AY60" s="1170"/>
      <c r="AZ60" s="1170"/>
      <c r="BA60" s="1170"/>
      <c r="BB60" s="1170"/>
      <c r="BC60" s="1170"/>
      <c r="BD60" s="1170"/>
      <c r="BE60" s="1186" t="str">
        <f>CokingRefineryCalcs!C258</f>
        <v>Mass Flow</v>
      </c>
      <c r="BF60" s="1170" t="str">
        <f>CokingRefineryCalcs!D258</f>
        <v>kg/d</v>
      </c>
      <c r="BG60" s="1170">
        <f ca="1">CokingRefineryCalcs!H258</f>
        <v>9696.9447453418234</v>
      </c>
      <c r="BH60" s="1170"/>
      <c r="BI60" s="1170"/>
      <c r="BJ60" s="1170"/>
      <c r="BK60" s="1170"/>
      <c r="BL60" s="1170"/>
      <c r="BM60" s="1170"/>
      <c r="BN60" s="1170"/>
      <c r="BO60" s="1170"/>
      <c r="BP60" s="1170"/>
      <c r="BQ60" s="1170"/>
      <c r="BR60" s="1170"/>
      <c r="BS60" s="1170"/>
      <c r="BT60" s="1170"/>
      <c r="BU60" s="1170"/>
      <c r="BV60" s="1170"/>
      <c r="BW60" s="1170"/>
      <c r="BX60" s="1170"/>
      <c r="BY60" s="1170"/>
      <c r="BZ60" s="1170"/>
      <c r="CA60" s="1170"/>
      <c r="CB60" s="1170"/>
      <c r="CC60" s="1170"/>
      <c r="CD60" s="1170"/>
      <c r="CE60" s="1170"/>
      <c r="CF60" s="1170"/>
      <c r="CG60" s="1170"/>
      <c r="CH60" s="1170"/>
      <c r="CI60" s="1170"/>
      <c r="CJ60" s="1170"/>
      <c r="CK60" s="1170"/>
      <c r="CL60" s="1170"/>
      <c r="CM60" s="1242"/>
      <c r="CN60" s="1170"/>
      <c r="CO60" s="1170"/>
      <c r="CP60" s="1170"/>
      <c r="CQ60" s="1170"/>
      <c r="CR60" s="1170"/>
      <c r="CS60" s="1170"/>
      <c r="CT60" s="1170"/>
      <c r="CU60" s="1170"/>
      <c r="CV60" s="1170"/>
      <c r="CW60" s="1170"/>
      <c r="CX60" s="1170"/>
      <c r="CY60" s="1160"/>
      <c r="CZ60" s="1160"/>
      <c r="DA60" s="1170"/>
      <c r="DB60" s="1160"/>
      <c r="DC60" s="1160"/>
      <c r="DD60" s="1160"/>
      <c r="DE60" s="1160"/>
      <c r="DF60" s="1160"/>
      <c r="DG60" s="1160"/>
      <c r="DH60" s="1160"/>
      <c r="DI60" s="1160"/>
      <c r="DJ60" s="1160"/>
      <c r="DK60" s="1160" t="s">
        <v>224</v>
      </c>
      <c r="DL60" s="1171">
        <f ca="1">(BK37+BT47++IF(reformerFeedstockActive=1,0,CC173))*$DL$63</f>
        <v>0</v>
      </c>
      <c r="DM60" s="1160"/>
      <c r="DN60" s="1160"/>
      <c r="DO60" s="1160"/>
      <c r="DP60" s="1160"/>
      <c r="DQ60" s="1160"/>
      <c r="DR60" s="1160"/>
      <c r="DS60" s="1160"/>
      <c r="DT60" s="1160"/>
      <c r="DU60" s="1160"/>
      <c r="DV60" s="1160"/>
      <c r="DW60" s="1160"/>
      <c r="DX60" s="1160"/>
      <c r="DY60" s="1160"/>
      <c r="DZ60" s="1160"/>
      <c r="EA60" s="1160"/>
      <c r="EB60" s="1160"/>
    </row>
    <row r="61" spans="1:132" ht="15" x14ac:dyDescent="0.25">
      <c r="A61" s="1160"/>
      <c r="B61" s="1172"/>
      <c r="C61" s="1230"/>
      <c r="D61" s="2427"/>
      <c r="E61" s="2427"/>
      <c r="F61" s="2427"/>
      <c r="G61" s="2427"/>
      <c r="H61" s="2427"/>
      <c r="I61" s="2427"/>
      <c r="J61" s="2427"/>
      <c r="K61" s="2427"/>
      <c r="L61" s="1150"/>
      <c r="M61" s="1170"/>
      <c r="N61" s="1170"/>
      <c r="O61" s="1170"/>
      <c r="P61" s="1170"/>
      <c r="Q61" s="1170"/>
      <c r="R61" s="1170"/>
      <c r="S61" s="1170"/>
      <c r="T61" s="1170"/>
      <c r="U61" s="1170"/>
      <c r="V61" s="1170"/>
      <c r="W61" s="1170"/>
      <c r="X61" s="1170"/>
      <c r="Y61" s="1186" t="str">
        <f>CokingRefineryCalcs!C48</f>
        <v>Vol Flow</v>
      </c>
      <c r="Z61" s="1170" t="str">
        <f ca="1">CokingRefineryCalcs!D48</f>
        <v>m^3/d</v>
      </c>
      <c r="AA61" s="1170">
        <f ca="1">CokingRefineryCalcs!H48</f>
        <v>4274.4384026814787</v>
      </c>
      <c r="AB61" s="1170"/>
      <c r="AC61" s="1170" t="s">
        <v>392</v>
      </c>
      <c r="AD61" s="1170"/>
      <c r="AE61" s="1187">
        <f ca="1">(U112+W50)*$AE$65</f>
        <v>15596.597797494629</v>
      </c>
      <c r="AF61" s="1170"/>
      <c r="AG61" s="1170"/>
      <c r="AH61" s="1170"/>
      <c r="AI61" s="1170"/>
      <c r="AJ61" s="1170"/>
      <c r="AK61" s="1170"/>
      <c r="AL61" s="1170"/>
      <c r="AM61" s="1170"/>
      <c r="AN61" s="1170"/>
      <c r="AO61" s="1170"/>
      <c r="AP61" s="1170"/>
      <c r="AQ61" s="1170"/>
      <c r="AR61" s="1170"/>
      <c r="AS61" s="1170"/>
      <c r="AT61" s="1170"/>
      <c r="AU61" s="1170"/>
      <c r="AV61" s="1170"/>
      <c r="AW61" s="1170"/>
      <c r="AX61" s="1170"/>
      <c r="AY61" s="1170"/>
      <c r="AZ61" s="1170"/>
      <c r="BA61" s="1170"/>
      <c r="BB61" s="1170"/>
      <c r="BC61" s="1170"/>
      <c r="BD61" s="1170"/>
      <c r="BE61" s="1186" t="str">
        <f>CokingRefineryCalcs!C259</f>
        <v xml:space="preserve">Sulphur </v>
      </c>
      <c r="BF61" s="1170" t="str">
        <f ca="1">CokingRefineryCalcs!D259</f>
        <v>wt%</v>
      </c>
      <c r="BG61" s="1170">
        <f ca="1">CokingRefineryCalcs!H259</f>
        <v>24.094437417594566</v>
      </c>
      <c r="BH61" s="1170"/>
      <c r="BI61" s="1170"/>
      <c r="BJ61" s="1170"/>
      <c r="BK61" s="1170"/>
      <c r="BL61" s="1170"/>
      <c r="BM61" s="1170"/>
      <c r="BN61" s="1181" t="str">
        <f>CokingRefineryCalcs!G255</f>
        <v>Output</v>
      </c>
      <c r="BO61" s="1170"/>
      <c r="BP61" s="1181"/>
      <c r="BQ61" s="1170"/>
      <c r="BR61" s="1170"/>
      <c r="BS61" s="1170"/>
      <c r="BT61" s="1170"/>
      <c r="BU61" s="1170"/>
      <c r="BV61" s="1170"/>
      <c r="BW61" s="1170"/>
      <c r="BX61" s="1170"/>
      <c r="BY61" s="1170"/>
      <c r="BZ61" s="1170"/>
      <c r="CA61" s="1170"/>
      <c r="CB61" s="1170"/>
      <c r="CC61" s="1170"/>
      <c r="CD61" s="1181" t="str">
        <f>CokingRefineryCalcs!F299</f>
        <v>Jet-A/AVTUR</v>
      </c>
      <c r="CE61" s="1170"/>
      <c r="CF61" s="1170"/>
      <c r="CG61" s="1170"/>
      <c r="CH61" s="1170"/>
      <c r="CI61" s="1170"/>
      <c r="CJ61" s="1170"/>
      <c r="CK61" s="1170"/>
      <c r="CL61" s="1170"/>
      <c r="CM61" s="1170"/>
      <c r="CN61" s="1170"/>
      <c r="CO61" s="1170"/>
      <c r="CP61" s="1170"/>
      <c r="CQ61" s="1170"/>
      <c r="CR61" s="1170"/>
      <c r="CS61" s="1170"/>
      <c r="CT61" s="1170"/>
      <c r="CU61" s="1170"/>
      <c r="CV61" s="1170"/>
      <c r="CW61" s="1170"/>
      <c r="CX61" s="1170"/>
      <c r="CY61" s="1160"/>
      <c r="CZ61" s="1160"/>
      <c r="DA61" s="1170"/>
      <c r="DB61" s="1181" t="str">
        <f t="shared" ref="DB61:DB70" si="0">CD61</f>
        <v>Jet-A/AVTUR</v>
      </c>
      <c r="DC61" s="1170"/>
      <c r="DD61" s="1170"/>
      <c r="DE61" s="1160"/>
      <c r="DF61" s="1160"/>
      <c r="DG61" s="1160"/>
      <c r="DH61" s="1160"/>
      <c r="DI61" s="1160"/>
      <c r="DJ61" s="1160"/>
      <c r="DK61" s="1160" t="s">
        <v>485</v>
      </c>
      <c r="DL61" s="1171">
        <f ca="1">(BK38+BT48++IF(reformerFeedstockActive=1,0,CC174))*$DL$63</f>
        <v>0</v>
      </c>
      <c r="DM61" s="1160"/>
      <c r="DN61" s="1160"/>
      <c r="DO61" s="1160"/>
      <c r="DP61" s="1160"/>
      <c r="DQ61" s="1160"/>
      <c r="DR61" s="1160"/>
      <c r="DS61" s="1160"/>
      <c r="DT61" s="1160"/>
      <c r="DU61" s="1160"/>
      <c r="DV61" s="1160"/>
      <c r="DW61" s="1160"/>
      <c r="DX61" s="1160"/>
      <c r="DY61" s="1160"/>
      <c r="DZ61" s="1160"/>
      <c r="EA61" s="1160"/>
      <c r="EB61" s="1160"/>
    </row>
    <row r="62" spans="1:132" ht="15" customHeight="1" x14ac:dyDescent="0.25">
      <c r="A62" s="1160"/>
      <c r="B62" s="1172"/>
      <c r="C62" s="1230"/>
      <c r="D62" s="2427" t="s">
        <v>1553</v>
      </c>
      <c r="E62" s="2427"/>
      <c r="F62" s="2427"/>
      <c r="G62" s="2427"/>
      <c r="H62" s="2427"/>
      <c r="I62" s="2427"/>
      <c r="J62" s="2427"/>
      <c r="K62" s="2427"/>
      <c r="L62" s="1150"/>
      <c r="M62" s="1170"/>
      <c r="N62" s="1170"/>
      <c r="O62" s="1170"/>
      <c r="P62" s="1170"/>
      <c r="Q62" s="1170"/>
      <c r="R62" s="1170"/>
      <c r="S62" s="1170"/>
      <c r="T62" s="1170"/>
      <c r="U62" s="1170"/>
      <c r="V62" s="1170"/>
      <c r="W62" s="1170"/>
      <c r="X62" s="1170"/>
      <c r="Y62" s="1186" t="str">
        <f>CokingRefineryCalcs!C49</f>
        <v>Mass Flow</v>
      </c>
      <c r="Z62" s="1170" t="str">
        <f>CokingRefineryCalcs!D49</f>
        <v>kg/d</v>
      </c>
      <c r="AA62" s="1170">
        <f ca="1">CokingRefineryCalcs!H49</f>
        <v>3607246.9722819468</v>
      </c>
      <c r="AB62" s="1170"/>
      <c r="AC62" s="1170" t="s">
        <v>224</v>
      </c>
      <c r="AD62" s="1170"/>
      <c r="AE62" s="1187">
        <f ca="1">(U113+W51)*$AE$65</f>
        <v>1752356.8482727541</v>
      </c>
      <c r="AF62" s="1170"/>
      <c r="AG62" s="1170"/>
      <c r="AH62" s="1170"/>
      <c r="AI62" s="1170"/>
      <c r="AJ62" s="1170"/>
      <c r="AK62" s="1170"/>
      <c r="AL62" s="1170"/>
      <c r="AM62" s="1170"/>
      <c r="AN62" s="1170"/>
      <c r="AO62" s="1170"/>
      <c r="AP62" s="1170"/>
      <c r="AQ62" s="1170"/>
      <c r="AR62" s="1170"/>
      <c r="AS62" s="1170"/>
      <c r="AT62" s="1170"/>
      <c r="AU62" s="1170"/>
      <c r="AV62" s="1170"/>
      <c r="AW62" s="1170"/>
      <c r="AX62" s="1170"/>
      <c r="AY62" s="1170"/>
      <c r="AZ62" s="1170"/>
      <c r="BA62" s="1170"/>
      <c r="BB62" s="1170"/>
      <c r="BC62" s="1170"/>
      <c r="BD62" s="1170"/>
      <c r="BE62" s="1186" t="str">
        <f>CokingRefineryCalcs!C261</f>
        <v xml:space="preserve">API gravity </v>
      </c>
      <c r="BF62" s="1170"/>
      <c r="BG62" s="1170"/>
      <c r="BH62" s="1170"/>
      <c r="BI62" s="1170"/>
      <c r="BJ62" s="1170"/>
      <c r="BK62" s="1170"/>
      <c r="BL62" s="1170"/>
      <c r="BM62" s="1170"/>
      <c r="BN62" s="1182" t="str">
        <f>CokingRefineryCalcs!C255</f>
        <v>Property</v>
      </c>
      <c r="BO62" s="1182" t="str">
        <f>CokingRefineryCalcs!D255</f>
        <v>Units</v>
      </c>
      <c r="BP62" s="1170"/>
      <c r="BQ62" s="1170"/>
      <c r="BR62" s="1170"/>
      <c r="BS62" s="1170"/>
      <c r="BT62" s="1170"/>
      <c r="BU62" s="1181"/>
      <c r="BV62" s="1170"/>
      <c r="BW62" s="1170"/>
      <c r="BX62" s="1170"/>
      <c r="BY62" s="1170"/>
      <c r="BZ62" s="1170"/>
      <c r="CA62" s="1170"/>
      <c r="CB62" s="1170"/>
      <c r="CC62" s="1170"/>
      <c r="CD62" s="1182" t="str">
        <f>CokingRefineryCalcs!C299</f>
        <v>Property</v>
      </c>
      <c r="CE62" s="1182" t="str">
        <f>CokingRefineryCalcs!D299</f>
        <v>Units</v>
      </c>
      <c r="CF62" s="1170"/>
      <c r="CG62" s="1170"/>
      <c r="CH62" s="1170"/>
      <c r="CI62" s="1170"/>
      <c r="CJ62" s="1170"/>
      <c r="CK62" s="1170"/>
      <c r="CL62" s="1170"/>
      <c r="CM62" s="1170"/>
      <c r="CN62" s="1170"/>
      <c r="CO62" s="1170"/>
      <c r="CP62" s="1170"/>
      <c r="CQ62" s="1170"/>
      <c r="CR62" s="1170"/>
      <c r="CS62" s="1170"/>
      <c r="CT62" s="1170"/>
      <c r="CU62" s="1170"/>
      <c r="CV62" s="1170"/>
      <c r="CW62" s="1170"/>
      <c r="CX62" s="1170"/>
      <c r="CY62" s="1160"/>
      <c r="CZ62" s="1160"/>
      <c r="DA62" s="1160"/>
      <c r="DB62" s="1182" t="str">
        <f t="shared" si="0"/>
        <v>Property</v>
      </c>
      <c r="DC62" s="1182" t="str">
        <f>CE62</f>
        <v>Units</v>
      </c>
      <c r="DD62" s="1170"/>
      <c r="DE62" s="1180" t="str">
        <f>CD61</f>
        <v>Jet-A/AVTUR</v>
      </c>
      <c r="DF62" s="1180"/>
      <c r="DG62" s="1170"/>
      <c r="DH62" s="1160"/>
      <c r="DI62" s="1160"/>
      <c r="DJ62" s="1160"/>
      <c r="DK62" s="1160" t="s">
        <v>541</v>
      </c>
      <c r="DL62" s="1171">
        <f ca="1">(BK39+BT49++IF(reformerFeedstockActive=1,0,CC175))*$DL$63</f>
        <v>0</v>
      </c>
      <c r="DM62" s="1160"/>
      <c r="DN62" s="1160"/>
      <c r="DO62" s="1160"/>
      <c r="DP62" s="1160"/>
      <c r="DQ62" s="1160"/>
      <c r="DR62" s="1160"/>
      <c r="DS62" s="1160"/>
      <c r="DT62" s="1160"/>
      <c r="DU62" s="1160"/>
      <c r="DV62" s="1195"/>
      <c r="DW62" s="1160"/>
      <c r="DX62" s="1160"/>
      <c r="DY62" s="1160"/>
      <c r="DZ62" s="1160"/>
      <c r="EA62" s="1160"/>
      <c r="EB62" s="1160"/>
    </row>
    <row r="63" spans="1:132" ht="15" x14ac:dyDescent="0.25">
      <c r="A63" s="1160"/>
      <c r="B63" s="1172"/>
      <c r="C63" s="1230"/>
      <c r="D63" s="2427"/>
      <c r="E63" s="2427"/>
      <c r="F63" s="2427"/>
      <c r="G63" s="2427"/>
      <c r="H63" s="2427"/>
      <c r="I63" s="2427"/>
      <c r="J63" s="2427"/>
      <c r="K63" s="2427"/>
      <c r="L63" s="1150"/>
      <c r="M63" s="1170"/>
      <c r="N63" s="1170"/>
      <c r="O63" s="1170"/>
      <c r="P63" s="1170"/>
      <c r="Q63" s="1170"/>
      <c r="R63" s="1170"/>
      <c r="S63" s="1170"/>
      <c r="T63" s="1170"/>
      <c r="U63" s="1170"/>
      <c r="V63" s="1170"/>
      <c r="W63" s="1170"/>
      <c r="X63" s="1170"/>
      <c r="Y63" s="1186" t="str">
        <f>CokingRefineryCalcs!C50</f>
        <v xml:space="preserve">Sulphur </v>
      </c>
      <c r="Z63" s="1170" t="str">
        <f ca="1">CokingRefineryCalcs!D50</f>
        <v>wt%</v>
      </c>
      <c r="AA63" s="1170">
        <f ca="1">CokingRefineryCalcs!H50</f>
        <v>6.4870288839055754E-2</v>
      </c>
      <c r="AB63" s="1170"/>
      <c r="AC63" s="1170" t="s">
        <v>485</v>
      </c>
      <c r="AD63" s="1170"/>
      <c r="AE63" s="1187">
        <f ca="1">(U114+W52)*$AE$65</f>
        <v>335153.35254735145</v>
      </c>
      <c r="AF63" s="1170"/>
      <c r="AG63" s="1170"/>
      <c r="AH63" s="1170"/>
      <c r="AI63" s="1170"/>
      <c r="AJ63" s="1170"/>
      <c r="AK63" s="1170"/>
      <c r="AL63" s="1170"/>
      <c r="AM63" s="1170"/>
      <c r="AN63" s="1170"/>
      <c r="AO63" s="1170"/>
      <c r="AP63" s="1170"/>
      <c r="AQ63" s="1170"/>
      <c r="AR63" s="1170"/>
      <c r="AS63" s="1170"/>
      <c r="AT63" s="1170"/>
      <c r="AU63" s="1170"/>
      <c r="AV63" s="1170"/>
      <c r="AW63" s="1170"/>
      <c r="AX63" s="1170"/>
      <c r="AY63" s="1170"/>
      <c r="AZ63" s="1170"/>
      <c r="BA63" s="1170"/>
      <c r="BB63" s="1170"/>
      <c r="BC63" s="1170"/>
      <c r="BD63" s="1170"/>
      <c r="BE63" s="1186" t="str">
        <f>CokingRefineryCalcs!C262</f>
        <v>Density</v>
      </c>
      <c r="BF63" s="1170" t="str">
        <f ca="1">CokingRefineryCalcs!D262</f>
        <v>kg/m^3</v>
      </c>
      <c r="BG63" s="1170">
        <f>'Energy &amp; Unit Conversions'!$E$27/'Energy &amp; Unit Conversions'!$E$93/'Energy &amp; Unit Conversions'!$G$81</f>
        <v>1.1583209290581402</v>
      </c>
      <c r="BH63" s="1170"/>
      <c r="BI63" s="1170"/>
      <c r="BJ63" s="1170"/>
      <c r="BK63" s="1170"/>
      <c r="BL63" s="1170"/>
      <c r="BM63" s="1170"/>
      <c r="BN63" s="1186" t="str">
        <f>CokingRefineryCalcs!C256</f>
        <v>Vol Flow</v>
      </c>
      <c r="BO63" s="1170" t="str">
        <f ca="1">CokingRefineryCalcs!D256</f>
        <v>bpd</v>
      </c>
      <c r="BP63" s="1170">
        <f ca="1">CokingRefineryCalcs!G256</f>
        <v>27711.741788300664</v>
      </c>
      <c r="BQ63" s="1170"/>
      <c r="BR63" s="1170"/>
      <c r="BS63" s="1170"/>
      <c r="BT63" s="1170"/>
      <c r="BU63" s="1170"/>
      <c r="BV63" s="1170"/>
      <c r="BW63" s="1170"/>
      <c r="BX63" s="1170"/>
      <c r="BY63" s="1170"/>
      <c r="BZ63" s="1170"/>
      <c r="CA63" s="1170"/>
      <c r="CB63" s="1170"/>
      <c r="CC63" s="1170"/>
      <c r="CD63" s="1186" t="str">
        <f>CokingRefineryCalcs!C300</f>
        <v>Vol Flow</v>
      </c>
      <c r="CE63" s="1170" t="str">
        <f>CokingRefineryCalcs!D300</f>
        <v>bpd</v>
      </c>
      <c r="CF63" s="1170">
        <f ca="1">CokingRefineryCalcs!F300</f>
        <v>28123.302309909086</v>
      </c>
      <c r="CG63" s="1170"/>
      <c r="CH63" s="1170"/>
      <c r="CI63" s="1170"/>
      <c r="CJ63" s="1170"/>
      <c r="CK63" s="1170"/>
      <c r="CL63" s="1170"/>
      <c r="CM63" s="1170"/>
      <c r="CN63" s="1170"/>
      <c r="CO63" s="1170"/>
      <c r="CP63" s="1170"/>
      <c r="CQ63" s="1170"/>
      <c r="CR63" s="1170"/>
      <c r="CS63" s="1170"/>
      <c r="CT63" s="1170"/>
      <c r="CU63" s="1170"/>
      <c r="CV63" s="1170"/>
      <c r="CW63" s="1170"/>
      <c r="CX63" s="1170"/>
      <c r="CY63" s="1160"/>
      <c r="CZ63" s="1160"/>
      <c r="DA63" s="1160"/>
      <c r="DB63" s="1186" t="str">
        <f t="shared" si="0"/>
        <v>Vol Flow</v>
      </c>
      <c r="DC63" s="1170" t="str">
        <f>CE63</f>
        <v>bpd</v>
      </c>
      <c r="DD63" s="1170">
        <f ca="1">CF63</f>
        <v>28123.302309909086</v>
      </c>
      <c r="DE63" s="1183" t="s">
        <v>226</v>
      </c>
      <c r="DF63" s="1183"/>
      <c r="DG63" s="1184" t="s">
        <v>522</v>
      </c>
      <c r="DH63" s="1160"/>
      <c r="DI63" s="1160"/>
      <c r="DJ63" s="1160"/>
      <c r="DK63" s="1191" t="s">
        <v>1066</v>
      </c>
      <c r="DL63" s="1245">
        <f ca="1">IF(AND(CokingRefineryPFD!E49=TRUE,CokingRefineryPFD!E50=TRUE),DL64,IF(CokingRefineryPFD!E50=TRUE,DL66,0))</f>
        <v>0</v>
      </c>
      <c r="DM63" s="1160"/>
      <c r="DN63" s="1160"/>
      <c r="DO63" s="1160"/>
      <c r="DP63" s="1160"/>
      <c r="DQ63" s="1160"/>
      <c r="DR63" s="1160"/>
      <c r="DS63" s="1160"/>
      <c r="DT63" s="1160"/>
      <c r="DU63" s="1160"/>
      <c r="DV63" s="1195"/>
      <c r="DW63" s="1160"/>
      <c r="DX63" s="1160"/>
      <c r="DY63" s="1160"/>
      <c r="DZ63" s="1160"/>
      <c r="EA63" s="1160"/>
      <c r="EB63" s="1160"/>
    </row>
    <row r="64" spans="1:132" ht="15" x14ac:dyDescent="0.25">
      <c r="A64" s="1160"/>
      <c r="B64" s="1172"/>
      <c r="C64" s="1201"/>
      <c r="D64" s="1201"/>
      <c r="E64" s="1203"/>
      <c r="F64" s="1203"/>
      <c r="G64" s="1203"/>
      <c r="H64" s="1107"/>
      <c r="I64" s="1107"/>
      <c r="J64" s="1107"/>
      <c r="K64" s="1107"/>
      <c r="L64" s="1150"/>
      <c r="M64" s="1170"/>
      <c r="N64" s="1170"/>
      <c r="O64" s="1170"/>
      <c r="P64" s="1170"/>
      <c r="Q64" s="1170"/>
      <c r="R64" s="1170"/>
      <c r="S64" s="1170"/>
      <c r="T64" s="1170"/>
      <c r="U64" s="1170"/>
      <c r="V64" s="1170"/>
      <c r="W64" s="1170"/>
      <c r="X64" s="1170"/>
      <c r="Y64" s="1186" t="str">
        <f>CokingRefineryCalcs!C52</f>
        <v xml:space="preserve">API gravity </v>
      </c>
      <c r="Z64" s="1170"/>
      <c r="AA64" s="1170">
        <f ca="1">CokingRefineryCalcs!H52</f>
        <v>36.171645059781241</v>
      </c>
      <c r="AB64" s="1170"/>
      <c r="AC64" s="1170" t="s">
        <v>541</v>
      </c>
      <c r="AD64" s="1170"/>
      <c r="AE64" s="1187">
        <f ca="1">(U115+W53)*$AE$65</f>
        <v>0</v>
      </c>
      <c r="AF64" s="1170"/>
      <c r="AG64" s="1170"/>
      <c r="AH64" s="1170"/>
      <c r="AI64" s="1170"/>
      <c r="AJ64" s="1170"/>
      <c r="AK64" s="1170"/>
      <c r="AL64" s="1170"/>
      <c r="AM64" s="1170"/>
      <c r="AN64" s="1170"/>
      <c r="AO64" s="1170"/>
      <c r="AP64" s="1170"/>
      <c r="AQ64" s="1170"/>
      <c r="AR64" s="1170"/>
      <c r="AS64" s="1170"/>
      <c r="AT64" s="1170"/>
      <c r="AU64" s="1170"/>
      <c r="AV64" s="1170"/>
      <c r="AW64" s="1170"/>
      <c r="AX64" s="1170"/>
      <c r="AY64" s="1170"/>
      <c r="AZ64" s="1170"/>
      <c r="BA64" s="1170"/>
      <c r="BB64" s="1170"/>
      <c r="BC64" s="1170"/>
      <c r="BD64" s="1170"/>
      <c r="BE64" s="1186" t="str">
        <f>CokingRefineryCalcs!C263</f>
        <v>Hydrogen</v>
      </c>
      <c r="BF64" s="1170" t="str">
        <f ca="1">CokingRefineryCalcs!D263</f>
        <v>wt%</v>
      </c>
      <c r="BG64" s="1170">
        <f ca="1">CokingRefineryCalcs!H263</f>
        <v>15.052106605583376</v>
      </c>
      <c r="BH64" s="1170"/>
      <c r="BI64" s="1170"/>
      <c r="BJ64" s="1170"/>
      <c r="BK64" s="1170"/>
      <c r="BL64" s="1170"/>
      <c r="BM64" s="1170"/>
      <c r="BN64" s="1186" t="str">
        <f>CokingRefineryCalcs!C257</f>
        <v>Vol Flow</v>
      </c>
      <c r="BO64" s="1170" t="str">
        <f ca="1">CokingRefineryCalcs!D257</f>
        <v>m^3/d</v>
      </c>
      <c r="BP64" s="1170">
        <f ca="1">CokingRefineryCalcs!G257</f>
        <v>4405.815005219094</v>
      </c>
      <c r="BQ64" s="1170"/>
      <c r="BR64" s="1170"/>
      <c r="BS64" s="1170"/>
      <c r="BT64" s="1170"/>
      <c r="BU64" s="1170"/>
      <c r="BV64" s="1170"/>
      <c r="BW64" s="1170"/>
      <c r="BX64" s="1170"/>
      <c r="BY64" s="1170"/>
      <c r="BZ64" s="1170"/>
      <c r="CA64" s="1170"/>
      <c r="CB64" s="1170"/>
      <c r="CC64" s="1170"/>
      <c r="CD64" s="1186" t="str">
        <f>CokingRefineryCalcs!C301</f>
        <v>Vol Flow</v>
      </c>
      <c r="CE64" s="1170" t="str">
        <f>CokingRefineryCalcs!D301</f>
        <v>m^3/d</v>
      </c>
      <c r="CF64" s="1170">
        <f ca="1">CokingRefineryCalcs!F301</f>
        <v>4471.247901336209</v>
      </c>
      <c r="CG64" s="1170"/>
      <c r="CH64" s="1170"/>
      <c r="CI64" s="1170"/>
      <c r="CJ64" s="1170"/>
      <c r="CK64" s="1170"/>
      <c r="CL64" s="1170"/>
      <c r="CM64" s="1170"/>
      <c r="CN64" s="1170"/>
      <c r="CO64" s="1170"/>
      <c r="CP64" s="1170"/>
      <c r="CQ64" s="1170"/>
      <c r="CR64" s="1170"/>
      <c r="CS64" s="1170"/>
      <c r="CT64" s="1170"/>
      <c r="CU64" s="1170"/>
      <c r="CV64" s="1170"/>
      <c r="CW64" s="1170"/>
      <c r="CX64" s="1170"/>
      <c r="CY64" s="1160"/>
      <c r="CZ64" s="1160"/>
      <c r="DA64" s="1160"/>
      <c r="DB64" s="1186" t="str">
        <f t="shared" si="0"/>
        <v>Vol Flow</v>
      </c>
      <c r="DC64" s="1170" t="str">
        <f>CE64</f>
        <v>m^3/d</v>
      </c>
      <c r="DD64" s="1170">
        <f ca="1">CF64</f>
        <v>4471.247901336209</v>
      </c>
      <c r="DE64" s="1170" t="s">
        <v>263</v>
      </c>
      <c r="DF64" s="1170"/>
      <c r="DG64" s="1187">
        <f ca="1">BP76</f>
        <v>232380340.50842014</v>
      </c>
      <c r="DH64" s="1160"/>
      <c r="DI64" s="1160"/>
      <c r="DJ64" s="1160"/>
      <c r="DK64" s="1191" t="s">
        <v>1065</v>
      </c>
      <c r="DL64" s="1245">
        <f ca="1">BP41/(CF19+BX53+BP41)</f>
        <v>0</v>
      </c>
      <c r="DM64" s="1160"/>
      <c r="DN64" s="1160"/>
      <c r="DO64" s="1160"/>
      <c r="DP64" s="1160"/>
      <c r="DQ64" s="1160"/>
      <c r="DR64" s="1160"/>
      <c r="DS64" s="1160"/>
      <c r="DT64" s="1160"/>
      <c r="DU64" s="1160"/>
      <c r="DV64" s="1160"/>
      <c r="DW64" s="1160"/>
      <c r="DX64" s="1160"/>
      <c r="DY64" s="1160"/>
      <c r="DZ64" s="1160"/>
      <c r="EA64" s="1160"/>
      <c r="EB64" s="1160"/>
    </row>
    <row r="65" spans="1:132" ht="15" x14ac:dyDescent="0.25">
      <c r="A65" s="1160"/>
      <c r="B65" s="1172"/>
      <c r="C65" s="1241" t="s">
        <v>1349</v>
      </c>
      <c r="D65" s="1201"/>
      <c r="E65" s="1203"/>
      <c r="F65" s="1203"/>
      <c r="G65" s="1203"/>
      <c r="H65" s="1107"/>
      <c r="I65" s="1107"/>
      <c r="J65" s="1107"/>
      <c r="K65" s="1107"/>
      <c r="L65" s="1150"/>
      <c r="M65" s="1170"/>
      <c r="N65" s="1170"/>
      <c r="O65" s="1170"/>
      <c r="P65" s="1170"/>
      <c r="Q65" s="1170"/>
      <c r="R65" s="1170"/>
      <c r="S65" s="1170"/>
      <c r="T65" s="1170"/>
      <c r="U65" s="1170"/>
      <c r="V65" s="1170"/>
      <c r="W65" s="1170"/>
      <c r="X65" s="1170"/>
      <c r="Y65" s="1186" t="str">
        <f>CokingRefineryCalcs!C53</f>
        <v>Density</v>
      </c>
      <c r="Z65" s="1170" t="str">
        <f ca="1">CokingRefineryCalcs!D53</f>
        <v>kg/m^3</v>
      </c>
      <c r="AA65" s="1170">
        <f ca="1">CokingRefineryCalcs!H53</f>
        <v>843.91132412132015</v>
      </c>
      <c r="AB65" s="1170"/>
      <c r="AC65" s="1180" t="s">
        <v>1065</v>
      </c>
      <c r="AD65" s="1170"/>
      <c r="AE65" s="1170">
        <f ca="1">IF(CokingRefineryConfig=0,IF(E46=TRUE,IF(E47=TRUE,AA70/(AA53+AA70+AA87+AA102+CokingRefineryPFD!AN293),AA70/(AA53+AA70+AA87+AA102+W140)),IF(E47=TRUE,AA70/(AA53+AA70+AA87+CokingRefineryPFD!AN293),AA70/(AA53+AA70+AA87+W140))),AA70/(AA53+AA70+AA87+AA102+W140))</f>
        <v>0.41599643318484303</v>
      </c>
      <c r="AF65" s="1170"/>
      <c r="AG65" s="1170"/>
      <c r="AH65" s="1170"/>
      <c r="AI65" s="1170"/>
      <c r="AJ65" s="1170"/>
      <c r="AK65" s="1170"/>
      <c r="AL65" s="1170"/>
      <c r="AM65" s="1170"/>
      <c r="AN65" s="1170"/>
      <c r="AO65" s="1170"/>
      <c r="AP65" s="1170"/>
      <c r="AQ65" s="1170"/>
      <c r="AR65" s="1170"/>
      <c r="AS65" s="1170"/>
      <c r="AT65" s="1170"/>
      <c r="AU65" s="1170"/>
      <c r="AV65" s="1170"/>
      <c r="AW65" s="1170"/>
      <c r="AX65" s="1170"/>
      <c r="AY65" s="1170"/>
      <c r="AZ65" s="1170"/>
      <c r="BA65" s="1170"/>
      <c r="BB65" s="1170"/>
      <c r="BC65" s="1170"/>
      <c r="BD65" s="1170"/>
      <c r="BE65" s="1170"/>
      <c r="BF65" s="1170"/>
      <c r="BG65" s="1170"/>
      <c r="BH65" s="1170"/>
      <c r="BI65" s="1170"/>
      <c r="BJ65" s="1170"/>
      <c r="BK65" s="1170"/>
      <c r="BL65" s="1170"/>
      <c r="BM65" s="1170"/>
      <c r="BN65" s="1186" t="str">
        <f>CokingRefineryCalcs!C258</f>
        <v>Mass Flow</v>
      </c>
      <c r="BO65" s="1170" t="str">
        <f>CokingRefineryCalcs!D258</f>
        <v>kg/d</v>
      </c>
      <c r="BP65" s="1170">
        <f ca="1">CokingRefineryCalcs!G258</f>
        <v>3612768.3042796571</v>
      </c>
      <c r="BQ65" s="1170"/>
      <c r="BR65" s="1170"/>
      <c r="BS65" s="1170"/>
      <c r="BT65" s="1170"/>
      <c r="BU65" s="1170"/>
      <c r="BV65" s="1170"/>
      <c r="BW65" s="1170"/>
      <c r="BX65" s="1170"/>
      <c r="BY65" s="1170"/>
      <c r="BZ65" s="1170"/>
      <c r="CA65" s="1170"/>
      <c r="CB65" s="1170"/>
      <c r="CC65" s="1170"/>
      <c r="CD65" s="1186" t="str">
        <f>CokingRefineryCalcs!C302</f>
        <v>Mass Flow</v>
      </c>
      <c r="CE65" s="1170" t="str">
        <f>CokingRefineryCalcs!D302</f>
        <v>kg/d</v>
      </c>
      <c r="CF65" s="1170">
        <f ca="1">CokingRefineryCalcs!F302</f>
        <v>3612768.3042796571</v>
      </c>
      <c r="CG65" s="1170"/>
      <c r="CH65" s="1170"/>
      <c r="CI65" s="1170"/>
      <c r="CJ65" s="1170"/>
      <c r="CK65" s="1170"/>
      <c r="CL65" s="1170"/>
      <c r="CM65" s="1170"/>
      <c r="CN65" s="1170"/>
      <c r="CO65" s="1170"/>
      <c r="CP65" s="1170"/>
      <c r="CQ65" s="1170"/>
      <c r="CR65" s="1170"/>
      <c r="CS65" s="1170"/>
      <c r="CT65" s="1170"/>
      <c r="CU65" s="1170"/>
      <c r="CV65" s="1170"/>
      <c r="CW65" s="1170"/>
      <c r="CX65" s="1170"/>
      <c r="CY65" s="1160"/>
      <c r="CZ65" s="1160"/>
      <c r="DA65" s="1160"/>
      <c r="DB65" s="1186" t="str">
        <f t="shared" si="0"/>
        <v>Mass Flow</v>
      </c>
      <c r="DC65" s="1170" t="str">
        <f>CE65</f>
        <v>kg/d</v>
      </c>
      <c r="DD65" s="1170">
        <f ca="1">CF65</f>
        <v>3612768.3042796571</v>
      </c>
      <c r="DE65" s="1170" t="s">
        <v>392</v>
      </c>
      <c r="DF65" s="1170"/>
      <c r="DG65" s="1187">
        <f ca="1">(BP77+BY71)</f>
        <v>317306.6027964176</v>
      </c>
      <c r="DH65" s="1160"/>
      <c r="DI65" s="1160"/>
      <c r="DJ65" s="1160"/>
      <c r="DK65" s="1208" t="s">
        <v>228</v>
      </c>
      <c r="DL65" s="1245">
        <f ca="1">BP33/BG37</f>
        <v>0.1</v>
      </c>
      <c r="DM65" s="1160"/>
      <c r="DN65" s="1160"/>
      <c r="DO65" s="1160"/>
      <c r="DP65" s="1160"/>
      <c r="DQ65" s="1160"/>
      <c r="DR65" s="1160"/>
      <c r="DS65" s="1160"/>
      <c r="DT65" s="1160"/>
      <c r="DU65" s="1160"/>
      <c r="DV65" s="1160"/>
      <c r="DW65" s="1160"/>
      <c r="DX65" s="1160"/>
      <c r="DY65" s="1160"/>
      <c r="DZ65" s="1160"/>
      <c r="EA65" s="1160"/>
      <c r="EB65" s="1160"/>
    </row>
    <row r="66" spans="1:132" ht="15" x14ac:dyDescent="0.25">
      <c r="A66" s="1160"/>
      <c r="B66" s="1172"/>
      <c r="C66" s="1244" t="s">
        <v>524</v>
      </c>
      <c r="D66" s="1201"/>
      <c r="E66" s="1203"/>
      <c r="F66" s="1203"/>
      <c r="G66" s="1203"/>
      <c r="H66" s="1107"/>
      <c r="I66" s="1107"/>
      <c r="J66" s="1107"/>
      <c r="K66" s="1107"/>
      <c r="L66" s="1150"/>
      <c r="M66" s="1170"/>
      <c r="N66" s="1170"/>
      <c r="O66" s="1170"/>
      <c r="P66" s="1170"/>
      <c r="Q66" s="1170"/>
      <c r="R66" s="1170"/>
      <c r="S66" s="1170"/>
      <c r="T66" s="1170"/>
      <c r="U66" s="1170"/>
      <c r="V66" s="1170"/>
      <c r="W66" s="1170"/>
      <c r="X66" s="1170"/>
      <c r="Y66" s="1186" t="str">
        <f>CokingRefineryCalcs!C54</f>
        <v>Hydrogen</v>
      </c>
      <c r="Z66" s="1170" t="str">
        <f ca="1">CokingRefineryCalcs!D54</f>
        <v>wt%</v>
      </c>
      <c r="AA66" s="1170">
        <f ca="1">CokingRefineryCalcs!H54</f>
        <v>12.638480433923533</v>
      </c>
      <c r="AB66" s="1170"/>
      <c r="AC66" s="1197" t="s">
        <v>228</v>
      </c>
      <c r="AD66" s="1170"/>
      <c r="AE66" s="1170">
        <f ca="1">IF(CokingRefineryConfig=0,IF(E46=TRUE,IF(E47=TRUE,AA62/U101,AA62/(U101-CokingRefineryPFD!AN285)),IF(E47=TRUE,AA62/(U101-AA94),AA62/(U101-AA94-CokingRefineryPFD!AN285))),AA62/U101)</f>
        <v>0.43063958632049248</v>
      </c>
      <c r="AF66" s="1170"/>
      <c r="AG66" s="1170"/>
      <c r="AH66" s="1170"/>
      <c r="AI66" s="1170"/>
      <c r="AJ66" s="1170"/>
      <c r="AK66" s="1170"/>
      <c r="AL66" s="1170"/>
      <c r="AM66" s="1170"/>
      <c r="AN66" s="1170"/>
      <c r="AO66" s="1170"/>
      <c r="AP66" s="1170"/>
      <c r="AQ66" s="1170"/>
      <c r="AR66" s="1170"/>
      <c r="AS66" s="1170"/>
      <c r="AT66" s="1170"/>
      <c r="AU66" s="1170"/>
      <c r="AV66" s="1170"/>
      <c r="AW66" s="1170"/>
      <c r="AX66" s="1170"/>
      <c r="AY66" s="1170"/>
      <c r="AZ66" s="1170"/>
      <c r="BA66" s="1170"/>
      <c r="BB66" s="1170"/>
      <c r="BC66" s="1170"/>
      <c r="BD66" s="1170"/>
      <c r="BE66" s="1186" t="s">
        <v>1698</v>
      </c>
      <c r="BF66" s="1199" t="s">
        <v>447</v>
      </c>
      <c r="BG66" s="1199">
        <f>'Energy &amp; Unit Conversions'!$Q$27</f>
        <v>46.898519302437805</v>
      </c>
      <c r="BH66" s="1170"/>
      <c r="BI66" s="1170"/>
      <c r="BJ66" s="1170"/>
      <c r="BK66" s="1170"/>
      <c r="BL66" s="1170"/>
      <c r="BM66" s="1170"/>
      <c r="BN66" s="1186" t="str">
        <f>CokingRefineryCalcs!C259</f>
        <v xml:space="preserve">Sulphur </v>
      </c>
      <c r="BO66" s="1170" t="str">
        <f ca="1">CokingRefineryCalcs!D259</f>
        <v>wt%</v>
      </c>
      <c r="BP66" s="1170">
        <f>CokingRefineryCalcs!G259</f>
        <v>1E-4</v>
      </c>
      <c r="BQ66" s="1170"/>
      <c r="BR66" s="1170"/>
      <c r="BS66" s="1170"/>
      <c r="BT66" s="1170"/>
      <c r="BU66" s="1170"/>
      <c r="BV66" s="1170"/>
      <c r="BW66" s="1170"/>
      <c r="BX66" s="1170"/>
      <c r="BY66" s="1170"/>
      <c r="BZ66" s="1170"/>
      <c r="CA66" s="1170"/>
      <c r="CB66" s="1170"/>
      <c r="CC66" s="1170"/>
      <c r="CD66" s="1186" t="str">
        <f>CokingRefineryCalcs!C303</f>
        <v>S</v>
      </c>
      <c r="CE66" s="1170" t="str">
        <f>CokingRefineryCalcs!D303</f>
        <v>wt%</v>
      </c>
      <c r="CF66" s="1170">
        <f>CokingRefineryCalcs!F303</f>
        <v>1E-4</v>
      </c>
      <c r="CG66" s="1170"/>
      <c r="CH66" s="1170"/>
      <c r="CI66" s="1170"/>
      <c r="CJ66" s="1170"/>
      <c r="CK66" s="1170"/>
      <c r="CL66" s="1170"/>
      <c r="CM66" s="1170"/>
      <c r="CN66" s="1170"/>
      <c r="CO66" s="1170"/>
      <c r="CP66" s="1170"/>
      <c r="CQ66" s="1170"/>
      <c r="CR66" s="1170"/>
      <c r="CS66" s="1170"/>
      <c r="CT66" s="1170"/>
      <c r="CU66" s="1170"/>
      <c r="CV66" s="1170"/>
      <c r="CW66" s="1170"/>
      <c r="CX66" s="1170"/>
      <c r="CY66" s="1160"/>
      <c r="CZ66" s="1160"/>
      <c r="DA66" s="1160"/>
      <c r="DB66" s="1186" t="str">
        <f t="shared" si="0"/>
        <v>S</v>
      </c>
      <c r="DC66" s="1170" t="str">
        <f>CE66</f>
        <v>wt%</v>
      </c>
      <c r="DD66" s="1170">
        <f t="shared" ref="DD66:DD69" si="1">CF66</f>
        <v>1E-4</v>
      </c>
      <c r="DE66" s="1170" t="s">
        <v>224</v>
      </c>
      <c r="DF66" s="1170"/>
      <c r="DG66" s="1187">
        <f ca="1">(BP78+BY72)</f>
        <v>6018924.6574679464</v>
      </c>
      <c r="DH66" s="1160"/>
      <c r="DI66" s="1160"/>
      <c r="DJ66" s="1160"/>
      <c r="DK66" s="1191" t="s">
        <v>1699</v>
      </c>
      <c r="DL66" s="1245">
        <f ca="1">BP41/(BX53+BP41)</f>
        <v>0</v>
      </c>
      <c r="DM66" s="1160" t="s">
        <v>622</v>
      </c>
      <c r="DN66" s="1160"/>
      <c r="DO66" s="1160"/>
      <c r="DP66" s="1160"/>
      <c r="DQ66" s="1160"/>
      <c r="DR66" s="1160"/>
      <c r="DS66" s="1160"/>
      <c r="DT66" s="1160"/>
      <c r="DU66" s="1160"/>
      <c r="DV66" s="1160"/>
      <c r="DW66" s="1160"/>
      <c r="DX66" s="1160"/>
      <c r="DY66" s="1160"/>
      <c r="DZ66" s="1160"/>
      <c r="EA66" s="1160"/>
      <c r="EB66" s="1160"/>
    </row>
    <row r="67" spans="1:132" ht="15" x14ac:dyDescent="0.25">
      <c r="A67" s="1160"/>
      <c r="B67" s="1172"/>
      <c r="C67" s="1244" t="s">
        <v>525</v>
      </c>
      <c r="D67" s="1201"/>
      <c r="E67" s="1203"/>
      <c r="F67" s="1203"/>
      <c r="G67" s="1203"/>
      <c r="H67" s="1107"/>
      <c r="I67" s="1107"/>
      <c r="J67" s="1107"/>
      <c r="K67" s="1107"/>
      <c r="L67" s="1150"/>
      <c r="M67" s="1170"/>
      <c r="N67" s="1170"/>
      <c r="O67" s="1170"/>
      <c r="P67" s="1170"/>
      <c r="Q67" s="1170"/>
      <c r="R67" s="1170"/>
      <c r="S67" s="1170"/>
      <c r="T67" s="1170"/>
      <c r="U67" s="1170"/>
      <c r="V67" s="1170"/>
      <c r="W67" s="1170"/>
      <c r="X67" s="1170"/>
      <c r="Y67" s="1186" t="str">
        <f>CokingRefineryCalcs!C55</f>
        <v>MCR</v>
      </c>
      <c r="Z67" s="1170" t="str">
        <f ca="1">CokingRefineryCalcs!D55</f>
        <v>wt%</v>
      </c>
      <c r="AA67" s="1170">
        <f>CokingRefineryCalcs!H55</f>
        <v>0</v>
      </c>
      <c r="AB67" s="1170"/>
      <c r="AC67" s="1170"/>
      <c r="AD67" s="1170"/>
      <c r="AE67" s="1170"/>
      <c r="AF67" s="1170"/>
      <c r="AG67" s="1170"/>
      <c r="AH67" s="1170"/>
      <c r="AI67" s="1170"/>
      <c r="AJ67" s="1170"/>
      <c r="AK67" s="1170"/>
      <c r="AL67" s="1170"/>
      <c r="AM67" s="1170"/>
      <c r="AN67" s="1170"/>
      <c r="AO67" s="1170"/>
      <c r="AP67" s="1170"/>
      <c r="AQ67" s="1170"/>
      <c r="AR67" s="1170"/>
      <c r="AS67" s="1170"/>
      <c r="AT67" s="1170"/>
      <c r="AU67" s="1170"/>
      <c r="AV67" s="1170"/>
      <c r="AW67" s="1170"/>
      <c r="AX67" s="1170"/>
      <c r="AY67" s="1170"/>
      <c r="AZ67" s="1170"/>
      <c r="BA67" s="1170"/>
      <c r="BB67" s="1170"/>
      <c r="BC67" s="1170"/>
      <c r="BD67" s="1170"/>
      <c r="BE67" s="1200" t="s">
        <v>1021</v>
      </c>
      <c r="BF67" s="1199" t="s">
        <v>1022</v>
      </c>
      <c r="BG67" s="1199">
        <f>Constants!G353</f>
        <v>33.957001686096191</v>
      </c>
      <c r="BH67" s="1170"/>
      <c r="BI67" s="1170"/>
      <c r="BJ67" s="1170"/>
      <c r="BK67" s="1170"/>
      <c r="BL67" s="1170"/>
      <c r="BM67" s="1170"/>
      <c r="BN67" s="1186" t="str">
        <f>CokingRefineryCalcs!C261</f>
        <v xml:space="preserve">API gravity </v>
      </c>
      <c r="BO67" s="1170"/>
      <c r="BP67" s="1170">
        <f>CokingRefineryCalcs!G261</f>
        <v>41.060975609756099</v>
      </c>
      <c r="BQ67" s="1170"/>
      <c r="BR67" s="1170"/>
      <c r="BS67" s="1170"/>
      <c r="BT67" s="1170"/>
      <c r="BU67" s="1170"/>
      <c r="BV67" s="1170"/>
      <c r="BW67" s="1170"/>
      <c r="BX67" s="1170"/>
      <c r="BY67" s="1170"/>
      <c r="BZ67" s="1170"/>
      <c r="CA67" s="1170"/>
      <c r="CB67" s="1170"/>
      <c r="CC67" s="1170"/>
      <c r="CD67" s="1186" t="str">
        <f>CokingRefineryCalcs!C304</f>
        <v>API</v>
      </c>
      <c r="CE67" s="1170"/>
      <c r="CF67" s="1170">
        <f>CokingRefineryCalcs!F304</f>
        <v>43.623762376237607</v>
      </c>
      <c r="CG67" s="1170"/>
      <c r="CH67" s="1170"/>
      <c r="CI67" s="1170"/>
      <c r="CJ67" s="1170"/>
      <c r="CK67" s="1181" t="str">
        <f>CokingRefineryCalcs!K313</f>
        <v>DHT Fuel Gas</v>
      </c>
      <c r="CL67" s="1170"/>
      <c r="CM67" s="1170"/>
      <c r="CN67" s="1170"/>
      <c r="CO67" s="1170"/>
      <c r="CP67" s="1170"/>
      <c r="CQ67" s="1170"/>
      <c r="CR67" s="1170"/>
      <c r="CS67" s="1170"/>
      <c r="CT67" s="1170"/>
      <c r="CU67" s="1170"/>
      <c r="CV67" s="1170"/>
      <c r="CW67" s="1170"/>
      <c r="CX67" s="1170"/>
      <c r="CY67" s="1160"/>
      <c r="CZ67" s="1160"/>
      <c r="DA67" s="1160"/>
      <c r="DB67" s="1186" t="str">
        <f t="shared" si="0"/>
        <v>API</v>
      </c>
      <c r="DC67" s="1170"/>
      <c r="DD67" s="1170">
        <f t="shared" si="1"/>
        <v>43.623762376237607</v>
      </c>
      <c r="DE67" s="1170" t="s">
        <v>485</v>
      </c>
      <c r="DF67" s="1170"/>
      <c r="DG67" s="1187">
        <f ca="1">(BP79+BY73)</f>
        <v>635810.16625919892</v>
      </c>
      <c r="DH67" s="1160"/>
      <c r="DI67" s="1160"/>
      <c r="DJ67" s="1160"/>
      <c r="DK67" s="1171"/>
      <c r="DL67" s="1160"/>
      <c r="DM67" s="1160"/>
      <c r="DN67" s="1160"/>
      <c r="DO67" s="1160"/>
      <c r="DP67" s="1160"/>
      <c r="DQ67" s="1160"/>
      <c r="DR67" s="1160"/>
      <c r="DS67" s="1160"/>
      <c r="DT67" s="1160"/>
      <c r="DU67" s="1160"/>
      <c r="DV67" s="1160"/>
      <c r="DW67" s="1160"/>
      <c r="DX67" s="1160"/>
      <c r="DY67" s="1160"/>
      <c r="DZ67" s="1160"/>
      <c r="EA67" s="1160"/>
      <c r="EB67" s="1160"/>
    </row>
    <row r="68" spans="1:132" ht="15" x14ac:dyDescent="0.25">
      <c r="A68" s="1160"/>
      <c r="B68" s="1172"/>
      <c r="C68" s="1244" t="s">
        <v>528</v>
      </c>
      <c r="D68" s="1201"/>
      <c r="E68" s="1203"/>
      <c r="F68" s="1203"/>
      <c r="G68" s="1203"/>
      <c r="H68" s="1107"/>
      <c r="I68" s="1107"/>
      <c r="J68" s="1107"/>
      <c r="K68" s="1107"/>
      <c r="L68" s="1150"/>
      <c r="M68" s="1170"/>
      <c r="N68" s="1170"/>
      <c r="O68" s="1170"/>
      <c r="P68" s="1170"/>
      <c r="Q68" s="1170"/>
      <c r="R68" s="1170"/>
      <c r="S68" s="1170"/>
      <c r="T68" s="1170"/>
      <c r="U68" s="1170"/>
      <c r="V68" s="1170"/>
      <c r="W68" s="1170"/>
      <c r="X68" s="1170"/>
      <c r="Y68" s="1200" t="s">
        <v>1056</v>
      </c>
      <c r="Z68" s="1199" t="s">
        <v>447</v>
      </c>
      <c r="AA68" s="1199">
        <f ca="1">('Energy &amp; Unit Conversions'!$D$63-('Energy &amp; Unit Conversions'!$E$63*POWER((CokingRefineryPFD!AA65/'Energy &amp; Unit Conversions'!$E$54),2)))</f>
        <v>41.041312135170998</v>
      </c>
      <c r="AB68" s="1170"/>
      <c r="AC68" s="1170"/>
      <c r="AD68" s="1170"/>
      <c r="AE68" s="1170"/>
      <c r="AF68" s="1170"/>
      <c r="AG68" s="1170"/>
      <c r="AH68" s="1170"/>
      <c r="AI68" s="1170"/>
      <c r="AJ68" s="1170"/>
      <c r="AK68" s="1170"/>
      <c r="AL68" s="1170"/>
      <c r="AM68" s="1170"/>
      <c r="AN68" s="1170"/>
      <c r="AO68" s="1170"/>
      <c r="AP68" s="1170"/>
      <c r="AQ68" s="1170"/>
      <c r="AR68" s="1170"/>
      <c r="AS68" s="1170"/>
      <c r="AT68" s="1170"/>
      <c r="AU68" s="1170"/>
      <c r="AV68" s="1170"/>
      <c r="AW68" s="1170"/>
      <c r="AX68" s="1170"/>
      <c r="AY68" s="1170"/>
      <c r="AZ68" s="1170"/>
      <c r="BA68" s="1170"/>
      <c r="BB68" s="1170"/>
      <c r="BC68" s="1170"/>
      <c r="BD68" s="1170"/>
      <c r="BE68" s="1204" t="s">
        <v>1054</v>
      </c>
      <c r="BF68" s="1204" t="str">
        <f>IF(allocationMethod=1,$C$21,IF(allocationMethod=2,$C$22,IF(allocationMethod=3,$C$23,$C$24)))</f>
        <v>Hydrogen Content Basis</v>
      </c>
      <c r="BG68" s="1204">
        <f ca="1">CokingRefineryCalcs!R1450</f>
        <v>0</v>
      </c>
      <c r="BH68" s="1170"/>
      <c r="BI68" s="1170"/>
      <c r="BJ68" s="1184" t="str">
        <f>'CokingRefinery Detailed Results'!C15</f>
        <v>Kerosene Hydrotreater</v>
      </c>
      <c r="BK68" s="1170"/>
      <c r="BL68" s="1170"/>
      <c r="BM68" s="1170"/>
      <c r="BN68" s="1186" t="str">
        <f>CokingRefineryCalcs!C262</f>
        <v>Density</v>
      </c>
      <c r="BO68" s="1170" t="str">
        <f ca="1">CokingRefineryCalcs!D262</f>
        <v>kg/m^3</v>
      </c>
      <c r="BP68" s="1170">
        <f>CokingRefineryCalcs!G262</f>
        <v>820</v>
      </c>
      <c r="BQ68" s="1170"/>
      <c r="BR68" s="1170"/>
      <c r="BS68" s="1170"/>
      <c r="BT68" s="1170"/>
      <c r="BU68" s="1170"/>
      <c r="BV68" s="1170"/>
      <c r="BW68" s="1170"/>
      <c r="BX68" s="1170"/>
      <c r="BY68" s="1170"/>
      <c r="BZ68" s="1170"/>
      <c r="CA68" s="1170"/>
      <c r="CB68" s="1170"/>
      <c r="CC68" s="1170"/>
      <c r="CD68" s="1186" t="str">
        <f>CokingRefineryCalcs!C305</f>
        <v>Density</v>
      </c>
      <c r="CE68" s="1170" t="str">
        <f>CokingRefineryCalcs!D305</f>
        <v>kg/m^3</v>
      </c>
      <c r="CF68" s="1170">
        <f>CokingRefineryCalcs!F305</f>
        <v>808</v>
      </c>
      <c r="CG68" s="1170"/>
      <c r="CH68" s="1170"/>
      <c r="CI68" s="1170"/>
      <c r="CJ68" s="1170"/>
      <c r="CK68" s="1182" t="str">
        <f>CokingRefineryCalcs!C313</f>
        <v>Property</v>
      </c>
      <c r="CL68" s="1182" t="str">
        <f>CokingRefineryCalcs!D313</f>
        <v>Units</v>
      </c>
      <c r="CM68" s="1181"/>
      <c r="CN68" s="1170"/>
      <c r="CO68" s="1170"/>
      <c r="CP68" s="1170"/>
      <c r="CQ68" s="1170"/>
      <c r="CR68" s="1170"/>
      <c r="CS68" s="1170"/>
      <c r="CT68" s="1170"/>
      <c r="CU68" s="1170"/>
      <c r="CV68" s="1170"/>
      <c r="CW68" s="1170"/>
      <c r="CX68" s="1170"/>
      <c r="CY68" s="1160"/>
      <c r="CZ68" s="1160"/>
      <c r="DA68" s="1160"/>
      <c r="DB68" s="1186" t="str">
        <f t="shared" si="0"/>
        <v>Density</v>
      </c>
      <c r="DC68" s="1170" t="str">
        <f>CE68</f>
        <v>kg/m^3</v>
      </c>
      <c r="DD68" s="1170">
        <f t="shared" si="1"/>
        <v>808</v>
      </c>
      <c r="DE68" s="1170" t="s">
        <v>541</v>
      </c>
      <c r="DF68" s="1170"/>
      <c r="DG68" s="1187">
        <f ca="1">(BP80+BY74)</f>
        <v>2030267.5728452108</v>
      </c>
      <c r="DH68" s="1160"/>
      <c r="DI68" s="1160"/>
      <c r="DJ68" s="1160"/>
      <c r="DK68" s="1191" t="str">
        <f>BN7</f>
        <v>Isom Fuel Gas</v>
      </c>
      <c r="DL68" s="1171">
        <f ca="1">CokingRefineryCalcs!E988</f>
        <v>8544.5148145949242</v>
      </c>
      <c r="DM68" s="1160"/>
      <c r="DN68" s="1160"/>
      <c r="DO68" s="1160"/>
      <c r="DP68" s="1160"/>
      <c r="DQ68" s="1160"/>
      <c r="DR68" s="1160"/>
      <c r="DS68" s="1160"/>
      <c r="DT68" s="1160"/>
      <c r="DU68" s="1160"/>
      <c r="DV68" s="1160"/>
      <c r="DW68" s="1160"/>
      <c r="DX68" s="1160"/>
      <c r="DY68" s="1160"/>
      <c r="DZ68" s="1160"/>
      <c r="EA68" s="1160"/>
      <c r="EB68" s="1160"/>
    </row>
    <row r="69" spans="1:132" ht="15" x14ac:dyDescent="0.25">
      <c r="A69" s="1160"/>
      <c r="B69" s="1172"/>
      <c r="C69" s="1244" t="s">
        <v>533</v>
      </c>
      <c r="D69" s="1201"/>
      <c r="E69" s="1203"/>
      <c r="F69" s="1203"/>
      <c r="G69" s="1203"/>
      <c r="H69" s="1107"/>
      <c r="I69" s="1107"/>
      <c r="J69" s="1107"/>
      <c r="K69" s="1107"/>
      <c r="L69" s="1150"/>
      <c r="M69" s="1170"/>
      <c r="N69" s="1170"/>
      <c r="O69" s="1170"/>
      <c r="P69" s="1170"/>
      <c r="Q69" s="1170"/>
      <c r="R69" s="1170"/>
      <c r="S69" s="1170"/>
      <c r="T69" s="1170"/>
      <c r="U69" s="1170"/>
      <c r="V69" s="1170"/>
      <c r="W69" s="1170"/>
      <c r="X69" s="1170"/>
      <c r="Y69" s="1200" t="s">
        <v>1021</v>
      </c>
      <c r="Z69" s="1199" t="s">
        <v>1022</v>
      </c>
      <c r="AA69" s="1199">
        <f>Constants!G338</f>
        <v>70.47</v>
      </c>
      <c r="AB69" s="1170"/>
      <c r="AC69" s="1170"/>
      <c r="AD69" s="1170"/>
      <c r="AE69" s="1170"/>
      <c r="AF69" s="1170"/>
      <c r="AG69" s="1170"/>
      <c r="AH69" s="1170"/>
      <c r="AI69" s="1170"/>
      <c r="AJ69" s="1170"/>
      <c r="AK69" s="1170"/>
      <c r="AL69" s="1170"/>
      <c r="AM69" s="1170"/>
      <c r="AN69" s="1170"/>
      <c r="AO69" s="1170"/>
      <c r="AP69" s="1170"/>
      <c r="AQ69" s="1170"/>
      <c r="AR69" s="1170"/>
      <c r="AS69" s="1170"/>
      <c r="AT69" s="1170"/>
      <c r="AU69" s="1170"/>
      <c r="AV69" s="1170"/>
      <c r="AW69" s="1170"/>
      <c r="AX69" s="1170"/>
      <c r="AY69" s="1170"/>
      <c r="AZ69" s="1170"/>
      <c r="BA69" s="1170"/>
      <c r="BB69" s="1170"/>
      <c r="BC69" s="1170"/>
      <c r="BD69" s="1170"/>
      <c r="BE69" s="1170"/>
      <c r="BF69" s="1170"/>
      <c r="BG69" s="1170"/>
      <c r="BH69" s="1170"/>
      <c r="BI69" s="1170"/>
      <c r="BJ69" s="1184" t="s">
        <v>225</v>
      </c>
      <c r="BK69" s="1170"/>
      <c r="BL69" s="1227" t="s">
        <v>522</v>
      </c>
      <c r="BM69" s="1187"/>
      <c r="BN69" s="1186" t="str">
        <f>CokingRefineryCalcs!C263</f>
        <v>Hydrogen</v>
      </c>
      <c r="BO69" s="1170" t="str">
        <f ca="1">CokingRefineryCalcs!D263</f>
        <v>wt%</v>
      </c>
      <c r="BP69" s="1170">
        <f ca="1">CokingRefineryCalcs!G263</f>
        <v>12.999999999999</v>
      </c>
      <c r="BQ69" s="1170"/>
      <c r="BR69" s="1170"/>
      <c r="BS69" s="1170"/>
      <c r="BT69" s="1170"/>
      <c r="BU69" s="1170"/>
      <c r="BV69" s="1170"/>
      <c r="BW69" s="1184" t="str">
        <f>'CokingRefinery Detailed Results'!C16</f>
        <v>Kerosene Merox Unit</v>
      </c>
      <c r="BX69" s="1170"/>
      <c r="BY69" s="1170"/>
      <c r="BZ69" s="1170"/>
      <c r="CA69" s="1170"/>
      <c r="CB69" s="1170"/>
      <c r="CC69" s="1170"/>
      <c r="CD69" s="1186" t="str">
        <f>CokingRefineryCalcs!C306</f>
        <v>H</v>
      </c>
      <c r="CE69" s="1170" t="str">
        <f>CokingRefineryCalcs!D306</f>
        <v>wt%</v>
      </c>
      <c r="CF69" s="1170">
        <f>CokingRefineryCalcs!F306</f>
        <v>13.8</v>
      </c>
      <c r="CG69" s="1170"/>
      <c r="CH69" s="1170"/>
      <c r="CI69" s="1170"/>
      <c r="CJ69" s="1170"/>
      <c r="CK69" s="1186" t="str">
        <f>CokingRefineryCalcs!C314</f>
        <v>Vol Flow</v>
      </c>
      <c r="CL69" s="1170" t="str">
        <f ca="1">CokingRefineryCalcs!D314</f>
        <v>bpd</v>
      </c>
      <c r="CM69" s="1187">
        <f ca="1">CM70/'Energy &amp; Unit Conversions'!$G$80</f>
        <v>46171.600400074771</v>
      </c>
      <c r="CN69" s="1170"/>
      <c r="CO69" s="1170"/>
      <c r="CP69" s="1170"/>
      <c r="CQ69" s="1170"/>
      <c r="CR69" s="1170"/>
      <c r="CS69" s="1170"/>
      <c r="CT69" s="1170"/>
      <c r="CU69" s="1170"/>
      <c r="CV69" s="1170"/>
      <c r="CW69" s="1170"/>
      <c r="CX69" s="1170"/>
      <c r="CY69" s="1160"/>
      <c r="CZ69" s="1160"/>
      <c r="DA69" s="1160"/>
      <c r="DB69" s="1186" t="str">
        <f t="shared" si="0"/>
        <v>H</v>
      </c>
      <c r="DC69" s="1170" t="str">
        <f>CE69</f>
        <v>wt%</v>
      </c>
      <c r="DD69" s="1170">
        <f t="shared" si="1"/>
        <v>13.8</v>
      </c>
      <c r="DE69" s="1180"/>
      <c r="DF69" s="1180"/>
      <c r="DG69" s="1170"/>
      <c r="DH69" s="1160"/>
      <c r="DI69" s="1160"/>
      <c r="DJ69" s="1160"/>
      <c r="DK69" s="1193" t="s">
        <v>226</v>
      </c>
      <c r="DL69" s="1243" t="s">
        <v>522</v>
      </c>
      <c r="DM69" s="1160"/>
      <c r="DN69" s="1160"/>
      <c r="DO69" s="1160"/>
      <c r="DP69" s="1160"/>
      <c r="DQ69" s="1160"/>
      <c r="DR69" s="1160"/>
      <c r="DS69" s="1160"/>
      <c r="DT69" s="1160"/>
      <c r="DU69" s="1160"/>
      <c r="DV69" s="1160"/>
      <c r="DW69" s="1160"/>
      <c r="DX69" s="1160"/>
      <c r="DY69" s="1160"/>
      <c r="DZ69" s="1160"/>
      <c r="EA69" s="1160"/>
      <c r="EB69" s="1160"/>
    </row>
    <row r="70" spans="1:132" ht="15" x14ac:dyDescent="0.25">
      <c r="A70" s="1160"/>
      <c r="B70" s="1172"/>
      <c r="C70" s="1244" t="s">
        <v>529</v>
      </c>
      <c r="D70" s="1201"/>
      <c r="E70" s="1203"/>
      <c r="F70" s="1203"/>
      <c r="G70" s="1203"/>
      <c r="H70" s="1107"/>
      <c r="I70" s="1107"/>
      <c r="J70" s="1107"/>
      <c r="K70" s="1107"/>
      <c r="L70" s="1150"/>
      <c r="M70" s="1170"/>
      <c r="N70" s="1170"/>
      <c r="O70" s="1170"/>
      <c r="P70" s="1170"/>
      <c r="Q70" s="1170"/>
      <c r="R70" s="1170"/>
      <c r="S70" s="1170"/>
      <c r="T70" s="1170"/>
      <c r="U70" s="1170"/>
      <c r="V70" s="1170"/>
      <c r="W70" s="1170"/>
      <c r="X70" s="1170"/>
      <c r="Y70" s="1204" t="s">
        <v>1054</v>
      </c>
      <c r="Z70" s="1204" t="str">
        <f>IF(allocationMethod=1,$C$21,IF(allocationMethod=2,$C$22,IF(allocationMethod=3,$C$23,$C$24)))</f>
        <v>Hydrogen Content Basis</v>
      </c>
      <c r="AA70" s="1204">
        <f ca="1">IF(allocationMethod=1,AA62,IF(allocationMethod=2,AA68*AA62,IF(allocationMethod=3,AA69*AA60,AA66*AA62/100)))</f>
        <v>455901.2027951529</v>
      </c>
      <c r="AB70" s="1170"/>
      <c r="AC70" s="1170">
        <f ca="1">AA65/1000/'Energy &amp; Unit Conversions'!J93</f>
        <v>0.84474339636674145</v>
      </c>
      <c r="AD70" s="1170"/>
      <c r="AE70" s="1170"/>
      <c r="AF70" s="1170"/>
      <c r="AG70" s="1170"/>
      <c r="AH70" s="1170"/>
      <c r="AI70" s="1170"/>
      <c r="AJ70" s="1170"/>
      <c r="AK70" s="1170"/>
      <c r="AL70" s="1170"/>
      <c r="AM70" s="1170"/>
      <c r="AN70" s="1170"/>
      <c r="AO70" s="1170"/>
      <c r="AP70" s="1170"/>
      <c r="AQ70" s="1170"/>
      <c r="AR70" s="1170"/>
      <c r="AS70" s="1170"/>
      <c r="AT70" s="1170"/>
      <c r="AU70" s="1170"/>
      <c r="AV70" s="1170"/>
      <c r="AW70" s="1170"/>
      <c r="AX70" s="1170"/>
      <c r="AY70" s="1170"/>
      <c r="AZ70" s="1170"/>
      <c r="BA70" s="1170"/>
      <c r="BB70" s="1170"/>
      <c r="BC70" s="1170"/>
      <c r="BD70" s="1170"/>
      <c r="BE70" s="1170"/>
      <c r="BF70" s="1170"/>
      <c r="BG70" s="1170"/>
      <c r="BH70" s="1170"/>
      <c r="BI70" s="1170"/>
      <c r="BJ70" s="1170" t="s">
        <v>392</v>
      </c>
      <c r="BK70" s="1170"/>
      <c r="BL70" s="1187">
        <f ca="1">'CokingRefinery Detailed Results'!F15+IF(AND($EB$144+$EB$161=0,E51=FALSE),'CokingRefinery Detailed Results'!F30*CokingRefineryCalcs!$U$980,0)</f>
        <v>291733.77795513475</v>
      </c>
      <c r="BM70" s="1187"/>
      <c r="BN70" s="1186" t="str">
        <f>CokingRefineryCalcs!C264</f>
        <v>MCR</v>
      </c>
      <c r="BO70" s="1170" t="str">
        <f ca="1">CokingRefineryCalcs!D264</f>
        <v>wt%</v>
      </c>
      <c r="BP70" s="1170">
        <f ca="1">TempSheet!G4</f>
        <v>12.67095046309065</v>
      </c>
      <c r="BQ70" s="1170"/>
      <c r="BR70" s="1170"/>
      <c r="BS70" s="1170"/>
      <c r="BT70" s="1170"/>
      <c r="BU70" s="1170"/>
      <c r="BV70" s="1170"/>
      <c r="BW70" s="1184" t="s">
        <v>225</v>
      </c>
      <c r="BX70" s="1170"/>
      <c r="BY70" s="1184" t="s">
        <v>522</v>
      </c>
      <c r="BZ70" s="1170"/>
      <c r="CA70" s="1170"/>
      <c r="CB70" s="1170"/>
      <c r="CC70" s="1170"/>
      <c r="CD70" s="1186" t="str">
        <f>CokingRefineryCalcs!C307</f>
        <v>MCR</v>
      </c>
      <c r="CE70" s="1170" t="str">
        <f>CokingRefineryCalcs!D307</f>
        <v>wt%</v>
      </c>
      <c r="CF70" s="1170" t="str">
        <f ca="1">CokingRefineryCalcs!F307</f>
        <v/>
      </c>
      <c r="CG70" s="1170"/>
      <c r="CH70" s="1170"/>
      <c r="CI70" s="1170"/>
      <c r="CJ70" s="1170"/>
      <c r="CK70" s="1186" t="str">
        <f>CokingRefineryCalcs!C315</f>
        <v>Vol Flow</v>
      </c>
      <c r="CL70" s="1170" t="str">
        <f ca="1">CokingRefineryCalcs!D315</f>
        <v>m^3/d</v>
      </c>
      <c r="CM70" s="1187">
        <f ca="1">CM71*CM74</f>
        <v>7340.698084286807</v>
      </c>
      <c r="CN70" s="1170"/>
      <c r="CO70" s="1170"/>
      <c r="CP70" s="1170"/>
      <c r="CQ70" s="1170"/>
      <c r="CR70" s="1170"/>
      <c r="CS70" s="1170"/>
      <c r="CT70" s="1170"/>
      <c r="CU70" s="1170"/>
      <c r="CV70" s="1170"/>
      <c r="CW70" s="1170"/>
      <c r="CX70" s="1170"/>
      <c r="CY70" s="1160"/>
      <c r="CZ70" s="1160"/>
      <c r="DA70" s="1160"/>
      <c r="DB70" s="1186" t="str">
        <f t="shared" si="0"/>
        <v>MCR</v>
      </c>
      <c r="DC70" s="1170" t="str">
        <f>CE70</f>
        <v>wt%</v>
      </c>
      <c r="DD70" s="1170" t="str">
        <f ca="1">CF70</f>
        <v/>
      </c>
      <c r="DE70" s="1170"/>
      <c r="DF70" s="1170"/>
      <c r="DG70" s="1196"/>
      <c r="DH70" s="1160"/>
      <c r="DI70" s="1160"/>
      <c r="DJ70" s="1160"/>
      <c r="DK70" s="1160" t="s">
        <v>263</v>
      </c>
      <c r="DL70" s="1171">
        <f ca="1">BK11*DL75</f>
        <v>0</v>
      </c>
      <c r="DM70" s="1160"/>
      <c r="DN70" s="1160"/>
      <c r="DO70" s="1160"/>
      <c r="DP70" s="1160"/>
      <c r="DQ70" s="1160"/>
      <c r="DR70" s="1160"/>
      <c r="DS70" s="1160"/>
      <c r="DT70" s="1160"/>
      <c r="DU70" s="1160"/>
      <c r="DV70" s="1160"/>
      <c r="DW70" s="1160"/>
      <c r="DX70" s="1160"/>
      <c r="DY70" s="1160"/>
      <c r="DZ70" s="1160"/>
      <c r="EA70" s="1160"/>
      <c r="EB70" s="1160"/>
    </row>
    <row r="71" spans="1:132" ht="15" x14ac:dyDescent="0.25">
      <c r="A71" s="1160"/>
      <c r="B71" s="1172"/>
      <c r="C71" s="1244" t="s">
        <v>532</v>
      </c>
      <c r="D71" s="1201"/>
      <c r="E71" s="1203"/>
      <c r="F71" s="1203"/>
      <c r="G71" s="1203"/>
      <c r="H71" s="1107"/>
      <c r="I71" s="1107"/>
      <c r="J71" s="1107"/>
      <c r="K71" s="1107"/>
      <c r="L71" s="1150"/>
      <c r="M71" s="1170"/>
      <c r="N71" s="1170"/>
      <c r="O71" s="1170"/>
      <c r="P71" s="1170"/>
      <c r="Q71" s="1170"/>
      <c r="R71" s="1170"/>
      <c r="S71" s="1170"/>
      <c r="T71" s="1170"/>
      <c r="U71" s="1170"/>
      <c r="V71" s="1170"/>
      <c r="W71" s="1170"/>
      <c r="X71" s="1170"/>
      <c r="Y71" s="1170"/>
      <c r="Z71" s="1170"/>
      <c r="AA71" s="1170"/>
      <c r="AB71" s="1170"/>
      <c r="AC71" s="1170"/>
      <c r="AD71" s="1170"/>
      <c r="AE71" s="1170"/>
      <c r="AF71" s="1170"/>
      <c r="AG71" s="1170"/>
      <c r="AH71" s="1170"/>
      <c r="AI71" s="1170"/>
      <c r="AJ71" s="1170"/>
      <c r="AK71" s="1170"/>
      <c r="AL71" s="1170"/>
      <c r="AM71" s="1170"/>
      <c r="AN71" s="1170"/>
      <c r="AO71" s="1170"/>
      <c r="AP71" s="1170"/>
      <c r="AQ71" s="1170"/>
      <c r="AR71" s="1170"/>
      <c r="AS71" s="1170"/>
      <c r="AT71" s="1170"/>
      <c r="AU71" s="1170"/>
      <c r="AV71" s="1170"/>
      <c r="AW71" s="1170"/>
      <c r="AX71" s="1170"/>
      <c r="AY71" s="1170"/>
      <c r="AZ71" s="1170"/>
      <c r="BA71" s="1170"/>
      <c r="BB71" s="1170"/>
      <c r="BC71" s="1170"/>
      <c r="BD71" s="1170"/>
      <c r="BE71" s="1170"/>
      <c r="BF71" s="1170"/>
      <c r="BG71" s="1170"/>
      <c r="BH71" s="1170"/>
      <c r="BI71" s="1170"/>
      <c r="BJ71" s="1170" t="s">
        <v>224</v>
      </c>
      <c r="BK71" s="1170"/>
      <c r="BL71" s="1187">
        <f ca="1">'CokingRefinery Detailed Results'!H15+IF(AND($EB$144+$EB$161=0,E51=FALSE),'CokingRefinery Detailed Results'!H30*CokingRefineryCalcs!$U$980,0)</f>
        <v>4266567.8091951925</v>
      </c>
      <c r="BM71" s="1187"/>
      <c r="BN71" s="1186" t="s">
        <v>1698</v>
      </c>
      <c r="BO71" s="1199" t="s">
        <v>447</v>
      </c>
      <c r="BP71" s="1199">
        <f>'Energy &amp; Unit Conversions'!$Q$27</f>
        <v>46.898519302437805</v>
      </c>
      <c r="BQ71" s="1170"/>
      <c r="BR71" s="1170"/>
      <c r="BS71" s="1170"/>
      <c r="BT71" s="1170"/>
      <c r="BU71" s="1170"/>
      <c r="BV71" s="1170"/>
      <c r="BW71" s="1170" t="s">
        <v>392</v>
      </c>
      <c r="BX71" s="1170"/>
      <c r="BY71" s="1187">
        <f ca="1">'CokingRefinery Detailed Results'!F16</f>
        <v>9976.2270437882398</v>
      </c>
      <c r="BZ71" s="1187"/>
      <c r="CA71" s="1170"/>
      <c r="CB71" s="1170"/>
      <c r="CC71" s="1170"/>
      <c r="CD71" s="1200" t="s">
        <v>1056</v>
      </c>
      <c r="CE71" s="1199" t="s">
        <v>447</v>
      </c>
      <c r="CF71" s="1199">
        <f>('Energy &amp; Unit Conversions'!$D$63-('Energy &amp; Unit Conversions'!$E$63*POWER((CokingRefineryPFD!CF68/'Energy &amp; Unit Conversions'!$E$54),2)))</f>
        <v>41.512112182719925</v>
      </c>
      <c r="CG71" s="1170"/>
      <c r="CH71" s="1170"/>
      <c r="CI71" s="1170"/>
      <c r="CJ71" s="1170"/>
      <c r="CK71" s="1186" t="str">
        <f>CokingRefineryCalcs!C316</f>
        <v>Mass Flow</v>
      </c>
      <c r="CL71" s="1170" t="str">
        <f>CokingRefineryCalcs!D316</f>
        <v>kg/d</v>
      </c>
      <c r="CM71" s="1170">
        <f ca="1">CokingRefineryCalcs!K316</f>
        <v>6337.361175245027</v>
      </c>
      <c r="CN71" s="1170"/>
      <c r="CO71" s="1170"/>
      <c r="CP71" s="1170"/>
      <c r="CQ71" s="1170"/>
      <c r="CR71" s="1170"/>
      <c r="CS71" s="1170"/>
      <c r="CT71" s="1170"/>
      <c r="CU71" s="1170"/>
      <c r="CV71" s="1170"/>
      <c r="CW71" s="1170"/>
      <c r="CX71" s="1170"/>
      <c r="CY71" s="1160"/>
      <c r="CZ71" s="1160"/>
      <c r="DA71" s="1160"/>
      <c r="DB71" s="1183" t="s">
        <v>1700</v>
      </c>
      <c r="DC71" s="1184" t="s">
        <v>447</v>
      </c>
      <c r="DD71" s="1170">
        <f>('Energy &amp; Unit Conversions'!$D$63-('Energy &amp; Unit Conversions'!$E$63*POWER((CokingRefineryPFD!DD68/'Energy &amp; Unit Conversions'!$E$54),2)))</f>
        <v>41.512112182719925</v>
      </c>
      <c r="DE71" s="1170"/>
      <c r="DF71" s="1170"/>
      <c r="DG71" s="1170"/>
      <c r="DH71" s="1160"/>
      <c r="DI71" s="1160"/>
      <c r="DJ71" s="1160"/>
      <c r="DK71" s="1160" t="s">
        <v>392</v>
      </c>
      <c r="DL71" s="1171">
        <f ca="1">(BK12+BT22)*$DL$75</f>
        <v>0</v>
      </c>
      <c r="DM71" s="1160"/>
      <c r="DN71" s="1160"/>
      <c r="DO71" s="1160"/>
      <c r="DP71" s="1160"/>
      <c r="DQ71" s="1160"/>
      <c r="DR71" s="1160"/>
      <c r="DS71" s="1160"/>
      <c r="DT71" s="1160"/>
      <c r="DU71" s="1170"/>
      <c r="DV71" s="1160"/>
      <c r="DW71" s="1160"/>
      <c r="DX71" s="1160"/>
      <c r="DY71" s="1160"/>
      <c r="DZ71" s="1160"/>
      <c r="EA71" s="1160"/>
      <c r="EB71" s="1160"/>
    </row>
    <row r="72" spans="1:132" ht="15" x14ac:dyDescent="0.25">
      <c r="A72" s="1160"/>
      <c r="B72" s="1172"/>
      <c r="C72" s="1244" t="s">
        <v>453</v>
      </c>
      <c r="D72" s="1201"/>
      <c r="E72" s="1203"/>
      <c r="F72" s="1203"/>
      <c r="G72" s="1203"/>
      <c r="H72" s="1107"/>
      <c r="I72" s="1107"/>
      <c r="J72" s="1107"/>
      <c r="K72" s="1107"/>
      <c r="L72" s="1150"/>
      <c r="M72" s="1170"/>
      <c r="N72" s="1170"/>
      <c r="O72" s="1170"/>
      <c r="P72" s="1170"/>
      <c r="Q72" s="1170"/>
      <c r="R72" s="1170"/>
      <c r="S72" s="1170"/>
      <c r="T72" s="1170"/>
      <c r="U72" s="1170"/>
      <c r="V72" s="1170"/>
      <c r="W72" s="1170"/>
      <c r="X72" s="1170"/>
      <c r="Y72" s="1170"/>
      <c r="Z72" s="1170"/>
      <c r="AA72" s="1170"/>
      <c r="AB72" s="1170"/>
      <c r="AC72" s="1170"/>
      <c r="AD72" s="1170"/>
      <c r="AE72" s="1170"/>
      <c r="AF72" s="1170"/>
      <c r="AG72" s="1170"/>
      <c r="AH72" s="1170"/>
      <c r="AI72" s="1170"/>
      <c r="AJ72" s="1170"/>
      <c r="AK72" s="1170"/>
      <c r="AL72" s="1170"/>
      <c r="AM72" s="1170"/>
      <c r="AN72" s="1170"/>
      <c r="AO72" s="1170"/>
      <c r="AP72" s="1170"/>
      <c r="AQ72" s="1170"/>
      <c r="AR72" s="1170"/>
      <c r="AS72" s="1170"/>
      <c r="AT72" s="1170"/>
      <c r="AU72" s="1170"/>
      <c r="AV72" s="1170"/>
      <c r="AW72" s="1170"/>
      <c r="AX72" s="1170"/>
      <c r="AY72" s="1170"/>
      <c r="AZ72" s="1170"/>
      <c r="BA72" s="1170"/>
      <c r="BB72" s="1170"/>
      <c r="BC72" s="1170"/>
      <c r="BD72" s="1170"/>
      <c r="BE72" s="1170"/>
      <c r="BF72" s="1170"/>
      <c r="BG72" s="1170"/>
      <c r="BH72" s="1170"/>
      <c r="BI72" s="1170"/>
      <c r="BJ72" s="1170" t="s">
        <v>485</v>
      </c>
      <c r="BK72" s="1170"/>
      <c r="BL72" s="1187">
        <f ca="1">'CokingRefinery Detailed Results'!J15+IF(AND($EB$144+$EB$161=0,E51=FALSE),'CokingRefinery Detailed Results'!J30*CokingRefineryCalcs!$U$980,0)</f>
        <v>300656.81371184753</v>
      </c>
      <c r="BM72" s="1187"/>
      <c r="BN72" s="1200" t="s">
        <v>1021</v>
      </c>
      <c r="BO72" s="1199" t="s">
        <v>1022</v>
      </c>
      <c r="BP72" s="1246">
        <f>CF72</f>
        <v>90.12457275390625</v>
      </c>
      <c r="BQ72" s="1170"/>
      <c r="BR72" s="1170"/>
      <c r="BS72" s="1170"/>
      <c r="BT72" s="1170"/>
      <c r="BU72" s="1170"/>
      <c r="BV72" s="1170"/>
      <c r="BW72" s="1170" t="s">
        <v>224</v>
      </c>
      <c r="BX72" s="1170"/>
      <c r="BY72" s="1187">
        <f>'CokingRefinery Detailed Results'!H16</f>
        <v>0</v>
      </c>
      <c r="BZ72" s="1187"/>
      <c r="CA72" s="1170"/>
      <c r="CB72" s="1170"/>
      <c r="CC72" s="1170"/>
      <c r="CD72" s="1200" t="s">
        <v>1021</v>
      </c>
      <c r="CE72" s="1199" t="s">
        <v>1022</v>
      </c>
      <c r="CF72" s="1246">
        <f>DD72</f>
        <v>90.12457275390625</v>
      </c>
      <c r="CG72" s="1170"/>
      <c r="CH72" s="1170"/>
      <c r="CI72" s="1170"/>
      <c r="CJ72" s="1170"/>
      <c r="CK72" s="1186" t="str">
        <f>CokingRefineryCalcs!C317</f>
        <v xml:space="preserve">Sulphur </v>
      </c>
      <c r="CL72" s="1170" t="str">
        <f ca="1">CokingRefineryCalcs!D317</f>
        <v>wt%</v>
      </c>
      <c r="CM72" s="1170">
        <f ca="1">CokingRefineryCalcs!K317</f>
        <v>41.908662494216578</v>
      </c>
      <c r="CN72" s="1170"/>
      <c r="CO72" s="1170"/>
      <c r="CP72" s="1170"/>
      <c r="CQ72" s="1170"/>
      <c r="CR72" s="1170"/>
      <c r="CS72" s="1170"/>
      <c r="CT72" s="1170"/>
      <c r="CU72" s="1170"/>
      <c r="CV72" s="1170"/>
      <c r="CW72" s="1170"/>
      <c r="CX72" s="1170"/>
      <c r="CY72" s="1160"/>
      <c r="CZ72" s="1160"/>
      <c r="DA72" s="1160"/>
      <c r="DB72" s="1200" t="s">
        <v>1021</v>
      </c>
      <c r="DC72" s="1199" t="s">
        <v>1022</v>
      </c>
      <c r="DD72" s="1170">
        <f>Constants!G356</f>
        <v>90.12457275390625</v>
      </c>
      <c r="DE72" s="1170"/>
      <c r="DF72" s="1170"/>
      <c r="DG72" s="1160"/>
      <c r="DH72" s="1160"/>
      <c r="DI72" s="1160"/>
      <c r="DJ72" s="1160"/>
      <c r="DK72" s="1160" t="s">
        <v>224</v>
      </c>
      <c r="DL72" s="1171">
        <f ca="1">(BK13+BT23)*$DL$75</f>
        <v>0</v>
      </c>
      <c r="DM72" s="1160"/>
      <c r="DN72" s="1160"/>
      <c r="DO72" s="1160"/>
      <c r="DP72" s="1160"/>
      <c r="DQ72" s="1160"/>
      <c r="DR72" s="1160"/>
      <c r="DS72" s="1160"/>
      <c r="DT72" s="1160"/>
      <c r="DU72" s="1160"/>
      <c r="DV72" s="1160"/>
      <c r="DW72" s="1160"/>
      <c r="DX72" s="1160"/>
      <c r="DY72" s="1160"/>
      <c r="DZ72" s="1160"/>
      <c r="EA72" s="1160"/>
      <c r="EB72" s="1160"/>
    </row>
    <row r="73" spans="1:132" ht="15" x14ac:dyDescent="0.25">
      <c r="A73" s="1160"/>
      <c r="B73" s="1172"/>
      <c r="C73" s="1244" t="s">
        <v>454</v>
      </c>
      <c r="D73" s="1201"/>
      <c r="E73" s="1203"/>
      <c r="F73" s="1203"/>
      <c r="G73" s="1203"/>
      <c r="H73" s="1107"/>
      <c r="I73" s="1107"/>
      <c r="J73" s="1107"/>
      <c r="K73" s="1107"/>
      <c r="L73" s="1150"/>
      <c r="M73" s="1170"/>
      <c r="N73" s="1170"/>
      <c r="O73" s="1170"/>
      <c r="P73" s="1170"/>
      <c r="Q73" s="1170"/>
      <c r="R73" s="1170"/>
      <c r="S73" s="1170"/>
      <c r="T73" s="1170"/>
      <c r="U73" s="1170"/>
      <c r="V73" s="1170"/>
      <c r="W73" s="1170"/>
      <c r="X73" s="1170"/>
      <c r="Y73" s="1170"/>
      <c r="Z73" s="1170"/>
      <c r="AA73" s="1170"/>
      <c r="AB73" s="1170"/>
      <c r="AC73" s="1170"/>
      <c r="AD73" s="1170"/>
      <c r="AE73" s="1170"/>
      <c r="AF73" s="1170"/>
      <c r="AG73" s="1170"/>
      <c r="AH73" s="1170"/>
      <c r="AI73" s="1170"/>
      <c r="AJ73" s="1170"/>
      <c r="AK73" s="1170"/>
      <c r="AL73" s="1170"/>
      <c r="AM73" s="1170"/>
      <c r="AN73" s="1170"/>
      <c r="AO73" s="1170"/>
      <c r="AP73" s="1170"/>
      <c r="AQ73" s="1170"/>
      <c r="AR73" s="1170"/>
      <c r="AS73" s="1170"/>
      <c r="AT73" s="1170"/>
      <c r="AU73" s="1170"/>
      <c r="AV73" s="1170"/>
      <c r="AW73" s="1170"/>
      <c r="AX73" s="1170"/>
      <c r="AY73" s="1170"/>
      <c r="AZ73" s="1170"/>
      <c r="BA73" s="1170"/>
      <c r="BB73" s="1170"/>
      <c r="BC73" s="1170"/>
      <c r="BD73" s="1170"/>
      <c r="BE73" s="1170"/>
      <c r="BF73" s="1170"/>
      <c r="BG73" s="1170"/>
      <c r="BH73" s="1170"/>
      <c r="BI73" s="1170"/>
      <c r="BJ73" s="1170" t="s">
        <v>541</v>
      </c>
      <c r="BK73" s="1170"/>
      <c r="BL73" s="1187">
        <f ca="1">'CokingRefinery Detailed Results'!L15+IF(AND($EB$144+$EB$161=0,E51=FALSE),'CokingRefinery Detailed Results'!L30*CokingRefineryCalcs!$U$980,0)</f>
        <v>2030267.5728452108</v>
      </c>
      <c r="BM73" s="1187"/>
      <c r="BN73" s="1204" t="s">
        <v>1054</v>
      </c>
      <c r="BO73" s="1204" t="str">
        <f>IF(allocationMethod=1,$C$21,IF(allocationMethod=2,$C$22,IF(allocationMethod=3,$C$23,$C$24)))</f>
        <v>Hydrogen Content Basis</v>
      </c>
      <c r="BP73" s="1204">
        <f ca="1">IF(allocationMethod=1,BP65,IF(allocationMethod=2,BP71*BP65,IF(allocationMethod=3,BP72*BP63,BP69*BP65/100)))</f>
        <v>469659.87955631927</v>
      </c>
      <c r="BQ73" s="1170"/>
      <c r="BR73" s="1170"/>
      <c r="BS73" s="1170"/>
      <c r="BT73" s="1170"/>
      <c r="BU73" s="1170"/>
      <c r="BV73" s="1170"/>
      <c r="BW73" s="1170" t="s">
        <v>485</v>
      </c>
      <c r="BX73" s="1170"/>
      <c r="BY73" s="1187">
        <f>'CokingRefinery Detailed Results'!J16</f>
        <v>0</v>
      </c>
      <c r="BZ73" s="1187"/>
      <c r="CA73" s="1170"/>
      <c r="CB73" s="1170"/>
      <c r="CC73" s="1170"/>
      <c r="CD73" s="1170"/>
      <c r="CE73" s="1170"/>
      <c r="CF73" s="1170"/>
      <c r="CG73" s="1170"/>
      <c r="CH73" s="1170"/>
      <c r="CI73" s="1170"/>
      <c r="CJ73" s="1170"/>
      <c r="CK73" s="1186" t="str">
        <f>CokingRefineryCalcs!C319</f>
        <v xml:space="preserve">API gravity </v>
      </c>
      <c r="CL73" s="1170"/>
      <c r="CM73" s="1170"/>
      <c r="CN73" s="1170"/>
      <c r="CO73" s="1170"/>
      <c r="CP73" s="1170"/>
      <c r="CQ73" s="1170"/>
      <c r="CR73" s="1170"/>
      <c r="CS73" s="1170"/>
      <c r="CT73" s="1170"/>
      <c r="CU73" s="1170"/>
      <c r="CV73" s="1170"/>
      <c r="CW73" s="1170"/>
      <c r="CX73" s="1170"/>
      <c r="CY73" s="1160"/>
      <c r="CZ73" s="1160"/>
      <c r="DA73" s="1160"/>
      <c r="DB73" s="1204" t="s">
        <v>1054</v>
      </c>
      <c r="DC73" s="1204" t="str">
        <f>IF(allocationMethod=1,$C$21,IF(allocationMethod=2,$C$22,IF(allocationMethod=3,$C$23,$C$24)))</f>
        <v>Hydrogen Content Basis</v>
      </c>
      <c r="DD73" s="1204">
        <f ca="1">IF(allocationMethod=1,CF65,IF(allocationMethod=2,CF71*CF65,IF(allocationMethod=3,CF72*CF63,CF69*CF65/100)))</f>
        <v>498562.02599059267</v>
      </c>
      <c r="DE73" s="1170"/>
      <c r="DF73" s="1170"/>
      <c r="DG73" s="1160"/>
      <c r="DH73" s="1160"/>
      <c r="DI73" s="1160"/>
      <c r="DJ73" s="1160"/>
      <c r="DK73" s="1160" t="s">
        <v>485</v>
      </c>
      <c r="DL73" s="1171">
        <f ca="1">(BK14+BT24)*$DL$75</f>
        <v>0</v>
      </c>
      <c r="DM73" s="1160"/>
      <c r="DN73" s="1160"/>
      <c r="DO73" s="1160"/>
      <c r="DP73" s="1160"/>
      <c r="DQ73" s="1160"/>
      <c r="DR73" s="1160"/>
      <c r="DS73" s="1160"/>
      <c r="DT73" s="1160"/>
      <c r="DU73" s="1160"/>
      <c r="DV73" s="1160"/>
      <c r="DW73" s="1160"/>
      <c r="DX73" s="1160"/>
      <c r="DY73" s="1160"/>
      <c r="DZ73" s="1160"/>
      <c r="EA73" s="1160"/>
      <c r="EB73" s="1160"/>
    </row>
    <row r="74" spans="1:132" ht="15" x14ac:dyDescent="0.25">
      <c r="A74" s="1160"/>
      <c r="B74" s="1172"/>
      <c r="C74" s="1244" t="s">
        <v>961</v>
      </c>
      <c r="D74" s="1201"/>
      <c r="E74" s="1203"/>
      <c r="F74" s="1203"/>
      <c r="G74" s="1203"/>
      <c r="H74" s="1107"/>
      <c r="I74" s="1107"/>
      <c r="J74" s="1107"/>
      <c r="K74" s="1107"/>
      <c r="L74" s="1150"/>
      <c r="M74" s="1170"/>
      <c r="N74" s="1170"/>
      <c r="O74" s="1170"/>
      <c r="P74" s="1170"/>
      <c r="Q74" s="1170"/>
      <c r="R74" s="1170"/>
      <c r="S74" s="1170"/>
      <c r="T74" s="1170"/>
      <c r="U74" s="1170"/>
      <c r="V74" s="1170"/>
      <c r="W74" s="1170"/>
      <c r="X74" s="1170"/>
      <c r="Y74" s="1170"/>
      <c r="Z74" s="1170"/>
      <c r="AA74" s="1170"/>
      <c r="AB74" s="1170"/>
      <c r="AC74" s="1170"/>
      <c r="AD74" s="1170"/>
      <c r="AE74" s="1170"/>
      <c r="AF74" s="1170"/>
      <c r="AG74" s="1170"/>
      <c r="AH74" s="1170"/>
      <c r="AI74" s="1170"/>
      <c r="AJ74" s="1170"/>
      <c r="AK74" s="1170"/>
      <c r="AL74" s="1170"/>
      <c r="AM74" s="1170"/>
      <c r="AN74" s="1170"/>
      <c r="AO74" s="1170"/>
      <c r="AP74" s="1170"/>
      <c r="AQ74" s="1170"/>
      <c r="AR74" s="1170"/>
      <c r="AS74" s="1170"/>
      <c r="AT74" s="1170"/>
      <c r="AU74" s="1170"/>
      <c r="AV74" s="1170"/>
      <c r="AW74" s="1170"/>
      <c r="AX74" s="1170"/>
      <c r="AY74" s="1170"/>
      <c r="AZ74" s="1170"/>
      <c r="BA74" s="1170"/>
      <c r="BB74" s="1170"/>
      <c r="BC74" s="1170"/>
      <c r="BD74" s="1170"/>
      <c r="BE74" s="1170"/>
      <c r="BF74" s="1170"/>
      <c r="BG74" s="1170"/>
      <c r="BH74" s="1170"/>
      <c r="BI74" s="1170"/>
      <c r="BJ74" s="1170"/>
      <c r="BK74" s="1170"/>
      <c r="BL74" s="1187"/>
      <c r="BM74" s="1187"/>
      <c r="BN74" s="1180" t="str">
        <f>BN61</f>
        <v>Output</v>
      </c>
      <c r="BO74" s="1170"/>
      <c r="BP74" s="1170"/>
      <c r="BQ74" s="1170"/>
      <c r="BR74" s="1170"/>
      <c r="BS74" s="1170"/>
      <c r="BT74" s="1170"/>
      <c r="BU74" s="1170"/>
      <c r="BV74" s="1170"/>
      <c r="BW74" s="1170" t="s">
        <v>541</v>
      </c>
      <c r="BX74" s="1170"/>
      <c r="BY74" s="1187">
        <f>'CokingRefinery Detailed Results'!L16</f>
        <v>0</v>
      </c>
      <c r="BZ74" s="1187"/>
      <c r="CA74" s="1170"/>
      <c r="CB74" s="1170"/>
      <c r="CC74" s="1170"/>
      <c r="CD74" s="1170"/>
      <c r="CE74" s="1170"/>
      <c r="CF74" s="1170"/>
      <c r="CG74" s="1170"/>
      <c r="CH74" s="1170"/>
      <c r="CI74" s="1170"/>
      <c r="CJ74" s="1170"/>
      <c r="CK74" s="1186" t="str">
        <f>CokingRefineryCalcs!C320</f>
        <v>Density</v>
      </c>
      <c r="CL74" s="1170" t="str">
        <f ca="1">CokingRefineryCalcs!D320</f>
        <v>kg/m^3</v>
      </c>
      <c r="CM74" s="1170">
        <f>'Energy &amp; Unit Conversions'!$E$27/'Energy &amp; Unit Conversions'!$E$93/'Energy &amp; Unit Conversions'!$G$81</f>
        <v>1.1583209290581402</v>
      </c>
      <c r="CN74" s="1170"/>
      <c r="CO74" s="1170"/>
      <c r="CP74" s="1170"/>
      <c r="CQ74" s="1170"/>
      <c r="CR74" s="1170"/>
      <c r="CS74" s="1170"/>
      <c r="CT74" s="1170"/>
      <c r="CU74" s="1170"/>
      <c r="CV74" s="1170"/>
      <c r="CW74" s="1170"/>
      <c r="CX74" s="1170"/>
      <c r="CY74" s="1160"/>
      <c r="CZ74" s="1160"/>
      <c r="DA74" s="1160"/>
      <c r="DB74" s="1160"/>
      <c r="DC74" s="1160"/>
      <c r="DD74" s="1160"/>
      <c r="DE74" s="1160"/>
      <c r="DF74" s="1160"/>
      <c r="DG74" s="1160"/>
      <c r="DH74" s="1160"/>
      <c r="DI74" s="1160"/>
      <c r="DJ74" s="1160"/>
      <c r="DK74" s="1160" t="s">
        <v>541</v>
      </c>
      <c r="DL74" s="1171">
        <f ca="1">(BK15+BT25)*$DL$75</f>
        <v>0</v>
      </c>
      <c r="DM74" s="1160"/>
      <c r="DN74" s="1160"/>
      <c r="DO74" s="1160"/>
      <c r="DP74" s="1160"/>
      <c r="DQ74" s="1160"/>
      <c r="DR74" s="1160"/>
      <c r="DS74" s="1160"/>
      <c r="DT74" s="1160"/>
      <c r="DU74" s="1160"/>
      <c r="DV74" s="1160"/>
      <c r="DW74" s="1160"/>
      <c r="DX74" s="1160"/>
      <c r="DY74" s="1160"/>
      <c r="DZ74" s="1160"/>
      <c r="EA74" s="1160"/>
      <c r="EB74" s="1160"/>
    </row>
    <row r="75" spans="1:132" ht="15" x14ac:dyDescent="0.25">
      <c r="A75" s="1160"/>
      <c r="B75" s="1172"/>
      <c r="C75" s="1244" t="s">
        <v>535</v>
      </c>
      <c r="D75" s="1201"/>
      <c r="E75" s="1203"/>
      <c r="F75" s="1203"/>
      <c r="G75" s="1203"/>
      <c r="H75" s="1107"/>
      <c r="I75" s="1107"/>
      <c r="J75" s="1107"/>
      <c r="K75" s="1107"/>
      <c r="L75" s="1150"/>
      <c r="M75" s="1170"/>
      <c r="N75" s="1170"/>
      <c r="O75" s="1170"/>
      <c r="P75" s="1170"/>
      <c r="Q75" s="1170"/>
      <c r="R75" s="1170"/>
      <c r="S75" s="1170"/>
      <c r="T75" s="1170"/>
      <c r="U75" s="1170"/>
      <c r="V75" s="1170"/>
      <c r="W75" s="1170"/>
      <c r="X75" s="1170"/>
      <c r="Y75" s="1181" t="str">
        <f>CokingRefineryCalcs!I46</f>
        <v>Straight Run Diesel</v>
      </c>
      <c r="Z75" s="1170"/>
      <c r="AA75" s="1170"/>
      <c r="AB75" s="1170"/>
      <c r="AC75" s="1180" t="str">
        <f>Y75</f>
        <v>Straight Run Diesel</v>
      </c>
      <c r="AD75" s="1170"/>
      <c r="AE75" s="1170"/>
      <c r="AF75" s="1170"/>
      <c r="AG75" s="1170"/>
      <c r="AH75" s="1170"/>
      <c r="AI75" s="1170"/>
      <c r="AJ75" s="1170"/>
      <c r="AK75" s="1170"/>
      <c r="AL75" s="1170"/>
      <c r="AM75" s="1170"/>
      <c r="AN75" s="1170"/>
      <c r="AO75" s="1170"/>
      <c r="AP75" s="1170"/>
      <c r="AQ75" s="1170"/>
      <c r="AR75" s="1170"/>
      <c r="AS75" s="1170"/>
      <c r="AT75" s="1170"/>
      <c r="AU75" s="1170"/>
      <c r="AV75" s="1170"/>
      <c r="AW75" s="1170"/>
      <c r="AX75" s="1170"/>
      <c r="AY75" s="1170"/>
      <c r="AZ75" s="1170"/>
      <c r="BA75" s="1170"/>
      <c r="BB75" s="1170"/>
      <c r="BC75" s="1170"/>
      <c r="BD75" s="1170"/>
      <c r="BE75" s="1170"/>
      <c r="BF75" s="1170"/>
      <c r="BG75" s="1170"/>
      <c r="BH75" s="1170"/>
      <c r="BI75" s="1170"/>
      <c r="BJ75" s="1181" t="str">
        <f>CokingRefineryCalcs!C283</f>
        <v>Total hydrogen consumed</v>
      </c>
      <c r="BK75" s="1170"/>
      <c r="BL75" s="1187"/>
      <c r="BM75" s="1187"/>
      <c r="BN75" s="1183" t="s">
        <v>226</v>
      </c>
      <c r="BO75" s="1170"/>
      <c r="BP75" s="1184" t="s">
        <v>522</v>
      </c>
      <c r="BQ75" s="1170"/>
      <c r="BR75" s="1170"/>
      <c r="BS75" s="1170"/>
      <c r="BT75" s="1170"/>
      <c r="BU75" s="1184"/>
      <c r="BV75" s="1170"/>
      <c r="BW75" s="1170"/>
      <c r="BX75" s="1170"/>
      <c r="BY75" s="1170"/>
      <c r="BZ75" s="1182"/>
      <c r="CA75" s="1170"/>
      <c r="CB75" s="1170"/>
      <c r="CC75" s="1170"/>
      <c r="CD75" s="1170"/>
      <c r="CE75" s="1170"/>
      <c r="CF75" s="1170"/>
      <c r="CG75" s="1170"/>
      <c r="CH75" s="1170"/>
      <c r="CI75" s="1170"/>
      <c r="CJ75" s="1170"/>
      <c r="CK75" s="1186" t="str">
        <f>CokingRefineryCalcs!C321</f>
        <v>Hydrogen</v>
      </c>
      <c r="CL75" s="1170" t="str">
        <f ca="1">CokingRefineryCalcs!D321</f>
        <v>wt%</v>
      </c>
      <c r="CM75" s="1170">
        <f ca="1">CokingRefineryCalcs!K321</f>
        <v>12.71927929715414</v>
      </c>
      <c r="CN75" s="1170"/>
      <c r="CO75" s="1170"/>
      <c r="CP75" s="1170"/>
      <c r="CQ75" s="1170"/>
      <c r="CR75" s="1170"/>
      <c r="CS75" s="1170"/>
      <c r="CT75" s="1170"/>
      <c r="CU75" s="1170"/>
      <c r="CV75" s="1170"/>
      <c r="CW75" s="1170"/>
      <c r="CX75" s="1170"/>
      <c r="CY75" s="1160"/>
      <c r="CZ75" s="1160"/>
      <c r="DA75" s="1160"/>
      <c r="DB75" s="1160"/>
      <c r="DC75" s="1160"/>
      <c r="DD75" s="1160"/>
      <c r="DE75" s="1160"/>
      <c r="DF75" s="1160"/>
      <c r="DG75" s="1160"/>
      <c r="DH75" s="1160"/>
      <c r="DI75" s="1160"/>
      <c r="DJ75" s="1160"/>
      <c r="DK75" s="1191" t="s">
        <v>1066</v>
      </c>
      <c r="DL75" s="1245">
        <f ca="1">IF(CokingRefineryPFD!E50=TRUE,DL76,0)</f>
        <v>0</v>
      </c>
      <c r="DM75" s="1160"/>
      <c r="DN75" s="1160"/>
      <c r="DO75" s="1160"/>
      <c r="DP75" s="1160"/>
      <c r="DQ75" s="1160"/>
      <c r="DR75" s="1160"/>
      <c r="DS75" s="1160"/>
      <c r="DT75" s="1160"/>
      <c r="DU75" s="1160"/>
      <c r="DV75" s="1160"/>
      <c r="DW75" s="1160"/>
      <c r="DX75" s="1160"/>
      <c r="DY75" s="1160"/>
      <c r="DZ75" s="1160"/>
      <c r="EA75" s="1160"/>
      <c r="EB75" s="1160"/>
    </row>
    <row r="76" spans="1:132" ht="15" x14ac:dyDescent="0.25">
      <c r="A76" s="1160"/>
      <c r="B76" s="1172"/>
      <c r="C76" s="1244" t="s">
        <v>946</v>
      </c>
      <c r="D76" s="1201"/>
      <c r="E76" s="1203"/>
      <c r="F76" s="1203"/>
      <c r="G76" s="1203"/>
      <c r="H76" s="1107"/>
      <c r="I76" s="1107"/>
      <c r="J76" s="1107"/>
      <c r="K76" s="1107"/>
      <c r="L76" s="1150"/>
      <c r="M76" s="1170"/>
      <c r="N76" s="1170"/>
      <c r="O76" s="1170"/>
      <c r="P76" s="1170"/>
      <c r="Q76" s="1170"/>
      <c r="R76" s="1170"/>
      <c r="S76" s="1170"/>
      <c r="T76" s="1170"/>
      <c r="U76" s="1170"/>
      <c r="V76" s="1170"/>
      <c r="W76" s="1170"/>
      <c r="X76" s="1170"/>
      <c r="Y76" s="1182" t="str">
        <f>CokingRefineryCalcs!C46</f>
        <v>Property</v>
      </c>
      <c r="Z76" s="1182" t="str">
        <f>CokingRefineryCalcs!D46</f>
        <v>Units</v>
      </c>
      <c r="AA76" s="1170"/>
      <c r="AB76" s="1170"/>
      <c r="AC76" s="1183" t="s">
        <v>226</v>
      </c>
      <c r="AD76" s="1170"/>
      <c r="AE76" s="1184" t="s">
        <v>522</v>
      </c>
      <c r="AF76" s="1170"/>
      <c r="AG76" s="1170"/>
      <c r="AH76" s="1170"/>
      <c r="AI76" s="1170"/>
      <c r="AJ76" s="1170"/>
      <c r="AK76" s="1170"/>
      <c r="AL76" s="1170"/>
      <c r="AM76" s="1170"/>
      <c r="AN76" s="1170"/>
      <c r="AO76" s="1170"/>
      <c r="AP76" s="1170"/>
      <c r="AQ76" s="1170"/>
      <c r="AR76" s="1170"/>
      <c r="AS76" s="1170"/>
      <c r="AT76" s="1170"/>
      <c r="AU76" s="1170"/>
      <c r="AV76" s="1170"/>
      <c r="AW76" s="1170"/>
      <c r="AX76" s="1170"/>
      <c r="AY76" s="1170"/>
      <c r="AZ76" s="1170"/>
      <c r="BA76" s="1170"/>
      <c r="BB76" s="1170"/>
      <c r="BC76" s="1170"/>
      <c r="BD76" s="1170"/>
      <c r="BE76" s="1186"/>
      <c r="BF76" s="1170"/>
      <c r="BG76" s="1170"/>
      <c r="BH76" s="1170"/>
      <c r="BI76" s="1170"/>
      <c r="BJ76" s="1170"/>
      <c r="BK76" s="1170" t="str">
        <f>CokingRefineryCalcs!E283</f>
        <v>kg/d</v>
      </c>
      <c r="BL76" s="1187">
        <f ca="1">CokingRefineryCalcs!D283</f>
        <v>15218.271221719764</v>
      </c>
      <c r="BM76" s="1187"/>
      <c r="BN76" s="1170" t="s">
        <v>263</v>
      </c>
      <c r="BO76" s="1170"/>
      <c r="BP76" s="1187">
        <f ca="1">AE60*BP81</f>
        <v>232380340.50842014</v>
      </c>
      <c r="BQ76" s="1170"/>
      <c r="BR76" s="1170"/>
      <c r="BS76" s="1170"/>
      <c r="BT76" s="1170"/>
      <c r="BU76" s="1170"/>
      <c r="BV76" s="1170"/>
      <c r="BW76" s="1170"/>
      <c r="BX76" s="1170"/>
      <c r="BY76" s="1170"/>
      <c r="BZ76" s="1170"/>
      <c r="CA76" s="1170"/>
      <c r="CB76" s="1170"/>
      <c r="CC76" s="1170"/>
      <c r="CD76" s="1170"/>
      <c r="CE76" s="1170"/>
      <c r="CF76" s="1170"/>
      <c r="CG76" s="1170"/>
      <c r="CH76" s="1170"/>
      <c r="CI76" s="1170"/>
      <c r="CJ76" s="1170"/>
      <c r="CK76" s="1170"/>
      <c r="CL76" s="1170"/>
      <c r="CM76" s="1170"/>
      <c r="CN76" s="1170"/>
      <c r="CO76" s="1170"/>
      <c r="CP76" s="1170"/>
      <c r="CQ76" s="1170"/>
      <c r="CR76" s="1170"/>
      <c r="CS76" s="1170"/>
      <c r="CT76" s="1170"/>
      <c r="CU76" s="1170"/>
      <c r="CV76" s="1170"/>
      <c r="CW76" s="1170"/>
      <c r="CX76" s="1170"/>
      <c r="CY76" s="1160"/>
      <c r="CZ76" s="1160"/>
      <c r="DA76" s="1160"/>
      <c r="DB76" s="1160"/>
      <c r="DC76" s="1160"/>
      <c r="DD76" s="1160"/>
      <c r="DE76" s="1160"/>
      <c r="DF76" s="1160"/>
      <c r="DG76" s="1160"/>
      <c r="DH76" s="1160"/>
      <c r="DI76" s="1160"/>
      <c r="DJ76" s="1160"/>
      <c r="DK76" s="1191" t="s">
        <v>1065</v>
      </c>
      <c r="DL76" s="1245">
        <f ca="1">BP19/(BP19+BX19)</f>
        <v>0</v>
      </c>
      <c r="DM76" s="1160"/>
      <c r="DN76" s="1160"/>
      <c r="DO76" s="1160"/>
      <c r="DP76" s="1160"/>
      <c r="DQ76" s="1160"/>
      <c r="DR76" s="1160"/>
      <c r="DS76" s="1160"/>
      <c r="DT76" s="1160"/>
      <c r="DU76" s="1160"/>
      <c r="DV76" s="1160"/>
      <c r="DW76" s="1160"/>
      <c r="DX76" s="1160"/>
      <c r="DY76" s="1160"/>
      <c r="DZ76" s="1160"/>
      <c r="EA76" s="1160"/>
      <c r="EB76" s="1160"/>
    </row>
    <row r="77" spans="1:132" ht="15" x14ac:dyDescent="0.25">
      <c r="A77" s="1160"/>
      <c r="B77" s="1172"/>
      <c r="C77" s="1244" t="s">
        <v>959</v>
      </c>
      <c r="D77" s="1201"/>
      <c r="E77" s="1203"/>
      <c r="F77" s="1203"/>
      <c r="G77" s="1203"/>
      <c r="H77" s="1107"/>
      <c r="I77" s="1107"/>
      <c r="J77" s="1107"/>
      <c r="K77" s="1107"/>
      <c r="L77" s="1150"/>
      <c r="M77" s="1170"/>
      <c r="N77" s="1170"/>
      <c r="O77" s="1170"/>
      <c r="P77" s="1170"/>
      <c r="Q77" s="1170"/>
      <c r="R77" s="1170"/>
      <c r="S77" s="1170"/>
      <c r="T77" s="1170"/>
      <c r="U77" s="1170"/>
      <c r="V77" s="1170"/>
      <c r="W77" s="1170"/>
      <c r="X77" s="1170"/>
      <c r="Y77" s="1186" t="str">
        <f>CokingRefineryCalcs!C47</f>
        <v>Vol Flow</v>
      </c>
      <c r="Z77" s="1170" t="str">
        <f ca="1">CokingRefineryCalcs!D47</f>
        <v>bpd</v>
      </c>
      <c r="AA77" s="1170">
        <f ca="1">CokingRefineryCalcs!I47</f>
        <v>12524.817625472946</v>
      </c>
      <c r="AB77" s="1170"/>
      <c r="AC77" s="1170" t="s">
        <v>263</v>
      </c>
      <c r="AD77" s="1170"/>
      <c r="AE77" s="1187">
        <f ca="1">U111*AE82</f>
        <v>111050855.87309842</v>
      </c>
      <c r="AF77" s="1170"/>
      <c r="AG77" s="1170"/>
      <c r="AH77" s="1170"/>
      <c r="AI77" s="1170"/>
      <c r="AJ77" s="1170"/>
      <c r="AK77" s="1170"/>
      <c r="AL77" s="1170"/>
      <c r="AM77" s="1170"/>
      <c r="AN77" s="1170"/>
      <c r="AO77" s="1170"/>
      <c r="AP77" s="1170"/>
      <c r="AQ77" s="1170"/>
      <c r="AR77" s="1170"/>
      <c r="AS77" s="1170"/>
      <c r="AT77" s="1170"/>
      <c r="AU77" s="1170"/>
      <c r="AV77" s="1170"/>
      <c r="AW77" s="1170"/>
      <c r="AX77" s="1170"/>
      <c r="AY77" s="1170"/>
      <c r="AZ77" s="1170"/>
      <c r="BA77" s="1170"/>
      <c r="BB77" s="1170"/>
      <c r="BC77" s="1170"/>
      <c r="BD77" s="1170"/>
      <c r="BE77" s="1170"/>
      <c r="BF77" s="1170"/>
      <c r="BG77" s="1170"/>
      <c r="BH77" s="1170"/>
      <c r="BI77" s="1170"/>
      <c r="BJ77" s="1170"/>
      <c r="BK77" s="1170"/>
      <c r="BL77" s="1170"/>
      <c r="BM77" s="1170"/>
      <c r="BN77" s="1170" t="s">
        <v>392</v>
      </c>
      <c r="BO77" s="1170"/>
      <c r="BP77" s="1187">
        <f ca="1">(AE61+BL70)*$BP$81</f>
        <v>307330.37575262936</v>
      </c>
      <c r="BQ77" s="1170"/>
      <c r="BR77" s="1170"/>
      <c r="BS77" s="1170"/>
      <c r="BT77" s="1170"/>
      <c r="BU77" s="1170"/>
      <c r="BV77" s="1170"/>
      <c r="BW77" s="1170"/>
      <c r="BX77" s="1170"/>
      <c r="BY77" s="1170"/>
      <c r="BZ77" s="1170"/>
      <c r="CA77" s="1170"/>
      <c r="CB77" s="1170"/>
      <c r="CC77" s="1170"/>
      <c r="CD77" s="1170"/>
      <c r="CE77" s="1170"/>
      <c r="CF77" s="1170"/>
      <c r="CG77" s="1170"/>
      <c r="CH77" s="1170"/>
      <c r="CI77" s="1170"/>
      <c r="CJ77" s="1170"/>
      <c r="CK77" s="1186" t="s">
        <v>1698</v>
      </c>
      <c r="CL77" s="1199" t="s">
        <v>447</v>
      </c>
      <c r="CM77" s="1199">
        <f>'Energy &amp; Unit Conversions'!$Q$27</f>
        <v>46.898519302437805</v>
      </c>
      <c r="CN77" s="1170"/>
      <c r="CO77" s="1170"/>
      <c r="CP77" s="1170"/>
      <c r="CQ77" s="1170"/>
      <c r="CR77" s="1170"/>
      <c r="CS77" s="1170"/>
      <c r="CT77" s="1170"/>
      <c r="CU77" s="1170"/>
      <c r="CV77" s="1170"/>
      <c r="CW77" s="1170"/>
      <c r="CX77" s="1170"/>
      <c r="CY77" s="1160"/>
      <c r="CZ77" s="1160"/>
      <c r="DA77" s="1160"/>
      <c r="DB77" s="1160"/>
      <c r="DC77" s="1160"/>
      <c r="DD77" s="1160"/>
      <c r="DE77" s="1160"/>
      <c r="DF77" s="1160"/>
      <c r="DG77" s="1160"/>
      <c r="DH77" s="1160"/>
      <c r="DI77" s="1160"/>
      <c r="DJ77" s="1160"/>
      <c r="DK77" s="1208" t="s">
        <v>228</v>
      </c>
      <c r="DL77" s="1245">
        <f ca="1">BP11/BG13</f>
        <v>0.01</v>
      </c>
      <c r="DM77" s="1160"/>
      <c r="DN77" s="1160"/>
      <c r="DO77" s="1160"/>
      <c r="DP77" s="1160"/>
      <c r="DQ77" s="1160"/>
      <c r="DR77" s="1160"/>
      <c r="DS77" s="1160"/>
      <c r="DT77" s="1160"/>
      <c r="DU77" s="1160"/>
      <c r="DV77" s="1160"/>
      <c r="DW77" s="1160"/>
      <c r="DX77" s="1160"/>
      <c r="DY77" s="1160"/>
      <c r="DZ77" s="1160"/>
      <c r="EA77" s="1160"/>
      <c r="EB77" s="1160"/>
    </row>
    <row r="78" spans="1:132" ht="15" x14ac:dyDescent="0.25">
      <c r="A78" s="1160"/>
      <c r="B78" s="1172"/>
      <c r="C78" s="1244" t="s">
        <v>1516</v>
      </c>
      <c r="D78" s="1201"/>
      <c r="E78" s="1203"/>
      <c r="F78" s="1203"/>
      <c r="G78" s="1203"/>
      <c r="H78" s="1107"/>
      <c r="I78" s="1107"/>
      <c r="J78" s="1107"/>
      <c r="K78" s="1107"/>
      <c r="L78" s="1150"/>
      <c r="M78" s="1170"/>
      <c r="N78" s="1170"/>
      <c r="O78" s="1170"/>
      <c r="P78" s="1170"/>
      <c r="Q78" s="1170"/>
      <c r="R78" s="1170"/>
      <c r="S78" s="1170"/>
      <c r="T78" s="1170"/>
      <c r="U78" s="1170"/>
      <c r="V78" s="1170"/>
      <c r="W78" s="1170"/>
      <c r="X78" s="1170"/>
      <c r="Y78" s="1186" t="str">
        <f>CokingRefineryCalcs!C48</f>
        <v>Vol Flow</v>
      </c>
      <c r="Z78" s="1170" t="str">
        <f ca="1">CokingRefineryCalcs!D48</f>
        <v>m^3/d</v>
      </c>
      <c r="AA78" s="1170">
        <f ca="1">CokingRefineryCalcs!I48</f>
        <v>1991.2869372663549</v>
      </c>
      <c r="AB78" s="1170"/>
      <c r="AC78" s="1170" t="s">
        <v>392</v>
      </c>
      <c r="AD78" s="1170"/>
      <c r="AE78" s="1187">
        <f ca="1">(U112+W50)*$AE$82</f>
        <v>7453.3651613162265</v>
      </c>
      <c r="AF78" s="1170"/>
      <c r="AG78" s="1170"/>
      <c r="AH78" s="1170"/>
      <c r="AI78" s="1170"/>
      <c r="AJ78" s="1170"/>
      <c r="AK78" s="1170"/>
      <c r="AL78" s="1170"/>
      <c r="AM78" s="1170"/>
      <c r="AN78" s="1170"/>
      <c r="AO78" s="1170"/>
      <c r="AP78" s="1170"/>
      <c r="AQ78" s="1170"/>
      <c r="AR78" s="1170"/>
      <c r="AS78" s="1170"/>
      <c r="AT78" s="1170"/>
      <c r="AU78" s="1170"/>
      <c r="AV78" s="1170"/>
      <c r="AW78" s="1170"/>
      <c r="AX78" s="1170"/>
      <c r="AY78" s="1170"/>
      <c r="AZ78" s="1170"/>
      <c r="BA78" s="1170"/>
      <c r="BB78" s="1170"/>
      <c r="BC78" s="1170"/>
      <c r="BD78" s="1170"/>
      <c r="BE78" s="1170"/>
      <c r="BF78" s="1170"/>
      <c r="BG78" s="1170"/>
      <c r="BH78" s="1170"/>
      <c r="BI78" s="1170"/>
      <c r="BJ78" s="1170"/>
      <c r="BK78" s="1170"/>
      <c r="BL78" s="1170"/>
      <c r="BM78" s="1170"/>
      <c r="BN78" s="1170" t="s">
        <v>224</v>
      </c>
      <c r="BO78" s="1170"/>
      <c r="BP78" s="1187">
        <f ca="1">(AE62+BL71)*$BP$81</f>
        <v>6018924.6574679464</v>
      </c>
      <c r="BQ78" s="1170"/>
      <c r="BR78" s="1170"/>
      <c r="BS78" s="1170"/>
      <c r="BT78" s="1170"/>
      <c r="BU78" s="1170"/>
      <c r="BV78" s="1170"/>
      <c r="BW78" s="1170"/>
      <c r="BX78" s="1170"/>
      <c r="BY78" s="1170"/>
      <c r="BZ78" s="1170"/>
      <c r="CA78" s="1170"/>
      <c r="CB78" s="1170"/>
      <c r="CC78" s="1170"/>
      <c r="CD78" s="1170"/>
      <c r="CE78" s="1170"/>
      <c r="CF78" s="1170"/>
      <c r="CG78" s="1170"/>
      <c r="CH78" s="1170"/>
      <c r="CI78" s="1170"/>
      <c r="CJ78" s="1170"/>
      <c r="CK78" s="1200" t="s">
        <v>1021</v>
      </c>
      <c r="CL78" s="1199" t="s">
        <v>1022</v>
      </c>
      <c r="CM78" s="1199">
        <f>Constants!G353</f>
        <v>33.957001686096191</v>
      </c>
      <c r="CN78" s="1170"/>
      <c r="CO78" s="1170"/>
      <c r="CP78" s="1170"/>
      <c r="CQ78" s="1170"/>
      <c r="CR78" s="1170"/>
      <c r="CS78" s="1170"/>
      <c r="CT78" s="1170"/>
      <c r="CU78" s="1170"/>
      <c r="CV78" s="1170"/>
      <c r="CW78" s="1170"/>
      <c r="CX78" s="1170"/>
      <c r="CY78" s="1160"/>
      <c r="CZ78" s="1160"/>
      <c r="DA78" s="1160"/>
      <c r="DB78" s="1160"/>
      <c r="DC78" s="1160"/>
      <c r="DD78" s="1160"/>
      <c r="DE78" s="1160"/>
      <c r="DF78" s="1160"/>
      <c r="DG78" s="1160"/>
      <c r="DH78" s="1160"/>
      <c r="DI78" s="1160"/>
      <c r="DJ78" s="1160"/>
      <c r="DK78" s="1160"/>
      <c r="DL78" s="1245"/>
      <c r="DM78" s="1160"/>
      <c r="DN78" s="1160"/>
      <c r="DO78" s="1160"/>
      <c r="DP78" s="1160"/>
      <c r="DQ78" s="1160"/>
      <c r="DR78" s="1160"/>
      <c r="DS78" s="1160"/>
      <c r="DT78" s="1160"/>
      <c r="DU78" s="1160"/>
      <c r="DV78" s="1160"/>
      <c r="DW78" s="1160"/>
      <c r="DX78" s="1160"/>
      <c r="DY78" s="1160"/>
      <c r="DZ78" s="1160"/>
      <c r="EA78" s="1160"/>
      <c r="EB78" s="1160"/>
    </row>
    <row r="79" spans="1:132" ht="15" x14ac:dyDescent="0.25">
      <c r="A79" s="1160"/>
      <c r="B79" s="1172"/>
      <c r="C79" s="1244" t="s">
        <v>960</v>
      </c>
      <c r="D79" s="1201"/>
      <c r="E79" s="1203"/>
      <c r="F79" s="1203"/>
      <c r="G79" s="1203"/>
      <c r="H79" s="1107"/>
      <c r="I79" s="1107"/>
      <c r="J79" s="1107"/>
      <c r="K79" s="1107"/>
      <c r="L79" s="1150"/>
      <c r="M79" s="1170"/>
      <c r="N79" s="1170"/>
      <c r="O79" s="1170"/>
      <c r="P79" s="1170"/>
      <c r="Q79" s="1170"/>
      <c r="R79" s="1170"/>
      <c r="S79" s="1170"/>
      <c r="T79" s="1170"/>
      <c r="U79" s="1170"/>
      <c r="V79" s="1170"/>
      <c r="W79" s="1170"/>
      <c r="X79" s="1170"/>
      <c r="Y79" s="1186" t="str">
        <f>CokingRefineryCalcs!C49</f>
        <v>Mass Flow</v>
      </c>
      <c r="Z79" s="1170" t="str">
        <f>CokingRefineryCalcs!D49</f>
        <v>kg/d</v>
      </c>
      <c r="AA79" s="1170">
        <f ca="1">CokingRefineryCalcs!I49</f>
        <v>1757731.9563243806</v>
      </c>
      <c r="AB79" s="1170"/>
      <c r="AC79" s="1170" t="s">
        <v>224</v>
      </c>
      <c r="AD79" s="1170"/>
      <c r="AE79" s="1187">
        <f ca="1">(U113+W51)*$AE$82</f>
        <v>837423.3696792582</v>
      </c>
      <c r="AF79" s="1170"/>
      <c r="AG79" s="1170"/>
      <c r="AH79" s="1170"/>
      <c r="AI79" s="1170"/>
      <c r="AJ79" s="1170"/>
      <c r="AK79" s="1170"/>
      <c r="AL79" s="1170"/>
      <c r="AM79" s="1170"/>
      <c r="AN79" s="1170"/>
      <c r="AO79" s="1170"/>
      <c r="AP79" s="1170"/>
      <c r="AQ79" s="1170"/>
      <c r="AR79" s="1170"/>
      <c r="AS79" s="1170"/>
      <c r="AT79" s="1170"/>
      <c r="AU79" s="1170"/>
      <c r="AV79" s="1170"/>
      <c r="AW79" s="1170"/>
      <c r="AX79" s="1170"/>
      <c r="AY79" s="1170"/>
      <c r="AZ79" s="1170"/>
      <c r="BA79" s="1170"/>
      <c r="BB79" s="1170"/>
      <c r="BC79" s="1170"/>
      <c r="BD79" s="1170"/>
      <c r="BE79" s="1170"/>
      <c r="BF79" s="1170"/>
      <c r="BG79" s="1170"/>
      <c r="BH79" s="1170"/>
      <c r="BI79" s="1170"/>
      <c r="BJ79" s="1170"/>
      <c r="BK79" s="1170"/>
      <c r="BL79" s="1170"/>
      <c r="BM79" s="1170"/>
      <c r="BN79" s="1170" t="s">
        <v>485</v>
      </c>
      <c r="BO79" s="1170"/>
      <c r="BP79" s="1187">
        <f ca="1">(AE63+BL72)*$BP$81</f>
        <v>635810.16625919892</v>
      </c>
      <c r="BQ79" s="1170"/>
      <c r="BR79" s="1170"/>
      <c r="BS79" s="1170"/>
      <c r="BT79" s="1170"/>
      <c r="BU79" s="1170"/>
      <c r="BV79" s="1170"/>
      <c r="BW79" s="1170"/>
      <c r="BX79" s="1170"/>
      <c r="BY79" s="1170"/>
      <c r="BZ79" s="1170"/>
      <c r="CA79" s="1170"/>
      <c r="CB79" s="1170"/>
      <c r="CC79" s="1170"/>
      <c r="CD79" s="1170"/>
      <c r="CE79" s="1170"/>
      <c r="CF79" s="1170"/>
      <c r="CG79" s="1170"/>
      <c r="CH79" s="1170"/>
      <c r="CI79" s="1170"/>
      <c r="CJ79" s="1170"/>
      <c r="CK79" s="1204" t="s">
        <v>1054</v>
      </c>
      <c r="CL79" s="1204" t="str">
        <f>IF(allocationMethod=1,$C$21,IF(allocationMethod=2,$C$22,IF(allocationMethod=3,$C$23,$C$24)))</f>
        <v>Hydrogen Content Basis</v>
      </c>
      <c r="CM79" s="1204">
        <f ca="1">CokingRefineryCalcs!R1452</f>
        <v>0</v>
      </c>
      <c r="CN79" s="1170"/>
      <c r="CO79" s="1170"/>
      <c r="CP79" s="1170"/>
      <c r="CQ79" s="1170"/>
      <c r="CR79" s="1170"/>
      <c r="CS79" s="1181" t="s">
        <v>940</v>
      </c>
      <c r="CT79" s="1170"/>
      <c r="CU79" s="1170"/>
      <c r="CV79" s="1170"/>
      <c r="CW79" s="1170"/>
      <c r="CX79" s="1170"/>
      <c r="CY79" s="1160"/>
      <c r="CZ79" s="1160"/>
      <c r="DA79" s="1160"/>
      <c r="DB79" s="1160"/>
      <c r="DC79" s="1160"/>
      <c r="DD79" s="1160"/>
      <c r="DE79" s="1160"/>
      <c r="DF79" s="1160"/>
      <c r="DG79" s="1160"/>
      <c r="DH79" s="1160"/>
      <c r="DI79" s="1160"/>
      <c r="DJ79" s="1160"/>
      <c r="DK79" s="1191" t="str">
        <f>AU24</f>
        <v>NHT Fuel Gas</v>
      </c>
      <c r="DL79" s="1171">
        <f ca="1">CokingRefineryCalcs!E979</f>
        <v>4314.1135318237602</v>
      </c>
      <c r="DM79" s="1160" t="s">
        <v>622</v>
      </c>
      <c r="DN79" s="1160"/>
      <c r="DO79" s="1160"/>
      <c r="DP79" s="1160"/>
      <c r="DQ79" s="1160"/>
      <c r="DR79" s="1160"/>
      <c r="DS79" s="1160"/>
      <c r="DT79" s="1160"/>
      <c r="DU79" s="1160"/>
      <c r="DV79" s="1160"/>
      <c r="DW79" s="1160"/>
      <c r="DX79" s="1160"/>
      <c r="DY79" s="1160"/>
      <c r="DZ79" s="1160"/>
      <c r="EA79" s="1160"/>
      <c r="EB79" s="1160"/>
    </row>
    <row r="80" spans="1:132" ht="15" x14ac:dyDescent="0.25">
      <c r="A80" s="1160"/>
      <c r="B80" s="1172"/>
      <c r="C80" s="1244" t="s">
        <v>1372</v>
      </c>
      <c r="D80" s="1201"/>
      <c r="E80" s="1203"/>
      <c r="F80" s="1203"/>
      <c r="G80" s="1203"/>
      <c r="H80" s="1107"/>
      <c r="I80" s="1107"/>
      <c r="J80" s="1107"/>
      <c r="K80" s="1107"/>
      <c r="L80" s="1150"/>
      <c r="M80" s="1170"/>
      <c r="N80" s="1170"/>
      <c r="O80" s="1170"/>
      <c r="P80" s="1170"/>
      <c r="Q80" s="1170"/>
      <c r="R80" s="1170"/>
      <c r="S80" s="1170"/>
      <c r="T80" s="1170"/>
      <c r="U80" s="1170"/>
      <c r="V80" s="1170"/>
      <c r="W80" s="1170"/>
      <c r="X80" s="1170"/>
      <c r="Y80" s="1186" t="str">
        <f>CokingRefineryCalcs!C50</f>
        <v xml:space="preserve">Sulphur </v>
      </c>
      <c r="Z80" s="1170" t="str">
        <f ca="1">CokingRefineryCalcs!D50</f>
        <v>wt%</v>
      </c>
      <c r="AA80" s="1170">
        <f ca="1">CokingRefineryCalcs!I50</f>
        <v>0.15109831145852037</v>
      </c>
      <c r="AB80" s="1170"/>
      <c r="AC80" s="1170" t="s">
        <v>485</v>
      </c>
      <c r="AD80" s="1170"/>
      <c r="AE80" s="1187">
        <f ca="1">(U114+W52)*$AE$82</f>
        <v>160164.43804020103</v>
      </c>
      <c r="AF80" s="1170"/>
      <c r="AG80" s="1170"/>
      <c r="AH80" s="1170"/>
      <c r="AI80" s="1170"/>
      <c r="AJ80" s="1170"/>
      <c r="AK80" s="1170"/>
      <c r="AL80" s="1170"/>
      <c r="AM80" s="1170"/>
      <c r="AN80" s="1170"/>
      <c r="AO80" s="1170"/>
      <c r="AP80" s="1170"/>
      <c r="AQ80" s="1170"/>
      <c r="AR80" s="1170"/>
      <c r="AS80" s="1170"/>
      <c r="AT80" s="1170"/>
      <c r="AU80" s="1170"/>
      <c r="AV80" s="1170"/>
      <c r="AW80" s="1170"/>
      <c r="AX80" s="1170"/>
      <c r="AY80" s="1170"/>
      <c r="AZ80" s="1170"/>
      <c r="BA80" s="1170"/>
      <c r="BB80" s="1170"/>
      <c r="BC80" s="1170"/>
      <c r="BD80" s="1170"/>
      <c r="BE80" s="1170"/>
      <c r="BF80" s="1170"/>
      <c r="BG80" s="1170"/>
      <c r="BH80" s="1170"/>
      <c r="BI80" s="1170"/>
      <c r="BJ80" s="1170"/>
      <c r="BK80" s="1170"/>
      <c r="BL80" s="1170"/>
      <c r="BM80" s="1170"/>
      <c r="BN80" s="1170" t="s">
        <v>541</v>
      </c>
      <c r="BO80" s="1170"/>
      <c r="BP80" s="1187">
        <f ca="1">(AE64+BL73)*$BP$81</f>
        <v>2030267.5728452108</v>
      </c>
      <c r="BQ80" s="1170"/>
      <c r="BR80" s="1170"/>
      <c r="BS80" s="1170"/>
      <c r="BT80" s="1170"/>
      <c r="BU80" s="1170"/>
      <c r="BV80" s="1170"/>
      <c r="BW80" s="1170"/>
      <c r="BX80" s="1170"/>
      <c r="BY80" s="1170"/>
      <c r="BZ80" s="1170"/>
      <c r="CA80" s="1170"/>
      <c r="CB80" s="1170"/>
      <c r="CC80" s="1170"/>
      <c r="CD80" s="1170"/>
      <c r="CE80" s="1170"/>
      <c r="CF80" s="1170"/>
      <c r="CG80" s="1170"/>
      <c r="CH80" s="1170"/>
      <c r="CI80" s="1170"/>
      <c r="CJ80" s="1170"/>
      <c r="CK80" s="1170"/>
      <c r="CL80" s="1170"/>
      <c r="CM80" s="1170"/>
      <c r="CN80" s="1170"/>
      <c r="CO80" s="1170"/>
      <c r="CP80" s="1170"/>
      <c r="CQ80" s="1170"/>
      <c r="CR80" s="1170"/>
      <c r="CS80" s="1182" t="str">
        <f>CokingRefineryCalcs!C313</f>
        <v>Property</v>
      </c>
      <c r="CT80" s="1182" t="str">
        <f>CokingRefineryCalcs!D313</f>
        <v>Units</v>
      </c>
      <c r="CU80" s="1170"/>
      <c r="CV80" s="1170"/>
      <c r="CW80" s="1170"/>
      <c r="CX80" s="1170"/>
      <c r="CY80" s="1160"/>
      <c r="CZ80" s="1160"/>
      <c r="DA80" s="1160"/>
      <c r="DB80" s="1160"/>
      <c r="DC80" s="1160"/>
      <c r="DD80" s="1160"/>
      <c r="DE80" s="1160"/>
      <c r="DF80" s="1160"/>
      <c r="DG80" s="1160"/>
      <c r="DH80" s="1160"/>
      <c r="DI80" s="1160"/>
      <c r="DJ80" s="1160"/>
      <c r="DK80" s="1193" t="s">
        <v>226</v>
      </c>
      <c r="DL80" s="1243" t="s">
        <v>522</v>
      </c>
      <c r="DM80" s="1160"/>
      <c r="DN80" s="1160"/>
      <c r="DO80" s="1160"/>
      <c r="DP80" s="1160"/>
      <c r="DQ80" s="1160"/>
      <c r="DR80" s="1160"/>
      <c r="DS80" s="1160"/>
      <c r="DT80" s="1160"/>
      <c r="DU80" s="1160"/>
      <c r="DV80" s="1160"/>
      <c r="DW80" s="1160"/>
      <c r="DX80" s="1160"/>
      <c r="DY80" s="1160"/>
      <c r="DZ80" s="1160"/>
      <c r="EA80" s="1160"/>
      <c r="EB80" s="1160"/>
    </row>
    <row r="81" spans="1:136" ht="15" x14ac:dyDescent="0.25">
      <c r="A81" s="1160"/>
      <c r="B81" s="1172"/>
      <c r="C81" s="1244" t="s">
        <v>537</v>
      </c>
      <c r="D81" s="1201"/>
      <c r="E81" s="1203"/>
      <c r="F81" s="1203"/>
      <c r="G81" s="1203"/>
      <c r="H81" s="1107"/>
      <c r="I81" s="1107"/>
      <c r="J81" s="1107"/>
      <c r="K81" s="1107"/>
      <c r="L81" s="1150"/>
      <c r="M81" s="1170"/>
      <c r="N81" s="1170"/>
      <c r="O81" s="1170"/>
      <c r="P81" s="1170"/>
      <c r="Q81" s="1170"/>
      <c r="R81" s="1170"/>
      <c r="S81" s="1170"/>
      <c r="T81" s="1170"/>
      <c r="U81" s="1170"/>
      <c r="V81" s="1170"/>
      <c r="W81" s="1170"/>
      <c r="X81" s="1170"/>
      <c r="Y81" s="1186" t="str">
        <f>CokingRefineryCalcs!C52</f>
        <v xml:space="preserve">API gravity </v>
      </c>
      <c r="Z81" s="1170"/>
      <c r="AA81" s="1170">
        <f ca="1">CokingRefineryCalcs!I52</f>
        <v>28.801518447896115</v>
      </c>
      <c r="AB81" s="1170"/>
      <c r="AC81" s="1170" t="s">
        <v>541</v>
      </c>
      <c r="AD81" s="1170"/>
      <c r="AE81" s="1187">
        <f ca="1">(U115+W53)*$AE$82</f>
        <v>0</v>
      </c>
      <c r="AF81" s="1170"/>
      <c r="AG81" s="1170"/>
      <c r="AH81" s="1170"/>
      <c r="AI81" s="1170"/>
      <c r="AJ81" s="1170"/>
      <c r="AK81" s="1170"/>
      <c r="AL81" s="1170"/>
      <c r="AM81" s="1170"/>
      <c r="AN81" s="1170"/>
      <c r="AO81" s="1170"/>
      <c r="AP81" s="1170"/>
      <c r="AQ81" s="1170"/>
      <c r="AR81" s="1170"/>
      <c r="AS81" s="1170"/>
      <c r="AT81" s="1170"/>
      <c r="AU81" s="1170"/>
      <c r="AV81" s="1170"/>
      <c r="AW81" s="1170"/>
      <c r="AX81" s="1170"/>
      <c r="AY81" s="1170"/>
      <c r="AZ81" s="1170"/>
      <c r="BA81" s="1170"/>
      <c r="BB81" s="1170"/>
      <c r="BC81" s="1170"/>
      <c r="BD81" s="1170"/>
      <c r="BE81" s="1170"/>
      <c r="BF81" s="1170"/>
      <c r="BG81" s="1170"/>
      <c r="BH81" s="1170"/>
      <c r="BI81" s="1170"/>
      <c r="BJ81" s="1170"/>
      <c r="BK81" s="1170"/>
      <c r="BL81" s="1170"/>
      <c r="BM81" s="1170"/>
      <c r="BN81" s="1180" t="s">
        <v>1066</v>
      </c>
      <c r="BO81" s="1170"/>
      <c r="BP81" s="1170">
        <f ca="1">IF(CokingRefineryPFD!E50=TRUE,BP82,1)</f>
        <v>1</v>
      </c>
      <c r="BQ81" s="1170"/>
      <c r="BR81" s="1170"/>
      <c r="BS81" s="1170"/>
      <c r="BT81" s="1170"/>
      <c r="BU81" s="1247"/>
      <c r="BV81" s="1170"/>
      <c r="BW81" s="1170"/>
      <c r="BX81" s="1170"/>
      <c r="BY81" s="1170"/>
      <c r="BZ81" s="1170"/>
      <c r="CA81" s="1170"/>
      <c r="CB81" s="1170"/>
      <c r="CC81" s="1170"/>
      <c r="CD81" s="1170"/>
      <c r="CE81" s="1170"/>
      <c r="CF81" s="1170"/>
      <c r="CG81" s="1170"/>
      <c r="CH81" s="1170"/>
      <c r="CI81" s="1170"/>
      <c r="CJ81" s="1170"/>
      <c r="CK81" s="1170"/>
      <c r="CL81" s="1170"/>
      <c r="CM81" s="1170"/>
      <c r="CN81" s="1170"/>
      <c r="CO81" s="1170"/>
      <c r="CP81" s="1170"/>
      <c r="CQ81" s="1170"/>
      <c r="CR81" s="1170"/>
      <c r="CS81" s="1182" t="str">
        <f>CokingRefineryCalcs!C314</f>
        <v>Vol Flow</v>
      </c>
      <c r="CT81" s="1170" t="str">
        <f ca="1">CokingRefineryCalcs!D314</f>
        <v>bpd</v>
      </c>
      <c r="CU81" s="1170">
        <f ca="1">CokingRefineryCalcs!H314</f>
        <v>13412.605933516299</v>
      </c>
      <c r="CV81" s="1170"/>
      <c r="CW81" s="1170"/>
      <c r="CX81" s="1170"/>
      <c r="CY81" s="1160"/>
      <c r="CZ81" s="1160"/>
      <c r="DA81" s="1160"/>
      <c r="DB81" s="1181" t="str">
        <f>CokingRefineryCalcs!J313</f>
        <v>ULSD</v>
      </c>
      <c r="DC81" s="1170"/>
      <c r="DD81" s="1170"/>
      <c r="DE81" s="1180" t="str">
        <f>DB81</f>
        <v>ULSD</v>
      </c>
      <c r="DF81" s="1180"/>
      <c r="DG81" s="1170"/>
      <c r="DH81" s="1170"/>
      <c r="DI81" s="1160"/>
      <c r="DJ81" s="1160"/>
      <c r="DK81" s="1160" t="s">
        <v>263</v>
      </c>
      <c r="DL81" s="1171">
        <f ca="1">AE43*DL86</f>
        <v>0</v>
      </c>
      <c r="DM81" s="1160"/>
      <c r="DN81" s="1160"/>
      <c r="DO81" s="1160"/>
      <c r="DP81" s="1160"/>
      <c r="DQ81" s="1160"/>
      <c r="DR81" s="1160"/>
      <c r="DS81" s="1160"/>
      <c r="DT81" s="1160"/>
      <c r="DU81" s="1160"/>
      <c r="DV81" s="1160"/>
      <c r="DW81" s="1160"/>
      <c r="DX81" s="1160"/>
      <c r="DY81" s="1160"/>
      <c r="DZ81" s="1160"/>
      <c r="EA81" s="1160"/>
      <c r="EB81" s="1160"/>
      <c r="ED81" s="1195" t="s">
        <v>1925</v>
      </c>
      <c r="EE81" s="1160"/>
      <c r="EF81" s="1160"/>
    </row>
    <row r="82" spans="1:136" ht="15" x14ac:dyDescent="0.25">
      <c r="A82" s="1160"/>
      <c r="B82" s="1172"/>
      <c r="C82" s="1244" t="s">
        <v>531</v>
      </c>
      <c r="D82" s="1201"/>
      <c r="E82" s="1203"/>
      <c r="F82" s="1203"/>
      <c r="G82" s="1203"/>
      <c r="H82" s="1107"/>
      <c r="I82" s="1107"/>
      <c r="J82" s="1107"/>
      <c r="K82" s="1107"/>
      <c r="L82" s="1150"/>
      <c r="M82" s="1170"/>
      <c r="N82" s="1170"/>
      <c r="O82" s="1170"/>
      <c r="P82" s="1170"/>
      <c r="Q82" s="1170"/>
      <c r="R82" s="1170"/>
      <c r="S82" s="1170"/>
      <c r="T82" s="1170"/>
      <c r="U82" s="1170"/>
      <c r="V82" s="1170"/>
      <c r="W82" s="1170"/>
      <c r="X82" s="1170"/>
      <c r="Y82" s="1186" t="str">
        <f>CokingRefineryCalcs!C53</f>
        <v>Density</v>
      </c>
      <c r="Z82" s="1170" t="str">
        <f ca="1">CokingRefineryCalcs!D53</f>
        <v>kg/m^3</v>
      </c>
      <c r="AA82" s="1170">
        <f ca="1">CokingRefineryCalcs!I53</f>
        <v>882.71153866825466</v>
      </c>
      <c r="AB82" s="1170"/>
      <c r="AC82" s="1180" t="s">
        <v>1065</v>
      </c>
      <c r="AD82" s="1170"/>
      <c r="AE82" s="1170">
        <f ca="1">IF(CokingRefineryConfig=0,IF(E46=TRUE,IF(E47=TRUE,AA87/(AA53+AA70+AA87+AA102+CokingRefineryPFD!AN293),AA87/(AA53+AA70+AA87+AA102+W140)),IF(E47=TRUE,AA87/(AA53+AA70+AA87+CokingRefineryPFD!AN293),AA87/(AA53+AA70+AA87+W140))),AA87/(AA53+AA70+AA87+AA102+W140))</f>
        <v>0.19879805599845532</v>
      </c>
      <c r="AF82" s="1170"/>
      <c r="AG82" s="1170"/>
      <c r="AH82" s="1170"/>
      <c r="AI82" s="1170"/>
      <c r="AJ82" s="1170"/>
      <c r="AK82" s="1170"/>
      <c r="AL82" s="1170"/>
      <c r="AM82" s="1170"/>
      <c r="AN82" s="1170"/>
      <c r="AO82" s="1170"/>
      <c r="AP82" s="1170"/>
      <c r="AQ82" s="1170"/>
      <c r="AR82" s="1170"/>
      <c r="AS82" s="1170"/>
      <c r="AT82" s="1170"/>
      <c r="AU82" s="1170"/>
      <c r="AV82" s="1170"/>
      <c r="AW82" s="1170"/>
      <c r="AX82" s="1170"/>
      <c r="AY82" s="1170"/>
      <c r="AZ82" s="1170"/>
      <c r="BA82" s="1170"/>
      <c r="BB82" s="1170"/>
      <c r="BC82" s="1170"/>
      <c r="BD82" s="1170"/>
      <c r="BE82" s="1170"/>
      <c r="BF82" s="1170"/>
      <c r="BG82" s="1170"/>
      <c r="BH82" s="1170"/>
      <c r="BI82" s="1170"/>
      <c r="BJ82" s="1170"/>
      <c r="BK82" s="1170"/>
      <c r="BL82" s="1170"/>
      <c r="BM82" s="1170"/>
      <c r="BN82" s="1180" t="s">
        <v>1065</v>
      </c>
      <c r="BO82" s="1170"/>
      <c r="BP82" s="1196">
        <f ca="1">BP73/(BP73+BG68)</f>
        <v>1</v>
      </c>
      <c r="BQ82" s="1170"/>
      <c r="BR82" s="1170"/>
      <c r="BS82" s="1170"/>
      <c r="BT82" s="1170"/>
      <c r="BU82" s="1170"/>
      <c r="BV82" s="1170"/>
      <c r="BW82" s="1170"/>
      <c r="BX82" s="1170"/>
      <c r="BY82" s="1186"/>
      <c r="BZ82" s="1170"/>
      <c r="CA82" s="1170"/>
      <c r="CB82" s="1170"/>
      <c r="CC82" s="1170"/>
      <c r="CD82" s="1170"/>
      <c r="CE82" s="1170"/>
      <c r="CF82" s="1170"/>
      <c r="CG82" s="1170"/>
      <c r="CH82" s="1170"/>
      <c r="CI82" s="1170"/>
      <c r="CJ82" s="1170"/>
      <c r="CK82" s="1170"/>
      <c r="CL82" s="1170"/>
      <c r="CM82" s="1170"/>
      <c r="CN82" s="1170"/>
      <c r="CO82" s="1170"/>
      <c r="CP82" s="1170"/>
      <c r="CQ82" s="1170"/>
      <c r="CR82" s="1170"/>
      <c r="CS82" s="1182" t="str">
        <f>CokingRefineryCalcs!C315</f>
        <v>Vol Flow</v>
      </c>
      <c r="CT82" s="1170" t="str">
        <f ca="1">CokingRefineryCalcs!D315</f>
        <v>m^3/d</v>
      </c>
      <c r="CU82" s="1170">
        <f ca="1">CokingRefineryCalcs!H315</f>
        <v>2132.4340033337357</v>
      </c>
      <c r="CV82" s="1170"/>
      <c r="CW82" s="1170"/>
      <c r="CX82" s="1170"/>
      <c r="CY82" s="1160"/>
      <c r="CZ82" s="1160"/>
      <c r="DA82" s="1160"/>
      <c r="DB82" s="1182" t="str">
        <f>CokingRefineryCalcs!C313</f>
        <v>Property</v>
      </c>
      <c r="DC82" s="1182" t="str">
        <f>CokingRefineryCalcs!D313</f>
        <v>Units</v>
      </c>
      <c r="DD82" s="1170"/>
      <c r="DE82" s="1180" t="s">
        <v>941</v>
      </c>
      <c r="DF82" s="1180"/>
      <c r="DG82" s="1170"/>
      <c r="DH82" s="1170"/>
      <c r="DI82" s="1160"/>
      <c r="DJ82" s="1160"/>
      <c r="DK82" s="1160" t="s">
        <v>392</v>
      </c>
      <c r="DL82" s="1171">
        <f ca="1">(AE44+AZ44)*$DL$86</f>
        <v>0</v>
      </c>
      <c r="DM82" s="1160"/>
      <c r="DN82" s="1160"/>
      <c r="DO82" s="1160"/>
      <c r="DP82" s="1160"/>
      <c r="DQ82" s="1160"/>
      <c r="DR82" s="1160"/>
      <c r="DS82" s="1160"/>
      <c r="DT82" s="1160"/>
      <c r="DU82" s="1160"/>
      <c r="DV82" s="1160"/>
      <c r="DW82" s="1160"/>
      <c r="DX82" s="1160"/>
      <c r="DY82" s="1160"/>
      <c r="DZ82" s="1160"/>
      <c r="EA82" s="1160"/>
      <c r="EB82" s="1160"/>
      <c r="ED82" s="1186" t="s">
        <v>582</v>
      </c>
      <c r="EE82" s="1160" t="s">
        <v>566</v>
      </c>
      <c r="EF82" s="1187"/>
    </row>
    <row r="83" spans="1:136" ht="15" x14ac:dyDescent="0.25">
      <c r="A83" s="1160"/>
      <c r="B83" s="1172"/>
      <c r="C83" s="1244" t="s">
        <v>448</v>
      </c>
      <c r="D83" s="1201"/>
      <c r="E83" s="1203"/>
      <c r="F83" s="1203"/>
      <c r="G83" s="1203"/>
      <c r="H83" s="1107"/>
      <c r="I83" s="1107"/>
      <c r="J83" s="1107"/>
      <c r="K83" s="1107"/>
      <c r="L83" s="1150"/>
      <c r="M83" s="1170"/>
      <c r="N83" s="1170"/>
      <c r="O83" s="1170"/>
      <c r="P83" s="1170"/>
      <c r="Q83" s="1170"/>
      <c r="R83" s="1170"/>
      <c r="S83" s="1170"/>
      <c r="T83" s="1170"/>
      <c r="U83" s="1170"/>
      <c r="V83" s="1170"/>
      <c r="W83" s="1170"/>
      <c r="X83" s="1170"/>
      <c r="Y83" s="1186" t="str">
        <f>CokingRefineryCalcs!C54</f>
        <v>Hydrogen</v>
      </c>
      <c r="Z83" s="1170" t="str">
        <f ca="1">CokingRefineryCalcs!D54</f>
        <v>wt%</v>
      </c>
      <c r="AA83" s="1170">
        <f ca="1">CokingRefineryCalcs!I54</f>
        <v>12.394831175477645</v>
      </c>
      <c r="AB83" s="1170"/>
      <c r="AC83" s="1197" t="s">
        <v>228</v>
      </c>
      <c r="AD83" s="1170"/>
      <c r="AE83" s="1170">
        <f ca="1">IF(CokingRefineryConfig=0,IF(E46=TRUE,IF(E47=TRUE,AA79/U101,AA79/(U101-CokingRefineryPFD!AN285)),IF(E47=TRUE,AA79/(U101-AA94),AA79/(U101-AA94-CokingRefineryPFD!AN285))),AA79/U101)</f>
        <v>0.2098411803655891</v>
      </c>
      <c r="AF83" s="1170"/>
      <c r="AG83" s="1170"/>
      <c r="AH83" s="1170"/>
      <c r="AI83" s="1170"/>
      <c r="AJ83" s="1170"/>
      <c r="AK83" s="1170"/>
      <c r="AL83" s="1170"/>
      <c r="AM83" s="1170"/>
      <c r="AN83" s="1170"/>
      <c r="AO83" s="1170"/>
      <c r="AP83" s="1170"/>
      <c r="AQ83" s="1170"/>
      <c r="AR83" s="1170"/>
      <c r="AS83" s="1170"/>
      <c r="AT83" s="1170"/>
      <c r="AU83" s="1170"/>
      <c r="AV83" s="1170"/>
      <c r="AW83" s="1170"/>
      <c r="AX83" s="1170"/>
      <c r="AY83" s="1170"/>
      <c r="AZ83" s="1170"/>
      <c r="BA83" s="1170"/>
      <c r="BB83" s="1170"/>
      <c r="BC83" s="1170"/>
      <c r="BD83" s="1170"/>
      <c r="BE83" s="1170"/>
      <c r="BF83" s="1170"/>
      <c r="BG83" s="1170"/>
      <c r="BH83" s="1170"/>
      <c r="BI83" s="1170"/>
      <c r="BJ83" s="1170"/>
      <c r="BK83" s="1170"/>
      <c r="BL83" s="1170"/>
      <c r="BM83" s="1170"/>
      <c r="BN83" s="1197" t="s">
        <v>228</v>
      </c>
      <c r="BO83" s="1170"/>
      <c r="BP83" s="1170">
        <f ca="1">BP65/(AA62+BL76)</f>
        <v>0.99732311048631883</v>
      </c>
      <c r="BQ83" s="1170"/>
      <c r="BR83" s="1170"/>
      <c r="BS83" s="1170"/>
      <c r="BT83" s="1170"/>
      <c r="BU83" s="1247"/>
      <c r="BV83" s="1170"/>
      <c r="BW83" s="1170"/>
      <c r="BX83" s="1170"/>
      <c r="BY83" s="1186"/>
      <c r="BZ83" s="1170"/>
      <c r="CA83" s="1170"/>
      <c r="CB83" s="1170"/>
      <c r="CC83" s="1170"/>
      <c r="CD83" s="1170"/>
      <c r="CE83" s="1170"/>
      <c r="CF83" s="1170"/>
      <c r="CG83" s="1170"/>
      <c r="CH83" s="1170"/>
      <c r="CI83" s="1170"/>
      <c r="CJ83" s="1170"/>
      <c r="CK83" s="1170"/>
      <c r="CL83" s="1170"/>
      <c r="CM83" s="1170"/>
      <c r="CN83" s="1170"/>
      <c r="CO83" s="1170"/>
      <c r="CP83" s="1170"/>
      <c r="CQ83" s="1170"/>
      <c r="CR83" s="1170"/>
      <c r="CS83" s="1182" t="str">
        <f>CokingRefineryCalcs!C316</f>
        <v>Mass Flow</v>
      </c>
      <c r="CT83" s="1170" t="str">
        <f>CokingRefineryCalcs!D316</f>
        <v>kg/d</v>
      </c>
      <c r="CU83" s="1170">
        <f ca="1">CokingRefineryCalcs!H316</f>
        <v>1759258.0527503318</v>
      </c>
      <c r="CV83" s="1170"/>
      <c r="CW83" s="1170"/>
      <c r="CX83" s="1170"/>
      <c r="CY83" s="1160"/>
      <c r="CZ83" s="1160"/>
      <c r="DA83" s="1160"/>
      <c r="DB83" s="1186" t="str">
        <f>CokingRefineryCalcs!C314</f>
        <v>Vol Flow</v>
      </c>
      <c r="DC83" s="1170" t="str">
        <f ca="1">CokingRefineryCalcs!D314</f>
        <v>bpd</v>
      </c>
      <c r="DD83" s="1170">
        <f ca="1">CokingRefineryCalcs!J314</f>
        <v>13412.605933522691</v>
      </c>
      <c r="DE83" s="1183" t="s">
        <v>226</v>
      </c>
      <c r="DF83" s="1183"/>
      <c r="DG83" s="1184" t="s">
        <v>522</v>
      </c>
      <c r="DH83" s="1170"/>
      <c r="DI83" s="1160"/>
      <c r="DJ83" s="1160"/>
      <c r="DK83" s="1160" t="s">
        <v>224</v>
      </c>
      <c r="DL83" s="1171">
        <f ca="1">(AE45+AZ45)*$DL$86</f>
        <v>0</v>
      </c>
      <c r="DM83" s="1160"/>
      <c r="DN83" s="1160"/>
      <c r="DO83" s="1160"/>
      <c r="DP83" s="1160"/>
      <c r="DQ83" s="1160"/>
      <c r="DR83" s="1160"/>
      <c r="DS83" s="1160"/>
      <c r="DT83" s="1160"/>
      <c r="DU83" s="1160"/>
      <c r="DV83" s="1160"/>
      <c r="DW83" s="1160"/>
      <c r="DX83" s="1160"/>
      <c r="DY83" s="1160"/>
      <c r="DZ83" s="1160"/>
      <c r="EA83" s="1160"/>
      <c r="EB83" s="1160"/>
      <c r="ED83" s="1186" t="s">
        <v>582</v>
      </c>
      <c r="EE83" s="1160" t="s">
        <v>628</v>
      </c>
      <c r="EF83" s="1187"/>
    </row>
    <row r="84" spans="1:136" ht="15" x14ac:dyDescent="0.25">
      <c r="A84" s="1160"/>
      <c r="B84" s="1172"/>
      <c r="C84" s="1244" t="s">
        <v>538</v>
      </c>
      <c r="D84" s="1201"/>
      <c r="E84" s="1203"/>
      <c r="F84" s="1203"/>
      <c r="G84" s="1203"/>
      <c r="H84" s="1107"/>
      <c r="I84" s="1107"/>
      <c r="J84" s="1107"/>
      <c r="K84" s="1107"/>
      <c r="L84" s="1150"/>
      <c r="M84" s="1170"/>
      <c r="N84" s="1170"/>
      <c r="O84" s="1170"/>
      <c r="P84" s="1170"/>
      <c r="Q84" s="1170"/>
      <c r="R84" s="1170"/>
      <c r="S84" s="1170"/>
      <c r="T84" s="1170"/>
      <c r="U84" s="1170"/>
      <c r="V84" s="1170"/>
      <c r="W84" s="1170"/>
      <c r="X84" s="1170"/>
      <c r="Y84" s="1186" t="str">
        <f>CokingRefineryCalcs!C55</f>
        <v>MCR</v>
      </c>
      <c r="Z84" s="1170" t="str">
        <f ca="1">CokingRefineryCalcs!D55</f>
        <v>wt%</v>
      </c>
      <c r="AA84" s="1170">
        <f>CokingRefineryCalcs!I55</f>
        <v>0</v>
      </c>
      <c r="AB84" s="1170"/>
      <c r="AC84" s="1170"/>
      <c r="AD84" s="1170"/>
      <c r="AE84" s="1170"/>
      <c r="AF84" s="1170"/>
      <c r="AG84" s="1170"/>
      <c r="AH84" s="1170"/>
      <c r="AI84" s="1170"/>
      <c r="AJ84" s="1170"/>
      <c r="AK84" s="1170"/>
      <c r="AL84" s="1170"/>
      <c r="AM84" s="1170"/>
      <c r="AN84" s="1170"/>
      <c r="AO84" s="1170"/>
      <c r="AP84" s="1170"/>
      <c r="AQ84" s="1170"/>
      <c r="AR84" s="1170"/>
      <c r="AS84" s="1170"/>
      <c r="AT84" s="1170"/>
      <c r="AU84" s="1170"/>
      <c r="AV84" s="1170"/>
      <c r="AW84" s="1170"/>
      <c r="AX84" s="1170"/>
      <c r="AY84" s="1170"/>
      <c r="AZ84" s="1170"/>
      <c r="BA84" s="1170"/>
      <c r="BB84" s="1170"/>
      <c r="BC84" s="1170"/>
      <c r="BD84" s="1170"/>
      <c r="BE84" s="1170"/>
      <c r="BF84" s="1170"/>
      <c r="BG84" s="1170"/>
      <c r="BH84" s="1170"/>
      <c r="BI84" s="1170"/>
      <c r="BJ84" s="1170"/>
      <c r="BK84" s="1170"/>
      <c r="BL84" s="1170"/>
      <c r="BM84" s="1170"/>
      <c r="BN84" s="1170"/>
      <c r="BO84" s="1170"/>
      <c r="BP84" s="1170"/>
      <c r="BQ84" s="1170"/>
      <c r="BR84" s="1170"/>
      <c r="BS84" s="1170"/>
      <c r="BT84" s="1170"/>
      <c r="BU84" s="1170"/>
      <c r="BV84" s="1170"/>
      <c r="BW84" s="1170"/>
      <c r="BX84" s="1170"/>
      <c r="BY84" s="1186"/>
      <c r="BZ84" s="1170"/>
      <c r="CA84" s="1170"/>
      <c r="CB84" s="1170"/>
      <c r="CC84" s="1170"/>
      <c r="CD84" s="1170"/>
      <c r="CE84" s="1170"/>
      <c r="CF84" s="1170"/>
      <c r="CG84" s="1170"/>
      <c r="CH84" s="1170"/>
      <c r="CI84" s="1170"/>
      <c r="CJ84" s="1170"/>
      <c r="CK84" s="1170"/>
      <c r="CL84" s="1170"/>
      <c r="CM84" s="1170"/>
      <c r="CN84" s="1184" t="str">
        <f>'CokingRefinery Detailed Results'!C19</f>
        <v>Diesel Hydrotreater</v>
      </c>
      <c r="CO84" s="1170"/>
      <c r="CP84" s="1170"/>
      <c r="CQ84" s="1170"/>
      <c r="CR84" s="1170"/>
      <c r="CS84" s="1182" t="str">
        <f>CokingRefineryCalcs!C317</f>
        <v xml:space="preserve">Sulphur </v>
      </c>
      <c r="CT84" s="1170" t="str">
        <f ca="1">CokingRefineryCalcs!D317</f>
        <v>wt%</v>
      </c>
      <c r="CU84" s="1170">
        <f>CokingRefineryCalcs!H317</f>
        <v>0</v>
      </c>
      <c r="CV84" s="1170"/>
      <c r="CW84" s="1170"/>
      <c r="CX84" s="1170"/>
      <c r="CY84" s="1160"/>
      <c r="CZ84" s="1160"/>
      <c r="DA84" s="1160"/>
      <c r="DB84" s="1186" t="str">
        <f>CokingRefineryCalcs!C315</f>
        <v>Vol Flow</v>
      </c>
      <c r="DC84" s="1170" t="str">
        <f ca="1">CokingRefineryCalcs!D315</f>
        <v>m^3/d</v>
      </c>
      <c r="DD84" s="1170">
        <f ca="1">CokingRefineryCalcs!J315</f>
        <v>2132.4340033347521</v>
      </c>
      <c r="DE84" s="1170" t="s">
        <v>263</v>
      </c>
      <c r="DF84" s="1170"/>
      <c r="DG84" s="1187">
        <f ca="1">CU95+CJ122</f>
        <v>111050855.87309842</v>
      </c>
      <c r="DH84" s="1170"/>
      <c r="DI84" s="1160"/>
      <c r="DJ84" s="1160"/>
      <c r="DK84" s="1160" t="s">
        <v>485</v>
      </c>
      <c r="DL84" s="1171">
        <f ca="1">(AE46+AZ46)*$DL$86</f>
        <v>0</v>
      </c>
      <c r="DM84" s="1160"/>
      <c r="DN84" s="1160"/>
      <c r="DO84" s="1160"/>
      <c r="DP84" s="1160"/>
      <c r="DQ84" s="1160"/>
      <c r="DR84" s="1160"/>
      <c r="DS84" s="1160"/>
      <c r="DT84" s="1160"/>
      <c r="DU84" s="1160"/>
      <c r="DV84" s="1160"/>
      <c r="DW84" s="1160"/>
      <c r="DX84" s="1160"/>
      <c r="DY84" s="1160"/>
      <c r="DZ84" s="1160"/>
      <c r="EA84" s="1160"/>
      <c r="EB84" s="1160"/>
      <c r="ED84" s="1186" t="s">
        <v>620</v>
      </c>
      <c r="EE84" s="1160" t="s">
        <v>622</v>
      </c>
      <c r="EF84" s="1187">
        <f ca="1">IF(E32=1, EB94, 0)</f>
        <v>242602.85485445199</v>
      </c>
    </row>
    <row r="85" spans="1:136" ht="15" x14ac:dyDescent="0.25">
      <c r="A85" s="1160"/>
      <c r="B85" s="1172"/>
      <c r="C85" s="1244" t="s">
        <v>539</v>
      </c>
      <c r="D85" s="1201"/>
      <c r="E85" s="1203"/>
      <c r="F85" s="1203"/>
      <c r="G85" s="1203"/>
      <c r="H85" s="1107"/>
      <c r="I85" s="1107"/>
      <c r="J85" s="1107"/>
      <c r="K85" s="1107"/>
      <c r="L85" s="1150"/>
      <c r="M85" s="1170"/>
      <c r="N85" s="1170"/>
      <c r="O85" s="1170"/>
      <c r="P85" s="1170"/>
      <c r="Q85" s="1170"/>
      <c r="R85" s="1170"/>
      <c r="S85" s="1170"/>
      <c r="T85" s="1170"/>
      <c r="U85" s="1170"/>
      <c r="V85" s="1170"/>
      <c r="W85" s="1170"/>
      <c r="X85" s="1170"/>
      <c r="Y85" s="1200" t="s">
        <v>1056</v>
      </c>
      <c r="Z85" s="1199" t="s">
        <v>447</v>
      </c>
      <c r="AA85" s="1199">
        <f ca="1">('Energy &amp; Unit Conversions'!$D$63-('Energy &amp; Unit Conversions'!$E$63*POWER((CokingRefineryPFD!AA82/'Energy &amp; Unit Conversions'!$E$54),2)))</f>
        <v>40.509632576711937</v>
      </c>
      <c r="AB85" s="1170"/>
      <c r="AC85" s="1170"/>
      <c r="AD85" s="1170"/>
      <c r="AE85" s="1170"/>
      <c r="AF85" s="1170"/>
      <c r="AG85" s="1170"/>
      <c r="AH85" s="1170"/>
      <c r="AI85" s="1170"/>
      <c r="AJ85" s="1170"/>
      <c r="AK85" s="1170"/>
      <c r="AL85" s="1170"/>
      <c r="AM85" s="1170"/>
      <c r="AN85" s="1170"/>
      <c r="AO85" s="1170"/>
      <c r="AP85" s="1170"/>
      <c r="AQ85" s="1170"/>
      <c r="AR85" s="1170"/>
      <c r="AS85" s="1170"/>
      <c r="AT85" s="1170"/>
      <c r="AU85" s="1170"/>
      <c r="AV85" s="1170"/>
      <c r="AW85" s="1170"/>
      <c r="AX85" s="1170"/>
      <c r="AY85" s="1170"/>
      <c r="AZ85" s="1170"/>
      <c r="BA85" s="1170"/>
      <c r="BB85" s="1170"/>
      <c r="BC85" s="1170"/>
      <c r="BD85" s="1170"/>
      <c r="BE85" s="1170"/>
      <c r="BF85" s="1170"/>
      <c r="BG85" s="1170"/>
      <c r="BH85" s="1170"/>
      <c r="BI85" s="1170"/>
      <c r="BJ85" s="1170"/>
      <c r="BK85" s="1170"/>
      <c r="BL85" s="1170"/>
      <c r="BM85" s="1170"/>
      <c r="BN85" s="1170"/>
      <c r="BO85" s="1170"/>
      <c r="BP85" s="1170"/>
      <c r="BQ85" s="1170"/>
      <c r="BR85" s="1170"/>
      <c r="BS85" s="1170"/>
      <c r="BT85" s="1170"/>
      <c r="BU85" s="1170"/>
      <c r="BV85" s="1170"/>
      <c r="BW85" s="1170"/>
      <c r="BX85" s="1170"/>
      <c r="BY85" s="1186"/>
      <c r="BZ85" s="1170"/>
      <c r="CA85" s="1170"/>
      <c r="CB85" s="1170"/>
      <c r="CC85" s="1170"/>
      <c r="CD85" s="1170"/>
      <c r="CE85" s="1170"/>
      <c r="CF85" s="1170"/>
      <c r="CG85" s="1170"/>
      <c r="CH85" s="1170"/>
      <c r="CI85" s="1170"/>
      <c r="CJ85" s="1170"/>
      <c r="CK85" s="1170"/>
      <c r="CL85" s="1170"/>
      <c r="CM85" s="1170"/>
      <c r="CN85" s="1184" t="s">
        <v>225</v>
      </c>
      <c r="CO85" s="1170"/>
      <c r="CP85" s="1184" t="s">
        <v>522</v>
      </c>
      <c r="CQ85" s="1184"/>
      <c r="CR85" s="1184"/>
      <c r="CS85" s="1182" t="str">
        <f>CokingRefineryCalcs!C319</f>
        <v xml:space="preserve">API gravity </v>
      </c>
      <c r="CT85" s="1170" t="str">
        <f ca="1">CokingRefineryCalcs!D319</f>
        <v>oAPI</v>
      </c>
      <c r="CU85" s="1170">
        <f>CokingRefineryCalcs!H319</f>
        <v>40.01515151515153</v>
      </c>
      <c r="CV85" s="1170"/>
      <c r="CW85" s="1170"/>
      <c r="CX85" s="1170"/>
      <c r="CY85" s="1160"/>
      <c r="CZ85" s="1160"/>
      <c r="DA85" s="1160"/>
      <c r="DB85" s="1186" t="str">
        <f>CokingRefineryCalcs!C316</f>
        <v>Mass Flow</v>
      </c>
      <c r="DC85" s="1170" t="str">
        <f>CokingRefineryCalcs!D316</f>
        <v>kg/d</v>
      </c>
      <c r="DD85" s="1170">
        <f ca="1">CokingRefineryCalcs!J316</f>
        <v>1759258.0527511754</v>
      </c>
      <c r="DE85" s="1170" t="s">
        <v>392</v>
      </c>
      <c r="DF85" s="1170"/>
      <c r="DG85" s="1187">
        <f ca="1">CU96+CJ123</f>
        <v>144280.28818769535</v>
      </c>
      <c r="DH85" s="1170"/>
      <c r="DI85" s="1160"/>
      <c r="DJ85" s="1160"/>
      <c r="DK85" s="1160" t="s">
        <v>541</v>
      </c>
      <c r="DL85" s="1171">
        <f ca="1">(AE47+AZ47)*$DL$86</f>
        <v>0</v>
      </c>
      <c r="DM85" s="1160"/>
      <c r="DN85" s="1160"/>
      <c r="DO85" s="1160"/>
      <c r="DP85" s="1160"/>
      <c r="DQ85" s="1160"/>
      <c r="DR85" s="1160"/>
      <c r="DS85" s="1160"/>
      <c r="DT85" s="1160"/>
      <c r="DU85" s="1160"/>
      <c r="DV85" s="1160"/>
      <c r="DW85" s="1160"/>
      <c r="DX85" s="1160"/>
      <c r="DY85" s="1160"/>
      <c r="DZ85" s="1160"/>
      <c r="EA85" s="1160"/>
      <c r="EB85" s="1160"/>
      <c r="ED85" s="1186" t="s">
        <v>1698</v>
      </c>
      <c r="EE85" s="1199" t="s">
        <v>447</v>
      </c>
      <c r="EF85" s="1199">
        <f>'Energy &amp; Unit Conversions'!$Q$27</f>
        <v>46.898519302437805</v>
      </c>
    </row>
    <row r="86" spans="1:136" ht="15" x14ac:dyDescent="0.25">
      <c r="A86" s="1160"/>
      <c r="B86" s="1172"/>
      <c r="C86" s="1244" t="s">
        <v>540</v>
      </c>
      <c r="D86" s="1201"/>
      <c r="E86" s="1203"/>
      <c r="F86" s="1203"/>
      <c r="G86" s="1203"/>
      <c r="H86" s="1107"/>
      <c r="I86" s="1107"/>
      <c r="J86" s="1107"/>
      <c r="K86" s="1107"/>
      <c r="L86" s="1150"/>
      <c r="M86" s="1170"/>
      <c r="N86" s="1170"/>
      <c r="O86" s="1170"/>
      <c r="P86" s="1170"/>
      <c r="Q86" s="1170"/>
      <c r="R86" s="1170"/>
      <c r="S86" s="1170"/>
      <c r="T86" s="1170"/>
      <c r="U86" s="1170"/>
      <c r="V86" s="1170"/>
      <c r="W86" s="1170"/>
      <c r="X86" s="1170"/>
      <c r="Y86" s="1200" t="s">
        <v>1021</v>
      </c>
      <c r="Z86" s="1199" t="s">
        <v>1022</v>
      </c>
      <c r="AA86" s="1199">
        <f>Constants!G339</f>
        <v>70.789999999999992</v>
      </c>
      <c r="AB86" s="1170"/>
      <c r="AC86" s="1170"/>
      <c r="AD86" s="1170"/>
      <c r="AE86" s="1170"/>
      <c r="AF86" s="1170"/>
      <c r="AG86" s="1170"/>
      <c r="AH86" s="1170"/>
      <c r="AI86" s="1170"/>
      <c r="AJ86" s="1170"/>
      <c r="AK86" s="1170"/>
      <c r="AL86" s="1170"/>
      <c r="AM86" s="1170"/>
      <c r="AN86" s="1170"/>
      <c r="AO86" s="1170"/>
      <c r="AP86" s="1170"/>
      <c r="AQ86" s="1170"/>
      <c r="AR86" s="1170"/>
      <c r="AS86" s="1170"/>
      <c r="AT86" s="1170"/>
      <c r="AU86" s="1170"/>
      <c r="AV86" s="1170"/>
      <c r="AW86" s="1170"/>
      <c r="AX86" s="1170"/>
      <c r="AY86" s="1170"/>
      <c r="AZ86" s="1170"/>
      <c r="BA86" s="1170"/>
      <c r="BB86" s="1170"/>
      <c r="BC86" s="1170"/>
      <c r="BD86" s="1170"/>
      <c r="BE86" s="1170"/>
      <c r="BF86" s="1170"/>
      <c r="BG86" s="1170"/>
      <c r="BH86" s="1170"/>
      <c r="BI86" s="1170"/>
      <c r="BJ86" s="1170"/>
      <c r="BK86" s="1170"/>
      <c r="BL86" s="1170"/>
      <c r="BM86" s="1170"/>
      <c r="BN86" s="1170"/>
      <c r="BO86" s="1170"/>
      <c r="BP86" s="1170"/>
      <c r="BQ86" s="1170"/>
      <c r="BR86" s="1170"/>
      <c r="BS86" s="1170"/>
      <c r="BT86" s="1170"/>
      <c r="BU86" s="1170"/>
      <c r="BV86" s="1170"/>
      <c r="BW86" s="1170"/>
      <c r="BX86" s="1170"/>
      <c r="BY86" s="1186"/>
      <c r="BZ86" s="1170"/>
      <c r="CA86" s="1170"/>
      <c r="CB86" s="1170"/>
      <c r="CC86" s="1170"/>
      <c r="CD86" s="1170"/>
      <c r="CE86" s="1170"/>
      <c r="CF86" s="1170"/>
      <c r="CG86" s="1170"/>
      <c r="CH86" s="1170"/>
      <c r="CI86" s="1170"/>
      <c r="CJ86" s="1170"/>
      <c r="CK86" s="1170"/>
      <c r="CL86" s="1170"/>
      <c r="CM86" s="1170"/>
      <c r="CN86" s="1170" t="s">
        <v>392</v>
      </c>
      <c r="CO86" s="1170"/>
      <c r="CP86" s="1187">
        <f ca="1">'CokingRefinery Detailed Results'!F19+IF(AND($EB$144+$EB$161=0,E51=FALSE),'CokingRefinery Detailed Results'!F30*CokingRefineryCalcs!$U$981,0)</f>
        <v>136826.92302637812</v>
      </c>
      <c r="CQ86" s="1187"/>
      <c r="CR86" s="1187"/>
      <c r="CS86" s="1248" t="str">
        <f>CokingRefineryCalcs!C320</f>
        <v>Density</v>
      </c>
      <c r="CT86" s="1170" t="str">
        <f ca="1">CokingRefineryCalcs!D320</f>
        <v>kg/m^3</v>
      </c>
      <c r="CU86" s="1170">
        <f>CokingRefineryCalcs!H320</f>
        <v>825</v>
      </c>
      <c r="CV86" s="1170"/>
      <c r="CW86" s="1170"/>
      <c r="CX86" s="1170"/>
      <c r="CY86" s="1160"/>
      <c r="CZ86" s="1160"/>
      <c r="DA86" s="1160"/>
      <c r="DB86" s="1186" t="str">
        <f>CokingRefineryCalcs!C317</f>
        <v xml:space="preserve">Sulphur </v>
      </c>
      <c r="DC86" s="1170" t="str">
        <f ca="1">CokingRefineryCalcs!D317</f>
        <v>wt%</v>
      </c>
      <c r="DD86" s="1170">
        <f ca="1">CokingRefineryCalcs!J317</f>
        <v>1.9262478381529332E-18</v>
      </c>
      <c r="DE86" s="1170" t="s">
        <v>224</v>
      </c>
      <c r="DF86" s="1170"/>
      <c r="DG86" s="1187">
        <f ca="1">CU97+CJ124</f>
        <v>2837571.2917130152</v>
      </c>
      <c r="DH86" s="1170"/>
      <c r="DI86" s="1160"/>
      <c r="DJ86" s="1160"/>
      <c r="DK86" s="1191" t="s">
        <v>1066</v>
      </c>
      <c r="DL86" s="1245">
        <f ca="1">IF(CokingRefineryPFD!E50=TRUE,DL87,0)</f>
        <v>0</v>
      </c>
      <c r="DM86" s="1160"/>
      <c r="DN86" s="1160"/>
      <c r="DO86" s="1160"/>
      <c r="DP86" s="1160"/>
      <c r="DQ86" s="1160"/>
      <c r="DR86" s="1160"/>
      <c r="DS86" s="1160"/>
      <c r="DT86" s="1160"/>
      <c r="DU86" s="1160"/>
      <c r="DV86" s="1160"/>
      <c r="DW86" s="1160"/>
      <c r="DX86" s="1160"/>
      <c r="DY86" s="1160"/>
      <c r="DZ86" s="1160"/>
      <c r="EA86" s="1160"/>
      <c r="EB86" s="1160"/>
      <c r="ED86" s="1200" t="s">
        <v>1021</v>
      </c>
      <c r="EE86" s="1199" t="s">
        <v>1022</v>
      </c>
      <c r="EF86" s="1199">
        <f>Constants!$G$353</f>
        <v>33.957001686096191</v>
      </c>
    </row>
    <row r="87" spans="1:136" ht="15" x14ac:dyDescent="0.25">
      <c r="A87" s="1160"/>
      <c r="B87" s="1172"/>
      <c r="C87" s="1244" t="s">
        <v>449</v>
      </c>
      <c r="D87" s="1201"/>
      <c r="E87" s="1203"/>
      <c r="F87" s="1203"/>
      <c r="G87" s="1203"/>
      <c r="H87" s="1107"/>
      <c r="I87" s="1107"/>
      <c r="J87" s="1107"/>
      <c r="K87" s="1107"/>
      <c r="L87" s="1150"/>
      <c r="M87" s="1170"/>
      <c r="N87" s="1170"/>
      <c r="O87" s="1170"/>
      <c r="P87" s="1170"/>
      <c r="Q87" s="1170"/>
      <c r="R87" s="1170"/>
      <c r="S87" s="1170"/>
      <c r="T87" s="1170"/>
      <c r="U87" s="1170"/>
      <c r="V87" s="1170"/>
      <c r="W87" s="1170"/>
      <c r="X87" s="1170"/>
      <c r="Y87" s="1204" t="s">
        <v>1054</v>
      </c>
      <c r="Z87" s="1204" t="str">
        <f>IF(allocationMethod=1,$C$21,IF(allocationMethod=2,$C$22,IF(allocationMethod=3,$C$23,$C$24)))</f>
        <v>Hydrogen Content Basis</v>
      </c>
      <c r="AA87" s="1204">
        <f ca="1">IF(allocationMethod=1,AA79,IF(allocationMethod=2,AA85*AA79,IF(allocationMethod=3,AA86*AA77,AA83*AA79/100)))</f>
        <v>217867.90850382741</v>
      </c>
      <c r="AB87" s="1170"/>
      <c r="AC87" s="1170">
        <f ca="1">AA82/1000/'Energy &amp; Unit Conversions'!J93</f>
        <v>0.88358186680705963</v>
      </c>
      <c r="AD87" s="1170"/>
      <c r="AE87" s="1170"/>
      <c r="AF87" s="1170"/>
      <c r="AG87" s="1170"/>
      <c r="AH87" s="1170"/>
      <c r="AI87" s="1170"/>
      <c r="AJ87" s="1170"/>
      <c r="AK87" s="1170"/>
      <c r="AL87" s="1170"/>
      <c r="AM87" s="1170"/>
      <c r="AN87" s="1170"/>
      <c r="AO87" s="1170"/>
      <c r="AP87" s="1170"/>
      <c r="AQ87" s="1170"/>
      <c r="AR87" s="1170"/>
      <c r="AS87" s="1170"/>
      <c r="AT87" s="1170"/>
      <c r="AU87" s="1170"/>
      <c r="AV87" s="1170"/>
      <c r="AW87" s="1170"/>
      <c r="AX87" s="1170"/>
      <c r="AY87" s="1170"/>
      <c r="AZ87" s="1170"/>
      <c r="BA87" s="1170"/>
      <c r="BB87" s="1170"/>
      <c r="BC87" s="1170"/>
      <c r="BD87" s="1170"/>
      <c r="BE87" s="1170"/>
      <c r="BF87" s="1170"/>
      <c r="BG87" s="1170"/>
      <c r="BH87" s="1170"/>
      <c r="BI87" s="1170"/>
      <c r="BJ87" s="1170"/>
      <c r="BK87" s="1170"/>
      <c r="BL87" s="1170"/>
      <c r="BM87" s="1170"/>
      <c r="BN87" s="1170"/>
      <c r="BO87" s="1170"/>
      <c r="BP87" s="1170"/>
      <c r="BQ87" s="1170"/>
      <c r="BR87" s="1170"/>
      <c r="BS87" s="1170"/>
      <c r="BT87" s="1170"/>
      <c r="BU87" s="1170"/>
      <c r="BV87" s="1170"/>
      <c r="BW87" s="1170"/>
      <c r="BX87" s="1170"/>
      <c r="BY87" s="1186"/>
      <c r="BZ87" s="1170"/>
      <c r="CA87" s="1170"/>
      <c r="CB87" s="1170"/>
      <c r="CC87" s="1170"/>
      <c r="CD87" s="1170"/>
      <c r="CE87" s="1170"/>
      <c r="CF87" s="1170"/>
      <c r="CG87" s="1170"/>
      <c r="CH87" s="1170"/>
      <c r="CI87" s="1170"/>
      <c r="CJ87" s="1170"/>
      <c r="CK87" s="1170"/>
      <c r="CL87" s="1170"/>
      <c r="CM87" s="1170"/>
      <c r="CN87" s="1170" t="s">
        <v>224</v>
      </c>
      <c r="CO87" s="1170"/>
      <c r="CP87" s="1187">
        <f ca="1">'CokingRefinery Detailed Results'!H19+IF(AND($EB$144+$EB$161=0,E51=FALSE),'CokingRefinery Detailed Results'!H30*CokingRefineryCalcs!$U$981,0)</f>
        <v>2000147.9220331521</v>
      </c>
      <c r="CQ87" s="1187"/>
      <c r="CR87" s="1187"/>
      <c r="CS87" s="1248" t="str">
        <f>CokingRefineryCalcs!C321</f>
        <v>Hydrogen</v>
      </c>
      <c r="CT87" s="1170" t="str">
        <f ca="1">CokingRefineryCalcs!D321</f>
        <v>wt%</v>
      </c>
      <c r="CU87" s="1170">
        <f ca="1">CokingRefineryCalcs!H321</f>
        <v>12.8</v>
      </c>
      <c r="CV87" s="1170"/>
      <c r="CW87" s="1170"/>
      <c r="CX87" s="1170"/>
      <c r="CY87" s="1160"/>
      <c r="CZ87" s="1160"/>
      <c r="DA87" s="1160"/>
      <c r="DB87" s="1186" t="str">
        <f>CokingRefineryCalcs!C319</f>
        <v xml:space="preserve">API gravity </v>
      </c>
      <c r="DC87" s="1170"/>
      <c r="DD87" s="1170">
        <f ca="1">CokingRefineryCalcs!J319</f>
        <v>40.015151515151047</v>
      </c>
      <c r="DE87" s="1170" t="s">
        <v>485</v>
      </c>
      <c r="DF87" s="1170"/>
      <c r="DG87" s="1187">
        <f ca="1">CU98+CJ125</f>
        <v>288857.97988043615</v>
      </c>
      <c r="DH87" s="1170"/>
      <c r="DI87" s="1160"/>
      <c r="DJ87" s="1160"/>
      <c r="DK87" s="1191" t="s">
        <v>1065</v>
      </c>
      <c r="DL87" s="1245">
        <f ca="1">AW36/(BG45+AW36+BG21)</f>
        <v>0</v>
      </c>
      <c r="DM87" s="1160"/>
      <c r="DN87" s="1160"/>
      <c r="DO87" s="1160"/>
      <c r="DP87" s="1160"/>
      <c r="DQ87" s="1160"/>
      <c r="DR87" s="1160"/>
      <c r="DS87" s="1160"/>
      <c r="DT87" s="1160"/>
      <c r="DU87" s="1160"/>
      <c r="DV87" s="1160"/>
      <c r="DW87" s="1160"/>
      <c r="DX87" s="1160"/>
      <c r="DY87" s="1160"/>
      <c r="DZ87" s="1160"/>
      <c r="EA87" s="1160"/>
      <c r="EB87" s="1160"/>
      <c r="ED87" s="1204" t="s">
        <v>1054</v>
      </c>
      <c r="EE87" s="1204" t="str">
        <f>IF(allocationMethod=1,$C$21,IF(allocationMethod=2,$C$22,IF(allocationMethod=3,$C$23,$C$24)))</f>
        <v>Hydrogen Content Basis</v>
      </c>
      <c r="EF87" s="1204"/>
    </row>
    <row r="88" spans="1:136" ht="15" x14ac:dyDescent="0.25">
      <c r="A88" s="1160"/>
      <c r="B88" s="1172"/>
      <c r="C88" s="1244" t="s">
        <v>157</v>
      </c>
      <c r="D88" s="1201"/>
      <c r="E88" s="1203"/>
      <c r="F88" s="1203"/>
      <c r="G88" s="1203"/>
      <c r="H88" s="1107"/>
      <c r="I88" s="1107"/>
      <c r="J88" s="1107"/>
      <c r="K88" s="1107"/>
      <c r="L88" s="1150"/>
      <c r="M88" s="1170"/>
      <c r="N88" s="1170"/>
      <c r="O88" s="1170"/>
      <c r="P88" s="1170"/>
      <c r="Q88" s="1170"/>
      <c r="R88" s="1170"/>
      <c r="S88" s="1170"/>
      <c r="T88" s="1170"/>
      <c r="U88" s="1170"/>
      <c r="V88" s="1170"/>
      <c r="W88" s="1170"/>
      <c r="X88" s="1170"/>
      <c r="Y88" s="1170"/>
      <c r="Z88" s="1170"/>
      <c r="AA88" s="1170"/>
      <c r="AB88" s="1170"/>
      <c r="AC88" s="1170"/>
      <c r="AD88" s="1170"/>
      <c r="AE88" s="1170"/>
      <c r="AF88" s="1170"/>
      <c r="AG88" s="1170"/>
      <c r="AH88" s="1170"/>
      <c r="AI88" s="1170"/>
      <c r="AJ88" s="1170"/>
      <c r="AK88" s="1170"/>
      <c r="AL88" s="1170"/>
      <c r="AM88" s="1170"/>
      <c r="AN88" s="1170"/>
      <c r="AO88" s="1170"/>
      <c r="AP88" s="1170"/>
      <c r="AQ88" s="1170"/>
      <c r="AR88" s="1170"/>
      <c r="AS88" s="1170"/>
      <c r="AT88" s="1170"/>
      <c r="AU88" s="1170"/>
      <c r="AV88" s="1170"/>
      <c r="AW88" s="1170"/>
      <c r="AX88" s="1170"/>
      <c r="AY88" s="1170"/>
      <c r="AZ88" s="1170"/>
      <c r="BA88" s="1170"/>
      <c r="BB88" s="1170"/>
      <c r="BC88" s="1170"/>
      <c r="BD88" s="1170"/>
      <c r="BE88" s="1170"/>
      <c r="BF88" s="1170"/>
      <c r="BG88" s="1170"/>
      <c r="BH88" s="1170"/>
      <c r="BI88" s="1170"/>
      <c r="BJ88" s="1170"/>
      <c r="BK88" s="1170"/>
      <c r="BL88" s="1170"/>
      <c r="BM88" s="1170"/>
      <c r="BN88" s="1170"/>
      <c r="BO88" s="1170"/>
      <c r="BP88" s="1170"/>
      <c r="BQ88" s="1170"/>
      <c r="BR88" s="1170"/>
      <c r="BS88" s="1170"/>
      <c r="BT88" s="1170"/>
      <c r="BU88" s="1170"/>
      <c r="BV88" s="1170"/>
      <c r="BW88" s="1170"/>
      <c r="BX88" s="1170"/>
      <c r="BY88" s="1186"/>
      <c r="BZ88" s="1170"/>
      <c r="CA88" s="1170"/>
      <c r="CB88" s="1170"/>
      <c r="CC88" s="1170"/>
      <c r="CD88" s="1170"/>
      <c r="CE88" s="1170"/>
      <c r="CF88" s="1170"/>
      <c r="CG88" s="1170"/>
      <c r="CH88" s="1170"/>
      <c r="CI88" s="1170"/>
      <c r="CJ88" s="1170"/>
      <c r="CK88" s="1170"/>
      <c r="CL88" s="1170"/>
      <c r="CM88" s="1170"/>
      <c r="CN88" s="1170" t="s">
        <v>485</v>
      </c>
      <c r="CO88" s="1170"/>
      <c r="CP88" s="1187">
        <f ca="1">'CokingRefinery Detailed Results'!J19+IF(AND($EB$144+$EB$161=0,E51=FALSE),'CokingRefinery Detailed Results'!J30*CokingRefineryCalcs!$U$981,0)</f>
        <v>128693.54183973702</v>
      </c>
      <c r="CQ88" s="1187"/>
      <c r="CR88" s="1187"/>
      <c r="CS88" s="1248" t="str">
        <f>CokingRefineryCalcs!C322</f>
        <v>MCR</v>
      </c>
      <c r="CT88" s="1170" t="str">
        <f ca="1">CokingRefineryCalcs!D322</f>
        <v>wt%</v>
      </c>
      <c r="CU88" s="1170">
        <f>CokingRefineryCalcs!H322</f>
        <v>0</v>
      </c>
      <c r="CV88" s="1170"/>
      <c r="CW88" s="1170"/>
      <c r="CX88" s="1170"/>
      <c r="CY88" s="1160"/>
      <c r="CZ88" s="1160"/>
      <c r="DA88" s="1160"/>
      <c r="DB88" s="1186" t="str">
        <f>CokingRefineryCalcs!C320</f>
        <v>Density</v>
      </c>
      <c r="DC88" s="1170" t="str">
        <f ca="1">CokingRefineryCalcs!D320</f>
        <v>kg/m^3</v>
      </c>
      <c r="DD88" s="1170">
        <f ca="1">CokingRefineryCalcs!J320</f>
        <v>825.00000000000227</v>
      </c>
      <c r="DE88" s="1170" t="s">
        <v>541</v>
      </c>
      <c r="DF88" s="1170"/>
      <c r="DG88" s="1187">
        <f ca="1">CU99+CJ126</f>
        <v>1083713.570637817</v>
      </c>
      <c r="DH88" s="1170"/>
      <c r="DI88" s="1160"/>
      <c r="DJ88" s="1160"/>
      <c r="DK88" s="1208" t="s">
        <v>228</v>
      </c>
      <c r="DL88" s="1245">
        <f ca="1">AW28/(AA45+AZ50)</f>
        <v>1.4146023443097912E-3</v>
      </c>
      <c r="DM88" s="1160"/>
      <c r="DN88" s="1160"/>
      <c r="DO88" s="1160"/>
      <c r="DP88" s="1160"/>
      <c r="DQ88" s="1160"/>
      <c r="DR88" s="1160"/>
      <c r="DS88" s="1160"/>
      <c r="DT88" s="1160"/>
      <c r="DU88" s="1160"/>
      <c r="DV88" s="1160"/>
      <c r="DW88" s="1160"/>
      <c r="DX88" s="1160"/>
      <c r="DY88" s="1160"/>
      <c r="DZ88" s="1160"/>
      <c r="EA88" s="1160"/>
      <c r="EB88" s="1160"/>
      <c r="ED88" s="1160"/>
      <c r="EE88" s="1160"/>
      <c r="EF88" s="1160"/>
    </row>
    <row r="89" spans="1:136" ht="15" x14ac:dyDescent="0.25">
      <c r="A89" s="1160"/>
      <c r="B89" s="1172"/>
      <c r="C89" s="1244" t="s">
        <v>958</v>
      </c>
      <c r="D89" s="1201"/>
      <c r="E89" s="1203"/>
      <c r="F89" s="1203"/>
      <c r="G89" s="1203"/>
      <c r="H89" s="1107"/>
      <c r="I89" s="1107"/>
      <c r="J89" s="1107"/>
      <c r="K89" s="1107"/>
      <c r="L89" s="1150"/>
      <c r="M89" s="1170"/>
      <c r="N89" s="1170"/>
      <c r="O89" s="1170"/>
      <c r="P89" s="1170"/>
      <c r="Q89" s="1170"/>
      <c r="R89" s="1170"/>
      <c r="S89" s="1170"/>
      <c r="T89" s="1170"/>
      <c r="U89" s="1170"/>
      <c r="V89" s="1170"/>
      <c r="W89" s="1170"/>
      <c r="X89" s="1170"/>
      <c r="Y89" s="1170"/>
      <c r="Z89" s="1170"/>
      <c r="AA89" s="1170"/>
      <c r="AB89" s="1170"/>
      <c r="AC89" s="1170"/>
      <c r="AD89" s="1170"/>
      <c r="AE89" s="1170"/>
      <c r="AF89" s="1170"/>
      <c r="AG89" s="1170"/>
      <c r="AH89" s="1170"/>
      <c r="AI89" s="1170"/>
      <c r="AJ89" s="1170"/>
      <c r="AK89" s="1170"/>
      <c r="AL89" s="1170"/>
      <c r="AM89" s="1170"/>
      <c r="AN89" s="1170"/>
      <c r="AO89" s="1170"/>
      <c r="AP89" s="1170"/>
      <c r="AQ89" s="1170"/>
      <c r="AR89" s="1170"/>
      <c r="AS89" s="1170"/>
      <c r="AT89" s="1170"/>
      <c r="AU89" s="1170"/>
      <c r="AV89" s="1170"/>
      <c r="AW89" s="1170"/>
      <c r="AX89" s="1170"/>
      <c r="AY89" s="1170"/>
      <c r="AZ89" s="1170"/>
      <c r="BA89" s="1170"/>
      <c r="BB89" s="1170"/>
      <c r="BC89" s="1170"/>
      <c r="BD89" s="1170"/>
      <c r="BE89" s="1170"/>
      <c r="BF89" s="1170"/>
      <c r="BG89" s="1170"/>
      <c r="BH89" s="1170"/>
      <c r="BI89" s="1170"/>
      <c r="BJ89" s="1170"/>
      <c r="BK89" s="1170"/>
      <c r="BL89" s="1170"/>
      <c r="BM89" s="1170"/>
      <c r="BN89" s="1170"/>
      <c r="BO89" s="1170"/>
      <c r="BP89" s="1170"/>
      <c r="BQ89" s="1170"/>
      <c r="BR89" s="1170"/>
      <c r="BS89" s="1170"/>
      <c r="BT89" s="1170"/>
      <c r="BU89" s="1170"/>
      <c r="BV89" s="1170"/>
      <c r="BW89" s="1170"/>
      <c r="BX89" s="1170"/>
      <c r="BY89" s="1180"/>
      <c r="BZ89" s="1170"/>
      <c r="CA89" s="1170"/>
      <c r="CB89" s="1170"/>
      <c r="CC89" s="1170"/>
      <c r="CD89" s="1170"/>
      <c r="CE89" s="1170"/>
      <c r="CF89" s="1170"/>
      <c r="CG89" s="1170"/>
      <c r="CH89" s="1170"/>
      <c r="CI89" s="1170"/>
      <c r="CJ89" s="1170"/>
      <c r="CK89" s="1170"/>
      <c r="CL89" s="1170"/>
      <c r="CM89" s="1170"/>
      <c r="CN89" s="1170" t="s">
        <v>541</v>
      </c>
      <c r="CO89" s="1170"/>
      <c r="CP89" s="1187">
        <f ca="1">'CokingRefinery Detailed Results'!L19+IF(AND($EB$144+$EB$161=0,E51=FALSE),'CokingRefinery Detailed Results'!L30*CokingRefineryCalcs!$U$981,0)</f>
        <v>1083713.5706350929</v>
      </c>
      <c r="CQ89" s="1187"/>
      <c r="CR89" s="1187"/>
      <c r="CS89" s="1249" t="s">
        <v>1056</v>
      </c>
      <c r="CT89" s="1199" t="s">
        <v>447</v>
      </c>
      <c r="CU89" s="1199">
        <f>('Energy &amp; Unit Conversions'!$D$63-('Energy &amp; Unit Conversions'!$E$63*POWER((CokingRefineryPFD!CU86/'Energy &amp; Unit Conversions'!$E$54),2)))</f>
        <v>41.291792420050342</v>
      </c>
      <c r="CV89" s="1170"/>
      <c r="CW89" s="1170"/>
      <c r="CX89" s="1170"/>
      <c r="CY89" s="1160"/>
      <c r="CZ89" s="1160"/>
      <c r="DA89" s="1160"/>
      <c r="DB89" s="1186" t="str">
        <f>CokingRefineryCalcs!C321</f>
        <v>Hydrogen</v>
      </c>
      <c r="DC89" s="1170" t="str">
        <f ca="1">CokingRefineryCalcs!D321</f>
        <v>wt%</v>
      </c>
      <c r="DD89" s="1170">
        <f ca="1">CokingRefineryCalcs!J321</f>
        <v>12.800000000000281</v>
      </c>
      <c r="DE89" s="1170" t="str">
        <f>CH264</f>
        <v>Catalyst Coke</v>
      </c>
      <c r="DF89" s="1170"/>
      <c r="DG89" s="1170">
        <f ca="1">CU100</f>
        <v>7.7968351670689407E-15</v>
      </c>
      <c r="DH89" s="1170"/>
      <c r="DI89" s="1160"/>
      <c r="DJ89" s="1160"/>
      <c r="DK89" s="1171"/>
      <c r="DL89" s="1245"/>
      <c r="DM89" s="1160"/>
      <c r="DN89" s="1160"/>
      <c r="DO89" s="1160"/>
      <c r="DP89" s="1160"/>
      <c r="DQ89" s="1160"/>
      <c r="DR89" s="1160"/>
      <c r="DS89" s="1160"/>
      <c r="DT89" s="1160"/>
      <c r="DU89" s="1160"/>
      <c r="DV89" s="1160"/>
      <c r="DW89" s="1160"/>
      <c r="DX89" s="1160"/>
      <c r="DY89" s="1160"/>
      <c r="DZ89" s="1160"/>
      <c r="EA89" s="1160"/>
      <c r="EB89" s="1160"/>
      <c r="ED89" s="1191" t="str">
        <f>ED81</f>
        <v>Recycled RFG</v>
      </c>
      <c r="EE89" s="1160"/>
      <c r="EF89" s="1160"/>
    </row>
    <row r="90" spans="1:136" ht="15.75" thickBot="1" x14ac:dyDescent="0.3">
      <c r="A90" s="1160"/>
      <c r="B90" s="2060"/>
      <c r="C90" s="2061"/>
      <c r="D90" s="2061"/>
      <c r="E90" s="2062"/>
      <c r="F90" s="2062"/>
      <c r="G90" s="2062"/>
      <c r="H90" s="2063"/>
      <c r="I90" s="2063"/>
      <c r="J90" s="2063"/>
      <c r="K90" s="2063"/>
      <c r="L90" s="2064"/>
      <c r="M90" s="1170"/>
      <c r="N90" s="1170"/>
      <c r="O90" s="1170"/>
      <c r="P90" s="1170"/>
      <c r="Q90" s="1170"/>
      <c r="R90" s="1170"/>
      <c r="S90" s="1170"/>
      <c r="T90" s="1170"/>
      <c r="U90" s="1170"/>
      <c r="V90" s="1170"/>
      <c r="W90" s="1170"/>
      <c r="X90" s="1170"/>
      <c r="Y90" s="1181" t="str">
        <f ca="1">IF(CokingRefineryConfig=0,"AGO To Fuel Oil Pool",CokingRefineryCalcs!J46)</f>
        <v>AGO To Fuel Oil Pool</v>
      </c>
      <c r="Z90" s="1170"/>
      <c r="AA90" s="1170"/>
      <c r="AB90" s="1170"/>
      <c r="AC90" s="1180" t="str">
        <f ca="1">Y90</f>
        <v>AGO To Fuel Oil Pool</v>
      </c>
      <c r="AD90" s="1170"/>
      <c r="AE90" s="1170"/>
      <c r="AF90" s="1170"/>
      <c r="AG90" s="1170"/>
      <c r="AH90" s="1170"/>
      <c r="AI90" s="1170"/>
      <c r="AJ90" s="1170"/>
      <c r="AK90" s="1170"/>
      <c r="AL90" s="1170"/>
      <c r="AM90" s="1170"/>
      <c r="AN90" s="1170"/>
      <c r="AO90" s="1170"/>
      <c r="AP90" s="1170"/>
      <c r="AQ90" s="1170"/>
      <c r="AR90" s="1170"/>
      <c r="AS90" s="1170"/>
      <c r="AT90" s="1170"/>
      <c r="AU90" s="1170"/>
      <c r="AV90" s="1170"/>
      <c r="AW90" s="1170"/>
      <c r="AX90" s="1170"/>
      <c r="AY90" s="1170"/>
      <c r="AZ90" s="1170"/>
      <c r="BA90" s="1170"/>
      <c r="BB90" s="1170"/>
      <c r="BC90" s="1170"/>
      <c r="BD90" s="1170"/>
      <c r="BE90" s="1170"/>
      <c r="BF90" s="1170"/>
      <c r="BG90" s="1170"/>
      <c r="BH90" s="1170"/>
      <c r="BI90" s="1170"/>
      <c r="BJ90" s="1170"/>
      <c r="BK90" s="1170"/>
      <c r="BL90" s="1170"/>
      <c r="BM90" s="1170"/>
      <c r="BN90" s="1170"/>
      <c r="BO90" s="1170"/>
      <c r="BP90" s="1170"/>
      <c r="BQ90" s="1170"/>
      <c r="BR90" s="1170"/>
      <c r="BS90" s="1170"/>
      <c r="BT90" s="1170"/>
      <c r="BU90" s="1170"/>
      <c r="BV90" s="1170"/>
      <c r="BW90" s="1170"/>
      <c r="BX90" s="1170"/>
      <c r="BY90" s="1183"/>
      <c r="BZ90" s="1184"/>
      <c r="CA90" s="1170"/>
      <c r="CB90" s="1170"/>
      <c r="CC90" s="1170"/>
      <c r="CD90" s="1170"/>
      <c r="CE90" s="1170"/>
      <c r="CF90" s="1170"/>
      <c r="CG90" s="1170"/>
      <c r="CH90" s="1170"/>
      <c r="CI90" s="1170"/>
      <c r="CJ90" s="1170"/>
      <c r="CK90" s="1170"/>
      <c r="CL90" s="1170"/>
      <c r="CM90" s="1170"/>
      <c r="CN90" s="1170"/>
      <c r="CO90" s="1170"/>
      <c r="CP90" s="1187"/>
      <c r="CQ90" s="1187"/>
      <c r="CR90" s="1187"/>
      <c r="CS90" s="1249" t="s">
        <v>1021</v>
      </c>
      <c r="CT90" s="1199" t="s">
        <v>1022</v>
      </c>
      <c r="CU90" s="1246">
        <f>DD92</f>
        <v>89.360889434814453</v>
      </c>
      <c r="CV90" s="1170"/>
      <c r="CW90" s="1170"/>
      <c r="CX90" s="1170"/>
      <c r="CY90" s="1160"/>
      <c r="CZ90" s="1160"/>
      <c r="DA90" s="1160"/>
      <c r="DB90" s="1186" t="str">
        <f>CokingRefineryCalcs!C322</f>
        <v>MCR</v>
      </c>
      <c r="DC90" s="1170" t="str">
        <f ca="1">CokingRefineryCalcs!D322</f>
        <v>wt%</v>
      </c>
      <c r="DD90" s="1170">
        <f>CokingRefineryCalcs!J322</f>
        <v>0</v>
      </c>
      <c r="DE90" s="1160"/>
      <c r="DF90" s="1160"/>
      <c r="DG90" s="1196"/>
      <c r="DH90" s="1160"/>
      <c r="DI90" s="1160"/>
      <c r="DJ90" s="1160"/>
      <c r="DK90" s="1191" t="str">
        <f>BE56</f>
        <v>KHT Fuel Gas</v>
      </c>
      <c r="DL90" s="1171">
        <f ca="1">CokingRefineryCalcs!E980</f>
        <v>9696.9447453418234</v>
      </c>
      <c r="DM90" s="1160" t="s">
        <v>622</v>
      </c>
      <c r="DN90" s="1160"/>
      <c r="DO90" s="1160"/>
      <c r="DP90" s="1160"/>
      <c r="DQ90" s="1160"/>
      <c r="DR90" s="1160"/>
      <c r="DS90" s="1160"/>
      <c r="DT90" s="1160"/>
      <c r="DU90" s="1160"/>
      <c r="DV90" s="1160"/>
      <c r="DW90" s="1160"/>
      <c r="DX90" s="1160"/>
      <c r="DY90" s="1160"/>
      <c r="DZ90" s="1186"/>
      <c r="EA90" s="1160"/>
      <c r="EB90" s="1170"/>
      <c r="ED90" s="1193"/>
      <c r="EE90" s="1160"/>
      <c r="EF90" s="1194" t="s">
        <v>522</v>
      </c>
    </row>
    <row r="91" spans="1:136" x14ac:dyDescent="0.2">
      <c r="A91" s="1160"/>
      <c r="B91" s="1160"/>
      <c r="C91" s="1160"/>
      <c r="D91" s="1160"/>
      <c r="E91" s="1170"/>
      <c r="F91" s="1170"/>
      <c r="G91" s="1170"/>
      <c r="H91" s="1170"/>
      <c r="I91" s="1170"/>
      <c r="J91" s="1170"/>
      <c r="K91" s="1170"/>
      <c r="L91" s="1170"/>
      <c r="M91" s="1170"/>
      <c r="N91" s="1170"/>
      <c r="O91" s="1170"/>
      <c r="P91" s="1170"/>
      <c r="Q91" s="1170"/>
      <c r="R91" s="1170"/>
      <c r="S91" s="1170"/>
      <c r="T91" s="1170"/>
      <c r="U91" s="1170"/>
      <c r="V91" s="1170"/>
      <c r="W91" s="1170"/>
      <c r="X91" s="1170"/>
      <c r="Y91" s="1182" t="str">
        <f>CokingRefineryCalcs!C46</f>
        <v>Property</v>
      </c>
      <c r="Z91" s="1182" t="str">
        <f>CokingRefineryCalcs!D46</f>
        <v>Units</v>
      </c>
      <c r="AA91" s="1170"/>
      <c r="AB91" s="1170"/>
      <c r="AC91" s="1183" t="s">
        <v>226</v>
      </c>
      <c r="AD91" s="1170"/>
      <c r="AE91" s="1184" t="s">
        <v>522</v>
      </c>
      <c r="AF91" s="1170"/>
      <c r="AG91" s="1170"/>
      <c r="AH91" s="1170"/>
      <c r="AI91" s="1170"/>
      <c r="AJ91" s="1170"/>
      <c r="AK91" s="1170"/>
      <c r="AL91" s="1170"/>
      <c r="AM91" s="1170"/>
      <c r="AN91" s="1170"/>
      <c r="AO91" s="1170"/>
      <c r="AP91" s="1170"/>
      <c r="AQ91" s="1170"/>
      <c r="AR91" s="1170"/>
      <c r="AS91" s="1179" t="str">
        <f>CokingRefineryCalcs!F594</f>
        <v>AGO To Gas Oil HC</v>
      </c>
      <c r="AT91" s="1170"/>
      <c r="AU91" s="1170"/>
      <c r="AV91" s="1170"/>
      <c r="AW91" s="1170"/>
      <c r="AX91" s="1180" t="str">
        <f>AS91</f>
        <v>AGO To Gas Oil HC</v>
      </c>
      <c r="AY91" s="1170"/>
      <c r="AZ91" s="1170"/>
      <c r="BA91" s="1170"/>
      <c r="BB91" s="1170"/>
      <c r="BC91" s="1170"/>
      <c r="BD91" s="1170"/>
      <c r="BE91" s="1170"/>
      <c r="BF91" s="1170"/>
      <c r="BG91" s="1170"/>
      <c r="BH91" s="1170"/>
      <c r="BI91" s="1170"/>
      <c r="BJ91" s="1170"/>
      <c r="BK91" s="1170"/>
      <c r="BL91" s="1170"/>
      <c r="BM91" s="1170"/>
      <c r="BN91" s="1170"/>
      <c r="BO91" s="1170"/>
      <c r="BP91" s="1170"/>
      <c r="BQ91" s="1170"/>
      <c r="BR91" s="1170"/>
      <c r="BS91" s="1170"/>
      <c r="BT91" s="1170"/>
      <c r="BU91" s="1170"/>
      <c r="BV91" s="1170"/>
      <c r="BW91" s="1170"/>
      <c r="BX91" s="1170"/>
      <c r="BY91" s="1170"/>
      <c r="BZ91" s="1170"/>
      <c r="CA91" s="1170"/>
      <c r="CB91" s="1170"/>
      <c r="CC91" s="1170"/>
      <c r="CD91" s="1170"/>
      <c r="CE91" s="1170"/>
      <c r="CF91" s="1170"/>
      <c r="CG91" s="1170"/>
      <c r="CH91" s="1170"/>
      <c r="CI91" s="1170"/>
      <c r="CJ91" s="1170"/>
      <c r="CK91" s="1170"/>
      <c r="CL91" s="1170"/>
      <c r="CM91" s="1170"/>
      <c r="CN91" s="1181" t="str">
        <f>CokingRefineryCalcs!C345</f>
        <v>Total hydrogen consumed</v>
      </c>
      <c r="CO91" s="1170"/>
      <c r="CP91" s="1187"/>
      <c r="CQ91" s="1187"/>
      <c r="CR91" s="1187"/>
      <c r="CS91" s="1250" t="s">
        <v>1054</v>
      </c>
      <c r="CT91" s="1204" t="str">
        <f>IF(allocationMethod=1,$C$21,IF(allocationMethod=2,$C$22,IF(allocationMethod=3,$C$23,$C$24)))</f>
        <v>Hydrogen Content Basis</v>
      </c>
      <c r="CU91" s="1204">
        <f ca="1">IF(allocationMethod=1,CU83,IF(allocationMethod=2,CU89*CU83,IF(allocationMethod=3,CU90*CU81,CU87*CU83/100)))</f>
        <v>225185.03075204248</v>
      </c>
      <c r="CV91" s="1170"/>
      <c r="CW91" s="1170"/>
      <c r="CX91" s="1170"/>
      <c r="CY91" s="1160"/>
      <c r="CZ91" s="1160"/>
      <c r="DA91" s="1160"/>
      <c r="DB91" s="1183" t="s">
        <v>1700</v>
      </c>
      <c r="DC91" s="1184" t="s">
        <v>447</v>
      </c>
      <c r="DD91" s="1170">
        <f ca="1">('Energy &amp; Unit Conversions'!$D$63-('Energy &amp; Unit Conversions'!$E$63*POWER((CokingRefineryPFD!DD88/'Energy &amp; Unit Conversions'!$E$54),2)))</f>
        <v>41.291792420050314</v>
      </c>
      <c r="DE91" s="1160"/>
      <c r="DF91" s="1160"/>
      <c r="DG91" s="1170"/>
      <c r="DH91" s="1160"/>
      <c r="DI91" s="1160"/>
      <c r="DJ91" s="1160"/>
      <c r="DK91" s="1193" t="s">
        <v>226</v>
      </c>
      <c r="DL91" s="1243" t="s">
        <v>522</v>
      </c>
      <c r="DM91" s="1160"/>
      <c r="DN91" s="1160"/>
      <c r="DO91" s="1160"/>
      <c r="DP91" s="1160"/>
      <c r="DQ91" s="1160"/>
      <c r="DR91" s="1160"/>
      <c r="DS91" s="1160"/>
      <c r="DT91" s="1160"/>
      <c r="DU91" s="1160"/>
      <c r="DV91" s="1160"/>
      <c r="DW91" s="1160"/>
      <c r="DX91" s="1160"/>
      <c r="DY91" s="1160"/>
      <c r="DZ91" s="1195" t="str">
        <f>CokingRefineryCalcs!L977</f>
        <v>Clean Fuel Gas</v>
      </c>
      <c r="EA91" s="1160"/>
      <c r="EB91" s="1160"/>
      <c r="ED91" s="1160" t="s">
        <v>263</v>
      </c>
      <c r="EE91" s="1160"/>
      <c r="EF91" s="1170">
        <f ca="1">IF($EB$144+$EB$161=0,0,(DL$81+DL$92+DL$103+DL$114+DL$126+DL$138+DL$149+DL$160+DL$58+DL$70)*$EF$97)</f>
        <v>0</v>
      </c>
    </row>
    <row r="92" spans="1:136" x14ac:dyDescent="0.2">
      <c r="A92" s="1160"/>
      <c r="B92" s="1160"/>
      <c r="C92" s="1195" t="s">
        <v>570</v>
      </c>
      <c r="D92" s="1195" t="str">
        <f ca="1">'Assay Inventory'!C9</f>
        <v>Bonny Light_Chevron</v>
      </c>
      <c r="E92" s="1170"/>
      <c r="F92" s="1170"/>
      <c r="G92" s="1170"/>
      <c r="H92" s="1170"/>
      <c r="I92" s="1170"/>
      <c r="J92" s="1170"/>
      <c r="K92" s="1170"/>
      <c r="L92" s="1170"/>
      <c r="M92" s="1170"/>
      <c r="N92" s="1170"/>
      <c r="O92" s="1170"/>
      <c r="P92" s="1170"/>
      <c r="Q92" s="1170"/>
      <c r="R92" s="1170"/>
      <c r="S92" s="1170"/>
      <c r="T92" s="1170"/>
      <c r="U92" s="1170"/>
      <c r="V92" s="1170"/>
      <c r="W92" s="1170"/>
      <c r="X92" s="1170"/>
      <c r="Y92" s="1186" t="str">
        <f>CokingRefineryCalcs!C47</f>
        <v>Vol Flow</v>
      </c>
      <c r="Z92" s="1170" t="str">
        <f ca="1">CokingRefineryCalcs!D47</f>
        <v>bpd</v>
      </c>
      <c r="AA92" s="1170">
        <f ca="1">CokingRefineryCalcs!J47</f>
        <v>11182.517606218385</v>
      </c>
      <c r="AB92" s="1170"/>
      <c r="AC92" s="1170" t="s">
        <v>263</v>
      </c>
      <c r="AD92" s="1170"/>
      <c r="AE92" s="1187">
        <f ca="1">U111*AE97</f>
        <v>0</v>
      </c>
      <c r="AF92" s="1170"/>
      <c r="AG92" s="1170"/>
      <c r="AH92" s="1170"/>
      <c r="AI92" s="1170"/>
      <c r="AJ92" s="1170"/>
      <c r="AK92" s="1170"/>
      <c r="AL92" s="1170"/>
      <c r="AM92" s="1170"/>
      <c r="AN92" s="1170"/>
      <c r="AO92" s="1170"/>
      <c r="AP92" s="1170"/>
      <c r="AQ92" s="1170"/>
      <c r="AR92" s="1170"/>
      <c r="AS92" s="1182" t="str">
        <f>CokingRefineryCalcs!C594</f>
        <v>Property</v>
      </c>
      <c r="AT92" s="1182" t="str">
        <f>CokingRefineryCalcs!D594</f>
        <v>Units</v>
      </c>
      <c r="AU92" s="1170"/>
      <c r="AV92" s="1170"/>
      <c r="AW92" s="1170"/>
      <c r="AX92" s="1183" t="s">
        <v>226</v>
      </c>
      <c r="AY92" s="1170"/>
      <c r="AZ92" s="1184" t="s">
        <v>522</v>
      </c>
      <c r="BA92" s="1170"/>
      <c r="BB92" s="1170"/>
      <c r="BC92" s="1170"/>
      <c r="BD92" s="1170"/>
      <c r="BE92" s="1170"/>
      <c r="BF92" s="1170"/>
      <c r="BG92" s="1170"/>
      <c r="BH92" s="1170"/>
      <c r="BI92" s="1170"/>
      <c r="BJ92" s="1170"/>
      <c r="BK92" s="1170"/>
      <c r="BL92" s="1170"/>
      <c r="BM92" s="1170"/>
      <c r="BN92" s="1170"/>
      <c r="BO92" s="1170"/>
      <c r="BP92" s="1170"/>
      <c r="BQ92" s="1170"/>
      <c r="BR92" s="1170"/>
      <c r="BS92" s="1170"/>
      <c r="BT92" s="1170"/>
      <c r="BU92" s="1170"/>
      <c r="BV92" s="1170"/>
      <c r="BW92" s="1170"/>
      <c r="BX92" s="1170"/>
      <c r="BY92" s="1170"/>
      <c r="BZ92" s="1170"/>
      <c r="CA92" s="1170"/>
      <c r="CB92" s="1170"/>
      <c r="CC92" s="1170"/>
      <c r="CD92" s="1170"/>
      <c r="CE92" s="1170"/>
      <c r="CF92" s="1170"/>
      <c r="CG92" s="1170"/>
      <c r="CH92" s="1170"/>
      <c r="CI92" s="1170"/>
      <c r="CJ92" s="1170"/>
      <c r="CK92" s="1170"/>
      <c r="CL92" s="1170"/>
      <c r="CM92" s="1170"/>
      <c r="CN92" s="1170"/>
      <c r="CO92" s="1170" t="str">
        <f>CokingRefineryCalcs!E345</f>
        <v>kg/d</v>
      </c>
      <c r="CP92" s="1187">
        <f ca="1">CokingRefineryCalcs!D345</f>
        <v>8123.1889161639019</v>
      </c>
      <c r="CQ92" s="1187"/>
      <c r="CR92" s="1187"/>
      <c r="CS92" s="1187"/>
      <c r="CT92" s="1170"/>
      <c r="CU92" s="1170"/>
      <c r="CV92" s="1170"/>
      <c r="CW92" s="1170"/>
      <c r="CX92" s="1170"/>
      <c r="CY92" s="1160"/>
      <c r="CZ92" s="1160"/>
      <c r="DA92" s="1160"/>
      <c r="DB92" s="1200" t="s">
        <v>1021</v>
      </c>
      <c r="DC92" s="1199" t="s">
        <v>1022</v>
      </c>
      <c r="DD92" s="1170">
        <f>Constants!G357</f>
        <v>89.360889434814453</v>
      </c>
      <c r="DE92" s="1160"/>
      <c r="DF92" s="1160"/>
      <c r="DG92" s="1160"/>
      <c r="DH92" s="1160"/>
      <c r="DI92" s="1160"/>
      <c r="DJ92" s="1160"/>
      <c r="DK92" s="1160" t="s">
        <v>263</v>
      </c>
      <c r="DL92" s="1171">
        <f ca="1">AE60*DL97</f>
        <v>0</v>
      </c>
      <c r="DM92" s="1160"/>
      <c r="DN92" s="1160"/>
      <c r="DO92" s="1160"/>
      <c r="DP92" s="1160"/>
      <c r="DQ92" s="1160"/>
      <c r="DR92" s="1160"/>
      <c r="DS92" s="1160"/>
      <c r="DT92" s="1160"/>
      <c r="DU92" s="1160"/>
      <c r="DV92" s="1160"/>
      <c r="DW92" s="1160"/>
      <c r="DX92" s="1160"/>
      <c r="DY92" s="1160"/>
      <c r="DZ92" s="1186" t="s">
        <v>582</v>
      </c>
      <c r="EA92" s="1160" t="str">
        <f>CokingRefineryCalcs!D991</f>
        <v>bpd</v>
      </c>
      <c r="EB92" s="1187">
        <f>CokingRefineryCalcs!L991</f>
        <v>0</v>
      </c>
      <c r="ED92" s="1160" t="s">
        <v>392</v>
      </c>
      <c r="EE92" s="1160"/>
      <c r="EF92" s="1170">
        <f ca="1">IF($EB$144+$EB$161=0,0,(DN$42+DL$82+DL$93+DL$104+DL$115+DL$127+DL$139+DL$150+DL$161+DL$59+DL$71)*$EF$97)</f>
        <v>0</v>
      </c>
    </row>
    <row r="93" spans="1:136" x14ac:dyDescent="0.2">
      <c r="A93" s="1160"/>
      <c r="B93" s="1160"/>
      <c r="C93" s="1160"/>
      <c r="D93" s="1160"/>
      <c r="E93" s="1170"/>
      <c r="F93" s="1170"/>
      <c r="G93" s="1170"/>
      <c r="H93" s="1170"/>
      <c r="I93" s="1170"/>
      <c r="J93" s="1170"/>
      <c r="K93" s="1170"/>
      <c r="L93" s="1170"/>
      <c r="M93" s="1170"/>
      <c r="N93" s="1170"/>
      <c r="O93" s="1170"/>
      <c r="P93" s="1170"/>
      <c r="Q93" s="1170"/>
      <c r="R93" s="1170"/>
      <c r="S93" s="1170"/>
      <c r="T93" s="1170"/>
      <c r="U93" s="1170"/>
      <c r="V93" s="1170"/>
      <c r="W93" s="1170"/>
      <c r="X93" s="1170"/>
      <c r="Y93" s="1186" t="str">
        <f>CokingRefineryCalcs!C48</f>
        <v>Vol Flow</v>
      </c>
      <c r="Z93" s="1170" t="str">
        <f ca="1">CokingRefineryCalcs!D48</f>
        <v>m^3/d</v>
      </c>
      <c r="AA93" s="1170">
        <f ca="1">CokingRefineryCalcs!J48</f>
        <v>1777.8782814151243</v>
      </c>
      <c r="AB93" s="1170"/>
      <c r="AC93" s="1170" t="s">
        <v>392</v>
      </c>
      <c r="AD93" s="1170"/>
      <c r="AE93" s="1187">
        <f ca="1">(U112+W50)*$AE$97</f>
        <v>0</v>
      </c>
      <c r="AF93" s="1170"/>
      <c r="AG93" s="1170"/>
      <c r="AH93" s="1170"/>
      <c r="AI93" s="1170"/>
      <c r="AJ93" s="1170"/>
      <c r="AK93" s="1170"/>
      <c r="AL93" s="1170"/>
      <c r="AM93" s="1170"/>
      <c r="AN93" s="1170"/>
      <c r="AO93" s="1170"/>
      <c r="AP93" s="1170"/>
      <c r="AQ93" s="1170"/>
      <c r="AR93" s="1170"/>
      <c r="AS93" s="1186" t="str">
        <f>CokingRefineryCalcs!C595</f>
        <v>Vol Flow</v>
      </c>
      <c r="AT93" s="1170" t="str">
        <f ca="1">CokingRefineryCalcs!D595</f>
        <v>bpd</v>
      </c>
      <c r="AU93" s="1170">
        <f ca="1">CokingRefineryCalcs!F595</f>
        <v>1.1182517606218385E-8</v>
      </c>
      <c r="AV93" s="1170"/>
      <c r="AW93" s="1170"/>
      <c r="AX93" s="1170" t="s">
        <v>263</v>
      </c>
      <c r="AY93" s="1170"/>
      <c r="AZ93" s="1187">
        <f ca="1">AE92*$AZ$98</f>
        <v>0</v>
      </c>
      <c r="BA93" s="1170"/>
      <c r="BB93" s="1170"/>
      <c r="BC93" s="1170"/>
      <c r="BD93" s="1170"/>
      <c r="BE93" s="1170"/>
      <c r="BF93" s="1170"/>
      <c r="BG93" s="1170"/>
      <c r="BH93" s="1170"/>
      <c r="BI93" s="1170"/>
      <c r="BJ93" s="1170"/>
      <c r="BK93" s="1170"/>
      <c r="BL93" s="1170"/>
      <c r="BM93" s="1170"/>
      <c r="BN93" s="1170"/>
      <c r="BO93" s="1170"/>
      <c r="BP93" s="1170"/>
      <c r="BQ93" s="1170"/>
      <c r="BR93" s="1170"/>
      <c r="BS93" s="1170"/>
      <c r="BT93" s="1170"/>
      <c r="BU93" s="1170"/>
      <c r="BV93" s="1170"/>
      <c r="BW93" s="1170"/>
      <c r="BX93" s="1170"/>
      <c r="BY93" s="1170"/>
      <c r="BZ93" s="1170"/>
      <c r="CA93" s="1170"/>
      <c r="CB93" s="1170"/>
      <c r="CC93" s="1170"/>
      <c r="CD93" s="1170"/>
      <c r="CE93" s="1170"/>
      <c r="CF93" s="1170"/>
      <c r="CG93" s="1170"/>
      <c r="CH93" s="1170"/>
      <c r="CI93" s="1170"/>
      <c r="CJ93" s="1170"/>
      <c r="CK93" s="1170"/>
      <c r="CL93" s="1170"/>
      <c r="CM93" s="1170"/>
      <c r="CN93" s="1170"/>
      <c r="CO93" s="1170"/>
      <c r="CP93" s="1170"/>
      <c r="CQ93" s="1170"/>
      <c r="CR93" s="1170"/>
      <c r="CS93" s="1180" t="s">
        <v>940</v>
      </c>
      <c r="CT93" s="1170"/>
      <c r="CU93" s="1170"/>
      <c r="CV93" s="1170"/>
      <c r="CW93" s="1170"/>
      <c r="CX93" s="1170"/>
      <c r="CY93" s="1160"/>
      <c r="CZ93" s="1160"/>
      <c r="DA93" s="1160"/>
      <c r="DB93" s="1160"/>
      <c r="DC93" s="1160"/>
      <c r="DD93" s="1160"/>
      <c r="DE93" s="1160"/>
      <c r="DF93" s="1160"/>
      <c r="DG93" s="1160"/>
      <c r="DH93" s="1160"/>
      <c r="DI93" s="1160"/>
      <c r="DJ93" s="1160"/>
      <c r="DK93" s="1160" t="s">
        <v>392</v>
      </c>
      <c r="DL93" s="1171">
        <f ca="1">(AE61+BL70)*$DL$97</f>
        <v>0</v>
      </c>
      <c r="DM93" s="1160"/>
      <c r="DN93" s="1160"/>
      <c r="DO93" s="1160"/>
      <c r="DP93" s="1160"/>
      <c r="DQ93" s="1160"/>
      <c r="DR93" s="1160"/>
      <c r="DS93" s="1160"/>
      <c r="DT93" s="1160"/>
      <c r="DU93" s="1160"/>
      <c r="DV93" s="1160"/>
      <c r="DW93" s="1160"/>
      <c r="DX93" s="1160"/>
      <c r="DY93" s="1160"/>
      <c r="DZ93" s="1186" t="s">
        <v>582</v>
      </c>
      <c r="EA93" s="1160" t="str">
        <f>CokingRefineryCalcs!D992</f>
        <v>m^3/d</v>
      </c>
      <c r="EB93" s="1187">
        <f>CokingRefineryCalcs!I998</f>
        <v>0</v>
      </c>
      <c r="ED93" s="1160" t="s">
        <v>224</v>
      </c>
      <c r="EE93" s="1160"/>
      <c r="EF93" s="1170">
        <f ca="1">IF($EB$144+$EB$161=0,0,(DN$43+DL$83+DL$94+DL$105+DL$116+DL$128+DL$140+DL$151+DL$162+DL$60+DL$72)*$EF$97)</f>
        <v>0</v>
      </c>
    </row>
    <row r="94" spans="1:136" x14ac:dyDescent="0.2">
      <c r="A94" s="1160"/>
      <c r="B94" s="1160"/>
      <c r="C94" s="1229" t="str">
        <f>'Assay Inventory'!C11</f>
        <v>Property</v>
      </c>
      <c r="D94" s="1229" t="str">
        <f ca="1">'Assay Inventory'!D11</f>
        <v>Units</v>
      </c>
      <c r="E94" s="1251" t="str">
        <f ca="1">'Assay Inventory'!E11</f>
        <v>Full Crude</v>
      </c>
      <c r="F94" s="1251" t="str">
        <f ca="1">'Assay Inventory'!F11</f>
        <v>LSR</v>
      </c>
      <c r="G94" s="1251" t="str">
        <f ca="1">'Assay Inventory'!G11</f>
        <v>Naphtha</v>
      </c>
      <c r="H94" s="1251" t="str">
        <f ca="1">'Assay Inventory'!H11</f>
        <v>Kerosene</v>
      </c>
      <c r="I94" s="1251" t="str">
        <f ca="1">'Assay Inventory'!I11</f>
        <v>Diesel</v>
      </c>
      <c r="J94" s="1251" t="str">
        <f ca="1">'Assay Inventory'!J11</f>
        <v>AGO</v>
      </c>
      <c r="K94" s="1251" t="str">
        <f ca="1">'Assay Inventory'!K11</f>
        <v>LVGO</v>
      </c>
      <c r="L94" s="1251" t="str">
        <f ca="1">'Assay Inventory'!L11</f>
        <v>HVGO</v>
      </c>
      <c r="M94" s="1251" t="str">
        <f ca="1">'Assay Inventory'!M11</f>
        <v>VR</v>
      </c>
      <c r="N94" s="1251" t="str">
        <f ca="1">'Assay Inventory'!N11</f>
        <v>AR</v>
      </c>
      <c r="O94" s="1170"/>
      <c r="P94" s="1170"/>
      <c r="Q94" s="1170"/>
      <c r="R94" s="1170"/>
      <c r="S94" s="1170"/>
      <c r="T94" s="1170"/>
      <c r="U94" s="1170"/>
      <c r="V94" s="1170"/>
      <c r="W94" s="1170"/>
      <c r="X94" s="1170"/>
      <c r="Y94" s="1186" t="str">
        <f>CokingRefineryCalcs!C49</f>
        <v>Mass Flow</v>
      </c>
      <c r="Z94" s="1170" t="str">
        <f>CokingRefineryCalcs!D49</f>
        <v>kg/d</v>
      </c>
      <c r="AA94" s="1170">
        <f ca="1">CokingRefineryCalcs!J49</f>
        <v>1609417.4951277762</v>
      </c>
      <c r="AB94" s="1170"/>
      <c r="AC94" s="1170" t="s">
        <v>224</v>
      </c>
      <c r="AD94" s="1170"/>
      <c r="AE94" s="1187">
        <f ca="1">(U113+W51)*$AE$97</f>
        <v>0</v>
      </c>
      <c r="AF94" s="1170"/>
      <c r="AG94" s="1170"/>
      <c r="AH94" s="1170"/>
      <c r="AI94" s="1170"/>
      <c r="AJ94" s="1170"/>
      <c r="AK94" s="1170"/>
      <c r="AL94" s="1170"/>
      <c r="AM94" s="1170"/>
      <c r="AN94" s="1170"/>
      <c r="AO94" s="1170"/>
      <c r="AP94" s="1170"/>
      <c r="AQ94" s="1170"/>
      <c r="AR94" s="1170"/>
      <c r="AS94" s="1186" t="str">
        <f>CokingRefineryCalcs!C596</f>
        <v>Vol Flow</v>
      </c>
      <c r="AT94" s="1170" t="str">
        <f ca="1">CokingRefineryCalcs!D596</f>
        <v>m^3/d</v>
      </c>
      <c r="AU94" s="1170">
        <f ca="1">CokingRefineryCalcs!F596</f>
        <v>1.7778782814151241E-9</v>
      </c>
      <c r="AV94" s="1170"/>
      <c r="AW94" s="1170"/>
      <c r="AX94" s="1170" t="s">
        <v>392</v>
      </c>
      <c r="AY94" s="1170"/>
      <c r="AZ94" s="1187">
        <f ca="1">AE93*$AZ$98</f>
        <v>0</v>
      </c>
      <c r="BA94" s="1170"/>
      <c r="BB94" s="1170"/>
      <c r="BC94" s="1170"/>
      <c r="BD94" s="1170"/>
      <c r="BE94" s="1170"/>
      <c r="BF94" s="1170"/>
      <c r="BG94" s="1170"/>
      <c r="BH94" s="1170"/>
      <c r="BI94" s="1170"/>
      <c r="BJ94" s="1170"/>
      <c r="BK94" s="1170"/>
      <c r="BL94" s="1170"/>
      <c r="BM94" s="1170"/>
      <c r="BN94" s="1170"/>
      <c r="BO94" s="1170"/>
      <c r="BP94" s="1170"/>
      <c r="BQ94" s="1170"/>
      <c r="BR94" s="1170"/>
      <c r="BS94" s="1170"/>
      <c r="BT94" s="1170"/>
      <c r="BU94" s="1170"/>
      <c r="BV94" s="1170"/>
      <c r="BW94" s="1170"/>
      <c r="BX94" s="1170"/>
      <c r="BY94" s="1170"/>
      <c r="BZ94" s="1170"/>
      <c r="CA94" s="1170"/>
      <c r="CB94" s="1170"/>
      <c r="CC94" s="1170"/>
      <c r="CD94" s="1181" t="str">
        <f>CokingRefineryCalcs!F469</f>
        <v xml:space="preserve">HC Gasoline </v>
      </c>
      <c r="CE94" s="1170"/>
      <c r="CF94" s="1170"/>
      <c r="CG94" s="1170"/>
      <c r="CH94" s="1180" t="str">
        <f>CD94</f>
        <v xml:space="preserve">HC Gasoline </v>
      </c>
      <c r="CI94" s="1170"/>
      <c r="CJ94" s="1170"/>
      <c r="CK94" s="1170"/>
      <c r="CL94" s="1170"/>
      <c r="CM94" s="1170"/>
      <c r="CN94" s="1170"/>
      <c r="CO94" s="1170"/>
      <c r="CP94" s="1170"/>
      <c r="CQ94" s="1170"/>
      <c r="CR94" s="1170"/>
      <c r="CS94" s="1180" t="s">
        <v>226</v>
      </c>
      <c r="CT94" s="1170"/>
      <c r="CU94" s="1184" t="s">
        <v>522</v>
      </c>
      <c r="CV94" s="1170"/>
      <c r="CW94" s="1170"/>
      <c r="CX94" s="1170"/>
      <c r="CY94" s="1160"/>
      <c r="CZ94" s="1160"/>
      <c r="DA94" s="1160"/>
      <c r="DB94" s="1160"/>
      <c r="DC94" s="1160"/>
      <c r="DD94" s="1160"/>
      <c r="DE94" s="1160"/>
      <c r="DF94" s="1160"/>
      <c r="DG94" s="1160"/>
      <c r="DH94" s="1160"/>
      <c r="DI94" s="1160"/>
      <c r="DJ94" s="1160"/>
      <c r="DK94" s="1160" t="s">
        <v>224</v>
      </c>
      <c r="DL94" s="1171">
        <f ca="1">(AE62+BL71)*$DL$97</f>
        <v>0</v>
      </c>
      <c r="DM94" s="1160"/>
      <c r="DN94" s="1160"/>
      <c r="DO94" s="1160"/>
      <c r="DP94" s="1160"/>
      <c r="DQ94" s="1160"/>
      <c r="DR94" s="1160"/>
      <c r="DS94" s="1160"/>
      <c r="DT94" s="1160"/>
      <c r="DU94" s="1160"/>
      <c r="DV94" s="1160"/>
      <c r="DW94" s="1160"/>
      <c r="DX94" s="1160"/>
      <c r="DY94" s="1160"/>
      <c r="DZ94" s="1186" t="s">
        <v>620</v>
      </c>
      <c r="EA94" s="1160" t="s">
        <v>622</v>
      </c>
      <c r="EB94" s="1187">
        <f ca="1">CokingRefineryCalcs!D1430-SUM(CokingRefineryCalcs!E1438:'CokingRefineryCalcs'!E1439)</f>
        <v>242602.85485445199</v>
      </c>
      <c r="ED94" s="1160" t="s">
        <v>485</v>
      </c>
      <c r="EE94" s="1160"/>
      <c r="EF94" s="1170">
        <f ca="1">IF($EB$144+$EB$161=0,0,(DN$44+DL$84+DL$95+DL$106+DL$117+DL$129+DL$141+DL$152+DL$163+DL$61+DL$73)*$EF$97)</f>
        <v>0</v>
      </c>
    </row>
    <row r="95" spans="1:136" x14ac:dyDescent="0.2">
      <c r="A95" s="1160"/>
      <c r="B95" s="1160"/>
      <c r="C95" s="1229" t="str">
        <f>'Assay Inventory'!C12</f>
        <v>Vol Flow</v>
      </c>
      <c r="D95" s="1229" t="str">
        <f ca="1">'Assay Inventory'!D12</f>
        <v>bpd</v>
      </c>
      <c r="E95" s="1170">
        <f ca="1">'Assay Inventory'!E12</f>
        <v>99177.64135868111</v>
      </c>
      <c r="F95" s="1170">
        <f ca="1">'Assay Inventory'!F12</f>
        <v>7538.9890466543711</v>
      </c>
      <c r="G95" s="1170">
        <f ca="1">'Assay Inventory'!G12</f>
        <v>17316.22160970941</v>
      </c>
      <c r="H95" s="1170">
        <f ca="1">'Assay Inventory'!H12</f>
        <v>26885.40784502351</v>
      </c>
      <c r="I95" s="1170">
        <f ca="1">'Assay Inventory'!I12</f>
        <v>12524.817625479878</v>
      </c>
      <c r="J95" s="1170">
        <f ca="1">'Assay Inventory'!J12</f>
        <v>11182.517606223304</v>
      </c>
      <c r="K95" s="1170">
        <f ca="1">'Assay Inventory'!K12</f>
        <v>8218.2707229657353</v>
      </c>
      <c r="L95" s="1170">
        <f ca="1">'Assay Inventory'!L12</f>
        <v>6475.5173608741952</v>
      </c>
      <c r="M95" s="1170">
        <f ca="1">'Assay Inventory'!M12</f>
        <v>9035.8995417507103</v>
      </c>
      <c r="N95" s="1170">
        <f ca="1">'Assay Inventory'!N12</f>
        <v>28238.054386063879</v>
      </c>
      <c r="O95" s="1170"/>
      <c r="P95" s="1170"/>
      <c r="Q95" s="1170"/>
      <c r="R95" s="1170"/>
      <c r="S95" s="1170"/>
      <c r="T95" s="1170"/>
      <c r="U95" s="1170"/>
      <c r="V95" s="1170"/>
      <c r="W95" s="1170"/>
      <c r="X95" s="1170"/>
      <c r="Y95" s="1186" t="str">
        <f>CokingRefineryCalcs!C50</f>
        <v xml:space="preserve">Sulphur </v>
      </c>
      <c r="Z95" s="1170" t="str">
        <f ca="1">CokingRefineryCalcs!D50</f>
        <v>wt%</v>
      </c>
      <c r="AA95" s="1170">
        <f ca="1">CokingRefineryCalcs!J50</f>
        <v>0.21055860465847406</v>
      </c>
      <c r="AB95" s="1170"/>
      <c r="AC95" s="1170" t="s">
        <v>485</v>
      </c>
      <c r="AD95" s="1170"/>
      <c r="AE95" s="1187">
        <f ca="1">(U114+W52)*$AE$97</f>
        <v>0</v>
      </c>
      <c r="AF95" s="1170"/>
      <c r="AG95" s="1170"/>
      <c r="AH95" s="1170"/>
      <c r="AI95" s="1170"/>
      <c r="AJ95" s="1170"/>
      <c r="AK95" s="1170"/>
      <c r="AL95" s="1170"/>
      <c r="AM95" s="1170"/>
      <c r="AN95" s="1170"/>
      <c r="AO95" s="1170"/>
      <c r="AP95" s="1170"/>
      <c r="AQ95" s="1170"/>
      <c r="AR95" s="1170"/>
      <c r="AS95" s="1186" t="str">
        <f>CokingRefineryCalcs!C597</f>
        <v>Mass Flow</v>
      </c>
      <c r="AT95" s="1170" t="str">
        <f>CokingRefineryCalcs!D597</f>
        <v>kg/d</v>
      </c>
      <c r="AU95" s="1170">
        <f ca="1">CokingRefineryCalcs!F597</f>
        <v>1.6094174951277762E-6</v>
      </c>
      <c r="AV95" s="1170"/>
      <c r="AW95" s="1170"/>
      <c r="AX95" s="1170" t="s">
        <v>224</v>
      </c>
      <c r="AY95" s="1170"/>
      <c r="AZ95" s="1187">
        <f ca="1">AE94*$AZ$98</f>
        <v>0</v>
      </c>
      <c r="BA95" s="1170"/>
      <c r="BB95" s="1170"/>
      <c r="BC95" s="1170"/>
      <c r="BD95" s="1170"/>
      <c r="BE95" s="1170"/>
      <c r="BF95" s="1170"/>
      <c r="BG95" s="1170"/>
      <c r="BH95" s="1170"/>
      <c r="BI95" s="1170"/>
      <c r="BJ95" s="1170"/>
      <c r="BK95" s="1170"/>
      <c r="BL95" s="1170"/>
      <c r="BM95" s="1170"/>
      <c r="BN95" s="1170"/>
      <c r="BO95" s="1170"/>
      <c r="BP95" s="1170"/>
      <c r="BQ95" s="1170"/>
      <c r="BR95" s="1170"/>
      <c r="BS95" s="1170"/>
      <c r="BT95" s="1170"/>
      <c r="BU95" s="1170"/>
      <c r="BV95" s="1170"/>
      <c r="BW95" s="1170"/>
      <c r="BX95" s="1170"/>
      <c r="BY95" s="1170"/>
      <c r="BZ95" s="1170"/>
      <c r="CA95" s="1170"/>
      <c r="CB95" s="1170"/>
      <c r="CC95" s="1170"/>
      <c r="CD95" s="1182" t="str">
        <f>CokingRefineryCalcs!C469</f>
        <v>Property</v>
      </c>
      <c r="CE95" s="1182" t="str">
        <f>CokingRefineryCalcs!D469</f>
        <v>Units</v>
      </c>
      <c r="CF95" s="1170"/>
      <c r="CG95" s="1170"/>
      <c r="CH95" s="1183" t="s">
        <v>226</v>
      </c>
      <c r="CI95" s="1170"/>
      <c r="CJ95" s="1184" t="s">
        <v>522</v>
      </c>
      <c r="CK95" s="1170"/>
      <c r="CL95" s="1170"/>
      <c r="CM95" s="1170"/>
      <c r="CN95" s="1170"/>
      <c r="CO95" s="1170"/>
      <c r="CP95" s="1170"/>
      <c r="CQ95" s="1170"/>
      <c r="CR95" s="1170"/>
      <c r="CS95" s="1170" t="s">
        <v>263</v>
      </c>
      <c r="CT95" s="1170"/>
      <c r="CU95" s="1187">
        <f ca="1">(AE77+CJ259)*CU101</f>
        <v>111050855.87309842</v>
      </c>
      <c r="CV95" s="1170"/>
      <c r="CW95" s="1170"/>
      <c r="CX95" s="1170"/>
      <c r="CY95" s="1160"/>
      <c r="CZ95" s="1160"/>
      <c r="DA95" s="1160"/>
      <c r="DB95" s="1160"/>
      <c r="DC95" s="1160"/>
      <c r="DD95" s="1160"/>
      <c r="DE95" s="1160"/>
      <c r="DF95" s="1160"/>
      <c r="DG95" s="1160"/>
      <c r="DH95" s="1160"/>
      <c r="DI95" s="1160"/>
      <c r="DJ95" s="1160"/>
      <c r="DK95" s="1160" t="s">
        <v>485</v>
      </c>
      <c r="DL95" s="1171">
        <f ca="1">(AE63+BL72)*$DL$97</f>
        <v>0</v>
      </c>
      <c r="DM95" s="1160"/>
      <c r="DN95" s="1160"/>
      <c r="DO95" s="1160"/>
      <c r="DP95" s="1160"/>
      <c r="DQ95" s="1160"/>
      <c r="DR95" s="1160"/>
      <c r="DS95" s="1160"/>
      <c r="DT95" s="1160"/>
      <c r="DU95" s="1160"/>
      <c r="DV95" s="1160"/>
      <c r="DW95" s="1160"/>
      <c r="DX95" s="1160"/>
      <c r="DY95" s="1160"/>
      <c r="DZ95" s="1186" t="s">
        <v>1698</v>
      </c>
      <c r="EA95" s="1199" t="s">
        <v>447</v>
      </c>
      <c r="EB95" s="1199">
        <f>'Energy &amp; Unit Conversions'!$Q$27</f>
        <v>46.898519302437805</v>
      </c>
      <c r="ED95" s="1160" t="s">
        <v>541</v>
      </c>
      <c r="EE95" s="1160"/>
      <c r="EF95" s="1170">
        <f ca="1">IF($EB$144+$EB$161=0,0,(DN$45+DL$85+DL$96+DL$107+DL$118+DL$130+DL$142+DL$153+DL$164+DL$62+DL$74)*$EF$97)</f>
        <v>0</v>
      </c>
    </row>
    <row r="96" spans="1:136" x14ac:dyDescent="0.2">
      <c r="A96" s="1160"/>
      <c r="B96" s="1160"/>
      <c r="C96" s="1229" t="str">
        <f>'Assay Inventory'!C13</f>
        <v>Vol Flow</v>
      </c>
      <c r="D96" s="1229" t="str">
        <f ca="1">'Assay Inventory'!D13</f>
        <v>m^3/d</v>
      </c>
      <c r="E96" s="1170">
        <f ca="1">'Assay Inventory'!E13</f>
        <v>15769.244976030297</v>
      </c>
      <c r="F96" s="1170">
        <f ca="1">'Assay Inventory'!F13</f>
        <v>1198.699258418045</v>
      </c>
      <c r="G96" s="1170">
        <f ca="1">'Assay Inventory'!G13</f>
        <v>2753.2792359437963</v>
      </c>
      <c r="H96" s="1170">
        <f ca="1">'Assay Inventory'!H13</f>
        <v>4274.7798473587382</v>
      </c>
      <c r="I96" s="1170">
        <f ca="1">'Assay Inventory'!I13</f>
        <v>1991.4460024513007</v>
      </c>
      <c r="J96" s="1170">
        <f ca="1">'Assay Inventory'!J13</f>
        <v>1778.0202993895052</v>
      </c>
      <c r="K96" s="1170">
        <f ca="1">'Assay Inventory'!K13</f>
        <v>1306.7050449515521</v>
      </c>
      <c r="L96" s="1170">
        <f ca="1">'Assay Inventory'!L13</f>
        <v>1029.6072603789971</v>
      </c>
      <c r="M96" s="1170">
        <f ca="1">'Assay Inventory'!M13</f>
        <v>1436.7080271383629</v>
      </c>
      <c r="N96" s="1170">
        <f ca="1">'Assay Inventory'!N13</f>
        <v>4489.8506473841571</v>
      </c>
      <c r="O96" s="1170"/>
      <c r="P96" s="1170"/>
      <c r="Q96" s="1170"/>
      <c r="R96" s="1170"/>
      <c r="S96" s="1170"/>
      <c r="T96" s="1170"/>
      <c r="U96" s="1170"/>
      <c r="V96" s="1170"/>
      <c r="W96" s="1170"/>
      <c r="X96" s="1170"/>
      <c r="Y96" s="1186" t="str">
        <f>CokingRefineryCalcs!C52</f>
        <v xml:space="preserve">API gravity </v>
      </c>
      <c r="Z96" s="1170"/>
      <c r="AA96" s="1170">
        <f ca="1">CokingRefineryCalcs!J52</f>
        <v>24.811073777824959</v>
      </c>
      <c r="AB96" s="1170"/>
      <c r="AC96" s="1170" t="s">
        <v>541</v>
      </c>
      <c r="AD96" s="1170"/>
      <c r="AE96" s="1187">
        <f ca="1">(U115+W53)*$AE$97</f>
        <v>0</v>
      </c>
      <c r="AF96" s="1170"/>
      <c r="AG96" s="1170"/>
      <c r="AH96" s="1170"/>
      <c r="AI96" s="1170"/>
      <c r="AJ96" s="1170"/>
      <c r="AK96" s="1170"/>
      <c r="AL96" s="1170"/>
      <c r="AM96" s="1170"/>
      <c r="AN96" s="1170"/>
      <c r="AO96" s="1170"/>
      <c r="AP96" s="1170"/>
      <c r="AQ96" s="1170"/>
      <c r="AR96" s="1170"/>
      <c r="AS96" s="1186" t="str">
        <f>CokingRefineryCalcs!C598</f>
        <v xml:space="preserve">Sulphur </v>
      </c>
      <c r="AT96" s="1170" t="str">
        <f ca="1">CokingRefineryCalcs!D598</f>
        <v>wt%</v>
      </c>
      <c r="AU96" s="1170">
        <f ca="1">CokingRefineryCalcs!F598</f>
        <v>0.21055860465847406</v>
      </c>
      <c r="AV96" s="1170"/>
      <c r="AW96" s="1170"/>
      <c r="AX96" s="1170" t="s">
        <v>485</v>
      </c>
      <c r="AY96" s="1170"/>
      <c r="AZ96" s="1187">
        <f ca="1">AE95*$AZ$98</f>
        <v>0</v>
      </c>
      <c r="BA96" s="1170"/>
      <c r="BB96" s="1170"/>
      <c r="BC96" s="1170"/>
      <c r="BD96" s="1170"/>
      <c r="BE96" s="1170"/>
      <c r="BF96" s="1170"/>
      <c r="BG96" s="1170"/>
      <c r="BH96" s="1170"/>
      <c r="BI96" s="1170"/>
      <c r="BJ96" s="1170"/>
      <c r="BK96" s="1170"/>
      <c r="BL96" s="1170"/>
      <c r="BM96" s="1170"/>
      <c r="BN96" s="1170"/>
      <c r="BO96" s="1170"/>
      <c r="BP96" s="1170"/>
      <c r="BQ96" s="1170"/>
      <c r="BR96" s="1170"/>
      <c r="BS96" s="1170"/>
      <c r="BT96" s="1170"/>
      <c r="BU96" s="1170"/>
      <c r="BV96" s="1170"/>
      <c r="BW96" s="1170"/>
      <c r="BX96" s="1170"/>
      <c r="BY96" s="1180"/>
      <c r="BZ96" s="1170"/>
      <c r="CA96" s="1170"/>
      <c r="CB96" s="1170"/>
      <c r="CC96" s="1170"/>
      <c r="CD96" s="1186" t="str">
        <f>CokingRefineryCalcs!C470</f>
        <v>Vol Flow</v>
      </c>
      <c r="CE96" s="1170" t="str">
        <f>CokingRefineryCalcs!D470</f>
        <v>bpd</v>
      </c>
      <c r="CF96" s="1170">
        <f ca="1">CokingRefineryCalcs!F470</f>
        <v>6.6574384792262908E-9</v>
      </c>
      <c r="CG96" s="1170"/>
      <c r="CH96" s="1170" t="s">
        <v>263</v>
      </c>
      <c r="CI96" s="1170"/>
      <c r="CJ96" s="1187">
        <f ca="1">BT129*CJ101</f>
        <v>0</v>
      </c>
      <c r="CK96" s="1170"/>
      <c r="CL96" s="1170"/>
      <c r="CM96" s="1170"/>
      <c r="CN96" s="1170"/>
      <c r="CO96" s="1170"/>
      <c r="CP96" s="1170"/>
      <c r="CQ96" s="1170"/>
      <c r="CR96" s="1170"/>
      <c r="CS96" s="1170" t="s">
        <v>392</v>
      </c>
      <c r="CT96" s="1170"/>
      <c r="CU96" s="1187">
        <f ca="1">(CP86+AE78+CJ260)*$CU$101</f>
        <v>144280.28818769436</v>
      </c>
      <c r="CV96" s="1170"/>
      <c r="CW96" s="1170"/>
      <c r="CX96" s="1170"/>
      <c r="CY96" s="1160"/>
      <c r="CZ96" s="1160"/>
      <c r="DA96" s="1160"/>
      <c r="DB96" s="1160"/>
      <c r="DC96" s="1160"/>
      <c r="DD96" s="1160"/>
      <c r="DE96" s="1160"/>
      <c r="DF96" s="1160"/>
      <c r="DG96" s="1160"/>
      <c r="DH96" s="1160"/>
      <c r="DI96" s="1160"/>
      <c r="DJ96" s="1160"/>
      <c r="DK96" s="1160" t="s">
        <v>541</v>
      </c>
      <c r="DL96" s="1171">
        <f ca="1">(AE64+BL73)*$DL$97</f>
        <v>0</v>
      </c>
      <c r="DM96" s="1160"/>
      <c r="DN96" s="1160"/>
      <c r="DO96" s="1160"/>
      <c r="DP96" s="1160"/>
      <c r="DQ96" s="1160"/>
      <c r="DR96" s="1160"/>
      <c r="DS96" s="1160"/>
      <c r="DT96" s="1160"/>
      <c r="DU96" s="1160"/>
      <c r="DV96" s="1160"/>
      <c r="DW96" s="1160"/>
      <c r="DX96" s="1160"/>
      <c r="DY96" s="1160"/>
      <c r="DZ96" s="1200" t="s">
        <v>1021</v>
      </c>
      <c r="EA96" s="1199" t="s">
        <v>1022</v>
      </c>
      <c r="EB96" s="1199">
        <f>Constants!$G$353</f>
        <v>33.957001686096191</v>
      </c>
      <c r="ED96" s="1160" t="s">
        <v>234</v>
      </c>
      <c r="EE96" s="1160"/>
      <c r="EF96" s="1170">
        <f ca="1">IF($EB$144+$EB$161=0,0,(DL$119+DL$165)*$EF$97)</f>
        <v>0</v>
      </c>
    </row>
    <row r="97" spans="1:136" x14ac:dyDescent="0.2">
      <c r="A97" s="1160"/>
      <c r="B97" s="1160"/>
      <c r="C97" s="1229" t="str">
        <f>'Assay Inventory'!C14</f>
        <v>Mass Flow</v>
      </c>
      <c r="D97" s="1229" t="str">
        <f>'Assay Inventory'!D14</f>
        <v>kg/d</v>
      </c>
      <c r="E97" s="1170">
        <f ca="1">'Assay Inventory'!E14</f>
        <v>13687328.970000003</v>
      </c>
      <c r="F97" s="1170">
        <f ca="1">'Assay Inventory'!F14</f>
        <v>854451.48145949247</v>
      </c>
      <c r="G97" s="1170">
        <f ca="1">'Assay Inventory'!G14</f>
        <v>2157056.7659129584</v>
      </c>
      <c r="H97" s="1170">
        <f ca="1">'Assay Inventory'!H14</f>
        <v>3607246.9722799896</v>
      </c>
      <c r="I97" s="1170">
        <f ca="1">'Assay Inventory'!I14</f>
        <v>1757731.9563253336</v>
      </c>
      <c r="J97" s="1170">
        <f ca="1">'Assay Inventory'!J14</f>
        <v>1609417.4951285068</v>
      </c>
      <c r="K97" s="1170">
        <f ca="1">'Assay Inventory'!K14</f>
        <v>1209891.7354650162</v>
      </c>
      <c r="L97" s="1170">
        <f ca="1">'Assay Inventory'!L14</f>
        <v>975521.165617669</v>
      </c>
      <c r="M97" s="1170">
        <f ca="1">'Assay Inventory'!M14</f>
        <v>1516011.3978110366</v>
      </c>
      <c r="N97" s="1170">
        <f ca="1">'Assay Inventory'!N14</f>
        <v>3701424.2988937218</v>
      </c>
      <c r="O97" s="1170"/>
      <c r="P97" s="1170"/>
      <c r="Q97" s="1170"/>
      <c r="R97" s="1170"/>
      <c r="S97" s="1179" t="str">
        <f>CokingRefineryCalcs!F24</f>
        <v>Output</v>
      </c>
      <c r="T97" s="1170"/>
      <c r="U97" s="1170"/>
      <c r="V97" s="1170"/>
      <c r="W97" s="1170"/>
      <c r="X97" s="1170"/>
      <c r="Y97" s="1186" t="str">
        <f>CokingRefineryCalcs!C53</f>
        <v>Density</v>
      </c>
      <c r="Z97" s="1170" t="str">
        <f ca="1">CokingRefineryCalcs!D53</f>
        <v>kg/m^3</v>
      </c>
      <c r="AA97" s="1170">
        <f ca="1">CokingRefineryCalcs!J53</f>
        <v>905.24616445999914</v>
      </c>
      <c r="AB97" s="1170"/>
      <c r="AC97" s="1180" t="s">
        <v>1065</v>
      </c>
      <c r="AD97" s="1170"/>
      <c r="AE97" s="1170">
        <f ca="1">IF(CokingRefineryConfig=0,IF(E46=TRUE,IF(E47=TRUE,AA102/(AA53+AA70+AA87+AA102+CokingRefineryPFD!AN293),AA102/(AA53+AA70+AA87+AA102)),0),AA102/(AA53+AA70+AA87+AA102+W140))</f>
        <v>0</v>
      </c>
      <c r="AF97" s="1170"/>
      <c r="AG97" s="1170"/>
      <c r="AH97" s="1170"/>
      <c r="AI97" s="1170"/>
      <c r="AJ97" s="1170"/>
      <c r="AK97" s="1170"/>
      <c r="AL97" s="1170"/>
      <c r="AM97" s="1170"/>
      <c r="AN97" s="1170"/>
      <c r="AO97" s="1170"/>
      <c r="AP97" s="1170"/>
      <c r="AQ97" s="1170"/>
      <c r="AR97" s="1170"/>
      <c r="AS97" s="1186" t="str">
        <f>CokingRefineryCalcs!C600</f>
        <v xml:space="preserve">API gravity </v>
      </c>
      <c r="AT97" s="1170"/>
      <c r="AU97" s="1170">
        <f ca="1">CokingRefineryCalcs!F600</f>
        <v>24.811073777824959</v>
      </c>
      <c r="AV97" s="1170"/>
      <c r="AW97" s="1170"/>
      <c r="AX97" s="1170" t="s">
        <v>541</v>
      </c>
      <c r="AY97" s="1170"/>
      <c r="AZ97" s="1187">
        <f ca="1">AE96*$AZ$98</f>
        <v>0</v>
      </c>
      <c r="BA97" s="1170"/>
      <c r="BB97" s="1170"/>
      <c r="BC97" s="1170"/>
      <c r="BD97" s="1170"/>
      <c r="BE97" s="1170"/>
      <c r="BF97" s="1170"/>
      <c r="BG97" s="1170"/>
      <c r="BH97" s="1170"/>
      <c r="BI97" s="1170"/>
      <c r="BJ97" s="1170"/>
      <c r="BK97" s="1170"/>
      <c r="BL97" s="1170"/>
      <c r="BM97" s="1170"/>
      <c r="BN97" s="1170"/>
      <c r="BO97" s="1170"/>
      <c r="BP97" s="1170"/>
      <c r="BQ97" s="1170"/>
      <c r="BR97" s="1170"/>
      <c r="BS97" s="1170"/>
      <c r="BT97" s="1170"/>
      <c r="BU97" s="1170"/>
      <c r="BV97" s="1170"/>
      <c r="BW97" s="1170"/>
      <c r="BX97" s="1170"/>
      <c r="BY97" s="1239"/>
      <c r="BZ97" s="1170"/>
      <c r="CA97" s="1170"/>
      <c r="CB97" s="1170"/>
      <c r="CC97" s="1170"/>
      <c r="CD97" s="1186" t="str">
        <f>CokingRefineryCalcs!C471</f>
        <v>Vol Flow</v>
      </c>
      <c r="CE97" s="1170" t="str">
        <f>CokingRefineryCalcs!D471</f>
        <v>m^3/d</v>
      </c>
      <c r="CF97" s="1170">
        <f ca="1">CokingRefineryCalcs!F471</f>
        <v>1.0584481687282941E-9</v>
      </c>
      <c r="CG97" s="1170"/>
      <c r="CH97" s="1170" t="s">
        <v>392</v>
      </c>
      <c r="CI97" s="1170"/>
      <c r="CJ97" s="1187">
        <f ca="1">(BT130+BY105)*$CJ$101</f>
        <v>9.9117231914000988E-10</v>
      </c>
      <c r="CK97" s="1170"/>
      <c r="CL97" s="1170"/>
      <c r="CM97" s="1170"/>
      <c r="CN97" s="1170"/>
      <c r="CO97" s="1170"/>
      <c r="CP97" s="1170"/>
      <c r="CQ97" s="1170"/>
      <c r="CR97" s="1170"/>
      <c r="CS97" s="1170" t="s">
        <v>224</v>
      </c>
      <c r="CT97" s="1170"/>
      <c r="CU97" s="1187">
        <f ca="1">(CP87+AE79+CJ261)*$CU$101</f>
        <v>2837571.2917124103</v>
      </c>
      <c r="CV97" s="1170"/>
      <c r="CW97" s="1170"/>
      <c r="CX97" s="1170"/>
      <c r="CY97" s="1160"/>
      <c r="CZ97" s="1160"/>
      <c r="DA97" s="1160"/>
      <c r="DB97" s="1160"/>
      <c r="DC97" s="1160"/>
      <c r="DD97" s="1160"/>
      <c r="DE97" s="1160"/>
      <c r="DF97" s="1160"/>
      <c r="DG97" s="1160"/>
      <c r="DH97" s="1160"/>
      <c r="DI97" s="1160"/>
      <c r="DJ97" s="1160"/>
      <c r="DK97" s="1191" t="s">
        <v>1066</v>
      </c>
      <c r="DL97" s="1245">
        <f ca="1">IF(CokingRefineryPFD!E50=TRUE,DL98,0)</f>
        <v>0</v>
      </c>
      <c r="DM97" s="1160"/>
      <c r="DN97" s="1160"/>
      <c r="DO97" s="1160"/>
      <c r="DP97" s="1160"/>
      <c r="DQ97" s="1160"/>
      <c r="DR97" s="1160"/>
      <c r="DS97" s="1160"/>
      <c r="DT97" s="1160"/>
      <c r="DU97" s="1160"/>
      <c r="DV97" s="1160"/>
      <c r="DW97" s="1160"/>
      <c r="DX97" s="1160"/>
      <c r="DY97" s="1160"/>
      <c r="DZ97" s="1204" t="s">
        <v>1054</v>
      </c>
      <c r="EA97" s="1204" t="str">
        <f>IF(allocationMethod=1,$C$21,IF(allocationMethod=2,$C$22,IF(allocationMethod=3,$C$23,$C$24)))</f>
        <v>Hydrogen Content Basis</v>
      </c>
      <c r="EB97" s="1204">
        <f>IF(allocationMethod=1,EB94,1)</f>
        <v>1</v>
      </c>
      <c r="ED97" s="2073" t="s">
        <v>1065</v>
      </c>
      <c r="EE97" s="1160"/>
      <c r="EF97" s="1170">
        <f ca="1">CokingRefineryCalcs!Q1440</f>
        <v>1</v>
      </c>
    </row>
    <row r="98" spans="1:136" x14ac:dyDescent="0.2">
      <c r="A98" s="1160"/>
      <c r="B98" s="1160"/>
      <c r="C98" s="1229" t="str">
        <f>'Assay Inventory'!C15</f>
        <v xml:space="preserve">Sulphur </v>
      </c>
      <c r="D98" s="1229" t="str">
        <f ca="1">'Assay Inventory'!D15</f>
        <v>wt%</v>
      </c>
      <c r="E98" s="1170">
        <f ca="1">'Assay Inventory'!E15</f>
        <v>0.16980000000000001</v>
      </c>
      <c r="F98" s="1170">
        <f ca="1">'Assay Inventory'!F15</f>
        <v>0</v>
      </c>
      <c r="G98" s="1170">
        <f ca="1">'Assay Inventory'!G15</f>
        <v>0</v>
      </c>
      <c r="H98" s="1170">
        <f ca="1">'Assay Inventory'!H15</f>
        <v>6.487028883905413E-2</v>
      </c>
      <c r="I98" s="1170">
        <f ca="1">'Assay Inventory'!I15</f>
        <v>0.1510983114584932</v>
      </c>
      <c r="J98" s="1170">
        <f ca="1">'Assay Inventory'!J15</f>
        <v>0.21055860465850654</v>
      </c>
      <c r="K98" s="1170">
        <f ca="1">'Assay Inventory'!K15</f>
        <v>0.27398518285937168</v>
      </c>
      <c r="L98" s="1170">
        <f ca="1">'Assay Inventory'!L15</f>
        <v>0.34883282222603118</v>
      </c>
      <c r="M98" s="1170">
        <f ca="1">'Assay Inventory'!M15</f>
        <v>0.53683769453568042</v>
      </c>
      <c r="N98" s="1170">
        <f ca="1">'Assay Inventory'!N15</f>
        <v>0.40136935229494802</v>
      </c>
      <c r="O98" s="1170"/>
      <c r="P98" s="1170"/>
      <c r="Q98" s="1170"/>
      <c r="R98" s="1170"/>
      <c r="S98" s="1182" t="str">
        <f>CokingRefineryCalcs!C24</f>
        <v>Property</v>
      </c>
      <c r="T98" s="1182" t="str">
        <f>CokingRefineryCalcs!D24</f>
        <v>Units</v>
      </c>
      <c r="U98" s="1170"/>
      <c r="V98" s="1170"/>
      <c r="W98" s="1170"/>
      <c r="X98" s="1170"/>
      <c r="Y98" s="1186" t="str">
        <f>CokingRefineryCalcs!C54</f>
        <v>Hydrogen</v>
      </c>
      <c r="Z98" s="1170" t="str">
        <f ca="1">CokingRefineryCalcs!D54</f>
        <v>wt%</v>
      </c>
      <c r="AA98" s="1170">
        <f ca="1">CokingRefineryCalcs!J54</f>
        <v>12.331915988948833</v>
      </c>
      <c r="AB98" s="1170"/>
      <c r="AC98" s="1197" t="s">
        <v>228</v>
      </c>
      <c r="AD98" s="1170"/>
      <c r="AE98" s="1170">
        <f ca="1">IF(CokingRefineryConfig=0,IF(E46=TRUE,IF(E47=TRUE,AA94/U101,AA94/(U101-CokingRefineryPFD!AN285)),0),AA45/U101)</f>
        <v>0</v>
      </c>
      <c r="AF98" s="1170"/>
      <c r="AG98" s="1170"/>
      <c r="AH98" s="1170"/>
      <c r="AI98" s="1170"/>
      <c r="AJ98" s="1170"/>
      <c r="AK98" s="1170"/>
      <c r="AL98" s="1170"/>
      <c r="AM98" s="1170"/>
      <c r="AN98" s="1170"/>
      <c r="AO98" s="1170"/>
      <c r="AP98" s="1170"/>
      <c r="AQ98" s="1170"/>
      <c r="AR98" s="1170"/>
      <c r="AS98" s="1186" t="str">
        <f>CokingRefineryCalcs!C601</f>
        <v>Density</v>
      </c>
      <c r="AT98" s="1170" t="str">
        <f ca="1">CokingRefineryCalcs!D601</f>
        <v>kg/m^3</v>
      </c>
      <c r="AU98" s="1170">
        <f ca="1">CokingRefineryCalcs!F601</f>
        <v>905.24616445999914</v>
      </c>
      <c r="AV98" s="1170"/>
      <c r="AW98" s="1170"/>
      <c r="AX98" s="1180" t="s">
        <v>1065</v>
      </c>
      <c r="AY98" s="1170"/>
      <c r="AZ98" s="1170">
        <f ca="1">($AU$103/$AA$102)</f>
        <v>9.9999999999999998E-13</v>
      </c>
      <c r="BA98" s="1170"/>
      <c r="BB98" s="1170"/>
      <c r="BC98" s="1170"/>
      <c r="BD98" s="1170"/>
      <c r="BE98" s="1170"/>
      <c r="BF98" s="1170"/>
      <c r="BG98" s="1170"/>
      <c r="BH98" s="1170"/>
      <c r="BI98" s="1170"/>
      <c r="BJ98" s="1170"/>
      <c r="BK98" s="1170"/>
      <c r="BL98" s="1170"/>
      <c r="BM98" s="1170"/>
      <c r="BN98" s="1170"/>
      <c r="BO98" s="1170"/>
      <c r="BP98" s="1170"/>
      <c r="BQ98" s="1170"/>
      <c r="BR98" s="1170"/>
      <c r="BS98" s="1170"/>
      <c r="BT98" s="1170"/>
      <c r="BU98" s="1170"/>
      <c r="BV98" s="1170"/>
      <c r="BW98" s="1170"/>
      <c r="BX98" s="1170"/>
      <c r="BY98" s="1170"/>
      <c r="BZ98" s="1170"/>
      <c r="CA98" s="1170"/>
      <c r="CB98" s="1170"/>
      <c r="CC98" s="1170"/>
      <c r="CD98" s="1186" t="str">
        <f>CokingRefineryCalcs!C472</f>
        <v>Mass Flow</v>
      </c>
      <c r="CE98" s="1170" t="str">
        <f>CokingRefineryCalcs!D472</f>
        <v>kg/d</v>
      </c>
      <c r="CF98" s="1170">
        <f ca="1">CokingRefineryCalcs!F472</f>
        <v>7.6620347850055368E-7</v>
      </c>
      <c r="CG98" s="1170"/>
      <c r="CH98" s="1170" t="s">
        <v>224</v>
      </c>
      <c r="CI98" s="1170"/>
      <c r="CJ98" s="1187">
        <f ca="1">(BT131+BY106)*$CJ$101</f>
        <v>6.0200526651097163E-7</v>
      </c>
      <c r="CK98" s="1170"/>
      <c r="CL98" s="1170"/>
      <c r="CM98" s="1170"/>
      <c r="CN98" s="1170"/>
      <c r="CO98" s="1170"/>
      <c r="CP98" s="1170"/>
      <c r="CQ98" s="1170"/>
      <c r="CR98" s="1170"/>
      <c r="CS98" s="1170" t="s">
        <v>485</v>
      </c>
      <c r="CT98" s="1170"/>
      <c r="CU98" s="1187">
        <f ca="1">(CP88+AE80+CJ262)*$CU$101</f>
        <v>288857.97987993807</v>
      </c>
      <c r="CV98" s="1170"/>
      <c r="CW98" s="1170"/>
      <c r="CX98" s="1170"/>
      <c r="CY98" s="1160"/>
      <c r="CZ98" s="1160"/>
      <c r="DA98" s="1160"/>
      <c r="DB98" s="1160"/>
      <c r="DC98" s="1160"/>
      <c r="DD98" s="1160"/>
      <c r="DE98" s="1160"/>
      <c r="DF98" s="1160"/>
      <c r="DG98" s="1160"/>
      <c r="DH98" s="1160"/>
      <c r="DI98" s="1160"/>
      <c r="DJ98" s="1160"/>
      <c r="DK98" s="1191" t="s">
        <v>1065</v>
      </c>
      <c r="DL98" s="1245">
        <f ca="1">BG68/(BP73+BG68)</f>
        <v>0</v>
      </c>
      <c r="DM98" s="1160"/>
      <c r="DN98" s="1160"/>
      <c r="DO98" s="1160"/>
      <c r="DP98" s="1160"/>
      <c r="DQ98" s="1160"/>
      <c r="DR98" s="1160"/>
      <c r="DS98" s="1160"/>
      <c r="DT98" s="1160"/>
      <c r="DU98" s="1160"/>
      <c r="DV98" s="1160"/>
      <c r="DW98" s="1160"/>
      <c r="DX98" s="1160"/>
      <c r="DY98" s="1160"/>
      <c r="DZ98" s="1160"/>
      <c r="EA98" s="1160"/>
      <c r="EB98" s="1160"/>
    </row>
    <row r="99" spans="1:136" x14ac:dyDescent="0.2">
      <c r="A99" s="1160"/>
      <c r="B99" s="1160"/>
      <c r="C99" s="1229" t="str">
        <f>'Assay Inventory'!C16</f>
        <v xml:space="preserve">Nitrogen </v>
      </c>
      <c r="D99" s="1229" t="str">
        <f ca="1">'Assay Inventory'!D16</f>
        <v>mass ppm</v>
      </c>
      <c r="E99" s="1170">
        <f ca="1">'Assay Inventory'!E16</f>
        <v>1040</v>
      </c>
      <c r="F99" s="1170">
        <f ca="1">'Assay Inventory'!F16</f>
        <v>0</v>
      </c>
      <c r="G99" s="1170">
        <f ca="1">'Assay Inventory'!G16</f>
        <v>0</v>
      </c>
      <c r="H99" s="1170">
        <f ca="1">'Assay Inventory'!H16</f>
        <v>0</v>
      </c>
      <c r="I99" s="1170">
        <f ca="1">'Assay Inventory'!I16</f>
        <v>147.76502983461546</v>
      </c>
      <c r="J99" s="1170">
        <f ca="1">'Assay Inventory'!J16</f>
        <v>573.33295706164199</v>
      </c>
      <c r="K99" s="1170">
        <f ca="1">'Assay Inventory'!K16</f>
        <v>1315.9260423987175</v>
      </c>
      <c r="L99" s="1170">
        <f ca="1">'Assay Inventory'!L16</f>
        <v>2546.2715056129705</v>
      </c>
      <c r="M99" s="1170">
        <f ca="1">'Assay Inventory'!M16</f>
        <v>5170.9765737434327</v>
      </c>
      <c r="N99" s="1170">
        <f ca="1">'Assay Inventory'!N16</f>
        <v>3219.1200607523342</v>
      </c>
      <c r="O99" s="1170"/>
      <c r="P99" s="1170"/>
      <c r="Q99" s="1170"/>
      <c r="R99" s="1170"/>
      <c r="S99" s="1186" t="str">
        <f>CokingRefineryCalcs!C25</f>
        <v>Vol Flow</v>
      </c>
      <c r="T99" s="1170" t="str">
        <f ca="1">CokingRefineryCalcs!D25</f>
        <v>bpd</v>
      </c>
      <c r="U99" s="1187">
        <f ca="1">CokingRefineryCalcs!F25</f>
        <v>99177.64135868111</v>
      </c>
      <c r="V99" s="1170"/>
      <c r="W99" s="1170"/>
      <c r="X99" s="1170"/>
      <c r="Y99" s="1186" t="str">
        <f>CokingRefineryCalcs!C55</f>
        <v>MCR</v>
      </c>
      <c r="Z99" s="1170" t="str">
        <f ca="1">CokingRefineryCalcs!D55</f>
        <v>wt%</v>
      </c>
      <c r="AA99" s="1170">
        <f>CokingRefineryCalcs!J55</f>
        <v>0</v>
      </c>
      <c r="AB99" s="1170"/>
      <c r="AC99" s="1170"/>
      <c r="AD99" s="1170"/>
      <c r="AE99" s="1170"/>
      <c r="AF99" s="1170"/>
      <c r="AG99" s="1170"/>
      <c r="AH99" s="1170"/>
      <c r="AI99" s="1170"/>
      <c r="AJ99" s="1170"/>
      <c r="AK99" s="1170"/>
      <c r="AL99" s="1170"/>
      <c r="AM99" s="1170"/>
      <c r="AN99" s="1170"/>
      <c r="AO99" s="1170"/>
      <c r="AP99" s="1170"/>
      <c r="AQ99" s="1170"/>
      <c r="AR99" s="1170"/>
      <c r="AS99" s="1186" t="str">
        <f>CokingRefineryCalcs!C602</f>
        <v>Hydrogen</v>
      </c>
      <c r="AT99" s="1170" t="str">
        <f ca="1">CokingRefineryCalcs!D602</f>
        <v>wt%</v>
      </c>
      <c r="AU99" s="1170">
        <f ca="1">CokingRefineryCalcs!F602</f>
        <v>12.331915988948833</v>
      </c>
      <c r="AV99" s="1170"/>
      <c r="AW99" s="1170"/>
      <c r="AX99" s="1170"/>
      <c r="AY99" s="1170"/>
      <c r="AZ99" s="1170"/>
      <c r="BA99" s="1170"/>
      <c r="BB99" s="1170"/>
      <c r="BC99" s="1170"/>
      <c r="BD99" s="1170"/>
      <c r="BE99" s="1170"/>
      <c r="BF99" s="1170"/>
      <c r="BG99" s="1170"/>
      <c r="BH99" s="1170"/>
      <c r="BI99" s="1170"/>
      <c r="BJ99" s="1170"/>
      <c r="BK99" s="1170"/>
      <c r="BL99" s="1170"/>
      <c r="BM99" s="1170"/>
      <c r="BN99" s="1170"/>
      <c r="BO99" s="1170"/>
      <c r="BP99" s="1170"/>
      <c r="BQ99" s="1170"/>
      <c r="BR99" s="1170"/>
      <c r="BS99" s="1170"/>
      <c r="BT99" s="1170"/>
      <c r="BU99" s="1170"/>
      <c r="BV99" s="1170"/>
      <c r="BW99" s="1170"/>
      <c r="BX99" s="1170"/>
      <c r="BY99" s="1170"/>
      <c r="BZ99" s="1170"/>
      <c r="CA99" s="1170"/>
      <c r="CB99" s="1170"/>
      <c r="CC99" s="1170"/>
      <c r="CD99" s="1186" t="str">
        <f>CokingRefineryCalcs!C473</f>
        <v>S</v>
      </c>
      <c r="CE99" s="1170" t="str">
        <f>CokingRefineryCalcs!D473</f>
        <v>wt%</v>
      </c>
      <c r="CF99" s="1170">
        <f ca="1">CokingRefineryCalcs!F473</f>
        <v>0</v>
      </c>
      <c r="CG99" s="1170"/>
      <c r="CH99" s="1170" t="s">
        <v>485</v>
      </c>
      <c r="CI99" s="1170"/>
      <c r="CJ99" s="1187">
        <f ca="1">(BT132+BY107)*$CJ$101</f>
        <v>4.957487658788034E-7</v>
      </c>
      <c r="CK99" s="1170"/>
      <c r="CL99" s="1170"/>
      <c r="CM99" s="1170"/>
      <c r="CN99" s="1170"/>
      <c r="CO99" s="1170"/>
      <c r="CP99" s="1170"/>
      <c r="CQ99" s="1170"/>
      <c r="CR99" s="1170"/>
      <c r="CS99" s="1170" t="s">
        <v>541</v>
      </c>
      <c r="CT99" s="1170"/>
      <c r="CU99" s="1187">
        <f ca="1">(CP89+AE81+CJ263)*$CU$101</f>
        <v>1083713.5706350929</v>
      </c>
      <c r="CV99" s="1170"/>
      <c r="CW99" s="1170"/>
      <c r="CX99" s="1170"/>
      <c r="CY99" s="1160"/>
      <c r="CZ99" s="1160"/>
      <c r="DA99" s="1160"/>
      <c r="DB99" s="1160"/>
      <c r="DC99" s="1160"/>
      <c r="DD99" s="1160"/>
      <c r="DE99" s="1160"/>
      <c r="DF99" s="1160"/>
      <c r="DG99" s="1160"/>
      <c r="DH99" s="1160"/>
      <c r="DI99" s="1160"/>
      <c r="DJ99" s="1160"/>
      <c r="DK99" s="1208" t="s">
        <v>228</v>
      </c>
      <c r="DL99" s="1245">
        <f ca="1">BG60/AA62</f>
        <v>2.6881843189149675E-3</v>
      </c>
      <c r="DM99" s="1160"/>
      <c r="DN99" s="1160"/>
      <c r="DO99" s="1160"/>
      <c r="DP99" s="1160"/>
      <c r="DQ99" s="1160"/>
      <c r="DR99" s="1160"/>
      <c r="DS99" s="1160"/>
      <c r="DT99" s="1160"/>
      <c r="DU99" s="1160"/>
      <c r="DV99" s="1160"/>
      <c r="DW99" s="1160"/>
      <c r="DX99" s="1160"/>
      <c r="DY99" s="1160"/>
      <c r="DZ99" s="1191" t="str">
        <f>DZ91</f>
        <v>Clean Fuel Gas</v>
      </c>
      <c r="EA99" s="1160"/>
      <c r="EB99" s="1160"/>
      <c r="ED99" s="1195" t="s">
        <v>1486</v>
      </c>
      <c r="EE99" s="1160"/>
      <c r="EF99" s="1160"/>
    </row>
    <row r="100" spans="1:136" x14ac:dyDescent="0.2">
      <c r="A100" s="1160"/>
      <c r="B100" s="1160"/>
      <c r="C100" s="1229" t="str">
        <f>'Assay Inventory'!C17</f>
        <v xml:space="preserve">API gravity </v>
      </c>
      <c r="D100" s="1229"/>
      <c r="E100" s="1170">
        <f ca="1">'Assay Inventory'!E17</f>
        <v>32.710282000696282</v>
      </c>
      <c r="F100" s="1170">
        <f ca="1">'Assay Inventory'!F17</f>
        <v>66.810065343505755</v>
      </c>
      <c r="G100" s="1170">
        <f ca="1">'Assay Inventory'!G17</f>
        <v>48.930774481465882</v>
      </c>
      <c r="H100" s="1170">
        <f ca="1">'Assay Inventory'!H17</f>
        <v>36.017353731652683</v>
      </c>
      <c r="I100" s="1170">
        <f ca="1">'Assay Inventory'!I17</f>
        <v>28.65400910502008</v>
      </c>
      <c r="J100" s="1170">
        <f ca="1">'Assay Inventory'!J17</f>
        <v>24.667236439282533</v>
      </c>
      <c r="K100" s="1170">
        <f ca="1">'Assay Inventory'!K17</f>
        <v>21.169746955325756</v>
      </c>
      <c r="L100" s="1170">
        <f ca="1">'Assay Inventory'!L17</f>
        <v>17.695879132085047</v>
      </c>
      <c r="M100" s="1170">
        <f ca="1">'Assay Inventory'!M17</f>
        <v>2.4639609223786181</v>
      </c>
      <c r="N100" s="1170">
        <f ca="1">'Assay Inventory'!N17</f>
        <v>39.968737839092263</v>
      </c>
      <c r="O100" s="1170"/>
      <c r="P100" s="1170"/>
      <c r="Q100" s="1170"/>
      <c r="R100" s="1170"/>
      <c r="S100" s="1186" t="str">
        <f>CokingRefineryCalcs!C26</f>
        <v>Vol Flow</v>
      </c>
      <c r="T100" s="1170" t="str">
        <f ca="1">CokingRefineryCalcs!D26</f>
        <v>m^3/d</v>
      </c>
      <c r="U100" s="1187">
        <f ca="1">CokingRefineryCalcs!F26</f>
        <v>15769.244976030297</v>
      </c>
      <c r="V100" s="1170"/>
      <c r="W100" s="1170"/>
      <c r="X100" s="1170"/>
      <c r="Y100" s="1200" t="s">
        <v>1056</v>
      </c>
      <c r="Z100" s="1199" t="s">
        <v>447</v>
      </c>
      <c r="AA100" s="1199">
        <f ca="1">('Energy &amp; Unit Conversions'!$D$63-('Energy &amp; Unit Conversions'!$E$63*POWER((CokingRefineryPFD!AA97/'Energy &amp; Unit Conversions'!$E$54),2)))</f>
        <v>40.189871247727446</v>
      </c>
      <c r="AB100" s="1170"/>
      <c r="AC100" s="1170"/>
      <c r="AD100" s="1170"/>
      <c r="AE100" s="1170"/>
      <c r="AF100" s="1170"/>
      <c r="AG100" s="1170"/>
      <c r="AH100" s="1170"/>
      <c r="AI100" s="1170"/>
      <c r="AJ100" s="1170"/>
      <c r="AK100" s="1170"/>
      <c r="AL100" s="1170"/>
      <c r="AM100" s="1170"/>
      <c r="AN100" s="1170"/>
      <c r="AO100" s="1170"/>
      <c r="AP100" s="1170"/>
      <c r="AQ100" s="1170"/>
      <c r="AR100" s="1170"/>
      <c r="AS100" s="1186" t="str">
        <f>CokingRefineryCalcs!C603</f>
        <v>MCR</v>
      </c>
      <c r="AT100" s="1170" t="str">
        <f ca="1">CokingRefineryCalcs!D603</f>
        <v>wt%</v>
      </c>
      <c r="AU100" s="1170">
        <f>CokingRefineryCalcs!F603</f>
        <v>0</v>
      </c>
      <c r="AV100" s="1170"/>
      <c r="AW100" s="1170"/>
      <c r="AX100" s="1170"/>
      <c r="AY100" s="1170"/>
      <c r="AZ100" s="1170"/>
      <c r="BA100" s="1170"/>
      <c r="BB100" s="1170"/>
      <c r="BC100" s="1170"/>
      <c r="BD100" s="1170"/>
      <c r="BE100" s="1170"/>
      <c r="BF100" s="1170"/>
      <c r="BG100" s="1170"/>
      <c r="BH100" s="1170"/>
      <c r="BI100" s="1170"/>
      <c r="BJ100" s="1170"/>
      <c r="BK100" s="1170"/>
      <c r="BL100" s="1170"/>
      <c r="BM100" s="1170"/>
      <c r="BN100" s="1170"/>
      <c r="BO100" s="1170"/>
      <c r="BP100" s="1170"/>
      <c r="BQ100" s="1170"/>
      <c r="BR100" s="1170"/>
      <c r="BS100" s="1170"/>
      <c r="BT100" s="1170"/>
      <c r="BU100" s="1170"/>
      <c r="BV100" s="1170"/>
      <c r="BW100" s="1170"/>
      <c r="BX100" s="1170"/>
      <c r="BY100" s="1170"/>
      <c r="BZ100" s="1170"/>
      <c r="CA100" s="1170"/>
      <c r="CB100" s="1170"/>
      <c r="CC100" s="1170"/>
      <c r="CD100" s="1186" t="str">
        <f>CokingRefineryCalcs!C475</f>
        <v>API</v>
      </c>
      <c r="CE100" s="1170"/>
      <c r="CF100" s="1170">
        <f ca="1">CokingRefineryCalcs!F475</f>
        <v>63.970811706769609</v>
      </c>
      <c r="CG100" s="1170"/>
      <c r="CH100" s="1170" t="s">
        <v>541</v>
      </c>
      <c r="CI100" s="1170"/>
      <c r="CJ100" s="1187">
        <f ca="1">(BT133+BX96)*$CJ$101</f>
        <v>2.7111878960804975E-6</v>
      </c>
      <c r="CK100" s="1170"/>
      <c r="CL100" s="1170"/>
      <c r="CM100" s="1170"/>
      <c r="CN100" s="1170"/>
      <c r="CO100" s="1170"/>
      <c r="CP100" s="1170"/>
      <c r="CQ100" s="1170"/>
      <c r="CR100" s="1170"/>
      <c r="CS100" s="1170" t="str">
        <f>CH264</f>
        <v>Catalyst Coke</v>
      </c>
      <c r="CT100" s="1170"/>
      <c r="CU100" s="1170">
        <f ca="1">(CJ264)*$CU$101</f>
        <v>7.7968351670689407E-15</v>
      </c>
      <c r="CV100" s="1170"/>
      <c r="CW100" s="1170"/>
      <c r="CX100" s="1170"/>
      <c r="CY100" s="1160"/>
      <c r="CZ100" s="1160" t="s">
        <v>337</v>
      </c>
      <c r="DA100" s="1160"/>
      <c r="DB100" s="1160"/>
      <c r="DC100" s="1160"/>
      <c r="DD100" s="1160"/>
      <c r="DE100" s="1160"/>
      <c r="DF100" s="1160"/>
      <c r="DG100" s="1160"/>
      <c r="DH100" s="1160"/>
      <c r="DI100" s="1160"/>
      <c r="DJ100" s="1160"/>
      <c r="DK100" s="1171"/>
      <c r="DL100" s="1245"/>
      <c r="DM100" s="1160"/>
      <c r="DN100" s="1160"/>
      <c r="DO100" s="1160"/>
      <c r="DP100" s="1160"/>
      <c r="DQ100" s="1160"/>
      <c r="DR100" s="1160"/>
      <c r="DS100" s="1160"/>
      <c r="DT100" s="1160"/>
      <c r="DU100" s="1160"/>
      <c r="DV100" s="1160"/>
      <c r="DW100" s="1160"/>
      <c r="DX100" s="1160"/>
      <c r="DY100" s="1160"/>
      <c r="DZ100" s="1193" t="s">
        <v>226</v>
      </c>
      <c r="EA100" s="1160"/>
      <c r="EB100" s="1194" t="s">
        <v>522</v>
      </c>
      <c r="ED100" s="1186" t="s">
        <v>582</v>
      </c>
      <c r="EE100" s="1160" t="s">
        <v>566</v>
      </c>
      <c r="EF100" s="1187"/>
    </row>
    <row r="101" spans="1:136" x14ac:dyDescent="0.2">
      <c r="A101" s="1160"/>
      <c r="B101" s="1160"/>
      <c r="C101" s="1229" t="str">
        <f>'Assay Inventory'!C18</f>
        <v>Density</v>
      </c>
      <c r="D101" s="1229" t="str">
        <f ca="1">'Assay Inventory'!D18</f>
        <v>kg/m^3</v>
      </c>
      <c r="E101" s="1170">
        <f ca="1">'Assay Inventory'!E18</f>
        <v>860.83830000000012</v>
      </c>
      <c r="F101" s="1170">
        <f ca="1">'Assay Inventory'!F18</f>
        <v>712.81555858066895</v>
      </c>
      <c r="G101" s="1170">
        <f ca="1">'Assay Inventory'!G18</f>
        <v>783.45005394033024</v>
      </c>
      <c r="H101" s="1170">
        <f ca="1">'Assay Inventory'!H18</f>
        <v>843.84391736776865</v>
      </c>
      <c r="I101" s="1170">
        <f ca="1">'Assay Inventory'!I18</f>
        <v>882.64103277804918</v>
      </c>
      <c r="J101" s="1170">
        <f ca="1">'Assay Inventory'!J18</f>
        <v>905.17385863429718</v>
      </c>
      <c r="K101" s="1170">
        <f ca="1">'Assay Inventory'!K18</f>
        <v>925.910357612398</v>
      </c>
      <c r="L101" s="1170">
        <f ca="1">'Assay Inventory'!L18</f>
        <v>947.46919836072334</v>
      </c>
      <c r="M101" s="1170">
        <f ca="1">'Assay Inventory'!M18</f>
        <v>1055.1979728481299</v>
      </c>
      <c r="N101" s="1170">
        <f ca="1">'Assay Inventory'!N18</f>
        <v>824.39809017928417</v>
      </c>
      <c r="O101" s="1170"/>
      <c r="P101" s="1170"/>
      <c r="Q101" s="1170"/>
      <c r="R101" s="1170"/>
      <c r="S101" s="1200" t="str">
        <f>CokingRefineryCalcs!C27</f>
        <v>Mass Flow</v>
      </c>
      <c r="T101" s="1199" t="str">
        <f>CokingRefineryCalcs!D27</f>
        <v>kg/d</v>
      </c>
      <c r="U101" s="1252">
        <f ca="1">CokingRefineryCalcs!F27</f>
        <v>13687328.970000003</v>
      </c>
      <c r="V101" s="1170"/>
      <c r="W101" s="1170"/>
      <c r="X101" s="1170"/>
      <c r="Y101" s="1200" t="s">
        <v>1021</v>
      </c>
      <c r="Z101" s="1199" t="s">
        <v>1022</v>
      </c>
      <c r="AA101" s="1199">
        <f>Constants!G340</f>
        <v>86.12</v>
      </c>
      <c r="AB101" s="1170"/>
      <c r="AC101" s="1170"/>
      <c r="AD101" s="1170"/>
      <c r="AE101" s="1170"/>
      <c r="AF101" s="1170"/>
      <c r="AG101" s="1170"/>
      <c r="AH101" s="1170"/>
      <c r="AI101" s="1170"/>
      <c r="AJ101" s="1170"/>
      <c r="AK101" s="1170"/>
      <c r="AL101" s="1170"/>
      <c r="AM101" s="1170"/>
      <c r="AN101" s="1170"/>
      <c r="AO101" s="1170"/>
      <c r="AP101" s="1170"/>
      <c r="AQ101" s="1170"/>
      <c r="AR101" s="1170"/>
      <c r="AS101" s="1200" t="s">
        <v>1056</v>
      </c>
      <c r="AT101" s="1199" t="s">
        <v>447</v>
      </c>
      <c r="AU101" s="1199">
        <f ca="1">('Energy &amp; Unit Conversions'!$D$63-('Energy &amp; Unit Conversions'!$E$63*POWER((CokingRefineryPFD!AU98/'Energy &amp; Unit Conversions'!$E$54),2)))</f>
        <v>40.189871247727446</v>
      </c>
      <c r="AV101" s="1170"/>
      <c r="AW101" s="1170"/>
      <c r="AX101" s="1170"/>
      <c r="AY101" s="1170"/>
      <c r="AZ101" s="1170"/>
      <c r="BA101" s="1170"/>
      <c r="BB101" s="1170"/>
      <c r="BC101" s="1170"/>
      <c r="BD101" s="1170"/>
      <c r="BE101" s="1170"/>
      <c r="BF101" s="1170"/>
      <c r="BG101" s="1170"/>
      <c r="BH101" s="1170"/>
      <c r="BI101" s="1170"/>
      <c r="BJ101" s="1170"/>
      <c r="BK101" s="1170"/>
      <c r="BL101" s="1170"/>
      <c r="BM101" s="1186"/>
      <c r="BN101" s="1170"/>
      <c r="BO101" s="1170"/>
      <c r="BP101" s="1170"/>
      <c r="BQ101" s="1170"/>
      <c r="BR101" s="1170"/>
      <c r="BS101" s="1170"/>
      <c r="BT101" s="1170"/>
      <c r="BU101" s="1170"/>
      <c r="BV101" s="1170"/>
      <c r="BW101" s="1170"/>
      <c r="BX101" s="1170"/>
      <c r="BY101" s="1170"/>
      <c r="BZ101" s="1170"/>
      <c r="CA101" s="1170"/>
      <c r="CB101" s="1170"/>
      <c r="CC101" s="1170"/>
      <c r="CD101" s="1186" t="str">
        <f>CokingRefineryCalcs!C476</f>
        <v>Density</v>
      </c>
      <c r="CE101" s="1170" t="str">
        <f>CokingRefineryCalcs!D476</f>
        <v>kg/m^3</v>
      </c>
      <c r="CF101" s="1170">
        <f ca="1">CokingRefineryCalcs!F476</f>
        <v>723.89324403209366</v>
      </c>
      <c r="CG101" s="1170"/>
      <c r="CH101" s="1180" t="s">
        <v>1066</v>
      </c>
      <c r="CI101" s="1170"/>
      <c r="CJ101" s="1170">
        <f ca="1">IF(CokingRefineryPFD!E46=TRUE,CJ102,CF106/(CF106+CF132))</f>
        <v>0.49881328183593421</v>
      </c>
      <c r="CK101" s="1170"/>
      <c r="CL101" s="1170"/>
      <c r="CM101" s="1170"/>
      <c r="CN101" s="1170"/>
      <c r="CO101" s="1170"/>
      <c r="CP101" s="1170"/>
      <c r="CQ101" s="1170"/>
      <c r="CR101" s="1170"/>
      <c r="CS101" s="1180" t="s">
        <v>1066</v>
      </c>
      <c r="CT101" s="1170"/>
      <c r="CU101" s="1196">
        <f ca="1">IF(CokingRefineryPFD!E50=TRUE,CU102,1)</f>
        <v>1</v>
      </c>
      <c r="CV101" s="1170"/>
      <c r="CW101" s="1170"/>
      <c r="CX101" s="1170"/>
      <c r="CY101" s="1160"/>
      <c r="CZ101" s="1160"/>
      <c r="DA101" s="1170"/>
      <c r="DB101" s="1160"/>
      <c r="DC101" s="1160"/>
      <c r="DD101" s="1160"/>
      <c r="DE101" s="1160"/>
      <c r="DF101" s="1160"/>
      <c r="DG101" s="1160"/>
      <c r="DH101" s="1160"/>
      <c r="DI101" s="1160"/>
      <c r="DJ101" s="1160"/>
      <c r="DK101" s="1191" t="str">
        <f>BJ109</f>
        <v>Gas Oil HC Fuel Gas</v>
      </c>
      <c r="DL101" s="1171">
        <f ca="1">CokingRefineryCalcs!E982</f>
        <v>4.01525055866854E-8</v>
      </c>
      <c r="DM101" s="1160" t="s">
        <v>622</v>
      </c>
      <c r="DN101" s="1160"/>
      <c r="DO101" s="1160"/>
      <c r="DP101" s="1160"/>
      <c r="DQ101" s="1160"/>
      <c r="DR101" s="1160"/>
      <c r="DS101" s="1160"/>
      <c r="DT101" s="1160"/>
      <c r="DU101" s="1160"/>
      <c r="DV101" s="1160"/>
      <c r="DW101" s="1160"/>
      <c r="DX101" s="1160"/>
      <c r="DY101" s="1160"/>
      <c r="DZ101" s="1160" t="s">
        <v>263</v>
      </c>
      <c r="EA101" s="1160"/>
      <c r="EB101" s="1187">
        <f ca="1">IF($EB$144+$EB$161=0,0,(DL$81+DL$92+DL$103+DL$114+DL$126+DL$138+DL$149+DL$160+DL$58+DL$70)*$EB$111)</f>
        <v>0</v>
      </c>
      <c r="ED101" s="1186" t="s">
        <v>582</v>
      </c>
      <c r="EE101" s="1160" t="s">
        <v>628</v>
      </c>
      <c r="EF101" s="1187"/>
    </row>
    <row r="102" spans="1:136" x14ac:dyDescent="0.2">
      <c r="A102" s="1160"/>
      <c r="B102" s="1160"/>
      <c r="C102" s="1229" t="str">
        <f>'Assay Inventory'!C19</f>
        <v>Hydrogen</v>
      </c>
      <c r="D102" s="1229" t="str">
        <f ca="1">'Assay Inventory'!D19</f>
        <v>wt%</v>
      </c>
      <c r="E102" s="1170">
        <f ca="1">'Assay Inventory'!E19</f>
        <v>12.931648905131908</v>
      </c>
      <c r="F102" s="1170">
        <f ca="1">'Assay Inventory'!F19</f>
        <v>15.321692746753095</v>
      </c>
      <c r="G102" s="1170">
        <f ca="1">'Assay Inventory'!G19</f>
        <v>13.50174052285624</v>
      </c>
      <c r="H102" s="1170">
        <f ca="1">'Assay Inventory'!H19</f>
        <v>12.638480433923334</v>
      </c>
      <c r="I102" s="1170">
        <f ca="1">'Assay Inventory'!I19</f>
        <v>12.394831175477673</v>
      </c>
      <c r="J102" s="1170">
        <f ca="1">'Assay Inventory'!J19</f>
        <v>12.331915988948797</v>
      </c>
      <c r="K102" s="1170">
        <f ca="1">'Assay Inventory'!K19</f>
        <v>12.271763653145852</v>
      </c>
      <c r="L102" s="1170">
        <f ca="1">'Assay Inventory'!L19</f>
        <v>12.125465535911589</v>
      </c>
      <c r="M102" s="1170">
        <f ca="1">'Assay Inventory'!M19</f>
        <v>13.775491885583563</v>
      </c>
      <c r="N102" s="1170">
        <f ca="1">'Assay Inventory'!N19</f>
        <v>12.849096068230626</v>
      </c>
      <c r="O102" s="1170"/>
      <c r="P102" s="1170"/>
      <c r="Q102" s="1170"/>
      <c r="R102" s="1170"/>
      <c r="S102" s="1186" t="str">
        <f>CokingRefineryCalcs!C28</f>
        <v xml:space="preserve">Sulphur </v>
      </c>
      <c r="T102" s="1170" t="str">
        <f ca="1">CokingRefineryCalcs!D28</f>
        <v>wt%</v>
      </c>
      <c r="U102" s="1170">
        <f ca="1">CokingRefineryCalcs!F28</f>
        <v>0.16980000000000001</v>
      </c>
      <c r="V102" s="1170"/>
      <c r="W102" s="1170"/>
      <c r="X102" s="1170"/>
      <c r="Y102" s="1204" t="s">
        <v>1054</v>
      </c>
      <c r="Z102" s="1204" t="str">
        <f>IF(allocationMethod=1,$C$21,IF(allocationMethod=2,$C$22,IF(allocationMethod=3,$C$23,$C$24)))</f>
        <v>Hydrogen Content Basis</v>
      </c>
      <c r="AA102" s="1204">
        <f ca="1">IF(allocationMethod=1,AA94,IF(allocationMethod=2,AA100*AA94,IF(allocationMethod=3,AA101*AA92,AA98*AA94/100)))</f>
        <v>198472.01341060203</v>
      </c>
      <c r="AB102" s="1170"/>
      <c r="AC102" s="1170"/>
      <c r="AD102" s="1170"/>
      <c r="AE102" s="1170"/>
      <c r="AF102" s="1170"/>
      <c r="AG102" s="1170"/>
      <c r="AH102" s="1170"/>
      <c r="AI102" s="1170"/>
      <c r="AJ102" s="1170"/>
      <c r="AK102" s="1170"/>
      <c r="AL102" s="1170"/>
      <c r="AM102" s="1170"/>
      <c r="AN102" s="1170"/>
      <c r="AO102" s="1170"/>
      <c r="AP102" s="1170"/>
      <c r="AQ102" s="1170"/>
      <c r="AR102" s="1170"/>
      <c r="AS102" s="1200" t="s">
        <v>1021</v>
      </c>
      <c r="AT102" s="1199" t="s">
        <v>1022</v>
      </c>
      <c r="AU102" s="1199">
        <f>AA101</f>
        <v>86.12</v>
      </c>
      <c r="AV102" s="1170"/>
      <c r="AW102" s="1170"/>
      <c r="AX102" s="1170"/>
      <c r="AY102" s="1170"/>
      <c r="AZ102" s="1170"/>
      <c r="BA102" s="1170"/>
      <c r="BB102" s="1170"/>
      <c r="BC102" s="1170"/>
      <c r="BD102" s="1170"/>
      <c r="BE102" s="1170"/>
      <c r="BF102" s="1170"/>
      <c r="BG102" s="1170"/>
      <c r="BH102" s="1170"/>
      <c r="BI102" s="1170"/>
      <c r="BJ102" s="1170"/>
      <c r="BK102" s="1170"/>
      <c r="BL102" s="1170"/>
      <c r="BM102" s="1170"/>
      <c r="BN102" s="1170"/>
      <c r="BO102" s="1170"/>
      <c r="BP102" s="1170"/>
      <c r="BQ102" s="1170"/>
      <c r="BR102" s="1170"/>
      <c r="BS102" s="1170"/>
      <c r="BT102" s="1170"/>
      <c r="BU102" s="1170"/>
      <c r="BV102" s="1170"/>
      <c r="BW102" s="1170"/>
      <c r="BX102" s="1170"/>
      <c r="BY102" s="1170"/>
      <c r="BZ102" s="1170"/>
      <c r="CA102" s="1170"/>
      <c r="CB102" s="1170"/>
      <c r="CC102" s="1170"/>
      <c r="CD102" s="1186" t="str">
        <f>CokingRefineryCalcs!C477</f>
        <v>H</v>
      </c>
      <c r="CE102" s="1170" t="str">
        <f>CokingRefineryCalcs!D477</f>
        <v>wt%</v>
      </c>
      <c r="CF102" s="1170">
        <f ca="1">CokingRefineryCalcs!F477</f>
        <v>14.666871318973451</v>
      </c>
      <c r="CG102" s="1170"/>
      <c r="CH102" s="1180" t="s">
        <v>1065</v>
      </c>
      <c r="CI102" s="1170"/>
      <c r="CJ102" s="1196">
        <f ca="1">CF106/(CF106+CF132+CF155)</f>
        <v>0.49881328183555923</v>
      </c>
      <c r="CK102" s="1170"/>
      <c r="CL102" s="1170"/>
      <c r="CM102" s="1170"/>
      <c r="CN102" s="1170"/>
      <c r="CO102" s="1170"/>
      <c r="CP102" s="1170"/>
      <c r="CQ102" s="1170"/>
      <c r="CR102" s="1170"/>
      <c r="CS102" s="1180" t="s">
        <v>1065</v>
      </c>
      <c r="CT102" s="1170"/>
      <c r="CU102" s="1170">
        <f ca="1">CU91/(CU91+CM79)</f>
        <v>1</v>
      </c>
      <c r="CV102" s="1170"/>
      <c r="CW102" s="1170"/>
      <c r="CX102" s="1170"/>
      <c r="CY102" s="1160"/>
      <c r="CZ102" s="1160"/>
      <c r="DA102" s="1160"/>
      <c r="DB102" s="1160"/>
      <c r="DC102" s="1160"/>
      <c r="DD102" s="1160"/>
      <c r="DE102" s="1160"/>
      <c r="DF102" s="1160"/>
      <c r="DG102" s="1160"/>
      <c r="DH102" s="1160"/>
      <c r="DI102" s="1160"/>
      <c r="DJ102" s="1160"/>
      <c r="DK102" s="1193" t="s">
        <v>226</v>
      </c>
      <c r="DL102" s="1243" t="s">
        <v>522</v>
      </c>
      <c r="DM102" s="1160"/>
      <c r="DN102" s="1160"/>
      <c r="DO102" s="1160"/>
      <c r="DP102" s="1160"/>
      <c r="DQ102" s="1160"/>
      <c r="DR102" s="1160"/>
      <c r="DS102" s="1160"/>
      <c r="DT102" s="1160"/>
      <c r="DU102" s="1160"/>
      <c r="DV102" s="1160"/>
      <c r="DW102" s="1160"/>
      <c r="DX102" s="1160"/>
      <c r="DY102" s="1160"/>
      <c r="DZ102" s="1160" t="s">
        <v>392</v>
      </c>
      <c r="EA102" s="1160"/>
      <c r="EB102" s="1187">
        <f ca="1">IF($EB$144+$EB$161=0,0,(DN$42+DL$82+DL$93+DL$104+DL$115+DL$127+DL$139+DL$150+DL$161+DL$59+DL$71)*$EB$111)</f>
        <v>0</v>
      </c>
      <c r="ED102" s="1186" t="s">
        <v>620</v>
      </c>
      <c r="EE102" s="1160" t="s">
        <v>622</v>
      </c>
      <c r="EF102" s="1187">
        <f ca="1">EB94-EF84</f>
        <v>0</v>
      </c>
    </row>
    <row r="103" spans="1:136" x14ac:dyDescent="0.2">
      <c r="A103" s="1160"/>
      <c r="B103" s="1160"/>
      <c r="C103" s="1229" t="str">
        <f>'Assay Inventory'!C20</f>
        <v>MCR</v>
      </c>
      <c r="D103" s="1229" t="str">
        <f ca="1">'Assay Inventory'!D20</f>
        <v>wt%</v>
      </c>
      <c r="E103" s="1186">
        <f ca="1">'Assay Inventory'!E20</f>
        <v>1.2</v>
      </c>
      <c r="F103" s="1186" t="str">
        <f ca="1">'Assay Inventory'!F20</f>
        <v/>
      </c>
      <c r="G103" s="1186" t="str">
        <f ca="1">'Assay Inventory'!G20</f>
        <v/>
      </c>
      <c r="H103" s="1186" t="str">
        <f ca="1">'Assay Inventory'!H20</f>
        <v/>
      </c>
      <c r="I103" s="1170"/>
      <c r="J103" s="1170"/>
      <c r="K103" s="1186" t="str">
        <f ca="1">'Assay Inventory'!K20</f>
        <v/>
      </c>
      <c r="L103" s="1186" t="str">
        <f ca="1">'Assay Inventory'!L20</f>
        <v/>
      </c>
      <c r="M103" s="1186">
        <f ca="1">'Assay Inventory'!M20</f>
        <v>10.823381666475589</v>
      </c>
      <c r="N103" s="1186">
        <f ca="1">'Assay Inventory'!N20</f>
        <v>4.4374255523499508</v>
      </c>
      <c r="O103" s="1170"/>
      <c r="P103" s="1170"/>
      <c r="Q103" s="1170"/>
      <c r="R103" s="1170"/>
      <c r="S103" s="1186" t="str">
        <f>CokingRefineryCalcs!C30</f>
        <v xml:space="preserve">API gravity </v>
      </c>
      <c r="T103" s="1170" t="str">
        <f ca="1">CokingRefineryCalcs!D30</f>
        <v>oAPI</v>
      </c>
      <c r="U103" s="1170">
        <f ca="1">CokingRefineryCalcs!F30</f>
        <v>32.710282000696282</v>
      </c>
      <c r="V103" s="1170"/>
      <c r="W103" s="1170"/>
      <c r="X103" s="1170"/>
      <c r="Y103" s="1170"/>
      <c r="Z103" s="1170"/>
      <c r="AA103" s="1170"/>
      <c r="AB103" s="1170"/>
      <c r="AC103" s="1170"/>
      <c r="AD103" s="1170"/>
      <c r="AE103" s="1170"/>
      <c r="AF103" s="1170"/>
      <c r="AG103" s="1170"/>
      <c r="AH103" s="1170"/>
      <c r="AI103" s="1170"/>
      <c r="AJ103" s="1170"/>
      <c r="AK103" s="1170"/>
      <c r="AL103" s="1170"/>
      <c r="AM103" s="1170"/>
      <c r="AN103" s="1170"/>
      <c r="AO103" s="1170"/>
      <c r="AP103" s="1170"/>
      <c r="AQ103" s="1170"/>
      <c r="AR103" s="1170"/>
      <c r="AS103" s="1204" t="s">
        <v>1054</v>
      </c>
      <c r="AT103" s="1204" t="str">
        <f>IF(allocationMethod=1,$C$21,IF(allocationMethod=2,$C$22,IF(allocationMethod=3,$C$23,$C$24)))</f>
        <v>Hydrogen Content Basis</v>
      </c>
      <c r="AU103" s="1204">
        <f ca="1">IF(allocationMethod=1,AU95,IF(allocationMethod=2,AU101*AU95,IF(allocationMethod=3,AU102*AU93,AU99*AU95/100)))</f>
        <v>1.9847201341060203E-7</v>
      </c>
      <c r="AV103" s="1170"/>
      <c r="AW103" s="1170"/>
      <c r="AX103" s="1170"/>
      <c r="AY103" s="1170"/>
      <c r="AZ103" s="1170"/>
      <c r="BA103" s="1170"/>
      <c r="BB103" s="1170"/>
      <c r="BC103" s="1170"/>
      <c r="BD103" s="1170"/>
      <c r="BE103" s="1170"/>
      <c r="BF103" s="1170"/>
      <c r="BG103" s="1170"/>
      <c r="BH103" s="1170"/>
      <c r="BI103" s="1170"/>
      <c r="BJ103" s="1170"/>
      <c r="BK103" s="1170"/>
      <c r="BL103" s="1170"/>
      <c r="BM103" s="1170"/>
      <c r="BN103" s="1170"/>
      <c r="BO103" s="1170"/>
      <c r="BP103" s="1170"/>
      <c r="BQ103" s="1170"/>
      <c r="BR103" s="1170"/>
      <c r="BS103" s="1170"/>
      <c r="BT103" s="1170"/>
      <c r="BU103" s="1170"/>
      <c r="BV103" s="1170"/>
      <c r="BW103" s="1184" t="str">
        <f>'CokingRefinery Detailed Results'!C18</f>
        <v>Gas Oil Hydrocracker Fractionator</v>
      </c>
      <c r="BX103" s="1170"/>
      <c r="BY103" s="1170"/>
      <c r="BZ103" s="1170"/>
      <c r="CA103" s="1170"/>
      <c r="CB103" s="1170"/>
      <c r="CC103" s="1170"/>
      <c r="CD103" s="1186" t="str">
        <f>CokingRefineryCalcs!C478</f>
        <v>MCR</v>
      </c>
      <c r="CE103" s="1170" t="str">
        <f>CokingRefineryCalcs!D478</f>
        <v>wt%</v>
      </c>
      <c r="CF103" s="1170">
        <f>CokingRefineryCalcs!F478</f>
        <v>0</v>
      </c>
      <c r="CG103" s="1170"/>
      <c r="CH103" s="1239" t="s">
        <v>228</v>
      </c>
      <c r="CI103" s="1170"/>
      <c r="CJ103" s="1170">
        <f ca="1">CF98/BT117</f>
        <v>0.47600391157531791</v>
      </c>
      <c r="CK103" s="1170"/>
      <c r="CL103" s="1170"/>
      <c r="CM103" s="1170"/>
      <c r="CN103" s="1170"/>
      <c r="CO103" s="1170"/>
      <c r="CP103" s="1170"/>
      <c r="CQ103" s="1170"/>
      <c r="CR103" s="1170"/>
      <c r="CS103" s="1239" t="s">
        <v>228</v>
      </c>
      <c r="CT103" s="1170"/>
      <c r="CU103" s="1240">
        <f ca="1">CU83/(AA79+CJ246+CP92)</f>
        <v>0.99626408060253768</v>
      </c>
      <c r="CV103" s="1170"/>
      <c r="CW103" s="1170"/>
      <c r="CX103" s="1170"/>
      <c r="CY103" s="1160"/>
      <c r="CZ103" s="1160"/>
      <c r="DA103" s="1160"/>
      <c r="DB103" s="1160"/>
      <c r="DC103" s="1170"/>
      <c r="DD103" s="1170"/>
      <c r="DE103" s="1170"/>
      <c r="DF103" s="1170"/>
      <c r="DG103" s="1170"/>
      <c r="DH103" s="1160"/>
      <c r="DI103" s="1160"/>
      <c r="DJ103" s="1160"/>
      <c r="DK103" s="1160" t="s">
        <v>263</v>
      </c>
      <c r="DL103" s="1171">
        <f ca="1">(AZ93+AZ134+AZ168+BN255)*DL108</f>
        <v>0</v>
      </c>
      <c r="DM103" s="1160"/>
      <c r="DN103" s="1160"/>
      <c r="DO103" s="1160"/>
      <c r="DP103" s="1160"/>
      <c r="DQ103" s="1160"/>
      <c r="DR103" s="1160"/>
      <c r="DS103" s="1160"/>
      <c r="DT103" s="1160"/>
      <c r="DU103" s="1160"/>
      <c r="DV103" s="1160"/>
      <c r="DW103" s="1160"/>
      <c r="DX103" s="1160"/>
      <c r="DY103" s="1160"/>
      <c r="DZ103" s="1160" t="s">
        <v>224</v>
      </c>
      <c r="EA103" s="1160"/>
      <c r="EB103" s="1187">
        <f ca="1">IF($EB$144+$EB$161=0,0,(DN$43+DL$83+DL$94+DL$105+DL$116+DL$128+DL$140+DL$151+DL$162+DL$60+DL$72)*$EB$111)</f>
        <v>0</v>
      </c>
      <c r="ED103" s="1186" t="s">
        <v>1698</v>
      </c>
      <c r="EE103" s="1199" t="s">
        <v>447</v>
      </c>
      <c r="EF103" s="1199">
        <f>'Energy &amp; Unit Conversions'!$Q$27</f>
        <v>46.898519302437805</v>
      </c>
    </row>
    <row r="104" spans="1:136" x14ac:dyDescent="0.2">
      <c r="A104" s="1160"/>
      <c r="B104" s="1160"/>
      <c r="C104" s="1193" t="s">
        <v>1700</v>
      </c>
      <c r="D104" s="1194" t="s">
        <v>447</v>
      </c>
      <c r="E104" s="1170">
        <f ca="1">IF('Energy &amp; Unit Conversions'!F46=1,'Energy &amp; Unit Conversions'!E65,'Energy &amp; Unit Conversions'!L65)</f>
        <v>40.812300088701129</v>
      </c>
      <c r="F104" s="1170"/>
      <c r="G104" s="1170"/>
      <c r="H104" s="1170"/>
      <c r="I104" s="1170"/>
      <c r="J104" s="1170"/>
      <c r="K104" s="1170"/>
      <c r="L104" s="1170"/>
      <c r="M104" s="1170"/>
      <c r="N104" s="1170"/>
      <c r="O104" s="1170"/>
      <c r="P104" s="1170"/>
      <c r="Q104" s="1170"/>
      <c r="R104" s="1170"/>
      <c r="S104" s="1186" t="str">
        <f>CokingRefineryCalcs!C31</f>
        <v>Density</v>
      </c>
      <c r="T104" s="1170" t="str">
        <f ca="1">CokingRefineryCalcs!D31</f>
        <v>kg/m^3</v>
      </c>
      <c r="U104" s="1187">
        <f ca="1">CokingRefineryCalcs!F31</f>
        <v>860.83830000000012</v>
      </c>
      <c r="V104" s="1170"/>
      <c r="W104" s="1170"/>
      <c r="X104" s="1170"/>
      <c r="Y104" s="1170"/>
      <c r="Z104" s="1170"/>
      <c r="AA104" s="1170"/>
      <c r="AB104" s="1170"/>
      <c r="AC104" s="1170"/>
      <c r="AD104" s="1170"/>
      <c r="AE104" s="1170"/>
      <c r="AF104" s="1170"/>
      <c r="AG104" s="1170"/>
      <c r="AH104" s="1170"/>
      <c r="AI104" s="1170"/>
      <c r="AJ104" s="1170"/>
      <c r="AK104" s="1170"/>
      <c r="AL104" s="1170"/>
      <c r="AM104" s="1170"/>
      <c r="AN104" s="1170"/>
      <c r="AO104" s="1170"/>
      <c r="AP104" s="1170"/>
      <c r="AQ104" s="1170"/>
      <c r="AR104" s="1170"/>
      <c r="AS104" s="1170"/>
      <c r="AT104" s="1170"/>
      <c r="AU104" s="1170"/>
      <c r="AV104" s="1170"/>
      <c r="AW104" s="1170"/>
      <c r="AX104" s="1170"/>
      <c r="AY104" s="1170"/>
      <c r="AZ104" s="1170"/>
      <c r="BA104" s="1170"/>
      <c r="BB104" s="1170"/>
      <c r="BC104" s="1170"/>
      <c r="BD104" s="1170"/>
      <c r="BE104" s="1170"/>
      <c r="BF104" s="1170"/>
      <c r="BG104" s="1170"/>
      <c r="BH104" s="1170"/>
      <c r="BI104" s="1170"/>
      <c r="BJ104" s="1170"/>
      <c r="BK104" s="1170"/>
      <c r="BL104" s="1170"/>
      <c r="BM104" s="1170"/>
      <c r="BN104" s="1170"/>
      <c r="BO104" s="1170"/>
      <c r="BP104" s="1170"/>
      <c r="BQ104" s="1170"/>
      <c r="BR104" s="1170"/>
      <c r="BS104" s="1170"/>
      <c r="BT104" s="1170"/>
      <c r="BU104" s="1170"/>
      <c r="BV104" s="1170"/>
      <c r="BW104" s="1184" t="s">
        <v>225</v>
      </c>
      <c r="BX104" s="1170"/>
      <c r="BY104" s="1184" t="s">
        <v>522</v>
      </c>
      <c r="BZ104" s="1170"/>
      <c r="CA104" s="1170"/>
      <c r="CB104" s="1170"/>
      <c r="CC104" s="1170"/>
      <c r="CD104" s="1200" t="s">
        <v>1056</v>
      </c>
      <c r="CE104" s="1199" t="s">
        <v>447</v>
      </c>
      <c r="CF104" s="1199">
        <f ca="1">('Energy &amp; Unit Conversions'!$D$63-('Energy &amp; Unit Conversions'!$E$63*POWER((CokingRefineryPFD!CF101/'Energy &amp; Unit Conversions'!$E$54),2)))</f>
        <v>42.534646123081181</v>
      </c>
      <c r="CG104" s="1170"/>
      <c r="CH104" s="1170"/>
      <c r="CI104" s="1170"/>
      <c r="CJ104" s="1170"/>
      <c r="CK104" s="1170"/>
      <c r="CL104" s="1170"/>
      <c r="CM104" s="1170"/>
      <c r="CN104" s="1170"/>
      <c r="CO104" s="1170"/>
      <c r="CP104" s="1170"/>
      <c r="CQ104" s="1170"/>
      <c r="CR104" s="1170"/>
      <c r="CS104" s="1170"/>
      <c r="CT104" s="1170"/>
      <c r="CU104" s="1170"/>
      <c r="CV104" s="1170"/>
      <c r="CW104" s="1170"/>
      <c r="CX104" s="1170"/>
      <c r="CY104" s="1160"/>
      <c r="CZ104" s="1160"/>
      <c r="DA104" s="1160"/>
      <c r="DB104" s="1160"/>
      <c r="DC104" s="1160"/>
      <c r="DD104" s="1160"/>
      <c r="DE104" s="1160"/>
      <c r="DF104" s="1160"/>
      <c r="DG104" s="1160"/>
      <c r="DH104" s="1160"/>
      <c r="DI104" s="1160"/>
      <c r="DJ104" s="1160"/>
      <c r="DK104" s="1160" t="s">
        <v>392</v>
      </c>
      <c r="DL104" s="1171">
        <f ca="1">(BO122+AZ94+AZ135+AZ169+BN256)*$DL$108</f>
        <v>0</v>
      </c>
      <c r="DM104" s="1160"/>
      <c r="DN104" s="1160"/>
      <c r="DO104" s="1160"/>
      <c r="DP104" s="1160"/>
      <c r="DQ104" s="1160"/>
      <c r="DR104" s="1160"/>
      <c r="DS104" s="1160"/>
      <c r="DT104" s="1160"/>
      <c r="DU104" s="1160"/>
      <c r="DV104" s="1160"/>
      <c r="DW104" s="1160"/>
      <c r="DX104" s="1160"/>
      <c r="DY104" s="1160"/>
      <c r="DZ104" s="1160" t="s">
        <v>485</v>
      </c>
      <c r="EA104" s="1160"/>
      <c r="EB104" s="1187">
        <f ca="1">IF($EB$144+$EB$161=0,0,(DN$44+DL$84+DL$95+DL$106+DL$117+DL$129+DL$141+DL$152+DL$163+DL$61+DL$73)*$EB$111)</f>
        <v>0</v>
      </c>
      <c r="ED104" s="1200" t="s">
        <v>1021</v>
      </c>
      <c r="EE104" s="1199" t="s">
        <v>1022</v>
      </c>
      <c r="EF104" s="1199">
        <f>Constants!$G$353</f>
        <v>33.957001686096191</v>
      </c>
    </row>
    <row r="105" spans="1:136" x14ac:dyDescent="0.2">
      <c r="A105" s="1160"/>
      <c r="B105" s="1160"/>
      <c r="C105" s="1160"/>
      <c r="D105" s="1160"/>
      <c r="E105" s="1170"/>
      <c r="F105" s="1170"/>
      <c r="G105" s="1170"/>
      <c r="H105" s="1170"/>
      <c r="I105" s="1170"/>
      <c r="J105" s="1170"/>
      <c r="K105" s="1170"/>
      <c r="L105" s="1170"/>
      <c r="M105" s="1170"/>
      <c r="N105" s="1170"/>
      <c r="O105" s="1170"/>
      <c r="P105" s="1170"/>
      <c r="Q105" s="1170"/>
      <c r="R105" s="1170"/>
      <c r="S105" s="1186" t="str">
        <f>CokingRefineryCalcs!C32</f>
        <v>Hydrogen</v>
      </c>
      <c r="T105" s="1170" t="str">
        <f ca="1">CokingRefineryCalcs!D32</f>
        <v>wt%</v>
      </c>
      <c r="U105" s="1170">
        <f ca="1">CokingRefineryCalcs!F32</f>
        <v>12.931648905131908</v>
      </c>
      <c r="V105" s="1170"/>
      <c r="W105" s="1170"/>
      <c r="X105" s="1170"/>
      <c r="Y105" s="1170"/>
      <c r="Z105" s="1170"/>
      <c r="AA105" s="1170"/>
      <c r="AB105" s="1170"/>
      <c r="AC105" s="1170"/>
      <c r="AD105" s="1170"/>
      <c r="AE105" s="1170"/>
      <c r="AF105" s="1170"/>
      <c r="AG105" s="1170"/>
      <c r="AH105" s="1170"/>
      <c r="AI105" s="1170"/>
      <c r="AJ105" s="1170"/>
      <c r="AK105" s="1170"/>
      <c r="AL105" s="1170"/>
      <c r="AM105" s="1170"/>
      <c r="AN105" s="1170"/>
      <c r="AO105" s="1170"/>
      <c r="AP105" s="1170"/>
      <c r="AQ105" s="1170"/>
      <c r="AR105" s="1170"/>
      <c r="AS105" s="1170"/>
      <c r="AT105" s="1170"/>
      <c r="AU105" s="1170"/>
      <c r="AV105" s="1170"/>
      <c r="AW105" s="1170"/>
      <c r="AX105" s="1170"/>
      <c r="AY105" s="1170"/>
      <c r="AZ105" s="1170"/>
      <c r="BA105" s="1170"/>
      <c r="BB105" s="1170"/>
      <c r="BC105" s="1170"/>
      <c r="BD105" s="1170"/>
      <c r="BE105" s="1170"/>
      <c r="BF105" s="1170"/>
      <c r="BG105" s="1170"/>
      <c r="BH105" s="1170"/>
      <c r="BI105" s="1170"/>
      <c r="BJ105" s="1170"/>
      <c r="BK105" s="1170"/>
      <c r="BL105" s="1170"/>
      <c r="BM105" s="1170"/>
      <c r="BN105" s="1170"/>
      <c r="BO105" s="1170"/>
      <c r="BP105" s="1170"/>
      <c r="BQ105" s="1170"/>
      <c r="BR105" s="1170"/>
      <c r="BS105" s="1170"/>
      <c r="BT105" s="1170"/>
      <c r="BU105" s="1170"/>
      <c r="BV105" s="1170"/>
      <c r="BW105" s="1170" t="s">
        <v>392</v>
      </c>
      <c r="BX105" s="1170"/>
      <c r="BY105" s="1170">
        <f ca="1">'CokingRefinery Detailed Results'!F18</f>
        <v>0</v>
      </c>
      <c r="BZ105" s="1170"/>
      <c r="CA105" s="1170"/>
      <c r="CB105" s="1170"/>
      <c r="CC105" s="1170"/>
      <c r="CD105" s="1200" t="s">
        <v>1021</v>
      </c>
      <c r="CE105" s="1199" t="s">
        <v>1022</v>
      </c>
      <c r="CF105" s="1246">
        <f>DD37</f>
        <v>97.641761779785156</v>
      </c>
      <c r="CG105" s="1170"/>
      <c r="CH105" s="1170"/>
      <c r="CI105" s="1170"/>
      <c r="CJ105" s="1170"/>
      <c r="CK105" s="1170"/>
      <c r="CL105" s="1170"/>
      <c r="CM105" s="1170"/>
      <c r="CN105" s="1170"/>
      <c r="CO105" s="1170"/>
      <c r="CP105" s="1170"/>
      <c r="CQ105" s="1170"/>
      <c r="CR105" s="1170"/>
      <c r="CS105" s="1170"/>
      <c r="CT105" s="1170"/>
      <c r="CU105" s="1170"/>
      <c r="CV105" s="1170"/>
      <c r="CW105" s="1170"/>
      <c r="CX105" s="1170"/>
      <c r="CY105" s="1160"/>
      <c r="CZ105" s="1160"/>
      <c r="DA105" s="1160"/>
      <c r="DB105" s="1160"/>
      <c r="DC105" s="1160"/>
      <c r="DD105" s="1160"/>
      <c r="DE105" s="1160"/>
      <c r="DF105" s="1160"/>
      <c r="DG105" s="1160"/>
      <c r="DH105" s="1160"/>
      <c r="DI105" s="1160"/>
      <c r="DJ105" s="1160"/>
      <c r="DK105" s="1160" t="s">
        <v>224</v>
      </c>
      <c r="DL105" s="1171">
        <f ca="1">(BO123+AZ95+AZ136+AZ170+BN257)*$DL$108</f>
        <v>0</v>
      </c>
      <c r="DM105" s="1160"/>
      <c r="DN105" s="1160"/>
      <c r="DO105" s="1160"/>
      <c r="DP105" s="1160"/>
      <c r="DQ105" s="1160"/>
      <c r="DR105" s="1160"/>
      <c r="DS105" s="1160"/>
      <c r="DT105" s="1160"/>
      <c r="DU105" s="1160"/>
      <c r="DV105" s="1160"/>
      <c r="DW105" s="1160"/>
      <c r="DX105" s="1160"/>
      <c r="DY105" s="1160"/>
      <c r="DZ105" s="1160" t="s">
        <v>541</v>
      </c>
      <c r="EA105" s="1160"/>
      <c r="EB105" s="1187">
        <f ca="1">IF($EB$144+$EB$161=0,0,(DN$45+DL$85+DL$96+DL$107+DL$118+DL$130+DL$142+DL$153+DL$164+DL$62+DL$74)*$EB$111)</f>
        <v>0</v>
      </c>
      <c r="ED105" s="1204" t="s">
        <v>1054</v>
      </c>
      <c r="EE105" s="1204" t="str">
        <f>IF(allocationMethod=1,$C$21,IF(allocationMethod=2,$C$22,IF(allocationMethod=3,$C$23,$C$24)))</f>
        <v>Hydrogen Content Basis</v>
      </c>
      <c r="EF105" s="1204"/>
    </row>
    <row r="106" spans="1:136" x14ac:dyDescent="0.2">
      <c r="A106" s="1160"/>
      <c r="B106" s="1160"/>
      <c r="C106" s="1160"/>
      <c r="D106" s="1160"/>
      <c r="E106" s="1170"/>
      <c r="F106" s="1170"/>
      <c r="G106" s="1170"/>
      <c r="H106" s="1170"/>
      <c r="I106" s="1170"/>
      <c r="J106" s="1170"/>
      <c r="K106" s="1170"/>
      <c r="L106" s="1170"/>
      <c r="M106" s="1170"/>
      <c r="N106" s="1170"/>
      <c r="O106" s="1170"/>
      <c r="P106" s="1170"/>
      <c r="Q106" s="1170"/>
      <c r="R106" s="1170"/>
      <c r="S106" s="1186" t="str">
        <f>CokingRefineryCalcs!C33</f>
        <v>MCR</v>
      </c>
      <c r="T106" s="1170" t="str">
        <f ca="1">CokingRefineryCalcs!D33</f>
        <v>wt%</v>
      </c>
      <c r="U106" s="1170">
        <f ca="1">CokingRefineryCalcs!F33</f>
        <v>1.2</v>
      </c>
      <c r="V106" s="1170"/>
      <c r="W106" s="1170"/>
      <c r="X106" s="1170"/>
      <c r="Y106" s="1170"/>
      <c r="Z106" s="1170"/>
      <c r="AA106" s="1170"/>
      <c r="AB106" s="1170"/>
      <c r="AC106" s="1170"/>
      <c r="AD106" s="1170"/>
      <c r="AE106" s="1170"/>
      <c r="AF106" s="1170"/>
      <c r="AG106" s="1170"/>
      <c r="AH106" s="1170"/>
      <c r="AI106" s="1170"/>
      <c r="AJ106" s="1170"/>
      <c r="AK106" s="1170"/>
      <c r="AL106" s="1170"/>
      <c r="AM106" s="1170"/>
      <c r="AN106" s="1170"/>
      <c r="AO106" s="1170"/>
      <c r="AP106" s="1170"/>
      <c r="AQ106" s="1170"/>
      <c r="AR106" s="1170"/>
      <c r="AS106" s="1170"/>
      <c r="AT106" s="1170"/>
      <c r="AU106" s="1170"/>
      <c r="AV106" s="1170"/>
      <c r="AW106" s="1170"/>
      <c r="AX106" s="1170"/>
      <c r="AY106" s="1170"/>
      <c r="AZ106" s="1170"/>
      <c r="BA106" s="1170"/>
      <c r="BB106" s="1170"/>
      <c r="BC106" s="1170"/>
      <c r="BD106" s="1170"/>
      <c r="BE106" s="1170"/>
      <c r="BF106" s="1170"/>
      <c r="BG106" s="1170"/>
      <c r="BH106" s="1170"/>
      <c r="BI106" s="1170"/>
      <c r="BJ106" s="1170"/>
      <c r="BK106" s="1170"/>
      <c r="BL106" s="1170"/>
      <c r="BM106" s="1170"/>
      <c r="BN106" s="1170"/>
      <c r="BO106" s="1170"/>
      <c r="BP106" s="1170"/>
      <c r="BQ106" s="1170"/>
      <c r="BR106" s="1170"/>
      <c r="BS106" s="1170"/>
      <c r="BT106" s="1170"/>
      <c r="BU106" s="1170"/>
      <c r="BV106" s="1170"/>
      <c r="BW106" s="1170" t="s">
        <v>224</v>
      </c>
      <c r="BX106" s="1170"/>
      <c r="BY106" s="1170">
        <f>'CokingRefinery Detailed Results'!H18</f>
        <v>0</v>
      </c>
      <c r="BZ106" s="1170"/>
      <c r="CA106" s="1170"/>
      <c r="CB106" s="1170"/>
      <c r="CC106" s="1170"/>
      <c r="CD106" s="1204" t="s">
        <v>1054</v>
      </c>
      <c r="CE106" s="1204" t="str">
        <f>IF(allocationMethod=1,$C$21,IF(allocationMethod=2,$C$22,IF(allocationMethod=3,$C$23,$C$24)))</f>
        <v>Hydrogen Content Basis</v>
      </c>
      <c r="CF106" s="1204">
        <f ca="1">IF(allocationMethod=1,CF98,IF(allocationMethod=2,CF104*CF98,IF(allocationMethod=3,CF105*CF96,CF102*CF98/100)))</f>
        <v>1.1237807823317461E-7</v>
      </c>
      <c r="CG106" s="1170"/>
      <c r="CH106" s="1170"/>
      <c r="CI106" s="1170"/>
      <c r="CJ106" s="1170"/>
      <c r="CK106" s="1170"/>
      <c r="CL106" s="1170"/>
      <c r="CM106" s="1170"/>
      <c r="CN106" s="1170"/>
      <c r="CO106" s="1170"/>
      <c r="CP106" s="1170"/>
      <c r="CQ106" s="1170"/>
      <c r="CR106" s="1170"/>
      <c r="CS106" s="1170"/>
      <c r="CT106" s="1170"/>
      <c r="CU106" s="1170"/>
      <c r="CV106" s="1180"/>
      <c r="CW106" s="1170"/>
      <c r="CX106" s="1170"/>
      <c r="CY106" s="1160"/>
      <c r="CZ106" s="1160"/>
      <c r="DA106" s="1160"/>
      <c r="DB106" s="1160"/>
      <c r="DC106" s="1160"/>
      <c r="DD106" s="1160"/>
      <c r="DE106" s="1160"/>
      <c r="DF106" s="1160"/>
      <c r="DG106" s="1160"/>
      <c r="DH106" s="1160"/>
      <c r="DI106" s="1160"/>
      <c r="DJ106" s="1160"/>
      <c r="DK106" s="1160" t="s">
        <v>485</v>
      </c>
      <c r="DL106" s="1171">
        <f ca="1">(BO124+AZ96+AZ137+AZ171+BN258)*$DL$108</f>
        <v>0</v>
      </c>
      <c r="DM106" s="1160"/>
      <c r="DN106" s="1160"/>
      <c r="DO106" s="1160"/>
      <c r="DP106" s="1160"/>
      <c r="DQ106" s="1160"/>
      <c r="DR106" s="1160"/>
      <c r="DS106" s="1160"/>
      <c r="DT106" s="1160"/>
      <c r="DU106" s="1160"/>
      <c r="DV106" s="1160"/>
      <c r="DW106" s="1160"/>
      <c r="DX106" s="1160"/>
      <c r="DY106" s="1160"/>
      <c r="DZ106" s="1160" t="str">
        <f>DK119</f>
        <v>Catalyst Coke</v>
      </c>
      <c r="EA106" s="1160"/>
      <c r="EB106" s="1187">
        <f ca="1">IF($EB$144+$EB$161=0,0,(DL$119+DL$165)*$EB$111)</f>
        <v>0</v>
      </c>
      <c r="ED106" s="1160"/>
      <c r="EE106" s="1160"/>
      <c r="EF106" s="1160"/>
    </row>
    <row r="107" spans="1:136" x14ac:dyDescent="0.2">
      <c r="A107" s="1160"/>
      <c r="B107" s="1160"/>
      <c r="C107" s="1160"/>
      <c r="D107" s="1160"/>
      <c r="E107" s="1170"/>
      <c r="F107" s="1170"/>
      <c r="G107" s="1170"/>
      <c r="H107" s="1170"/>
      <c r="I107" s="1170"/>
      <c r="J107" s="1170"/>
      <c r="K107" s="1170"/>
      <c r="L107" s="1170"/>
      <c r="M107" s="1170"/>
      <c r="N107" s="1170"/>
      <c r="O107" s="1170"/>
      <c r="P107" s="1170"/>
      <c r="Q107" s="1170"/>
      <c r="R107" s="1170"/>
      <c r="S107" s="1200"/>
      <c r="T107" s="1199"/>
      <c r="U107" s="1199"/>
      <c r="V107" s="1170"/>
      <c r="W107" s="1170"/>
      <c r="X107" s="1170"/>
      <c r="Y107" s="1170"/>
      <c r="Z107" s="1170"/>
      <c r="AA107" s="1170"/>
      <c r="AB107" s="1170"/>
      <c r="AC107" s="1170"/>
      <c r="AD107" s="1170"/>
      <c r="AE107" s="1170"/>
      <c r="AF107" s="1170"/>
      <c r="AG107" s="1170"/>
      <c r="AH107" s="1170"/>
      <c r="AI107" s="1170"/>
      <c r="AJ107" s="1170"/>
      <c r="AK107" s="1170"/>
      <c r="AL107" s="1170"/>
      <c r="AM107" s="1170"/>
      <c r="AN107" s="1170"/>
      <c r="AO107" s="1170"/>
      <c r="AP107" s="1170"/>
      <c r="AQ107" s="1170"/>
      <c r="AR107" s="1170"/>
      <c r="AS107" s="1179" t="str">
        <f>CokingRefineryCalcs!G594</f>
        <v>AGO to FCC</v>
      </c>
      <c r="AT107" s="1170"/>
      <c r="AU107" s="1170"/>
      <c r="AV107" s="1170"/>
      <c r="AW107" s="1170"/>
      <c r="AX107" s="1180" t="str">
        <f>AS107</f>
        <v>AGO to FCC</v>
      </c>
      <c r="AY107" s="1170"/>
      <c r="AZ107" s="1170"/>
      <c r="BA107" s="1170"/>
      <c r="BB107" s="1170"/>
      <c r="BC107" s="1170"/>
      <c r="BD107" s="1170"/>
      <c r="BE107" s="1170"/>
      <c r="BF107" s="1170"/>
      <c r="BG107" s="1170"/>
      <c r="BH107" s="1170"/>
      <c r="BI107" s="1170"/>
      <c r="BJ107" s="1170"/>
      <c r="BK107" s="1170"/>
      <c r="BL107" s="1170"/>
      <c r="BM107" s="1170"/>
      <c r="BN107" s="1170"/>
      <c r="BO107" s="1170"/>
      <c r="BP107" s="1170"/>
      <c r="BQ107" s="1170"/>
      <c r="BR107" s="1170"/>
      <c r="BS107" s="1170"/>
      <c r="BT107" s="1170"/>
      <c r="BU107" s="1170"/>
      <c r="BV107" s="1170"/>
      <c r="BW107" s="1170" t="s">
        <v>485</v>
      </c>
      <c r="BX107" s="1170"/>
      <c r="BY107" s="1170">
        <f ca="1">'CokingRefinery Detailed Results'!J18</f>
        <v>1.0184136879437585E-6</v>
      </c>
      <c r="BZ107" s="1170"/>
      <c r="CA107" s="1170"/>
      <c r="CB107" s="1170"/>
      <c r="CC107" s="1170"/>
      <c r="CD107" s="1170"/>
      <c r="CE107" s="1170"/>
      <c r="CF107" s="1170"/>
      <c r="CG107" s="1170"/>
      <c r="CH107" s="1170"/>
      <c r="CI107" s="1170"/>
      <c r="CJ107" s="1170"/>
      <c r="CK107" s="1170"/>
      <c r="CL107" s="1170"/>
      <c r="CM107" s="1170"/>
      <c r="CN107" s="1170"/>
      <c r="CO107" s="1170"/>
      <c r="CP107" s="1170"/>
      <c r="CQ107" s="1170"/>
      <c r="CR107" s="1170"/>
      <c r="CS107" s="1170"/>
      <c r="CT107" s="1170"/>
      <c r="CU107" s="1170"/>
      <c r="CV107" s="1239"/>
      <c r="CW107" s="1240"/>
      <c r="CX107" s="1170"/>
      <c r="CY107" s="1160"/>
      <c r="CZ107" s="1160"/>
      <c r="DA107" s="1160"/>
      <c r="DB107" s="1160"/>
      <c r="DC107" s="1160"/>
      <c r="DD107" s="1160"/>
      <c r="DE107" s="1160"/>
      <c r="DF107" s="1160"/>
      <c r="DG107" s="1160"/>
      <c r="DH107" s="1160"/>
      <c r="DI107" s="1160"/>
      <c r="DJ107" s="1160"/>
      <c r="DK107" s="1160" t="s">
        <v>541</v>
      </c>
      <c r="DL107" s="1171">
        <f ca="1">(BO125+AZ97+AZ138+AZ172+BN259)*$DL$108</f>
        <v>0</v>
      </c>
      <c r="DM107" s="1160"/>
      <c r="DN107" s="1160"/>
      <c r="DO107" s="1160"/>
      <c r="DP107" s="1160"/>
      <c r="DQ107" s="1160"/>
      <c r="DR107" s="1160"/>
      <c r="DS107" s="1160"/>
      <c r="DT107" s="1160"/>
      <c r="DU107" s="1160"/>
      <c r="DV107" s="1160"/>
      <c r="DW107" s="1160"/>
      <c r="DX107" s="1160"/>
      <c r="DY107" s="1160"/>
      <c r="DZ107" s="1191" t="s">
        <v>1066</v>
      </c>
      <c r="EA107" s="1160"/>
      <c r="EB107" s="1205">
        <f>IF(CokingRefineryPFD!E50=FALSE,0,IF(CokingRefineryPFD!E51=TRUE,EB108,1))</f>
        <v>1</v>
      </c>
      <c r="ED107" s="1191" t="str">
        <f>ED99</f>
        <v>Surplus RFG</v>
      </c>
      <c r="EE107" s="1160"/>
      <c r="EF107" s="1160"/>
    </row>
    <row r="108" spans="1:136" x14ac:dyDescent="0.2">
      <c r="A108" s="1160"/>
      <c r="B108" s="1160"/>
      <c r="C108" s="1160"/>
      <c r="D108" s="1160"/>
      <c r="E108" s="1170"/>
      <c r="F108" s="1170"/>
      <c r="G108" s="1170"/>
      <c r="H108" s="1170"/>
      <c r="I108" s="1170"/>
      <c r="J108" s="1170"/>
      <c r="K108" s="1170"/>
      <c r="L108" s="1170"/>
      <c r="M108" s="1170"/>
      <c r="N108" s="1170"/>
      <c r="O108" s="1170"/>
      <c r="P108" s="1170"/>
      <c r="Q108" s="1170"/>
      <c r="R108" s="1170"/>
      <c r="S108" s="1200"/>
      <c r="T108" s="1199"/>
      <c r="U108" s="1199"/>
      <c r="V108" s="1170"/>
      <c r="W108" s="1170"/>
      <c r="X108" s="1170"/>
      <c r="Y108" s="1170"/>
      <c r="Z108" s="1170"/>
      <c r="AA108" s="1170"/>
      <c r="AB108" s="1170"/>
      <c r="AC108" s="1170"/>
      <c r="AD108" s="1170"/>
      <c r="AE108" s="1170"/>
      <c r="AF108" s="1170"/>
      <c r="AG108" s="1170"/>
      <c r="AH108" s="1170"/>
      <c r="AI108" s="1170"/>
      <c r="AJ108" s="1170"/>
      <c r="AK108" s="1170"/>
      <c r="AL108" s="1170"/>
      <c r="AM108" s="1170"/>
      <c r="AN108" s="1170"/>
      <c r="AO108" s="1170"/>
      <c r="AP108" s="1170"/>
      <c r="AQ108" s="1170"/>
      <c r="AR108" s="1170"/>
      <c r="AS108" s="1182" t="str">
        <f>CokingRefineryCalcs!C594</f>
        <v>Property</v>
      </c>
      <c r="AT108" s="1182" t="str">
        <f>CokingRefineryCalcs!D594</f>
        <v>Units</v>
      </c>
      <c r="AU108" s="1170"/>
      <c r="AV108" s="1170"/>
      <c r="AW108" s="1170"/>
      <c r="AX108" s="1183" t="s">
        <v>226</v>
      </c>
      <c r="AY108" s="1170"/>
      <c r="AZ108" s="1184" t="s">
        <v>522</v>
      </c>
      <c r="BA108" s="1170"/>
      <c r="BB108" s="1170"/>
      <c r="BC108" s="1170"/>
      <c r="BD108" s="1170"/>
      <c r="BE108" s="1170"/>
      <c r="BF108" s="1170"/>
      <c r="BG108" s="1170"/>
      <c r="BH108" s="1170"/>
      <c r="BI108" s="1170"/>
      <c r="BJ108" s="1170"/>
      <c r="BK108" s="1170"/>
      <c r="BL108" s="1170"/>
      <c r="BM108" s="1170"/>
      <c r="BN108" s="1170"/>
      <c r="BO108" s="1170"/>
      <c r="BP108" s="1170"/>
      <c r="BQ108" s="1170"/>
      <c r="BR108" s="1170"/>
      <c r="BS108" s="1170"/>
      <c r="BT108" s="1170"/>
      <c r="BU108" s="1170"/>
      <c r="BV108" s="1170"/>
      <c r="BW108" s="1170"/>
      <c r="BX108" s="1170"/>
      <c r="BY108" s="1170"/>
      <c r="BZ108" s="1170"/>
      <c r="CA108" s="1170"/>
      <c r="CB108" s="1170"/>
      <c r="CC108" s="1170"/>
      <c r="CD108" s="1170"/>
      <c r="CE108" s="1170"/>
      <c r="CF108" s="1170"/>
      <c r="CG108" s="1170"/>
      <c r="CH108" s="1170"/>
      <c r="CI108" s="1170"/>
      <c r="CJ108" s="1170"/>
      <c r="CK108" s="1170"/>
      <c r="CL108" s="1170"/>
      <c r="CM108" s="1170"/>
      <c r="CN108" s="1170"/>
      <c r="CO108" s="1170"/>
      <c r="CP108" s="1170"/>
      <c r="CQ108" s="1170"/>
      <c r="CR108" s="1170"/>
      <c r="CS108" s="1170"/>
      <c r="CT108" s="1170"/>
      <c r="CU108" s="1170"/>
      <c r="CV108" s="1170"/>
      <c r="CW108" s="1170"/>
      <c r="CX108" s="1170"/>
      <c r="CY108" s="1160"/>
      <c r="CZ108" s="1160"/>
      <c r="DA108" s="1160"/>
      <c r="DB108" s="1160"/>
      <c r="DC108" s="1160"/>
      <c r="DD108" s="1160"/>
      <c r="DE108" s="1160"/>
      <c r="DF108" s="1160"/>
      <c r="DG108" s="1160"/>
      <c r="DH108" s="1160"/>
      <c r="DI108" s="1160"/>
      <c r="DJ108" s="1160"/>
      <c r="DK108" s="1191" t="s">
        <v>1066</v>
      </c>
      <c r="DL108" s="1245">
        <f ca="1">IF(CokingRefineryPFD!E50=TRUE,DL109,0)</f>
        <v>0</v>
      </c>
      <c r="DM108" s="1160"/>
      <c r="DN108" s="1160"/>
      <c r="DO108" s="1160"/>
      <c r="DP108" s="1160"/>
      <c r="DQ108" s="1160"/>
      <c r="DR108" s="1160"/>
      <c r="DS108" s="1160"/>
      <c r="DT108" s="1160"/>
      <c r="DU108" s="1160"/>
      <c r="DV108" s="1160"/>
      <c r="DW108" s="1160"/>
      <c r="DX108" s="1160"/>
      <c r="DY108" s="1160"/>
      <c r="DZ108" s="1191" t="s">
        <v>1065</v>
      </c>
      <c r="EA108" s="1160"/>
      <c r="EB108" s="1205">
        <f>EB97/(EB125+EB97)</f>
        <v>1</v>
      </c>
      <c r="ED108" s="1193"/>
      <c r="EE108" s="1160"/>
      <c r="EF108" s="1194" t="s">
        <v>522</v>
      </c>
    </row>
    <row r="109" spans="1:136" x14ac:dyDescent="0.2">
      <c r="A109" s="1160"/>
      <c r="B109" s="1160"/>
      <c r="C109" s="1170"/>
      <c r="D109" s="1170"/>
      <c r="E109" s="1170"/>
      <c r="F109" s="1170"/>
      <c r="G109" s="1170"/>
      <c r="H109" s="1170"/>
      <c r="I109" s="1170"/>
      <c r="J109" s="1170"/>
      <c r="K109" s="1170"/>
      <c r="L109" s="1170"/>
      <c r="M109" s="1170"/>
      <c r="N109" s="1170"/>
      <c r="O109" s="1170"/>
      <c r="P109" s="1170"/>
      <c r="Q109" s="1170"/>
      <c r="R109" s="1170"/>
      <c r="S109" s="1180" t="str">
        <f>S97</f>
        <v>Output</v>
      </c>
      <c r="T109" s="1170"/>
      <c r="U109" s="1170"/>
      <c r="V109" s="1170"/>
      <c r="W109" s="1170"/>
      <c r="X109" s="1170"/>
      <c r="Y109" s="1170"/>
      <c r="Z109" s="1170"/>
      <c r="AA109" s="1170"/>
      <c r="AB109" s="1170"/>
      <c r="AC109" s="1170"/>
      <c r="AD109" s="1170"/>
      <c r="AE109" s="1170"/>
      <c r="AF109" s="1170"/>
      <c r="AG109" s="1170"/>
      <c r="AH109" s="1170"/>
      <c r="AI109" s="1170"/>
      <c r="AJ109" s="1170"/>
      <c r="AK109" s="1170"/>
      <c r="AL109" s="1170"/>
      <c r="AM109" s="1170"/>
      <c r="AN109" s="1170"/>
      <c r="AO109" s="1170"/>
      <c r="AP109" s="1170"/>
      <c r="AQ109" s="1170"/>
      <c r="AR109" s="1170"/>
      <c r="AS109" s="1186" t="str">
        <f>CokingRefineryCalcs!C595</f>
        <v>Vol Flow</v>
      </c>
      <c r="AT109" s="1170" t="str">
        <f ca="1">CokingRefineryCalcs!D595</f>
        <v>bpd</v>
      </c>
      <c r="AU109" s="1170">
        <f ca="1">CokingRefineryCalcs!G595</f>
        <v>0</v>
      </c>
      <c r="AV109" s="1170"/>
      <c r="AW109" s="1170"/>
      <c r="AX109" s="1170" t="s">
        <v>263</v>
      </c>
      <c r="AY109" s="1170"/>
      <c r="AZ109" s="1187">
        <f ca="1">AE92*$AZ$114</f>
        <v>0</v>
      </c>
      <c r="BA109" s="1170"/>
      <c r="BB109" s="1170"/>
      <c r="BC109" s="1170"/>
      <c r="BD109" s="1170"/>
      <c r="BE109" s="1170"/>
      <c r="BF109" s="1170"/>
      <c r="BG109" s="1170"/>
      <c r="BH109" s="1170"/>
      <c r="BI109" s="1170"/>
      <c r="BJ109" s="1181" t="str">
        <f>CokingRefineryCalcs!J361</f>
        <v>Gas Oil HC Fuel Gas</v>
      </c>
      <c r="BK109" s="1170"/>
      <c r="BL109" s="1170"/>
      <c r="BM109" s="1170"/>
      <c r="BN109" s="1170"/>
      <c r="BO109" s="1170"/>
      <c r="BP109" s="1170"/>
      <c r="BQ109" s="1170"/>
      <c r="BR109" s="1170"/>
      <c r="BS109" s="1170"/>
      <c r="BT109" s="1170"/>
      <c r="BU109" s="1170"/>
      <c r="BV109" s="1170"/>
      <c r="BW109" s="1170"/>
      <c r="BX109" s="1170"/>
      <c r="BY109" s="1170"/>
      <c r="BZ109" s="1170"/>
      <c r="CA109" s="1170"/>
      <c r="CB109" s="1170"/>
      <c r="CC109" s="1170"/>
      <c r="CD109" s="1170"/>
      <c r="CE109" s="1170"/>
      <c r="CF109" s="1170"/>
      <c r="CG109" s="1170"/>
      <c r="CH109" s="1170"/>
      <c r="CI109" s="1170"/>
      <c r="CJ109" s="1170"/>
      <c r="CK109" s="1170"/>
      <c r="CL109" s="1170"/>
      <c r="CM109" s="1170"/>
      <c r="CN109" s="1170"/>
      <c r="CO109" s="1170"/>
      <c r="CP109" s="1170"/>
      <c r="CQ109" s="1170"/>
      <c r="CR109" s="1170"/>
      <c r="CS109" s="1170"/>
      <c r="CT109" s="1170"/>
      <c r="CU109" s="1170"/>
      <c r="CV109" s="1170"/>
      <c r="CW109" s="1170"/>
      <c r="CX109" s="1170"/>
      <c r="CY109" s="1160"/>
      <c r="CZ109" s="1160"/>
      <c r="DA109" s="1160"/>
      <c r="DB109" s="1160"/>
      <c r="DC109" s="1160"/>
      <c r="DD109" s="1160"/>
      <c r="DE109" s="1160"/>
      <c r="DF109" s="1160"/>
      <c r="DG109" s="1160"/>
      <c r="DH109" s="1160"/>
      <c r="DI109" s="1160"/>
      <c r="DJ109" s="1160"/>
      <c r="DK109" s="1191" t="s">
        <v>1065</v>
      </c>
      <c r="DL109" s="1245">
        <f ca="1">BL120/(BL120+BT125)</f>
        <v>0</v>
      </c>
      <c r="DM109" s="1160"/>
      <c r="DN109" s="1160"/>
      <c r="DO109" s="1160"/>
      <c r="DP109" s="1160"/>
      <c r="DQ109" s="1160"/>
      <c r="DR109" s="1160"/>
      <c r="DS109" s="1160"/>
      <c r="DT109" s="1160"/>
      <c r="DU109" s="1160"/>
      <c r="DV109" s="1160"/>
      <c r="DW109" s="1160"/>
      <c r="DX109" s="1160"/>
      <c r="DY109" s="1160"/>
      <c r="DZ109" s="1208" t="s">
        <v>228</v>
      </c>
      <c r="EA109" s="1160"/>
      <c r="EB109" s="1205">
        <f ca="1">EB94/(DL79+DL90+DL101+DL112+DL124+DL136+DL147+DL158+DL56+DL68-DR52)</f>
        <v>0.98286107030282377</v>
      </c>
      <c r="ED109" s="1160" t="s">
        <v>263</v>
      </c>
      <c r="EE109" s="1160"/>
      <c r="EF109" s="1170">
        <f ca="1">(DL$81+DL$92+DL$103+DL$114+DL$126+DL$138+DL$149+DL$160+DL$58+DL$70)*$EF$115</f>
        <v>0</v>
      </c>
    </row>
    <row r="110" spans="1:136" ht="13.5" customHeight="1" x14ac:dyDescent="0.2">
      <c r="A110" s="1160"/>
      <c r="B110" s="1160"/>
      <c r="C110" s="1170"/>
      <c r="D110" s="1160"/>
      <c r="E110" s="1170"/>
      <c r="F110" s="1170"/>
      <c r="G110" s="1170"/>
      <c r="H110" s="1170"/>
      <c r="I110" s="1181"/>
      <c r="J110" s="1179" t="str">
        <f>CokingRefineryCalcs!F8</f>
        <v>Output</v>
      </c>
      <c r="K110" s="1170"/>
      <c r="L110" s="1196"/>
      <c r="M110" s="1170"/>
      <c r="N110" s="1170"/>
      <c r="O110" s="1170"/>
      <c r="P110" s="1170"/>
      <c r="Q110" s="1170"/>
      <c r="R110" s="1170"/>
      <c r="S110" s="1183" t="s">
        <v>226</v>
      </c>
      <c r="T110" s="1170"/>
      <c r="U110" s="1184" t="s">
        <v>522</v>
      </c>
      <c r="V110" s="1170"/>
      <c r="W110" s="1170"/>
      <c r="X110" s="1170"/>
      <c r="Y110" s="1170"/>
      <c r="Z110" s="1170"/>
      <c r="AA110" s="1170"/>
      <c r="AB110" s="1170"/>
      <c r="AC110" s="1170"/>
      <c r="AD110" s="1170"/>
      <c r="AE110" s="1170"/>
      <c r="AF110" s="1170"/>
      <c r="AG110" s="1170"/>
      <c r="AH110" s="1170"/>
      <c r="AI110" s="1170"/>
      <c r="AJ110" s="1170"/>
      <c r="AK110" s="1170"/>
      <c r="AL110" s="1170"/>
      <c r="AM110" s="1170"/>
      <c r="AN110" s="1170"/>
      <c r="AO110" s="1170"/>
      <c r="AP110" s="1170"/>
      <c r="AQ110" s="1170"/>
      <c r="AR110" s="1170"/>
      <c r="AS110" s="1186" t="str">
        <f>CokingRefineryCalcs!C596</f>
        <v>Vol Flow</v>
      </c>
      <c r="AT110" s="1170" t="str">
        <f ca="1">CokingRefineryCalcs!D596</f>
        <v>m^3/d</v>
      </c>
      <c r="AU110" s="1170">
        <f ca="1">CokingRefineryCalcs!G596</f>
        <v>0</v>
      </c>
      <c r="AV110" s="1170"/>
      <c r="AW110" s="1170"/>
      <c r="AX110" s="1170" t="s">
        <v>392</v>
      </c>
      <c r="AY110" s="1170"/>
      <c r="AZ110" s="1187">
        <f ca="1">AE93*$AZ$114</f>
        <v>0</v>
      </c>
      <c r="BA110" s="1170"/>
      <c r="BB110" s="1170"/>
      <c r="BC110" s="1170"/>
      <c r="BD110" s="1170"/>
      <c r="BE110" s="1170"/>
      <c r="BF110" s="1170"/>
      <c r="BG110" s="1170"/>
      <c r="BH110" s="1170"/>
      <c r="BI110" s="1170"/>
      <c r="BJ110" s="1182" t="str">
        <f>CokingRefineryCalcs!C361</f>
        <v>Property</v>
      </c>
      <c r="BK110" s="1182" t="str">
        <f>CokingRefineryCalcs!D361</f>
        <v>Units</v>
      </c>
      <c r="BL110" s="1170"/>
      <c r="BM110" s="1170"/>
      <c r="BN110" s="1170"/>
      <c r="BO110" s="1170"/>
      <c r="BP110" s="1170"/>
      <c r="BQ110" s="1170"/>
      <c r="BR110" s="1170"/>
      <c r="BS110" s="1170"/>
      <c r="BT110" s="1170"/>
      <c r="BU110" s="1170"/>
      <c r="BV110" s="1170"/>
      <c r="BW110" s="1170"/>
      <c r="BX110" s="1170"/>
      <c r="BY110" s="1170"/>
      <c r="BZ110" s="1170"/>
      <c r="CA110" s="1170"/>
      <c r="CB110" s="1170"/>
      <c r="CC110" s="1170"/>
      <c r="CD110" s="1170"/>
      <c r="CE110" s="1170"/>
      <c r="CF110" s="1170"/>
      <c r="CG110" s="1170"/>
      <c r="CH110" s="1170"/>
      <c r="CI110" s="1170"/>
      <c r="CJ110" s="1170"/>
      <c r="CK110" s="1170"/>
      <c r="CL110" s="1170"/>
      <c r="CM110" s="1170"/>
      <c r="CN110" s="1170"/>
      <c r="CO110" s="1170"/>
      <c r="CP110" s="1170"/>
      <c r="CQ110" s="1170"/>
      <c r="CR110" s="1170"/>
      <c r="CS110" s="1170"/>
      <c r="CT110" s="1170"/>
      <c r="CU110" s="1170"/>
      <c r="CV110" s="1170"/>
      <c r="CW110" s="1170"/>
      <c r="CX110" s="1170"/>
      <c r="CY110" s="1160"/>
      <c r="CZ110" s="1160"/>
      <c r="DA110" s="1160"/>
      <c r="DB110" s="1160"/>
      <c r="DC110" s="1160"/>
      <c r="DD110" s="1160"/>
      <c r="DE110" s="1160"/>
      <c r="DF110" s="1160"/>
      <c r="DG110" s="1160"/>
      <c r="DH110" s="1160"/>
      <c r="DI110" s="1160"/>
      <c r="DJ110" s="1160"/>
      <c r="DK110" s="1253" t="s">
        <v>228</v>
      </c>
      <c r="DL110" s="1245">
        <f ca="1">+BL113/(BK126+BK132)</f>
        <v>2.4332511828191409E-2</v>
      </c>
      <c r="DM110" s="1160"/>
      <c r="DN110" s="1160"/>
      <c r="DO110" s="1160"/>
      <c r="DP110" s="1160"/>
      <c r="DQ110" s="1160"/>
      <c r="DR110" s="1160"/>
      <c r="DS110" s="1160"/>
      <c r="DT110" s="1160"/>
      <c r="DU110" s="1160"/>
      <c r="DV110" s="1160"/>
      <c r="DW110" s="1160"/>
      <c r="DX110" s="1160"/>
      <c r="DY110" s="1160"/>
      <c r="DZ110" s="1160" t="s">
        <v>80</v>
      </c>
      <c r="EA110" s="1160"/>
      <c r="EB110" s="1170">
        <f ca="1">EB94-'CokingRefinery Detailed Results'!M32</f>
        <v>0</v>
      </c>
      <c r="ED110" s="1160" t="s">
        <v>392</v>
      </c>
      <c r="EE110" s="1160"/>
      <c r="EF110" s="1170">
        <f ca="1">(DN$42+DL$82+DL$93+DL$104+DL$115+DL$127+DL$139+DL$150+DL$161+DL$59+DL$71)*$EF$115</f>
        <v>0</v>
      </c>
    </row>
    <row r="111" spans="1:136" x14ac:dyDescent="0.2">
      <c r="A111" s="1160"/>
      <c r="B111" s="1160"/>
      <c r="C111" s="1170"/>
      <c r="D111" s="1160"/>
      <c r="E111" s="1170"/>
      <c r="F111" s="1170"/>
      <c r="G111" s="1170"/>
      <c r="H111" s="1170"/>
      <c r="I111" s="1170"/>
      <c r="J111" s="1182" t="str">
        <f>CokingRefineryCalcs!C8</f>
        <v>Property</v>
      </c>
      <c r="K111" s="1182" t="str">
        <f>CokingRefineryCalcs!D8</f>
        <v>Units</v>
      </c>
      <c r="L111" s="1170"/>
      <c r="M111" s="1170"/>
      <c r="N111" s="1170"/>
      <c r="O111" s="1170"/>
      <c r="P111" s="1170"/>
      <c r="Q111" s="1170"/>
      <c r="R111" s="1170"/>
      <c r="S111" s="1170" t="s">
        <v>263</v>
      </c>
      <c r="T111" s="1170"/>
      <c r="U111" s="1187">
        <f ca="1">L123*U116</f>
        <v>558611377.33641267</v>
      </c>
      <c r="V111" s="1170"/>
      <c r="W111" s="1170"/>
      <c r="X111" s="1170"/>
      <c r="Y111" s="1170"/>
      <c r="Z111" s="1170"/>
      <c r="AA111" s="1170"/>
      <c r="AB111" s="1170"/>
      <c r="AC111" s="1170"/>
      <c r="AD111" s="1170"/>
      <c r="AE111" s="1170"/>
      <c r="AF111" s="1170"/>
      <c r="AG111" s="1170"/>
      <c r="AH111" s="1170"/>
      <c r="AI111" s="1170"/>
      <c r="AJ111" s="1170"/>
      <c r="AK111" s="1170"/>
      <c r="AL111" s="1170"/>
      <c r="AM111" s="1170"/>
      <c r="AN111" s="1170"/>
      <c r="AO111" s="1170"/>
      <c r="AP111" s="1170"/>
      <c r="AQ111" s="1170"/>
      <c r="AR111" s="1170"/>
      <c r="AS111" s="1186" t="str">
        <f>CokingRefineryCalcs!C597</f>
        <v>Mass Flow</v>
      </c>
      <c r="AT111" s="1170" t="str">
        <f>CokingRefineryCalcs!D597</f>
        <v>kg/d</v>
      </c>
      <c r="AU111" s="1170">
        <f ca="1">CokingRefineryCalcs!G597</f>
        <v>0</v>
      </c>
      <c r="AV111" s="1170"/>
      <c r="AW111" s="1170"/>
      <c r="AX111" s="1170" t="s">
        <v>224</v>
      </c>
      <c r="AY111" s="1170"/>
      <c r="AZ111" s="1187">
        <f ca="1">AE94*$AZ$114</f>
        <v>0</v>
      </c>
      <c r="BA111" s="1170"/>
      <c r="BB111" s="1170"/>
      <c r="BC111" s="1170"/>
      <c r="BD111" s="1170"/>
      <c r="BE111" s="1170"/>
      <c r="BF111" s="1170"/>
      <c r="BG111" s="1170"/>
      <c r="BH111" s="1170"/>
      <c r="BI111" s="1170"/>
      <c r="BJ111" s="1186" t="str">
        <f>CokingRefineryCalcs!C362</f>
        <v>Vol Flow</v>
      </c>
      <c r="BK111" s="1170" t="str">
        <f ca="1">CokingRefineryCalcs!D362</f>
        <v>bpd</v>
      </c>
      <c r="BL111" s="1187">
        <f ca="1">BL112/'Energy &amp; Unit Conversions'!$G$80</f>
        <v>2.9253586654519952E-7</v>
      </c>
      <c r="BM111" s="1170"/>
      <c r="BN111" s="1170"/>
      <c r="BO111" s="1170"/>
      <c r="BP111" s="1170"/>
      <c r="BQ111" s="1170"/>
      <c r="BR111" s="1170"/>
      <c r="BS111" s="1170"/>
      <c r="BT111" s="1170"/>
      <c r="BU111" s="1170"/>
      <c r="BV111" s="1170"/>
      <c r="BW111" s="1170"/>
      <c r="BX111" s="1170"/>
      <c r="BY111" s="1170"/>
      <c r="BZ111" s="1170"/>
      <c r="CA111" s="1170"/>
      <c r="CB111" s="1170"/>
      <c r="CC111" s="1170"/>
      <c r="CD111" s="1170"/>
      <c r="CE111" s="1170"/>
      <c r="CF111" s="1170"/>
      <c r="CG111" s="1170"/>
      <c r="CH111" s="1170"/>
      <c r="CI111" s="1170"/>
      <c r="CJ111" s="1170"/>
      <c r="CK111" s="1170"/>
      <c r="CL111" s="1170"/>
      <c r="CM111" s="1170"/>
      <c r="CN111" s="1170"/>
      <c r="CO111" s="1170"/>
      <c r="CP111" s="1170"/>
      <c r="CQ111" s="1170"/>
      <c r="CR111" s="1170"/>
      <c r="CS111" s="1170"/>
      <c r="CT111" s="1170"/>
      <c r="CU111" s="1170"/>
      <c r="CV111" s="1170"/>
      <c r="CW111" s="1170"/>
      <c r="CX111" s="1170"/>
      <c r="CY111" s="1160"/>
      <c r="CZ111" s="1160"/>
      <c r="DA111" s="1160"/>
      <c r="DB111" s="1160"/>
      <c r="DC111" s="1160"/>
      <c r="DD111" s="1160"/>
      <c r="DE111" s="1160"/>
      <c r="DF111" s="1160"/>
      <c r="DG111" s="1160"/>
      <c r="DH111" s="1160"/>
      <c r="DI111" s="1160"/>
      <c r="DJ111" s="1160"/>
      <c r="DK111" s="1160"/>
      <c r="DL111" s="1245"/>
      <c r="DM111" s="1160"/>
      <c r="DN111" s="1160"/>
      <c r="DO111" s="1160"/>
      <c r="DP111" s="1160"/>
      <c r="DQ111" s="1160"/>
      <c r="DR111" s="1160"/>
      <c r="DS111" s="1160"/>
      <c r="DT111" s="1160"/>
      <c r="DU111" s="1160"/>
      <c r="DV111" s="1160"/>
      <c r="DW111" s="1160"/>
      <c r="DX111" s="1160"/>
      <c r="DY111" s="1160"/>
      <c r="DZ111" s="2073" t="s">
        <v>1900</v>
      </c>
      <c r="EA111" s="1160"/>
      <c r="EB111" s="1160">
        <f ca="1">SUM(CokingRefineryCalcs!Q1440:Q1441)</f>
        <v>1</v>
      </c>
      <c r="ED111" s="1160" t="s">
        <v>224</v>
      </c>
      <c r="EE111" s="1160"/>
      <c r="EF111" s="1170">
        <f ca="1">(DN$43+DL$83+DL$94+DL$105+DL$116+DL$128+DL$140+DL$151+DL$162+DL$60+DL$72)*$EF$115</f>
        <v>0</v>
      </c>
    </row>
    <row r="112" spans="1:136" x14ac:dyDescent="0.2">
      <c r="A112" s="1160"/>
      <c r="B112" s="1160"/>
      <c r="C112" s="1170"/>
      <c r="D112" s="1170"/>
      <c r="E112" s="1170"/>
      <c r="F112" s="1170"/>
      <c r="G112" s="1170"/>
      <c r="H112" s="1170"/>
      <c r="I112" s="1170"/>
      <c r="J112" s="1186" t="str">
        <f>CokingRefineryCalcs!C9</f>
        <v>Vol Flow</v>
      </c>
      <c r="K112" s="1170" t="str">
        <f ca="1">CokingRefineryCalcs!D9</f>
        <v>bpd</v>
      </c>
      <c r="L112" s="1187">
        <f ca="1">CokingRefineryCalcs!F9</f>
        <v>99177.64135868111</v>
      </c>
      <c r="M112" s="1170"/>
      <c r="N112" s="1170"/>
      <c r="O112" s="1170"/>
      <c r="P112" s="1170"/>
      <c r="Q112" s="1170"/>
      <c r="R112" s="1170"/>
      <c r="S112" s="1170" t="s">
        <v>392</v>
      </c>
      <c r="T112" s="1170"/>
      <c r="U112" s="1170">
        <f ca="1">+(L124+Q117)*$U$116</f>
        <v>5356.0204412908206</v>
      </c>
      <c r="V112" s="1170"/>
      <c r="W112" s="1170"/>
      <c r="X112" s="1170"/>
      <c r="Y112" s="1170"/>
      <c r="Z112" s="1170"/>
      <c r="AA112" s="1170"/>
      <c r="AB112" s="1170"/>
      <c r="AC112" s="1170"/>
      <c r="AD112" s="1170"/>
      <c r="AE112" s="1170"/>
      <c r="AF112" s="1170"/>
      <c r="AG112" s="1170"/>
      <c r="AH112" s="1170"/>
      <c r="AI112" s="1170"/>
      <c r="AJ112" s="1170"/>
      <c r="AK112" s="1170"/>
      <c r="AL112" s="1170"/>
      <c r="AM112" s="1170"/>
      <c r="AN112" s="1170"/>
      <c r="AO112" s="1170"/>
      <c r="AP112" s="1170"/>
      <c r="AQ112" s="1170"/>
      <c r="AR112" s="1170"/>
      <c r="AS112" s="1186" t="str">
        <f>CokingRefineryCalcs!C598</f>
        <v xml:space="preserve">Sulphur </v>
      </c>
      <c r="AT112" s="1170" t="str">
        <f ca="1">CokingRefineryCalcs!D598</f>
        <v>wt%</v>
      </c>
      <c r="AU112" s="1170">
        <f ca="1">CokingRefineryCalcs!G598</f>
        <v>0</v>
      </c>
      <c r="AV112" s="1170"/>
      <c r="AW112" s="1170"/>
      <c r="AX112" s="1170" t="s">
        <v>485</v>
      </c>
      <c r="AY112" s="1170"/>
      <c r="AZ112" s="1187">
        <f ca="1">AE95*$AZ$114</f>
        <v>0</v>
      </c>
      <c r="BA112" s="1170"/>
      <c r="BB112" s="1170"/>
      <c r="BC112" s="1170"/>
      <c r="BD112" s="1170"/>
      <c r="BE112" s="1170"/>
      <c r="BF112" s="1170"/>
      <c r="BG112" s="1170"/>
      <c r="BH112" s="1170"/>
      <c r="BI112" s="1170"/>
      <c r="BJ112" s="1186" t="str">
        <f>CokingRefineryCalcs!C363</f>
        <v>Vol Flow</v>
      </c>
      <c r="BK112" s="1170" t="str">
        <f ca="1">CokingRefineryCalcs!D363</f>
        <v>m^3/d</v>
      </c>
      <c r="BL112" s="1187">
        <f ca="1">BL113*BL116</f>
        <v>4.6509487575181597E-8</v>
      </c>
      <c r="BM112" s="1170"/>
      <c r="BN112" s="1170"/>
      <c r="BO112" s="1170"/>
      <c r="BP112" s="1170"/>
      <c r="BQ112" s="1170"/>
      <c r="BR112" s="1170"/>
      <c r="BS112" s="1170"/>
      <c r="BT112" s="1170"/>
      <c r="BU112" s="1170"/>
      <c r="BV112" s="1170"/>
      <c r="BW112" s="1170"/>
      <c r="BX112" s="1170"/>
      <c r="BY112" s="1170"/>
      <c r="BZ112" s="1170"/>
      <c r="CA112" s="1170"/>
      <c r="CB112" s="1170"/>
      <c r="CC112" s="1170"/>
      <c r="CD112" s="1170"/>
      <c r="CE112" s="1170"/>
      <c r="CF112" s="1170"/>
      <c r="CG112" s="1170"/>
      <c r="CH112" s="1170"/>
      <c r="CI112" s="1170"/>
      <c r="CJ112" s="1170"/>
      <c r="CK112" s="1170"/>
      <c r="CL112" s="1170"/>
      <c r="CM112" s="1170"/>
      <c r="CN112" s="1170"/>
      <c r="CO112" s="1170"/>
      <c r="CP112" s="1170"/>
      <c r="CQ112" s="1170"/>
      <c r="CR112" s="1170"/>
      <c r="CS112" s="1170"/>
      <c r="CT112" s="1170"/>
      <c r="CU112" s="1170"/>
      <c r="CV112" s="1170"/>
      <c r="CW112" s="1170"/>
      <c r="CX112" s="1170"/>
      <c r="CY112" s="1160"/>
      <c r="CZ112" s="1160"/>
      <c r="DA112" s="1160"/>
      <c r="DB112" s="1160"/>
      <c r="DC112" s="1160"/>
      <c r="DD112" s="1160"/>
      <c r="DE112" s="1160"/>
      <c r="DF112" s="1160"/>
      <c r="DG112" s="1160"/>
      <c r="DH112" s="1160"/>
      <c r="DI112" s="1160"/>
      <c r="DJ112" s="1160"/>
      <c r="DK112" s="1191" t="str">
        <f>CK67</f>
        <v>DHT Fuel Gas</v>
      </c>
      <c r="DL112" s="1171">
        <f ca="1">CokingRefineryCalcs!E981</f>
        <v>6337.361175245027</v>
      </c>
      <c r="DM112" s="1160" t="s">
        <v>622</v>
      </c>
      <c r="DN112" s="1160"/>
      <c r="DO112" s="1160"/>
      <c r="DP112" s="1160"/>
      <c r="DQ112" s="1160"/>
      <c r="DR112" s="1160"/>
      <c r="DS112" s="1160"/>
      <c r="DT112" s="1160"/>
      <c r="DU112" s="1160"/>
      <c r="DV112" s="1160"/>
      <c r="DW112" s="1160"/>
      <c r="DX112" s="1160"/>
      <c r="DY112" s="1160"/>
      <c r="DZ112" s="1160"/>
      <c r="EA112" s="1160"/>
      <c r="EB112" s="1160"/>
      <c r="ED112" s="1160" t="s">
        <v>485</v>
      </c>
      <c r="EE112" s="1160"/>
      <c r="EF112" s="1170">
        <f ca="1">(DN$44+DL$84+DL$95+DL$106+DL$117+DL$129+DL$141+DL$152+DL$163+DL$61+DL$73)*$EF$115</f>
        <v>0</v>
      </c>
    </row>
    <row r="113" spans="1:136" x14ac:dyDescent="0.2">
      <c r="A113" s="1160"/>
      <c r="B113" s="1160"/>
      <c r="C113" s="1160"/>
      <c r="D113" s="1160"/>
      <c r="E113" s="1170"/>
      <c r="F113" s="1170"/>
      <c r="G113" s="1170"/>
      <c r="H113" s="1170"/>
      <c r="I113" s="1170"/>
      <c r="J113" s="1186" t="str">
        <f>CokingRefineryCalcs!C10</f>
        <v>Vol Flow</v>
      </c>
      <c r="K113" s="1170" t="str">
        <f ca="1">CokingRefineryCalcs!D10</f>
        <v>m^3/d</v>
      </c>
      <c r="L113" s="1187">
        <f ca="1">CokingRefineryCalcs!F10</f>
        <v>15769.244976030297</v>
      </c>
      <c r="M113" s="1170"/>
      <c r="N113" s="1170"/>
      <c r="O113" s="1170"/>
      <c r="P113" s="1170"/>
      <c r="Q113" s="1170"/>
      <c r="R113" s="1170"/>
      <c r="S113" s="1170" t="s">
        <v>224</v>
      </c>
      <c r="T113" s="1170"/>
      <c r="U113" s="1170">
        <f ca="1">+(L125+Q118)*$U$116</f>
        <v>4212432.3875972163</v>
      </c>
      <c r="V113" s="1170"/>
      <c r="W113" s="1170"/>
      <c r="X113" s="1170"/>
      <c r="Y113" s="1170"/>
      <c r="Z113" s="1170"/>
      <c r="AA113" s="1170"/>
      <c r="AB113" s="1170"/>
      <c r="AC113" s="1170"/>
      <c r="AD113" s="1170"/>
      <c r="AE113" s="1170"/>
      <c r="AF113" s="1170"/>
      <c r="AG113" s="1170"/>
      <c r="AH113" s="1170"/>
      <c r="AI113" s="1170"/>
      <c r="AJ113" s="1170"/>
      <c r="AK113" s="1170"/>
      <c r="AL113" s="1170"/>
      <c r="AM113" s="1170"/>
      <c r="AN113" s="1170"/>
      <c r="AO113" s="1170"/>
      <c r="AP113" s="1170"/>
      <c r="AQ113" s="1170"/>
      <c r="AR113" s="1170"/>
      <c r="AS113" s="1186" t="str">
        <f>CokingRefineryCalcs!C600</f>
        <v xml:space="preserve">API gravity </v>
      </c>
      <c r="AT113" s="1170"/>
      <c r="AU113" s="1170">
        <f ca="1">CokingRefineryCalcs!G600</f>
        <v>0</v>
      </c>
      <c r="AV113" s="1170"/>
      <c r="AW113" s="1170"/>
      <c r="AX113" s="1170" t="s">
        <v>541</v>
      </c>
      <c r="AY113" s="1170"/>
      <c r="AZ113" s="1170">
        <f ca="1">AE96*$AZ$114</f>
        <v>0</v>
      </c>
      <c r="BA113" s="1170"/>
      <c r="BB113" s="1170"/>
      <c r="BC113" s="1170"/>
      <c r="BD113" s="1170"/>
      <c r="BE113" s="1170"/>
      <c r="BF113" s="1170"/>
      <c r="BG113" s="1170"/>
      <c r="BH113" s="1170"/>
      <c r="BI113" s="1170"/>
      <c r="BJ113" s="1186" t="str">
        <f>CokingRefineryCalcs!C364</f>
        <v>Mass Flow</v>
      </c>
      <c r="BK113" s="1170" t="str">
        <f>CokingRefineryCalcs!D364</f>
        <v>kg/d</v>
      </c>
      <c r="BL113" s="1170">
        <f ca="1">CokingRefineryCalcs!J364</f>
        <v>4.01525055866854E-8</v>
      </c>
      <c r="BM113" s="1170"/>
      <c r="BN113" s="1170"/>
      <c r="BO113" s="1170"/>
      <c r="BP113" s="1170"/>
      <c r="BQ113" s="1170"/>
      <c r="BR113" s="1181" t="str">
        <f>CokingRefineryCalcs!N361</f>
        <v>HC Product Liquids</v>
      </c>
      <c r="BS113" s="1170"/>
      <c r="BT113" s="1170"/>
      <c r="BU113" s="1170"/>
      <c r="BV113" s="1170"/>
      <c r="BW113" s="1170"/>
      <c r="BX113" s="1170"/>
      <c r="BY113" s="1170"/>
      <c r="BZ113" s="1170"/>
      <c r="CA113" s="1170"/>
      <c r="CB113" s="1170"/>
      <c r="CC113" s="1170"/>
      <c r="CD113" s="1170"/>
      <c r="CE113" s="1170"/>
      <c r="CF113" s="1170"/>
      <c r="CG113" s="1170"/>
      <c r="CH113" s="1170"/>
      <c r="CI113" s="1170"/>
      <c r="CJ113" s="1170"/>
      <c r="CK113" s="1170"/>
      <c r="CL113" s="1170"/>
      <c r="CM113" s="1170"/>
      <c r="CN113" s="1170"/>
      <c r="CO113" s="1170"/>
      <c r="CP113" s="1170"/>
      <c r="CQ113" s="1170"/>
      <c r="CR113" s="1170"/>
      <c r="CS113" s="1170"/>
      <c r="CT113" s="1170"/>
      <c r="CU113" s="1170"/>
      <c r="CV113" s="1170"/>
      <c r="CW113" s="1170"/>
      <c r="CX113" s="1170"/>
      <c r="CY113" s="1160"/>
      <c r="CZ113" s="1160"/>
      <c r="DA113" s="1160"/>
      <c r="DB113" s="1160"/>
      <c r="DC113" s="1160"/>
      <c r="DD113" s="1160"/>
      <c r="DE113" s="1160"/>
      <c r="DF113" s="1160"/>
      <c r="DG113" s="1160"/>
      <c r="DH113" s="1160"/>
      <c r="DI113" s="1160"/>
      <c r="DJ113" s="1160"/>
      <c r="DK113" s="1193" t="s">
        <v>226</v>
      </c>
      <c r="DL113" s="1243" t="s">
        <v>522</v>
      </c>
      <c r="DM113" s="1160"/>
      <c r="DN113" s="1160"/>
      <c r="DO113" s="1160"/>
      <c r="DP113" s="1160"/>
      <c r="DQ113" s="1160"/>
      <c r="DR113" s="1160"/>
      <c r="DS113" s="1160"/>
      <c r="DT113" s="1160"/>
      <c r="DU113" s="1160"/>
      <c r="DV113" s="1160"/>
      <c r="DW113" s="1160"/>
      <c r="DX113" s="1160"/>
      <c r="DY113" s="1160"/>
      <c r="DZ113" s="1160"/>
      <c r="EA113" s="1160"/>
      <c r="EB113" s="1160"/>
      <c r="ED113" s="1160" t="s">
        <v>541</v>
      </c>
      <c r="EE113" s="1160"/>
      <c r="EF113" s="1170">
        <f ca="1">(DN$45+DL$85+DL$96+DL$107+DL$118+DL$130+DL$142+DL$153+DL$164+DL$62+DL$74)*$EF$115</f>
        <v>0</v>
      </c>
    </row>
    <row r="114" spans="1:136" x14ac:dyDescent="0.2">
      <c r="A114" s="1160"/>
      <c r="B114" s="1160"/>
      <c r="C114" s="1160"/>
      <c r="D114" s="1160"/>
      <c r="E114" s="1170"/>
      <c r="F114" s="1170"/>
      <c r="G114" s="1170"/>
      <c r="H114" s="1170"/>
      <c r="I114" s="1170"/>
      <c r="J114" s="1200" t="str">
        <f>CokingRefineryCalcs!C11</f>
        <v>Mass Flow</v>
      </c>
      <c r="K114" s="1199" t="str">
        <f>CokingRefineryCalcs!D11</f>
        <v>kg/d</v>
      </c>
      <c r="L114" s="1252">
        <f ca="1">CokingRefineryCalcs!F11</f>
        <v>13687328.970000003</v>
      </c>
      <c r="M114" s="1170"/>
      <c r="N114" s="1170"/>
      <c r="O114" s="1170"/>
      <c r="P114" s="1170"/>
      <c r="Q114" s="1170"/>
      <c r="R114" s="1170"/>
      <c r="S114" s="1170" t="s">
        <v>485</v>
      </c>
      <c r="T114" s="1170"/>
      <c r="U114" s="1170">
        <f>+(L126+Q119)*$U$116</f>
        <v>0</v>
      </c>
      <c r="V114" s="1170"/>
      <c r="W114" s="1170"/>
      <c r="X114" s="1170"/>
      <c r="Y114" s="1170"/>
      <c r="Z114" s="1170"/>
      <c r="AA114" s="1170"/>
      <c r="AB114" s="1170"/>
      <c r="AC114" s="1170"/>
      <c r="AD114" s="1170"/>
      <c r="AE114" s="1170"/>
      <c r="AF114" s="1170"/>
      <c r="AG114" s="1170"/>
      <c r="AH114" s="1170"/>
      <c r="AI114" s="1170"/>
      <c r="AJ114" s="1170"/>
      <c r="AK114" s="1170"/>
      <c r="AL114" s="1170"/>
      <c r="AM114" s="1170"/>
      <c r="AN114" s="1170"/>
      <c r="AO114" s="1170"/>
      <c r="AP114" s="1170"/>
      <c r="AQ114" s="1170"/>
      <c r="AR114" s="1170"/>
      <c r="AS114" s="1186" t="str">
        <f>CokingRefineryCalcs!C601</f>
        <v>Density</v>
      </c>
      <c r="AT114" s="1170" t="str">
        <f ca="1">CokingRefineryCalcs!D601</f>
        <v>kg/m^3</v>
      </c>
      <c r="AU114" s="1170">
        <f ca="1">CokingRefineryCalcs!G601</f>
        <v>0</v>
      </c>
      <c r="AV114" s="1170"/>
      <c r="AW114" s="1170"/>
      <c r="AX114" s="1180" t="s">
        <v>1065</v>
      </c>
      <c r="AY114" s="1170"/>
      <c r="AZ114" s="1170">
        <f ca="1">($AU$119/$AA$102)</f>
        <v>0</v>
      </c>
      <c r="BA114" s="1170"/>
      <c r="BB114" s="1170"/>
      <c r="BC114" s="1170"/>
      <c r="BD114" s="1170"/>
      <c r="BE114" s="1170"/>
      <c r="BF114" s="1170"/>
      <c r="BG114" s="1170"/>
      <c r="BH114" s="1170"/>
      <c r="BI114" s="1170"/>
      <c r="BJ114" s="1186" t="str">
        <f>CokingRefineryCalcs!C365</f>
        <v xml:space="preserve">Sulphur </v>
      </c>
      <c r="BK114" s="1170" t="str">
        <f ca="1">CokingRefineryCalcs!D365</f>
        <v>wt%</v>
      </c>
      <c r="BL114" s="1170">
        <f ca="1">CokingRefineryCalcs!J365</f>
        <v>8.4313001253205329</v>
      </c>
      <c r="BM114" s="1170"/>
      <c r="BN114" s="1170"/>
      <c r="BO114" s="1170"/>
      <c r="BP114" s="1170"/>
      <c r="BQ114" s="1170"/>
      <c r="BR114" s="1182" t="str">
        <f>CokingRefineryCalcs!C361</f>
        <v>Property</v>
      </c>
      <c r="BS114" s="1182" t="str">
        <f>CokingRefineryCalcs!D361</f>
        <v>Units</v>
      </c>
      <c r="BT114" s="1170"/>
      <c r="BU114" s="1170"/>
      <c r="BV114" s="1170"/>
      <c r="BW114" s="1170"/>
      <c r="BX114" s="1170"/>
      <c r="BY114" s="1170"/>
      <c r="BZ114" s="1170"/>
      <c r="CA114" s="1170"/>
      <c r="CB114" s="1170"/>
      <c r="CC114" s="1170"/>
      <c r="CD114" s="1170"/>
      <c r="CE114" s="1170"/>
      <c r="CF114" s="1170"/>
      <c r="CG114" s="1170"/>
      <c r="CH114" s="1170"/>
      <c r="CI114" s="1170"/>
      <c r="CJ114" s="1170"/>
      <c r="CK114" s="1170"/>
      <c r="CL114" s="1170"/>
      <c r="CM114" s="1170"/>
      <c r="CN114" s="1170"/>
      <c r="CO114" s="1170"/>
      <c r="CP114" s="1170"/>
      <c r="CQ114" s="1170"/>
      <c r="CR114" s="1170"/>
      <c r="CS114" s="1170"/>
      <c r="CT114" s="1170"/>
      <c r="CU114" s="1170"/>
      <c r="CV114" s="1170"/>
      <c r="CW114" s="1170"/>
      <c r="CX114" s="1170"/>
      <c r="CY114" s="1160"/>
      <c r="CZ114" s="1170"/>
      <c r="DA114" s="1160"/>
      <c r="DB114" s="1160"/>
      <c r="DC114" s="1160"/>
      <c r="DD114" s="1160"/>
      <c r="DE114" s="1160"/>
      <c r="DF114" s="1160"/>
      <c r="DG114" s="1160"/>
      <c r="DH114" s="1160"/>
      <c r="DI114" s="1160"/>
      <c r="DJ114" s="1160"/>
      <c r="DK114" s="1160" t="s">
        <v>263</v>
      </c>
      <c r="DL114" s="1254">
        <f ca="1">(AE77+CJ259)*DL120</f>
        <v>0</v>
      </c>
      <c r="DM114" s="1160"/>
      <c r="DN114" s="1160"/>
      <c r="DO114" s="1160"/>
      <c r="DP114" s="1160"/>
      <c r="DQ114" s="1160"/>
      <c r="DR114" s="1160"/>
      <c r="DS114" s="1160"/>
      <c r="DT114" s="1160"/>
      <c r="DU114" s="1160"/>
      <c r="DV114" s="1160"/>
      <c r="DW114" s="1160"/>
      <c r="DX114" s="1160"/>
      <c r="DY114" s="1160"/>
      <c r="DZ114" s="1160"/>
      <c r="EA114" s="1160"/>
      <c r="EB114" s="1160"/>
      <c r="ED114" s="1160" t="s">
        <v>234</v>
      </c>
      <c r="EE114" s="1160"/>
      <c r="EF114" s="1170">
        <f ca="1">(DL$119+DL$165)*$EF$115</f>
        <v>0</v>
      </c>
    </row>
    <row r="115" spans="1:136" x14ac:dyDescent="0.2">
      <c r="A115" s="1160"/>
      <c r="B115" s="1160"/>
      <c r="C115" s="1160"/>
      <c r="D115" s="1160"/>
      <c r="E115" s="1170"/>
      <c r="F115" s="1170"/>
      <c r="G115" s="1170"/>
      <c r="H115" s="1170"/>
      <c r="I115" s="1170"/>
      <c r="J115" s="1186" t="str">
        <f>CokingRefineryCalcs!C12</f>
        <v xml:space="preserve">Sulphur </v>
      </c>
      <c r="K115" s="1170" t="str">
        <f ca="1">CokingRefineryCalcs!D12</f>
        <v>wt%</v>
      </c>
      <c r="L115" s="1170">
        <f ca="1">CokingRefineryCalcs!F12</f>
        <v>0.16980000000000001</v>
      </c>
      <c r="M115" s="1170"/>
      <c r="N115" s="1170"/>
      <c r="O115" s="1170"/>
      <c r="P115" s="1180" t="str">
        <f>'CokingRefinery Detailed Results'!C10</f>
        <v>Atmospheric Tower Furnace</v>
      </c>
      <c r="Q115" s="1170"/>
      <c r="R115" s="1170"/>
      <c r="S115" s="1170" t="s">
        <v>541</v>
      </c>
      <c r="T115" s="1170"/>
      <c r="U115" s="1170">
        <f>+(L127+Q120)*$U$116</f>
        <v>0</v>
      </c>
      <c r="V115" s="1170"/>
      <c r="W115" s="1170"/>
      <c r="X115" s="1170"/>
      <c r="Y115" s="1170"/>
      <c r="Z115" s="1170"/>
      <c r="AA115" s="1170"/>
      <c r="AB115" s="1170"/>
      <c r="AC115" s="1170"/>
      <c r="AD115" s="1170"/>
      <c r="AE115" s="1170"/>
      <c r="AF115" s="1170"/>
      <c r="AG115" s="1170"/>
      <c r="AH115" s="1170"/>
      <c r="AI115" s="1170"/>
      <c r="AJ115" s="1170"/>
      <c r="AK115" s="1170"/>
      <c r="AL115" s="1170"/>
      <c r="AM115" s="1170"/>
      <c r="AN115" s="1170"/>
      <c r="AO115" s="1170"/>
      <c r="AP115" s="1170"/>
      <c r="AQ115" s="1170"/>
      <c r="AR115" s="1170"/>
      <c r="AS115" s="1186" t="str">
        <f>CokingRefineryCalcs!C602</f>
        <v>Hydrogen</v>
      </c>
      <c r="AT115" s="1170" t="str">
        <f ca="1">CokingRefineryCalcs!D602</f>
        <v>wt%</v>
      </c>
      <c r="AU115" s="1170">
        <f ca="1">CokingRefineryCalcs!G602</f>
        <v>0</v>
      </c>
      <c r="AV115" s="1170"/>
      <c r="AW115" s="1170"/>
      <c r="AX115" s="1170"/>
      <c r="AY115" s="1170"/>
      <c r="AZ115" s="1170"/>
      <c r="BA115" s="1170"/>
      <c r="BB115" s="1170"/>
      <c r="BC115" s="1170"/>
      <c r="BD115" s="1170"/>
      <c r="BE115" s="1170"/>
      <c r="BF115" s="1170"/>
      <c r="BG115" s="1170"/>
      <c r="BH115" s="1170"/>
      <c r="BI115" s="1170"/>
      <c r="BJ115" s="1186" t="str">
        <f>CokingRefineryCalcs!C367</f>
        <v xml:space="preserve">API gravity </v>
      </c>
      <c r="BK115" s="1170" t="str">
        <f ca="1">CokingRefineryCalcs!D367</f>
        <v>oAPI</v>
      </c>
      <c r="BL115" s="1170"/>
      <c r="BM115" s="1170"/>
      <c r="BN115" s="1170"/>
      <c r="BO115" s="1170"/>
      <c r="BP115" s="1170"/>
      <c r="BQ115" s="1170"/>
      <c r="BR115" s="1186" t="str">
        <f>CokingRefineryCalcs!C362</f>
        <v>Vol Flow</v>
      </c>
      <c r="BS115" s="1170" t="str">
        <f ca="1">CokingRefineryCalcs!D362</f>
        <v>bpd</v>
      </c>
      <c r="BT115" s="1170">
        <f ca="1">CokingRefineryCalcs!N362</f>
        <v>1.3049153309122374E-8</v>
      </c>
      <c r="BU115" s="1170"/>
      <c r="BV115" s="1170"/>
      <c r="BW115" s="1170"/>
      <c r="BX115" s="1170"/>
      <c r="BY115" s="1170"/>
      <c r="BZ115" s="1170"/>
      <c r="CA115" s="1170"/>
      <c r="CB115" s="1170"/>
      <c r="CC115" s="1170"/>
      <c r="CD115" s="1170"/>
      <c r="CE115" s="1170"/>
      <c r="CF115" s="1170"/>
      <c r="CG115" s="1170"/>
      <c r="CH115" s="1170"/>
      <c r="CI115" s="1170"/>
      <c r="CJ115" s="1170"/>
      <c r="CK115" s="1170"/>
      <c r="CL115" s="1170"/>
      <c r="CM115" s="1170"/>
      <c r="CN115" s="1170"/>
      <c r="CO115" s="1170"/>
      <c r="CP115" s="1170"/>
      <c r="CQ115" s="1170"/>
      <c r="CR115" s="1170"/>
      <c r="CS115" s="1170"/>
      <c r="CT115" s="1170"/>
      <c r="CU115" s="1170"/>
      <c r="CV115" s="1170"/>
      <c r="CW115" s="1170"/>
      <c r="CX115" s="1170"/>
      <c r="CY115" s="1160"/>
      <c r="CZ115" s="1160"/>
      <c r="DA115" s="1160"/>
      <c r="DB115" s="1160"/>
      <c r="DC115" s="1160"/>
      <c r="DD115" s="1160"/>
      <c r="DE115" s="1160"/>
      <c r="DF115" s="1160"/>
      <c r="DG115" s="1160"/>
      <c r="DH115" s="1160"/>
      <c r="DI115" s="1160"/>
      <c r="DJ115" s="1160"/>
      <c r="DK115" s="1160" t="s">
        <v>392</v>
      </c>
      <c r="DL115" s="1254">
        <f ca="1">(CP86+AE78+CJ260)*$DL$120</f>
        <v>0</v>
      </c>
      <c r="DM115" s="1160"/>
      <c r="DN115" s="1160"/>
      <c r="DO115" s="1160"/>
      <c r="DP115" s="1160"/>
      <c r="DQ115" s="1160"/>
      <c r="DR115" s="1160"/>
      <c r="DS115" s="1160"/>
      <c r="DT115" s="1160"/>
      <c r="DU115" s="1160"/>
      <c r="DV115" s="1160"/>
      <c r="DW115" s="1160"/>
      <c r="DX115" s="1160"/>
      <c r="DY115" s="1160"/>
      <c r="DZ115" s="1160"/>
      <c r="EA115" s="1160"/>
      <c r="EB115" s="1160"/>
      <c r="ED115" s="2073" t="s">
        <v>1065</v>
      </c>
      <c r="EE115" s="1160"/>
      <c r="EF115" s="1170">
        <f ca="1">CokingRefineryCalcs!Q1441</f>
        <v>0</v>
      </c>
    </row>
    <row r="116" spans="1:136" x14ac:dyDescent="0.2">
      <c r="A116" s="1160"/>
      <c r="B116" s="1160"/>
      <c r="C116" s="1160"/>
      <c r="D116" s="1160"/>
      <c r="E116" s="1170"/>
      <c r="F116" s="1170"/>
      <c r="G116" s="1170"/>
      <c r="H116" s="1170"/>
      <c r="I116" s="1170"/>
      <c r="J116" s="1186" t="str">
        <f>CokingRefineryCalcs!C14</f>
        <v xml:space="preserve">API gravity </v>
      </c>
      <c r="K116" s="1170" t="str">
        <f ca="1">CokingRefineryCalcs!D14</f>
        <v>oAPI</v>
      </c>
      <c r="L116" s="1170">
        <f ca="1">CokingRefineryCalcs!F14</f>
        <v>32.710282000696282</v>
      </c>
      <c r="M116" s="1170"/>
      <c r="N116" s="1170"/>
      <c r="O116" s="1170"/>
      <c r="P116" s="1184" t="s">
        <v>225</v>
      </c>
      <c r="Q116" s="1184" t="s">
        <v>522</v>
      </c>
      <c r="R116" s="1170"/>
      <c r="S116" s="1183" t="s">
        <v>227</v>
      </c>
      <c r="T116" s="1170"/>
      <c r="U116" s="1180">
        <v>1</v>
      </c>
      <c r="V116" s="1170"/>
      <c r="W116" s="1170"/>
      <c r="X116" s="1170"/>
      <c r="Y116" s="1170"/>
      <c r="Z116" s="1170"/>
      <c r="AA116" s="1170"/>
      <c r="AB116" s="1170"/>
      <c r="AC116" s="1170"/>
      <c r="AD116" s="1170"/>
      <c r="AE116" s="1170"/>
      <c r="AF116" s="1170"/>
      <c r="AG116" s="1170"/>
      <c r="AH116" s="1170"/>
      <c r="AI116" s="1170"/>
      <c r="AJ116" s="1170"/>
      <c r="AK116" s="1170"/>
      <c r="AL116" s="1170"/>
      <c r="AM116" s="1170"/>
      <c r="AN116" s="1170"/>
      <c r="AO116" s="1170"/>
      <c r="AP116" s="1170"/>
      <c r="AQ116" s="1170"/>
      <c r="AR116" s="1170"/>
      <c r="AS116" s="1186" t="str">
        <f>CokingRefineryCalcs!C603</f>
        <v>MCR</v>
      </c>
      <c r="AT116" s="1170" t="str">
        <f ca="1">CokingRefineryCalcs!D603</f>
        <v>wt%</v>
      </c>
      <c r="AU116" s="1170">
        <f ca="1">CokingRefineryCalcs!G603</f>
        <v>0</v>
      </c>
      <c r="AV116" s="1170"/>
      <c r="AW116" s="1170"/>
      <c r="AX116" s="1170"/>
      <c r="AY116" s="1170"/>
      <c r="AZ116" s="1170"/>
      <c r="BA116" s="1170"/>
      <c r="BB116" s="1170"/>
      <c r="BC116" s="1170"/>
      <c r="BD116" s="1170"/>
      <c r="BE116" s="1170"/>
      <c r="BF116" s="1170"/>
      <c r="BG116" s="1170"/>
      <c r="BH116" s="1170"/>
      <c r="BI116" s="1170"/>
      <c r="BJ116" s="1186" t="str">
        <f>CokingRefineryCalcs!C368</f>
        <v>Density</v>
      </c>
      <c r="BK116" s="1170" t="str">
        <f ca="1">CokingRefineryCalcs!D368</f>
        <v>kg/m^3</v>
      </c>
      <c r="BL116" s="1170">
        <f>'Energy &amp; Unit Conversions'!$E$27/'Energy &amp; Unit Conversions'!$E$93/'Energy &amp; Unit Conversions'!$G$81</f>
        <v>1.1583209290581402</v>
      </c>
      <c r="BM116" s="1170"/>
      <c r="BN116" s="1170"/>
      <c r="BO116" s="1170"/>
      <c r="BP116" s="1170"/>
      <c r="BQ116" s="1170"/>
      <c r="BR116" s="1186" t="str">
        <f>CokingRefineryCalcs!C363</f>
        <v>Vol Flow</v>
      </c>
      <c r="BS116" s="1170" t="str">
        <f ca="1">CokingRefineryCalcs!D363</f>
        <v>m^3/d</v>
      </c>
      <c r="BT116" s="1170">
        <f ca="1">CokingRefineryCalcs!N363</f>
        <v>2.0746496519034315E-9</v>
      </c>
      <c r="BU116" s="1170"/>
      <c r="BV116" s="1170"/>
      <c r="BW116" s="1170"/>
      <c r="BX116" s="1170"/>
      <c r="BY116" s="1170"/>
      <c r="BZ116" s="1170"/>
      <c r="CA116" s="1170"/>
      <c r="CB116" s="1170"/>
      <c r="CC116" s="1170"/>
      <c r="CD116" s="1170"/>
      <c r="CE116" s="1170"/>
      <c r="CF116" s="1170"/>
      <c r="CG116" s="1170"/>
      <c r="CH116" s="1170"/>
      <c r="CI116" s="1170"/>
      <c r="CJ116" s="1170"/>
      <c r="CK116" s="1170"/>
      <c r="CL116" s="1170"/>
      <c r="CM116" s="1170"/>
      <c r="CN116" s="1170"/>
      <c r="CO116" s="1170"/>
      <c r="CP116" s="1170"/>
      <c r="CQ116" s="1170"/>
      <c r="CR116" s="1170"/>
      <c r="CS116" s="1170"/>
      <c r="CT116" s="1170"/>
      <c r="CU116" s="1170"/>
      <c r="CV116" s="1170"/>
      <c r="CW116" s="1170"/>
      <c r="CX116" s="1170"/>
      <c r="CY116" s="1160"/>
      <c r="CZ116" s="1160"/>
      <c r="DA116" s="1160"/>
      <c r="DB116" s="1160"/>
      <c r="DC116" s="1160"/>
      <c r="DD116" s="1160"/>
      <c r="DE116" s="1160"/>
      <c r="DF116" s="1160"/>
      <c r="DG116" s="1160"/>
      <c r="DH116" s="1160"/>
      <c r="DI116" s="1160"/>
      <c r="DJ116" s="1160"/>
      <c r="DK116" s="1160" t="s">
        <v>224</v>
      </c>
      <c r="DL116" s="1254">
        <f ca="1">(CP87+AE79+CJ261)*$DL$120</f>
        <v>0</v>
      </c>
      <c r="DM116" s="1160"/>
      <c r="DN116" s="1160"/>
      <c r="DO116" s="1160"/>
      <c r="DP116" s="1160"/>
      <c r="DQ116" s="1160"/>
      <c r="DR116" s="1160"/>
      <c r="DS116" s="1160"/>
      <c r="DT116" s="1160"/>
      <c r="DU116" s="1160"/>
      <c r="DV116" s="1160"/>
      <c r="DW116" s="1160"/>
      <c r="DX116" s="1160"/>
      <c r="DY116" s="1160"/>
      <c r="DZ116" s="1160"/>
      <c r="EA116" s="1160"/>
      <c r="EB116" s="1160"/>
    </row>
    <row r="117" spans="1:136" x14ac:dyDescent="0.2">
      <c r="A117" s="1160"/>
      <c r="B117" s="1160"/>
      <c r="C117" s="1160"/>
      <c r="D117" s="1183" t="s">
        <v>226</v>
      </c>
      <c r="E117" s="1184" t="s">
        <v>522</v>
      </c>
      <c r="F117" s="1170"/>
      <c r="G117" s="1170"/>
      <c r="H117" s="1170"/>
      <c r="I117" s="1170"/>
      <c r="J117" s="1186" t="str">
        <f>CokingRefineryCalcs!C15</f>
        <v>Density</v>
      </c>
      <c r="K117" s="1170" t="str">
        <f ca="1">CokingRefineryCalcs!D15</f>
        <v>kg/m^3</v>
      </c>
      <c r="L117" s="1187">
        <f ca="1">CokingRefineryCalcs!F15</f>
        <v>860.83830000000012</v>
      </c>
      <c r="M117" s="1170"/>
      <c r="N117" s="1170"/>
      <c r="O117" s="1170"/>
      <c r="P117" s="1170" t="s">
        <v>392</v>
      </c>
      <c r="Q117" s="1170">
        <f>'CokingRefinery Detailed Results'!F10</f>
        <v>0</v>
      </c>
      <c r="R117" s="1170"/>
      <c r="S117" s="1170"/>
      <c r="T117" s="1170"/>
      <c r="U117" s="1170"/>
      <c r="V117" s="1170"/>
      <c r="W117" s="1170"/>
      <c r="X117" s="1170"/>
      <c r="Y117" s="1170"/>
      <c r="Z117" s="1170"/>
      <c r="AA117" s="1170"/>
      <c r="AB117" s="1170"/>
      <c r="AC117" s="1170"/>
      <c r="AD117" s="1170"/>
      <c r="AE117" s="1170"/>
      <c r="AF117" s="1170"/>
      <c r="AG117" s="1170"/>
      <c r="AH117" s="1170"/>
      <c r="AI117" s="1170"/>
      <c r="AJ117" s="1170"/>
      <c r="AK117" s="1170"/>
      <c r="AL117" s="1170"/>
      <c r="AM117" s="1170"/>
      <c r="AN117" s="1170"/>
      <c r="AO117" s="1170"/>
      <c r="AP117" s="1170"/>
      <c r="AQ117" s="1170"/>
      <c r="AR117" s="1170"/>
      <c r="AS117" s="1200" t="s">
        <v>1056</v>
      </c>
      <c r="AT117" s="1199" t="s">
        <v>447</v>
      </c>
      <c r="AU117" s="1199">
        <f ca="1">('Energy &amp; Unit Conversions'!$D$63-('Energy &amp; Unit Conversions'!$E$63*POWER((CokingRefineryPFD!AU114/'Energy &amp; Unit Conversions'!$E$54),2)))</f>
        <v>46.693440000000002</v>
      </c>
      <c r="AV117" s="1170"/>
      <c r="AW117" s="1170"/>
      <c r="AX117" s="1170"/>
      <c r="AY117" s="1170"/>
      <c r="AZ117" s="1170"/>
      <c r="BA117" s="1170"/>
      <c r="BB117" s="1170"/>
      <c r="BC117" s="1170"/>
      <c r="BD117" s="1170"/>
      <c r="BE117" s="1170"/>
      <c r="BF117" s="1170"/>
      <c r="BG117" s="1170"/>
      <c r="BH117" s="1170"/>
      <c r="BI117" s="1170"/>
      <c r="BJ117" s="1186" t="str">
        <f>CokingRefineryCalcs!C369</f>
        <v>Hydrogen</v>
      </c>
      <c r="BK117" s="1170" t="str">
        <f ca="1">CokingRefineryCalcs!D369</f>
        <v>wt%</v>
      </c>
      <c r="BL117" s="1170">
        <f ca="1">CokingRefineryCalcs!J369</f>
        <v>20.738223340772556</v>
      </c>
      <c r="BM117" s="1170"/>
      <c r="BN117" s="1170"/>
      <c r="BO117" s="1170"/>
      <c r="BP117" s="1170"/>
      <c r="BQ117" s="1170"/>
      <c r="BR117" s="1186" t="str">
        <f>CokingRefineryCalcs!C364</f>
        <v>Mass Flow</v>
      </c>
      <c r="BS117" s="1170" t="str">
        <f>CokingRefineryCalcs!D364</f>
        <v>kg/d</v>
      </c>
      <c r="BT117" s="1170">
        <f ca="1">CokingRefineryCalcs!N364</f>
        <v>1.6096579458030726E-6</v>
      </c>
      <c r="BU117" s="1170"/>
      <c r="BV117" s="1170"/>
      <c r="BW117" s="1170"/>
      <c r="BX117" s="1170"/>
      <c r="BY117" s="1170"/>
      <c r="BZ117" s="1170"/>
      <c r="CA117" s="1170"/>
      <c r="CB117" s="1170"/>
      <c r="CC117" s="1170"/>
      <c r="CD117" s="1170"/>
      <c r="CE117" s="1170"/>
      <c r="CF117" s="1170"/>
      <c r="CG117" s="1170"/>
      <c r="CH117" s="1170"/>
      <c r="CI117" s="1170"/>
      <c r="CJ117" s="1170"/>
      <c r="CK117" s="1170"/>
      <c r="CL117" s="1170"/>
      <c r="CM117" s="1170"/>
      <c r="CN117" s="1170"/>
      <c r="CO117" s="1170"/>
      <c r="CP117" s="1170"/>
      <c r="CQ117" s="1170"/>
      <c r="CR117" s="1170"/>
      <c r="CS117" s="1170"/>
      <c r="CT117" s="1170"/>
      <c r="CU117" s="1170"/>
      <c r="CV117" s="1170"/>
      <c r="CW117" s="1170"/>
      <c r="CX117" s="1170"/>
      <c r="CY117" s="1160"/>
      <c r="CZ117" s="1160"/>
      <c r="DA117" s="1160"/>
      <c r="DB117" s="1160"/>
      <c r="DC117" s="1160"/>
      <c r="DD117" s="1160"/>
      <c r="DE117" s="1160"/>
      <c r="DF117" s="1160"/>
      <c r="DG117" s="1160"/>
      <c r="DH117" s="1160"/>
      <c r="DI117" s="1160"/>
      <c r="DJ117" s="1160"/>
      <c r="DK117" s="1160" t="s">
        <v>485</v>
      </c>
      <c r="DL117" s="1254">
        <f ca="1">(CP88+AE80+CJ262)*$DL$120</f>
        <v>0</v>
      </c>
      <c r="DM117" s="1160"/>
      <c r="DN117" s="1160"/>
      <c r="DO117" s="1160"/>
      <c r="DP117" s="1160"/>
      <c r="DQ117" s="1160"/>
      <c r="DR117" s="1160"/>
      <c r="DS117" s="1160"/>
      <c r="DT117" s="1160"/>
      <c r="DU117" s="1160"/>
      <c r="DV117" s="1160"/>
      <c r="DW117" s="1160"/>
      <c r="DX117" s="1160"/>
      <c r="DY117" s="1160"/>
      <c r="DZ117" s="1160"/>
      <c r="EA117" s="1160"/>
      <c r="EB117" s="1160"/>
    </row>
    <row r="118" spans="1:136" x14ac:dyDescent="0.2">
      <c r="A118" s="1160"/>
      <c r="B118" s="1160"/>
      <c r="C118" s="1160"/>
      <c r="D118" s="1170" t="s">
        <v>263</v>
      </c>
      <c r="E118" s="1187">
        <f ca="1">E97*E104</f>
        <v>558611377.33641267</v>
      </c>
      <c r="F118" s="1170"/>
      <c r="G118" s="1180" t="str">
        <f>'CokingRefinery Detailed Results'!C9</f>
        <v>Desalter</v>
      </c>
      <c r="H118" s="1170"/>
      <c r="I118" s="1170"/>
      <c r="J118" s="1186" t="str">
        <f>CokingRefineryCalcs!C16</f>
        <v>Hydrogen</v>
      </c>
      <c r="K118" s="1170" t="str">
        <f ca="1">CokingRefineryCalcs!D16</f>
        <v>wt%</v>
      </c>
      <c r="L118" s="1170">
        <f ca="1">CokingRefineryCalcs!F16</f>
        <v>12.931648905131908</v>
      </c>
      <c r="M118" s="1170"/>
      <c r="N118" s="1170"/>
      <c r="O118" s="1170"/>
      <c r="P118" s="1170" t="s">
        <v>224</v>
      </c>
      <c r="Q118" s="1170">
        <f ca="1">'CokingRefinery Detailed Results'!H10</f>
        <v>4212432.3875972163</v>
      </c>
      <c r="R118" s="1170"/>
      <c r="S118" s="1170"/>
      <c r="T118" s="1170"/>
      <c r="U118" s="1170"/>
      <c r="V118" s="1170"/>
      <c r="W118" s="1170"/>
      <c r="X118" s="1170"/>
      <c r="Y118" s="1170"/>
      <c r="Z118" s="1170"/>
      <c r="AA118" s="1170"/>
      <c r="AB118" s="1170"/>
      <c r="AC118" s="1170"/>
      <c r="AD118" s="1170"/>
      <c r="AE118" s="1170"/>
      <c r="AF118" s="1170"/>
      <c r="AG118" s="1170"/>
      <c r="AH118" s="1170"/>
      <c r="AI118" s="1170"/>
      <c r="AJ118" s="1170"/>
      <c r="AK118" s="1170"/>
      <c r="AL118" s="1170"/>
      <c r="AM118" s="1170"/>
      <c r="AN118" s="1170"/>
      <c r="AO118" s="1170"/>
      <c r="AP118" s="1170"/>
      <c r="AQ118" s="1170"/>
      <c r="AR118" s="1170"/>
      <c r="AS118" s="1200" t="s">
        <v>1021</v>
      </c>
      <c r="AT118" s="1199" t="s">
        <v>1022</v>
      </c>
      <c r="AU118" s="1199">
        <f>AA101</f>
        <v>86.12</v>
      </c>
      <c r="AV118" s="1170"/>
      <c r="AW118" s="1170"/>
      <c r="AX118" s="1170"/>
      <c r="AY118" s="1170"/>
      <c r="AZ118" s="1170"/>
      <c r="BA118" s="1170"/>
      <c r="BB118" s="1170"/>
      <c r="BC118" s="1170"/>
      <c r="BD118" s="1170"/>
      <c r="BE118" s="1170"/>
      <c r="BF118" s="1170"/>
      <c r="BG118" s="1170"/>
      <c r="BH118" s="1170"/>
      <c r="BI118" s="1170"/>
      <c r="BJ118" s="1186" t="s">
        <v>1698</v>
      </c>
      <c r="BK118" s="1199" t="s">
        <v>447</v>
      </c>
      <c r="BL118" s="1199">
        <f>'Energy &amp; Unit Conversions'!$Q$27</f>
        <v>46.898519302437805</v>
      </c>
      <c r="BM118" s="1170"/>
      <c r="BN118" s="1170"/>
      <c r="BO118" s="1170"/>
      <c r="BP118" s="1170"/>
      <c r="BQ118" s="1170"/>
      <c r="BR118" s="1186" t="str">
        <f>CokingRefineryCalcs!C365</f>
        <v xml:space="preserve">Sulphur </v>
      </c>
      <c r="BS118" s="1170" t="str">
        <f ca="1">CokingRefineryCalcs!D365</f>
        <v>wt%</v>
      </c>
      <c r="BT118" s="1170">
        <f ca="1">CokingRefineryCalcs!N365</f>
        <v>2.1052715141784285E-4</v>
      </c>
      <c r="BU118" s="1170"/>
      <c r="BV118" s="1170"/>
      <c r="BW118" s="1170"/>
      <c r="BX118" s="1170"/>
      <c r="BY118" s="1170"/>
      <c r="BZ118" s="1170"/>
      <c r="CA118" s="1170"/>
      <c r="CB118" s="1170"/>
      <c r="CC118" s="1170"/>
      <c r="CD118" s="1170"/>
      <c r="CE118" s="1170"/>
      <c r="CF118" s="1170"/>
      <c r="CG118" s="1170"/>
      <c r="CH118" s="1170"/>
      <c r="CI118" s="1170"/>
      <c r="CJ118" s="1170"/>
      <c r="CK118" s="1170"/>
      <c r="CL118" s="1170"/>
      <c r="CM118" s="1170"/>
      <c r="CN118" s="1170"/>
      <c r="CO118" s="1170"/>
      <c r="CP118" s="1170"/>
      <c r="CQ118" s="1170"/>
      <c r="CR118" s="1170"/>
      <c r="CS118" s="1170"/>
      <c r="CT118" s="1170"/>
      <c r="CU118" s="1170"/>
      <c r="CV118" s="1170"/>
      <c r="CW118" s="1170"/>
      <c r="CX118" s="1170"/>
      <c r="CY118" s="1160"/>
      <c r="CZ118" s="1160"/>
      <c r="DA118" s="1160"/>
      <c r="DB118" s="1160"/>
      <c r="DC118" s="1160"/>
      <c r="DD118" s="1160"/>
      <c r="DE118" s="1160"/>
      <c r="DF118" s="1160"/>
      <c r="DG118" s="1160"/>
      <c r="DH118" s="1160"/>
      <c r="DI118" s="1160"/>
      <c r="DJ118" s="1160"/>
      <c r="DK118" s="1160" t="s">
        <v>541</v>
      </c>
      <c r="DL118" s="1254">
        <f ca="1">(CP89+AE81+CJ263)*$DL$120</f>
        <v>0</v>
      </c>
      <c r="DM118" s="1160"/>
      <c r="DN118" s="1160"/>
      <c r="DO118" s="1160"/>
      <c r="DP118" s="1160"/>
      <c r="DQ118" s="1160"/>
      <c r="DR118" s="1160"/>
      <c r="DS118" s="1160"/>
      <c r="DT118" s="1160"/>
      <c r="DU118" s="1160"/>
      <c r="DV118" s="1160"/>
      <c r="DW118" s="1160"/>
      <c r="DX118" s="1160"/>
      <c r="DY118" s="1160"/>
      <c r="DZ118" s="1160"/>
      <c r="EA118" s="1160"/>
      <c r="EB118" s="1160"/>
    </row>
    <row r="119" spans="1:136" x14ac:dyDescent="0.2">
      <c r="A119" s="1160"/>
      <c r="B119" s="1160"/>
      <c r="C119" s="1160"/>
      <c r="D119" s="1160"/>
      <c r="E119" s="1170"/>
      <c r="F119" s="1170"/>
      <c r="G119" s="1184" t="s">
        <v>225</v>
      </c>
      <c r="H119" s="1184" t="s">
        <v>522</v>
      </c>
      <c r="I119" s="1170"/>
      <c r="J119" s="1186" t="str">
        <f>CokingRefineryCalcs!C17</f>
        <v>MCR</v>
      </c>
      <c r="K119" s="1170" t="str">
        <f ca="1">CokingRefineryCalcs!D17</f>
        <v>wt%</v>
      </c>
      <c r="L119" s="1170">
        <f ca="1">CokingRefineryCalcs!F17</f>
        <v>1.2</v>
      </c>
      <c r="M119" s="1170"/>
      <c r="N119" s="1170"/>
      <c r="O119" s="1170"/>
      <c r="P119" s="1170" t="s">
        <v>485</v>
      </c>
      <c r="Q119" s="1170">
        <f>'CokingRefinery Detailed Results'!J10</f>
        <v>0</v>
      </c>
      <c r="R119" s="1170"/>
      <c r="S119" s="1170"/>
      <c r="T119" s="1170"/>
      <c r="U119" s="1170"/>
      <c r="V119" s="1170"/>
      <c r="W119" s="1170"/>
      <c r="X119" s="1170"/>
      <c r="Y119" s="1170"/>
      <c r="Z119" s="1170"/>
      <c r="AA119" s="1170"/>
      <c r="AB119" s="1170"/>
      <c r="AC119" s="1170"/>
      <c r="AD119" s="1170"/>
      <c r="AE119" s="1170"/>
      <c r="AF119" s="1170"/>
      <c r="AG119" s="1170"/>
      <c r="AH119" s="1170"/>
      <c r="AI119" s="1170"/>
      <c r="AJ119" s="1170"/>
      <c r="AK119" s="1170"/>
      <c r="AL119" s="1170"/>
      <c r="AM119" s="1170"/>
      <c r="AN119" s="1170"/>
      <c r="AO119" s="1170"/>
      <c r="AP119" s="1170"/>
      <c r="AQ119" s="1170"/>
      <c r="AR119" s="1170"/>
      <c r="AS119" s="1204" t="s">
        <v>1054</v>
      </c>
      <c r="AT119" s="1204" t="str">
        <f>IF(allocationMethod=1,$C$21,IF(allocationMethod=2,$C$22,IF(allocationMethod=3,$C$23,$C$24)))</f>
        <v>Hydrogen Content Basis</v>
      </c>
      <c r="AU119" s="1204">
        <f ca="1">IF(allocationMethod=1,AU111,IF(allocationMethod=2,AU117*AU111,IF(allocationMethod=3,AU118*AU109,AU115*AU111/100)))</f>
        <v>0</v>
      </c>
      <c r="AV119" s="1170"/>
      <c r="AW119" s="1170"/>
      <c r="AX119" s="1170"/>
      <c r="AY119" s="1170"/>
      <c r="AZ119" s="1170"/>
      <c r="BA119" s="1170"/>
      <c r="BB119" s="1170"/>
      <c r="BC119" s="1170"/>
      <c r="BD119" s="1170"/>
      <c r="BE119" s="1170"/>
      <c r="BF119" s="1170"/>
      <c r="BG119" s="1170"/>
      <c r="BH119" s="1170"/>
      <c r="BI119" s="1170"/>
      <c r="BJ119" s="1200" t="s">
        <v>1021</v>
      </c>
      <c r="BK119" s="1199" t="s">
        <v>1022</v>
      </c>
      <c r="BL119" s="1170">
        <f>Constants!G353</f>
        <v>33.957001686096191</v>
      </c>
      <c r="BM119" s="1170"/>
      <c r="BN119" s="1170"/>
      <c r="BO119" s="1170"/>
      <c r="BP119" s="1170"/>
      <c r="BQ119" s="1170"/>
      <c r="BR119" s="1186" t="str">
        <f>CokingRefineryCalcs!C367</f>
        <v xml:space="preserve">API gravity </v>
      </c>
      <c r="BS119" s="1170"/>
      <c r="BT119" s="1170">
        <f ca="1">CokingRefineryCalcs!N367</f>
        <v>24.787724032405976</v>
      </c>
      <c r="BU119" s="1170"/>
      <c r="BV119" s="1170"/>
      <c r="BW119" s="1170"/>
      <c r="BX119" s="1170"/>
      <c r="BY119" s="1170"/>
      <c r="BZ119" s="1170"/>
      <c r="CA119" s="1170"/>
      <c r="CB119" s="1170"/>
      <c r="CC119" s="1170"/>
      <c r="CD119" s="1170"/>
      <c r="CE119" s="1170"/>
      <c r="CF119" s="1170"/>
      <c r="CG119" s="1170"/>
      <c r="CH119" s="1170"/>
      <c r="CI119" s="1170"/>
      <c r="CJ119" s="1170"/>
      <c r="CK119" s="1170"/>
      <c r="CL119" s="1170"/>
      <c r="CM119" s="1170"/>
      <c r="CN119" s="1170"/>
      <c r="CO119" s="1170"/>
      <c r="CP119" s="1170"/>
      <c r="CQ119" s="1170"/>
      <c r="CR119" s="1170"/>
      <c r="CS119" s="1170"/>
      <c r="CT119" s="1170"/>
      <c r="CU119" s="1170"/>
      <c r="CV119" s="1170"/>
      <c r="CW119" s="1170"/>
      <c r="CX119" s="1170"/>
      <c r="CY119" s="1160"/>
      <c r="CZ119" s="1160"/>
      <c r="DA119" s="1160"/>
      <c r="DB119" s="1160"/>
      <c r="DC119" s="1160"/>
      <c r="DD119" s="1160"/>
      <c r="DE119" s="1160"/>
      <c r="DF119" s="1160"/>
      <c r="DG119" s="1160"/>
      <c r="DH119" s="1160"/>
      <c r="DI119" s="1160"/>
      <c r="DJ119" s="1160"/>
      <c r="DK119" s="1160" t="str">
        <f>CH264</f>
        <v>Catalyst Coke</v>
      </c>
      <c r="DL119" s="1245">
        <f ca="1">(CJ264)*$DL$120</f>
        <v>0</v>
      </c>
      <c r="DM119" s="1160"/>
      <c r="DN119" s="1160"/>
      <c r="DO119" s="1160"/>
      <c r="DP119" s="1160"/>
      <c r="DQ119" s="1160"/>
      <c r="DR119" s="1160"/>
      <c r="DS119" s="1160"/>
      <c r="DT119" s="1160"/>
      <c r="DU119" s="1160"/>
      <c r="DV119" s="1160"/>
      <c r="DW119" s="1160"/>
      <c r="DX119" s="1160"/>
      <c r="DY119" s="1160"/>
      <c r="DZ119" s="1160"/>
      <c r="EA119" s="1160"/>
      <c r="EB119" s="1160"/>
    </row>
    <row r="120" spans="1:136" x14ac:dyDescent="0.2">
      <c r="A120" s="1160"/>
      <c r="B120" s="1160"/>
      <c r="C120" s="1160"/>
      <c r="D120" s="1160"/>
      <c r="E120" s="1170"/>
      <c r="F120" s="1170"/>
      <c r="G120" s="1170" t="s">
        <v>392</v>
      </c>
      <c r="H120" s="1170">
        <f ca="1">'CokingRefinery Detailed Results'!F9</f>
        <v>5356.0204412908206</v>
      </c>
      <c r="I120" s="1170"/>
      <c r="J120" s="1200"/>
      <c r="K120" s="1199"/>
      <c r="L120" s="1199"/>
      <c r="M120" s="1170"/>
      <c r="N120" s="1170"/>
      <c r="O120" s="1170"/>
      <c r="P120" s="1170" t="s">
        <v>541</v>
      </c>
      <c r="Q120" s="1170">
        <f>'CokingRefinery Detailed Results'!L10</f>
        <v>0</v>
      </c>
      <c r="R120" s="1170"/>
      <c r="S120" s="1170"/>
      <c r="T120" s="1170"/>
      <c r="U120" s="1170"/>
      <c r="V120" s="1170"/>
      <c r="W120" s="1170"/>
      <c r="X120" s="1170"/>
      <c r="Y120" s="1170"/>
      <c r="Z120" s="1170"/>
      <c r="AA120" s="1170"/>
      <c r="AB120" s="1170"/>
      <c r="AC120" s="1170"/>
      <c r="AD120" s="1170"/>
      <c r="AE120" s="1170"/>
      <c r="AF120" s="1170"/>
      <c r="AG120" s="1170"/>
      <c r="AH120" s="1170"/>
      <c r="AI120" s="1170"/>
      <c r="AJ120" s="1170"/>
      <c r="AK120" s="1170"/>
      <c r="AL120" s="1170"/>
      <c r="AM120" s="1170"/>
      <c r="AN120" s="1170"/>
      <c r="AO120" s="1170"/>
      <c r="AP120" s="1170"/>
      <c r="AQ120" s="1170"/>
      <c r="AR120" s="1170"/>
      <c r="AS120" s="1170"/>
      <c r="AT120" s="1170"/>
      <c r="AU120" s="1170"/>
      <c r="AV120" s="1170"/>
      <c r="AW120" s="1170"/>
      <c r="AX120" s="1170"/>
      <c r="AY120" s="1170"/>
      <c r="AZ120" s="1170"/>
      <c r="BA120" s="1170"/>
      <c r="BB120" s="1170"/>
      <c r="BC120" s="1170"/>
      <c r="BD120" s="1170"/>
      <c r="BE120" s="1170"/>
      <c r="BF120" s="1170"/>
      <c r="BG120" s="1170"/>
      <c r="BH120" s="1170"/>
      <c r="BI120" s="1170"/>
      <c r="BJ120" s="1204" t="s">
        <v>1054</v>
      </c>
      <c r="BK120" s="1204" t="str">
        <f>IF(allocationMethod=1,$C$21,IF(allocationMethod=2,$C$22,IF(allocationMethod=3,$C$23,$C$24)))</f>
        <v>Hydrogen Content Basis</v>
      </c>
      <c r="BL120" s="1204">
        <f ca="1">CokingRefineryCalcs!R1451</f>
        <v>0</v>
      </c>
      <c r="BM120" s="1184" t="str">
        <f>'CokingRefinery Detailed Results'!C17</f>
        <v>Gas Oil Hydrocracker</v>
      </c>
      <c r="BN120" s="1170"/>
      <c r="BO120" s="1187"/>
      <c r="BP120" s="1187"/>
      <c r="BQ120" s="1170"/>
      <c r="BR120" s="1186" t="str">
        <f>CokingRefineryCalcs!C368</f>
        <v>Density</v>
      </c>
      <c r="BS120" s="1170" t="str">
        <f ca="1">CokingRefineryCalcs!D368</f>
        <v>kg/m^3</v>
      </c>
      <c r="BT120" s="1170">
        <f ca="1">CokingRefineryCalcs!N368</f>
        <v>905.38141031895907</v>
      </c>
      <c r="BU120" s="1170"/>
      <c r="BV120" s="1170"/>
      <c r="BW120" s="1170"/>
      <c r="BX120" s="1170"/>
      <c r="BY120" s="1170"/>
      <c r="BZ120" s="1170"/>
      <c r="CA120" s="1170"/>
      <c r="CB120" s="1170"/>
      <c r="CC120" s="1170"/>
      <c r="CD120" s="1181" t="str">
        <f>CokingRefineryCalcs!G469</f>
        <v>HC Diesel</v>
      </c>
      <c r="CE120" s="1170"/>
      <c r="CF120" s="1170"/>
      <c r="CG120" s="1170"/>
      <c r="CH120" s="1180" t="str">
        <f>CD120</f>
        <v>HC Diesel</v>
      </c>
      <c r="CI120" s="1170"/>
      <c r="CJ120" s="1170"/>
      <c r="CK120" s="1170"/>
      <c r="CL120" s="1170"/>
      <c r="CM120" s="1170"/>
      <c r="CN120" s="1170"/>
      <c r="CO120" s="1170"/>
      <c r="CP120" s="1170"/>
      <c r="CQ120" s="1170"/>
      <c r="CR120" s="1170"/>
      <c r="CS120" s="1170"/>
      <c r="CT120" s="1170"/>
      <c r="CU120" s="1170"/>
      <c r="CV120" s="1170"/>
      <c r="CW120" s="1170"/>
      <c r="CX120" s="1170"/>
      <c r="CY120" s="1160"/>
      <c r="CZ120" s="1160"/>
      <c r="DA120" s="1160"/>
      <c r="DB120" s="1160"/>
      <c r="DC120" s="1160"/>
      <c r="DD120" s="1160"/>
      <c r="DE120" s="1160"/>
      <c r="DF120" s="1160"/>
      <c r="DG120" s="1160"/>
      <c r="DH120" s="1160"/>
      <c r="DI120" s="1160"/>
      <c r="DJ120" s="1160"/>
      <c r="DK120" s="1191" t="s">
        <v>1066</v>
      </c>
      <c r="DL120" s="1245">
        <f ca="1">IF(CokingRefineryPFD!E50=TRUE,DL121,0)</f>
        <v>0</v>
      </c>
      <c r="DM120" s="1160"/>
      <c r="DN120" s="1160"/>
      <c r="DO120" s="1160"/>
      <c r="DP120" s="1160"/>
      <c r="DQ120" s="1160"/>
      <c r="DR120" s="1160"/>
      <c r="DS120" s="1160"/>
      <c r="DT120" s="1160"/>
      <c r="DU120" s="1160"/>
      <c r="DV120" s="1160"/>
      <c r="DW120" s="1160"/>
      <c r="DX120" s="1160"/>
      <c r="DY120" s="1160"/>
      <c r="DZ120" s="1160"/>
      <c r="EA120" s="1160"/>
      <c r="EB120" s="1160"/>
    </row>
    <row r="121" spans="1:136" x14ac:dyDescent="0.2">
      <c r="A121" s="1160"/>
      <c r="B121" s="1160"/>
      <c r="C121" s="1160"/>
      <c r="D121" s="1160"/>
      <c r="E121" s="1170"/>
      <c r="F121" s="1170"/>
      <c r="G121" s="1170" t="s">
        <v>224</v>
      </c>
      <c r="H121" s="1170">
        <f>'CokingRefinery Detailed Results'!H9</f>
        <v>0</v>
      </c>
      <c r="I121" s="1170"/>
      <c r="J121" s="1200"/>
      <c r="K121" s="1199"/>
      <c r="L121" s="1199"/>
      <c r="M121" s="1170"/>
      <c r="N121" s="1170"/>
      <c r="O121" s="1170"/>
      <c r="P121" s="1170"/>
      <c r="Q121" s="1170"/>
      <c r="R121" s="1170"/>
      <c r="S121" s="1170"/>
      <c r="T121" s="1170"/>
      <c r="U121" s="1170"/>
      <c r="V121" s="1170"/>
      <c r="W121" s="1170"/>
      <c r="X121" s="1170"/>
      <c r="Y121" s="1170"/>
      <c r="Z121" s="1170"/>
      <c r="AA121" s="1170"/>
      <c r="AB121" s="1170"/>
      <c r="AC121" s="1170"/>
      <c r="AD121" s="1170"/>
      <c r="AE121" s="1170"/>
      <c r="AF121" s="1170"/>
      <c r="AG121" s="1170"/>
      <c r="AH121" s="1170"/>
      <c r="AI121" s="1170"/>
      <c r="AJ121" s="1170"/>
      <c r="AK121" s="1170"/>
      <c r="AL121" s="1170"/>
      <c r="AM121" s="1170"/>
      <c r="AN121" s="1170"/>
      <c r="AO121" s="1170"/>
      <c r="AP121" s="1170"/>
      <c r="AQ121" s="1170"/>
      <c r="AR121" s="1170"/>
      <c r="AS121" s="1170"/>
      <c r="AT121" s="1170"/>
      <c r="AU121" s="1170"/>
      <c r="AV121" s="1170"/>
      <c r="AW121" s="1170"/>
      <c r="AX121" s="1170"/>
      <c r="AY121" s="1170"/>
      <c r="AZ121" s="1170"/>
      <c r="BA121" s="1170"/>
      <c r="BB121" s="1170"/>
      <c r="BC121" s="1170"/>
      <c r="BD121" s="1170"/>
      <c r="BE121" s="1170"/>
      <c r="BF121" s="1170"/>
      <c r="BG121" s="1170"/>
      <c r="BH121" s="1170"/>
      <c r="BI121" s="1170"/>
      <c r="BJ121" s="1170"/>
      <c r="BK121" s="1170"/>
      <c r="BL121" s="1170"/>
      <c r="BM121" s="1184" t="s">
        <v>225</v>
      </c>
      <c r="BN121" s="1170"/>
      <c r="BO121" s="1227" t="s">
        <v>522</v>
      </c>
      <c r="BP121" s="1187"/>
      <c r="BQ121" s="1170"/>
      <c r="BR121" s="1186" t="str">
        <f>CokingRefineryCalcs!C369</f>
        <v>Hydrogen</v>
      </c>
      <c r="BS121" s="1170" t="str">
        <f ca="1">CokingRefineryCalcs!D369</f>
        <v>wt%</v>
      </c>
      <c r="BT121" s="1170">
        <f ca="1">CokingRefineryCalcs!N369</f>
        <v>13.996195315233706</v>
      </c>
      <c r="BU121" s="1170"/>
      <c r="BV121" s="1170"/>
      <c r="BW121" s="1170"/>
      <c r="BX121" s="1170"/>
      <c r="BY121" s="1170"/>
      <c r="BZ121" s="1170"/>
      <c r="CA121" s="1170"/>
      <c r="CB121" s="1170"/>
      <c r="CC121" s="1170"/>
      <c r="CD121" s="1182" t="str">
        <f>CokingRefineryCalcs!C469</f>
        <v>Property</v>
      </c>
      <c r="CE121" s="1182" t="str">
        <f>CokingRefineryCalcs!D469</f>
        <v>Units</v>
      </c>
      <c r="CF121" s="1170"/>
      <c r="CG121" s="1170"/>
      <c r="CH121" s="1183" t="s">
        <v>226</v>
      </c>
      <c r="CI121" s="1170"/>
      <c r="CJ121" s="1184" t="s">
        <v>522</v>
      </c>
      <c r="CK121" s="1170"/>
      <c r="CL121" s="1170"/>
      <c r="CM121" s="1170"/>
      <c r="CN121" s="1170"/>
      <c r="CO121" s="1170"/>
      <c r="CP121" s="1170"/>
      <c r="CQ121" s="1170"/>
      <c r="CR121" s="1170"/>
      <c r="CS121" s="1170"/>
      <c r="CT121" s="1170"/>
      <c r="CU121" s="1170"/>
      <c r="CV121" s="1170"/>
      <c r="CW121" s="1170"/>
      <c r="CX121" s="1170"/>
      <c r="CY121" s="1160"/>
      <c r="CZ121" s="1160"/>
      <c r="DA121" s="1160"/>
      <c r="DB121" s="1160"/>
      <c r="DC121" s="1160"/>
      <c r="DD121" s="1160"/>
      <c r="DE121" s="1160"/>
      <c r="DF121" s="1160"/>
      <c r="DG121" s="1160"/>
      <c r="DH121" s="1160"/>
      <c r="DI121" s="1160"/>
      <c r="DJ121" s="1160"/>
      <c r="DK121" s="1191" t="s">
        <v>1065</v>
      </c>
      <c r="DL121" s="1245">
        <f ca="1">CM79/(CU91+CM79)</f>
        <v>0</v>
      </c>
      <c r="DM121" s="1160"/>
      <c r="DN121" s="1160"/>
      <c r="DO121" s="1160"/>
      <c r="DP121" s="1160"/>
      <c r="DQ121" s="1160"/>
      <c r="DR121" s="1160"/>
      <c r="DS121" s="1160"/>
      <c r="DT121" s="1160"/>
      <c r="DU121" s="1160"/>
      <c r="DV121" s="1160"/>
      <c r="DW121" s="1160"/>
      <c r="DX121" s="1160"/>
      <c r="DY121" s="1160"/>
      <c r="DZ121" s="1195" t="str">
        <f>CokingRefineryCalcs!T977</f>
        <v>Total Sulphur production</v>
      </c>
      <c r="EA121" s="1160"/>
      <c r="EB121" s="1160"/>
    </row>
    <row r="122" spans="1:136" x14ac:dyDescent="0.2">
      <c r="A122" s="1160"/>
      <c r="B122" s="1160"/>
      <c r="C122" s="1160"/>
      <c r="D122" s="1160"/>
      <c r="E122" s="1170"/>
      <c r="F122" s="1170"/>
      <c r="G122" s="1170" t="s">
        <v>485</v>
      </c>
      <c r="H122" s="1170">
        <f>'CokingRefinery Detailed Results'!J9</f>
        <v>0</v>
      </c>
      <c r="I122" s="1170"/>
      <c r="J122" s="1183" t="s">
        <v>226</v>
      </c>
      <c r="K122" s="1170"/>
      <c r="L122" s="1184" t="s">
        <v>522</v>
      </c>
      <c r="M122" s="1170"/>
      <c r="N122" s="1170"/>
      <c r="O122" s="1170"/>
      <c r="P122" s="1170"/>
      <c r="Q122" s="1170"/>
      <c r="R122" s="1170"/>
      <c r="S122" s="1170"/>
      <c r="T122" s="1170"/>
      <c r="U122" s="1170"/>
      <c r="V122" s="1170"/>
      <c r="W122" s="1170"/>
      <c r="X122" s="1170"/>
      <c r="Y122" s="1170"/>
      <c r="Z122" s="1170"/>
      <c r="AA122" s="1170"/>
      <c r="AB122" s="1170"/>
      <c r="AC122" s="1170"/>
      <c r="AD122" s="1170"/>
      <c r="AE122" s="1170"/>
      <c r="AF122" s="1170"/>
      <c r="AG122" s="1170"/>
      <c r="AH122" s="1170"/>
      <c r="AI122" s="1170"/>
      <c r="AJ122" s="1170"/>
      <c r="AK122" s="1170"/>
      <c r="AL122" s="1170"/>
      <c r="AM122" s="1170"/>
      <c r="AN122" s="1170"/>
      <c r="AO122" s="1170"/>
      <c r="AP122" s="1170"/>
      <c r="AQ122" s="1170"/>
      <c r="AR122" s="1170"/>
      <c r="AS122" s="1170"/>
      <c r="AT122" s="1170"/>
      <c r="AU122" s="1170"/>
      <c r="AV122" s="1170"/>
      <c r="AW122" s="1170"/>
      <c r="AX122" s="1170"/>
      <c r="AY122" s="1170"/>
      <c r="AZ122" s="1170"/>
      <c r="BA122" s="1170"/>
      <c r="BB122" s="1170"/>
      <c r="BC122" s="1170"/>
      <c r="BD122" s="1170"/>
      <c r="BE122" s="1170"/>
      <c r="BF122" s="1170"/>
      <c r="BG122" s="1170"/>
      <c r="BH122" s="1170"/>
      <c r="BI122" s="1181" t="str">
        <f>CokingRefineryCalcs!I361</f>
        <v>Gas Oil Hydrocracker Feed</v>
      </c>
      <c r="BJ122" s="1170"/>
      <c r="BK122" s="1170"/>
      <c r="BL122" s="1170"/>
      <c r="BM122" s="1170" t="s">
        <v>392</v>
      </c>
      <c r="BN122" s="1170"/>
      <c r="BO122" s="1187">
        <f ca="1">'CokingRefinery Detailed Results'!F17+IF(AND($EB$144+$EB$161=0,E51=FALSE),'CokingRefinery Detailed Results'!F30*CokingRefineryCalcs!$U$982,0)</f>
        <v>1.9870608005702995E-9</v>
      </c>
      <c r="BP122" s="1187"/>
      <c r="BQ122" s="1170"/>
      <c r="BR122" s="1186" t="str">
        <f>CokingRefineryCalcs!C370</f>
        <v>MCR</v>
      </c>
      <c r="BS122" s="1170" t="str">
        <f ca="1">CokingRefineryCalcs!D370</f>
        <v>wt%</v>
      </c>
      <c r="BT122" s="1170">
        <f>CokingRefineryCalcs!N370</f>
        <v>0</v>
      </c>
      <c r="BU122" s="1170"/>
      <c r="BV122" s="1170"/>
      <c r="BW122" s="1170"/>
      <c r="BX122" s="1170"/>
      <c r="BY122" s="1170"/>
      <c r="BZ122" s="1170"/>
      <c r="CA122" s="1170"/>
      <c r="CB122" s="1170"/>
      <c r="CC122" s="1170"/>
      <c r="CD122" s="1186" t="str">
        <f>CokingRefineryCalcs!C470</f>
        <v>Vol Flow</v>
      </c>
      <c r="CE122" s="1170" t="str">
        <f>CokingRefineryCalcs!D470</f>
        <v>bpd</v>
      </c>
      <c r="CF122" s="1170">
        <f ca="1">CokingRefineryCalcs!G470</f>
        <v>6.3917148298864941E-9</v>
      </c>
      <c r="CG122" s="1170"/>
      <c r="CH122" s="1170" t="s">
        <v>263</v>
      </c>
      <c r="CI122" s="1170"/>
      <c r="CJ122" s="1187">
        <f ca="1">BT129*CJ127</f>
        <v>0</v>
      </c>
      <c r="CK122" s="1170"/>
      <c r="CL122" s="1170"/>
      <c r="CM122" s="1170"/>
      <c r="CN122" s="1170"/>
      <c r="CO122" s="1170"/>
      <c r="CP122" s="1170"/>
      <c r="CQ122" s="1170"/>
      <c r="CR122" s="1170"/>
      <c r="CS122" s="1170"/>
      <c r="CT122" s="1170"/>
      <c r="CU122" s="1170"/>
      <c r="CV122" s="1170"/>
      <c r="CW122" s="1170"/>
      <c r="CX122" s="1170"/>
      <c r="CY122" s="1160"/>
      <c r="CZ122" s="1160"/>
      <c r="DA122" s="1160"/>
      <c r="DB122" s="1160"/>
      <c r="DC122" s="1160"/>
      <c r="DD122" s="1160"/>
      <c r="DE122" s="1160"/>
      <c r="DF122" s="1160"/>
      <c r="DG122" s="1160"/>
      <c r="DH122" s="1160"/>
      <c r="DI122" s="1160"/>
      <c r="DJ122" s="1160"/>
      <c r="DK122" s="1255" t="s">
        <v>228</v>
      </c>
      <c r="DL122" s="1245">
        <f ca="1">CM71/(AA79+CJ246+CP92)</f>
        <v>3.5888341081237174E-3</v>
      </c>
      <c r="DM122" s="1160"/>
      <c r="DN122" s="1160"/>
      <c r="DO122" s="1160"/>
      <c r="DP122" s="1160"/>
      <c r="DQ122" s="1160"/>
      <c r="DR122" s="1160"/>
      <c r="DS122" s="1160"/>
      <c r="DT122" s="1160"/>
      <c r="DU122" s="1160"/>
      <c r="DV122" s="1160"/>
      <c r="DW122" s="1160"/>
      <c r="DX122" s="1160"/>
      <c r="DY122" s="1160"/>
      <c r="DZ122" s="1229" t="s">
        <v>620</v>
      </c>
      <c r="EA122" s="1160" t="s">
        <v>622</v>
      </c>
      <c r="EB122" s="1187">
        <f ca="1">CokingRefineryCalcs!T990</f>
        <v>4282.1221115613989</v>
      </c>
    </row>
    <row r="123" spans="1:136" x14ac:dyDescent="0.2">
      <c r="A123" s="1160"/>
      <c r="B123" s="1160"/>
      <c r="C123" s="1160"/>
      <c r="D123" s="1160"/>
      <c r="E123" s="1170"/>
      <c r="F123" s="1170"/>
      <c r="G123" s="1170" t="s">
        <v>541</v>
      </c>
      <c r="H123" s="1170">
        <f>'CokingRefinery Detailed Results'!L9</f>
        <v>0</v>
      </c>
      <c r="I123" s="1170"/>
      <c r="J123" s="1170" t="s">
        <v>263</v>
      </c>
      <c r="K123" s="1170"/>
      <c r="L123" s="1187">
        <f ca="1">E118*L128</f>
        <v>558611377.33641267</v>
      </c>
      <c r="M123" s="1170"/>
      <c r="N123" s="1170"/>
      <c r="O123" s="1170"/>
      <c r="P123" s="1170"/>
      <c r="Q123" s="1170"/>
      <c r="R123" s="1170"/>
      <c r="S123" s="1170"/>
      <c r="T123" s="1170"/>
      <c r="U123" s="1170"/>
      <c r="V123" s="1170"/>
      <c r="W123" s="1170"/>
      <c r="X123" s="1170"/>
      <c r="Y123" s="1170"/>
      <c r="Z123" s="1170"/>
      <c r="AA123" s="1170"/>
      <c r="AB123" s="1170"/>
      <c r="AC123" s="1170"/>
      <c r="AD123" s="1170"/>
      <c r="AE123" s="1170"/>
      <c r="AF123" s="1170"/>
      <c r="AG123" s="1170"/>
      <c r="AH123" s="1170"/>
      <c r="AI123" s="1170"/>
      <c r="AJ123" s="1170"/>
      <c r="AK123" s="1170"/>
      <c r="AL123" s="1170"/>
      <c r="AM123" s="1170"/>
      <c r="AN123" s="1170"/>
      <c r="AO123" s="1170"/>
      <c r="AP123" s="1170"/>
      <c r="AQ123" s="1170"/>
      <c r="AR123" s="1170"/>
      <c r="AS123" s="1170"/>
      <c r="AT123" s="1170"/>
      <c r="AU123" s="1170"/>
      <c r="AV123" s="1170"/>
      <c r="AW123" s="1170"/>
      <c r="AX123" s="1170"/>
      <c r="AY123" s="1170"/>
      <c r="AZ123" s="1170"/>
      <c r="BA123" s="1170"/>
      <c r="BB123" s="1170"/>
      <c r="BC123" s="1170"/>
      <c r="BD123" s="1170"/>
      <c r="BE123" s="1170"/>
      <c r="BF123" s="1170"/>
      <c r="BG123" s="1170"/>
      <c r="BH123" s="1170"/>
      <c r="BI123" s="1182" t="str">
        <f>CokingRefineryCalcs!C361</f>
        <v>Property</v>
      </c>
      <c r="BJ123" s="1182" t="str">
        <f>CokingRefineryCalcs!D361</f>
        <v>Units</v>
      </c>
      <c r="BK123" s="1170"/>
      <c r="BL123" s="1170"/>
      <c r="BM123" s="1170" t="s">
        <v>224</v>
      </c>
      <c r="BN123" s="1170"/>
      <c r="BO123" s="1187">
        <f ca="1">'CokingRefinery Detailed Results'!H17+IF(AND($EB$144+$EB$161=0,E51=FALSE),'CokingRefinery Detailed Results'!H30*CokingRefineryCalcs!$U$982,0)</f>
        <v>1.2068749739285783E-6</v>
      </c>
      <c r="BP123" s="1187"/>
      <c r="BQ123" s="1170"/>
      <c r="BR123" s="1200" t="s">
        <v>1056</v>
      </c>
      <c r="BS123" s="1199" t="s">
        <v>447</v>
      </c>
      <c r="BT123" s="1199">
        <f ca="1">('Energy &amp; Unit Conversions'!$D$63-('Energy &amp; Unit Conversions'!$E$63*POWER((CokingRefineryPFD!BT120/'Energy &amp; Unit Conversions'!$E$54),2)))</f>
        <v>40.187927806302483</v>
      </c>
      <c r="BU123" s="1199"/>
      <c r="BV123" s="1170"/>
      <c r="BW123" s="1170"/>
      <c r="BX123" s="1170"/>
      <c r="BY123" s="1170"/>
      <c r="BZ123" s="1170"/>
      <c r="CA123" s="1170"/>
      <c r="CB123" s="1170"/>
      <c r="CC123" s="1170"/>
      <c r="CD123" s="1186" t="str">
        <f>CokingRefineryCalcs!C471</f>
        <v>Vol Flow</v>
      </c>
      <c r="CE123" s="1170" t="str">
        <f>CokingRefineryCalcs!D471</f>
        <v>m^3/d</v>
      </c>
      <c r="CF123" s="1170">
        <f ca="1">CokingRefineryCalcs!G471</f>
        <v>1.0162014831736131E-9</v>
      </c>
      <c r="CG123" s="1170"/>
      <c r="CH123" s="1170" t="s">
        <v>392</v>
      </c>
      <c r="CI123" s="1170"/>
      <c r="CJ123" s="1187">
        <f ca="1">(BT130+BY105)*$CJ$127</f>
        <v>9.9588848143028959E-10</v>
      </c>
      <c r="CK123" s="1170"/>
      <c r="CL123" s="1170"/>
      <c r="CM123" s="1170"/>
      <c r="CN123" s="1170"/>
      <c r="CO123" s="1170"/>
      <c r="CP123" s="1170"/>
      <c r="CQ123" s="1170"/>
      <c r="CR123" s="1170"/>
      <c r="CS123" s="1170"/>
      <c r="CT123" s="1170"/>
      <c r="CU123" s="1170"/>
      <c r="CV123" s="1170"/>
      <c r="CW123" s="1170"/>
      <c r="CX123" s="1170"/>
      <c r="CY123" s="1160"/>
      <c r="CZ123" s="1160"/>
      <c r="DA123" s="1160"/>
      <c r="DB123" s="1160"/>
      <c r="DC123" s="1160"/>
      <c r="DD123" s="1160"/>
      <c r="DE123" s="1160"/>
      <c r="DF123" s="1160"/>
      <c r="DG123" s="1160"/>
      <c r="DH123" s="1160"/>
      <c r="DI123" s="1160"/>
      <c r="DJ123" s="1160"/>
      <c r="DK123" s="1171"/>
      <c r="DL123" s="1160"/>
      <c r="DM123" s="1160"/>
      <c r="DN123" s="1160"/>
      <c r="DO123" s="1160"/>
      <c r="DP123" s="1160"/>
      <c r="DQ123" s="1160"/>
      <c r="DR123" s="1160"/>
      <c r="DS123" s="1160"/>
      <c r="DT123" s="1160"/>
      <c r="DU123" s="1160"/>
      <c r="DV123" s="1160"/>
      <c r="DW123" s="1160"/>
      <c r="DX123" s="1160"/>
      <c r="DY123" s="1160"/>
      <c r="DZ123" s="1186" t="s">
        <v>1698</v>
      </c>
      <c r="EA123" s="1199" t="s">
        <v>447</v>
      </c>
      <c r="EB123" s="1252">
        <v>0</v>
      </c>
    </row>
    <row r="124" spans="1:136" x14ac:dyDescent="0.2">
      <c r="A124" s="1160"/>
      <c r="B124" s="1160"/>
      <c r="C124" s="1160"/>
      <c r="D124" s="1160"/>
      <c r="E124" s="1170"/>
      <c r="F124" s="1170"/>
      <c r="G124" s="1170"/>
      <c r="H124" s="1170"/>
      <c r="I124" s="1170"/>
      <c r="J124" s="1170" t="s">
        <v>392</v>
      </c>
      <c r="K124" s="1170"/>
      <c r="L124" s="1170">
        <f ca="1">H120*$L$128</f>
        <v>5356.0204412908206</v>
      </c>
      <c r="M124" s="1170"/>
      <c r="N124" s="1170"/>
      <c r="O124" s="1170"/>
      <c r="P124" s="1170"/>
      <c r="Q124" s="1170"/>
      <c r="R124" s="1170"/>
      <c r="S124" s="1170"/>
      <c r="T124" s="1170"/>
      <c r="U124" s="1170"/>
      <c r="V124" s="1170"/>
      <c r="W124" s="1170"/>
      <c r="X124" s="1170"/>
      <c r="Y124" s="1170"/>
      <c r="Z124" s="1170"/>
      <c r="AA124" s="1170"/>
      <c r="AB124" s="1170"/>
      <c r="AC124" s="1170"/>
      <c r="AD124" s="1170"/>
      <c r="AE124" s="1170"/>
      <c r="AF124" s="1170"/>
      <c r="AG124" s="1170"/>
      <c r="AH124" s="1170"/>
      <c r="AI124" s="1170"/>
      <c r="AJ124" s="1170"/>
      <c r="AK124" s="1170"/>
      <c r="AL124" s="1170"/>
      <c r="AM124" s="1170"/>
      <c r="AN124" s="1170"/>
      <c r="AO124" s="1170"/>
      <c r="AP124" s="1170"/>
      <c r="AQ124" s="1170"/>
      <c r="AR124" s="1170"/>
      <c r="AS124" s="1170"/>
      <c r="AT124" s="1170"/>
      <c r="AU124" s="1170"/>
      <c r="AV124" s="1170"/>
      <c r="AW124" s="1170"/>
      <c r="AX124" s="1170"/>
      <c r="AY124" s="1170"/>
      <c r="AZ124" s="1170"/>
      <c r="BA124" s="1170"/>
      <c r="BB124" s="1170"/>
      <c r="BC124" s="1170"/>
      <c r="BD124" s="1170"/>
      <c r="BE124" s="1170"/>
      <c r="BF124" s="1170"/>
      <c r="BG124" s="1170"/>
      <c r="BH124" s="1170"/>
      <c r="BI124" s="1186" t="str">
        <f>CokingRefineryCalcs!C362</f>
        <v>Vol Flow</v>
      </c>
      <c r="BJ124" s="1170" t="str">
        <f ca="1">CokingRefineryCalcs!D362</f>
        <v>bpd</v>
      </c>
      <c r="BK124" s="1170">
        <f ca="1">CokingRefineryCalcs!I362</f>
        <v>1.1182517606218385E-8</v>
      </c>
      <c r="BL124" s="1170"/>
      <c r="BM124" s="1170" t="s">
        <v>485</v>
      </c>
      <c r="BN124" s="1170"/>
      <c r="BO124" s="1187">
        <f ca="1">'CokingRefinery Detailed Results'!J17+IF(AND($EB$144+$EB$161=0,E51=FALSE),'CokingRefinery Detailed Results'!J30*CokingRefineryCalcs!$U$982,0)</f>
        <v>-2.4557301333224554E-8</v>
      </c>
      <c r="BP124" s="1187"/>
      <c r="BQ124" s="1170"/>
      <c r="BR124" s="1200" t="s">
        <v>1021</v>
      </c>
      <c r="BS124" s="1199" t="s">
        <v>1022</v>
      </c>
      <c r="BT124" s="1246">
        <f ca="1">(CF96*CF105+CF122*CF131+CF145*CF154)/BT115</f>
        <v>93.585638495919454</v>
      </c>
      <c r="BU124" s="1199"/>
      <c r="BV124" s="1170"/>
      <c r="BW124" s="1170"/>
      <c r="BX124" s="1170"/>
      <c r="BY124" s="1170"/>
      <c r="BZ124" s="1170"/>
      <c r="CA124" s="1170"/>
      <c r="CB124" s="1170"/>
      <c r="CC124" s="1170"/>
      <c r="CD124" s="1186" t="str">
        <f>CokingRefineryCalcs!C472</f>
        <v>Mass Flow</v>
      </c>
      <c r="CE124" s="1170" t="str">
        <f>CokingRefineryCalcs!D472</f>
        <v>kg/d</v>
      </c>
      <c r="CF124" s="1170">
        <f ca="1">CokingRefineryCalcs!G472</f>
        <v>8.4345446730125368E-7</v>
      </c>
      <c r="CG124" s="1170"/>
      <c r="CH124" s="1170" t="s">
        <v>224</v>
      </c>
      <c r="CI124" s="1170"/>
      <c r="CJ124" s="1187">
        <f ca="1">(BT131+BY106)*$CJ$127</f>
        <v>6.0486970741760666E-7</v>
      </c>
      <c r="CK124" s="1170"/>
      <c r="CL124" s="1170"/>
      <c r="CM124" s="1170"/>
      <c r="CN124" s="1170"/>
      <c r="CO124" s="1170"/>
      <c r="CP124" s="1170"/>
      <c r="CQ124" s="1170"/>
      <c r="CR124" s="1170"/>
      <c r="CS124" s="1170"/>
      <c r="CT124" s="1170"/>
      <c r="CU124" s="1170"/>
      <c r="CV124" s="1170"/>
      <c r="CW124" s="1170"/>
      <c r="CX124" s="1170"/>
      <c r="CY124" s="1160"/>
      <c r="CZ124" s="1160"/>
      <c r="DA124" s="1160"/>
      <c r="DB124" s="1160"/>
      <c r="DC124" s="1160"/>
      <c r="DD124" s="1160"/>
      <c r="DE124" s="1160"/>
      <c r="DF124" s="1160"/>
      <c r="DG124" s="1160"/>
      <c r="DH124" s="1160"/>
      <c r="DI124" s="1160"/>
      <c r="DJ124" s="1160"/>
      <c r="DK124" s="1191" t="str">
        <f>AV201</f>
        <v>Coker Gas</v>
      </c>
      <c r="DL124" s="1171">
        <f ca="1">CokingRefineryCalcs!E983</f>
        <v>9.3585669599724856E-16</v>
      </c>
      <c r="DM124" s="1160" t="s">
        <v>622</v>
      </c>
      <c r="DN124" s="1160"/>
      <c r="DO124" s="1160"/>
      <c r="DP124" s="1160"/>
      <c r="DQ124" s="1160"/>
      <c r="DR124" s="1160"/>
      <c r="DS124" s="1160"/>
      <c r="DT124" s="1160"/>
      <c r="DU124" s="1160"/>
      <c r="DV124" s="1160"/>
      <c r="DW124" s="1160"/>
      <c r="DX124" s="1160"/>
      <c r="DY124" s="1160"/>
      <c r="DZ124" s="1200" t="s">
        <v>1021</v>
      </c>
      <c r="EA124" s="1199" t="s">
        <v>1064</v>
      </c>
      <c r="EB124" s="1252">
        <v>0</v>
      </c>
    </row>
    <row r="125" spans="1:136" x14ac:dyDescent="0.2">
      <c r="A125" s="1160"/>
      <c r="B125" s="1160"/>
      <c r="C125" s="1160"/>
      <c r="D125" s="1160"/>
      <c r="E125" s="1170"/>
      <c r="F125" s="1170"/>
      <c r="G125" s="1170"/>
      <c r="H125" s="1170"/>
      <c r="I125" s="1170"/>
      <c r="J125" s="1170" t="s">
        <v>224</v>
      </c>
      <c r="K125" s="1170"/>
      <c r="L125" s="1170">
        <f>H121*$L$128</f>
        <v>0</v>
      </c>
      <c r="M125" s="1170"/>
      <c r="N125" s="1170"/>
      <c r="O125" s="1170"/>
      <c r="P125" s="1170"/>
      <c r="Q125" s="1170"/>
      <c r="R125" s="1170"/>
      <c r="S125" s="1170"/>
      <c r="T125" s="1170"/>
      <c r="U125" s="1170"/>
      <c r="V125" s="1170"/>
      <c r="W125" s="1170"/>
      <c r="X125" s="1170"/>
      <c r="Y125" s="1170"/>
      <c r="Z125" s="1170"/>
      <c r="AA125" s="1170"/>
      <c r="AB125" s="1170"/>
      <c r="AC125" s="1170"/>
      <c r="AD125" s="1170"/>
      <c r="AE125" s="1170"/>
      <c r="AF125" s="1170"/>
      <c r="AG125" s="1170"/>
      <c r="AH125" s="1170"/>
      <c r="AI125" s="1170"/>
      <c r="AJ125" s="1170"/>
      <c r="AK125" s="1170"/>
      <c r="AL125" s="1170"/>
      <c r="AM125" s="1170"/>
      <c r="AN125" s="1170"/>
      <c r="AO125" s="1170"/>
      <c r="AP125" s="1170"/>
      <c r="AQ125" s="1170"/>
      <c r="AR125" s="1170"/>
      <c r="AS125" s="1170"/>
      <c r="AT125" s="1170"/>
      <c r="AU125" s="1170"/>
      <c r="AV125" s="1170"/>
      <c r="AW125" s="1170"/>
      <c r="AX125" s="1170"/>
      <c r="AY125" s="1170"/>
      <c r="AZ125" s="1170"/>
      <c r="BA125" s="1170"/>
      <c r="BB125" s="1170"/>
      <c r="BC125" s="1170"/>
      <c r="BD125" s="1170"/>
      <c r="BE125" s="1170"/>
      <c r="BF125" s="1170"/>
      <c r="BG125" s="1170"/>
      <c r="BH125" s="1170"/>
      <c r="BI125" s="1186" t="str">
        <f>CokingRefineryCalcs!C363</f>
        <v>Vol Flow</v>
      </c>
      <c r="BJ125" s="1170" t="str">
        <f ca="1">CokingRefineryCalcs!D363</f>
        <v>m^3/d</v>
      </c>
      <c r="BK125" s="1170">
        <f ca="1">CokingRefineryCalcs!I363</f>
        <v>1.7778782814151241E-9</v>
      </c>
      <c r="BL125" s="1170"/>
      <c r="BM125" s="1170" t="s">
        <v>541</v>
      </c>
      <c r="BN125" s="1170"/>
      <c r="BO125" s="1187">
        <f ca="1">'CokingRefinery Detailed Results'!L17+IF(AND($EB$144+$EB$161=0,E51=FALSE),'CokingRefinery Detailed Results'!L30*CokingRefineryCalcs!$U$982,0)</f>
        <v>5.4352760738480903E-6</v>
      </c>
      <c r="BP125" s="1187"/>
      <c r="BQ125" s="1170"/>
      <c r="BR125" s="1204" t="s">
        <v>1054</v>
      </c>
      <c r="BS125" s="1204" t="str">
        <f>IF(allocationMethod=1,$C$21,IF(allocationMethod=2,$C$22,IF(allocationMethod=3,$C$23,$C$24)))</f>
        <v>Hydrogen Content Basis</v>
      </c>
      <c r="BT125" s="1204">
        <f ca="1">IF(allocationMethod=1,BT117,IF(allocationMethod=2,BT123*BT117,IF(allocationMethod=3,BT124*BT115,BT121*BT117/100)))</f>
        <v>2.2529087000177676E-7</v>
      </c>
      <c r="BU125" s="1204"/>
      <c r="BV125" s="1170"/>
      <c r="BW125" s="1170"/>
      <c r="BX125" s="1170"/>
      <c r="BY125" s="1170"/>
      <c r="BZ125" s="1170"/>
      <c r="CA125" s="1170"/>
      <c r="CB125" s="1170"/>
      <c r="CC125" s="1170"/>
      <c r="CD125" s="1186" t="str">
        <f>CokingRefineryCalcs!C473</f>
        <v>S</v>
      </c>
      <c r="CE125" s="1170" t="str">
        <f>CokingRefineryCalcs!D473</f>
        <v>wt%</v>
      </c>
      <c r="CF125" s="1170">
        <f ca="1">CokingRefineryCalcs!G473</f>
        <v>4.017723721006432E-6</v>
      </c>
      <c r="CG125" s="1170"/>
      <c r="CH125" s="1170" t="s">
        <v>485</v>
      </c>
      <c r="CI125" s="1170"/>
      <c r="CJ125" s="1187">
        <f ca="1">(BT132+BY107)*$CJ$127</f>
        <v>4.9810762073173043E-7</v>
      </c>
      <c r="CK125" s="1170"/>
      <c r="CL125" s="1170"/>
      <c r="CM125" s="1170"/>
      <c r="CN125" s="1170"/>
      <c r="CO125" s="1170"/>
      <c r="CP125" s="1170"/>
      <c r="CQ125" s="1170"/>
      <c r="CR125" s="1170"/>
      <c r="CS125" s="1170"/>
      <c r="CT125" s="1170"/>
      <c r="CU125" s="1170"/>
      <c r="CV125" s="1170"/>
      <c r="CW125" s="1170"/>
      <c r="CX125" s="1170"/>
      <c r="CY125" s="1160"/>
      <c r="CZ125" s="1160"/>
      <c r="DA125" s="1160"/>
      <c r="DB125" s="1160"/>
      <c r="DC125" s="1160"/>
      <c r="DD125" s="1160"/>
      <c r="DE125" s="1160"/>
      <c r="DF125" s="1160"/>
      <c r="DG125" s="1160"/>
      <c r="DH125" s="1160"/>
      <c r="DI125" s="1160"/>
      <c r="DJ125" s="1160"/>
      <c r="DK125" s="1191" t="s">
        <v>226</v>
      </c>
      <c r="DL125" s="1243" t="s">
        <v>522</v>
      </c>
      <c r="DM125" s="1160"/>
      <c r="DN125" s="1160"/>
      <c r="DO125" s="1160"/>
      <c r="DP125" s="1160"/>
      <c r="DQ125" s="1160"/>
      <c r="DR125" s="1160"/>
      <c r="DS125" s="1160"/>
      <c r="DT125" s="1160"/>
      <c r="DU125" s="1160"/>
      <c r="DV125" s="1160"/>
      <c r="DW125" s="1160"/>
      <c r="DX125" s="1160"/>
      <c r="DY125" s="1160"/>
      <c r="DZ125" s="1204" t="s">
        <v>1054</v>
      </c>
      <c r="EA125" s="1204" t="str">
        <f>IF(allocationMethod=1,$C$21,IF(allocationMethod=2,$C$22,IF(allocationMethod=3,$C$23,$C$24)))</f>
        <v>Hydrogen Content Basis</v>
      </c>
      <c r="EB125" s="1250">
        <f>IF(allocationMethod=1,EB122,0)</f>
        <v>0</v>
      </c>
    </row>
    <row r="126" spans="1:136" x14ac:dyDescent="0.2">
      <c r="A126" s="1160"/>
      <c r="B126" s="1160"/>
      <c r="C126" s="1160"/>
      <c r="D126" s="1160"/>
      <c r="E126" s="1170"/>
      <c r="F126" s="1170"/>
      <c r="G126" s="1170"/>
      <c r="H126" s="1170"/>
      <c r="I126" s="1170"/>
      <c r="J126" s="1170" t="s">
        <v>485</v>
      </c>
      <c r="K126" s="1170"/>
      <c r="L126" s="1170">
        <f>H122*$L$128</f>
        <v>0</v>
      </c>
      <c r="M126" s="1170"/>
      <c r="N126" s="1170"/>
      <c r="O126" s="1170"/>
      <c r="P126" s="1170"/>
      <c r="Q126" s="1170"/>
      <c r="R126" s="1170"/>
      <c r="S126" s="1170"/>
      <c r="T126" s="1170"/>
      <c r="U126" s="1170"/>
      <c r="V126" s="1170"/>
      <c r="W126" s="1170"/>
      <c r="X126" s="1170"/>
      <c r="Y126" s="1170"/>
      <c r="Z126" s="1170"/>
      <c r="AA126" s="1170"/>
      <c r="AB126" s="1170"/>
      <c r="AC126" s="1170"/>
      <c r="AD126" s="1170"/>
      <c r="AE126" s="1170"/>
      <c r="AF126" s="1170"/>
      <c r="AG126" s="1170"/>
      <c r="AH126" s="1170"/>
      <c r="AI126" s="1170"/>
      <c r="AJ126" s="1170"/>
      <c r="AK126" s="1170"/>
      <c r="AL126" s="1170"/>
      <c r="AM126" s="1170"/>
      <c r="AN126" s="1170"/>
      <c r="AO126" s="1170"/>
      <c r="AP126" s="1170"/>
      <c r="AQ126" s="1170"/>
      <c r="AR126" s="1170"/>
      <c r="AS126" s="1170"/>
      <c r="AT126" s="1170"/>
      <c r="AU126" s="1170"/>
      <c r="AV126" s="1170"/>
      <c r="AW126" s="1170"/>
      <c r="AX126" s="1170"/>
      <c r="AY126" s="1170"/>
      <c r="AZ126" s="1170"/>
      <c r="BA126" s="1170"/>
      <c r="BB126" s="1170"/>
      <c r="BC126" s="1170"/>
      <c r="BD126" s="1170"/>
      <c r="BE126" s="1170"/>
      <c r="BF126" s="1170"/>
      <c r="BG126" s="1170"/>
      <c r="BH126" s="1170"/>
      <c r="BI126" s="1186" t="str">
        <f>CokingRefineryCalcs!C364</f>
        <v>Mass Flow</v>
      </c>
      <c r="BJ126" s="1170" t="str">
        <f>CokingRefineryCalcs!D364</f>
        <v>kg/d</v>
      </c>
      <c r="BK126" s="1170">
        <f ca="1">CokingRefineryCalcs!I364</f>
        <v>1.6094174951277762E-6</v>
      </c>
      <c r="BL126" s="1197"/>
      <c r="BM126" s="1170"/>
      <c r="BN126" s="1170"/>
      <c r="BO126" s="1170"/>
      <c r="BP126" s="1170"/>
      <c r="BQ126" s="1170"/>
      <c r="BR126" s="1170"/>
      <c r="BS126" s="1170"/>
      <c r="BT126" s="1170"/>
      <c r="BU126" s="1170"/>
      <c r="BV126" s="1170"/>
      <c r="BW126" s="1170"/>
      <c r="BX126" s="1170"/>
      <c r="BY126" s="1170"/>
      <c r="BZ126" s="1170"/>
      <c r="CA126" s="1170"/>
      <c r="CB126" s="1170"/>
      <c r="CC126" s="1170"/>
      <c r="CD126" s="1186" t="str">
        <f>CokingRefineryCalcs!C475</f>
        <v>API</v>
      </c>
      <c r="CE126" s="1170"/>
      <c r="CF126" s="1170">
        <f ca="1">CokingRefineryCalcs!G475</f>
        <v>38.980465091553498</v>
      </c>
      <c r="CG126" s="1170"/>
      <c r="CH126" s="1170" t="s">
        <v>541</v>
      </c>
      <c r="CI126" s="1170"/>
      <c r="CJ126" s="1187">
        <f ca="1">(BT133+BX96)*$CJ$127</f>
        <v>2.7240881777675928E-6</v>
      </c>
      <c r="CK126" s="1170"/>
      <c r="CL126" s="1170"/>
      <c r="CM126" s="1170"/>
      <c r="CN126" s="1170"/>
      <c r="CO126" s="1170"/>
      <c r="CP126" s="1170"/>
      <c r="CQ126" s="1170"/>
      <c r="CR126" s="1170"/>
      <c r="CS126" s="1170"/>
      <c r="CT126" s="1170"/>
      <c r="CU126" s="1170"/>
      <c r="CV126" s="1170"/>
      <c r="CW126" s="1170"/>
      <c r="CX126" s="1170"/>
      <c r="CY126" s="1160"/>
      <c r="CZ126" s="1160"/>
      <c r="DA126" s="1160"/>
      <c r="DB126" s="1160"/>
      <c r="DC126" s="1160"/>
      <c r="DD126" s="1160"/>
      <c r="DE126" s="1160"/>
      <c r="DF126" s="1160"/>
      <c r="DG126" s="1160"/>
      <c r="DH126" s="1160"/>
      <c r="DI126" s="1160"/>
      <c r="DJ126" s="1160"/>
      <c r="DK126" s="1160" t="s">
        <v>263</v>
      </c>
      <c r="DL126" s="1254">
        <f ca="1">AU249*DL131</f>
        <v>0</v>
      </c>
      <c r="DM126" s="1160"/>
      <c r="DN126" s="1160"/>
      <c r="DO126" s="1160"/>
      <c r="DP126" s="1160"/>
      <c r="DQ126" s="1160"/>
      <c r="DR126" s="1160"/>
      <c r="DS126" s="1160"/>
      <c r="DT126" s="1160"/>
      <c r="DU126" s="1160"/>
      <c r="DV126" s="1160"/>
      <c r="DW126" s="1160"/>
      <c r="DX126" s="1160"/>
      <c r="DY126" s="1160"/>
      <c r="DZ126" s="1160"/>
      <c r="EA126" s="1160"/>
      <c r="EB126" s="1160"/>
    </row>
    <row r="127" spans="1:136" x14ac:dyDescent="0.2">
      <c r="A127" s="1160"/>
      <c r="B127" s="1160"/>
      <c r="C127" s="1160"/>
      <c r="D127" s="1160"/>
      <c r="E127" s="1170"/>
      <c r="F127" s="1170"/>
      <c r="G127" s="1170"/>
      <c r="H127" s="1170"/>
      <c r="I127" s="1170"/>
      <c r="J127" s="1170" t="s">
        <v>541</v>
      </c>
      <c r="K127" s="1170"/>
      <c r="L127" s="1170">
        <f>H123*$L$128</f>
        <v>0</v>
      </c>
      <c r="M127" s="1170"/>
      <c r="N127" s="1170"/>
      <c r="O127" s="1170"/>
      <c r="P127" s="1170"/>
      <c r="Q127" s="1170"/>
      <c r="R127" s="1170"/>
      <c r="S127" s="1170"/>
      <c r="T127" s="1170"/>
      <c r="U127" s="1170"/>
      <c r="V127" s="1170"/>
      <c r="W127" s="1170"/>
      <c r="X127" s="1170"/>
      <c r="Y127" s="1170"/>
      <c r="Z127" s="1170"/>
      <c r="AA127" s="1170"/>
      <c r="AB127" s="1170"/>
      <c r="AC127" s="1170"/>
      <c r="AD127" s="1170"/>
      <c r="AE127" s="1170"/>
      <c r="AF127" s="1170"/>
      <c r="AG127" s="1170"/>
      <c r="AH127" s="1170"/>
      <c r="AI127" s="1170"/>
      <c r="AJ127" s="1170"/>
      <c r="AK127" s="1170"/>
      <c r="AL127" s="1170"/>
      <c r="AM127" s="1170"/>
      <c r="AN127" s="1170"/>
      <c r="AO127" s="1170"/>
      <c r="AP127" s="1170"/>
      <c r="AQ127" s="1170"/>
      <c r="AR127" s="1170"/>
      <c r="AS127" s="1170"/>
      <c r="AT127" s="1170"/>
      <c r="AU127" s="1170"/>
      <c r="AV127" s="1170"/>
      <c r="AW127" s="1170"/>
      <c r="AX127" s="1170"/>
      <c r="AY127" s="1170"/>
      <c r="AZ127" s="1170"/>
      <c r="BA127" s="1170"/>
      <c r="BB127" s="1170"/>
      <c r="BC127" s="1170"/>
      <c r="BD127" s="1170"/>
      <c r="BE127" s="1170"/>
      <c r="BF127" s="1170"/>
      <c r="BG127" s="1170"/>
      <c r="BH127" s="1170"/>
      <c r="BI127" s="1186" t="str">
        <f>CokingRefineryCalcs!C365</f>
        <v xml:space="preserve">Sulphur </v>
      </c>
      <c r="BJ127" s="1170" t="str">
        <f ca="1">CokingRefineryCalcs!D365</f>
        <v>wt%</v>
      </c>
      <c r="BK127" s="1170">
        <f ca="1">CokingRefineryCalcs!I365</f>
        <v>0.21055860465847406</v>
      </c>
      <c r="BL127" s="1170"/>
      <c r="BM127" s="1170"/>
      <c r="BN127" s="1170"/>
      <c r="BO127" s="1187"/>
      <c r="BP127" s="1187"/>
      <c r="BQ127" s="1170"/>
      <c r="BR127" s="1180" t="str">
        <f>BR113</f>
        <v>HC Product Liquids</v>
      </c>
      <c r="BS127" s="1170"/>
      <c r="BT127" s="1170"/>
      <c r="BU127" s="1170"/>
      <c r="BV127" s="1170"/>
      <c r="BW127" s="1170"/>
      <c r="BX127" s="1170"/>
      <c r="BY127" s="1170"/>
      <c r="BZ127" s="1170"/>
      <c r="CA127" s="1170"/>
      <c r="CB127" s="1170"/>
      <c r="CC127" s="1170"/>
      <c r="CD127" s="1186" t="str">
        <f>CokingRefineryCalcs!C476</f>
        <v>Density</v>
      </c>
      <c r="CE127" s="1170" t="str">
        <f>CokingRefineryCalcs!D476</f>
        <v>kg/m^3</v>
      </c>
      <c r="CF127" s="1170">
        <f ca="1">CokingRefineryCalcs!G476</f>
        <v>830.00712089804506</v>
      </c>
      <c r="CG127" s="1170"/>
      <c r="CH127" s="1180" t="s">
        <v>1066</v>
      </c>
      <c r="CI127" s="1170"/>
      <c r="CJ127" s="1170">
        <f ca="1">IF(CokingRefineryPFD!E46=TRUE,CJ128,CF132/(CF106+CF132))</f>
        <v>0.50118671816406579</v>
      </c>
      <c r="CK127" s="1170"/>
      <c r="CL127" s="1170"/>
      <c r="CM127" s="1170"/>
      <c r="CN127" s="1170"/>
      <c r="CO127" s="1170"/>
      <c r="CP127" s="1170"/>
      <c r="CQ127" s="1170"/>
      <c r="CR127" s="1170"/>
      <c r="CS127" s="1170"/>
      <c r="CT127" s="1170"/>
      <c r="CU127" s="1170"/>
      <c r="CV127" s="1170"/>
      <c r="CW127" s="1170"/>
      <c r="CX127" s="1170"/>
      <c r="CY127" s="1160"/>
      <c r="CZ127" s="1160"/>
      <c r="DA127" s="1160"/>
      <c r="DB127" s="1160"/>
      <c r="DC127" s="1160"/>
      <c r="DD127" s="1160"/>
      <c r="DE127" s="1160"/>
      <c r="DF127" s="1160"/>
      <c r="DG127" s="1160"/>
      <c r="DH127" s="1160"/>
      <c r="DI127" s="1160"/>
      <c r="DJ127" s="1160"/>
      <c r="DK127" s="1160" t="s">
        <v>392</v>
      </c>
      <c r="DL127" s="1254">
        <f ca="1">(AU250+AY220)*$DL$131</f>
        <v>0</v>
      </c>
      <c r="DM127" s="1160"/>
      <c r="DN127" s="1160"/>
      <c r="DO127" s="1160"/>
      <c r="DP127" s="1160"/>
      <c r="DQ127" s="1160"/>
      <c r="DR127" s="1160"/>
      <c r="DS127" s="1160"/>
      <c r="DT127" s="1160"/>
      <c r="DU127" s="1160"/>
      <c r="DV127" s="1160"/>
      <c r="DW127" s="1160"/>
      <c r="DX127" s="1160"/>
      <c r="DY127" s="1160"/>
      <c r="DZ127" s="1191" t="str">
        <f>DZ121</f>
        <v>Total Sulphur production</v>
      </c>
      <c r="EA127" s="1160"/>
      <c r="EB127" s="1160"/>
    </row>
    <row r="128" spans="1:136" x14ac:dyDescent="0.2">
      <c r="A128" s="1160"/>
      <c r="B128" s="1160"/>
      <c r="C128" s="1160"/>
      <c r="D128" s="1160"/>
      <c r="E128" s="1170"/>
      <c r="F128" s="1170"/>
      <c r="G128" s="1170"/>
      <c r="H128" s="1170"/>
      <c r="I128" s="1170"/>
      <c r="J128" s="1183" t="s">
        <v>227</v>
      </c>
      <c r="K128" s="1170"/>
      <c r="L128" s="1180">
        <v>1</v>
      </c>
      <c r="M128" s="1170"/>
      <c r="N128" s="1170"/>
      <c r="O128" s="1170"/>
      <c r="P128" s="1170"/>
      <c r="Q128" s="1170"/>
      <c r="R128" s="1170"/>
      <c r="S128" s="1170"/>
      <c r="T128" s="1170"/>
      <c r="U128" s="1181" t="str">
        <f>CokingRefineryCalcs!K46</f>
        <v>ATM Resid</v>
      </c>
      <c r="V128" s="1170"/>
      <c r="W128" s="1170"/>
      <c r="X128" s="1170"/>
      <c r="Y128" s="1180" t="str">
        <f>U128</f>
        <v>ATM Resid</v>
      </c>
      <c r="Z128" s="1170"/>
      <c r="AA128" s="1170"/>
      <c r="AB128" s="1170"/>
      <c r="AC128" s="1170"/>
      <c r="AD128" s="1170"/>
      <c r="AE128" s="1170"/>
      <c r="AF128" s="1170"/>
      <c r="AG128" s="1170"/>
      <c r="AH128" s="1170"/>
      <c r="AI128" s="1170"/>
      <c r="AJ128" s="1170"/>
      <c r="AK128" s="1170"/>
      <c r="AL128" s="1170"/>
      <c r="AM128" s="1170"/>
      <c r="AN128" s="1170"/>
      <c r="AO128" s="1170"/>
      <c r="AP128" s="1170"/>
      <c r="AQ128" s="1170"/>
      <c r="AR128" s="1170"/>
      <c r="AS128" s="1170"/>
      <c r="AT128" s="1170"/>
      <c r="AU128" s="1170"/>
      <c r="AV128" s="1170"/>
      <c r="AW128" s="1170"/>
      <c r="AX128" s="1170"/>
      <c r="AY128" s="1170"/>
      <c r="AZ128" s="1170"/>
      <c r="BA128" s="1170"/>
      <c r="BB128" s="1170"/>
      <c r="BC128" s="1170"/>
      <c r="BD128" s="1170"/>
      <c r="BE128" s="1170"/>
      <c r="BF128" s="1170"/>
      <c r="BG128" s="1170"/>
      <c r="BH128" s="1170"/>
      <c r="BI128" s="1186" t="str">
        <f>CokingRefineryCalcs!C367</f>
        <v xml:space="preserve">API gravity </v>
      </c>
      <c r="BJ128" s="1170"/>
      <c r="BK128" s="1170">
        <f ca="1">CokingRefineryCalcs!I367</f>
        <v>24.81107377782493</v>
      </c>
      <c r="BL128" s="1170"/>
      <c r="BM128" s="1170"/>
      <c r="BN128" s="1170"/>
      <c r="BO128" s="1170"/>
      <c r="BP128" s="1170"/>
      <c r="BQ128" s="1170"/>
      <c r="BR128" s="1183" t="s">
        <v>226</v>
      </c>
      <c r="BS128" s="1170"/>
      <c r="BT128" s="1184" t="s">
        <v>522</v>
      </c>
      <c r="BU128" s="1184"/>
      <c r="BV128" s="1170"/>
      <c r="BW128" s="1170"/>
      <c r="BX128" s="1170"/>
      <c r="BY128" s="1170"/>
      <c r="BZ128" s="1170"/>
      <c r="CA128" s="1170"/>
      <c r="CB128" s="1170"/>
      <c r="CC128" s="1170"/>
      <c r="CD128" s="1186" t="str">
        <f>CokingRefineryCalcs!C477</f>
        <v>H</v>
      </c>
      <c r="CE128" s="1170" t="str">
        <f>CokingRefineryCalcs!D477</f>
        <v>wt%</v>
      </c>
      <c r="CF128" s="1170">
        <f ca="1">CokingRefineryCalcs!G477</f>
        <v>13.386945726864488</v>
      </c>
      <c r="CG128" s="1170"/>
      <c r="CH128" s="1180" t="s">
        <v>1065</v>
      </c>
      <c r="CI128" s="1170"/>
      <c r="CJ128" s="1196">
        <f ca="1">CF132/(CF106+CF132+CF155)</f>
        <v>0.50118671816368909</v>
      </c>
      <c r="CK128" s="1170"/>
      <c r="CL128" s="1170"/>
      <c r="CM128" s="1170"/>
      <c r="CN128" s="1170"/>
      <c r="CO128" s="1170"/>
      <c r="CP128" s="1170"/>
      <c r="CQ128" s="1170"/>
      <c r="CR128" s="1170"/>
      <c r="CS128" s="1170"/>
      <c r="CT128" s="1170"/>
      <c r="CU128" s="1170"/>
      <c r="CV128" s="1170"/>
      <c r="CW128" s="1170"/>
      <c r="CX128" s="1170"/>
      <c r="CY128" s="1160"/>
      <c r="CZ128" s="1160"/>
      <c r="DA128" s="1160"/>
      <c r="DB128" s="1160"/>
      <c r="DC128" s="1160"/>
      <c r="DD128" s="1160"/>
      <c r="DE128" s="1160"/>
      <c r="DF128" s="1160"/>
      <c r="DG128" s="1160"/>
      <c r="DH128" s="1160"/>
      <c r="DI128" s="1160"/>
      <c r="DJ128" s="1160"/>
      <c r="DK128" s="1160" t="s">
        <v>224</v>
      </c>
      <c r="DL128" s="1254">
        <f ca="1">(AU251+AY221)*$DL$131</f>
        <v>0</v>
      </c>
      <c r="DM128" s="1160"/>
      <c r="DN128" s="1160"/>
      <c r="DO128" s="1160"/>
      <c r="DP128" s="1160"/>
      <c r="DQ128" s="1160"/>
      <c r="DR128" s="1160"/>
      <c r="DS128" s="1160"/>
      <c r="DT128" s="1160"/>
      <c r="DU128" s="1160"/>
      <c r="DV128" s="1160"/>
      <c r="DW128" s="1160"/>
      <c r="DX128" s="1160"/>
      <c r="DY128" s="1160"/>
      <c r="DZ128" s="1193" t="s">
        <v>226</v>
      </c>
      <c r="EA128" s="1160"/>
      <c r="EB128" s="1194" t="s">
        <v>522</v>
      </c>
    </row>
    <row r="129" spans="1:132" x14ac:dyDescent="0.2">
      <c r="A129" s="1160"/>
      <c r="B129" s="1160"/>
      <c r="C129" s="1229"/>
      <c r="D129" s="1160"/>
      <c r="E129" s="1170"/>
      <c r="F129" s="1170"/>
      <c r="G129" s="1170"/>
      <c r="H129" s="1170"/>
      <c r="I129" s="1170"/>
      <c r="J129" s="1170"/>
      <c r="K129" s="1170"/>
      <c r="L129" s="1170"/>
      <c r="M129" s="1170"/>
      <c r="N129" s="1170"/>
      <c r="O129" s="1170"/>
      <c r="P129" s="1170"/>
      <c r="Q129" s="1170"/>
      <c r="R129" s="1170"/>
      <c r="S129" s="1170"/>
      <c r="T129" s="1170"/>
      <c r="U129" s="1186" t="str">
        <f>CokingRefineryCalcs!C46</f>
        <v>Property</v>
      </c>
      <c r="V129" s="1186" t="str">
        <f>CokingRefineryCalcs!D46</f>
        <v>Units</v>
      </c>
      <c r="W129" s="1170"/>
      <c r="X129" s="1170"/>
      <c r="Y129" s="1183" t="s">
        <v>226</v>
      </c>
      <c r="Z129" s="1170"/>
      <c r="AA129" s="1184" t="s">
        <v>522</v>
      </c>
      <c r="AB129" s="1170"/>
      <c r="AC129" s="1170"/>
      <c r="AD129" s="1170"/>
      <c r="AE129" s="1170"/>
      <c r="AF129" s="1170"/>
      <c r="AG129" s="1170"/>
      <c r="AH129" s="1170"/>
      <c r="AI129" s="1170"/>
      <c r="AJ129" s="1170"/>
      <c r="AK129" s="1170"/>
      <c r="AL129" s="1170"/>
      <c r="AM129" s="1170"/>
      <c r="AN129" s="1170"/>
      <c r="AO129" s="1170"/>
      <c r="AP129" s="1170"/>
      <c r="AQ129" s="1170"/>
      <c r="AR129" s="1170"/>
      <c r="AS129" s="1170"/>
      <c r="AT129" s="1170"/>
      <c r="AU129" s="1170"/>
      <c r="AV129" s="1170"/>
      <c r="AW129" s="1170"/>
      <c r="AX129" s="1170"/>
      <c r="AY129" s="1170"/>
      <c r="AZ129" s="1170"/>
      <c r="BA129" s="1170"/>
      <c r="BB129" s="1170"/>
      <c r="BC129" s="1170"/>
      <c r="BD129" s="1170"/>
      <c r="BE129" s="1170"/>
      <c r="BF129" s="1170"/>
      <c r="BG129" s="1170"/>
      <c r="BH129" s="1170"/>
      <c r="BI129" s="1186" t="str">
        <f>CokingRefineryCalcs!C368</f>
        <v>Density</v>
      </c>
      <c r="BJ129" s="1170" t="str">
        <f ca="1">CokingRefineryCalcs!D368</f>
        <v>kg/m^3</v>
      </c>
      <c r="BK129" s="1170">
        <f ca="1">CokingRefineryCalcs!I368</f>
        <v>905.24616445999925</v>
      </c>
      <c r="BL129" s="1170"/>
      <c r="BM129" s="1170"/>
      <c r="BN129" s="1170"/>
      <c r="BO129" s="1170"/>
      <c r="BP129" s="1170"/>
      <c r="BQ129" s="1170"/>
      <c r="BR129" s="1170" t="s">
        <v>263</v>
      </c>
      <c r="BS129" s="1170"/>
      <c r="BT129" s="1187">
        <f ca="1">(AZ93+AZ134+AZ168+BN255)*BT134</f>
        <v>0</v>
      </c>
      <c r="BU129" s="1170"/>
      <c r="BV129" s="1170"/>
      <c r="BW129" s="1170"/>
      <c r="BX129" s="1170"/>
      <c r="BY129" s="1170"/>
      <c r="BZ129" s="1170"/>
      <c r="CA129" s="1170"/>
      <c r="CB129" s="1170"/>
      <c r="CC129" s="1170"/>
      <c r="CD129" s="1186" t="str">
        <f>CokingRefineryCalcs!C478</f>
        <v>MCR</v>
      </c>
      <c r="CE129" s="1170" t="str">
        <f>CokingRefineryCalcs!D478</f>
        <v>wt%</v>
      </c>
      <c r="CF129" s="1170">
        <f>CokingRefineryCalcs!G478</f>
        <v>0</v>
      </c>
      <c r="CG129" s="1170"/>
      <c r="CH129" s="1239" t="s">
        <v>228</v>
      </c>
      <c r="CI129" s="1170"/>
      <c r="CJ129" s="1170">
        <f ca="1">CF124/BT117</f>
        <v>0.523996088423896</v>
      </c>
      <c r="CK129" s="1170"/>
      <c r="CL129" s="1170"/>
      <c r="CM129" s="1170"/>
      <c r="CN129" s="1170"/>
      <c r="CO129" s="1170"/>
      <c r="CP129" s="1170"/>
      <c r="CQ129" s="1170"/>
      <c r="CR129" s="1170"/>
      <c r="CS129" s="1170"/>
      <c r="CT129" s="1170"/>
      <c r="CU129" s="1170"/>
      <c r="CV129" s="1170"/>
      <c r="CW129" s="1170"/>
      <c r="CX129" s="1170"/>
      <c r="CY129" s="1160"/>
      <c r="CZ129" s="1160"/>
      <c r="DA129" s="1160"/>
      <c r="DB129" s="1160"/>
      <c r="DC129" s="1160"/>
      <c r="DD129" s="1160"/>
      <c r="DE129" s="1160"/>
      <c r="DF129" s="1160"/>
      <c r="DG129" s="1160"/>
      <c r="DH129" s="1160"/>
      <c r="DI129" s="1160"/>
      <c r="DJ129" s="1160"/>
      <c r="DK129" s="1160" t="s">
        <v>485</v>
      </c>
      <c r="DL129" s="1254">
        <f ca="1">(AU252+AY222)*$DL$131</f>
        <v>0</v>
      </c>
      <c r="DM129" s="1160"/>
      <c r="DN129" s="1160"/>
      <c r="DO129" s="1160"/>
      <c r="DP129" s="1160"/>
      <c r="DQ129" s="1160"/>
      <c r="DR129" s="1160"/>
      <c r="DS129" s="1160"/>
      <c r="DT129" s="1160"/>
      <c r="DU129" s="1160"/>
      <c r="DV129" s="1160"/>
      <c r="DW129" s="1160"/>
      <c r="DX129" s="1160"/>
      <c r="DY129" s="1160"/>
      <c r="DZ129" s="1160" t="s">
        <v>263</v>
      </c>
      <c r="EA129" s="1160"/>
      <c r="EB129" s="1187">
        <f ca="1">(DL81+DL92+DL103+DL114+DL126+DL138+DL149+DL160+DL58+DL70)*$EB$138</f>
        <v>0</v>
      </c>
    </row>
    <row r="130" spans="1:132" x14ac:dyDescent="0.2">
      <c r="A130" s="1160"/>
      <c r="B130" s="1160"/>
      <c r="C130" s="1260"/>
      <c r="D130" s="1260"/>
      <c r="E130" s="1256"/>
      <c r="F130" s="1256"/>
      <c r="G130" s="1256"/>
      <c r="H130" s="1256"/>
      <c r="I130" s="1256"/>
      <c r="J130" s="1256"/>
      <c r="K130" s="1256"/>
      <c r="L130" s="1256"/>
      <c r="M130" s="1256"/>
      <c r="N130" s="1256"/>
      <c r="O130" s="1256"/>
      <c r="P130" s="1256"/>
      <c r="Q130" s="1256"/>
      <c r="R130" s="1170"/>
      <c r="S130" s="1170"/>
      <c r="T130" s="1170"/>
      <c r="U130" s="1186" t="str">
        <f>CokingRefineryCalcs!C47</f>
        <v>Vol Flow</v>
      </c>
      <c r="V130" s="1170" t="str">
        <f ca="1">CokingRefineryCalcs!D47</f>
        <v>bpd</v>
      </c>
      <c r="W130" s="1170">
        <f ca="1">CokingRefineryCalcs!K47</f>
        <v>1E-14</v>
      </c>
      <c r="X130" s="1170"/>
      <c r="Y130" s="1170" t="s">
        <v>263</v>
      </c>
      <c r="Z130" s="1170"/>
      <c r="AA130" s="1187">
        <f ca="1">U111*AA135</f>
        <v>4.315608334441117E-28</v>
      </c>
      <c r="AB130" s="1170"/>
      <c r="AC130" s="1170"/>
      <c r="AD130" s="1170"/>
      <c r="AE130" s="1170"/>
      <c r="AF130" s="1170"/>
      <c r="AG130" s="1170"/>
      <c r="AH130" s="1170"/>
      <c r="AI130" s="1170"/>
      <c r="AJ130" s="1170"/>
      <c r="AK130" s="1170"/>
      <c r="AL130" s="1170"/>
      <c r="AM130" s="1170"/>
      <c r="AN130" s="1170"/>
      <c r="AO130" s="1170"/>
      <c r="AP130" s="1170"/>
      <c r="AQ130" s="1170"/>
      <c r="AR130" s="1170"/>
      <c r="AS130" s="1170"/>
      <c r="AT130" s="1170"/>
      <c r="AU130" s="1170"/>
      <c r="AV130" s="1170"/>
      <c r="AW130" s="1170"/>
      <c r="AX130" s="1170"/>
      <c r="AY130" s="1170"/>
      <c r="AZ130" s="1170"/>
      <c r="BA130" s="1170"/>
      <c r="BB130" s="1170"/>
      <c r="BC130" s="1170"/>
      <c r="BD130" s="1170"/>
      <c r="BE130" s="1170"/>
      <c r="BF130" s="1170"/>
      <c r="BG130" s="1170"/>
      <c r="BH130" s="1170"/>
      <c r="BI130" s="1186" t="str">
        <f>CokingRefineryCalcs!C369</f>
        <v>Hydrogen</v>
      </c>
      <c r="BJ130" s="1170" t="str">
        <f ca="1">CokingRefineryCalcs!D369</f>
        <v>wt%</v>
      </c>
      <c r="BK130" s="1170">
        <f ca="1">CokingRefineryCalcs!I369</f>
        <v>12.331915988948833</v>
      </c>
      <c r="BL130" s="1170"/>
      <c r="BM130" s="1170"/>
      <c r="BN130" s="1170"/>
      <c r="BO130" s="1170"/>
      <c r="BP130" s="1170"/>
      <c r="BQ130" s="1170"/>
      <c r="BR130" s="1170" t="s">
        <v>392</v>
      </c>
      <c r="BS130" s="1170"/>
      <c r="BT130" s="1187">
        <f ca="1">(BO122+AZ94+AZ135+AZ169+BN256)*$BT$134</f>
        <v>1.9870608005702995E-9</v>
      </c>
      <c r="BU130" s="1170"/>
      <c r="BV130" s="1170"/>
      <c r="BW130" s="1170"/>
      <c r="BX130" s="1170"/>
      <c r="BY130" s="1170"/>
      <c r="BZ130" s="1170"/>
      <c r="CA130" s="1170"/>
      <c r="CB130" s="1170"/>
      <c r="CC130" s="1170"/>
      <c r="CD130" s="1200" t="s">
        <v>1056</v>
      </c>
      <c r="CE130" s="1199" t="s">
        <v>447</v>
      </c>
      <c r="CF130" s="1199">
        <f ca="1">('Energy &amp; Unit Conversions'!$D$63-('Energy &amp; Unit Conversions'!$E$63*POWER((CokingRefineryPFD!CF127/'Energy &amp; Unit Conversions'!$E$54),2)))</f>
        <v>41.226025683295752</v>
      </c>
      <c r="CG130" s="1170"/>
      <c r="CH130" s="1170"/>
      <c r="CI130" s="1170"/>
      <c r="CJ130" s="1170"/>
      <c r="CK130" s="1170"/>
      <c r="CL130" s="1170"/>
      <c r="CM130" s="1170"/>
      <c r="CN130" s="1170"/>
      <c r="CO130" s="1170"/>
      <c r="CP130" s="1170"/>
      <c r="CQ130" s="1170"/>
      <c r="CR130" s="1170"/>
      <c r="CS130" s="1170"/>
      <c r="CT130" s="1170"/>
      <c r="CU130" s="1170"/>
      <c r="CV130" s="1170"/>
      <c r="CW130" s="1170"/>
      <c r="CX130" s="1170"/>
      <c r="CY130" s="1160"/>
      <c r="CZ130" s="1160"/>
      <c r="DA130" s="1160"/>
      <c r="DB130" s="1160"/>
      <c r="DC130" s="1160"/>
      <c r="DD130" s="1160"/>
      <c r="DE130" s="1160"/>
      <c r="DF130" s="1160"/>
      <c r="DG130" s="1160"/>
      <c r="DH130" s="1160"/>
      <c r="DI130" s="1160"/>
      <c r="DJ130" s="1160"/>
      <c r="DK130" s="1160" t="s">
        <v>541</v>
      </c>
      <c r="DL130" s="1171">
        <f ca="1">(AU253+AY223)*$DL$131</f>
        <v>0</v>
      </c>
      <c r="DM130" s="1160"/>
      <c r="DN130" s="1160"/>
      <c r="DO130" s="1160"/>
      <c r="DP130" s="1160"/>
      <c r="DQ130" s="1160"/>
      <c r="DR130" s="1160"/>
      <c r="DS130" s="1160"/>
      <c r="DT130" s="1160"/>
      <c r="DU130" s="1160"/>
      <c r="DV130" s="1160"/>
      <c r="DW130" s="1160"/>
      <c r="DX130" s="1160"/>
      <c r="DY130" s="1160"/>
      <c r="DZ130" s="1160" t="s">
        <v>392</v>
      </c>
      <c r="EA130" s="1160"/>
      <c r="EB130" s="1187">
        <f ca="1">(DN42+DL82+DL93+DL104+DL115+DL127+DL139+DL150+DL161+DL59+DL71)*$EB$138</f>
        <v>0</v>
      </c>
    </row>
    <row r="131" spans="1:132" x14ac:dyDescent="0.2">
      <c r="A131" s="1160"/>
      <c r="B131" s="1160"/>
      <c r="C131" s="1261"/>
      <c r="D131" s="1260"/>
      <c r="E131" s="1256"/>
      <c r="F131" s="1256"/>
      <c r="G131" s="1256"/>
      <c r="H131" s="1256"/>
      <c r="I131" s="1256"/>
      <c r="J131" s="1256"/>
      <c r="K131" s="1256"/>
      <c r="L131" s="1256"/>
      <c r="M131" s="1256"/>
      <c r="N131" s="1256"/>
      <c r="O131" s="1256"/>
      <c r="P131" s="1256"/>
      <c r="Q131" s="1256"/>
      <c r="R131" s="1170"/>
      <c r="S131" s="1170"/>
      <c r="T131" s="1170"/>
      <c r="U131" s="1186" t="str">
        <f>CokingRefineryCalcs!C48</f>
        <v>Vol Flow</v>
      </c>
      <c r="V131" s="1170" t="str">
        <f ca="1">CokingRefineryCalcs!D48</f>
        <v>m^3/d</v>
      </c>
      <c r="W131" s="1170">
        <f ca="1">CokingRefineryCalcs!K48</f>
        <v>1.589873E-15</v>
      </c>
      <c r="X131" s="1170"/>
      <c r="Y131" s="1170" t="s">
        <v>392</v>
      </c>
      <c r="Z131" s="1170"/>
      <c r="AA131" s="1187">
        <f ca="1">(U112+W50)*$AA$135</f>
        <v>2.8964931928634858E-32</v>
      </c>
      <c r="AB131" s="1170"/>
      <c r="AC131" s="1170"/>
      <c r="AD131" s="1170"/>
      <c r="AE131" s="1170"/>
      <c r="AF131" s="1170"/>
      <c r="AG131" s="1170"/>
      <c r="AH131" s="1170"/>
      <c r="AI131" s="1170"/>
      <c r="AJ131" s="1170"/>
      <c r="AK131" s="1170"/>
      <c r="AL131" s="1170"/>
      <c r="AM131" s="1170"/>
      <c r="AN131" s="1170"/>
      <c r="AO131" s="1170"/>
      <c r="AP131" s="1170"/>
      <c r="AQ131" s="1170"/>
      <c r="AR131" s="1170"/>
      <c r="AS131" s="1170"/>
      <c r="AT131" s="1170"/>
      <c r="AU131" s="1170"/>
      <c r="AV131" s="1170"/>
      <c r="AW131" s="1170"/>
      <c r="AX131" s="1170"/>
      <c r="AY131" s="1170"/>
      <c r="AZ131" s="1170"/>
      <c r="BA131" s="1170"/>
      <c r="BB131" s="1170"/>
      <c r="BC131" s="1170"/>
      <c r="BD131" s="1170"/>
      <c r="BE131" s="1170"/>
      <c r="BF131" s="1170"/>
      <c r="BG131" s="1170"/>
      <c r="BH131" s="1170"/>
      <c r="BI131" s="1186" t="str">
        <f>CokingRefineryCalcs!C370</f>
        <v>MCR</v>
      </c>
      <c r="BJ131" s="1170" t="str">
        <f ca="1">CokingRefineryCalcs!D370</f>
        <v>wt%</v>
      </c>
      <c r="BK131" s="1170">
        <f>CokingRefineryCalcs!I370</f>
        <v>0</v>
      </c>
      <c r="BL131" s="1170"/>
      <c r="BM131" s="1170"/>
      <c r="BN131" s="1170"/>
      <c r="BO131" s="1170"/>
      <c r="BP131" s="1170"/>
      <c r="BQ131" s="1170"/>
      <c r="BR131" s="1170" t="s">
        <v>224</v>
      </c>
      <c r="BS131" s="1170"/>
      <c r="BT131" s="1187">
        <f ca="1">(BO123+AZ95+AZ136+AZ170+BN257)*$BT$134</f>
        <v>1.2068749739285783E-6</v>
      </c>
      <c r="BU131" s="1170"/>
      <c r="BV131" s="1170"/>
      <c r="BW131" s="1170"/>
      <c r="BX131" s="1170"/>
      <c r="BY131" s="1170"/>
      <c r="BZ131" s="1170"/>
      <c r="CA131" s="1170"/>
      <c r="CB131" s="1170"/>
      <c r="CC131" s="1170"/>
      <c r="CD131" s="1200" t="s">
        <v>1021</v>
      </c>
      <c r="CE131" s="1199" t="s">
        <v>1022</v>
      </c>
      <c r="CF131" s="1246">
        <f>DD92</f>
        <v>89.360889434814453</v>
      </c>
      <c r="CG131" s="1170"/>
      <c r="CH131" s="1170"/>
      <c r="CI131" s="1170"/>
      <c r="CJ131" s="1170"/>
      <c r="CK131" s="1170"/>
      <c r="CL131" s="1170"/>
      <c r="CM131" s="1170"/>
      <c r="CN131" s="1170"/>
      <c r="CO131" s="1170"/>
      <c r="CP131" s="1170"/>
      <c r="CQ131" s="1170"/>
      <c r="CR131" s="1170"/>
      <c r="CS131" s="1170"/>
      <c r="CT131" s="1170"/>
      <c r="CU131" s="1170"/>
      <c r="CV131" s="1170"/>
      <c r="CW131" s="1170"/>
      <c r="CX131" s="1170"/>
      <c r="CY131" s="1160"/>
      <c r="CZ131" s="1160"/>
      <c r="DA131" s="1160"/>
      <c r="DB131" s="1160"/>
      <c r="DC131" s="1160"/>
      <c r="DD131" s="1160"/>
      <c r="DE131" s="1160"/>
      <c r="DF131" s="1160"/>
      <c r="DG131" s="1160"/>
      <c r="DH131" s="1160"/>
      <c r="DI131" s="1160"/>
      <c r="DJ131" s="1160"/>
      <c r="DK131" s="1191" t="s">
        <v>1066</v>
      </c>
      <c r="DL131" s="1245">
        <f ca="1">IF(AND(CokingRefineryPFD!E48=TRUE,CokingRefineryPFD!E50=TRUE),DL132,IF(CokingRefineryPFD!E50=TRUE,DL134,0))</f>
        <v>0</v>
      </c>
      <c r="DM131" s="1160"/>
      <c r="DN131" s="1160"/>
      <c r="DO131" s="1160"/>
      <c r="DP131" s="1160"/>
      <c r="DQ131" s="1160"/>
      <c r="DR131" s="1160"/>
      <c r="DS131" s="1160"/>
      <c r="DT131" s="1160"/>
      <c r="DU131" s="1160"/>
      <c r="DV131" s="1160"/>
      <c r="DW131" s="1160"/>
      <c r="DX131" s="1160"/>
      <c r="DY131" s="1160"/>
      <c r="DZ131" s="1160" t="s">
        <v>224</v>
      </c>
      <c r="EA131" s="1160"/>
      <c r="EB131" s="1187">
        <f ca="1">(DN43+DL83+DL94+DL105+DL116+DL128+DL140+DL151+DL162+DL60+DL72)*$EB$138</f>
        <v>0</v>
      </c>
    </row>
    <row r="132" spans="1:132" ht="27.75" customHeight="1" x14ac:dyDescent="0.2">
      <c r="A132" s="1160"/>
      <c r="B132" s="1160"/>
      <c r="C132" s="1261"/>
      <c r="D132" s="1261"/>
      <c r="E132" s="1760"/>
      <c r="F132" s="1760"/>
      <c r="G132" s="1760"/>
      <c r="H132" s="1760"/>
      <c r="I132" s="1760"/>
      <c r="J132" s="1760"/>
      <c r="K132" s="1760"/>
      <c r="L132" s="1761"/>
      <c r="M132" s="1256"/>
      <c r="N132" s="1256"/>
      <c r="O132" s="1256"/>
      <c r="P132" s="1256"/>
      <c r="Q132" s="1256"/>
      <c r="R132" s="1170"/>
      <c r="S132" s="1170"/>
      <c r="T132" s="1170"/>
      <c r="U132" s="1186" t="str">
        <f>CokingRefineryCalcs!C49</f>
        <v>Mass Flow</v>
      </c>
      <c r="V132" s="1170" t="str">
        <f>CokingRefineryCalcs!D49</f>
        <v>kg/d</v>
      </c>
      <c r="W132" s="1170">
        <f ca="1">CokingRefineryCalcs!K49</f>
        <v>1E-14</v>
      </c>
      <c r="X132" s="1170"/>
      <c r="Y132" s="1170" t="s">
        <v>224</v>
      </c>
      <c r="Z132" s="1170"/>
      <c r="AA132" s="1187">
        <f ca="1">(U113+W51)*$AA$135</f>
        <v>3.2543569747660489E-30</v>
      </c>
      <c r="AB132" s="1170"/>
      <c r="AC132" s="1170"/>
      <c r="AD132" s="1170"/>
      <c r="AE132" s="1170"/>
      <c r="AF132" s="1170"/>
      <c r="AG132" s="1170"/>
      <c r="AH132" s="1170"/>
      <c r="AI132" s="1170"/>
      <c r="AJ132" s="1170"/>
      <c r="AK132" s="1181" t="str">
        <f>CokingRefineryCalcs!G539</f>
        <v>LVGO</v>
      </c>
      <c r="AL132" s="1170"/>
      <c r="AM132" s="1170"/>
      <c r="AN132" s="1170"/>
      <c r="AO132" s="1170"/>
      <c r="AP132" s="1170"/>
      <c r="AQ132" s="1170"/>
      <c r="AR132" s="1170"/>
      <c r="AS132" s="1179" t="str">
        <f>CokingRefineryCalcs!F611</f>
        <v>LVGO To Gas Oil HC</v>
      </c>
      <c r="AT132" s="1170"/>
      <c r="AU132" s="1170"/>
      <c r="AV132" s="1170"/>
      <c r="AW132" s="1170"/>
      <c r="AX132" s="1180" t="str">
        <f>AS132</f>
        <v>LVGO To Gas Oil HC</v>
      </c>
      <c r="AY132" s="1170"/>
      <c r="AZ132" s="1170"/>
      <c r="BA132" s="1170"/>
      <c r="BB132" s="1170"/>
      <c r="BC132" s="1170"/>
      <c r="BD132" s="1170"/>
      <c r="BE132" s="1170"/>
      <c r="BF132" s="1170"/>
      <c r="BG132" s="1170"/>
      <c r="BH132" s="1170"/>
      <c r="BI132" s="1181" t="str">
        <f>CokingRefineryCalcs!C375</f>
        <v>Total hydrogen consumed</v>
      </c>
      <c r="BJ132" s="1170" t="str">
        <f>CokingRefineryCalcs!E375</f>
        <v>kg/d</v>
      </c>
      <c r="BK132" s="1170">
        <f ca="1">CokingRefineryCalcs!D375</f>
        <v>4.0741184345877685E-8</v>
      </c>
      <c r="BL132" s="1170"/>
      <c r="BM132" s="1170"/>
      <c r="BN132" s="1170"/>
      <c r="BO132" s="1170"/>
      <c r="BP132" s="1170"/>
      <c r="BQ132" s="1170"/>
      <c r="BR132" s="1170" t="s">
        <v>485</v>
      </c>
      <c r="BS132" s="1170"/>
      <c r="BT132" s="1187">
        <f ca="1">(BO124+AZ96+AZ137+AZ171+BN258)*$BT$134</f>
        <v>-2.4557301333224554E-8</v>
      </c>
      <c r="BU132" s="1170"/>
      <c r="BV132" s="1170"/>
      <c r="BW132" s="1170"/>
      <c r="BX132" s="1170"/>
      <c r="BY132" s="1170"/>
      <c r="BZ132" s="1170"/>
      <c r="CA132" s="1170"/>
      <c r="CB132" s="1170"/>
      <c r="CC132" s="1170"/>
      <c r="CD132" s="1204" t="s">
        <v>1054</v>
      </c>
      <c r="CE132" s="1204" t="str">
        <f>IF(allocationMethod=1,$C$21,IF(allocationMethod=2,$C$22,IF(allocationMethod=3,$C$23,$C$24)))</f>
        <v>Hydrogen Content Basis</v>
      </c>
      <c r="CF132" s="1204">
        <f ca="1">IF(allocationMethod=1,CF124,IF(allocationMethod=2,CF130*CF124,IF(allocationMethod=3,CF131*CF122,CF128*CF124/100)))</f>
        <v>1.129127917684328E-7</v>
      </c>
      <c r="CG132" s="1170"/>
      <c r="CH132" s="1170"/>
      <c r="CI132" s="1170"/>
      <c r="CJ132" s="1170"/>
      <c r="CK132" s="1170"/>
      <c r="CL132" s="1170"/>
      <c r="CM132" s="1170"/>
      <c r="CN132" s="1170"/>
      <c r="CO132" s="1170"/>
      <c r="CP132" s="1170"/>
      <c r="CQ132" s="1170"/>
      <c r="CR132" s="1170"/>
      <c r="CS132" s="1170"/>
      <c r="CT132" s="1170"/>
      <c r="CU132" s="1170"/>
      <c r="CV132" s="1170"/>
      <c r="CW132" s="1170"/>
      <c r="CX132" s="1170"/>
      <c r="CY132" s="1160"/>
      <c r="CZ132" s="1160"/>
      <c r="DA132" s="1160"/>
      <c r="DB132" s="1160"/>
      <c r="DC132" s="1160"/>
      <c r="DD132" s="1160"/>
      <c r="DE132" s="1160"/>
      <c r="DF132" s="1160"/>
      <c r="DG132" s="1160"/>
      <c r="DH132" s="1160"/>
      <c r="DI132" s="1160"/>
      <c r="DJ132" s="1160"/>
      <c r="DK132" s="1257" t="s">
        <v>1065</v>
      </c>
      <c r="DL132" s="1245">
        <f ca="1">AX213/(AX213+BD243+BD314)</f>
        <v>0</v>
      </c>
      <c r="DM132" s="1160"/>
      <c r="DN132" s="1160"/>
      <c r="DO132" s="1160"/>
      <c r="DP132" s="1160"/>
      <c r="DQ132" s="1160"/>
      <c r="DR132" s="1160"/>
      <c r="DS132" s="1160"/>
      <c r="DT132" s="1160"/>
      <c r="DU132" s="1160"/>
      <c r="DV132" s="1160"/>
      <c r="DW132" s="1160"/>
      <c r="DX132" s="1160"/>
      <c r="DY132" s="1160"/>
      <c r="DZ132" s="1160" t="s">
        <v>485</v>
      </c>
      <c r="EA132" s="1160"/>
      <c r="EB132" s="1187">
        <f ca="1">(DN44+DL84+DL95+DL106+DL117+DL129+DL141+DL152+DL163+DL61+DL73)*$EB$138</f>
        <v>0</v>
      </c>
    </row>
    <row r="133" spans="1:132" x14ac:dyDescent="0.2">
      <c r="A133" s="1160"/>
      <c r="B133" s="1160"/>
      <c r="C133" s="1261"/>
      <c r="D133" s="1261"/>
      <c r="E133" s="1760"/>
      <c r="F133" s="1760"/>
      <c r="G133" s="1760"/>
      <c r="H133" s="1760"/>
      <c r="I133" s="1761"/>
      <c r="J133" s="1761"/>
      <c r="K133" s="1760"/>
      <c r="L133" s="1761"/>
      <c r="M133" s="1256"/>
      <c r="N133" s="1256"/>
      <c r="O133" s="1256"/>
      <c r="P133" s="1256"/>
      <c r="Q133" s="1256"/>
      <c r="R133" s="1170"/>
      <c r="S133" s="1170"/>
      <c r="T133" s="1170"/>
      <c r="U133" s="1186" t="str">
        <f>CokingRefineryCalcs!C50</f>
        <v xml:space="preserve">Sulphur </v>
      </c>
      <c r="V133" s="1170" t="str">
        <f ca="1">CokingRefineryCalcs!D50</f>
        <v>wt%</v>
      </c>
      <c r="W133" s="1170">
        <f ca="1">CokingRefineryCalcs!K50</f>
        <v>1E-14</v>
      </c>
      <c r="X133" s="1170"/>
      <c r="Y133" s="1170" t="s">
        <v>485</v>
      </c>
      <c r="Z133" s="1170"/>
      <c r="AA133" s="1187">
        <f ca="1">(U114+W52)*$AA$135</f>
        <v>6.2242382397956034E-31</v>
      </c>
      <c r="AB133" s="1170"/>
      <c r="AC133" s="1170"/>
      <c r="AD133" s="1170"/>
      <c r="AE133" s="1170"/>
      <c r="AF133" s="1170"/>
      <c r="AG133" s="1170"/>
      <c r="AH133" s="1170"/>
      <c r="AI133" s="1170"/>
      <c r="AJ133" s="1170"/>
      <c r="AK133" s="1182" t="str">
        <f>CokingRefineryCalcs!C539</f>
        <v>Property</v>
      </c>
      <c r="AL133" s="1182" t="str">
        <f>CokingRefineryCalcs!D539</f>
        <v>Units</v>
      </c>
      <c r="AM133" s="1170"/>
      <c r="AN133" s="1170"/>
      <c r="AO133" s="1170"/>
      <c r="AP133" s="1170"/>
      <c r="AQ133" s="1170"/>
      <c r="AR133" s="1170"/>
      <c r="AS133" s="1182" t="str">
        <f>CokingRefineryCalcs!C611</f>
        <v>Property</v>
      </c>
      <c r="AT133" s="1182" t="str">
        <f>CokingRefineryCalcs!D611</f>
        <v>Units</v>
      </c>
      <c r="AU133" s="1170"/>
      <c r="AV133" s="1170"/>
      <c r="AW133" s="1170"/>
      <c r="AX133" s="1183" t="s">
        <v>226</v>
      </c>
      <c r="AY133" s="1170"/>
      <c r="AZ133" s="1184" t="s">
        <v>522</v>
      </c>
      <c r="BA133" s="1170"/>
      <c r="BB133" s="1170"/>
      <c r="BC133" s="1170"/>
      <c r="BD133" s="1170"/>
      <c r="BE133" s="1170"/>
      <c r="BF133" s="1170"/>
      <c r="BG133" s="1170"/>
      <c r="BH133" s="1170"/>
      <c r="BI133" s="1200" t="s">
        <v>1056</v>
      </c>
      <c r="BJ133" s="1199" t="s">
        <v>447</v>
      </c>
      <c r="BK133" s="1199">
        <f ca="1">('Energy &amp; Unit Conversions'!$D$63-('Energy &amp; Unit Conversions'!$E$63*POWER((CokingRefineryPFD!BK129/'Energy &amp; Unit Conversions'!$E$54),2)))</f>
        <v>40.189871247727439</v>
      </c>
      <c r="BL133" s="1170"/>
      <c r="BM133" s="1170"/>
      <c r="BN133" s="1170"/>
      <c r="BO133" s="1170"/>
      <c r="BP133" s="1170"/>
      <c r="BQ133" s="1170"/>
      <c r="BR133" s="1170" t="s">
        <v>541</v>
      </c>
      <c r="BS133" s="1170"/>
      <c r="BT133" s="1187">
        <f ca="1">(BO125+AZ97+AZ138+AZ172+BN259)*$BT$134</f>
        <v>5.4352760738480903E-6</v>
      </c>
      <c r="BU133" s="1170"/>
      <c r="BV133" s="1170"/>
      <c r="BW133" s="1170"/>
      <c r="BX133" s="1170"/>
      <c r="BY133" s="1170"/>
      <c r="BZ133" s="1170"/>
      <c r="CA133" s="1170"/>
      <c r="CB133" s="1170"/>
      <c r="CC133" s="1170"/>
      <c r="CD133" s="1170"/>
      <c r="CE133" s="1170"/>
      <c r="CF133" s="1170"/>
      <c r="CG133" s="1170"/>
      <c r="CH133" s="1170"/>
      <c r="CI133" s="1170"/>
      <c r="CJ133" s="1170"/>
      <c r="CK133" s="1170"/>
      <c r="CL133" s="1170"/>
      <c r="CM133" s="1170"/>
      <c r="CN133" s="1170"/>
      <c r="CO133" s="1170"/>
      <c r="CP133" s="1170"/>
      <c r="CQ133" s="1170"/>
      <c r="CR133" s="1170"/>
      <c r="CS133" s="1170"/>
      <c r="CT133" s="1170"/>
      <c r="CU133" s="1170"/>
      <c r="CV133" s="1170"/>
      <c r="CW133" s="1170"/>
      <c r="CX133" s="1170"/>
      <c r="CY133" s="1160"/>
      <c r="CZ133" s="1160"/>
      <c r="DA133" s="1160"/>
      <c r="DB133" s="1160"/>
      <c r="DC133" s="1160"/>
      <c r="DD133" s="1160"/>
      <c r="DE133" s="1160"/>
      <c r="DF133" s="1160"/>
      <c r="DG133" s="1160"/>
      <c r="DH133" s="1160"/>
      <c r="DI133" s="1160"/>
      <c r="DJ133" s="1160"/>
      <c r="DK133" s="1258" t="s">
        <v>228</v>
      </c>
      <c r="DL133" s="1245">
        <f ca="1">AX205/AU238</f>
        <v>9.3585669599724849E-2</v>
      </c>
      <c r="DM133" s="1160"/>
      <c r="DN133" s="1160"/>
      <c r="DO133" s="1160"/>
      <c r="DP133" s="1160"/>
      <c r="DQ133" s="1160"/>
      <c r="DR133" s="1160"/>
      <c r="DS133" s="1160"/>
      <c r="DT133" s="1160"/>
      <c r="DU133" s="1160"/>
      <c r="DV133" s="1160"/>
      <c r="DW133" s="1160"/>
      <c r="DX133" s="1160"/>
      <c r="DY133" s="1160"/>
      <c r="DZ133" s="1160" t="s">
        <v>541</v>
      </c>
      <c r="EA133" s="1160"/>
      <c r="EB133" s="1187">
        <f ca="1">(DN45+DL85+DL96+DL107+DL118+DL130+DL142+DL153+DL164+DL62+DL74)*$EB$138</f>
        <v>0</v>
      </c>
    </row>
    <row r="134" spans="1:132" x14ac:dyDescent="0.2">
      <c r="A134" s="1160"/>
      <c r="B134" s="1160"/>
      <c r="C134" s="1261"/>
      <c r="D134" s="1261"/>
      <c r="E134" s="1760"/>
      <c r="F134" s="1760"/>
      <c r="G134" s="1760"/>
      <c r="H134" s="1760"/>
      <c r="I134" s="1761"/>
      <c r="J134" s="1761"/>
      <c r="K134" s="1760"/>
      <c r="L134" s="1761"/>
      <c r="M134" s="1256"/>
      <c r="N134" s="1256"/>
      <c r="O134" s="1256"/>
      <c r="P134" s="1256"/>
      <c r="Q134" s="1256"/>
      <c r="R134" s="1170"/>
      <c r="S134" s="1170"/>
      <c r="T134" s="1170"/>
      <c r="U134" s="1186" t="str">
        <f>CokingRefineryCalcs!C52</f>
        <v xml:space="preserve">API gravity </v>
      </c>
      <c r="V134" s="1170"/>
      <c r="W134" s="1170">
        <f ca="1">CokingRefineryCalcs!K52</f>
        <v>1E-14</v>
      </c>
      <c r="X134" s="1170"/>
      <c r="Y134" s="1170" t="s">
        <v>541</v>
      </c>
      <c r="Z134" s="1170"/>
      <c r="AA134" s="1187">
        <f ca="1">(U115+W53)*$AA$135</f>
        <v>0</v>
      </c>
      <c r="AB134" s="1170"/>
      <c r="AC134" s="1170"/>
      <c r="AD134" s="1170"/>
      <c r="AE134" s="1170"/>
      <c r="AF134" s="1170"/>
      <c r="AG134" s="1170"/>
      <c r="AH134" s="1170"/>
      <c r="AI134" s="1170"/>
      <c r="AJ134" s="1170"/>
      <c r="AK134" s="1186" t="str">
        <f>CokingRefineryCalcs!C540</f>
        <v>Vol Flow</v>
      </c>
      <c r="AL134" s="1170" t="str">
        <f ca="1">CokingRefineryCalcs!D540</f>
        <v>bpd</v>
      </c>
      <c r="AM134" s="1170">
        <f ca="1">CokingRefineryCalcs!G540</f>
        <v>1E-14</v>
      </c>
      <c r="AN134" s="1170"/>
      <c r="AO134" s="1170"/>
      <c r="AP134" s="1170"/>
      <c r="AQ134" s="1170"/>
      <c r="AR134" s="1170"/>
      <c r="AS134" s="1186" t="str">
        <f>CokingRefineryCalcs!C612</f>
        <v>Vol Flow</v>
      </c>
      <c r="AT134" s="1170" t="str">
        <f ca="1">CokingRefineryCalcs!D612</f>
        <v>bpd</v>
      </c>
      <c r="AU134" s="1170">
        <f ca="1">CokingRefineryCalcs!F612</f>
        <v>1E-26</v>
      </c>
      <c r="AV134" s="1170"/>
      <c r="AW134" s="1170"/>
      <c r="AX134" s="1170" t="s">
        <v>263</v>
      </c>
      <c r="AY134" s="1170"/>
      <c r="AZ134" s="1170">
        <f ca="1">AM147*$AZ$139</f>
        <v>0</v>
      </c>
      <c r="BA134" s="1170"/>
      <c r="BB134" s="1170"/>
      <c r="BC134" s="1170"/>
      <c r="BD134" s="1170"/>
      <c r="BE134" s="1170"/>
      <c r="BF134" s="1170"/>
      <c r="BG134" s="1170"/>
      <c r="BH134" s="1170"/>
      <c r="BI134" s="1200" t="s">
        <v>1021</v>
      </c>
      <c r="BJ134" s="1199" t="s">
        <v>1022</v>
      </c>
      <c r="BK134" s="1246">
        <f ca="1">(AU102*AU93+AU143*AU134+AU177*AU168+BN251*BN242)/BK124</f>
        <v>86.12</v>
      </c>
      <c r="BL134" s="1170"/>
      <c r="BM134" s="1170"/>
      <c r="BN134" s="1170"/>
      <c r="BO134" s="1170"/>
      <c r="BP134" s="1170"/>
      <c r="BQ134" s="1170"/>
      <c r="BR134" s="1180" t="s">
        <v>1066</v>
      </c>
      <c r="BS134" s="1170"/>
      <c r="BT134" s="1170">
        <f ca="1">IF(CokingRefineryPFD!E50=TRUE,BT135,1)</f>
        <v>1</v>
      </c>
      <c r="BU134" s="1170"/>
      <c r="BV134" s="1170"/>
      <c r="BW134" s="1170"/>
      <c r="BX134" s="1170"/>
      <c r="BY134" s="1170"/>
      <c r="BZ134" s="1170"/>
      <c r="CA134" s="1170"/>
      <c r="CB134" s="1170"/>
      <c r="CC134" s="1170"/>
      <c r="CD134" s="1170"/>
      <c r="CE134" s="1170"/>
      <c r="CF134" s="1170"/>
      <c r="CG134" s="1170"/>
      <c r="CH134" s="1170"/>
      <c r="CI134" s="1170"/>
      <c r="CJ134" s="1170"/>
      <c r="CK134" s="1170"/>
      <c r="CL134" s="1170"/>
      <c r="CM134" s="1170"/>
      <c r="CN134" s="1170"/>
      <c r="CO134" s="1170"/>
      <c r="CP134" s="1170"/>
      <c r="CQ134" s="1170"/>
      <c r="CR134" s="1170"/>
      <c r="CS134" s="1170"/>
      <c r="CT134" s="1170"/>
      <c r="CU134" s="1170"/>
      <c r="CV134" s="1170"/>
      <c r="CW134" s="1170"/>
      <c r="CX134" s="1170"/>
      <c r="CY134" s="1160"/>
      <c r="CZ134" s="1160"/>
      <c r="DA134" s="1160"/>
      <c r="DB134" s="1160"/>
      <c r="DC134" s="1160"/>
      <c r="DD134" s="1160"/>
      <c r="DE134" s="1160"/>
      <c r="DF134" s="1160"/>
      <c r="DG134" s="1160"/>
      <c r="DH134" s="1160"/>
      <c r="DI134" s="1160"/>
      <c r="DJ134" s="1160"/>
      <c r="DK134" s="1257" t="s">
        <v>1703</v>
      </c>
      <c r="DL134" s="1245">
        <f ca="1">AX213/(AX213+BD243)</f>
        <v>0</v>
      </c>
      <c r="DM134" s="1160"/>
      <c r="DN134" s="1160"/>
      <c r="DO134" s="1160"/>
      <c r="DP134" s="1160"/>
      <c r="DQ134" s="1160"/>
      <c r="DR134" s="1160"/>
      <c r="DS134" s="1160"/>
      <c r="DT134" s="1160"/>
      <c r="DU134" s="1160"/>
      <c r="DV134" s="1160"/>
      <c r="DW134" s="1160"/>
      <c r="DX134" s="1160"/>
      <c r="DY134" s="1160"/>
      <c r="DZ134" s="1160" t="str">
        <f>DK119</f>
        <v>Catalyst Coke</v>
      </c>
      <c r="EA134" s="1160"/>
      <c r="EB134" s="1187">
        <f ca="1">(DL119+DL165)*$EB$138</f>
        <v>0</v>
      </c>
    </row>
    <row r="135" spans="1:132" x14ac:dyDescent="0.2">
      <c r="A135" s="1160"/>
      <c r="B135" s="1160"/>
      <c r="C135" s="1261"/>
      <c r="D135" s="1261"/>
      <c r="E135" s="1760"/>
      <c r="F135" s="1760"/>
      <c r="G135" s="1760"/>
      <c r="H135" s="1760"/>
      <c r="I135" s="1761"/>
      <c r="J135" s="1761"/>
      <c r="K135" s="1760"/>
      <c r="L135" s="1761"/>
      <c r="M135" s="1256"/>
      <c r="N135" s="1256"/>
      <c r="O135" s="1256"/>
      <c r="P135" s="1256"/>
      <c r="Q135" s="1256"/>
      <c r="R135" s="1170"/>
      <c r="S135" s="1170"/>
      <c r="T135" s="1170"/>
      <c r="U135" s="1186" t="str">
        <f>CokingRefineryCalcs!C53</f>
        <v>Density</v>
      </c>
      <c r="V135" s="1170" t="str">
        <f ca="1">CokingRefineryCalcs!D53</f>
        <v>kg/m^3</v>
      </c>
      <c r="W135" s="1170">
        <f ca="1">CokingRefineryCalcs!K53</f>
        <v>0</v>
      </c>
      <c r="X135" s="1170"/>
      <c r="Y135" s="1180" t="s">
        <v>227</v>
      </c>
      <c r="Z135" s="1170"/>
      <c r="AA135" s="1170">
        <f ca="1">W140/(AA53+AA70+AA87+AA102+W140)</f>
        <v>7.7256004971093289E-37</v>
      </c>
      <c r="AB135" s="1170"/>
      <c r="AC135" s="1170"/>
      <c r="AD135" s="1170"/>
      <c r="AE135" s="1170"/>
      <c r="AF135" s="1170"/>
      <c r="AG135" s="1170"/>
      <c r="AH135" s="1170"/>
      <c r="AI135" s="1170"/>
      <c r="AJ135" s="1170"/>
      <c r="AK135" s="1186" t="str">
        <f>CokingRefineryCalcs!C541</f>
        <v>Vol Flow</v>
      </c>
      <c r="AL135" s="1170" t="str">
        <f ca="1">CokingRefineryCalcs!D541</f>
        <v>m^3/d</v>
      </c>
      <c r="AM135" s="1170">
        <f ca="1">CokingRefineryCalcs!G541</f>
        <v>1.589873E-15</v>
      </c>
      <c r="AN135" s="1170"/>
      <c r="AO135" s="1170"/>
      <c r="AP135" s="1170"/>
      <c r="AQ135" s="1170"/>
      <c r="AR135" s="1170"/>
      <c r="AS135" s="1186" t="str">
        <f>CokingRefineryCalcs!C613</f>
        <v>Vol Flow</v>
      </c>
      <c r="AT135" s="1170" t="str">
        <f ca="1">CokingRefineryCalcs!D613</f>
        <v>m^3/d</v>
      </c>
      <c r="AU135" s="1170">
        <f ca="1">CokingRefineryCalcs!F613</f>
        <v>1.5898730000000001E-27</v>
      </c>
      <c r="AV135" s="1170"/>
      <c r="AW135" s="1170"/>
      <c r="AX135" s="1170" t="s">
        <v>392</v>
      </c>
      <c r="AY135" s="1170"/>
      <c r="AZ135" s="1170">
        <f ca="1">AM148*$AZ$139</f>
        <v>0</v>
      </c>
      <c r="BA135" s="1170"/>
      <c r="BB135" s="1170"/>
      <c r="BC135" s="1170"/>
      <c r="BD135" s="1170"/>
      <c r="BE135" s="1170"/>
      <c r="BF135" s="1170"/>
      <c r="BG135" s="1170"/>
      <c r="BH135" s="1170"/>
      <c r="BI135" s="1204" t="s">
        <v>1054</v>
      </c>
      <c r="BJ135" s="1204" t="str">
        <f>IF(allocationMethod=1,$C$21,IF(allocationMethod=2,$C$22,IF(allocationMethod=3,$C$23,$C$24)))</f>
        <v>Hydrogen Content Basis</v>
      </c>
      <c r="BK135" s="1204">
        <f ca="1">IF(allocationMethod=1,BK127,IF(allocationMethod=2,BK133*BK127,IF(allocationMethod=3,BK134*BK125,BK131*BK127/100)))</f>
        <v>0</v>
      </c>
      <c r="BL135" s="1170"/>
      <c r="BM135" s="1170"/>
      <c r="BN135" s="1170"/>
      <c r="BO135" s="1170"/>
      <c r="BP135" s="1170"/>
      <c r="BQ135" s="1170"/>
      <c r="BR135" s="1180" t="s">
        <v>1065</v>
      </c>
      <c r="BS135" s="1170"/>
      <c r="BT135" s="1196">
        <f ca="1">BT125/(BL120+BT125)</f>
        <v>1</v>
      </c>
      <c r="BU135" s="1170"/>
      <c r="BV135" s="1170"/>
      <c r="BW135" s="1170"/>
      <c r="BX135" s="1170"/>
      <c r="BY135" s="1170"/>
      <c r="BZ135" s="1170"/>
      <c r="CA135" s="1170"/>
      <c r="CB135" s="1170"/>
      <c r="CC135" s="1170"/>
      <c r="CD135" s="1170"/>
      <c r="CE135" s="1170"/>
      <c r="CF135" s="1170"/>
      <c r="CG135" s="1170"/>
      <c r="CH135" s="1170"/>
      <c r="CI135" s="1170"/>
      <c r="CJ135" s="1170"/>
      <c r="CK135" s="1170"/>
      <c r="CL135" s="1170"/>
      <c r="CM135" s="1170"/>
      <c r="CN135" s="1170"/>
      <c r="CO135" s="1170"/>
      <c r="CP135" s="1170"/>
      <c r="CQ135" s="1170"/>
      <c r="CR135" s="1170"/>
      <c r="CS135" s="1170"/>
      <c r="CT135" s="1170"/>
      <c r="CU135" s="1170"/>
      <c r="CV135" s="1170"/>
      <c r="CW135" s="1170"/>
      <c r="CX135" s="1170"/>
      <c r="CY135" s="1160"/>
      <c r="CZ135" s="1160"/>
      <c r="DA135" s="1160"/>
      <c r="DB135" s="1160"/>
      <c r="DC135" s="1160"/>
      <c r="DD135" s="1160"/>
      <c r="DE135" s="1160"/>
      <c r="DF135" s="1160"/>
      <c r="DG135" s="1160"/>
      <c r="DH135" s="1160"/>
      <c r="DI135" s="1160"/>
      <c r="DJ135" s="1160"/>
      <c r="DK135" s="1171"/>
      <c r="DL135" s="1160"/>
      <c r="DM135" s="1160"/>
      <c r="DN135" s="1160"/>
      <c r="DO135" s="1160"/>
      <c r="DP135" s="1160"/>
      <c r="DQ135" s="1160"/>
      <c r="DR135" s="1160"/>
      <c r="DS135" s="1160"/>
      <c r="DT135" s="1160"/>
      <c r="DU135" s="1160"/>
      <c r="DV135" s="1160"/>
      <c r="DW135" s="1160"/>
      <c r="DX135" s="1160"/>
      <c r="DY135" s="1160"/>
      <c r="DZ135" s="1191" t="s">
        <v>1066</v>
      </c>
      <c r="EA135" s="1160"/>
      <c r="EB135" s="1205">
        <f>IF(CokingRefineryPFD!E51=FALSE,0,IF(CokingRefineryPFD!E50=TRUE,EB136,1))</f>
        <v>0</v>
      </c>
    </row>
    <row r="136" spans="1:132" x14ac:dyDescent="0.2">
      <c r="A136" s="1160"/>
      <c r="B136" s="1160"/>
      <c r="C136" s="1261"/>
      <c r="D136" s="1261"/>
      <c r="E136" s="1760"/>
      <c r="F136" s="1760"/>
      <c r="G136" s="1760"/>
      <c r="H136" s="1760"/>
      <c r="I136" s="1761"/>
      <c r="J136" s="1761"/>
      <c r="K136" s="1760"/>
      <c r="L136" s="1761"/>
      <c r="M136" s="1256"/>
      <c r="N136" s="1256"/>
      <c r="O136" s="1256"/>
      <c r="P136" s="1256"/>
      <c r="Q136" s="1256"/>
      <c r="R136" s="1170"/>
      <c r="S136" s="1170"/>
      <c r="T136" s="1170"/>
      <c r="U136" s="1186" t="str">
        <f>CokingRefineryCalcs!C54</f>
        <v>Hydrogen</v>
      </c>
      <c r="V136" s="1170" t="str">
        <f ca="1">CokingRefineryCalcs!D54</f>
        <v>wt%</v>
      </c>
      <c r="W136" s="1170">
        <f ca="1">CokingRefineryCalcs!K54</f>
        <v>1E-14</v>
      </c>
      <c r="X136" s="1170"/>
      <c r="Y136" s="1197" t="s">
        <v>228</v>
      </c>
      <c r="Z136" s="1170"/>
      <c r="AA136" s="1170">
        <f ca="1">W132/U101</f>
        <v>7.3060273643733411E-22</v>
      </c>
      <c r="AB136" s="1170"/>
      <c r="AC136" s="1170"/>
      <c r="AD136" s="1170"/>
      <c r="AE136" s="1170"/>
      <c r="AF136" s="1170"/>
      <c r="AG136" s="1170"/>
      <c r="AH136" s="1170"/>
      <c r="AI136" s="1170"/>
      <c r="AJ136" s="1170"/>
      <c r="AK136" s="1186" t="str">
        <f>CokingRefineryCalcs!C542</f>
        <v>Mass Flow</v>
      </c>
      <c r="AL136" s="1170" t="str">
        <f>CokingRefineryCalcs!D542</f>
        <v>kg/d</v>
      </c>
      <c r="AM136" s="1170">
        <f ca="1">CokingRefineryCalcs!G542</f>
        <v>1E-14</v>
      </c>
      <c r="AN136" s="1170"/>
      <c r="AO136" s="1170"/>
      <c r="AP136" s="1170"/>
      <c r="AQ136" s="1170"/>
      <c r="AR136" s="1170"/>
      <c r="AS136" s="1186" t="str">
        <f>CokingRefineryCalcs!C614</f>
        <v>Mass Flow</v>
      </c>
      <c r="AT136" s="1170" t="str">
        <f>CokingRefineryCalcs!D614</f>
        <v>kg/d</v>
      </c>
      <c r="AU136" s="1170">
        <f ca="1">CokingRefineryCalcs!F614</f>
        <v>1E-26</v>
      </c>
      <c r="AV136" s="1170"/>
      <c r="AW136" s="1170"/>
      <c r="AX136" s="1170" t="s">
        <v>224</v>
      </c>
      <c r="AY136" s="1170"/>
      <c r="AZ136" s="1170">
        <f ca="1">AM149*$AZ$139</f>
        <v>0</v>
      </c>
      <c r="BA136" s="1170"/>
      <c r="BB136" s="1170"/>
      <c r="BC136" s="1170"/>
      <c r="BD136" s="1170"/>
      <c r="BE136" s="1170"/>
      <c r="BF136" s="1170"/>
      <c r="BG136" s="1170"/>
      <c r="BH136" s="1170"/>
      <c r="BI136" s="1170"/>
      <c r="BJ136" s="1170"/>
      <c r="BK136" s="1170"/>
      <c r="BL136" s="1170"/>
      <c r="BM136" s="1170"/>
      <c r="BN136" s="1170"/>
      <c r="BO136" s="1170"/>
      <c r="BP136" s="1170"/>
      <c r="BQ136" s="1170"/>
      <c r="BR136" s="1259" t="s">
        <v>228</v>
      </c>
      <c r="BS136" s="1170"/>
      <c r="BT136" s="1170">
        <f ca="1">BT117/(BK126+BK132)</f>
        <v>0.97545646114257345</v>
      </c>
      <c r="BU136" s="1170"/>
      <c r="BV136" s="1170"/>
      <c r="BW136" s="1170"/>
      <c r="BX136" s="1170"/>
      <c r="BY136" s="1170"/>
      <c r="BZ136" s="1170"/>
      <c r="CA136" s="1170"/>
      <c r="CB136" s="1170"/>
      <c r="CC136" s="1170"/>
      <c r="CD136" s="1170"/>
      <c r="CE136" s="1170"/>
      <c r="CF136" s="1170"/>
      <c r="CG136" s="1170"/>
      <c r="CH136" s="1170"/>
      <c r="CI136" s="1170"/>
      <c r="CJ136" s="1170"/>
      <c r="CK136" s="1170"/>
      <c r="CL136" s="1170"/>
      <c r="CM136" s="1170"/>
      <c r="CN136" s="1170"/>
      <c r="CO136" s="1170"/>
      <c r="CP136" s="1170"/>
      <c r="CQ136" s="1170"/>
      <c r="CR136" s="1170"/>
      <c r="CS136" s="1170"/>
      <c r="CT136" s="1170"/>
      <c r="CU136" s="1170"/>
      <c r="CV136" s="1170"/>
      <c r="CW136" s="1170"/>
      <c r="CX136" s="1170"/>
      <c r="CY136" s="1160"/>
      <c r="CZ136" s="1160"/>
      <c r="DA136" s="1160"/>
      <c r="DB136" s="1160"/>
      <c r="DC136" s="1160"/>
      <c r="DD136" s="1160"/>
      <c r="DE136" s="1160"/>
      <c r="DF136" s="1160"/>
      <c r="DG136" s="1160"/>
      <c r="DH136" s="1160"/>
      <c r="DI136" s="1160"/>
      <c r="DJ136" s="1160"/>
      <c r="DK136" s="1191" t="str">
        <f>BN159</f>
        <v>CNHT Fuel Gas</v>
      </c>
      <c r="DL136" s="1171">
        <f ca="1">CokingRefineryCalcs!E984</f>
        <v>3.0004839823245577E-18</v>
      </c>
      <c r="DM136" s="1160" t="s">
        <v>622</v>
      </c>
      <c r="DN136" s="1160"/>
      <c r="DO136" s="1160"/>
      <c r="DP136" s="1160"/>
      <c r="DQ136" s="1160"/>
      <c r="DR136" s="1160"/>
      <c r="DS136" s="1160"/>
      <c r="DT136" s="1160"/>
      <c r="DU136" s="1160"/>
      <c r="DV136" s="1160"/>
      <c r="DW136" s="1160"/>
      <c r="DX136" s="1160"/>
      <c r="DY136" s="1160"/>
      <c r="DZ136" s="1191" t="s">
        <v>1065</v>
      </c>
      <c r="EA136" s="1160"/>
      <c r="EB136" s="1205">
        <f>EB125/(EB125+EB97)</f>
        <v>0</v>
      </c>
    </row>
    <row r="137" spans="1:132" x14ac:dyDescent="0.2">
      <c r="A137" s="1160"/>
      <c r="B137" s="1160"/>
      <c r="C137" s="1261"/>
      <c r="D137" s="1261"/>
      <c r="E137" s="1760"/>
      <c r="F137" s="1760"/>
      <c r="G137" s="1760"/>
      <c r="H137" s="1760"/>
      <c r="I137" s="1761"/>
      <c r="J137" s="1761"/>
      <c r="K137" s="1760"/>
      <c r="L137" s="1761"/>
      <c r="M137" s="1256"/>
      <c r="N137" s="1256"/>
      <c r="O137" s="1256"/>
      <c r="P137" s="1256"/>
      <c r="Q137" s="1256"/>
      <c r="R137" s="1170"/>
      <c r="S137" s="1170"/>
      <c r="T137" s="1170"/>
      <c r="U137" s="1186" t="str">
        <f>CokingRefineryCalcs!C55</f>
        <v>MCR</v>
      </c>
      <c r="V137" s="1170" t="str">
        <f ca="1">CokingRefineryCalcs!D55</f>
        <v>wt%</v>
      </c>
      <c r="W137" s="1170">
        <f ca="1">CokingRefineryCalcs!K55</f>
        <v>4.4374255523499508</v>
      </c>
      <c r="X137" s="1170"/>
      <c r="Y137" s="1170"/>
      <c r="Z137" s="1170"/>
      <c r="AA137" s="1170"/>
      <c r="AB137" s="1170"/>
      <c r="AC137" s="1170"/>
      <c r="AD137" s="1170"/>
      <c r="AE137" s="1170"/>
      <c r="AF137" s="1170"/>
      <c r="AG137" s="1170"/>
      <c r="AH137" s="1170"/>
      <c r="AI137" s="1170"/>
      <c r="AJ137" s="1170"/>
      <c r="AK137" s="1186" t="str">
        <f>CokingRefineryCalcs!C543</f>
        <v xml:space="preserve">Sulphur </v>
      </c>
      <c r="AL137" s="1170" t="str">
        <f ca="1">CokingRefineryCalcs!D543</f>
        <v>wt%</v>
      </c>
      <c r="AM137" s="1170">
        <f ca="1">CokingRefineryCalcs!G543</f>
        <v>0</v>
      </c>
      <c r="AN137" s="1170"/>
      <c r="AO137" s="1170"/>
      <c r="AP137" s="1170"/>
      <c r="AQ137" s="1170"/>
      <c r="AR137" s="1170"/>
      <c r="AS137" s="1186" t="str">
        <f>CokingRefineryCalcs!C615</f>
        <v xml:space="preserve">Sulphur </v>
      </c>
      <c r="AT137" s="1170" t="str">
        <f ca="1">CokingRefineryCalcs!D615</f>
        <v>wt%</v>
      </c>
      <c r="AU137" s="1170">
        <f ca="1">CokingRefineryCalcs!F615</f>
        <v>0</v>
      </c>
      <c r="AV137" s="1170"/>
      <c r="AW137" s="1170"/>
      <c r="AX137" s="1170" t="s">
        <v>485</v>
      </c>
      <c r="AY137" s="1170"/>
      <c r="AZ137" s="1170">
        <f ca="1">AM150*$AZ$139</f>
        <v>0</v>
      </c>
      <c r="BA137" s="1170"/>
      <c r="BB137" s="1170"/>
      <c r="BC137" s="1170"/>
      <c r="BD137" s="1170"/>
      <c r="BE137" s="1170"/>
      <c r="BF137" s="1170"/>
      <c r="BG137" s="1170"/>
      <c r="BH137" s="1170"/>
      <c r="BI137" s="1170"/>
      <c r="BJ137" s="1170"/>
      <c r="BK137" s="1170"/>
      <c r="BL137" s="1170"/>
      <c r="BM137" s="1170"/>
      <c r="BN137" s="1170"/>
      <c r="BO137" s="1170"/>
      <c r="BP137" s="1170"/>
      <c r="BQ137" s="1170"/>
      <c r="BR137" s="1170"/>
      <c r="BS137" s="1170"/>
      <c r="BT137" s="1170"/>
      <c r="BU137" s="1170"/>
      <c r="BV137" s="1170"/>
      <c r="BW137" s="1170"/>
      <c r="BX137" s="1170"/>
      <c r="BY137" s="1170"/>
      <c r="BZ137" s="1170"/>
      <c r="CA137" s="1170"/>
      <c r="CB137" s="1170"/>
      <c r="CC137" s="1170"/>
      <c r="CD137" s="1170"/>
      <c r="CE137" s="1170"/>
      <c r="CF137" s="1170"/>
      <c r="CG137" s="1170"/>
      <c r="CH137" s="1170"/>
      <c r="CI137" s="1170"/>
      <c r="CJ137" s="1170"/>
      <c r="CK137" s="1170"/>
      <c r="CL137" s="1170"/>
      <c r="CM137" s="1170"/>
      <c r="CN137" s="1170"/>
      <c r="CO137" s="1170"/>
      <c r="CP137" s="1170"/>
      <c r="CQ137" s="1170"/>
      <c r="CR137" s="1170"/>
      <c r="CS137" s="1170"/>
      <c r="CT137" s="1170"/>
      <c r="CU137" s="1170"/>
      <c r="CV137" s="1170"/>
      <c r="CW137" s="1170"/>
      <c r="CX137" s="1170"/>
      <c r="CY137" s="1160"/>
      <c r="CZ137" s="1160"/>
      <c r="DA137" s="1160"/>
      <c r="DB137" s="1160"/>
      <c r="DC137" s="1160"/>
      <c r="DD137" s="1160"/>
      <c r="DE137" s="1160"/>
      <c r="DF137" s="1160"/>
      <c r="DG137" s="1160"/>
      <c r="DH137" s="1160"/>
      <c r="DI137" s="1160"/>
      <c r="DJ137" s="1160"/>
      <c r="DK137" s="1191" t="s">
        <v>226</v>
      </c>
      <c r="DL137" s="1171" t="s">
        <v>522</v>
      </c>
      <c r="DM137" s="1160"/>
      <c r="DN137" s="1160"/>
      <c r="DO137" s="1160"/>
      <c r="DP137" s="1160"/>
      <c r="DQ137" s="1160"/>
      <c r="DR137" s="1160"/>
      <c r="DS137" s="1160"/>
      <c r="DT137" s="1160"/>
      <c r="DU137" s="1160"/>
      <c r="DV137" s="1160"/>
      <c r="DW137" s="1160"/>
      <c r="DX137" s="1160"/>
      <c r="DY137" s="1160"/>
      <c r="DZ137" s="1208" t="s">
        <v>228</v>
      </c>
      <c r="EA137" s="1160"/>
      <c r="EB137" s="1205">
        <f ca="1">EB122/(DL79+DL90+DL101+DL112+DL124+DL136+DL147+DL158+DL56+DL68-DR52)</f>
        <v>1.7348234109864972E-2</v>
      </c>
    </row>
    <row r="138" spans="1:132" x14ac:dyDescent="0.2">
      <c r="A138" s="1160"/>
      <c r="B138" s="1160"/>
      <c r="C138" s="1261"/>
      <c r="D138" s="1261"/>
      <c r="E138" s="1760"/>
      <c r="F138" s="1760"/>
      <c r="G138" s="1760"/>
      <c r="H138" s="1760"/>
      <c r="I138" s="1761"/>
      <c r="J138" s="1761"/>
      <c r="K138" s="1760"/>
      <c r="L138" s="1761"/>
      <c r="M138" s="1256"/>
      <c r="N138" s="1256"/>
      <c r="O138" s="1256"/>
      <c r="P138" s="1256"/>
      <c r="Q138" s="1256"/>
      <c r="R138" s="1170"/>
      <c r="S138" s="1170"/>
      <c r="T138" s="1170"/>
      <c r="U138" s="1200" t="s">
        <v>1056</v>
      </c>
      <c r="V138" s="1199" t="s">
        <v>447</v>
      </c>
      <c r="W138" s="1199">
        <f ca="1">('Energy &amp; Unit Conversions'!$D$63-('Energy &amp; Unit Conversions'!$E$63*POWER((CokingRefineryPFD!W135/'Energy &amp; Unit Conversions'!$E$54),2)))</f>
        <v>46.693440000000002</v>
      </c>
      <c r="X138" s="1170"/>
      <c r="Y138" s="1170"/>
      <c r="Z138" s="1170"/>
      <c r="AA138" s="1170"/>
      <c r="AB138" s="1170"/>
      <c r="AC138" s="1170"/>
      <c r="AD138" s="1170"/>
      <c r="AE138" s="1170"/>
      <c r="AF138" s="1170"/>
      <c r="AG138" s="1170"/>
      <c r="AH138" s="1170"/>
      <c r="AI138" s="1170"/>
      <c r="AJ138" s="1170"/>
      <c r="AK138" s="1186" t="str">
        <f>CokingRefineryCalcs!C545</f>
        <v xml:space="preserve">API gravity </v>
      </c>
      <c r="AL138" s="1170" t="str">
        <f ca="1">CokingRefineryCalcs!D545</f>
        <v>oAPI</v>
      </c>
      <c r="AM138" s="1170">
        <f ca="1">CokingRefineryCalcs!G545</f>
        <v>0</v>
      </c>
      <c r="AN138" s="1170"/>
      <c r="AO138" s="1170"/>
      <c r="AP138" s="1170"/>
      <c r="AQ138" s="1170"/>
      <c r="AR138" s="1170"/>
      <c r="AS138" s="1186" t="str">
        <f>CokingRefineryCalcs!C617</f>
        <v xml:space="preserve">API gravity </v>
      </c>
      <c r="AT138" s="1170"/>
      <c r="AU138" s="1170">
        <f ca="1">CokingRefineryCalcs!F617</f>
        <v>0</v>
      </c>
      <c r="AV138" s="1170"/>
      <c r="AW138" s="1170"/>
      <c r="AX138" s="1170" t="s">
        <v>541</v>
      </c>
      <c r="AY138" s="1170"/>
      <c r="AZ138" s="1170">
        <f ca="1">AM151*$AZ$139</f>
        <v>0</v>
      </c>
      <c r="BA138" s="1170"/>
      <c r="BB138" s="1170"/>
      <c r="BC138" s="1170"/>
      <c r="BD138" s="1170"/>
      <c r="BE138" s="1170"/>
      <c r="BF138" s="1170"/>
      <c r="BG138" s="1170"/>
      <c r="BH138" s="1170"/>
      <c r="BI138" s="1170"/>
      <c r="BJ138" s="1170"/>
      <c r="BK138" s="1170"/>
      <c r="BL138" s="1170"/>
      <c r="BM138" s="1170"/>
      <c r="BN138" s="1170"/>
      <c r="BO138" s="1170"/>
      <c r="BP138" s="1170"/>
      <c r="BQ138" s="1170"/>
      <c r="BR138" s="1170"/>
      <c r="BS138" s="1170"/>
      <c r="BT138" s="1170"/>
      <c r="BU138" s="1170"/>
      <c r="BV138" s="1170"/>
      <c r="BW138" s="1170"/>
      <c r="BX138" s="1170"/>
      <c r="BY138" s="1170"/>
      <c r="BZ138" s="1170"/>
      <c r="CA138" s="1170"/>
      <c r="CB138" s="1170"/>
      <c r="CC138" s="1170"/>
      <c r="CD138" s="1170"/>
      <c r="CE138" s="1170"/>
      <c r="CF138" s="1170"/>
      <c r="CG138" s="1170"/>
      <c r="CH138" s="1170"/>
      <c r="CI138" s="1170"/>
      <c r="CJ138" s="1170"/>
      <c r="CK138" s="1170"/>
      <c r="CL138" s="1170"/>
      <c r="CM138" s="1170"/>
      <c r="CN138" s="1170"/>
      <c r="CO138" s="1170"/>
      <c r="CP138" s="1170"/>
      <c r="CQ138" s="1170"/>
      <c r="CR138" s="1170"/>
      <c r="CS138" s="1170"/>
      <c r="CT138" s="1170"/>
      <c r="CU138" s="1170"/>
      <c r="CV138" s="1170"/>
      <c r="CW138" s="1170"/>
      <c r="CX138" s="1170"/>
      <c r="CY138" s="1160"/>
      <c r="CZ138" s="1160"/>
      <c r="DA138" s="1160"/>
      <c r="DB138" s="1160"/>
      <c r="DC138" s="1160"/>
      <c r="DD138" s="1160"/>
      <c r="DE138" s="1160"/>
      <c r="DF138" s="1160"/>
      <c r="DG138" s="1160"/>
      <c r="DH138" s="1160"/>
      <c r="DI138" s="1160"/>
      <c r="DJ138" s="1160"/>
      <c r="DK138" s="1160" t="s">
        <v>263</v>
      </c>
      <c r="DL138" s="1171">
        <f ca="1">BL185*DL143</f>
        <v>0</v>
      </c>
      <c r="DM138" s="1160"/>
      <c r="DN138" s="1160"/>
      <c r="DO138" s="1160"/>
      <c r="DP138" s="1160"/>
      <c r="DQ138" s="1160"/>
      <c r="DR138" s="1160"/>
      <c r="DS138" s="1160"/>
      <c r="DT138" s="1160"/>
      <c r="DU138" s="1160"/>
      <c r="DV138" s="1160"/>
      <c r="DW138" s="1160"/>
      <c r="DX138" s="1160"/>
      <c r="DY138" s="1160"/>
      <c r="DZ138" s="2073" t="s">
        <v>1900</v>
      </c>
      <c r="EA138" s="1160"/>
      <c r="EB138" s="1160">
        <f ca="1">CokingRefineryCalcs!Q1442</f>
        <v>0</v>
      </c>
    </row>
    <row r="139" spans="1:132" x14ac:dyDescent="0.2">
      <c r="A139" s="1160"/>
      <c r="B139" s="1160"/>
      <c r="C139" s="1261"/>
      <c r="D139" s="1261"/>
      <c r="E139" s="1760"/>
      <c r="F139" s="1760"/>
      <c r="G139" s="1760"/>
      <c r="H139" s="1760"/>
      <c r="I139" s="1761"/>
      <c r="J139" s="1761"/>
      <c r="K139" s="1760"/>
      <c r="L139" s="1761"/>
      <c r="M139" s="1256"/>
      <c r="N139" s="1256"/>
      <c r="O139" s="1256"/>
      <c r="P139" s="1256"/>
      <c r="Q139" s="1256"/>
      <c r="R139" s="1170"/>
      <c r="S139" s="1170"/>
      <c r="T139" s="1170"/>
      <c r="U139" s="1200" t="s">
        <v>1021</v>
      </c>
      <c r="V139" s="1199" t="s">
        <v>1022</v>
      </c>
      <c r="W139" s="1199">
        <f>Constants!G341</f>
        <v>69.300827026367188</v>
      </c>
      <c r="X139" s="1170"/>
      <c r="Y139" s="1170"/>
      <c r="Z139" s="1170"/>
      <c r="AA139" s="1170"/>
      <c r="AB139" s="1170"/>
      <c r="AC139" s="1170"/>
      <c r="AD139" s="1170"/>
      <c r="AE139" s="1170"/>
      <c r="AF139" s="1170"/>
      <c r="AG139" s="1170"/>
      <c r="AH139" s="1170"/>
      <c r="AI139" s="1170"/>
      <c r="AJ139" s="1170"/>
      <c r="AK139" s="1186" t="str">
        <f>CokingRefineryCalcs!C546</f>
        <v>Density</v>
      </c>
      <c r="AL139" s="1170" t="str">
        <f ca="1">CokingRefineryCalcs!D546</f>
        <v>kg/m^3</v>
      </c>
      <c r="AM139" s="1170">
        <f ca="1">CokingRefineryCalcs!G546</f>
        <v>0</v>
      </c>
      <c r="AN139" s="1170"/>
      <c r="AO139" s="1170"/>
      <c r="AP139" s="1170"/>
      <c r="AQ139" s="1170"/>
      <c r="AR139" s="1170"/>
      <c r="AS139" s="1186" t="str">
        <f>CokingRefineryCalcs!C618</f>
        <v>Density</v>
      </c>
      <c r="AT139" s="1170" t="str">
        <f ca="1">CokingRefineryCalcs!D618</f>
        <v>kg/m^3</v>
      </c>
      <c r="AU139" s="1170">
        <f ca="1">CokingRefineryCalcs!F618</f>
        <v>0</v>
      </c>
      <c r="AV139" s="1170"/>
      <c r="AW139" s="1170"/>
      <c r="AX139" s="1180" t="s">
        <v>1065</v>
      </c>
      <c r="AY139" s="1170"/>
      <c r="AZ139" s="1170">
        <f ca="1">IF(AM144=0,0,AU144/AM144)</f>
        <v>0</v>
      </c>
      <c r="BA139" s="1170"/>
      <c r="BB139" s="1170"/>
      <c r="BC139" s="1170"/>
      <c r="BD139" s="1170"/>
      <c r="BE139" s="1170"/>
      <c r="BF139" s="1170"/>
      <c r="BG139" s="1170"/>
      <c r="BH139" s="1170"/>
      <c r="BI139" s="1170"/>
      <c r="BJ139" s="1170"/>
      <c r="BK139" s="1170"/>
      <c r="BL139" s="1170"/>
      <c r="BM139" s="1170"/>
      <c r="BN139" s="1170"/>
      <c r="BO139" s="1170"/>
      <c r="BP139" s="1170"/>
      <c r="BQ139" s="1170"/>
      <c r="BR139" s="1170"/>
      <c r="BS139" s="1170"/>
      <c r="BT139" s="1170"/>
      <c r="BU139" s="1170"/>
      <c r="BV139" s="1170"/>
      <c r="BW139" s="1170"/>
      <c r="BX139" s="1170"/>
      <c r="BY139" s="1170"/>
      <c r="BZ139" s="1170"/>
      <c r="CA139" s="1170"/>
      <c r="CB139" s="1170"/>
      <c r="CC139" s="1170"/>
      <c r="CD139" s="1170"/>
      <c r="CE139" s="1170"/>
      <c r="CF139" s="1170"/>
      <c r="CG139" s="1170"/>
      <c r="CH139" s="1170"/>
      <c r="CI139" s="1170"/>
      <c r="CJ139" s="1170"/>
      <c r="CK139" s="1170"/>
      <c r="CL139" s="1170"/>
      <c r="CM139" s="1170"/>
      <c r="CN139" s="1170"/>
      <c r="CO139" s="1170"/>
      <c r="CP139" s="1170"/>
      <c r="CQ139" s="1170"/>
      <c r="CR139" s="1170"/>
      <c r="CS139" s="1170"/>
      <c r="CT139" s="1170"/>
      <c r="CU139" s="1170"/>
      <c r="CV139" s="1170"/>
      <c r="CW139" s="1170"/>
      <c r="CX139" s="1170"/>
      <c r="CY139" s="1160"/>
      <c r="CZ139" s="1160"/>
      <c r="DA139" s="1160"/>
      <c r="DB139" s="1160"/>
      <c r="DC139" s="1160"/>
      <c r="DD139" s="1160"/>
      <c r="DE139" s="1160"/>
      <c r="DF139" s="1160"/>
      <c r="DG139" s="1160"/>
      <c r="DH139" s="1160"/>
      <c r="DI139" s="1160"/>
      <c r="DJ139" s="1160"/>
      <c r="DK139" s="1160" t="s">
        <v>392</v>
      </c>
      <c r="DL139" s="1171">
        <f ca="1">(BL186+BO180)*$DL$143</f>
        <v>0</v>
      </c>
      <c r="DM139" s="1160"/>
      <c r="DN139" s="1160"/>
      <c r="DO139" s="1160"/>
      <c r="DP139" s="1160"/>
      <c r="DQ139" s="1160"/>
      <c r="DR139" s="1160"/>
      <c r="DS139" s="1160"/>
      <c r="DT139" s="1160"/>
      <c r="DU139" s="1160"/>
      <c r="DV139" s="1160"/>
      <c r="DW139" s="1160"/>
      <c r="DX139" s="1160"/>
      <c r="DY139" s="1160"/>
      <c r="DZ139" s="1160"/>
      <c r="EA139" s="1160"/>
      <c r="EB139" s="1160"/>
    </row>
    <row r="140" spans="1:132" x14ac:dyDescent="0.2">
      <c r="A140" s="1160"/>
      <c r="B140" s="1160"/>
      <c r="C140" s="1261"/>
      <c r="D140" s="1261"/>
      <c r="E140" s="1760"/>
      <c r="F140" s="1760"/>
      <c r="G140" s="1760"/>
      <c r="H140" s="1760"/>
      <c r="I140" s="1761"/>
      <c r="J140" s="1761"/>
      <c r="K140" s="1760"/>
      <c r="L140" s="1761"/>
      <c r="M140" s="1256"/>
      <c r="N140" s="1256"/>
      <c r="O140" s="1256"/>
      <c r="P140" s="1256"/>
      <c r="Q140" s="1256"/>
      <c r="R140" s="1170"/>
      <c r="S140" s="1170"/>
      <c r="T140" s="1170"/>
      <c r="U140" s="1204" t="s">
        <v>1054</v>
      </c>
      <c r="V140" s="1204" t="str">
        <f>IF(allocationMethod=1,$C$21,IF(allocationMethod=2,$C$22,IF(allocationMethod=3,$C$23,$C$24)))</f>
        <v>Hydrogen Content Basis</v>
      </c>
      <c r="W140" s="1204">
        <f ca="1">IF(allocationMethod=1,W132,IF(allocationMethod=2,W138*W132,IF(allocationMethod=3,W139*W130,W136*W132/100)))</f>
        <v>9.9999999999999991E-31</v>
      </c>
      <c r="X140" s="1170"/>
      <c r="Y140" s="1170"/>
      <c r="Z140" s="1170"/>
      <c r="AA140" s="1170"/>
      <c r="AB140" s="1170"/>
      <c r="AC140" s="1170"/>
      <c r="AD140" s="1170"/>
      <c r="AE140" s="1170"/>
      <c r="AF140" s="1170"/>
      <c r="AG140" s="1170"/>
      <c r="AH140" s="1170"/>
      <c r="AI140" s="1170"/>
      <c r="AJ140" s="1170"/>
      <c r="AK140" s="1186" t="str">
        <f>CokingRefineryCalcs!C547</f>
        <v>Hydrogen</v>
      </c>
      <c r="AL140" s="1170" t="str">
        <f ca="1">CokingRefineryCalcs!D547</f>
        <v>wt%</v>
      </c>
      <c r="AM140" s="1170">
        <f ca="1">CokingRefineryCalcs!G547</f>
        <v>0</v>
      </c>
      <c r="AN140" s="1170"/>
      <c r="AO140" s="1170"/>
      <c r="AP140" s="1170"/>
      <c r="AQ140" s="1170"/>
      <c r="AR140" s="1170"/>
      <c r="AS140" s="1186" t="str">
        <f>CokingRefineryCalcs!C619</f>
        <v>Hydrogen</v>
      </c>
      <c r="AT140" s="1170" t="str">
        <f ca="1">CokingRefineryCalcs!D619</f>
        <v>wt%</v>
      </c>
      <c r="AU140" s="1170">
        <f ca="1">CokingRefineryCalcs!F619</f>
        <v>0</v>
      </c>
      <c r="AV140" s="1170"/>
      <c r="AW140" s="1170"/>
      <c r="AX140" s="1170"/>
      <c r="AY140" s="1170"/>
      <c r="AZ140" s="1170"/>
      <c r="BA140" s="1170"/>
      <c r="BB140" s="1170"/>
      <c r="BC140" s="1170"/>
      <c r="BD140" s="1170"/>
      <c r="BE140" s="1170"/>
      <c r="BF140" s="1170"/>
      <c r="BG140" s="1170"/>
      <c r="BH140" s="1170"/>
      <c r="BI140" s="1170"/>
      <c r="BJ140" s="1170"/>
      <c r="BK140" s="1170"/>
      <c r="BL140" s="1170"/>
      <c r="BM140" s="1170"/>
      <c r="BN140" s="1170"/>
      <c r="BO140" s="1170"/>
      <c r="BP140" s="1170"/>
      <c r="BQ140" s="1170"/>
      <c r="BR140" s="1170"/>
      <c r="BS140" s="1170"/>
      <c r="BT140" s="1170"/>
      <c r="BU140" s="1170"/>
      <c r="BV140" s="1170"/>
      <c r="BW140" s="1170"/>
      <c r="BX140" s="1170"/>
      <c r="BY140" s="1170"/>
      <c r="BZ140" s="1170"/>
      <c r="CA140" s="1170"/>
      <c r="CB140" s="1170"/>
      <c r="CC140" s="1170"/>
      <c r="CD140" s="1170"/>
      <c r="CE140" s="1170"/>
      <c r="CF140" s="1170"/>
      <c r="CG140" s="1170"/>
      <c r="CH140" s="1170"/>
      <c r="CI140" s="1170"/>
      <c r="CJ140" s="1170"/>
      <c r="CK140" s="1170"/>
      <c r="CL140" s="1170"/>
      <c r="CM140" s="1170"/>
      <c r="CN140" s="1170"/>
      <c r="CO140" s="1170"/>
      <c r="CP140" s="1170"/>
      <c r="CQ140" s="1170"/>
      <c r="CR140" s="1170"/>
      <c r="CS140" s="1170"/>
      <c r="CT140" s="1170"/>
      <c r="CU140" s="1170"/>
      <c r="CV140" s="1170"/>
      <c r="CW140" s="1170"/>
      <c r="CX140" s="1170"/>
      <c r="CY140" s="1160"/>
      <c r="CZ140" s="1160"/>
      <c r="DA140" s="1160"/>
      <c r="DB140" s="1160"/>
      <c r="DC140" s="1160"/>
      <c r="DD140" s="1160"/>
      <c r="DE140" s="1160"/>
      <c r="DF140" s="1160"/>
      <c r="DG140" s="1160"/>
      <c r="DH140" s="1160"/>
      <c r="DI140" s="1160"/>
      <c r="DJ140" s="1160"/>
      <c r="DK140" s="1160" t="s">
        <v>224</v>
      </c>
      <c r="DL140" s="1171">
        <f ca="1">(BL187+BO181)*$DL$143</f>
        <v>0</v>
      </c>
      <c r="DM140" s="1160"/>
      <c r="DN140" s="1160"/>
      <c r="DO140" s="1160"/>
      <c r="DP140" s="1160"/>
      <c r="DQ140" s="1160"/>
      <c r="DR140" s="1160"/>
      <c r="DS140" s="1160"/>
      <c r="DT140" s="1160"/>
      <c r="DU140" s="1160"/>
      <c r="DV140" s="1160"/>
      <c r="DW140" s="1160"/>
      <c r="DX140" s="1160"/>
      <c r="DY140" s="1160"/>
      <c r="DZ140" s="1160"/>
      <c r="EA140" s="1160"/>
      <c r="EB140" s="1160"/>
    </row>
    <row r="141" spans="1:132" x14ac:dyDescent="0.2">
      <c r="A141" s="1160"/>
      <c r="B141" s="1160"/>
      <c r="C141" s="1261"/>
      <c r="D141" s="1260"/>
      <c r="E141" s="1761"/>
      <c r="F141" s="1760"/>
      <c r="G141" s="1760"/>
      <c r="H141" s="1760"/>
      <c r="I141" s="1761"/>
      <c r="J141" s="1761"/>
      <c r="K141" s="1760"/>
      <c r="L141" s="1761"/>
      <c r="M141" s="1256"/>
      <c r="N141" s="1256"/>
      <c r="O141" s="1256"/>
      <c r="P141" s="1256"/>
      <c r="Q141" s="1256"/>
      <c r="R141" s="1170"/>
      <c r="S141" s="1170"/>
      <c r="T141" s="1170"/>
      <c r="U141" s="1170"/>
      <c r="V141" s="1170"/>
      <c r="W141" s="1170"/>
      <c r="X141" s="1170"/>
      <c r="Y141" s="1170"/>
      <c r="Z141" s="1170"/>
      <c r="AA141" s="1170"/>
      <c r="AB141" s="1170"/>
      <c r="AC141" s="1170"/>
      <c r="AD141" s="1170"/>
      <c r="AE141" s="1170"/>
      <c r="AF141" s="1170"/>
      <c r="AG141" s="1184" t="str">
        <f>'CokingRefinery Detailed Results'!C13</f>
        <v>Vacuum Tower</v>
      </c>
      <c r="AH141" s="1170"/>
      <c r="AI141" s="1170"/>
      <c r="AJ141" s="1170"/>
      <c r="AK141" s="1170"/>
      <c r="AL141" s="1170"/>
      <c r="AM141" s="1170"/>
      <c r="AN141" s="1170"/>
      <c r="AO141" s="1170"/>
      <c r="AP141" s="1170"/>
      <c r="AQ141" s="1170"/>
      <c r="AR141" s="1170"/>
      <c r="AS141" s="1186" t="str">
        <f>CokingRefineryCalcs!C620</f>
        <v>MCR</v>
      </c>
      <c r="AT141" s="1170" t="str">
        <f ca="1">CokingRefineryCalcs!D620</f>
        <v>wt%</v>
      </c>
      <c r="AU141" s="1170" t="str">
        <f ca="1">CokingRefineryCalcs!F620</f>
        <v/>
      </c>
      <c r="AV141" s="1170"/>
      <c r="AW141" s="1170"/>
      <c r="AX141" s="1170"/>
      <c r="AY141" s="1170"/>
      <c r="AZ141" s="1170"/>
      <c r="BA141" s="1170"/>
      <c r="BB141" s="1170"/>
      <c r="BC141" s="1170"/>
      <c r="BD141" s="1170"/>
      <c r="BE141" s="1170"/>
      <c r="BF141" s="1170"/>
      <c r="BG141" s="1170"/>
      <c r="BH141" s="1170"/>
      <c r="BI141" s="1170"/>
      <c r="BJ141" s="1170"/>
      <c r="BK141" s="1170"/>
      <c r="BL141" s="1170"/>
      <c r="BM141" s="1170"/>
      <c r="BN141" s="1170"/>
      <c r="BO141" s="1170"/>
      <c r="BP141" s="1170"/>
      <c r="BQ141" s="1170"/>
      <c r="BR141" s="1170"/>
      <c r="BS141" s="1170"/>
      <c r="BT141" s="1170"/>
      <c r="BU141" s="1170"/>
      <c r="BV141" s="1170"/>
      <c r="BW141" s="1170"/>
      <c r="BX141" s="1170"/>
      <c r="BY141" s="1170"/>
      <c r="BZ141" s="1170"/>
      <c r="CA141" s="1170"/>
      <c r="CB141" s="1170"/>
      <c r="CC141" s="1170"/>
      <c r="CD141" s="1170"/>
      <c r="CE141" s="1170"/>
      <c r="CF141" s="1170"/>
      <c r="CG141" s="1170"/>
      <c r="CH141" s="1170"/>
      <c r="CI141" s="1170"/>
      <c r="CJ141" s="1170"/>
      <c r="CK141" s="1170"/>
      <c r="CL141" s="1170"/>
      <c r="CM141" s="1170"/>
      <c r="CN141" s="1170"/>
      <c r="CO141" s="1170"/>
      <c r="CP141" s="1170"/>
      <c r="CQ141" s="1170"/>
      <c r="CR141" s="1170"/>
      <c r="CS141" s="1170"/>
      <c r="CT141" s="1170"/>
      <c r="CU141" s="1170"/>
      <c r="CV141" s="1170"/>
      <c r="CW141" s="1170"/>
      <c r="CX141" s="1170"/>
      <c r="CY141" s="1160"/>
      <c r="CZ141" s="1160"/>
      <c r="DA141" s="1160"/>
      <c r="DB141" s="1160"/>
      <c r="DC141" s="1160"/>
      <c r="DD141" s="1160"/>
      <c r="DE141" s="1160"/>
      <c r="DF141" s="1160"/>
      <c r="DG141" s="1160"/>
      <c r="DH141" s="1160"/>
      <c r="DI141" s="1160"/>
      <c r="DJ141" s="1160"/>
      <c r="DK141" s="1160" t="s">
        <v>485</v>
      </c>
      <c r="DL141" s="1171">
        <f ca="1">(BL188+BO182)*$DL$143</f>
        <v>0</v>
      </c>
      <c r="DM141" s="1160"/>
      <c r="DN141" s="1160"/>
      <c r="DO141" s="1160"/>
      <c r="DP141" s="1160"/>
      <c r="DQ141" s="1160"/>
      <c r="DR141" s="1160"/>
      <c r="DS141" s="1160"/>
      <c r="DT141" s="1160"/>
      <c r="DU141" s="1160"/>
      <c r="DV141" s="1160"/>
      <c r="DW141" s="1160"/>
      <c r="DX141" s="1160"/>
      <c r="DY141" s="1160"/>
      <c r="DZ141" s="1160"/>
      <c r="EA141" s="1160"/>
      <c r="EB141" s="1160"/>
    </row>
    <row r="142" spans="1:132" x14ac:dyDescent="0.2">
      <c r="A142" s="1160"/>
      <c r="B142" s="1160"/>
      <c r="C142" s="1260"/>
      <c r="D142" s="1260"/>
      <c r="E142" s="1256"/>
      <c r="F142" s="1760"/>
      <c r="G142" s="1760"/>
      <c r="H142" s="1760"/>
      <c r="I142" s="1761"/>
      <c r="J142" s="1761"/>
      <c r="K142" s="1760"/>
      <c r="L142" s="1256"/>
      <c r="M142" s="1256"/>
      <c r="N142" s="1256"/>
      <c r="O142" s="1256"/>
      <c r="P142" s="1256"/>
      <c r="Q142" s="1256"/>
      <c r="R142" s="1170"/>
      <c r="S142" s="1170"/>
      <c r="T142" s="1170"/>
      <c r="U142" s="1170"/>
      <c r="V142" s="1170"/>
      <c r="W142" s="1170"/>
      <c r="X142" s="1170"/>
      <c r="Y142" s="1170"/>
      <c r="Z142" s="1170"/>
      <c r="AA142" s="1170"/>
      <c r="AB142" s="1170"/>
      <c r="AC142" s="1170"/>
      <c r="AD142" s="1170"/>
      <c r="AE142" s="1170"/>
      <c r="AF142" s="1170"/>
      <c r="AG142" s="1184" t="s">
        <v>225</v>
      </c>
      <c r="AH142" s="1184" t="s">
        <v>522</v>
      </c>
      <c r="AI142" s="1170"/>
      <c r="AJ142" s="1170"/>
      <c r="AK142" s="1200" t="s">
        <v>1056</v>
      </c>
      <c r="AL142" s="1199" t="s">
        <v>447</v>
      </c>
      <c r="AM142" s="1199">
        <f ca="1">('Energy &amp; Unit Conversions'!$D$63-('Energy &amp; Unit Conversions'!$E$63*POWER((CokingRefineryPFD!AM139/'Energy &amp; Unit Conversions'!$E$54),2)))</f>
        <v>46.693440000000002</v>
      </c>
      <c r="AN142" s="1170"/>
      <c r="AO142" s="1170"/>
      <c r="AP142" s="1170"/>
      <c r="AQ142" s="1170"/>
      <c r="AR142" s="1170"/>
      <c r="AS142" s="1200" t="s">
        <v>1056</v>
      </c>
      <c r="AT142" s="1199" t="s">
        <v>447</v>
      </c>
      <c r="AU142" s="1199">
        <f ca="1">('Energy &amp; Unit Conversions'!$D$63-('Energy &amp; Unit Conversions'!$E$63*POWER((CokingRefineryPFD!AU139/'Energy &amp; Unit Conversions'!$E$54),2)))</f>
        <v>46.693440000000002</v>
      </c>
      <c r="AV142" s="1170"/>
      <c r="AW142" s="1170"/>
      <c r="AX142" s="1170"/>
      <c r="AY142" s="1170"/>
      <c r="AZ142" s="1170"/>
      <c r="BA142" s="1170"/>
      <c r="BB142" s="1170"/>
      <c r="BC142" s="1170"/>
      <c r="BD142" s="1170"/>
      <c r="BE142" s="1170"/>
      <c r="BF142" s="1170"/>
      <c r="BG142" s="1170"/>
      <c r="BH142" s="1170"/>
      <c r="BI142" s="1170"/>
      <c r="BJ142" s="1170"/>
      <c r="BK142" s="1170"/>
      <c r="BL142" s="1170"/>
      <c r="BM142" s="1170"/>
      <c r="BN142" s="1170"/>
      <c r="BO142" s="1170"/>
      <c r="BP142" s="1170"/>
      <c r="BQ142" s="1170"/>
      <c r="BR142" s="1170"/>
      <c r="BS142" s="1170"/>
      <c r="BT142" s="1170"/>
      <c r="BU142" s="1170"/>
      <c r="BV142" s="1170"/>
      <c r="BW142" s="1170"/>
      <c r="BX142" s="1170"/>
      <c r="BY142" s="1170"/>
      <c r="BZ142" s="1170"/>
      <c r="CA142" s="1170"/>
      <c r="CB142" s="1170"/>
      <c r="CC142" s="1170"/>
      <c r="CD142" s="1170"/>
      <c r="CE142" s="1170"/>
      <c r="CF142" s="1170"/>
      <c r="CG142" s="1170"/>
      <c r="CH142" s="1170"/>
      <c r="CI142" s="1170"/>
      <c r="CJ142" s="1170"/>
      <c r="CK142" s="1170"/>
      <c r="CL142" s="1170"/>
      <c r="CM142" s="1170"/>
      <c r="CN142" s="1170"/>
      <c r="CO142" s="1170"/>
      <c r="CP142" s="1170"/>
      <c r="CQ142" s="1170"/>
      <c r="CR142" s="1170"/>
      <c r="CS142" s="1170"/>
      <c r="CT142" s="1170"/>
      <c r="CU142" s="1170"/>
      <c r="CV142" s="1170"/>
      <c r="CW142" s="1170"/>
      <c r="CX142" s="1170"/>
      <c r="CY142" s="1160"/>
      <c r="CZ142" s="1160"/>
      <c r="DA142" s="1160"/>
      <c r="DB142" s="1160"/>
      <c r="DC142" s="1160"/>
      <c r="DD142" s="1160"/>
      <c r="DE142" s="1160"/>
      <c r="DF142" s="1160"/>
      <c r="DG142" s="1160"/>
      <c r="DH142" s="1160"/>
      <c r="DI142" s="1160"/>
      <c r="DJ142" s="1160"/>
      <c r="DK142" s="1160" t="s">
        <v>541</v>
      </c>
      <c r="DL142" s="1245">
        <f ca="1">(BL189+BO183)*$DL$143</f>
        <v>0</v>
      </c>
      <c r="DM142" s="1160"/>
      <c r="DN142" s="1160"/>
      <c r="DO142" s="1160"/>
      <c r="DP142" s="1160"/>
      <c r="DQ142" s="1160"/>
      <c r="DR142" s="1160"/>
      <c r="DS142" s="1160"/>
      <c r="DT142" s="1160"/>
      <c r="DU142" s="1160"/>
      <c r="DV142" s="1160"/>
      <c r="DW142" s="1160"/>
      <c r="DX142" s="1160"/>
      <c r="DY142" s="1160"/>
      <c r="DZ142" s="1160"/>
      <c r="EA142" s="1160"/>
      <c r="EB142" s="1160"/>
    </row>
    <row r="143" spans="1:132" x14ac:dyDescent="0.2">
      <c r="A143" s="1160"/>
      <c r="B143" s="1160"/>
      <c r="C143" s="1260"/>
      <c r="D143" s="1260"/>
      <c r="E143" s="1256"/>
      <c r="F143" s="1256"/>
      <c r="G143" s="1256"/>
      <c r="H143" s="1256"/>
      <c r="I143" s="1256"/>
      <c r="J143" s="1256"/>
      <c r="K143" s="1256"/>
      <c r="L143" s="1256"/>
      <c r="M143" s="1256"/>
      <c r="N143" s="1256"/>
      <c r="O143" s="1256"/>
      <c r="P143" s="1256"/>
      <c r="Q143" s="1256"/>
      <c r="R143" s="1170"/>
      <c r="S143" s="1170"/>
      <c r="T143" s="1170"/>
      <c r="U143" s="1170"/>
      <c r="V143" s="1170"/>
      <c r="W143" s="1170"/>
      <c r="X143" s="1170"/>
      <c r="Y143" s="1170"/>
      <c r="Z143" s="1170"/>
      <c r="AA143" s="1170"/>
      <c r="AB143" s="1170"/>
      <c r="AC143" s="1170"/>
      <c r="AD143" s="1170"/>
      <c r="AE143" s="1170"/>
      <c r="AF143" s="1170"/>
      <c r="AG143" s="1170" t="s">
        <v>392</v>
      </c>
      <c r="AH143" s="1170">
        <f ca="1">'CokingRefinery Detailed Results'!F13</f>
        <v>0</v>
      </c>
      <c r="AI143" s="1170"/>
      <c r="AJ143" s="1170"/>
      <c r="AK143" s="1200" t="s">
        <v>1021</v>
      </c>
      <c r="AL143" s="1199" t="s">
        <v>1022</v>
      </c>
      <c r="AM143" s="1199">
        <f>Constants!G342</f>
        <v>85.620002746582003</v>
      </c>
      <c r="AN143" s="1170"/>
      <c r="AO143" s="1170"/>
      <c r="AP143" s="1170"/>
      <c r="AQ143" s="1170"/>
      <c r="AR143" s="1170"/>
      <c r="AS143" s="1200" t="s">
        <v>1021</v>
      </c>
      <c r="AT143" s="1199" t="s">
        <v>1022</v>
      </c>
      <c r="AU143" s="1199">
        <f>AM143</f>
        <v>85.620002746582003</v>
      </c>
      <c r="AV143" s="1170"/>
      <c r="AW143" s="1170"/>
      <c r="AX143" s="1170"/>
      <c r="AY143" s="1170"/>
      <c r="AZ143" s="1170"/>
      <c r="BA143" s="1170"/>
      <c r="BB143" s="1170"/>
      <c r="BC143" s="1170"/>
      <c r="BD143" s="1170"/>
      <c r="BE143" s="1170"/>
      <c r="BF143" s="1170"/>
      <c r="BG143" s="1170"/>
      <c r="BH143" s="1170"/>
      <c r="BI143" s="1170"/>
      <c r="BJ143" s="1170"/>
      <c r="BK143" s="1170"/>
      <c r="BL143" s="1170"/>
      <c r="BM143" s="1170"/>
      <c r="BN143" s="1170"/>
      <c r="BO143" s="1170"/>
      <c r="BP143" s="1170"/>
      <c r="BQ143" s="1170"/>
      <c r="BR143" s="1170"/>
      <c r="BS143" s="1170"/>
      <c r="BT143" s="1170"/>
      <c r="BU143" s="1170"/>
      <c r="BV143" s="1170"/>
      <c r="BW143" s="1170"/>
      <c r="BX143" s="1170"/>
      <c r="BY143" s="1170"/>
      <c r="BZ143" s="1170"/>
      <c r="CA143" s="1170"/>
      <c r="CB143" s="1170"/>
      <c r="CC143" s="1170"/>
      <c r="CD143" s="1181" t="str">
        <f>CokingRefineryCalcs!H469</f>
        <v>Fuel Oil</v>
      </c>
      <c r="CE143" s="1170"/>
      <c r="CF143" s="1170"/>
      <c r="CG143" s="1170"/>
      <c r="CH143" s="1191" t="str">
        <f>CD143</f>
        <v>Fuel Oil</v>
      </c>
      <c r="CI143" s="1170"/>
      <c r="CJ143" s="1170"/>
      <c r="CK143" s="1160"/>
      <c r="CL143" s="1170"/>
      <c r="CM143" s="1170"/>
      <c r="CN143" s="1170"/>
      <c r="CO143" s="1170"/>
      <c r="CP143" s="1170"/>
      <c r="CQ143" s="1170"/>
      <c r="CR143" s="1170"/>
      <c r="CS143" s="1170"/>
      <c r="CT143" s="1170"/>
      <c r="CU143" s="1170"/>
      <c r="CV143" s="1170"/>
      <c r="CW143" s="1170"/>
      <c r="CX143" s="1170"/>
      <c r="CY143" s="1160"/>
      <c r="CZ143" s="1160"/>
      <c r="DA143" s="1160"/>
      <c r="DB143" s="1160"/>
      <c r="DC143" s="1160"/>
      <c r="DD143" s="1160"/>
      <c r="DE143" s="1160"/>
      <c r="DF143" s="1160"/>
      <c r="DG143" s="1160"/>
      <c r="DH143" s="1160"/>
      <c r="DI143" s="1160"/>
      <c r="DJ143" s="1160"/>
      <c r="DK143" s="1191" t="s">
        <v>1066</v>
      </c>
      <c r="DL143" s="1245">
        <f ca="1">IF(CokingRefineryPFD!E50=TRUE,DL144,0)</f>
        <v>0</v>
      </c>
      <c r="DM143" s="1160"/>
      <c r="DN143" s="1160"/>
      <c r="DO143" s="1160"/>
      <c r="DP143" s="1160"/>
      <c r="DQ143" s="1160"/>
      <c r="DR143" s="1160"/>
      <c r="DS143" s="1160"/>
      <c r="DT143" s="1160"/>
      <c r="DU143" s="1160"/>
      <c r="DV143" s="1160"/>
      <c r="DW143" s="1160"/>
      <c r="DX143" s="1160"/>
      <c r="DY143" s="1160"/>
      <c r="DZ143" s="1980" t="s">
        <v>1898</v>
      </c>
      <c r="EA143" s="1160"/>
      <c r="EB143" s="1160"/>
    </row>
    <row r="144" spans="1:132" x14ac:dyDescent="0.2">
      <c r="A144" s="1160"/>
      <c r="B144" s="1160"/>
      <c r="C144" s="1261"/>
      <c r="D144" s="1260"/>
      <c r="E144" s="1256"/>
      <c r="F144" s="1256"/>
      <c r="G144" s="1256"/>
      <c r="H144" s="1256"/>
      <c r="I144" s="1256"/>
      <c r="J144" s="1256"/>
      <c r="K144" s="1256"/>
      <c r="L144" s="1256"/>
      <c r="M144" s="1256"/>
      <c r="N144" s="1256"/>
      <c r="O144" s="1256"/>
      <c r="P144" s="1256"/>
      <c r="Q144" s="1256"/>
      <c r="R144" s="1170"/>
      <c r="S144" s="1170"/>
      <c r="T144" s="1170"/>
      <c r="U144" s="1170"/>
      <c r="V144" s="1170"/>
      <c r="W144" s="1170"/>
      <c r="X144" s="1170"/>
      <c r="Y144" s="1170"/>
      <c r="Z144" s="1170"/>
      <c r="AA144" s="1170"/>
      <c r="AB144" s="1170"/>
      <c r="AC144" s="1170"/>
      <c r="AD144" s="1170"/>
      <c r="AE144" s="1170"/>
      <c r="AF144" s="1170"/>
      <c r="AG144" s="1170" t="s">
        <v>224</v>
      </c>
      <c r="AH144" s="1170">
        <f>'CokingRefinery Detailed Results'!H13</f>
        <v>0</v>
      </c>
      <c r="AI144" s="1170"/>
      <c r="AJ144" s="1170"/>
      <c r="AK144" s="1204" t="s">
        <v>1054</v>
      </c>
      <c r="AL144" s="1204" t="str">
        <f>IF(allocationMethod=1,$C$21,IF(allocationMethod=2,$C$22,IF(allocationMethod=3,$C$23,$C$24)))</f>
        <v>Hydrogen Content Basis</v>
      </c>
      <c r="AM144" s="1204">
        <f ca="1">IF(allocationMethod=1,AM136,IF(allocationMethod=2,AM142*AM136,IF(allocationMethod=3,AM143*AM134,AM140*AM136/100)))</f>
        <v>0</v>
      </c>
      <c r="AN144" s="1170"/>
      <c r="AO144" s="1170"/>
      <c r="AP144" s="1170"/>
      <c r="AQ144" s="1170"/>
      <c r="AR144" s="1170"/>
      <c r="AS144" s="1204" t="s">
        <v>1054</v>
      </c>
      <c r="AT144" s="1204" t="str">
        <f>IF(allocationMethod=1,$C$21,IF(allocationMethod=2,$C$22,IF(allocationMethod=3,$C$23,$C$24)))</f>
        <v>Hydrogen Content Basis</v>
      </c>
      <c r="AU144" s="1204">
        <f ca="1">IF(allocationMethod=1,AU136,IF(allocationMethod=2,AU142*AU136,IF(allocationMethod=3,AU143*AU134,AU140*AU136/100)))</f>
        <v>0</v>
      </c>
      <c r="AV144" s="1170"/>
      <c r="AW144" s="1170"/>
      <c r="AX144" s="1170"/>
      <c r="AY144" s="1170"/>
      <c r="AZ144" s="1170"/>
      <c r="BA144" s="1170"/>
      <c r="BB144" s="1170"/>
      <c r="BC144" s="1170"/>
      <c r="BD144" s="1170"/>
      <c r="BE144" s="1170"/>
      <c r="BF144" s="1170"/>
      <c r="BG144" s="1170"/>
      <c r="BH144" s="1170"/>
      <c r="BI144" s="1170"/>
      <c r="BJ144" s="1170"/>
      <c r="BK144" s="1170"/>
      <c r="BL144" s="1170"/>
      <c r="BM144" s="1170"/>
      <c r="BN144" s="1170"/>
      <c r="BO144" s="1170"/>
      <c r="BP144" s="1170"/>
      <c r="BQ144" s="1170"/>
      <c r="BR144" s="1170"/>
      <c r="BS144" s="1170"/>
      <c r="BT144" s="1170"/>
      <c r="BU144" s="1170"/>
      <c r="BV144" s="1170"/>
      <c r="BW144" s="1170"/>
      <c r="BX144" s="1170"/>
      <c r="BY144" s="1170"/>
      <c r="BZ144" s="1170"/>
      <c r="CA144" s="1170"/>
      <c r="CB144" s="1170"/>
      <c r="CC144" s="1170"/>
      <c r="CD144" s="1182" t="str">
        <f>CokingRefineryCalcs!C469</f>
        <v>Property</v>
      </c>
      <c r="CE144" s="1182" t="str">
        <f>CokingRefineryCalcs!D469</f>
        <v>Units</v>
      </c>
      <c r="CF144" s="1170"/>
      <c r="CG144" s="1170"/>
      <c r="CH144" s="1193" t="s">
        <v>226</v>
      </c>
      <c r="CI144" s="1170"/>
      <c r="CJ144" s="1194" t="s">
        <v>522</v>
      </c>
      <c r="CK144" s="1170"/>
      <c r="CL144" s="1170"/>
      <c r="CM144" s="1170"/>
      <c r="CN144" s="1170"/>
      <c r="CO144" s="1170"/>
      <c r="CP144" s="1170"/>
      <c r="CQ144" s="1170"/>
      <c r="CR144" s="1170"/>
      <c r="CS144" s="1170"/>
      <c r="CT144" s="1170"/>
      <c r="CU144" s="1170"/>
      <c r="CV144" s="1170"/>
      <c r="CW144" s="1170"/>
      <c r="CX144" s="1170"/>
      <c r="CY144" s="1160"/>
      <c r="CZ144" s="1160"/>
      <c r="DA144" s="1160"/>
      <c r="DB144" s="1160"/>
      <c r="DC144" s="1160"/>
      <c r="DD144" s="1160"/>
      <c r="DE144" s="1160"/>
      <c r="DF144" s="1160"/>
      <c r="DG144" s="1160"/>
      <c r="DH144" s="1160"/>
      <c r="DI144" s="1160"/>
      <c r="DJ144" s="1160"/>
      <c r="DK144" s="1191" t="s">
        <v>1065</v>
      </c>
      <c r="DL144" s="1245">
        <f ca="1">BP170/(BP170+BY181)</f>
        <v>0</v>
      </c>
      <c r="DM144" s="1160"/>
      <c r="DN144" s="1160"/>
      <c r="DO144" s="1160"/>
      <c r="DP144" s="1160"/>
      <c r="DQ144" s="1160"/>
      <c r="DR144" s="1160"/>
      <c r="DS144" s="1160"/>
      <c r="DT144" s="1160"/>
      <c r="DU144" s="1160"/>
      <c r="DV144" s="1160"/>
      <c r="DW144" s="1160"/>
      <c r="DX144" s="1160"/>
      <c r="DY144" s="1160"/>
      <c r="DZ144" s="1229" t="s">
        <v>620</v>
      </c>
      <c r="EA144" s="1160" t="s">
        <v>622</v>
      </c>
      <c r="EB144" s="1205">
        <f ca="1">CokingRefineryCalcs!E1438</f>
        <v>0</v>
      </c>
    </row>
    <row r="145" spans="1:132" ht="19.5" customHeight="1" x14ac:dyDescent="0.2">
      <c r="A145" s="1160"/>
      <c r="B145" s="1160"/>
      <c r="C145" s="1261"/>
      <c r="D145" s="1261"/>
      <c r="E145" s="1760"/>
      <c r="F145" s="1760"/>
      <c r="G145" s="1760"/>
      <c r="H145" s="1760"/>
      <c r="I145" s="1760"/>
      <c r="J145" s="1760"/>
      <c r="K145" s="1760"/>
      <c r="L145" s="1760"/>
      <c r="M145" s="1760"/>
      <c r="N145" s="1760"/>
      <c r="O145" s="1760"/>
      <c r="P145" s="1256"/>
      <c r="Q145" s="1256"/>
      <c r="R145" s="1170"/>
      <c r="S145" s="1170"/>
      <c r="T145" s="1170"/>
      <c r="U145" s="1170"/>
      <c r="V145" s="1170"/>
      <c r="W145" s="1170"/>
      <c r="X145" s="1170"/>
      <c r="Y145" s="1170"/>
      <c r="Z145" s="1170"/>
      <c r="AA145" s="1170"/>
      <c r="AB145" s="1170"/>
      <c r="AC145" s="1170"/>
      <c r="AD145" s="1170"/>
      <c r="AE145" s="1170"/>
      <c r="AF145" s="1170"/>
      <c r="AG145" s="1170" t="s">
        <v>485</v>
      </c>
      <c r="AH145" s="1170">
        <f ca="1">'CokingRefinery Detailed Results'!J13</f>
        <v>2.3413327987306458E-13</v>
      </c>
      <c r="AI145" s="1170"/>
      <c r="AJ145" s="1170"/>
      <c r="AK145" s="1180" t="str">
        <f>AK132</f>
        <v>LVGO</v>
      </c>
      <c r="AL145" s="1170"/>
      <c r="AM145" s="1170"/>
      <c r="AN145" s="1199"/>
      <c r="AO145" s="1170"/>
      <c r="AP145" s="1170"/>
      <c r="AQ145" s="1170"/>
      <c r="AR145" s="1170"/>
      <c r="AS145" s="1170"/>
      <c r="AT145" s="1170"/>
      <c r="AU145" s="1170"/>
      <c r="AV145" s="1170"/>
      <c r="AW145" s="1170"/>
      <c r="AX145" s="1170"/>
      <c r="AY145" s="1170"/>
      <c r="AZ145" s="1170"/>
      <c r="BA145" s="1170"/>
      <c r="BB145" s="1170"/>
      <c r="BC145" s="1170"/>
      <c r="BD145" s="1170"/>
      <c r="BE145" s="1170"/>
      <c r="BF145" s="1170"/>
      <c r="BG145" s="1170"/>
      <c r="BH145" s="1170"/>
      <c r="BI145" s="1170"/>
      <c r="BJ145" s="1170"/>
      <c r="BK145" s="1170"/>
      <c r="BL145" s="1170"/>
      <c r="BM145" s="1170"/>
      <c r="BN145" s="1170"/>
      <c r="BO145" s="1170"/>
      <c r="BP145" s="1170"/>
      <c r="BQ145" s="1170"/>
      <c r="BR145" s="1170"/>
      <c r="BS145" s="1170"/>
      <c r="BT145" s="1170"/>
      <c r="BU145" s="1170"/>
      <c r="BV145" s="1170"/>
      <c r="BW145" s="1170"/>
      <c r="BX145" s="1170"/>
      <c r="BY145" s="1170"/>
      <c r="BZ145" s="1170"/>
      <c r="CA145" s="1170"/>
      <c r="CB145" s="1170"/>
      <c r="CC145" s="1170"/>
      <c r="CD145" s="1186" t="str">
        <f>CokingRefineryCalcs!C470</f>
        <v>Vol Flow</v>
      </c>
      <c r="CE145" s="1170" t="str">
        <f>CokingRefineryCalcs!D470</f>
        <v>bpd</v>
      </c>
      <c r="CF145" s="1170">
        <f ca="1">CokingRefineryCalcs!H470</f>
        <v>9.5874308491111665E-21</v>
      </c>
      <c r="CG145" s="1170"/>
      <c r="CH145" s="1160" t="s">
        <v>263</v>
      </c>
      <c r="CI145" s="1170"/>
      <c r="CJ145" s="1187">
        <f ca="1">BT129*CJ150</f>
        <v>0</v>
      </c>
      <c r="CK145" s="1170"/>
      <c r="CL145" s="1170"/>
      <c r="CM145" s="1170"/>
      <c r="CN145" s="1170"/>
      <c r="CO145" s="1170"/>
      <c r="CP145" s="1170"/>
      <c r="CQ145" s="1170"/>
      <c r="CR145" s="1170"/>
      <c r="CS145" s="1170"/>
      <c r="CT145" s="1170"/>
      <c r="CU145" s="1170"/>
      <c r="CV145" s="1170"/>
      <c r="CW145" s="1170"/>
      <c r="CX145" s="1170"/>
      <c r="CY145" s="1160"/>
      <c r="CZ145" s="1160"/>
      <c r="DA145" s="1160"/>
      <c r="DB145" s="1160"/>
      <c r="DC145" s="1160"/>
      <c r="DD145" s="1160"/>
      <c r="DE145" s="1160"/>
      <c r="DF145" s="1160"/>
      <c r="DG145" s="1160"/>
      <c r="DH145" s="1160"/>
      <c r="DI145" s="1160"/>
      <c r="DJ145" s="1160"/>
      <c r="DK145" s="1255" t="s">
        <v>228</v>
      </c>
      <c r="DL145" s="1245">
        <f ca="1">BP163/(BL174+BO186)</f>
        <v>2E-3</v>
      </c>
      <c r="DM145" s="1160"/>
      <c r="DN145" s="1160"/>
      <c r="DO145" s="1160"/>
      <c r="DP145" s="1160"/>
      <c r="DQ145" s="1160"/>
      <c r="DR145" s="1160"/>
      <c r="DS145" s="1160"/>
      <c r="DT145" s="1160"/>
      <c r="DU145" s="1160"/>
      <c r="DV145" s="1160"/>
      <c r="DW145" s="1160"/>
      <c r="DX145" s="1160"/>
      <c r="DY145" s="1160"/>
      <c r="DZ145" s="1160"/>
      <c r="EA145" s="1204"/>
      <c r="EB145" s="1160"/>
    </row>
    <row r="146" spans="1:132" x14ac:dyDescent="0.2">
      <c r="A146" s="1160"/>
      <c r="B146" s="1160"/>
      <c r="C146" s="1261"/>
      <c r="D146" s="1261"/>
      <c r="E146" s="1760"/>
      <c r="F146" s="1760"/>
      <c r="G146" s="1760"/>
      <c r="H146" s="1760"/>
      <c r="I146" s="1760"/>
      <c r="J146" s="1760"/>
      <c r="K146" s="1760"/>
      <c r="L146" s="1760"/>
      <c r="M146" s="1760"/>
      <c r="N146" s="1760"/>
      <c r="O146" s="1256"/>
      <c r="P146" s="1256"/>
      <c r="Q146" s="1256"/>
      <c r="R146" s="1170"/>
      <c r="S146" s="1170"/>
      <c r="T146" s="1170"/>
      <c r="U146" s="1170"/>
      <c r="V146" s="1170"/>
      <c r="W146" s="1170"/>
      <c r="X146" s="1170"/>
      <c r="Y146" s="1170"/>
      <c r="Z146" s="1170"/>
      <c r="AA146" s="1170"/>
      <c r="AB146" s="1170"/>
      <c r="AC146" s="1170"/>
      <c r="AD146" s="1170"/>
      <c r="AE146" s="1170"/>
      <c r="AF146" s="1170"/>
      <c r="AG146" s="1170" t="s">
        <v>541</v>
      </c>
      <c r="AH146" s="1170">
        <f>'CokingRefinery Detailed Results'!L13</f>
        <v>0</v>
      </c>
      <c r="AI146" s="1170"/>
      <c r="AJ146" s="1170"/>
      <c r="AK146" s="1183" t="s">
        <v>226</v>
      </c>
      <c r="AL146" s="1170"/>
      <c r="AM146" s="1184" t="s">
        <v>522</v>
      </c>
      <c r="AN146" s="1199"/>
      <c r="AO146" s="1170"/>
      <c r="AP146" s="1170"/>
      <c r="AQ146" s="1170"/>
      <c r="AR146" s="1170"/>
      <c r="AS146" s="1170"/>
      <c r="AT146" s="1170"/>
      <c r="AU146" s="1170"/>
      <c r="AV146" s="1170"/>
      <c r="AW146" s="1170"/>
      <c r="AX146" s="1170"/>
      <c r="AY146" s="1170"/>
      <c r="AZ146" s="1170"/>
      <c r="BA146" s="1170"/>
      <c r="BB146" s="1170"/>
      <c r="BC146" s="1170"/>
      <c r="BD146" s="1170"/>
      <c r="BE146" s="1170"/>
      <c r="BF146" s="1170"/>
      <c r="BG146" s="1170"/>
      <c r="BH146" s="1170"/>
      <c r="BI146" s="1170"/>
      <c r="BJ146" s="1170"/>
      <c r="BK146" s="1170"/>
      <c r="BL146" s="1170"/>
      <c r="BM146" s="1170"/>
      <c r="BN146" s="1170"/>
      <c r="BO146" s="1170"/>
      <c r="BP146" s="1170"/>
      <c r="BQ146" s="1170"/>
      <c r="BR146" s="1170"/>
      <c r="BS146" s="1170"/>
      <c r="BT146" s="1170"/>
      <c r="BU146" s="1170"/>
      <c r="BV146" s="1170"/>
      <c r="BW146" s="1170"/>
      <c r="BX146" s="1170"/>
      <c r="BY146" s="1170"/>
      <c r="BZ146" s="1170"/>
      <c r="CA146" s="1170"/>
      <c r="CB146" s="1170"/>
      <c r="CC146" s="1170"/>
      <c r="CD146" s="1186" t="str">
        <f>CokingRefineryCalcs!C471</f>
        <v>Vol Flow</v>
      </c>
      <c r="CE146" s="1170" t="str">
        <f>CokingRefineryCalcs!D471</f>
        <v>m^3/d</v>
      </c>
      <c r="CF146" s="1170">
        <f ca="1">CokingRefineryCalcs!H471</f>
        <v>1.5242797446368918E-21</v>
      </c>
      <c r="CG146" s="1170"/>
      <c r="CH146" s="1160" t="s">
        <v>392</v>
      </c>
      <c r="CI146" s="1170"/>
      <c r="CJ146" s="1187">
        <f ca="1">(BT130+BY105)*$CJ$150</f>
        <v>0</v>
      </c>
      <c r="CK146" s="1170"/>
      <c r="CL146" s="1170"/>
      <c r="CM146" s="1170"/>
      <c r="CN146" s="1170"/>
      <c r="CO146" s="1170"/>
      <c r="CP146" s="1170"/>
      <c r="CQ146" s="1170"/>
      <c r="CR146" s="1170"/>
      <c r="CS146" s="1170"/>
      <c r="CT146" s="1170"/>
      <c r="CU146" s="1170"/>
      <c r="CV146" s="1170"/>
      <c r="CW146" s="1170"/>
      <c r="CX146" s="1170"/>
      <c r="CY146" s="1160"/>
      <c r="CZ146" s="1160"/>
      <c r="DA146" s="1160"/>
      <c r="DB146" s="1160"/>
      <c r="DC146" s="1160"/>
      <c r="DD146" s="1160"/>
      <c r="DE146" s="1160"/>
      <c r="DF146" s="1160"/>
      <c r="DG146" s="1160"/>
      <c r="DH146" s="1160"/>
      <c r="DI146" s="1160"/>
      <c r="DJ146" s="1160"/>
      <c r="DK146" s="1171"/>
      <c r="DL146" s="1160"/>
      <c r="DM146" s="1160"/>
      <c r="DN146" s="1160"/>
      <c r="DO146" s="1160"/>
      <c r="DP146" s="1160"/>
      <c r="DQ146" s="1160"/>
      <c r="DR146" s="1160"/>
      <c r="DS146" s="1160"/>
      <c r="DT146" s="1160"/>
      <c r="DU146" s="1160"/>
      <c r="DV146" s="1160"/>
      <c r="DW146" s="1160"/>
      <c r="DX146" s="1160"/>
      <c r="DY146" s="1160"/>
      <c r="DZ146" s="1160"/>
      <c r="EA146" s="1160"/>
      <c r="EB146" s="1160"/>
    </row>
    <row r="147" spans="1:132" x14ac:dyDescent="0.2">
      <c r="A147" s="1160"/>
      <c r="B147" s="1160"/>
      <c r="C147" s="1261"/>
      <c r="D147" s="1261"/>
      <c r="E147" s="1760"/>
      <c r="F147" s="1760"/>
      <c r="G147" s="1760"/>
      <c r="H147" s="1760"/>
      <c r="I147" s="1760"/>
      <c r="J147" s="1760"/>
      <c r="K147" s="1760"/>
      <c r="L147" s="1760"/>
      <c r="M147" s="1760"/>
      <c r="N147" s="1760"/>
      <c r="O147" s="1256"/>
      <c r="P147" s="1256"/>
      <c r="Q147" s="1256"/>
      <c r="R147" s="1170"/>
      <c r="S147" s="1170"/>
      <c r="T147" s="1170"/>
      <c r="U147" s="1170"/>
      <c r="V147" s="1170"/>
      <c r="W147" s="1170"/>
      <c r="X147" s="1170"/>
      <c r="Y147" s="1170"/>
      <c r="Z147" s="1170"/>
      <c r="AA147" s="1170"/>
      <c r="AB147" s="1170"/>
      <c r="AC147" s="1170"/>
      <c r="AD147" s="1170"/>
      <c r="AE147" s="1170"/>
      <c r="AF147" s="1170"/>
      <c r="AG147" s="1170"/>
      <c r="AH147" s="1170"/>
      <c r="AI147" s="1170"/>
      <c r="AJ147" s="1170"/>
      <c r="AK147" s="1170" t="s">
        <v>263</v>
      </c>
      <c r="AL147" s="1170"/>
      <c r="AM147" s="1187">
        <f ca="1">AE181*AM152</f>
        <v>0</v>
      </c>
      <c r="AN147" s="1170"/>
      <c r="AO147" s="1170"/>
      <c r="AP147" s="1170"/>
      <c r="AQ147" s="1170"/>
      <c r="AR147" s="1170"/>
      <c r="AS147" s="1170"/>
      <c r="AT147" s="1170"/>
      <c r="AU147" s="1170"/>
      <c r="AV147" s="1170"/>
      <c r="AW147" s="1170"/>
      <c r="AX147" s="1170"/>
      <c r="AY147" s="1170"/>
      <c r="AZ147" s="1170"/>
      <c r="BA147" s="1170"/>
      <c r="BB147" s="1170"/>
      <c r="BC147" s="1170"/>
      <c r="BD147" s="1170"/>
      <c r="BE147" s="1170"/>
      <c r="BF147" s="1170"/>
      <c r="BG147" s="1170"/>
      <c r="BH147" s="1170"/>
      <c r="BI147" s="1170"/>
      <c r="BJ147" s="1170"/>
      <c r="BK147" s="1170"/>
      <c r="BL147" s="1170"/>
      <c r="BM147" s="1170"/>
      <c r="BN147" s="1170"/>
      <c r="BO147" s="1170"/>
      <c r="BP147" s="1170"/>
      <c r="BQ147" s="1170"/>
      <c r="BR147" s="1170"/>
      <c r="BS147" s="1170"/>
      <c r="BT147" s="1170"/>
      <c r="BU147" s="1170"/>
      <c r="BV147" s="1170"/>
      <c r="BW147" s="1170"/>
      <c r="BX147" s="1170"/>
      <c r="BY147" s="1170"/>
      <c r="BZ147" s="1170"/>
      <c r="CA147" s="1170"/>
      <c r="CB147" s="1170"/>
      <c r="CC147" s="1170"/>
      <c r="CD147" s="1186" t="str">
        <f>CokingRefineryCalcs!C472</f>
        <v>Mass Flow</v>
      </c>
      <c r="CE147" s="1170" t="str">
        <f>CokingRefineryCalcs!D472</f>
        <v>kg/d</v>
      </c>
      <c r="CF147" s="1170">
        <f ca="1">CokingRefineryCalcs!H472</f>
        <v>1.2651630422892739E-18</v>
      </c>
      <c r="CG147" s="1170"/>
      <c r="CH147" s="1160" t="s">
        <v>224</v>
      </c>
      <c r="CI147" s="1170"/>
      <c r="CJ147" s="1187">
        <f ca="1">(BT131+BY106)*$CJ$150</f>
        <v>0</v>
      </c>
      <c r="CK147" s="1170"/>
      <c r="CL147" s="1170"/>
      <c r="CM147" s="1170"/>
      <c r="CN147" s="1170"/>
      <c r="CO147" s="1170"/>
      <c r="CP147" s="1170"/>
      <c r="CQ147" s="1170"/>
      <c r="CR147" s="1170"/>
      <c r="CS147" s="1170"/>
      <c r="CT147" s="1170"/>
      <c r="CU147" s="1170"/>
      <c r="CV147" s="1170"/>
      <c r="CW147" s="1170"/>
      <c r="CX147" s="1170"/>
      <c r="CY147" s="1160"/>
      <c r="CZ147" s="1160"/>
      <c r="DA147" s="1160"/>
      <c r="DB147" s="1160"/>
      <c r="DC147" s="1160"/>
      <c r="DD147" s="1160"/>
      <c r="DE147" s="1160"/>
      <c r="DF147" s="1160"/>
      <c r="DG147" s="1160"/>
      <c r="DH147" s="1160"/>
      <c r="DI147" s="1160"/>
      <c r="DJ147" s="1160"/>
      <c r="DK147" s="1191" t="str">
        <f>BW184</f>
        <v>FCC FHT Fuel Gas</v>
      </c>
      <c r="DL147" s="1171">
        <f ca="1">CokingRefineryCalcs!E985</f>
        <v>5.1664320492357097E-17</v>
      </c>
      <c r="DM147" s="1160" t="s">
        <v>622</v>
      </c>
      <c r="DN147" s="1160"/>
      <c r="DO147" s="1160"/>
      <c r="DP147" s="1160"/>
      <c r="DQ147" s="1160"/>
      <c r="DR147" s="1160"/>
      <c r="DS147" s="1160"/>
      <c r="DT147" s="1160"/>
      <c r="DU147" s="1160"/>
      <c r="DV147" s="1160"/>
      <c r="DW147" s="1160"/>
      <c r="DX147" s="1160"/>
      <c r="DY147" s="1160"/>
      <c r="DZ147" s="2070" t="s">
        <v>1898</v>
      </c>
      <c r="EA147" s="1160"/>
      <c r="EB147" s="1160"/>
    </row>
    <row r="148" spans="1:132" x14ac:dyDescent="0.2">
      <c r="A148" s="1160"/>
      <c r="B148" s="1160"/>
      <c r="C148" s="1261"/>
      <c r="D148" s="1261"/>
      <c r="E148" s="1760"/>
      <c r="F148" s="1760"/>
      <c r="G148" s="1760"/>
      <c r="H148" s="1760"/>
      <c r="I148" s="1760"/>
      <c r="J148" s="1760"/>
      <c r="K148" s="1760"/>
      <c r="L148" s="1760"/>
      <c r="M148" s="1760"/>
      <c r="N148" s="1760"/>
      <c r="O148" s="1761"/>
      <c r="P148" s="1256"/>
      <c r="Q148" s="1256"/>
      <c r="R148" s="1170"/>
      <c r="S148" s="1170"/>
      <c r="T148" s="1170"/>
      <c r="U148" s="1170"/>
      <c r="V148" s="1170"/>
      <c r="W148" s="1170"/>
      <c r="X148" s="1170"/>
      <c r="Y148" s="1170"/>
      <c r="Z148" s="1170"/>
      <c r="AA148" s="1170"/>
      <c r="AB148" s="1170"/>
      <c r="AC148" s="1170"/>
      <c r="AD148" s="1170"/>
      <c r="AE148" s="1170"/>
      <c r="AF148" s="1170"/>
      <c r="AG148" s="1170"/>
      <c r="AH148" s="1170"/>
      <c r="AI148" s="1170"/>
      <c r="AJ148" s="1170"/>
      <c r="AK148" s="1170" t="s">
        <v>392</v>
      </c>
      <c r="AL148" s="1170"/>
      <c r="AM148" s="1187">
        <f ca="1">(AE182+AH143)*$AM$152</f>
        <v>0</v>
      </c>
      <c r="AN148" s="1170"/>
      <c r="AO148" s="1170"/>
      <c r="AP148" s="1170"/>
      <c r="AQ148" s="1170"/>
      <c r="AR148" s="1170"/>
      <c r="AS148" s="1170"/>
      <c r="AT148" s="1170"/>
      <c r="AU148" s="1170"/>
      <c r="AV148" s="1170"/>
      <c r="AW148" s="1170"/>
      <c r="AX148" s="1170"/>
      <c r="AY148" s="1170"/>
      <c r="AZ148" s="1170"/>
      <c r="BA148" s="1170"/>
      <c r="BB148" s="1170"/>
      <c r="BC148" s="1170"/>
      <c r="BD148" s="1170"/>
      <c r="BE148" s="1170"/>
      <c r="BF148" s="1170"/>
      <c r="BG148" s="1170"/>
      <c r="BH148" s="1170"/>
      <c r="BI148" s="1170"/>
      <c r="BJ148" s="1170"/>
      <c r="BK148" s="1170"/>
      <c r="BL148" s="1170"/>
      <c r="BM148" s="1170"/>
      <c r="BN148" s="1170"/>
      <c r="BO148" s="1170"/>
      <c r="BP148" s="1170"/>
      <c r="BQ148" s="1170"/>
      <c r="BR148" s="1170"/>
      <c r="BS148" s="1170"/>
      <c r="BT148" s="1170"/>
      <c r="BU148" s="1170"/>
      <c r="BV148" s="1170"/>
      <c r="BW148" s="1170"/>
      <c r="BX148" s="1170"/>
      <c r="BY148" s="1170"/>
      <c r="BZ148" s="1170"/>
      <c r="CA148" s="1170"/>
      <c r="CB148" s="1170"/>
      <c r="CC148" s="1170"/>
      <c r="CD148" s="1186" t="str">
        <f>CokingRefineryCalcs!C473</f>
        <v>S</v>
      </c>
      <c r="CE148" s="1170" t="str">
        <f>CokingRefineryCalcs!D473</f>
        <v>wt%</v>
      </c>
      <c r="CF148" s="1170">
        <f ca="1">CokingRefineryCalcs!H473</f>
        <v>4.017723721006432E-6</v>
      </c>
      <c r="CG148" s="1170"/>
      <c r="CH148" s="1160" t="s">
        <v>485</v>
      </c>
      <c r="CI148" s="1170"/>
      <c r="CJ148" s="1187">
        <f ca="1">(BT132+BY107)*$CJ$150</f>
        <v>0</v>
      </c>
      <c r="CK148" s="1170"/>
      <c r="CL148" s="1170"/>
      <c r="CM148" s="1170"/>
      <c r="CN148" s="1170"/>
      <c r="CO148" s="1170"/>
      <c r="CP148" s="1170"/>
      <c r="CQ148" s="1170"/>
      <c r="CR148" s="1170"/>
      <c r="CS148" s="1170"/>
      <c r="CT148" s="1170"/>
      <c r="CU148" s="1170"/>
      <c r="CV148" s="1170"/>
      <c r="CW148" s="1170"/>
      <c r="CX148" s="1170"/>
      <c r="CY148" s="1160"/>
      <c r="CZ148" s="1170"/>
      <c r="DA148" s="1170"/>
      <c r="DB148" s="1170"/>
      <c r="DC148" s="1160"/>
      <c r="DD148" s="1160"/>
      <c r="DE148" s="1160"/>
      <c r="DF148" s="1160"/>
      <c r="DG148" s="1160"/>
      <c r="DH148" s="1160"/>
      <c r="DI148" s="1160"/>
      <c r="DJ148" s="1160"/>
      <c r="DK148" s="1191" t="s">
        <v>226</v>
      </c>
      <c r="DL148" s="1243" t="s">
        <v>522</v>
      </c>
      <c r="DM148" s="1160"/>
      <c r="DN148" s="1160"/>
      <c r="DO148" s="1160"/>
      <c r="DP148" s="1160"/>
      <c r="DQ148" s="1160"/>
      <c r="DR148" s="1160"/>
      <c r="DS148" s="1160"/>
      <c r="DT148" s="1160"/>
      <c r="DU148" s="1160"/>
      <c r="DV148" s="1160"/>
      <c r="DW148" s="1160"/>
      <c r="DX148" s="1160"/>
      <c r="DY148" s="1160"/>
      <c r="DZ148" s="1193" t="s">
        <v>226</v>
      </c>
      <c r="EA148" s="1160"/>
      <c r="EB148" s="1194" t="s">
        <v>522</v>
      </c>
    </row>
    <row r="149" spans="1:132" x14ac:dyDescent="0.2">
      <c r="A149" s="1160"/>
      <c r="B149" s="1160"/>
      <c r="C149" s="1261"/>
      <c r="D149" s="1261"/>
      <c r="E149" s="1760"/>
      <c r="F149" s="1760"/>
      <c r="G149" s="1760"/>
      <c r="H149" s="1760"/>
      <c r="I149" s="1760"/>
      <c r="J149" s="1760"/>
      <c r="K149" s="1760"/>
      <c r="L149" s="1760"/>
      <c r="M149" s="1760"/>
      <c r="N149" s="1760"/>
      <c r="O149" s="1256"/>
      <c r="P149" s="1256"/>
      <c r="Q149" s="1256"/>
      <c r="R149" s="1170"/>
      <c r="S149" s="1170"/>
      <c r="T149" s="1170"/>
      <c r="U149" s="1170"/>
      <c r="V149" s="1170"/>
      <c r="W149" s="1170"/>
      <c r="X149" s="1170"/>
      <c r="Y149" s="1170"/>
      <c r="Z149" s="1170"/>
      <c r="AA149" s="1170"/>
      <c r="AB149" s="1170"/>
      <c r="AC149" s="1170"/>
      <c r="AD149" s="1170"/>
      <c r="AE149" s="1170"/>
      <c r="AF149" s="1170"/>
      <c r="AG149" s="1170"/>
      <c r="AH149" s="1170"/>
      <c r="AI149" s="1170"/>
      <c r="AJ149" s="1170"/>
      <c r="AK149" s="1170" t="s">
        <v>224</v>
      </c>
      <c r="AL149" s="1170"/>
      <c r="AM149" s="1187">
        <f ca="1">(AE183+AH144)*$AM$152</f>
        <v>0</v>
      </c>
      <c r="AN149" s="1184"/>
      <c r="AO149" s="1170"/>
      <c r="AP149" s="1170"/>
      <c r="AQ149" s="1170"/>
      <c r="AR149" s="1170"/>
      <c r="AS149" s="1170"/>
      <c r="AT149" s="1170"/>
      <c r="AU149" s="1170"/>
      <c r="AV149" s="1170"/>
      <c r="AW149" s="1170"/>
      <c r="AX149" s="1170"/>
      <c r="AY149" s="1170"/>
      <c r="AZ149" s="1170"/>
      <c r="BA149" s="1170"/>
      <c r="BB149" s="1170"/>
      <c r="BC149" s="1170"/>
      <c r="BD149" s="1170"/>
      <c r="BE149" s="1170"/>
      <c r="BF149" s="1170"/>
      <c r="BG149" s="1170"/>
      <c r="BH149" s="1170"/>
      <c r="BI149" s="1170"/>
      <c r="BJ149" s="1170"/>
      <c r="BK149" s="1170"/>
      <c r="BL149" s="1170"/>
      <c r="BM149" s="1170"/>
      <c r="BN149" s="1170"/>
      <c r="BO149" s="1170"/>
      <c r="BP149" s="1170"/>
      <c r="BQ149" s="1170"/>
      <c r="BR149" s="1170"/>
      <c r="BS149" s="1170"/>
      <c r="BT149" s="1170"/>
      <c r="BU149" s="1170"/>
      <c r="BV149" s="1170"/>
      <c r="BW149" s="1170"/>
      <c r="BX149" s="1170"/>
      <c r="BY149" s="1170"/>
      <c r="BZ149" s="1170"/>
      <c r="CA149" s="1170"/>
      <c r="CB149" s="1170"/>
      <c r="CC149" s="1170"/>
      <c r="CD149" s="1186" t="str">
        <f>CokingRefineryCalcs!C475</f>
        <v>API</v>
      </c>
      <c r="CE149" s="1170"/>
      <c r="CF149" s="1170">
        <f ca="1">CokingRefineryCalcs!H475</f>
        <v>38.980465091553498</v>
      </c>
      <c r="CG149" s="1170"/>
      <c r="CH149" s="1160" t="s">
        <v>541</v>
      </c>
      <c r="CI149" s="1170"/>
      <c r="CJ149" s="1187">
        <f ca="1">(BT133+BX108)*$CJ$150</f>
        <v>0</v>
      </c>
      <c r="CK149" s="1170"/>
      <c r="CL149" s="1170"/>
      <c r="CM149" s="1170"/>
      <c r="CN149" s="1170"/>
      <c r="CO149" s="1170"/>
      <c r="CP149" s="1170"/>
      <c r="CQ149" s="1170"/>
      <c r="CR149" s="1170"/>
      <c r="CS149" s="1170"/>
      <c r="CT149" s="1170"/>
      <c r="CU149" s="1170"/>
      <c r="CV149" s="1170"/>
      <c r="CW149" s="1170"/>
      <c r="CX149" s="1170"/>
      <c r="CY149" s="1160"/>
      <c r="CZ149" s="1160"/>
      <c r="DA149" s="1160"/>
      <c r="DB149" s="1181" t="str">
        <f ca="1">IF(CokingRefineryConfig=0,"Heating Oil (Fuel Oil)","Fuel Oil")</f>
        <v>Heating Oil (Fuel Oil)</v>
      </c>
      <c r="DC149" s="1170"/>
      <c r="DD149" s="1170"/>
      <c r="DE149" s="1180" t="str">
        <f ca="1">DB149</f>
        <v>Heating Oil (Fuel Oil)</v>
      </c>
      <c r="DF149" s="1180"/>
      <c r="DG149" s="1160"/>
      <c r="DH149" s="1170"/>
      <c r="DI149" s="1160"/>
      <c r="DJ149" s="1160"/>
      <c r="DK149" s="1160" t="s">
        <v>263</v>
      </c>
      <c r="DL149" s="1254">
        <f ca="1">(AZ109+AZ153+AZ186+BT273)*$DL$154</f>
        <v>0</v>
      </c>
      <c r="DM149" s="1160"/>
      <c r="DN149" s="1160"/>
      <c r="DO149" s="1160"/>
      <c r="DP149" s="1160"/>
      <c r="DQ149" s="1160"/>
      <c r="DR149" s="1160"/>
      <c r="DS149" s="1160"/>
      <c r="DT149" s="1160"/>
      <c r="DU149" s="1160"/>
      <c r="DV149" s="1160"/>
      <c r="DW149" s="1160"/>
      <c r="DX149" s="1160"/>
      <c r="DY149" s="1160"/>
      <c r="DZ149" s="1160" t="s">
        <v>263</v>
      </c>
      <c r="EA149" s="1160"/>
      <c r="EB149" s="1187">
        <f ca="1">(DL$81+DL$92+DL$103+DL$114+DL$126+DL$138+DL$149+DL$160+DL$58+DL$70)*$EB155</f>
        <v>0</v>
      </c>
    </row>
    <row r="150" spans="1:132" x14ac:dyDescent="0.2">
      <c r="A150" s="1160"/>
      <c r="B150" s="1160"/>
      <c r="C150" s="1261"/>
      <c r="D150" s="1261"/>
      <c r="E150" s="1760"/>
      <c r="F150" s="1760"/>
      <c r="G150" s="1760"/>
      <c r="H150" s="1760"/>
      <c r="I150" s="1760"/>
      <c r="J150" s="1760"/>
      <c r="K150" s="1760"/>
      <c r="L150" s="1760"/>
      <c r="M150" s="1760"/>
      <c r="N150" s="1760"/>
      <c r="O150" s="1256"/>
      <c r="P150" s="1256"/>
      <c r="Q150" s="1256"/>
      <c r="R150" s="1170"/>
      <c r="S150" s="1170"/>
      <c r="T150" s="1170"/>
      <c r="U150" s="1170"/>
      <c r="V150" s="1170"/>
      <c r="W150" s="1170"/>
      <c r="X150" s="1170"/>
      <c r="Y150" s="1170"/>
      <c r="Z150" s="1170"/>
      <c r="AA150" s="1170"/>
      <c r="AB150" s="1170"/>
      <c r="AC150" s="1170"/>
      <c r="AD150" s="1170"/>
      <c r="AE150" s="1170"/>
      <c r="AF150" s="1170"/>
      <c r="AG150" s="1170"/>
      <c r="AH150" s="1170"/>
      <c r="AI150" s="1170"/>
      <c r="AJ150" s="1170"/>
      <c r="AK150" s="1170" t="s">
        <v>485</v>
      </c>
      <c r="AL150" s="1170"/>
      <c r="AM150" s="1187">
        <f ca="1">(AE184+AH145)*$AM$152</f>
        <v>0</v>
      </c>
      <c r="AN150" s="1170"/>
      <c r="AO150" s="1170"/>
      <c r="AP150" s="1170"/>
      <c r="AQ150" s="1170"/>
      <c r="AR150" s="1170"/>
      <c r="AS150" s="1170"/>
      <c r="AT150" s="1170"/>
      <c r="AU150" s="1170"/>
      <c r="AV150" s="1170"/>
      <c r="AW150" s="1170"/>
      <c r="AX150" s="1170"/>
      <c r="AY150" s="1170"/>
      <c r="AZ150" s="1170"/>
      <c r="BA150" s="1170"/>
      <c r="BB150" s="1170"/>
      <c r="BC150" s="1170"/>
      <c r="BD150" s="1170"/>
      <c r="BE150" s="1170"/>
      <c r="BF150" s="1170"/>
      <c r="BG150" s="1170"/>
      <c r="BH150" s="1170"/>
      <c r="BI150" s="1170"/>
      <c r="BJ150" s="1170"/>
      <c r="BK150" s="1170"/>
      <c r="BL150" s="1170"/>
      <c r="BM150" s="1170"/>
      <c r="BN150" s="1170"/>
      <c r="BO150" s="1170"/>
      <c r="BP150" s="1170"/>
      <c r="BQ150" s="1199"/>
      <c r="BR150" s="1170"/>
      <c r="BS150" s="1170"/>
      <c r="BT150" s="1170"/>
      <c r="BU150" s="1170"/>
      <c r="BV150" s="1170"/>
      <c r="BW150" s="1170"/>
      <c r="BX150" s="1170"/>
      <c r="BY150" s="1170"/>
      <c r="BZ150" s="1170"/>
      <c r="CA150" s="1170"/>
      <c r="CB150" s="1170"/>
      <c r="CC150" s="1170"/>
      <c r="CD150" s="1186" t="str">
        <f>CokingRefineryCalcs!C476</f>
        <v>Density</v>
      </c>
      <c r="CE150" s="1170" t="str">
        <f>CokingRefineryCalcs!D476</f>
        <v>kg/m^3</v>
      </c>
      <c r="CF150" s="1170">
        <f ca="1">CokingRefineryCalcs!H476</f>
        <v>830.00712089804506</v>
      </c>
      <c r="CG150" s="1170"/>
      <c r="CH150" s="1191" t="s">
        <v>1066</v>
      </c>
      <c r="CI150" s="1170"/>
      <c r="CJ150" s="1187">
        <f>IF(CokingRefineryPFD!E46=TRUE,CJ151,0)</f>
        <v>0</v>
      </c>
      <c r="CK150" s="1170"/>
      <c r="CL150" s="1170"/>
      <c r="CM150" s="1170"/>
      <c r="CN150" s="1170"/>
      <c r="CO150" s="1170"/>
      <c r="CP150" s="1170"/>
      <c r="CQ150" s="1170"/>
      <c r="CR150" s="1170"/>
      <c r="CS150" s="1170"/>
      <c r="CT150" s="1170"/>
      <c r="CU150" s="1170"/>
      <c r="CV150" s="1170"/>
      <c r="CW150" s="1170"/>
      <c r="CX150" s="1170"/>
      <c r="CY150" s="1160"/>
      <c r="CZ150" s="1160"/>
      <c r="DA150" s="1160"/>
      <c r="DB150" s="1182" t="str">
        <f t="shared" ref="DB150:DC154" si="2">CD144</f>
        <v>Property</v>
      </c>
      <c r="DC150" s="1182" t="str">
        <f t="shared" si="2"/>
        <v>Units</v>
      </c>
      <c r="DD150" s="1170"/>
      <c r="DE150" s="1193" t="s">
        <v>226</v>
      </c>
      <c r="DF150" s="1193"/>
      <c r="DG150" s="1194" t="s">
        <v>522</v>
      </c>
      <c r="DH150" s="1160"/>
      <c r="DI150" s="1160"/>
      <c r="DJ150" s="1160"/>
      <c r="DK150" s="1160" t="s">
        <v>392</v>
      </c>
      <c r="DL150" s="1254">
        <f ca="1">(BX204+AZ110+AZ154+AZ187+BT274)*$DL$154</f>
        <v>0</v>
      </c>
      <c r="DM150" s="1160"/>
      <c r="DN150" s="1160"/>
      <c r="DO150" s="1160"/>
      <c r="DP150" s="1160"/>
      <c r="DQ150" s="1160"/>
      <c r="DR150" s="1160"/>
      <c r="DS150" s="1160"/>
      <c r="DT150" s="1160"/>
      <c r="DU150" s="1160"/>
      <c r="DV150" s="1160"/>
      <c r="DW150" s="1160"/>
      <c r="DX150" s="1160"/>
      <c r="DY150" s="1160"/>
      <c r="DZ150" s="1160" t="s">
        <v>392</v>
      </c>
      <c r="EA150" s="1160"/>
      <c r="EB150" s="1187">
        <f ca="1">(DN$42+DL$82+DL$93+DL$104+DL$115+DL$127+DL$139+DL$150+DL$161+DL$59+DL$71)*$EB155</f>
        <v>0</v>
      </c>
    </row>
    <row r="151" spans="1:132" x14ac:dyDescent="0.2">
      <c r="A151" s="1160"/>
      <c r="B151" s="1160"/>
      <c r="C151" s="1261"/>
      <c r="D151" s="1261"/>
      <c r="E151" s="1760"/>
      <c r="F151" s="1760"/>
      <c r="G151" s="1760"/>
      <c r="H151" s="1760"/>
      <c r="I151" s="1760"/>
      <c r="J151" s="1760"/>
      <c r="K151" s="1760"/>
      <c r="L151" s="1760"/>
      <c r="M151" s="1760"/>
      <c r="N151" s="1760"/>
      <c r="O151" s="1256"/>
      <c r="P151" s="1256"/>
      <c r="Q151" s="1256"/>
      <c r="R151" s="1170"/>
      <c r="S151" s="1170"/>
      <c r="T151" s="1170"/>
      <c r="U151" s="1170"/>
      <c r="V151" s="1170"/>
      <c r="W151" s="1170"/>
      <c r="X151" s="1170"/>
      <c r="Y151" s="1170"/>
      <c r="Z151" s="1170"/>
      <c r="AA151" s="1170"/>
      <c r="AB151" s="1170"/>
      <c r="AC151" s="1170"/>
      <c r="AD151" s="1170"/>
      <c r="AE151" s="1170"/>
      <c r="AF151" s="1170"/>
      <c r="AG151" s="1170"/>
      <c r="AH151" s="1170"/>
      <c r="AI151" s="1170"/>
      <c r="AJ151" s="1170"/>
      <c r="AK151" s="1170" t="s">
        <v>541</v>
      </c>
      <c r="AL151" s="1170"/>
      <c r="AM151" s="1187">
        <f ca="1">(AE185+AH146)*$AM$152</f>
        <v>0</v>
      </c>
      <c r="AN151" s="1170"/>
      <c r="AO151" s="1170"/>
      <c r="AP151" s="1170"/>
      <c r="AQ151" s="1170"/>
      <c r="AR151" s="1170"/>
      <c r="AS151" s="1181" t="str">
        <f>CokingRefineryCalcs!G611</f>
        <v>LVGO to FCC</v>
      </c>
      <c r="AT151" s="1170"/>
      <c r="AU151" s="1170"/>
      <c r="AV151" s="1170"/>
      <c r="AW151" s="1170"/>
      <c r="AX151" s="1180" t="str">
        <f>AS151</f>
        <v>LVGO to FCC</v>
      </c>
      <c r="AY151" s="1170"/>
      <c r="AZ151" s="1170"/>
      <c r="BA151" s="1170"/>
      <c r="BB151" s="1170"/>
      <c r="BC151" s="1170"/>
      <c r="BD151" s="1170"/>
      <c r="BE151" s="1170"/>
      <c r="BF151" s="1170"/>
      <c r="BG151" s="1170"/>
      <c r="BH151" s="1170"/>
      <c r="BI151" s="1170"/>
      <c r="BJ151" s="1170"/>
      <c r="BK151" s="1170"/>
      <c r="BL151" s="1170"/>
      <c r="BM151" s="1170"/>
      <c r="BN151" s="1170"/>
      <c r="BO151" s="1170"/>
      <c r="BP151" s="1170"/>
      <c r="BQ151" s="1199"/>
      <c r="BR151" s="1170"/>
      <c r="BS151" s="1170"/>
      <c r="BT151" s="1170"/>
      <c r="BU151" s="1170"/>
      <c r="BV151" s="1170"/>
      <c r="BW151" s="1170"/>
      <c r="BX151" s="1170"/>
      <c r="BY151" s="1170"/>
      <c r="BZ151" s="1170"/>
      <c r="CA151" s="1170"/>
      <c r="CB151" s="1170"/>
      <c r="CC151" s="1170"/>
      <c r="CD151" s="1186" t="str">
        <f>CokingRefineryCalcs!C477</f>
        <v>H</v>
      </c>
      <c r="CE151" s="1170" t="str">
        <f>CokingRefineryCalcs!D477</f>
        <v>wt%</v>
      </c>
      <c r="CF151" s="1170">
        <f ca="1">CokingRefineryCalcs!H477</f>
        <v>13.386945726864486</v>
      </c>
      <c r="CG151" s="1170"/>
      <c r="CH151" s="1191" t="s">
        <v>1065</v>
      </c>
      <c r="CI151" s="1170"/>
      <c r="CJ151" s="1170">
        <f ca="1">CF155/(CF106+CF132+CF155)</f>
        <v>7.5176899013385218E-13</v>
      </c>
      <c r="CK151" s="1170"/>
      <c r="CL151" s="1170"/>
      <c r="CM151" s="1170"/>
      <c r="CN151" s="1170"/>
      <c r="CO151" s="1170"/>
      <c r="CP151" s="1170"/>
      <c r="CQ151" s="1170"/>
      <c r="CR151" s="1170"/>
      <c r="CS151" s="1170"/>
      <c r="CT151" s="1170"/>
      <c r="CU151" s="1170"/>
      <c r="CV151" s="1170"/>
      <c r="CW151" s="1170"/>
      <c r="CX151" s="1170"/>
      <c r="CY151" s="1160"/>
      <c r="CZ151" s="1160"/>
      <c r="DA151" s="1160"/>
      <c r="DB151" s="1186" t="str">
        <f t="shared" si="2"/>
        <v>Vol Flow</v>
      </c>
      <c r="DC151" s="1170" t="str">
        <f t="shared" si="2"/>
        <v>bpd</v>
      </c>
      <c r="DD151" s="1170">
        <f t="shared" ref="DD151:DD158" ca="1" si="3">IF(CokingRefineryConfig=0,AA92,CF145)</f>
        <v>11182.517606218385</v>
      </c>
      <c r="DE151" s="1160" t="s">
        <v>263</v>
      </c>
      <c r="DF151" s="1160"/>
      <c r="DG151" s="1170">
        <f ca="1">IF(CokingRefineryConfig=0,AE92,CJ145)</f>
        <v>0</v>
      </c>
      <c r="DH151" s="1160"/>
      <c r="DI151" s="1160"/>
      <c r="DJ151" s="1160"/>
      <c r="DK151" s="1160" t="s">
        <v>224</v>
      </c>
      <c r="DL151" s="1254">
        <f ca="1">(BX205+AZ111+AZ155+AZ188+BT275)*$DL$154</f>
        <v>0</v>
      </c>
      <c r="DM151" s="1160"/>
      <c r="DN151" s="1160"/>
      <c r="DO151" s="1160"/>
      <c r="DP151" s="1160"/>
      <c r="DQ151" s="1160"/>
      <c r="DR151" s="1160"/>
      <c r="DS151" s="1160"/>
      <c r="DT151" s="1160"/>
      <c r="DU151" s="1160"/>
      <c r="DV151" s="1160"/>
      <c r="DW151" s="1160"/>
      <c r="DX151" s="1160"/>
      <c r="DY151" s="1160"/>
      <c r="DZ151" s="1160" t="s">
        <v>224</v>
      </c>
      <c r="EA151" s="1160"/>
      <c r="EB151" s="1187">
        <f ca="1">(DN$43+DL$83+DL$94+DL$105+DL$116+DL$128+DL$140+DL$151+DL$162+DL$60+DL$72)*$EB155</f>
        <v>0</v>
      </c>
    </row>
    <row r="152" spans="1:132" x14ac:dyDescent="0.2">
      <c r="A152" s="1160"/>
      <c r="B152" s="1160"/>
      <c r="C152" s="1261"/>
      <c r="D152" s="1261"/>
      <c r="E152" s="1760"/>
      <c r="F152" s="1760"/>
      <c r="G152" s="1760"/>
      <c r="H152" s="1760"/>
      <c r="I152" s="1760"/>
      <c r="J152" s="1760"/>
      <c r="K152" s="1760"/>
      <c r="L152" s="1760"/>
      <c r="M152" s="1760"/>
      <c r="N152" s="1760"/>
      <c r="O152" s="1256"/>
      <c r="P152" s="1256"/>
      <c r="Q152" s="1256"/>
      <c r="R152" s="1170"/>
      <c r="S152" s="1170"/>
      <c r="T152" s="1170"/>
      <c r="U152" s="1170"/>
      <c r="V152" s="1170"/>
      <c r="W152" s="1170"/>
      <c r="X152" s="1170"/>
      <c r="Y152" s="1170"/>
      <c r="Z152" s="1170"/>
      <c r="AA152" s="1170"/>
      <c r="AB152" s="1170"/>
      <c r="AC152" s="1170"/>
      <c r="AD152" s="1170"/>
      <c r="AE152" s="1170"/>
      <c r="AF152" s="1170"/>
      <c r="AG152" s="1170"/>
      <c r="AH152" s="1170"/>
      <c r="AI152" s="1170"/>
      <c r="AJ152" s="1170"/>
      <c r="AK152" s="1180" t="s">
        <v>1065</v>
      </c>
      <c r="AL152" s="1170"/>
      <c r="AM152" s="1170">
        <f ca="1">IF(OR(CokingRefineryConfig=1,CokingRefineryConfig=2,CokingRefineryConfig=3),IF(CokingRefineryPFD!E47=TRUE,IF((AM144+AM181+CokingRefineryPFD!AN293+DD286)=0,0,AM144/(AM144+AM181+CokingRefineryPFD!AN293+DD286)),IF((AM144+AM181)=0,0,AM144/(AM144+AM181))),IF((AM144+AM181+AL245)=0,0,AM144/(AM144+AM181+AL245+DD286)))</f>
        <v>0</v>
      </c>
      <c r="AN152" s="1170"/>
      <c r="AO152" s="1170"/>
      <c r="AP152" s="1170"/>
      <c r="AQ152" s="1170"/>
      <c r="AR152" s="1170"/>
      <c r="AS152" s="1182" t="str">
        <f>CokingRefineryCalcs!C628</f>
        <v>Property</v>
      </c>
      <c r="AT152" s="1182" t="str">
        <f>CokingRefineryCalcs!D628</f>
        <v>Units</v>
      </c>
      <c r="AU152" s="1170"/>
      <c r="AV152" s="1170"/>
      <c r="AW152" s="1170"/>
      <c r="AX152" s="1183" t="s">
        <v>226</v>
      </c>
      <c r="AY152" s="1170"/>
      <c r="AZ152" s="1184" t="s">
        <v>522</v>
      </c>
      <c r="BA152" s="1170"/>
      <c r="BB152" s="1170"/>
      <c r="BC152" s="1170"/>
      <c r="BD152" s="1170"/>
      <c r="BE152" s="1170"/>
      <c r="BF152" s="1170"/>
      <c r="BG152" s="1170"/>
      <c r="BH152" s="1170"/>
      <c r="BI152" s="1170"/>
      <c r="BJ152" s="1170"/>
      <c r="BK152" s="1170"/>
      <c r="BL152" s="1170"/>
      <c r="BM152" s="1170"/>
      <c r="BN152" s="1170"/>
      <c r="BO152" s="1170"/>
      <c r="BP152" s="1170"/>
      <c r="BQ152" s="1204"/>
      <c r="BR152" s="1170"/>
      <c r="BS152" s="1170"/>
      <c r="BT152" s="1170"/>
      <c r="BU152" s="1170"/>
      <c r="BV152" s="1170"/>
      <c r="BW152" s="1170"/>
      <c r="BX152" s="1170"/>
      <c r="BY152" s="1170"/>
      <c r="BZ152" s="1170"/>
      <c r="CA152" s="1170"/>
      <c r="CB152" s="1170"/>
      <c r="CC152" s="1170"/>
      <c r="CD152" s="1186" t="str">
        <f>CokingRefineryCalcs!C478</f>
        <v>MCR</v>
      </c>
      <c r="CE152" s="1170" t="str">
        <f>CokingRefineryCalcs!D478</f>
        <v>wt%</v>
      </c>
      <c r="CF152" s="1170">
        <f>CokingRefineryCalcs!H478</f>
        <v>0</v>
      </c>
      <c r="CG152" s="1170"/>
      <c r="CH152" s="1253" t="s">
        <v>228</v>
      </c>
      <c r="CI152" s="1170"/>
      <c r="CJ152" s="1170">
        <f ca="1">CF147/BT117</f>
        <v>7.8598254094168608E-13</v>
      </c>
      <c r="CK152" s="1170"/>
      <c r="CL152" s="1170"/>
      <c r="CM152" s="1170"/>
      <c r="CN152" s="1170"/>
      <c r="CO152" s="1170"/>
      <c r="CP152" s="1170"/>
      <c r="CQ152" s="1170"/>
      <c r="CR152" s="1170"/>
      <c r="CS152" s="1170"/>
      <c r="CT152" s="1170"/>
      <c r="CU152" s="1170"/>
      <c r="CV152" s="1170"/>
      <c r="CW152" s="1170"/>
      <c r="CX152" s="1170"/>
      <c r="CY152" s="1160"/>
      <c r="CZ152" s="1160"/>
      <c r="DA152" s="1160"/>
      <c r="DB152" s="1186" t="str">
        <f t="shared" si="2"/>
        <v>Vol Flow</v>
      </c>
      <c r="DC152" s="1170" t="str">
        <f t="shared" si="2"/>
        <v>m^3/d</v>
      </c>
      <c r="DD152" s="1170">
        <f t="shared" ca="1" si="3"/>
        <v>1777.8782814151243</v>
      </c>
      <c r="DE152" s="1160" t="s">
        <v>392</v>
      </c>
      <c r="DF152" s="1160"/>
      <c r="DG152" s="1170">
        <f ca="1">IF(CokingRefineryConfig=0,AE93,CJ146)</f>
        <v>0</v>
      </c>
      <c r="DH152" s="1160"/>
      <c r="DI152" s="1160"/>
      <c r="DJ152" s="1160"/>
      <c r="DK152" s="1160" t="s">
        <v>485</v>
      </c>
      <c r="DL152" s="1254">
        <f ca="1">(BX206+AZ112+AZ156+AZ189+BT276)*$DL$154</f>
        <v>0</v>
      </c>
      <c r="DM152" s="1160"/>
      <c r="DN152" s="1160"/>
      <c r="DO152" s="1160"/>
      <c r="DP152" s="1160"/>
      <c r="DQ152" s="1160"/>
      <c r="DR152" s="1160"/>
      <c r="DS152" s="1160"/>
      <c r="DT152" s="1160"/>
      <c r="DU152" s="1160"/>
      <c r="DV152" s="1160"/>
      <c r="DW152" s="1160"/>
      <c r="DX152" s="1160"/>
      <c r="DY152" s="1160"/>
      <c r="DZ152" s="1160" t="s">
        <v>485</v>
      </c>
      <c r="EA152" s="1160"/>
      <c r="EB152" s="1187">
        <f ca="1">(DN$44+DL$84+DL$95+DL$106+DL$117+DL$129+DL$141+DL$152+DL$163+DL$61+DL$73)*$EB155</f>
        <v>0</v>
      </c>
    </row>
    <row r="153" spans="1:132" x14ac:dyDescent="0.2">
      <c r="A153" s="1160"/>
      <c r="B153" s="1160"/>
      <c r="C153" s="1261"/>
      <c r="D153" s="1261"/>
      <c r="E153" s="1760"/>
      <c r="F153" s="1760"/>
      <c r="G153" s="1760"/>
      <c r="H153" s="1760"/>
      <c r="I153" s="1760"/>
      <c r="J153" s="1760"/>
      <c r="K153" s="1760"/>
      <c r="L153" s="1760"/>
      <c r="M153" s="1760"/>
      <c r="N153" s="1760"/>
      <c r="O153" s="1256"/>
      <c r="P153" s="1256"/>
      <c r="Q153" s="1256"/>
      <c r="R153" s="1170"/>
      <c r="S153" s="1170"/>
      <c r="T153" s="1170"/>
      <c r="U153" s="1170"/>
      <c r="V153" s="1170"/>
      <c r="W153" s="1170"/>
      <c r="X153" s="1170"/>
      <c r="Y153" s="1170"/>
      <c r="Z153" s="1170"/>
      <c r="AA153" s="1170"/>
      <c r="AB153" s="1170"/>
      <c r="AC153" s="1170"/>
      <c r="AD153" s="1170"/>
      <c r="AE153" s="1170"/>
      <c r="AF153" s="1170"/>
      <c r="AG153" s="1170"/>
      <c r="AH153" s="1170"/>
      <c r="AI153" s="1170"/>
      <c r="AJ153" s="1170"/>
      <c r="AK153" s="1197" t="s">
        <v>228</v>
      </c>
      <c r="AL153" s="1170"/>
      <c r="AM153" s="1170">
        <f ca="1">IF(OR(CokingRefineryConfig=1,CokingRefineryConfig=2,CokingRefineryConfig=3),IF(CokingRefineryPFD!E47=TRUE,AM136/AE169,AM136/(AE169-CokingRefineryPFD!AN285)),AM136/AE169)</f>
        <v>1</v>
      </c>
      <c r="AN153" s="1170"/>
      <c r="AO153" s="1170"/>
      <c r="AP153" s="1170"/>
      <c r="AQ153" s="1170"/>
      <c r="AR153" s="1170"/>
      <c r="AS153" s="1186" t="str">
        <f>CokingRefineryCalcs!C629</f>
        <v>Vol Flow</v>
      </c>
      <c r="AT153" s="1170" t="str">
        <f ca="1">CokingRefineryCalcs!D629</f>
        <v>bpd</v>
      </c>
      <c r="AU153" s="1170">
        <f ca="1">CokingRefineryCalcs!G612</f>
        <v>9.9999999999900004E-15</v>
      </c>
      <c r="AV153" s="1170"/>
      <c r="AW153" s="1170"/>
      <c r="AX153" s="1170" t="s">
        <v>263</v>
      </c>
      <c r="AY153" s="1170"/>
      <c r="AZ153" s="1187">
        <f ca="1">AM147*$AZ$158</f>
        <v>0</v>
      </c>
      <c r="BA153" s="1170"/>
      <c r="BB153" s="1170"/>
      <c r="BC153" s="1170"/>
      <c r="BD153" s="1170"/>
      <c r="BE153" s="1170"/>
      <c r="BF153" s="1170"/>
      <c r="BG153" s="1170"/>
      <c r="BH153" s="1170"/>
      <c r="BI153" s="1170"/>
      <c r="BJ153" s="1170"/>
      <c r="BK153" s="1170"/>
      <c r="BL153" s="1170"/>
      <c r="BM153" s="1170"/>
      <c r="BN153" s="1170"/>
      <c r="BO153" s="1170"/>
      <c r="BP153" s="1170"/>
      <c r="BQ153" s="1170"/>
      <c r="BR153" s="1170"/>
      <c r="BS153" s="1170"/>
      <c r="BT153" s="1170"/>
      <c r="BU153" s="1170"/>
      <c r="BV153" s="1170"/>
      <c r="BW153" s="1170"/>
      <c r="BX153" s="1170"/>
      <c r="BY153" s="1170"/>
      <c r="BZ153" s="1170"/>
      <c r="CA153" s="1170"/>
      <c r="CB153" s="1170"/>
      <c r="CC153" s="1170"/>
      <c r="CD153" s="1200" t="s">
        <v>1056</v>
      </c>
      <c r="CE153" s="1199" t="s">
        <v>447</v>
      </c>
      <c r="CF153" s="1199">
        <f ca="1">('Energy &amp; Unit Conversions'!$D$63-('Energy &amp; Unit Conversions'!$E$63*POWER((CokingRefineryPFD!CF150/'Energy &amp; Unit Conversions'!$E$54),2)))</f>
        <v>41.226025683295752</v>
      </c>
      <c r="CG153" s="1170"/>
      <c r="CH153" s="1170"/>
      <c r="CI153" s="1170"/>
      <c r="CJ153" s="1170"/>
      <c r="CK153" s="1170"/>
      <c r="CL153" s="1170"/>
      <c r="CM153" s="1170"/>
      <c r="CN153" s="1170"/>
      <c r="CO153" s="1170"/>
      <c r="CP153" s="1170"/>
      <c r="CQ153" s="1170"/>
      <c r="CR153" s="1170"/>
      <c r="CS153" s="1170"/>
      <c r="CT153" s="1170"/>
      <c r="CU153" s="1170"/>
      <c r="CV153" s="1170"/>
      <c r="CW153" s="1170"/>
      <c r="CX153" s="1170"/>
      <c r="CY153" s="1160"/>
      <c r="CZ153" s="1160"/>
      <c r="DA153" s="1160"/>
      <c r="DB153" s="1186" t="str">
        <f t="shared" si="2"/>
        <v>Mass Flow</v>
      </c>
      <c r="DC153" s="1170" t="str">
        <f t="shared" si="2"/>
        <v>kg/d</v>
      </c>
      <c r="DD153" s="1170">
        <f t="shared" ca="1" si="3"/>
        <v>1609417.4951277762</v>
      </c>
      <c r="DE153" s="1160" t="s">
        <v>224</v>
      </c>
      <c r="DF153" s="1160"/>
      <c r="DG153" s="1170">
        <f ca="1">IF(CokingRefineryConfig=0,AE94,CJ147)</f>
        <v>0</v>
      </c>
      <c r="DH153" s="1160"/>
      <c r="DI153" s="1160"/>
      <c r="DJ153" s="1160"/>
      <c r="DK153" s="1160" t="s">
        <v>541</v>
      </c>
      <c r="DL153" s="1254">
        <f ca="1">(BX207+AZ113+AZ157+AZ190+BT277)*$DL$154</f>
        <v>0</v>
      </c>
      <c r="DM153" s="1160"/>
      <c r="DN153" s="1160"/>
      <c r="DO153" s="1160"/>
      <c r="DP153" s="1160"/>
      <c r="DQ153" s="1160"/>
      <c r="DR153" s="1160"/>
      <c r="DS153" s="1160"/>
      <c r="DT153" s="1160"/>
      <c r="DU153" s="1160"/>
      <c r="DV153" s="1160"/>
      <c r="DW153" s="1160"/>
      <c r="DX153" s="1160"/>
      <c r="DY153" s="1160"/>
      <c r="DZ153" s="1160" t="s">
        <v>541</v>
      </c>
      <c r="EA153" s="1160"/>
      <c r="EB153" s="1187">
        <f ca="1">(DN$45+DL$85+DL$96+DL$107+DL$118+DL$130+DL$142+DL$153+DL$164+DL$62+DL$74)*$EB155</f>
        <v>0</v>
      </c>
    </row>
    <row r="154" spans="1:132" x14ac:dyDescent="0.2">
      <c r="A154" s="1160"/>
      <c r="B154" s="1160"/>
      <c r="C154" s="1261"/>
      <c r="D154" s="1260"/>
      <c r="E154" s="1760"/>
      <c r="F154" s="1760"/>
      <c r="G154" s="1760"/>
      <c r="H154" s="1760"/>
      <c r="I154" s="1760"/>
      <c r="J154" s="1760"/>
      <c r="K154" s="1760"/>
      <c r="L154" s="1760"/>
      <c r="M154" s="1760"/>
      <c r="N154" s="1760"/>
      <c r="O154" s="1256"/>
      <c r="P154" s="1256"/>
      <c r="Q154" s="1256"/>
      <c r="R154" s="1170"/>
      <c r="S154" s="1170"/>
      <c r="T154" s="1170"/>
      <c r="U154" s="1170"/>
      <c r="V154" s="1170"/>
      <c r="W154" s="1170"/>
      <c r="X154" s="1170"/>
      <c r="Y154" s="1170"/>
      <c r="Z154" s="1170"/>
      <c r="AA154" s="1170"/>
      <c r="AB154" s="1170"/>
      <c r="AC154" s="1170"/>
      <c r="AD154" s="1170"/>
      <c r="AE154" s="1170"/>
      <c r="AF154" s="1170"/>
      <c r="AG154" s="1170"/>
      <c r="AH154" s="1170"/>
      <c r="AI154" s="1170"/>
      <c r="AJ154" s="1170"/>
      <c r="AK154" s="1170"/>
      <c r="AL154" s="1170"/>
      <c r="AM154" s="1170"/>
      <c r="AN154" s="1170"/>
      <c r="AO154" s="1170"/>
      <c r="AP154" s="1170"/>
      <c r="AQ154" s="1170"/>
      <c r="AR154" s="1170"/>
      <c r="AS154" s="1186" t="str">
        <f>CokingRefineryCalcs!C630</f>
        <v>Vol Flow</v>
      </c>
      <c r="AT154" s="1170" t="str">
        <f ca="1">CokingRefineryCalcs!D630</f>
        <v>m^3/d</v>
      </c>
      <c r="AU154" s="1170">
        <f ca="1">CokingRefineryCalcs!G613</f>
        <v>1.5898729999984102E-15</v>
      </c>
      <c r="AV154" s="1170"/>
      <c r="AW154" s="1170"/>
      <c r="AX154" s="1170" t="s">
        <v>392</v>
      </c>
      <c r="AY154" s="1170"/>
      <c r="AZ154" s="1187">
        <f ca="1">AM148*$AZ$158</f>
        <v>0</v>
      </c>
      <c r="BA154" s="1170"/>
      <c r="BB154" s="1170"/>
      <c r="BC154" s="1170"/>
      <c r="BD154" s="1170"/>
      <c r="BE154" s="1170"/>
      <c r="BF154" s="1170"/>
      <c r="BG154" s="1170"/>
      <c r="BH154" s="1170"/>
      <c r="BI154" s="1170"/>
      <c r="BJ154" s="1170"/>
      <c r="BK154" s="1170"/>
      <c r="BL154" s="1170"/>
      <c r="BM154" s="1170"/>
      <c r="BN154" s="1170"/>
      <c r="BO154" s="1170"/>
      <c r="BP154" s="1170"/>
      <c r="BQ154" s="1170"/>
      <c r="BR154" s="1170"/>
      <c r="BS154" s="1170"/>
      <c r="BT154" s="1170"/>
      <c r="BU154" s="1170"/>
      <c r="BV154" s="1170"/>
      <c r="BW154" s="1170"/>
      <c r="BX154" s="1170"/>
      <c r="BY154" s="1170"/>
      <c r="BZ154" s="1170"/>
      <c r="CA154" s="1170"/>
      <c r="CB154" s="1170"/>
      <c r="CC154" s="1170"/>
      <c r="CD154" s="1200" t="s">
        <v>1021</v>
      </c>
      <c r="CE154" s="1199" t="s">
        <v>1022</v>
      </c>
      <c r="CF154" s="1246">
        <f>DD160</f>
        <v>85.352020263671875</v>
      </c>
      <c r="CG154" s="1170"/>
      <c r="CH154" s="1170"/>
      <c r="CI154" s="1170"/>
      <c r="CJ154" s="1170"/>
      <c r="CK154" s="1170"/>
      <c r="CL154" s="1170"/>
      <c r="CM154" s="1170"/>
      <c r="CN154" s="1170"/>
      <c r="CO154" s="1170"/>
      <c r="CP154" s="1170"/>
      <c r="CQ154" s="1170"/>
      <c r="CR154" s="1170"/>
      <c r="CS154" s="1170"/>
      <c r="CT154" s="1170"/>
      <c r="CU154" s="1170"/>
      <c r="CV154" s="1170"/>
      <c r="CW154" s="1170"/>
      <c r="CX154" s="1170"/>
      <c r="CY154" s="1160"/>
      <c r="CZ154" s="1160"/>
      <c r="DA154" s="1160"/>
      <c r="DB154" s="1186" t="str">
        <f t="shared" si="2"/>
        <v>S</v>
      </c>
      <c r="DC154" s="1170" t="str">
        <f t="shared" si="2"/>
        <v>wt%</v>
      </c>
      <c r="DD154" s="1170">
        <f t="shared" ca="1" si="3"/>
        <v>0.21055860465847406</v>
      </c>
      <c r="DE154" s="1160" t="s">
        <v>485</v>
      </c>
      <c r="DF154" s="1160"/>
      <c r="DG154" s="1170">
        <f ca="1">IF(CokingRefineryConfig=0,AE95,CJ148)</f>
        <v>0</v>
      </c>
      <c r="DH154" s="1160"/>
      <c r="DI154" s="1160"/>
      <c r="DJ154" s="1160"/>
      <c r="DK154" s="1191" t="s">
        <v>1066</v>
      </c>
      <c r="DL154" s="1245">
        <f ca="1">IF(CokingRefineryPFD!E50=TRUE,DL155,0)</f>
        <v>0</v>
      </c>
      <c r="DM154" s="1160"/>
      <c r="DN154" s="1160"/>
      <c r="DO154" s="1160"/>
      <c r="DP154" s="1160"/>
      <c r="DQ154" s="1160"/>
      <c r="DR154" s="1160"/>
      <c r="DS154" s="1160"/>
      <c r="DT154" s="1160"/>
      <c r="DU154" s="1160"/>
      <c r="DV154" s="1160"/>
      <c r="DW154" s="1160"/>
      <c r="DX154" s="1160"/>
      <c r="DY154" s="1160"/>
      <c r="DZ154" s="1160" t="s">
        <v>234</v>
      </c>
      <c r="EA154" s="1160"/>
      <c r="EB154" s="1187">
        <f ca="1">(DL$119+DL$165)*$EB155</f>
        <v>0</v>
      </c>
    </row>
    <row r="155" spans="1:132" x14ac:dyDescent="0.2">
      <c r="A155" s="1160"/>
      <c r="B155" s="1160"/>
      <c r="C155" s="1260"/>
      <c r="D155" s="1262"/>
      <c r="E155" s="1256"/>
      <c r="F155" s="1256"/>
      <c r="G155" s="1256"/>
      <c r="H155" s="1256"/>
      <c r="I155" s="1256"/>
      <c r="J155" s="1256"/>
      <c r="K155" s="1256"/>
      <c r="L155" s="1256"/>
      <c r="M155" s="1256"/>
      <c r="N155" s="1256"/>
      <c r="O155" s="1256"/>
      <c r="P155" s="1256"/>
      <c r="Q155" s="1256"/>
      <c r="R155" s="1170"/>
      <c r="S155" s="1170"/>
      <c r="T155" s="1170"/>
      <c r="U155" s="1170"/>
      <c r="V155" s="1170"/>
      <c r="W155" s="1170"/>
      <c r="X155" s="1170"/>
      <c r="Y155" s="1170"/>
      <c r="Z155" s="1170"/>
      <c r="AA155" s="1170"/>
      <c r="AB155" s="1170"/>
      <c r="AC155" s="1170"/>
      <c r="AD155" s="1170"/>
      <c r="AE155" s="1170"/>
      <c r="AF155" s="1170"/>
      <c r="AG155" s="1170"/>
      <c r="AH155" s="1170"/>
      <c r="AI155" s="1170"/>
      <c r="AJ155" s="1170"/>
      <c r="AK155" s="1170"/>
      <c r="AL155" s="1170"/>
      <c r="AM155" s="1170"/>
      <c r="AN155" s="1170"/>
      <c r="AO155" s="1170"/>
      <c r="AP155" s="1170"/>
      <c r="AQ155" s="1170"/>
      <c r="AR155" s="1170"/>
      <c r="AS155" s="1186" t="str">
        <f>CokingRefineryCalcs!C631</f>
        <v>Mass Flow</v>
      </c>
      <c r="AT155" s="1170" t="str">
        <f>CokingRefineryCalcs!D631</f>
        <v>kg/d</v>
      </c>
      <c r="AU155" s="1170">
        <f ca="1">CokingRefineryCalcs!G614</f>
        <v>9.9999999999900004E-15</v>
      </c>
      <c r="AV155" s="1170"/>
      <c r="AW155" s="1170"/>
      <c r="AX155" s="1170" t="s">
        <v>224</v>
      </c>
      <c r="AY155" s="1170"/>
      <c r="AZ155" s="1187">
        <f ca="1">AM149*$AZ$158</f>
        <v>0</v>
      </c>
      <c r="BA155" s="1170"/>
      <c r="BB155" s="1170"/>
      <c r="BC155" s="1170"/>
      <c r="BD155" s="1170"/>
      <c r="BE155" s="1170"/>
      <c r="BF155" s="1170"/>
      <c r="BG155" s="1170"/>
      <c r="BH155" s="1170"/>
      <c r="BI155" s="1170"/>
      <c r="BJ155" s="1170"/>
      <c r="BK155" s="1170"/>
      <c r="BL155" s="1170"/>
      <c r="BM155" s="1170"/>
      <c r="BN155" s="1170"/>
      <c r="BO155" s="1170"/>
      <c r="BP155" s="1170"/>
      <c r="BQ155" s="1170"/>
      <c r="BR155" s="1170"/>
      <c r="BS155" s="1170"/>
      <c r="BT155" s="1170"/>
      <c r="BU155" s="1170"/>
      <c r="BV155" s="1170"/>
      <c r="BW155" s="1170"/>
      <c r="BX155" s="1170"/>
      <c r="BY155" s="1170"/>
      <c r="BZ155" s="1170"/>
      <c r="CA155" s="1170"/>
      <c r="CB155" s="1170"/>
      <c r="CC155" s="1170"/>
      <c r="CD155" s="1204" t="s">
        <v>1054</v>
      </c>
      <c r="CE155" s="1204" t="str">
        <f>IF(allocationMethod=1,$C$21,IF(allocationMethod=2,$C$22,IF(allocationMethod=3,$C$23,$C$24)))</f>
        <v>Hydrogen Content Basis</v>
      </c>
      <c r="CF155" s="1204">
        <f ca="1">IF(allocationMethod=1,CF147,IF(allocationMethod=2,CF153*CF147,IF(allocationMethod=3,CF154*CF145,CF151*CF147/100)))</f>
        <v>1.6936668982761268E-19</v>
      </c>
      <c r="CG155" s="1170"/>
      <c r="CH155" s="1170"/>
      <c r="CI155" s="1170"/>
      <c r="CJ155" s="1170"/>
      <c r="CK155" s="1170"/>
      <c r="CL155" s="1170"/>
      <c r="CM155" s="1170"/>
      <c r="CN155" s="1170"/>
      <c r="CO155" s="1170"/>
      <c r="CP155" s="1170"/>
      <c r="CQ155" s="1170"/>
      <c r="CR155" s="1170"/>
      <c r="CS155" s="1170"/>
      <c r="CT155" s="1170"/>
      <c r="CU155" s="1170"/>
      <c r="CV155" s="1170"/>
      <c r="CW155" s="1170"/>
      <c r="CX155" s="1170"/>
      <c r="CY155" s="1160"/>
      <c r="CZ155" s="1160"/>
      <c r="DA155" s="1160"/>
      <c r="DB155" s="1186" t="str">
        <f>CD149</f>
        <v>API</v>
      </c>
      <c r="DC155" s="1170"/>
      <c r="DD155" s="1170">
        <f t="shared" ca="1" si="3"/>
        <v>24.811073777824959</v>
      </c>
      <c r="DE155" s="1160" t="s">
        <v>541</v>
      </c>
      <c r="DF155" s="1160"/>
      <c r="DG155" s="1170">
        <f ca="1">IF(CokingRefineryConfig=0,AE96,CJ149)</f>
        <v>0</v>
      </c>
      <c r="DH155" s="1160"/>
      <c r="DI155" s="1160"/>
      <c r="DJ155" s="1160"/>
      <c r="DK155" s="1191" t="s">
        <v>1065</v>
      </c>
      <c r="DL155" s="1245">
        <f ca="1">BY196/(BZ226+BY196)</f>
        <v>0</v>
      </c>
      <c r="DM155" s="1160"/>
      <c r="DN155" s="1160"/>
      <c r="DO155" s="1160"/>
      <c r="DP155" s="1160"/>
      <c r="DQ155" s="1160"/>
      <c r="DR155" s="1160"/>
      <c r="DS155" s="1160"/>
      <c r="DT155" s="1160"/>
      <c r="DU155" s="1160"/>
      <c r="DV155" s="1160"/>
      <c r="DW155" s="1160"/>
      <c r="DX155" s="1160"/>
      <c r="DY155" s="1160"/>
      <c r="DZ155" s="2073" t="s">
        <v>1065</v>
      </c>
      <c r="EA155" s="1160"/>
      <c r="EB155" s="1160">
        <f ca="1">CokingRefineryCalcs!Q1438</f>
        <v>0</v>
      </c>
    </row>
    <row r="156" spans="1:132" x14ac:dyDescent="0.2">
      <c r="A156" s="1160"/>
      <c r="B156" s="1160"/>
      <c r="C156" s="1260"/>
      <c r="D156" s="1260"/>
      <c r="E156" s="1256"/>
      <c r="F156" s="1256"/>
      <c r="G156" s="1256"/>
      <c r="H156" s="1256"/>
      <c r="I156" s="1256"/>
      <c r="J156" s="1256"/>
      <c r="K156" s="1256"/>
      <c r="L156" s="1256"/>
      <c r="M156" s="1256"/>
      <c r="N156" s="1256"/>
      <c r="O156" s="1256"/>
      <c r="P156" s="1256"/>
      <c r="Q156" s="1256"/>
      <c r="R156" s="1170"/>
      <c r="S156" s="1170"/>
      <c r="T156" s="1170"/>
      <c r="U156" s="1170"/>
      <c r="V156" s="1170"/>
      <c r="W156" s="1170"/>
      <c r="X156" s="1170"/>
      <c r="Y156" s="1170"/>
      <c r="Z156" s="1170"/>
      <c r="AA156" s="1170"/>
      <c r="AB156" s="1170"/>
      <c r="AC156" s="1170"/>
      <c r="AD156" s="1170"/>
      <c r="AE156" s="1170"/>
      <c r="AF156" s="1170"/>
      <c r="AG156" s="1170"/>
      <c r="AH156" s="1170"/>
      <c r="AI156" s="1170"/>
      <c r="AJ156" s="1170"/>
      <c r="AK156" s="1170"/>
      <c r="AL156" s="1170"/>
      <c r="AM156" s="1170"/>
      <c r="AN156" s="1196"/>
      <c r="AO156" s="1170"/>
      <c r="AP156" s="1170"/>
      <c r="AQ156" s="1170"/>
      <c r="AR156" s="1170"/>
      <c r="AS156" s="1186" t="str">
        <f>CokingRefineryCalcs!C632</f>
        <v xml:space="preserve">Sulphur </v>
      </c>
      <c r="AT156" s="1170" t="str">
        <f ca="1">CokingRefineryCalcs!D632</f>
        <v>wt%</v>
      </c>
      <c r="AU156" s="1170">
        <f ca="1">CokingRefineryCalcs!G615</f>
        <v>0</v>
      </c>
      <c r="AV156" s="1170"/>
      <c r="AW156" s="1170"/>
      <c r="AX156" s="1170" t="s">
        <v>485</v>
      </c>
      <c r="AY156" s="1170"/>
      <c r="AZ156" s="1187">
        <f ca="1">AM150*$AZ$158</f>
        <v>0</v>
      </c>
      <c r="BA156" s="1170"/>
      <c r="BB156" s="1170"/>
      <c r="BC156" s="1170"/>
      <c r="BD156" s="1170"/>
      <c r="BE156" s="1170"/>
      <c r="BF156" s="1170"/>
      <c r="BG156" s="1170"/>
      <c r="BH156" s="1170"/>
      <c r="BI156" s="1170"/>
      <c r="BJ156" s="1170"/>
      <c r="BK156" s="1170"/>
      <c r="BL156" s="1170"/>
      <c r="BM156" s="1170"/>
      <c r="BN156" s="1170"/>
      <c r="BO156" s="1170"/>
      <c r="BP156" s="1170"/>
      <c r="BQ156" s="1170"/>
      <c r="BR156" s="1170"/>
      <c r="BS156" s="1170"/>
      <c r="BT156" s="1170"/>
      <c r="BU156" s="1170"/>
      <c r="BV156" s="1170"/>
      <c r="BW156" s="1170"/>
      <c r="BX156" s="1170"/>
      <c r="BY156" s="1170"/>
      <c r="BZ156" s="1170"/>
      <c r="CA156" s="1170"/>
      <c r="CB156" s="1170"/>
      <c r="CC156" s="1170"/>
      <c r="CD156" s="1170"/>
      <c r="CE156" s="1170"/>
      <c r="CF156" s="1170"/>
      <c r="CG156" s="1170"/>
      <c r="CH156" s="1170"/>
      <c r="CI156" s="1170"/>
      <c r="CJ156" s="1170"/>
      <c r="CK156" s="1170"/>
      <c r="CL156" s="1170"/>
      <c r="CM156" s="1170"/>
      <c r="CN156" s="1170"/>
      <c r="CO156" s="1170"/>
      <c r="CP156" s="1170"/>
      <c r="CQ156" s="1170"/>
      <c r="CR156" s="1170"/>
      <c r="CS156" s="1170"/>
      <c r="CT156" s="1170"/>
      <c r="CU156" s="1170"/>
      <c r="CV156" s="1170"/>
      <c r="CW156" s="1170"/>
      <c r="CX156" s="1170"/>
      <c r="CY156" s="1160"/>
      <c r="CZ156" s="1160"/>
      <c r="DA156" s="1160"/>
      <c r="DB156" s="1186" t="str">
        <f>CD150</f>
        <v>Density</v>
      </c>
      <c r="DC156" s="1170" t="str">
        <f>CE150</f>
        <v>kg/m^3</v>
      </c>
      <c r="DD156" s="1170">
        <f t="shared" ca="1" si="3"/>
        <v>905.24616445999914</v>
      </c>
      <c r="DE156" s="1191"/>
      <c r="DF156" s="1191"/>
      <c r="DG156" s="1170"/>
      <c r="DH156" s="1160"/>
      <c r="DI156" s="1160"/>
      <c r="DJ156" s="1160"/>
      <c r="DK156" s="1255" t="s">
        <v>228</v>
      </c>
      <c r="DL156" s="1245">
        <f ca="1">BY188/(BT197+BX209)</f>
        <v>2E-3</v>
      </c>
      <c r="DM156" s="1160"/>
      <c r="DN156" s="1160"/>
      <c r="DO156" s="1160"/>
      <c r="DP156" s="1160"/>
      <c r="DQ156" s="1160"/>
      <c r="DR156" s="1160"/>
      <c r="DS156" s="1160"/>
      <c r="DT156" s="1160"/>
      <c r="DU156" s="1160"/>
      <c r="DV156" s="1160"/>
      <c r="DW156" s="1160"/>
      <c r="DX156" s="1160"/>
      <c r="DY156" s="1160"/>
      <c r="DZ156" s="1160"/>
      <c r="EA156" s="1160"/>
      <c r="EB156" s="1160"/>
    </row>
    <row r="157" spans="1:132" x14ac:dyDescent="0.2">
      <c r="A157" s="1160"/>
      <c r="B157" s="1160"/>
      <c r="C157" s="1260"/>
      <c r="D157" s="1260"/>
      <c r="E157" s="1256"/>
      <c r="F157" s="1256"/>
      <c r="G157" s="1256"/>
      <c r="H157" s="1256"/>
      <c r="I157" s="1256"/>
      <c r="J157" s="1256"/>
      <c r="K157" s="1256"/>
      <c r="L157" s="1256"/>
      <c r="M157" s="1256"/>
      <c r="N157" s="1256"/>
      <c r="O157" s="1256"/>
      <c r="P157" s="1256"/>
      <c r="Q157" s="1256"/>
      <c r="R157" s="1170"/>
      <c r="S157" s="1170"/>
      <c r="T157" s="1170"/>
      <c r="U157" s="1170"/>
      <c r="V157" s="1170"/>
      <c r="W157" s="1170"/>
      <c r="X157" s="1170"/>
      <c r="Y157" s="1170"/>
      <c r="Z157" s="1170"/>
      <c r="AA157" s="1170"/>
      <c r="AB157" s="1170"/>
      <c r="AC157" s="1170"/>
      <c r="AD157" s="1170"/>
      <c r="AE157" s="1170"/>
      <c r="AF157" s="1170"/>
      <c r="AG157" s="1170"/>
      <c r="AH157" s="1170"/>
      <c r="AI157" s="1170"/>
      <c r="AJ157" s="1170"/>
      <c r="AK157" s="1170"/>
      <c r="AL157" s="1170"/>
      <c r="AM157" s="1170"/>
      <c r="AN157" s="1170"/>
      <c r="AO157" s="1170"/>
      <c r="AP157" s="1170"/>
      <c r="AQ157" s="1170"/>
      <c r="AR157" s="1170"/>
      <c r="AS157" s="1186" t="str">
        <f>CokingRefineryCalcs!C634</f>
        <v xml:space="preserve">API gravity </v>
      </c>
      <c r="AT157" s="1170"/>
      <c r="AU157" s="1170">
        <f ca="1">CokingRefineryCalcs!G617</f>
        <v>0</v>
      </c>
      <c r="AV157" s="1170"/>
      <c r="AW157" s="1170"/>
      <c r="AX157" s="1170" t="s">
        <v>541</v>
      </c>
      <c r="AY157" s="1170"/>
      <c r="AZ157" s="1170">
        <f ca="1">AM151*$AZ$158</f>
        <v>0</v>
      </c>
      <c r="BA157" s="1170"/>
      <c r="BB157" s="1170"/>
      <c r="BC157" s="1170"/>
      <c r="BD157" s="1170"/>
      <c r="BE157" s="1170"/>
      <c r="BF157" s="1170"/>
      <c r="BG157" s="1170"/>
      <c r="BH157" s="1170"/>
      <c r="BI157" s="1170"/>
      <c r="BJ157" s="1170"/>
      <c r="BK157" s="1170"/>
      <c r="BL157" s="1170"/>
      <c r="BM157" s="1170"/>
      <c r="BN157" s="1170"/>
      <c r="BO157" s="1170"/>
      <c r="BP157" s="1170"/>
      <c r="BQ157" s="1170"/>
      <c r="BR157" s="1170"/>
      <c r="BS157" s="1170"/>
      <c r="BT157" s="1170"/>
      <c r="BU157" s="1170"/>
      <c r="BV157" s="1170"/>
      <c r="BW157" s="1170"/>
      <c r="BX157" s="1170"/>
      <c r="BY157" s="1170"/>
      <c r="BZ157" s="1170"/>
      <c r="CA157" s="1170"/>
      <c r="CB157" s="1170"/>
      <c r="CC157" s="1170"/>
      <c r="CD157" s="1170"/>
      <c r="CE157" s="1170"/>
      <c r="CF157" s="1170"/>
      <c r="CG157" s="1170"/>
      <c r="CH157" s="1170"/>
      <c r="CI157" s="1170"/>
      <c r="CJ157" s="1170"/>
      <c r="CK157" s="1170"/>
      <c r="CL157" s="1170"/>
      <c r="CM157" s="1170"/>
      <c r="CN157" s="1170"/>
      <c r="CO157" s="1170"/>
      <c r="CP157" s="1170"/>
      <c r="CQ157" s="1170"/>
      <c r="CR157" s="1170"/>
      <c r="CS157" s="1170"/>
      <c r="CT157" s="1170"/>
      <c r="CU157" s="1170"/>
      <c r="CV157" s="1170"/>
      <c r="CW157" s="1170"/>
      <c r="CX157" s="1170"/>
      <c r="CY157" s="1160"/>
      <c r="CZ157" s="1160"/>
      <c r="DA157" s="1160"/>
      <c r="DB157" s="1186" t="str">
        <f>CD151</f>
        <v>H</v>
      </c>
      <c r="DC157" s="1170" t="str">
        <f>CE151</f>
        <v>wt%</v>
      </c>
      <c r="DD157" s="1170">
        <f t="shared" ca="1" si="3"/>
        <v>12.331915988948833</v>
      </c>
      <c r="DE157" s="1160"/>
      <c r="DF157" s="1160"/>
      <c r="DG157" s="1160"/>
      <c r="DH157" s="1160"/>
      <c r="DI157" s="1160"/>
      <c r="DJ157" s="1160"/>
      <c r="DK157" s="1171"/>
      <c r="DL157" s="1160"/>
      <c r="DM157" s="1160"/>
      <c r="DN157" s="1160"/>
      <c r="DO157" s="1160"/>
      <c r="DP157" s="1160"/>
      <c r="DQ157" s="1160"/>
      <c r="DR157" s="1160"/>
      <c r="DS157" s="1160"/>
      <c r="DT157" s="1160"/>
      <c r="DU157" s="1160"/>
      <c r="DV157" s="1160"/>
      <c r="DW157" s="1160"/>
      <c r="DX157" s="1160"/>
      <c r="DY157" s="1160"/>
      <c r="DZ157" s="1160"/>
      <c r="EA157" s="1160"/>
      <c r="EB157" s="1160"/>
    </row>
    <row r="158" spans="1:132" x14ac:dyDescent="0.2">
      <c r="A158" s="1160"/>
      <c r="B158" s="1160"/>
      <c r="C158" s="1260"/>
      <c r="D158" s="1260"/>
      <c r="E158" s="1256"/>
      <c r="F158" s="1256"/>
      <c r="G158" s="1256"/>
      <c r="H158" s="1256"/>
      <c r="I158" s="1256"/>
      <c r="J158" s="1256"/>
      <c r="K158" s="1256"/>
      <c r="L158" s="1256"/>
      <c r="M158" s="1256"/>
      <c r="N158" s="1256"/>
      <c r="O158" s="1256"/>
      <c r="P158" s="1256"/>
      <c r="Q158" s="1256"/>
      <c r="R158" s="1170"/>
      <c r="S158" s="1170"/>
      <c r="T158" s="1170"/>
      <c r="U158" s="1170"/>
      <c r="V158" s="1170"/>
      <c r="W158" s="1170"/>
      <c r="X158" s="1170"/>
      <c r="Y158" s="1170"/>
      <c r="Z158" s="1170"/>
      <c r="AA158" s="1170"/>
      <c r="AB158" s="1170"/>
      <c r="AC158" s="1170"/>
      <c r="AD158" s="1170"/>
      <c r="AE158" s="1170"/>
      <c r="AF158" s="1170"/>
      <c r="AG158" s="1170"/>
      <c r="AH158" s="1170"/>
      <c r="AI158" s="1170"/>
      <c r="AJ158" s="1170"/>
      <c r="AK158" s="1170"/>
      <c r="AL158" s="1170"/>
      <c r="AM158" s="1170"/>
      <c r="AN158" s="1170"/>
      <c r="AO158" s="1170"/>
      <c r="AP158" s="1170"/>
      <c r="AQ158" s="1170"/>
      <c r="AR158" s="1170"/>
      <c r="AS158" s="1186" t="str">
        <f>CokingRefineryCalcs!C635</f>
        <v>Density</v>
      </c>
      <c r="AT158" s="1170" t="str">
        <f ca="1">CokingRefineryCalcs!D635</f>
        <v>kg/m^3</v>
      </c>
      <c r="AU158" s="1170">
        <f ca="1">CokingRefineryCalcs!G618</f>
        <v>0</v>
      </c>
      <c r="AV158" s="1170"/>
      <c r="AW158" s="1170"/>
      <c r="AX158" s="1180" t="s">
        <v>1065</v>
      </c>
      <c r="AY158" s="1170"/>
      <c r="AZ158" s="1170">
        <f ca="1">IF(AM144=0,0,AU163/AM144)</f>
        <v>0</v>
      </c>
      <c r="BA158" s="1170"/>
      <c r="BB158" s="1170"/>
      <c r="BC158" s="1170"/>
      <c r="BD158" s="1170"/>
      <c r="BE158" s="1170"/>
      <c r="BF158" s="1170"/>
      <c r="BG158" s="1170"/>
      <c r="BH158" s="1170"/>
      <c r="BI158" s="1170"/>
      <c r="BJ158" s="1170"/>
      <c r="BK158" s="1170"/>
      <c r="BL158" s="1170"/>
      <c r="BM158" s="1170"/>
      <c r="BN158" s="1170"/>
      <c r="BO158" s="1170"/>
      <c r="BP158" s="1170"/>
      <c r="BQ158" s="1170"/>
      <c r="BR158" s="1170"/>
      <c r="BS158" s="1170"/>
      <c r="BT158" s="1170"/>
      <c r="BU158" s="1170"/>
      <c r="BV158" s="1170"/>
      <c r="BW158" s="1170"/>
      <c r="BX158" s="1170"/>
      <c r="BY158" s="1170"/>
      <c r="BZ158" s="1170"/>
      <c r="CA158" s="1170"/>
      <c r="CB158" s="1170"/>
      <c r="CC158" s="1170"/>
      <c r="CD158" s="1170"/>
      <c r="CE158" s="1170"/>
      <c r="CF158" s="1170"/>
      <c r="CG158" s="1170"/>
      <c r="CH158" s="1170"/>
      <c r="CI158" s="1170"/>
      <c r="CJ158" s="1170"/>
      <c r="CK158" s="1170"/>
      <c r="CL158" s="1170"/>
      <c r="CM158" s="1170"/>
      <c r="CN158" s="1170"/>
      <c r="CO158" s="1170"/>
      <c r="CP158" s="1170"/>
      <c r="CQ158" s="1170"/>
      <c r="CR158" s="1170"/>
      <c r="CS158" s="1170"/>
      <c r="CT158" s="1170"/>
      <c r="CU158" s="1170"/>
      <c r="CV158" s="1170"/>
      <c r="CW158" s="1170"/>
      <c r="CX158" s="1170"/>
      <c r="CY158" s="1160"/>
      <c r="CZ158" s="1160"/>
      <c r="DA158" s="1160"/>
      <c r="DB158" s="1186" t="str">
        <f>CD152</f>
        <v>MCR</v>
      </c>
      <c r="DC158" s="1170" t="str">
        <f>CE152</f>
        <v>wt%</v>
      </c>
      <c r="DD158" s="1170">
        <f t="shared" ca="1" si="3"/>
        <v>0</v>
      </c>
      <c r="DE158" s="1160"/>
      <c r="DF158" s="1160"/>
      <c r="DG158" s="1160"/>
      <c r="DH158" s="1160"/>
      <c r="DI158" s="1160"/>
      <c r="DJ158" s="1160"/>
      <c r="DK158" s="1191" t="str">
        <f>BR227:BR227</f>
        <v>FCC Fuel Gas</v>
      </c>
      <c r="DL158" s="1171">
        <f ca="1">CokingRefineryCalcs!E986</f>
        <v>9.4845461792606004E-16</v>
      </c>
      <c r="DM158" s="1160" t="s">
        <v>622</v>
      </c>
      <c r="DN158" s="1160"/>
      <c r="DO158" s="1160"/>
      <c r="DP158" s="1160"/>
      <c r="DQ158" s="1160"/>
      <c r="DR158" s="1160"/>
      <c r="DS158" s="1160"/>
      <c r="DT158" s="1160"/>
      <c r="DU158" s="1160"/>
      <c r="DV158" s="1160"/>
      <c r="DW158" s="1160"/>
      <c r="DX158" s="1160"/>
      <c r="DY158" s="1160"/>
      <c r="DZ158" s="1160"/>
      <c r="EA158" s="1160"/>
      <c r="EB158" s="1160"/>
    </row>
    <row r="159" spans="1:132" ht="15" x14ac:dyDescent="0.25">
      <c r="A159" s="1160"/>
      <c r="B159" s="1160"/>
      <c r="C159" s="1763"/>
      <c r="D159" s="1765"/>
      <c r="E159" s="1765"/>
      <c r="F159" s="1762"/>
      <c r="G159" s="1256"/>
      <c r="H159" s="1256"/>
      <c r="I159" s="1256"/>
      <c r="J159" s="1256"/>
      <c r="K159" s="1256"/>
      <c r="L159" s="1256"/>
      <c r="M159" s="1256"/>
      <c r="N159" s="1256"/>
      <c r="O159" s="1256"/>
      <c r="P159" s="1256"/>
      <c r="Q159" s="1256"/>
      <c r="R159" s="1170"/>
      <c r="S159" s="1170"/>
      <c r="T159" s="1170"/>
      <c r="U159" s="1170"/>
      <c r="V159" s="1170"/>
      <c r="W159" s="1170"/>
      <c r="X159" s="1170"/>
      <c r="Y159" s="1170"/>
      <c r="Z159" s="1170"/>
      <c r="AA159" s="1170"/>
      <c r="AB159" s="1170"/>
      <c r="AC159" s="1170"/>
      <c r="AD159" s="1170"/>
      <c r="AE159" s="1170"/>
      <c r="AF159" s="1170"/>
      <c r="AG159" s="1170"/>
      <c r="AH159" s="1170"/>
      <c r="AI159" s="1170"/>
      <c r="AJ159" s="1170"/>
      <c r="AK159" s="1170"/>
      <c r="AL159" s="1170"/>
      <c r="AM159" s="1170"/>
      <c r="AN159" s="1170"/>
      <c r="AO159" s="1170"/>
      <c r="AP159" s="1170"/>
      <c r="AQ159" s="1170"/>
      <c r="AR159" s="1170"/>
      <c r="AS159" s="1186" t="str">
        <f>CokingRefineryCalcs!C636</f>
        <v>Hydrogen</v>
      </c>
      <c r="AT159" s="1170" t="str">
        <f ca="1">CokingRefineryCalcs!D636</f>
        <v>wt%</v>
      </c>
      <c r="AU159" s="1170">
        <f ca="1">CokingRefineryCalcs!G619</f>
        <v>0</v>
      </c>
      <c r="AV159" s="1170"/>
      <c r="AW159" s="1170"/>
      <c r="AX159" s="1170"/>
      <c r="AY159" s="1170"/>
      <c r="AZ159" s="1170"/>
      <c r="BA159" s="1170"/>
      <c r="BB159" s="1170"/>
      <c r="BC159" s="1170"/>
      <c r="BD159" s="1170"/>
      <c r="BE159" s="1170"/>
      <c r="BF159" s="1170"/>
      <c r="BG159" s="1170"/>
      <c r="BH159" s="1170"/>
      <c r="BI159" s="1170"/>
      <c r="BJ159" s="1170"/>
      <c r="BK159" s="1170"/>
      <c r="BL159" s="1170"/>
      <c r="BM159" s="1170"/>
      <c r="BN159" s="1181" t="str">
        <f>CokingRefineryCalcs!G919</f>
        <v>CNHT Fuel Gas</v>
      </c>
      <c r="BO159" s="1181"/>
      <c r="BP159" s="1170"/>
      <c r="BQ159" s="1170"/>
      <c r="BR159" s="1170"/>
      <c r="BS159" s="1170"/>
      <c r="BT159" s="1170"/>
      <c r="BU159" s="1170"/>
      <c r="BV159" s="1170"/>
      <c r="BW159" s="1170"/>
      <c r="BX159" s="1170"/>
      <c r="BY159" s="1170"/>
      <c r="BZ159" s="1170"/>
      <c r="CA159" s="1170"/>
      <c r="CB159" s="1170"/>
      <c r="CC159" s="1170"/>
      <c r="CD159" s="1170"/>
      <c r="CE159" s="1170"/>
      <c r="CF159" s="1170"/>
      <c r="CG159" s="1170"/>
      <c r="CH159" s="1170"/>
      <c r="CI159" s="1170"/>
      <c r="CJ159" s="1170"/>
      <c r="CK159" s="1170"/>
      <c r="CL159" s="1170"/>
      <c r="CM159" s="1170"/>
      <c r="CN159" s="1170"/>
      <c r="CO159" s="1170"/>
      <c r="CP159" s="1170"/>
      <c r="CQ159" s="1170"/>
      <c r="CR159" s="1170"/>
      <c r="CS159" s="1170"/>
      <c r="CT159" s="1170"/>
      <c r="CU159" s="1170"/>
      <c r="CV159" s="1170"/>
      <c r="CW159" s="1170"/>
      <c r="CX159" s="1170"/>
      <c r="CY159" s="1160"/>
      <c r="CZ159" s="1160"/>
      <c r="DA159" s="1160"/>
      <c r="DB159" s="1183" t="s">
        <v>1700</v>
      </c>
      <c r="DC159" s="1184" t="s">
        <v>447</v>
      </c>
      <c r="DD159" s="1170">
        <f ca="1">('Energy &amp; Unit Conversions'!$D$63-('Energy &amp; Unit Conversions'!$E$63*POWER((CokingRefineryPFD!DD156/'Energy &amp; Unit Conversions'!$E$54),2)))</f>
        <v>40.189871247727446</v>
      </c>
      <c r="DE159" s="1160"/>
      <c r="DF159" s="1160"/>
      <c r="DG159" s="1160"/>
      <c r="DH159" s="1160"/>
      <c r="DI159" s="1160"/>
      <c r="DJ159" s="1160"/>
      <c r="DK159" s="1191" t="s">
        <v>226</v>
      </c>
      <c r="DL159" s="1243" t="s">
        <v>522</v>
      </c>
      <c r="DM159" s="1160"/>
      <c r="DN159" s="1160"/>
      <c r="DO159" s="1160"/>
      <c r="DP159" s="1160"/>
      <c r="DQ159" s="1160"/>
      <c r="DR159" s="1160"/>
      <c r="DS159" s="1160"/>
      <c r="DT159" s="1160"/>
      <c r="DU159" s="1160"/>
      <c r="DV159" s="1160"/>
      <c r="DW159" s="1160"/>
      <c r="DX159" s="1160"/>
      <c r="DY159" s="1160"/>
      <c r="DZ159" s="1160"/>
      <c r="EA159" s="1160"/>
      <c r="EB159" s="1160"/>
    </row>
    <row r="160" spans="1:132" ht="15" x14ac:dyDescent="0.25">
      <c r="A160" s="1160"/>
      <c r="B160" s="1160"/>
      <c r="C160" s="1763"/>
      <c r="D160" s="1765"/>
      <c r="E160" s="1765"/>
      <c r="F160" s="1762"/>
      <c r="G160" s="1256"/>
      <c r="H160" s="1256"/>
      <c r="I160" s="1256"/>
      <c r="J160" s="1256"/>
      <c r="K160" s="1256"/>
      <c r="L160" s="1256"/>
      <c r="M160" s="1256"/>
      <c r="N160" s="1256"/>
      <c r="O160" s="1256"/>
      <c r="P160" s="1256"/>
      <c r="Q160" s="1256"/>
      <c r="R160" s="1170"/>
      <c r="S160" s="1170"/>
      <c r="T160" s="1170"/>
      <c r="U160" s="1170"/>
      <c r="V160" s="1170"/>
      <c r="W160" s="1170"/>
      <c r="X160" s="1170"/>
      <c r="Y160" s="1170"/>
      <c r="Z160" s="1170"/>
      <c r="AA160" s="1170"/>
      <c r="AB160" s="1170"/>
      <c r="AC160" s="1170"/>
      <c r="AD160" s="1170"/>
      <c r="AE160" s="1170"/>
      <c r="AF160" s="1170"/>
      <c r="AG160" s="1170"/>
      <c r="AH160" s="1170"/>
      <c r="AI160" s="1170"/>
      <c r="AJ160" s="1170"/>
      <c r="AK160" s="1170"/>
      <c r="AL160" s="1170"/>
      <c r="AM160" s="1170"/>
      <c r="AN160" s="1170"/>
      <c r="AO160" s="1170"/>
      <c r="AP160" s="1170"/>
      <c r="AQ160" s="1170"/>
      <c r="AR160" s="1170"/>
      <c r="AS160" s="1186" t="str">
        <f>CokingRefineryCalcs!C637</f>
        <v>MCR</v>
      </c>
      <c r="AT160" s="1170" t="str">
        <f ca="1">CokingRefineryCalcs!D637</f>
        <v>wt%</v>
      </c>
      <c r="AU160" s="1170" t="str">
        <f ca="1">CokingRefineryCalcs!G620</f>
        <v/>
      </c>
      <c r="AV160" s="1170"/>
      <c r="AW160" s="1170"/>
      <c r="AX160" s="1170"/>
      <c r="AY160" s="1170"/>
      <c r="AZ160" s="1170"/>
      <c r="BA160" s="1170"/>
      <c r="BB160" s="1170"/>
      <c r="BC160" s="1170"/>
      <c r="BD160" s="1170"/>
      <c r="BE160" s="1170"/>
      <c r="BF160" s="1170"/>
      <c r="BG160" s="1170"/>
      <c r="BH160" s="1170"/>
      <c r="BI160" s="1170"/>
      <c r="BJ160" s="1170"/>
      <c r="BK160" s="1170"/>
      <c r="BL160" s="1170"/>
      <c r="BM160" s="1170"/>
      <c r="BN160" s="1182" t="str">
        <f>CokingRefineryCalcs!C919</f>
        <v>Property</v>
      </c>
      <c r="BO160" s="1170" t="str">
        <f>CokingRefineryCalcs!D919</f>
        <v>Units</v>
      </c>
      <c r="BP160" s="1181"/>
      <c r="BQ160" s="1181"/>
      <c r="BR160" s="1170"/>
      <c r="BS160" s="1170"/>
      <c r="BT160" s="1170"/>
      <c r="BU160" s="1170"/>
      <c r="BV160" s="1170"/>
      <c r="BW160" s="1170"/>
      <c r="BX160" s="1170"/>
      <c r="BY160" s="1170"/>
      <c r="BZ160" s="1170"/>
      <c r="CA160" s="1170"/>
      <c r="CB160" s="1170"/>
      <c r="CC160" s="1170"/>
      <c r="CD160" s="1170"/>
      <c r="CE160" s="1170"/>
      <c r="CF160" s="1170"/>
      <c r="CG160" s="1170"/>
      <c r="CH160" s="1170"/>
      <c r="CI160" s="1170"/>
      <c r="CJ160" s="1170"/>
      <c r="CK160" s="1170"/>
      <c r="CL160" s="1170"/>
      <c r="CM160" s="1170"/>
      <c r="CN160" s="1170"/>
      <c r="CO160" s="1170"/>
      <c r="CP160" s="1170"/>
      <c r="CQ160" s="1170"/>
      <c r="CR160" s="1170"/>
      <c r="CS160" s="1170"/>
      <c r="CT160" s="1170"/>
      <c r="CU160" s="1170"/>
      <c r="CV160" s="1170"/>
      <c r="CW160" s="1170"/>
      <c r="CX160" s="1170"/>
      <c r="CY160" s="1160"/>
      <c r="CZ160" s="1160"/>
      <c r="DA160" s="1160"/>
      <c r="DB160" s="1200" t="s">
        <v>1021</v>
      </c>
      <c r="DC160" s="1199" t="s">
        <v>1022</v>
      </c>
      <c r="DD160" s="1170">
        <f>Constants!G358</f>
        <v>85.352020263671875</v>
      </c>
      <c r="DE160" s="1160"/>
      <c r="DF160" s="1160"/>
      <c r="DG160" s="1160"/>
      <c r="DH160" s="1160"/>
      <c r="DI160" s="1160"/>
      <c r="DJ160" s="1160"/>
      <c r="DK160" s="1160" t="s">
        <v>263</v>
      </c>
      <c r="DL160" s="1254">
        <f ca="1">CC216*$DL$166</f>
        <v>0</v>
      </c>
      <c r="DM160" s="1160"/>
      <c r="DN160" s="1160"/>
      <c r="DO160" s="1160"/>
      <c r="DP160" s="1160"/>
      <c r="DQ160" s="1160"/>
      <c r="DR160" s="1160"/>
      <c r="DS160" s="1160"/>
      <c r="DT160" s="1160"/>
      <c r="DU160" s="1160"/>
      <c r="DV160" s="1160"/>
      <c r="DW160" s="1160"/>
      <c r="DX160" s="1160"/>
      <c r="DY160" s="1160"/>
      <c r="DZ160" s="1980" t="s">
        <v>1899</v>
      </c>
      <c r="EA160" s="1160"/>
      <c r="EB160" s="1160"/>
    </row>
    <row r="161" spans="1:132" ht="15" x14ac:dyDescent="0.25">
      <c r="A161" s="1160"/>
      <c r="B161" s="1160"/>
      <c r="C161" s="1763"/>
      <c r="D161" s="1765"/>
      <c r="E161" s="1765"/>
      <c r="F161" s="1762"/>
      <c r="G161" s="1256"/>
      <c r="H161" s="1256"/>
      <c r="I161" s="1256"/>
      <c r="J161" s="1256"/>
      <c r="K161" s="1256"/>
      <c r="L161" s="1256"/>
      <c r="M161" s="1256"/>
      <c r="N161" s="1256"/>
      <c r="O161" s="1256"/>
      <c r="P161" s="1256"/>
      <c r="Q161" s="1256"/>
      <c r="R161" s="1170"/>
      <c r="S161" s="1170"/>
      <c r="T161" s="1170"/>
      <c r="U161" s="1170"/>
      <c r="V161" s="1170"/>
      <c r="W161" s="1170"/>
      <c r="X161" s="1170"/>
      <c r="Y161" s="1170"/>
      <c r="Z161" s="1170"/>
      <c r="AA161" s="1170"/>
      <c r="AB161" s="1170"/>
      <c r="AC161" s="1170"/>
      <c r="AD161" s="1170"/>
      <c r="AE161" s="1170"/>
      <c r="AF161" s="1170"/>
      <c r="AG161" s="1170"/>
      <c r="AH161" s="1170"/>
      <c r="AI161" s="1170"/>
      <c r="AJ161" s="1170"/>
      <c r="AK161" s="1170"/>
      <c r="AL161" s="1170"/>
      <c r="AM161" s="1170"/>
      <c r="AN161" s="1170"/>
      <c r="AO161" s="1170"/>
      <c r="AP161" s="1170"/>
      <c r="AQ161" s="1170"/>
      <c r="AR161" s="1170"/>
      <c r="AS161" s="1200" t="s">
        <v>1056</v>
      </c>
      <c r="AT161" s="1199" t="s">
        <v>447</v>
      </c>
      <c r="AU161" s="1199">
        <f ca="1">('Energy &amp; Unit Conversions'!$D$63-('Energy &amp; Unit Conversions'!$E$63*POWER((CokingRefineryPFD!AU158/'Energy &amp; Unit Conversions'!$E$54),2)))</f>
        <v>46.693440000000002</v>
      </c>
      <c r="AV161" s="1170"/>
      <c r="AW161" s="1170"/>
      <c r="AX161" s="1170"/>
      <c r="AY161" s="1170"/>
      <c r="AZ161" s="1170"/>
      <c r="BA161" s="1170"/>
      <c r="BB161" s="1170"/>
      <c r="BC161" s="1170"/>
      <c r="BD161" s="1170"/>
      <c r="BE161" s="1170"/>
      <c r="BF161" s="1170"/>
      <c r="BG161" s="1170"/>
      <c r="BH161" s="1170"/>
      <c r="BI161" s="1170"/>
      <c r="BJ161" s="1170"/>
      <c r="BK161" s="1170"/>
      <c r="BL161" s="1170"/>
      <c r="BM161" s="1170"/>
      <c r="BN161" s="1186" t="str">
        <f>CokingRefineryCalcs!C920</f>
        <v>Vol Flow</v>
      </c>
      <c r="BO161" s="1170" t="str">
        <f ca="1">CokingRefineryCalcs!D920</f>
        <v>bpd</v>
      </c>
      <c r="BP161" s="1187">
        <f ca="1">BP162/'Energy &amp; Unit Conversions'!$G$80</f>
        <v>2.1860383779271991E-17</v>
      </c>
      <c r="BQ161" s="1181"/>
      <c r="BR161" s="1170"/>
      <c r="BS161" s="1170"/>
      <c r="BT161" s="1170"/>
      <c r="BU161" s="1170"/>
      <c r="BV161" s="1170"/>
      <c r="BW161" s="1170"/>
      <c r="BX161" s="1170"/>
      <c r="BY161" s="1170"/>
      <c r="BZ161" s="1170"/>
      <c r="CA161" s="1170"/>
      <c r="CB161" s="1170"/>
      <c r="CC161" s="1170"/>
      <c r="CD161" s="1170"/>
      <c r="CE161" s="1170"/>
      <c r="CF161" s="1170"/>
      <c r="CG161" s="1170"/>
      <c r="CH161" s="1170"/>
      <c r="CI161" s="1170"/>
      <c r="CJ161" s="1170"/>
      <c r="CK161" s="1170"/>
      <c r="CL161" s="1170"/>
      <c r="CM161" s="1170"/>
      <c r="CN161" s="1170"/>
      <c r="CO161" s="1170"/>
      <c r="CP161" s="1170"/>
      <c r="CQ161" s="1170"/>
      <c r="CR161" s="1170"/>
      <c r="CS161" s="1170"/>
      <c r="CT161" s="1170"/>
      <c r="CU161" s="1170"/>
      <c r="CV161" s="1170"/>
      <c r="CW161" s="1170"/>
      <c r="CX161" s="1170"/>
      <c r="CY161" s="1160"/>
      <c r="CZ161" s="1160"/>
      <c r="DA161" s="1160"/>
      <c r="DB161" s="1160"/>
      <c r="DC161" s="1160"/>
      <c r="DD161" s="1160"/>
      <c r="DE161" s="1160"/>
      <c r="DF161" s="1160"/>
      <c r="DG161" s="1160"/>
      <c r="DH161" s="1160"/>
      <c r="DI161" s="1160"/>
      <c r="DJ161" s="1160"/>
      <c r="DK161" s="1160" t="s">
        <v>392</v>
      </c>
      <c r="DL161" s="1254">
        <f ca="1">(CC217+BX246)*$DL$166</f>
        <v>0</v>
      </c>
      <c r="DM161" s="1160"/>
      <c r="DN161" s="1160"/>
      <c r="DO161" s="1160"/>
      <c r="DP161" s="1160"/>
      <c r="DQ161" s="1160"/>
      <c r="DR161" s="1160"/>
      <c r="DS161" s="1160"/>
      <c r="DT161" s="1160"/>
      <c r="DU161" s="1160"/>
      <c r="DV161" s="1160"/>
      <c r="DW161" s="1160"/>
      <c r="DX161" s="1160"/>
      <c r="DY161" s="1160"/>
      <c r="DZ161" s="1229" t="s">
        <v>620</v>
      </c>
      <c r="EA161" s="1160" t="s">
        <v>622</v>
      </c>
      <c r="EB161" s="1205">
        <f ca="1">CokingRefineryCalcs!E1439</f>
        <v>0</v>
      </c>
    </row>
    <row r="162" spans="1:132" ht="15" x14ac:dyDescent="0.25">
      <c r="A162" s="1160"/>
      <c r="B162" s="1160"/>
      <c r="C162" s="1763"/>
      <c r="D162" s="1765"/>
      <c r="E162" s="1765"/>
      <c r="F162" s="1762"/>
      <c r="G162" s="1256"/>
      <c r="H162" s="1256"/>
      <c r="I162" s="1256"/>
      <c r="J162" s="1256"/>
      <c r="K162" s="1256"/>
      <c r="L162" s="1256"/>
      <c r="M162" s="1256"/>
      <c r="N162" s="1256"/>
      <c r="O162" s="1256"/>
      <c r="P162" s="1256"/>
      <c r="Q162" s="1256"/>
      <c r="R162" s="1170"/>
      <c r="S162" s="1170"/>
      <c r="T162" s="1170"/>
      <c r="U162" s="1170"/>
      <c r="V162" s="1170"/>
      <c r="W162" s="1170"/>
      <c r="X162" s="1170"/>
      <c r="Y162" s="1170"/>
      <c r="Z162" s="1170"/>
      <c r="AA162" s="1170"/>
      <c r="AB162" s="1170"/>
      <c r="AC162" s="1170"/>
      <c r="AD162" s="1170"/>
      <c r="AE162" s="1170"/>
      <c r="AF162" s="1170"/>
      <c r="AG162" s="1170"/>
      <c r="AH162" s="1170"/>
      <c r="AI162" s="1170"/>
      <c r="AJ162" s="1170"/>
      <c r="AK162" s="1170"/>
      <c r="AL162" s="1170"/>
      <c r="AM162" s="1170"/>
      <c r="AN162" s="1170"/>
      <c r="AO162" s="1170"/>
      <c r="AP162" s="1170"/>
      <c r="AQ162" s="1170"/>
      <c r="AR162" s="1170"/>
      <c r="AS162" s="1200" t="s">
        <v>1021</v>
      </c>
      <c r="AT162" s="1199" t="s">
        <v>1022</v>
      </c>
      <c r="AU162" s="1199">
        <f>AM143</f>
        <v>85.620002746582003</v>
      </c>
      <c r="AV162" s="1170"/>
      <c r="AW162" s="1170"/>
      <c r="AX162" s="1170"/>
      <c r="AY162" s="1170"/>
      <c r="AZ162" s="1170"/>
      <c r="BA162" s="1170"/>
      <c r="BB162" s="1170"/>
      <c r="BC162" s="1170"/>
      <c r="BD162" s="1170"/>
      <c r="BE162" s="1170"/>
      <c r="BF162" s="1170"/>
      <c r="BG162" s="1170"/>
      <c r="BH162" s="1170"/>
      <c r="BI162" s="1170"/>
      <c r="BJ162" s="1170"/>
      <c r="BK162" s="1170"/>
      <c r="BL162" s="1170"/>
      <c r="BM162" s="1170"/>
      <c r="BN162" s="1186" t="str">
        <f>CokingRefineryCalcs!C921</f>
        <v>Vol Flow</v>
      </c>
      <c r="BO162" s="1170" t="str">
        <f ca="1">CokingRefineryCalcs!D921</f>
        <v>m^3/d</v>
      </c>
      <c r="BP162" s="1187">
        <f ca="1">BP163*BP166</f>
        <v>3.4755233940302498E-18</v>
      </c>
      <c r="BQ162" s="1181"/>
      <c r="BR162" s="1170"/>
      <c r="BS162" s="1170"/>
      <c r="BT162" s="1170"/>
      <c r="BU162" s="1170"/>
      <c r="BV162" s="1170"/>
      <c r="BW162" s="1170"/>
      <c r="BX162" s="1170"/>
      <c r="BY162" s="1170"/>
      <c r="BZ162" s="1170"/>
      <c r="CA162" s="1170"/>
      <c r="CB162" s="1170"/>
      <c r="CC162" s="1170"/>
      <c r="CD162" s="1170"/>
      <c r="CE162" s="1170"/>
      <c r="CF162" s="1170"/>
      <c r="CG162" s="1170"/>
      <c r="CH162" s="1170"/>
      <c r="CI162" s="1170"/>
      <c r="CJ162" s="1170"/>
      <c r="CK162" s="1170"/>
      <c r="CL162" s="1170"/>
      <c r="CM162" s="1170"/>
      <c r="CN162" s="1170"/>
      <c r="CO162" s="1170"/>
      <c r="CP162" s="1170"/>
      <c r="CQ162" s="1187"/>
      <c r="CR162" s="1187"/>
      <c r="CS162" s="1170"/>
      <c r="CT162" s="1170"/>
      <c r="CU162" s="1170"/>
      <c r="CV162" s="1170"/>
      <c r="CW162" s="1170"/>
      <c r="CX162" s="1170"/>
      <c r="CY162" s="1160"/>
      <c r="CZ162" s="1160"/>
      <c r="DA162" s="1160"/>
      <c r="DB162" s="1160"/>
      <c r="DC162" s="1160"/>
      <c r="DD162" s="1160"/>
      <c r="DE162" s="1160"/>
      <c r="DF162" s="1160"/>
      <c r="DG162" s="1160"/>
      <c r="DH162" s="1160"/>
      <c r="DI162" s="1160"/>
      <c r="DJ162" s="1160"/>
      <c r="DK162" s="1160" t="s">
        <v>224</v>
      </c>
      <c r="DL162" s="1254">
        <f ca="1">(CC218+BX247)*$DL$166</f>
        <v>0</v>
      </c>
      <c r="DM162" s="1160"/>
      <c r="DN162" s="1160"/>
      <c r="DO162" s="1160"/>
      <c r="DP162" s="1160"/>
      <c r="DQ162" s="1160"/>
      <c r="DR162" s="1160"/>
      <c r="DS162" s="1160"/>
      <c r="DT162" s="1160"/>
      <c r="DU162" s="1160"/>
      <c r="DV162" s="1160"/>
      <c r="DW162" s="1160"/>
      <c r="DX162" s="1160"/>
      <c r="DY162" s="1160"/>
      <c r="DZ162" s="1160"/>
      <c r="EA162" s="1204"/>
      <c r="EB162" s="1160"/>
    </row>
    <row r="163" spans="1:132" ht="15" x14ac:dyDescent="0.25">
      <c r="A163" s="1160"/>
      <c r="B163" s="1160"/>
      <c r="C163" s="1763"/>
      <c r="D163" s="1765"/>
      <c r="E163" s="1765"/>
      <c r="F163" s="1762"/>
      <c r="G163" s="1256"/>
      <c r="H163" s="1256"/>
      <c r="I163" s="1256"/>
      <c r="J163" s="1256"/>
      <c r="K163" s="1256"/>
      <c r="L163" s="1256"/>
      <c r="M163" s="1256"/>
      <c r="N163" s="1256"/>
      <c r="O163" s="1256"/>
      <c r="P163" s="1256"/>
      <c r="Q163" s="1256"/>
      <c r="R163" s="1170"/>
      <c r="S163" s="1170"/>
      <c r="T163" s="1170"/>
      <c r="U163" s="1170"/>
      <c r="V163" s="1170"/>
      <c r="W163" s="1170"/>
      <c r="X163" s="1170"/>
      <c r="Y163" s="1170"/>
      <c r="Z163" s="1170"/>
      <c r="AA163" s="1170"/>
      <c r="AB163" s="1170"/>
      <c r="AC163" s="1170"/>
      <c r="AD163" s="1170"/>
      <c r="AE163" s="1170"/>
      <c r="AF163" s="1170"/>
      <c r="AG163" s="1170"/>
      <c r="AH163" s="1170"/>
      <c r="AI163" s="1170"/>
      <c r="AJ163" s="1170"/>
      <c r="AK163" s="1170"/>
      <c r="AL163" s="1170"/>
      <c r="AM163" s="1170"/>
      <c r="AN163" s="1170"/>
      <c r="AO163" s="1170"/>
      <c r="AP163" s="1170"/>
      <c r="AQ163" s="1170"/>
      <c r="AR163" s="1170"/>
      <c r="AS163" s="1204" t="s">
        <v>1054</v>
      </c>
      <c r="AT163" s="1204" t="str">
        <f>IF(allocationMethod=1,$C$21,IF(allocationMethod=2,$C$22,IF(allocationMethod=3,$C$23,$C$24)))</f>
        <v>Hydrogen Content Basis</v>
      </c>
      <c r="AU163" s="1204">
        <f ca="1">IF(allocationMethod=1,AU155,IF(allocationMethod=2,AU161*AU155,IF(allocationMethod=3,AU162*AU153,AU159*AU155/100)))</f>
        <v>0</v>
      </c>
      <c r="AV163" s="1170"/>
      <c r="AW163" s="1170"/>
      <c r="AX163" s="1170"/>
      <c r="AY163" s="1170"/>
      <c r="AZ163" s="1170"/>
      <c r="BA163" s="1170"/>
      <c r="BB163" s="1170"/>
      <c r="BC163" s="1170"/>
      <c r="BD163" s="1170"/>
      <c r="BE163" s="1170"/>
      <c r="BF163" s="1170"/>
      <c r="BG163" s="1170"/>
      <c r="BH163" s="1170"/>
      <c r="BI163" s="1170"/>
      <c r="BJ163" s="1170"/>
      <c r="BK163" s="1170"/>
      <c r="BL163" s="1170"/>
      <c r="BM163" s="1170"/>
      <c r="BN163" s="1186" t="str">
        <f>CokingRefineryCalcs!C922</f>
        <v>Mass Flow</v>
      </c>
      <c r="BO163" s="1170" t="str">
        <f>CokingRefineryCalcs!D922</f>
        <v>kg/d</v>
      </c>
      <c r="BP163" s="1170">
        <f ca="1">CokingRefineryCalcs!G922</f>
        <v>3.0004839823245577E-18</v>
      </c>
      <c r="BQ163" s="1170"/>
      <c r="BR163" s="1170"/>
      <c r="BS163" s="1170"/>
      <c r="BT163" s="1170"/>
      <c r="BU163" s="1170"/>
      <c r="BV163" s="1170"/>
      <c r="BW163" s="1170"/>
      <c r="BX163" s="1170"/>
      <c r="BY163" s="1170"/>
      <c r="BZ163" s="1170"/>
      <c r="CA163" s="1170"/>
      <c r="CB163" s="1170"/>
      <c r="CC163" s="1170"/>
      <c r="CD163" s="1170"/>
      <c r="CE163" s="1170"/>
      <c r="CF163" s="1170"/>
      <c r="CG163" s="1170"/>
      <c r="CH163" s="1170"/>
      <c r="CI163" s="1170"/>
      <c r="CJ163" s="1170"/>
      <c r="CK163" s="1170"/>
      <c r="CL163" s="1170"/>
      <c r="CM163" s="1170"/>
      <c r="CN163" s="1170"/>
      <c r="CO163" s="1170"/>
      <c r="CP163" s="1170"/>
      <c r="CQ163" s="1187"/>
      <c r="CR163" s="1187"/>
      <c r="CS163" s="1170"/>
      <c r="CT163" s="1170"/>
      <c r="CU163" s="1170"/>
      <c r="CV163" s="1170"/>
      <c r="CW163" s="1170"/>
      <c r="CX163" s="1170"/>
      <c r="CY163" s="1160"/>
      <c r="CZ163" s="1160"/>
      <c r="DA163" s="1160"/>
      <c r="DB163" s="1160"/>
      <c r="DC163" s="1160"/>
      <c r="DD163" s="1160"/>
      <c r="DE163" s="1160"/>
      <c r="DF163" s="1160"/>
      <c r="DG163" s="1160"/>
      <c r="DH163" s="1160"/>
      <c r="DI163" s="1160"/>
      <c r="DJ163" s="1160"/>
      <c r="DK163" s="1160" t="s">
        <v>485</v>
      </c>
      <c r="DL163" s="1254">
        <f ca="1">(CC219+BX248)*$DL$166</f>
        <v>0</v>
      </c>
      <c r="DM163" s="1160"/>
      <c r="DN163" s="1160"/>
      <c r="DO163" s="1160"/>
      <c r="DP163" s="1160"/>
      <c r="DQ163" s="1160"/>
      <c r="DR163" s="1160"/>
      <c r="DS163" s="1160"/>
      <c r="DT163" s="1160"/>
      <c r="DU163" s="1160"/>
      <c r="DV163" s="1160"/>
      <c r="DW163" s="1160"/>
      <c r="DX163" s="1160"/>
      <c r="DY163" s="1160"/>
      <c r="DZ163" s="1160"/>
      <c r="EA163" s="1160"/>
      <c r="EB163" s="1160"/>
    </row>
    <row r="164" spans="1:132" ht="15" x14ac:dyDescent="0.25">
      <c r="A164" s="1160"/>
      <c r="B164" s="1160"/>
      <c r="C164" s="1763"/>
      <c r="D164" s="1765"/>
      <c r="E164" s="1765"/>
      <c r="F164" s="1762"/>
      <c r="G164" s="1256"/>
      <c r="H164" s="1256"/>
      <c r="I164" s="1256"/>
      <c r="J164" s="1256"/>
      <c r="K164" s="1256"/>
      <c r="L164" s="1256"/>
      <c r="M164" s="1256"/>
      <c r="N164" s="1256"/>
      <c r="O164" s="1256"/>
      <c r="P164" s="1256"/>
      <c r="Q164" s="1256"/>
      <c r="R164" s="1170"/>
      <c r="S164" s="1170"/>
      <c r="T164" s="1170"/>
      <c r="U164" s="1170"/>
      <c r="V164" s="1170"/>
      <c r="W164" s="1170"/>
      <c r="X164" s="1170"/>
      <c r="Y164" s="1170"/>
      <c r="Z164" s="1170"/>
      <c r="AA164" s="1170"/>
      <c r="AB164" s="1170"/>
      <c r="AC164" s="1170"/>
      <c r="AD164" s="1170"/>
      <c r="AE164" s="1170"/>
      <c r="AF164" s="1170"/>
      <c r="AG164" s="1170"/>
      <c r="AH164" s="1170"/>
      <c r="AI164" s="1170"/>
      <c r="AJ164" s="1170"/>
      <c r="AK164" s="1170"/>
      <c r="AL164" s="1170"/>
      <c r="AM164" s="1170"/>
      <c r="AN164" s="1170"/>
      <c r="AO164" s="1170"/>
      <c r="AP164" s="1170"/>
      <c r="AQ164" s="1170"/>
      <c r="AR164" s="1170"/>
      <c r="AS164" s="1170"/>
      <c r="AT164" s="1170"/>
      <c r="AU164" s="1170"/>
      <c r="AV164" s="1170"/>
      <c r="AW164" s="1170"/>
      <c r="AX164" s="1170"/>
      <c r="AY164" s="1170"/>
      <c r="AZ164" s="1170"/>
      <c r="BA164" s="1170"/>
      <c r="BB164" s="1170"/>
      <c r="BC164" s="1170"/>
      <c r="BD164" s="1170"/>
      <c r="BE164" s="1170"/>
      <c r="BF164" s="1170"/>
      <c r="BG164" s="1170"/>
      <c r="BH164" s="1170"/>
      <c r="BI164" s="1170"/>
      <c r="BJ164" s="1170"/>
      <c r="BK164" s="1170"/>
      <c r="BL164" s="1170"/>
      <c r="BM164" s="1170"/>
      <c r="BN164" s="1186" t="str">
        <f>CokingRefineryCalcs!C923</f>
        <v xml:space="preserve">Sulphur </v>
      </c>
      <c r="BO164" s="1170" t="str">
        <f ca="1">CokingRefineryCalcs!D923</f>
        <v>wt%</v>
      </c>
      <c r="BP164" s="1170">
        <f ca="1">CokingRefineryCalcs!G923</f>
        <v>0</v>
      </c>
      <c r="BQ164" s="1170"/>
      <c r="BR164" s="1170"/>
      <c r="BS164" s="1170"/>
      <c r="BT164" s="1170"/>
      <c r="BU164" s="1170"/>
      <c r="BV164" s="1170"/>
      <c r="BW164" s="1170"/>
      <c r="BX164" s="1170"/>
      <c r="BY164" s="1170"/>
      <c r="BZ164" s="1170"/>
      <c r="CA164" s="1170"/>
      <c r="CB164" s="1170"/>
      <c r="CC164" s="1170"/>
      <c r="CD164" s="1170"/>
      <c r="CE164" s="1170"/>
      <c r="CF164" s="1170"/>
      <c r="CG164" s="1170"/>
      <c r="CH164" s="1170"/>
      <c r="CI164" s="1170"/>
      <c r="CJ164" s="1170"/>
      <c r="CK164" s="1170"/>
      <c r="CL164" s="1170"/>
      <c r="CM164" s="1170"/>
      <c r="CN164" s="1170"/>
      <c r="CO164" s="1170"/>
      <c r="CP164" s="1170"/>
      <c r="CQ164" s="1187"/>
      <c r="CR164" s="1187"/>
      <c r="CS164" s="1170"/>
      <c r="CT164" s="1170"/>
      <c r="CU164" s="1170"/>
      <c r="CV164" s="1170"/>
      <c r="CW164" s="1170"/>
      <c r="CX164" s="1170"/>
      <c r="CY164" s="1160"/>
      <c r="CZ164" s="1160"/>
      <c r="DA164" s="1160"/>
      <c r="DB164" s="1160"/>
      <c r="DC164" s="1160"/>
      <c r="DD164" s="1160"/>
      <c r="DE164" s="1160"/>
      <c r="DF164" s="1160"/>
      <c r="DG164" s="1160"/>
      <c r="DH164" s="1160"/>
      <c r="DI164" s="1160"/>
      <c r="DJ164" s="1160"/>
      <c r="DK164" s="1160" t="s">
        <v>541</v>
      </c>
      <c r="DL164" s="1254">
        <f ca="1">(CC220+BX249)*$DL$166</f>
        <v>0</v>
      </c>
      <c r="DM164" s="1160"/>
      <c r="DN164" s="1160"/>
      <c r="DO164" s="1160"/>
      <c r="DP164" s="1160"/>
      <c r="DQ164" s="1160"/>
      <c r="DR164" s="1160"/>
      <c r="DS164" s="1160"/>
      <c r="DT164" s="1160"/>
      <c r="DU164" s="1160"/>
      <c r="DV164" s="1160"/>
      <c r="DW164" s="1160"/>
      <c r="DX164" s="1160"/>
      <c r="DY164" s="1160"/>
      <c r="DZ164" s="2070" t="s">
        <v>1899</v>
      </c>
      <c r="EA164" s="1160"/>
      <c r="EB164" s="1160"/>
    </row>
    <row r="165" spans="1:132" ht="15.75" customHeight="1" x14ac:dyDescent="0.25">
      <c r="A165" s="1160"/>
      <c r="B165" s="1160"/>
      <c r="C165" s="1763"/>
      <c r="D165" s="1765"/>
      <c r="E165" s="1765"/>
      <c r="F165" s="1762"/>
      <c r="G165" s="1256"/>
      <c r="H165" s="1256"/>
      <c r="I165" s="1256"/>
      <c r="J165" s="1256"/>
      <c r="K165" s="1256"/>
      <c r="L165" s="1256"/>
      <c r="M165" s="1256"/>
      <c r="N165" s="1256"/>
      <c r="O165" s="1256"/>
      <c r="P165" s="1256"/>
      <c r="Q165" s="1256"/>
      <c r="R165" s="1170"/>
      <c r="S165" s="1170"/>
      <c r="T165" s="1170"/>
      <c r="U165" s="1170"/>
      <c r="V165" s="1170"/>
      <c r="W165" s="1170"/>
      <c r="X165" s="1170"/>
      <c r="Y165" s="1170"/>
      <c r="Z165" s="1170"/>
      <c r="AA165" s="1170"/>
      <c r="AB165" s="1170"/>
      <c r="AC165" s="1181" t="str">
        <f>CokingRefineryCalcs!F518</f>
        <v>Output</v>
      </c>
      <c r="AD165" s="1170"/>
      <c r="AE165" s="1170"/>
      <c r="AF165" s="1170"/>
      <c r="AG165" s="1170"/>
      <c r="AH165" s="1170"/>
      <c r="AI165" s="1170"/>
      <c r="AJ165" s="1170"/>
      <c r="AK165" s="1170"/>
      <c r="AL165" s="1170"/>
      <c r="AM165" s="1170"/>
      <c r="AN165" s="1170"/>
      <c r="AO165" s="1170"/>
      <c r="AP165" s="1170"/>
      <c r="AQ165" s="1170"/>
      <c r="AR165" s="1170"/>
      <c r="AS165" s="1170"/>
      <c r="AT165" s="1170"/>
      <c r="AU165" s="1170"/>
      <c r="AV165" s="1170"/>
      <c r="AW165" s="1170"/>
      <c r="AX165" s="1170"/>
      <c r="AY165" s="1170"/>
      <c r="AZ165" s="1170"/>
      <c r="BA165" s="1170"/>
      <c r="BB165" s="1170"/>
      <c r="BC165" s="1170"/>
      <c r="BD165" s="1170"/>
      <c r="BE165" s="1170"/>
      <c r="BF165" s="1170"/>
      <c r="BG165" s="1170"/>
      <c r="BH165" s="1170"/>
      <c r="BI165" s="1170"/>
      <c r="BJ165" s="1170"/>
      <c r="BK165" s="1170"/>
      <c r="BL165" s="1170"/>
      <c r="BM165" s="1170"/>
      <c r="BN165" s="1186" t="str">
        <f>CokingRefineryCalcs!C925</f>
        <v xml:space="preserve">API gravity </v>
      </c>
      <c r="BO165" s="1170"/>
      <c r="BP165" s="1170"/>
      <c r="BQ165" s="1170"/>
      <c r="BR165" s="1170"/>
      <c r="BS165" s="1170"/>
      <c r="BT165" s="1170"/>
      <c r="BU165" s="1170"/>
      <c r="BV165" s="1170"/>
      <c r="BW165" s="1170"/>
      <c r="BX165" s="1170"/>
      <c r="BY165" s="1170"/>
      <c r="BZ165" s="1170"/>
      <c r="CA165" s="1170"/>
      <c r="CB165" s="1170"/>
      <c r="CC165" s="1170"/>
      <c r="CD165" s="1170"/>
      <c r="CE165" s="1170"/>
      <c r="CF165" s="1170"/>
      <c r="CG165" s="1170"/>
      <c r="CH165" s="1170"/>
      <c r="CI165" s="1170"/>
      <c r="CJ165" s="1170"/>
      <c r="CK165" s="1170"/>
      <c r="CL165" s="1170"/>
      <c r="CM165" s="1170"/>
      <c r="CN165" s="1170"/>
      <c r="CO165" s="1170"/>
      <c r="CP165" s="1170"/>
      <c r="CQ165" s="1187"/>
      <c r="CR165" s="1187"/>
      <c r="CS165" s="1181" t="str">
        <f>CokingRefineryCalcs!F815</f>
        <v>Alkylate</v>
      </c>
      <c r="CT165" s="1170"/>
      <c r="CU165" s="1170"/>
      <c r="CV165" s="1170"/>
      <c r="CW165" s="1170"/>
      <c r="CX165" s="1170"/>
      <c r="CY165" s="1160"/>
      <c r="CZ165" s="1160"/>
      <c r="DA165" s="1160"/>
      <c r="DB165" s="1160"/>
      <c r="DC165" s="1160"/>
      <c r="DD165" s="1160"/>
      <c r="DE165" s="1160"/>
      <c r="DF165" s="1160"/>
      <c r="DG165" s="1160"/>
      <c r="DH165" s="1160"/>
      <c r="DI165" s="1160"/>
      <c r="DJ165" s="1160"/>
      <c r="DK165" s="1160" t="str">
        <f>BW250</f>
        <v>Catalyst Coke</v>
      </c>
      <c r="DL165" s="1245">
        <f ca="1">BX250*DL166</f>
        <v>0</v>
      </c>
      <c r="DM165" s="1160"/>
      <c r="DN165" s="1160"/>
      <c r="DO165" s="1160"/>
      <c r="DP165" s="1160"/>
      <c r="DQ165" s="1160"/>
      <c r="DR165" s="1160"/>
      <c r="DS165" s="1160"/>
      <c r="DT165" s="1160"/>
      <c r="DU165" s="1160"/>
      <c r="DV165" s="1160"/>
      <c r="DW165" s="1160"/>
      <c r="DX165" s="1160"/>
      <c r="DY165" s="1160"/>
      <c r="DZ165" s="1193" t="s">
        <v>226</v>
      </c>
      <c r="EA165" s="1160"/>
      <c r="EB165" s="1194" t="s">
        <v>522</v>
      </c>
    </row>
    <row r="166" spans="1:132" ht="15" x14ac:dyDescent="0.25">
      <c r="A166" s="1160"/>
      <c r="B166" s="1160"/>
      <c r="C166" s="1763"/>
      <c r="D166" s="1765"/>
      <c r="E166" s="1765"/>
      <c r="F166" s="1762"/>
      <c r="G166" s="1256"/>
      <c r="H166" s="1256"/>
      <c r="I166" s="1256"/>
      <c r="J166" s="1256"/>
      <c r="K166" s="1256"/>
      <c r="L166" s="1256"/>
      <c r="M166" s="1256"/>
      <c r="N166" s="1256"/>
      <c r="O166" s="1256"/>
      <c r="P166" s="1256"/>
      <c r="Q166" s="1256"/>
      <c r="R166" s="1170"/>
      <c r="S166" s="1170"/>
      <c r="T166" s="1170"/>
      <c r="U166" s="1170"/>
      <c r="V166" s="1170"/>
      <c r="W166" s="1170"/>
      <c r="X166" s="1170"/>
      <c r="Y166" s="1170"/>
      <c r="Z166" s="1170"/>
      <c r="AA166" s="1170"/>
      <c r="AB166" s="1170"/>
      <c r="AC166" s="1182" t="str">
        <f>CokingRefineryCalcs!C518</f>
        <v>Property</v>
      </c>
      <c r="AD166" s="1182" t="str">
        <f>CokingRefineryCalcs!D518</f>
        <v>Units</v>
      </c>
      <c r="AE166" s="1170"/>
      <c r="AF166" s="1170"/>
      <c r="AG166" s="1170"/>
      <c r="AH166" s="1170"/>
      <c r="AI166" s="1170"/>
      <c r="AJ166" s="1170"/>
      <c r="AK166" s="1170"/>
      <c r="AL166" s="1170"/>
      <c r="AM166" s="1170"/>
      <c r="AN166" s="1170"/>
      <c r="AO166" s="1170"/>
      <c r="AP166" s="1170"/>
      <c r="AQ166" s="1170"/>
      <c r="AR166" s="1170"/>
      <c r="AS166" s="1181" t="str">
        <f>CokingRefineryCalcs!F628</f>
        <v>HVGO To Gas Oil HC</v>
      </c>
      <c r="AT166" s="1170"/>
      <c r="AU166" s="1170"/>
      <c r="AV166" s="1170"/>
      <c r="AW166" s="1170"/>
      <c r="AX166" s="1180" t="str">
        <f>AS166</f>
        <v>HVGO To Gas Oil HC</v>
      </c>
      <c r="AY166" s="1170"/>
      <c r="AZ166" s="1170"/>
      <c r="BA166" s="1170"/>
      <c r="BB166" s="1170"/>
      <c r="BC166" s="1170"/>
      <c r="BD166" s="1170"/>
      <c r="BE166" s="1170"/>
      <c r="BF166" s="1170"/>
      <c r="BG166" s="1170"/>
      <c r="BH166" s="1170"/>
      <c r="BI166" s="1170"/>
      <c r="BJ166" s="1170"/>
      <c r="BK166" s="1170"/>
      <c r="BL166" s="1170"/>
      <c r="BM166" s="1170"/>
      <c r="BN166" s="1186" t="str">
        <f>CokingRefineryCalcs!C926</f>
        <v>Density</v>
      </c>
      <c r="BO166" s="1170" t="str">
        <f ca="1">CokingRefineryCalcs!D926</f>
        <v>kg/m^3</v>
      </c>
      <c r="BP166" s="1170">
        <f>'Energy &amp; Unit Conversions'!$E$27/'Energy &amp; Unit Conversions'!$E$93/'Energy &amp; Unit Conversions'!$G$81</f>
        <v>1.1583209290581402</v>
      </c>
      <c r="BQ166" s="1170"/>
      <c r="BR166" s="1170"/>
      <c r="BS166" s="1170"/>
      <c r="BT166" s="1170"/>
      <c r="BU166" s="1170"/>
      <c r="BV166" s="1170"/>
      <c r="BW166" s="1170"/>
      <c r="BX166" s="1170"/>
      <c r="BY166" s="1170"/>
      <c r="BZ166" s="1170"/>
      <c r="CA166" s="1170"/>
      <c r="CB166" s="1170"/>
      <c r="CC166" s="1170"/>
      <c r="CD166" s="1170"/>
      <c r="CE166" s="1170"/>
      <c r="CF166" s="1170"/>
      <c r="CG166" s="1170"/>
      <c r="CH166" s="1170"/>
      <c r="CI166" s="1170"/>
      <c r="CJ166" s="1170"/>
      <c r="CK166" s="1170"/>
      <c r="CL166" s="1170"/>
      <c r="CM166" s="1170"/>
      <c r="CN166" s="1170"/>
      <c r="CO166" s="1170"/>
      <c r="CP166" s="1170"/>
      <c r="CQ166" s="1187"/>
      <c r="CR166" s="1187"/>
      <c r="CS166" s="1182" t="str">
        <f>CokingRefineryCalcs!C815</f>
        <v>Property</v>
      </c>
      <c r="CT166" s="1182" t="str">
        <f>CokingRefineryCalcs!D815</f>
        <v>Units</v>
      </c>
      <c r="CU166" s="1170"/>
      <c r="CV166" s="1170"/>
      <c r="CW166" s="1170"/>
      <c r="CX166" s="1170"/>
      <c r="CY166" s="1160"/>
      <c r="CZ166" s="1160"/>
      <c r="DA166" s="1160"/>
      <c r="DB166" s="1160"/>
      <c r="DC166" s="1160"/>
      <c r="DD166" s="1160"/>
      <c r="DE166" s="1160"/>
      <c r="DF166" s="1160"/>
      <c r="DG166" s="1160"/>
      <c r="DH166" s="1160"/>
      <c r="DI166" s="1160"/>
      <c r="DJ166" s="1160"/>
      <c r="DK166" s="1191" t="s">
        <v>1066</v>
      </c>
      <c r="DL166" s="1245">
        <f ca="1">IF(CokingRefineryPFD!E50=TRUE,DL167,0)</f>
        <v>0</v>
      </c>
      <c r="DM166" s="1160"/>
      <c r="DN166" s="1160"/>
      <c r="DO166" s="1160"/>
      <c r="DP166" s="1160"/>
      <c r="DQ166" s="1160"/>
      <c r="DR166" s="1160"/>
      <c r="DS166" s="1160"/>
      <c r="DT166" s="1160"/>
      <c r="DU166" s="1160"/>
      <c r="DV166" s="1160"/>
      <c r="DW166" s="1160"/>
      <c r="DX166" s="1160"/>
      <c r="DY166" s="1160"/>
      <c r="DZ166" s="1160" t="s">
        <v>263</v>
      </c>
      <c r="EA166" s="1160"/>
      <c r="EB166" s="1187">
        <f ca="1">(DL$81+DL$92+DL$103+DL$114+DL$126+DL$138+DL$149+DL$160+DL$58+DL$70)*$EB172</f>
        <v>0</v>
      </c>
    </row>
    <row r="167" spans="1:132" ht="15" x14ac:dyDescent="0.25">
      <c r="A167" s="1160"/>
      <c r="B167" s="1160"/>
      <c r="C167" s="1763"/>
      <c r="D167" s="1765"/>
      <c r="E167" s="1765"/>
      <c r="F167" s="1762"/>
      <c r="G167" s="1256"/>
      <c r="H167" s="1256"/>
      <c r="I167" s="1256"/>
      <c r="J167" s="1256"/>
      <c r="K167" s="1256"/>
      <c r="L167" s="1256"/>
      <c r="M167" s="1256"/>
      <c r="N167" s="1256"/>
      <c r="O167" s="1256"/>
      <c r="P167" s="1256"/>
      <c r="Q167" s="1256"/>
      <c r="R167" s="1170"/>
      <c r="S167" s="1170"/>
      <c r="T167" s="1170"/>
      <c r="U167" s="1170"/>
      <c r="V167" s="1170"/>
      <c r="W167" s="1170"/>
      <c r="X167" s="1170"/>
      <c r="Y167" s="1170"/>
      <c r="Z167" s="1170"/>
      <c r="AA167" s="1170"/>
      <c r="AB167" s="1170"/>
      <c r="AC167" s="1186" t="str">
        <f>CokingRefineryCalcs!C519</f>
        <v>Vol Flow</v>
      </c>
      <c r="AD167" s="1170" t="str">
        <f ca="1">CokingRefineryCalcs!D519</f>
        <v>bpd</v>
      </c>
      <c r="AE167" s="1170">
        <f ca="1">CokingRefineryCalcs!F519</f>
        <v>1E-14</v>
      </c>
      <c r="AF167" s="1170"/>
      <c r="AG167" s="1170"/>
      <c r="AH167" s="1170"/>
      <c r="AI167" s="1170"/>
      <c r="AJ167" s="1170"/>
      <c r="AK167" s="1170"/>
      <c r="AL167" s="1170"/>
      <c r="AM167" s="1170"/>
      <c r="AN167" s="1170"/>
      <c r="AO167" s="1170"/>
      <c r="AP167" s="1170"/>
      <c r="AQ167" s="1170"/>
      <c r="AR167" s="1170"/>
      <c r="AS167" s="1182" t="str">
        <f>CokingRefineryCalcs!C628</f>
        <v>Property</v>
      </c>
      <c r="AT167" s="1182" t="str">
        <f>CokingRefineryCalcs!D628</f>
        <v>Units</v>
      </c>
      <c r="AU167" s="1170"/>
      <c r="AV167" s="1170"/>
      <c r="AW167" s="1170"/>
      <c r="AX167" s="1183" t="s">
        <v>226</v>
      </c>
      <c r="AY167" s="1170"/>
      <c r="AZ167" s="1184" t="s">
        <v>522</v>
      </c>
      <c r="BA167" s="1170"/>
      <c r="BB167" s="1170"/>
      <c r="BC167" s="1170"/>
      <c r="BD167" s="1170"/>
      <c r="BE167" s="1170"/>
      <c r="BF167" s="1170"/>
      <c r="BG167" s="1170"/>
      <c r="BH167" s="1170"/>
      <c r="BI167" s="1170"/>
      <c r="BJ167" s="1170"/>
      <c r="BK167" s="1170"/>
      <c r="BL167" s="1170"/>
      <c r="BM167" s="1170"/>
      <c r="BN167" s="1186" t="str">
        <f>CokingRefineryCalcs!C927</f>
        <v>Hydrogen</v>
      </c>
      <c r="BO167" s="1170" t="str">
        <f ca="1">CokingRefineryCalcs!D927</f>
        <v>wt%</v>
      </c>
      <c r="BP167" s="1170">
        <f ca="1">CokingRefineryCalcs!G927</f>
        <v>18.364315923905643</v>
      </c>
      <c r="BQ167" s="1170"/>
      <c r="BR167" s="1170"/>
      <c r="BS167" s="1170"/>
      <c r="BT167" s="1170"/>
      <c r="BU167" s="1170"/>
      <c r="BV167" s="1170"/>
      <c r="BW167" s="1170"/>
      <c r="BX167" s="1170"/>
      <c r="BY167" s="1170"/>
      <c r="BZ167" s="1170"/>
      <c r="CA167" s="1170"/>
      <c r="CB167" s="1170"/>
      <c r="CC167" s="1170"/>
      <c r="CD167" s="1170"/>
      <c r="CE167" s="1170"/>
      <c r="CF167" s="1170"/>
      <c r="CG167" s="1170"/>
      <c r="CH167" s="1170"/>
      <c r="CI167" s="1170"/>
      <c r="CJ167" s="1170"/>
      <c r="CK167" s="1170"/>
      <c r="CL167" s="1170"/>
      <c r="CM167" s="1170"/>
      <c r="CN167" s="1170"/>
      <c r="CO167" s="1184" t="str">
        <f>'CokingRefinery Detailed Results'!C27</f>
        <v>Alkylation Unit</v>
      </c>
      <c r="CP167" s="1170"/>
      <c r="CQ167" s="1187"/>
      <c r="CR167" s="1187"/>
      <c r="CS167" s="1186" t="str">
        <f>CokingRefineryCalcs!C816</f>
        <v>Vol Flow</v>
      </c>
      <c r="CT167" s="1170" t="str">
        <f>CokingRefineryCalcs!D816</f>
        <v>bpd</v>
      </c>
      <c r="CU167" s="1170">
        <f ca="1">CokingRefineryCalcs!F816</f>
        <v>1.3042983691423561E-17</v>
      </c>
      <c r="CV167" s="1170"/>
      <c r="CW167" s="1170"/>
      <c r="CX167" s="1170"/>
      <c r="CY167" s="1160"/>
      <c r="CZ167" s="1160"/>
      <c r="DA167" s="1160"/>
      <c r="DB167" s="1160"/>
      <c r="DC167" s="1160"/>
      <c r="DD167" s="1160"/>
      <c r="DE167" s="1160"/>
      <c r="DF167" s="1160"/>
      <c r="DG167" s="1160"/>
      <c r="DH167" s="1160"/>
      <c r="DI167" s="1160"/>
      <c r="DJ167" s="1160"/>
      <c r="DK167" s="1191" t="s">
        <v>1065</v>
      </c>
      <c r="DL167" s="1245">
        <f ca="1">BT239/(BT239+CC247)</f>
        <v>0</v>
      </c>
      <c r="DM167" s="1160"/>
      <c r="DN167" s="1160"/>
      <c r="DO167" s="1160"/>
      <c r="DP167" s="1160"/>
      <c r="DQ167" s="1160"/>
      <c r="DR167" s="1160"/>
      <c r="DS167" s="1160"/>
      <c r="DT167" s="1160"/>
      <c r="DU167" s="1160"/>
      <c r="DV167" s="1160"/>
      <c r="DW167" s="1160"/>
      <c r="DX167" s="1160"/>
      <c r="DY167" s="1160"/>
      <c r="DZ167" s="1160" t="s">
        <v>392</v>
      </c>
      <c r="EA167" s="1160"/>
      <c r="EB167" s="1187">
        <f ca="1">(DN$42+DL$82+DL$93+DL$104+DL$115+DL$127+DL$139+DL$150+DL$161+DL$59+DL$71)*$EB172</f>
        <v>0</v>
      </c>
    </row>
    <row r="168" spans="1:132" ht="15" x14ac:dyDescent="0.25">
      <c r="A168" s="1160"/>
      <c r="B168" s="1160"/>
      <c r="C168" s="1763"/>
      <c r="D168" s="1765"/>
      <c r="E168" s="1765"/>
      <c r="F168" s="1762"/>
      <c r="G168" s="1256"/>
      <c r="H168" s="1256"/>
      <c r="I168" s="1256"/>
      <c r="J168" s="1256"/>
      <c r="K168" s="1256"/>
      <c r="L168" s="1256"/>
      <c r="M168" s="1256"/>
      <c r="N168" s="1256"/>
      <c r="O168" s="1256"/>
      <c r="P168" s="1256"/>
      <c r="Q168" s="1256"/>
      <c r="R168" s="1170"/>
      <c r="S168" s="1170"/>
      <c r="T168" s="1170"/>
      <c r="U168" s="1170"/>
      <c r="V168" s="1170"/>
      <c r="W168" s="1170"/>
      <c r="X168" s="1170"/>
      <c r="Y168" s="1170"/>
      <c r="Z168" s="1170"/>
      <c r="AA168" s="1170"/>
      <c r="AB168" s="1170"/>
      <c r="AC168" s="1186" t="str">
        <f>CokingRefineryCalcs!C520</f>
        <v>Vol Flow</v>
      </c>
      <c r="AD168" s="1170" t="str">
        <f ca="1">CokingRefineryCalcs!D520</f>
        <v>m^3/d</v>
      </c>
      <c r="AE168" s="1170">
        <f ca="1">CokingRefineryCalcs!F520</f>
        <v>1.589873E-15</v>
      </c>
      <c r="AF168" s="1170"/>
      <c r="AG168" s="1170"/>
      <c r="AH168" s="1170"/>
      <c r="AI168" s="1170"/>
      <c r="AJ168" s="1170"/>
      <c r="AK168" s="1170"/>
      <c r="AL168" s="1170"/>
      <c r="AM168" s="1170"/>
      <c r="AN168" s="1170"/>
      <c r="AO168" s="1170"/>
      <c r="AP168" s="1170"/>
      <c r="AQ168" s="1170"/>
      <c r="AR168" s="1170"/>
      <c r="AS168" s="1186" t="str">
        <f>CokingRefineryCalcs!C629</f>
        <v>Vol Flow</v>
      </c>
      <c r="AT168" s="1170" t="str">
        <f ca="1">CokingRefineryCalcs!D629</f>
        <v>bpd</v>
      </c>
      <c r="AU168" s="1170">
        <f ca="1">CokingRefineryCalcs!F629</f>
        <v>1E-26</v>
      </c>
      <c r="AV168" s="1170"/>
      <c r="AW168" s="1170"/>
      <c r="AX168" s="1170" t="s">
        <v>263</v>
      </c>
      <c r="AY168" s="1170"/>
      <c r="AZ168" s="1187">
        <f ca="1">AM184*$AZ$173</f>
        <v>0</v>
      </c>
      <c r="BA168" s="1170"/>
      <c r="BB168" s="1170"/>
      <c r="BC168" s="1170"/>
      <c r="BD168" s="1170"/>
      <c r="BE168" s="1170"/>
      <c r="BF168" s="1170"/>
      <c r="BG168" s="1170"/>
      <c r="BH168" s="1170"/>
      <c r="BI168" s="1170"/>
      <c r="BJ168" s="1170"/>
      <c r="BK168" s="1170"/>
      <c r="BL168" s="1170"/>
      <c r="BM168" s="1170"/>
      <c r="BN168" s="1186" t="s">
        <v>1698</v>
      </c>
      <c r="BO168" s="1199" t="s">
        <v>447</v>
      </c>
      <c r="BP168" s="1199">
        <f>'Energy &amp; Unit Conversions'!$Q$27</f>
        <v>46.898519302437805</v>
      </c>
      <c r="BQ168" s="1199"/>
      <c r="BR168" s="1170"/>
      <c r="BS168" s="1170"/>
      <c r="BT168" s="1170"/>
      <c r="BU168" s="1170"/>
      <c r="BV168" s="1170"/>
      <c r="BW168" s="1170"/>
      <c r="BX168" s="1170"/>
      <c r="BY168" s="1170"/>
      <c r="BZ168" s="1170"/>
      <c r="CA168" s="1170"/>
      <c r="CB168" s="1170"/>
      <c r="CC168" s="1170"/>
      <c r="CD168" s="1170"/>
      <c r="CE168" s="1170"/>
      <c r="CF168" s="1170"/>
      <c r="CG168" s="1170"/>
      <c r="CH168" s="1170"/>
      <c r="CI168" s="1170"/>
      <c r="CJ168" s="1170"/>
      <c r="CK168" s="1181" t="str">
        <f>CokingRefineryCalcs!G752</f>
        <v>FCC C4</v>
      </c>
      <c r="CL168" s="1170"/>
      <c r="CM168" s="1170"/>
      <c r="CN168" s="1170"/>
      <c r="CO168" s="1184" t="s">
        <v>225</v>
      </c>
      <c r="CP168" s="1170"/>
      <c r="CQ168" s="1227" t="s">
        <v>522</v>
      </c>
      <c r="CR168" s="1227"/>
      <c r="CS168" s="1186" t="str">
        <f>CokingRefineryCalcs!C817</f>
        <v>Vol Flow</v>
      </c>
      <c r="CT168" s="1170" t="str">
        <f>CokingRefineryCalcs!D817</f>
        <v>m^3/d</v>
      </c>
      <c r="CU168" s="1170">
        <f ca="1">CokingRefineryCalcs!F817</f>
        <v>2.0736687610434651E-18</v>
      </c>
      <c r="CV168" s="1170"/>
      <c r="CW168" s="1170"/>
      <c r="CX168" s="1170"/>
      <c r="CY168" s="1160"/>
      <c r="CZ168" s="1160"/>
      <c r="DA168" s="1160"/>
      <c r="DB168" s="1160"/>
      <c r="DC168" s="1160"/>
      <c r="DD168" s="1160"/>
      <c r="DE168" s="1160"/>
      <c r="DF168" s="1160"/>
      <c r="DG168" s="1160"/>
      <c r="DH168" s="1160"/>
      <c r="DI168" s="1160"/>
      <c r="DJ168" s="1160"/>
      <c r="DK168" s="1255" t="s">
        <v>228</v>
      </c>
      <c r="DL168" s="1245">
        <f ca="1">+BT231/(BZ218-'CokingRefinery Detailed Results'!Q25)</f>
        <v>3.4663865546218489E-2</v>
      </c>
      <c r="DM168" s="1160"/>
      <c r="DN168" s="1160"/>
      <c r="DO168" s="1160"/>
      <c r="DP168" s="1160"/>
      <c r="DQ168" s="1160"/>
      <c r="DR168" s="1160"/>
      <c r="DS168" s="1160"/>
      <c r="DT168" s="1160"/>
      <c r="DU168" s="1160"/>
      <c r="DV168" s="1160"/>
      <c r="DW168" s="1160"/>
      <c r="DX168" s="1160"/>
      <c r="DY168" s="1160"/>
      <c r="DZ168" s="1160" t="s">
        <v>224</v>
      </c>
      <c r="EA168" s="1160"/>
      <c r="EB168" s="1187">
        <f ca="1">(DN$43+DL$83+DL$94+DL$105+DL$116+DL$128+DL$140+DL$151+DL$162+DL$60+DL$72)*$EB172</f>
        <v>0</v>
      </c>
    </row>
    <row r="169" spans="1:132" ht="15" x14ac:dyDescent="0.25">
      <c r="A169" s="1160"/>
      <c r="B169" s="1160"/>
      <c r="C169" s="1763"/>
      <c r="D169" s="1765"/>
      <c r="E169" s="1765"/>
      <c r="F169" s="1762"/>
      <c r="G169" s="1256"/>
      <c r="H169" s="1256"/>
      <c r="I169" s="1256"/>
      <c r="J169" s="1256"/>
      <c r="K169" s="1256"/>
      <c r="L169" s="1256"/>
      <c r="M169" s="1256"/>
      <c r="N169" s="1256"/>
      <c r="O169" s="1256"/>
      <c r="P169" s="1256"/>
      <c r="Q169" s="1256"/>
      <c r="R169" s="1170"/>
      <c r="S169" s="1170"/>
      <c r="T169" s="1170"/>
      <c r="U169" s="1170"/>
      <c r="V169" s="1170"/>
      <c r="W169" s="1170"/>
      <c r="X169" s="1170"/>
      <c r="Y169" s="1170"/>
      <c r="Z169" s="1170"/>
      <c r="AA169" s="1170"/>
      <c r="AB169" s="1170"/>
      <c r="AC169" s="1186" t="str">
        <f>CokingRefineryCalcs!C521</f>
        <v>Mass Flow</v>
      </c>
      <c r="AD169" s="1170" t="str">
        <f>CokingRefineryCalcs!D521</f>
        <v>kg/d</v>
      </c>
      <c r="AE169" s="1170">
        <f ca="1">CokingRefineryCalcs!F521</f>
        <v>1E-14</v>
      </c>
      <c r="AF169" s="1170"/>
      <c r="AG169" s="1170"/>
      <c r="AH169" s="1170"/>
      <c r="AI169" s="1170"/>
      <c r="AJ169" s="1170"/>
      <c r="AK169" s="1181" t="str">
        <f>CokingRefineryCalcs!H539</f>
        <v>HVGO</v>
      </c>
      <c r="AL169" s="1170"/>
      <c r="AM169" s="1170"/>
      <c r="AN169" s="1170"/>
      <c r="AO169" s="1170"/>
      <c r="AP169" s="1170"/>
      <c r="AQ169" s="1170"/>
      <c r="AR169" s="1170"/>
      <c r="AS169" s="1186" t="str">
        <f>CokingRefineryCalcs!C630</f>
        <v>Vol Flow</v>
      </c>
      <c r="AT169" s="1170" t="str">
        <f ca="1">CokingRefineryCalcs!D630</f>
        <v>m^3/d</v>
      </c>
      <c r="AU169" s="1170">
        <f ca="1">CokingRefineryCalcs!F630</f>
        <v>1.5898730000000001E-27</v>
      </c>
      <c r="AV169" s="1170"/>
      <c r="AW169" s="1170"/>
      <c r="AX169" s="1170" t="s">
        <v>392</v>
      </c>
      <c r="AY169" s="1170"/>
      <c r="AZ169" s="1187">
        <f ca="1">AM185*$AZ$173</f>
        <v>0</v>
      </c>
      <c r="BA169" s="1170"/>
      <c r="BB169" s="1170"/>
      <c r="BC169" s="1170"/>
      <c r="BD169" s="1170"/>
      <c r="BE169" s="1170"/>
      <c r="BF169" s="1170"/>
      <c r="BG169" s="1170"/>
      <c r="BH169" s="1170"/>
      <c r="BI169" s="1170"/>
      <c r="BJ169" s="1170"/>
      <c r="BK169" s="1170"/>
      <c r="BL169" s="1170"/>
      <c r="BM169" s="1170"/>
      <c r="BN169" s="1200" t="s">
        <v>1021</v>
      </c>
      <c r="BO169" s="1199" t="s">
        <v>1022</v>
      </c>
      <c r="BP169" s="1199">
        <f>Constants!G353</f>
        <v>33.957001686096191</v>
      </c>
      <c r="BQ169" s="1199"/>
      <c r="BR169" s="1170"/>
      <c r="BS169" s="1170"/>
      <c r="BT169" s="1170"/>
      <c r="BU169" s="1170"/>
      <c r="BV169" s="1170"/>
      <c r="BW169" s="1181" t="str">
        <f>CokingRefineryCalcs!F919</f>
        <v>HT Naphtha Product</v>
      </c>
      <c r="BX169" s="1170"/>
      <c r="BY169" s="1181"/>
      <c r="BZ169" s="1170"/>
      <c r="CA169" s="1180" t="str">
        <f>BW169</f>
        <v>HT Naphtha Product</v>
      </c>
      <c r="CB169" s="1170"/>
      <c r="CC169" s="1170"/>
      <c r="CD169" s="1170"/>
      <c r="CE169" s="1170"/>
      <c r="CF169" s="1170"/>
      <c r="CG169" s="1170"/>
      <c r="CH169" s="1170"/>
      <c r="CI169" s="1170"/>
      <c r="CJ169" s="1170"/>
      <c r="CK169" s="1182" t="str">
        <f>CokingRefineryCalcs!C752</f>
        <v>Property</v>
      </c>
      <c r="CL169" s="1182" t="str">
        <f>CokingRefineryCalcs!D752</f>
        <v>Units</v>
      </c>
      <c r="CM169" s="1170"/>
      <c r="CN169" s="1170"/>
      <c r="CO169" s="1170" t="s">
        <v>392</v>
      </c>
      <c r="CP169" s="1170"/>
      <c r="CQ169" s="1187">
        <f ca="1">'CokingRefinery Detailed Results'!F27</f>
        <v>0</v>
      </c>
      <c r="CR169" s="1187"/>
      <c r="CS169" s="1186" t="str">
        <f>CokingRefineryCalcs!C818</f>
        <v>Mass Flow</v>
      </c>
      <c r="CT169" s="1170" t="str">
        <f>CokingRefineryCalcs!D818</f>
        <v>kg/d</v>
      </c>
      <c r="CU169" s="1170">
        <f ca="1">CokingRefineryCalcs!F818</f>
        <v>1.4370524514031214E-15</v>
      </c>
      <c r="CV169" s="1170"/>
      <c r="CW169" s="1170"/>
      <c r="CX169" s="1170"/>
      <c r="CY169" s="1160"/>
      <c r="CZ169" s="1160"/>
      <c r="DA169" s="1160"/>
      <c r="DB169" s="1160"/>
      <c r="DC169" s="1160"/>
      <c r="DD169" s="1160"/>
      <c r="DE169" s="1160"/>
      <c r="DF169" s="1160"/>
      <c r="DG169" s="1160"/>
      <c r="DH169" s="1160"/>
      <c r="DI169" s="1160"/>
      <c r="DJ169" s="1160"/>
      <c r="DK169" s="1255"/>
      <c r="DL169" s="1263"/>
      <c r="DM169" s="1160"/>
      <c r="DN169" s="1160"/>
      <c r="DO169" s="1160"/>
      <c r="DP169" s="1160"/>
      <c r="DQ169" s="1160"/>
      <c r="DR169" s="1160"/>
      <c r="DS169" s="1160"/>
      <c r="DT169" s="1160"/>
      <c r="DU169" s="1160"/>
      <c r="DV169" s="1160"/>
      <c r="DW169" s="1160"/>
      <c r="DX169" s="1160"/>
      <c r="DY169" s="1160"/>
      <c r="DZ169" s="1160" t="s">
        <v>485</v>
      </c>
      <c r="EA169" s="1160"/>
      <c r="EB169" s="1187">
        <f ca="1">(DN$44+DL$84+DL$95+DL$106+DL$117+DL$129+DL$141+DL$152+DL$163+DL$61+DL$73)*$EB172</f>
        <v>0</v>
      </c>
    </row>
    <row r="170" spans="1:132" ht="15" x14ac:dyDescent="0.25">
      <c r="A170" s="1160"/>
      <c r="B170" s="1160"/>
      <c r="C170" s="1763"/>
      <c r="D170" s="1765"/>
      <c r="E170" s="1766"/>
      <c r="F170" s="1764"/>
      <c r="G170" s="1256"/>
      <c r="H170" s="1256"/>
      <c r="I170" s="1256"/>
      <c r="J170" s="1256"/>
      <c r="K170" s="1256"/>
      <c r="L170" s="1256"/>
      <c r="M170" s="1256"/>
      <c r="N170" s="1256"/>
      <c r="O170" s="1256"/>
      <c r="P170" s="1256"/>
      <c r="Q170" s="1256"/>
      <c r="R170" s="1170"/>
      <c r="S170" s="1170"/>
      <c r="T170" s="1170"/>
      <c r="U170" s="1170"/>
      <c r="V170" s="1170"/>
      <c r="W170" s="1170"/>
      <c r="X170" s="1170"/>
      <c r="Y170" s="1170"/>
      <c r="Z170" s="1170"/>
      <c r="AA170" s="1170"/>
      <c r="AB170" s="1170"/>
      <c r="AC170" s="1186" t="str">
        <f>CokingRefineryCalcs!C522</f>
        <v xml:space="preserve">Sulphur </v>
      </c>
      <c r="AD170" s="1170" t="str">
        <f ca="1">CokingRefineryCalcs!D522</f>
        <v>wt%</v>
      </c>
      <c r="AE170" s="1170">
        <f ca="1">CokingRefineryCalcs!F522</f>
        <v>1E-14</v>
      </c>
      <c r="AF170" s="1170"/>
      <c r="AG170" s="1170"/>
      <c r="AH170" s="1170"/>
      <c r="AI170" s="1170"/>
      <c r="AJ170" s="1170"/>
      <c r="AK170" s="1182" t="str">
        <f>CokingRefineryCalcs!C539</f>
        <v>Property</v>
      </c>
      <c r="AL170" s="1182" t="str">
        <f>CokingRefineryCalcs!D539</f>
        <v>Units</v>
      </c>
      <c r="AM170" s="1170"/>
      <c r="AN170" s="1170"/>
      <c r="AO170" s="1170"/>
      <c r="AP170" s="1170"/>
      <c r="AQ170" s="1170"/>
      <c r="AR170" s="1170"/>
      <c r="AS170" s="1186" t="str">
        <f>CokingRefineryCalcs!C631</f>
        <v>Mass Flow</v>
      </c>
      <c r="AT170" s="1170" t="str">
        <f>CokingRefineryCalcs!D631</f>
        <v>kg/d</v>
      </c>
      <c r="AU170" s="1170">
        <f ca="1">CokingRefineryCalcs!F631</f>
        <v>1E-26</v>
      </c>
      <c r="AV170" s="1170"/>
      <c r="AW170" s="1170"/>
      <c r="AX170" s="1170" t="s">
        <v>224</v>
      </c>
      <c r="AY170" s="1170"/>
      <c r="AZ170" s="1187">
        <f ca="1">AM186*$AZ$173</f>
        <v>0</v>
      </c>
      <c r="BA170" s="1170"/>
      <c r="BB170" s="1170"/>
      <c r="BC170" s="1170"/>
      <c r="BD170" s="1170"/>
      <c r="BE170" s="1170"/>
      <c r="BF170" s="1170"/>
      <c r="BG170" s="1170"/>
      <c r="BH170" s="1170"/>
      <c r="BI170" s="1170"/>
      <c r="BJ170" s="1181" t="str">
        <f>CokingRefineryCalcs!G844</f>
        <v>Coker Naphtha</v>
      </c>
      <c r="BK170" s="1170"/>
      <c r="BL170" s="1170"/>
      <c r="BM170" s="1170"/>
      <c r="BN170" s="1204" t="s">
        <v>1054</v>
      </c>
      <c r="BO170" s="1204" t="str">
        <f>IF(allocationMethod=1,$C$21,IF(allocationMethod=2,$C$22,IF(allocationMethod=3,$C$23,$C$24)))</f>
        <v>Hydrogen Content Basis</v>
      </c>
      <c r="BP170" s="1204">
        <f ca="1">CokingRefineryCalcs!R1454</f>
        <v>0</v>
      </c>
      <c r="BQ170" s="1204"/>
      <c r="BR170" s="1170"/>
      <c r="BS170" s="1170"/>
      <c r="BT170" s="1170"/>
      <c r="BU170" s="1170"/>
      <c r="BV170" s="1170"/>
      <c r="BW170" s="1182" t="str">
        <f>CokingRefineryCalcs!C919</f>
        <v>Property</v>
      </c>
      <c r="BX170" s="1182" t="str">
        <f>CokingRefineryCalcs!D919</f>
        <v>Units</v>
      </c>
      <c r="BY170" s="1170"/>
      <c r="BZ170" s="1170"/>
      <c r="CA170" s="1183" t="s">
        <v>226</v>
      </c>
      <c r="CB170" s="1170"/>
      <c r="CC170" s="1184" t="s">
        <v>522</v>
      </c>
      <c r="CD170" s="1170"/>
      <c r="CE170" s="1170"/>
      <c r="CF170" s="1170"/>
      <c r="CG170" s="1170"/>
      <c r="CH170" s="1170"/>
      <c r="CI170" s="1170"/>
      <c r="CJ170" s="1170"/>
      <c r="CK170" s="1186" t="str">
        <f>CokingRefineryCalcs!C753</f>
        <v>Vol Flow</v>
      </c>
      <c r="CL170" s="1170" t="str">
        <f ca="1">CokingRefineryCalcs!D753</f>
        <v>bpd</v>
      </c>
      <c r="CM170" s="1170">
        <f ca="1">CokingRefineryCalcs!G753</f>
        <v>1.4462060317050446E-17</v>
      </c>
      <c r="CN170" s="1170"/>
      <c r="CO170" s="1170" t="s">
        <v>224</v>
      </c>
      <c r="CP170" s="1170"/>
      <c r="CQ170" s="1187">
        <f>'CokingRefinery Detailed Results'!H27</f>
        <v>0</v>
      </c>
      <c r="CR170" s="1187"/>
      <c r="CS170" s="1186" t="str">
        <f>CokingRefineryCalcs!C819</f>
        <v>S</v>
      </c>
      <c r="CT170" s="1170" t="str">
        <f>CokingRefineryCalcs!D819</f>
        <v>wt%</v>
      </c>
      <c r="CU170" s="1170">
        <f ca="1">CokingRefineryCalcs!F819</f>
        <v>0</v>
      </c>
      <c r="CV170" s="1170"/>
      <c r="CW170" s="1170"/>
      <c r="CX170" s="1170"/>
      <c r="CY170" s="1160"/>
      <c r="CZ170" s="1160"/>
      <c r="DA170" s="1160"/>
      <c r="DB170" s="1160"/>
      <c r="DC170" s="1160"/>
      <c r="DD170" s="1160"/>
      <c r="DE170" s="1160"/>
      <c r="DF170" s="1160"/>
      <c r="DG170" s="1160"/>
      <c r="DH170" s="1160"/>
      <c r="DI170" s="1160"/>
      <c r="DJ170" s="1160"/>
      <c r="DK170" s="1160"/>
      <c r="DL170" s="1171"/>
      <c r="DM170" s="1160"/>
      <c r="DN170" s="1160"/>
      <c r="DO170" s="1160"/>
      <c r="DP170" s="1160"/>
      <c r="DQ170" s="1160"/>
      <c r="DR170" s="1160"/>
      <c r="DS170" s="1160"/>
      <c r="DT170" s="1160"/>
      <c r="DU170" s="1160"/>
      <c r="DV170" s="1160"/>
      <c r="DW170" s="1160"/>
      <c r="DX170" s="1160"/>
      <c r="DY170" s="1160"/>
      <c r="DZ170" s="1160" t="s">
        <v>541</v>
      </c>
      <c r="EA170" s="1160"/>
      <c r="EB170" s="1187">
        <f ca="1">(DN$45+DL$85+DL$96+DL$107+DL$118+DL$130+DL$142+DL$153+DL$164+DL$62+DL$74)*$EB172</f>
        <v>0</v>
      </c>
    </row>
    <row r="171" spans="1:132" x14ac:dyDescent="0.2">
      <c r="A171" s="1160"/>
      <c r="B171" s="1160"/>
      <c r="C171" s="1260"/>
      <c r="D171" s="1260"/>
      <c r="E171" s="1256"/>
      <c r="F171" s="1256"/>
      <c r="G171" s="1256"/>
      <c r="H171" s="1256"/>
      <c r="I171" s="1256"/>
      <c r="J171" s="1256"/>
      <c r="K171" s="1256"/>
      <c r="L171" s="1256"/>
      <c r="M171" s="1256"/>
      <c r="N171" s="1256"/>
      <c r="O171" s="1256"/>
      <c r="P171" s="1256"/>
      <c r="Q171" s="1256"/>
      <c r="R171" s="1170"/>
      <c r="S171" s="1170"/>
      <c r="T171" s="1170"/>
      <c r="U171" s="1170"/>
      <c r="V171" s="1170"/>
      <c r="W171" s="1170"/>
      <c r="X171" s="1170"/>
      <c r="Y171" s="1170"/>
      <c r="Z171" s="1170"/>
      <c r="AA171" s="1170"/>
      <c r="AB171" s="1170"/>
      <c r="AC171" s="1186" t="str">
        <f>CokingRefineryCalcs!C524</f>
        <v xml:space="preserve">API gravity </v>
      </c>
      <c r="AD171" s="1170"/>
      <c r="AE171" s="1170">
        <f ca="1">CokingRefineryCalcs!F524</f>
        <v>1E-14</v>
      </c>
      <c r="AF171" s="1170"/>
      <c r="AG171" s="1170"/>
      <c r="AH171" s="1170"/>
      <c r="AI171" s="1170"/>
      <c r="AJ171" s="1170"/>
      <c r="AK171" s="1186" t="str">
        <f>CokingRefineryCalcs!C540</f>
        <v>Vol Flow</v>
      </c>
      <c r="AL171" s="1170" t="str">
        <f ca="1">CokingRefineryCalcs!D540</f>
        <v>bpd</v>
      </c>
      <c r="AM171" s="1170">
        <f ca="1">CokingRefineryCalcs!H540</f>
        <v>1E-14</v>
      </c>
      <c r="AN171" s="1170"/>
      <c r="AO171" s="1170"/>
      <c r="AP171" s="1170"/>
      <c r="AQ171" s="1170"/>
      <c r="AR171" s="1170"/>
      <c r="AS171" s="1186" t="str">
        <f>CokingRefineryCalcs!C632</f>
        <v xml:space="preserve">Sulphur </v>
      </c>
      <c r="AT171" s="1170" t="str">
        <f ca="1">CokingRefineryCalcs!D632</f>
        <v>wt%</v>
      </c>
      <c r="AU171" s="1170">
        <f ca="1">CokingRefineryCalcs!F632</f>
        <v>0</v>
      </c>
      <c r="AV171" s="1170"/>
      <c r="AW171" s="1170"/>
      <c r="AX171" s="1170" t="s">
        <v>485</v>
      </c>
      <c r="AY171" s="1170"/>
      <c r="AZ171" s="1187">
        <f ca="1">AM187*$AZ$173</f>
        <v>0</v>
      </c>
      <c r="BA171" s="1170"/>
      <c r="BB171" s="1170"/>
      <c r="BC171" s="1170"/>
      <c r="BD171" s="1170"/>
      <c r="BE171" s="1170"/>
      <c r="BF171" s="1170"/>
      <c r="BG171" s="1170"/>
      <c r="BH171" s="1170"/>
      <c r="BI171" s="1170"/>
      <c r="BJ171" s="1182" t="str">
        <f>CokingRefineryCalcs!C844</f>
        <v>Property</v>
      </c>
      <c r="BK171" s="1182" t="str">
        <f>CokingRefineryCalcs!D844</f>
        <v>Units</v>
      </c>
      <c r="BL171" s="1170"/>
      <c r="BM171" s="1170"/>
      <c r="BN171" s="1170"/>
      <c r="BO171" s="1170"/>
      <c r="BP171" s="1170"/>
      <c r="BQ171" s="1170"/>
      <c r="BR171" s="1170"/>
      <c r="BS171" s="1170"/>
      <c r="BT171" s="1170"/>
      <c r="BU171" s="1170"/>
      <c r="BV171" s="1170"/>
      <c r="BW171" s="1186" t="str">
        <f>CokingRefineryCalcs!C920</f>
        <v>Vol Flow</v>
      </c>
      <c r="BX171" s="1170" t="str">
        <f ca="1">CokingRefineryCalcs!D920</f>
        <v>bpd</v>
      </c>
      <c r="BY171" s="1170">
        <f ca="1">CokingRefineryCalcs!F920</f>
        <v>1.3286657539786239E-17</v>
      </c>
      <c r="BZ171" s="1170"/>
      <c r="CA171" s="1170" t="s">
        <v>263</v>
      </c>
      <c r="CB171" s="1170"/>
      <c r="CC171" s="1170">
        <f ca="1">BL185*CC176</f>
        <v>0</v>
      </c>
      <c r="CD171" s="1170"/>
      <c r="CE171" s="1170"/>
      <c r="CF171" s="1170"/>
      <c r="CG171" s="1170"/>
      <c r="CH171" s="1170"/>
      <c r="CI171" s="1170"/>
      <c r="CJ171" s="1170"/>
      <c r="CK171" s="1186" t="str">
        <f>CokingRefineryCalcs!C754</f>
        <v>Vol Flow</v>
      </c>
      <c r="CL171" s="1170" t="str">
        <f ca="1">CokingRefineryCalcs!D754</f>
        <v>m^3/d</v>
      </c>
      <c r="CM171" s="1170">
        <f ca="1">CokingRefineryCalcs!G754</f>
        <v>2.2992839222449942E-18</v>
      </c>
      <c r="CN171" s="1170"/>
      <c r="CO171" s="1170" t="s">
        <v>485</v>
      </c>
      <c r="CP171" s="1170"/>
      <c r="CQ171" s="1187">
        <f ca="1">'CokingRefinery Detailed Results'!J27</f>
        <v>3.4475517949517433E-15</v>
      </c>
      <c r="CR171" s="1187"/>
      <c r="CS171" s="1186" t="str">
        <f>CokingRefineryCalcs!C821</f>
        <v>API</v>
      </c>
      <c r="CT171" s="1170"/>
      <c r="CU171" s="1170">
        <f>CokingRefineryCalcs!F821</f>
        <v>72.684704184704202</v>
      </c>
      <c r="CV171" s="1170"/>
      <c r="CW171" s="1170"/>
      <c r="CX171" s="1170"/>
      <c r="CY171" s="1160"/>
      <c r="CZ171" s="1160"/>
      <c r="DA171" s="1160"/>
      <c r="DB171" s="1160"/>
      <c r="DC171" s="1160"/>
      <c r="DD171" s="1160"/>
      <c r="DE171" s="1160"/>
      <c r="DF171" s="1160"/>
      <c r="DG171" s="1160"/>
      <c r="DH171" s="1160"/>
      <c r="DI171" s="1160"/>
      <c r="DJ171" s="1160"/>
      <c r="DK171" s="1160"/>
      <c r="DL171" s="1171"/>
      <c r="DM171" s="1160"/>
      <c r="DN171" s="1160"/>
      <c r="DO171" s="1160"/>
      <c r="DP171" s="1160"/>
      <c r="DQ171" s="1160"/>
      <c r="DR171" s="1160"/>
      <c r="DS171" s="1160"/>
      <c r="DT171" s="1160"/>
      <c r="DU171" s="1160"/>
      <c r="DV171" s="1160"/>
      <c r="DW171" s="1160"/>
      <c r="DX171" s="1160"/>
      <c r="DY171" s="1160"/>
      <c r="DZ171" s="1160" t="s">
        <v>234</v>
      </c>
      <c r="EA171" s="1160"/>
      <c r="EB171" s="1187">
        <f ca="1">(DL$119+DL$165)*$EB172</f>
        <v>0</v>
      </c>
    </row>
    <row r="172" spans="1:132" x14ac:dyDescent="0.2">
      <c r="A172" s="1160"/>
      <c r="B172" s="1160"/>
      <c r="C172" s="1260"/>
      <c r="D172" s="1260"/>
      <c r="E172" s="1256"/>
      <c r="F172" s="1256"/>
      <c r="G172" s="1256"/>
      <c r="H172" s="1256"/>
      <c r="I172" s="1256"/>
      <c r="J172" s="1256"/>
      <c r="K172" s="1256"/>
      <c r="L172" s="1256"/>
      <c r="M172" s="1256"/>
      <c r="N172" s="1256"/>
      <c r="O172" s="1256"/>
      <c r="P172" s="1256"/>
      <c r="Q172" s="1256"/>
      <c r="R172" s="1170"/>
      <c r="S172" s="1170"/>
      <c r="T172" s="1170"/>
      <c r="U172" s="1170"/>
      <c r="V172" s="1170"/>
      <c r="W172" s="1170"/>
      <c r="X172" s="1170"/>
      <c r="Y172" s="1170"/>
      <c r="Z172" s="1170"/>
      <c r="AA172" s="1170"/>
      <c r="AB172" s="1170"/>
      <c r="AC172" s="1186" t="str">
        <f>CokingRefineryCalcs!C525</f>
        <v>Density</v>
      </c>
      <c r="AD172" s="1170" t="str">
        <f ca="1">CokingRefineryCalcs!D525</f>
        <v>kg/m^3</v>
      </c>
      <c r="AE172" s="1170">
        <f ca="1">CokingRefineryCalcs!F525</f>
        <v>0</v>
      </c>
      <c r="AF172" s="1170"/>
      <c r="AG172" s="1170"/>
      <c r="AH172" s="1170"/>
      <c r="AI172" s="1170"/>
      <c r="AJ172" s="1170"/>
      <c r="AK172" s="1186" t="str">
        <f>CokingRefineryCalcs!C541</f>
        <v>Vol Flow</v>
      </c>
      <c r="AL172" s="1170" t="str">
        <f ca="1">CokingRefineryCalcs!D541</f>
        <v>m^3/d</v>
      </c>
      <c r="AM172" s="1170">
        <f ca="1">CokingRefineryCalcs!H541</f>
        <v>1.589873E-15</v>
      </c>
      <c r="AN172" s="1170"/>
      <c r="AO172" s="1170"/>
      <c r="AP172" s="1170"/>
      <c r="AQ172" s="1170"/>
      <c r="AR172" s="1170"/>
      <c r="AS172" s="1186" t="str">
        <f>CokingRefineryCalcs!C634</f>
        <v xml:space="preserve">API gravity </v>
      </c>
      <c r="AT172" s="1170"/>
      <c r="AU172" s="1170">
        <f ca="1">CokingRefineryCalcs!F634</f>
        <v>0</v>
      </c>
      <c r="AV172" s="1170"/>
      <c r="AW172" s="1170"/>
      <c r="AX172" s="1170" t="s">
        <v>541</v>
      </c>
      <c r="AY172" s="1170"/>
      <c r="AZ172" s="1170">
        <f ca="1">AM188*$AZ$173</f>
        <v>0</v>
      </c>
      <c r="BA172" s="1170"/>
      <c r="BB172" s="1170"/>
      <c r="BC172" s="1170"/>
      <c r="BD172" s="1170"/>
      <c r="BE172" s="1170"/>
      <c r="BF172" s="1170"/>
      <c r="BG172" s="1170"/>
      <c r="BH172" s="1170"/>
      <c r="BI172" s="1170"/>
      <c r="BJ172" s="1186" t="str">
        <f>CokingRefineryCalcs!C845</f>
        <v>Vol Flow</v>
      </c>
      <c r="BK172" s="1170" t="str">
        <f ca="1">CokingRefineryCalcs!D845</f>
        <v>bpd</v>
      </c>
      <c r="BL172" s="1170">
        <f ca="1">CokingRefineryCalcs!G845</f>
        <v>1.2254854458739841E-17</v>
      </c>
      <c r="BM172" s="1170"/>
      <c r="BN172" s="1170"/>
      <c r="BO172" s="1170"/>
      <c r="BP172" s="1170"/>
      <c r="BQ172" s="1170"/>
      <c r="BR172" s="1170"/>
      <c r="BS172" s="1170"/>
      <c r="BT172" s="1170"/>
      <c r="BU172" s="1170"/>
      <c r="BV172" s="1170"/>
      <c r="BW172" s="1186" t="str">
        <f>CokingRefineryCalcs!C921</f>
        <v>Vol Flow</v>
      </c>
      <c r="BX172" s="1170" t="str">
        <f ca="1">CokingRefineryCalcs!D921</f>
        <v>m^3/d</v>
      </c>
      <c r="BY172" s="1170">
        <f ca="1">CokingRefineryCalcs!F921</f>
        <v>2.1124098082752565E-18</v>
      </c>
      <c r="BZ172" s="1170"/>
      <c r="CA172" s="1170" t="s">
        <v>392</v>
      </c>
      <c r="CB172" s="1170"/>
      <c r="CC172" s="1170">
        <f ca="1">(BL186+BO180)*$CC$176</f>
        <v>0</v>
      </c>
      <c r="CD172" s="1170"/>
      <c r="CE172" s="1170"/>
      <c r="CF172" s="1170"/>
      <c r="CG172" s="1170"/>
      <c r="CH172" s="1170"/>
      <c r="CI172" s="1170"/>
      <c r="CJ172" s="1170"/>
      <c r="CK172" s="1186" t="str">
        <f>CokingRefineryCalcs!C755</f>
        <v>Mass Flow</v>
      </c>
      <c r="CL172" s="1170" t="str">
        <f>CokingRefineryCalcs!D755</f>
        <v>kg/d</v>
      </c>
      <c r="CM172" s="1170">
        <f ca="1">CokingRefineryCalcs!G755</f>
        <v>1.4370524514031214E-15</v>
      </c>
      <c r="CN172" s="1170"/>
      <c r="CO172" s="1170" t="s">
        <v>541</v>
      </c>
      <c r="CP172" s="1170"/>
      <c r="CQ172" s="1187">
        <f>'CokingRefinery Detailed Results'!L27</f>
        <v>0</v>
      </c>
      <c r="CR172" s="1187"/>
      <c r="CS172" s="1186" t="str">
        <f>CokingRefineryCalcs!C822</f>
        <v>Density</v>
      </c>
      <c r="CT172" s="1170" t="str">
        <f>CokingRefineryCalcs!D822</f>
        <v>kg/m^3</v>
      </c>
      <c r="CU172" s="1170">
        <f>CokingRefineryCalcs!F822</f>
        <v>693</v>
      </c>
      <c r="CV172" s="1170"/>
      <c r="CW172" s="1170"/>
      <c r="CX172" s="1170"/>
      <c r="CY172" s="1160"/>
      <c r="CZ172" s="1160"/>
      <c r="DA172" s="1160"/>
      <c r="DB172" s="1160"/>
      <c r="DC172" s="1160"/>
      <c r="DD172" s="1160"/>
      <c r="DE172" s="1160"/>
      <c r="DF172" s="1160"/>
      <c r="DG172" s="1160"/>
      <c r="DH172" s="1160"/>
      <c r="DI172" s="1160"/>
      <c r="DJ172" s="1160"/>
      <c r="DK172" s="1160" t="s">
        <v>78</v>
      </c>
      <c r="DL172" s="1254">
        <f ca="1">(DL79+DL90+DL101+DL112+DL124+DL136+DL147+DL158+DL56+DL68)</f>
        <v>247907.20291782977</v>
      </c>
      <c r="DM172" s="1160"/>
      <c r="DN172" s="1160"/>
      <c r="DO172" s="1160"/>
      <c r="DP172" s="1160"/>
      <c r="DQ172" s="1160"/>
      <c r="DR172" s="1160"/>
      <c r="DS172" s="1160"/>
      <c r="DT172" s="1160"/>
      <c r="DU172" s="1160"/>
      <c r="DV172" s="1160"/>
      <c r="DW172" s="1160"/>
      <c r="DX172" s="1160"/>
      <c r="DY172" s="1160"/>
      <c r="DZ172" s="2073" t="s">
        <v>1065</v>
      </c>
      <c r="EA172" s="1160"/>
      <c r="EB172" s="1160">
        <f ca="1">CokingRefineryCalcs!Q1439</f>
        <v>0</v>
      </c>
    </row>
    <row r="173" spans="1:132" x14ac:dyDescent="0.2">
      <c r="A173" s="1160"/>
      <c r="B173" s="1160"/>
      <c r="C173" s="1260"/>
      <c r="D173" s="1260"/>
      <c r="E173" s="1256"/>
      <c r="F173" s="1256"/>
      <c r="G173" s="1256"/>
      <c r="H173" s="1256"/>
      <c r="I173" s="1256"/>
      <c r="J173" s="1256"/>
      <c r="K173" s="1256"/>
      <c r="L173" s="1256"/>
      <c r="M173" s="1256"/>
      <c r="N173" s="1256"/>
      <c r="O173" s="1256"/>
      <c r="P173" s="1256"/>
      <c r="Q173" s="1256"/>
      <c r="R173" s="1170"/>
      <c r="S173" s="1170"/>
      <c r="T173" s="1170"/>
      <c r="U173" s="1170"/>
      <c r="V173" s="1170"/>
      <c r="W173" s="1170"/>
      <c r="X173" s="1170"/>
      <c r="Y173" s="1170"/>
      <c r="Z173" s="1170"/>
      <c r="AA173" s="1170"/>
      <c r="AB173" s="1170"/>
      <c r="AC173" s="1186" t="str">
        <f>CokingRefineryCalcs!C526</f>
        <v>Hydrogen</v>
      </c>
      <c r="AD173" s="1170" t="str">
        <f ca="1">CokingRefineryCalcs!D526</f>
        <v>wt%</v>
      </c>
      <c r="AE173" s="1170">
        <f ca="1">CokingRefineryCalcs!F526</f>
        <v>1E-14</v>
      </c>
      <c r="AF173" s="1170"/>
      <c r="AG173" s="1170"/>
      <c r="AH173" s="1170"/>
      <c r="AI173" s="1170"/>
      <c r="AJ173" s="1170"/>
      <c r="AK173" s="1186" t="str">
        <f>CokingRefineryCalcs!C542</f>
        <v>Mass Flow</v>
      </c>
      <c r="AL173" s="1170" t="str">
        <f>CokingRefineryCalcs!D542</f>
        <v>kg/d</v>
      </c>
      <c r="AM173" s="1170">
        <f ca="1">CokingRefineryCalcs!H542</f>
        <v>1E-14</v>
      </c>
      <c r="AN173" s="1170"/>
      <c r="AO173" s="1170"/>
      <c r="AP173" s="1170"/>
      <c r="AQ173" s="1170"/>
      <c r="AR173" s="1170"/>
      <c r="AS173" s="1186" t="str">
        <f>CokingRefineryCalcs!C635</f>
        <v>Density</v>
      </c>
      <c r="AT173" s="1170" t="str">
        <f ca="1">CokingRefineryCalcs!D635</f>
        <v>kg/m^3</v>
      </c>
      <c r="AU173" s="1170">
        <f ca="1">CokingRefineryCalcs!F635</f>
        <v>0</v>
      </c>
      <c r="AV173" s="1170"/>
      <c r="AW173" s="1170"/>
      <c r="AX173" s="1180" t="s">
        <v>1065</v>
      </c>
      <c r="AY173" s="1170"/>
      <c r="AZ173" s="1170">
        <f ca="1">IF(AM181=0,0,AU178/AM181)</f>
        <v>0</v>
      </c>
      <c r="BA173" s="1170"/>
      <c r="BB173" s="1170"/>
      <c r="BC173" s="1170"/>
      <c r="BD173" s="1170"/>
      <c r="BE173" s="1170"/>
      <c r="BF173" s="1170"/>
      <c r="BG173" s="1170"/>
      <c r="BH173" s="1170"/>
      <c r="BI173" s="1170"/>
      <c r="BJ173" s="1186" t="str">
        <f>CokingRefineryCalcs!C846</f>
        <v>Vol Flow</v>
      </c>
      <c r="BK173" s="1170" t="str">
        <f ca="1">CokingRefineryCalcs!D846</f>
        <v>m^3/d</v>
      </c>
      <c r="BL173" s="1170">
        <f ca="1">CokingRefineryCalcs!G846</f>
        <v>1.9483662222880085E-18</v>
      </c>
      <c r="BM173" s="1170"/>
      <c r="BN173" s="1170"/>
      <c r="BO173" s="1170"/>
      <c r="BP173" s="1170"/>
      <c r="BQ173" s="1170"/>
      <c r="BR173" s="1170"/>
      <c r="BS173" s="1170"/>
      <c r="BT173" s="1170"/>
      <c r="BU173" s="1170"/>
      <c r="BV173" s="1170"/>
      <c r="BW173" s="1186" t="str">
        <f>CokingRefineryCalcs!C922</f>
        <v>Mass Flow</v>
      </c>
      <c r="BX173" s="1170" t="str">
        <f>CokingRefineryCalcs!D922</f>
        <v>kg/d</v>
      </c>
      <c r="BY173" s="1170">
        <f ca="1">CokingRefineryCalcs!F922</f>
        <v>1.5631832581236897E-15</v>
      </c>
      <c r="BZ173" s="1170"/>
      <c r="CA173" s="1170" t="s">
        <v>224</v>
      </c>
      <c r="CB173" s="1170"/>
      <c r="CC173" s="1170">
        <f ca="1">(BL187+BO181)*$CC$176</f>
        <v>3.255976022216831E-13</v>
      </c>
      <c r="CD173" s="1170"/>
      <c r="CE173" s="1170"/>
      <c r="CF173" s="1170"/>
      <c r="CG173" s="1170"/>
      <c r="CH173" s="1170"/>
      <c r="CI173" s="1170"/>
      <c r="CJ173" s="1170"/>
      <c r="CK173" s="1186" t="str">
        <f>CokingRefineryCalcs!C756</f>
        <v xml:space="preserve">Sulphur </v>
      </c>
      <c r="CL173" s="1170" t="str">
        <f ca="1">CokingRefineryCalcs!D756</f>
        <v>wt%</v>
      </c>
      <c r="CM173" s="1170">
        <f ca="1">CokingRefineryCalcs!G756</f>
        <v>0</v>
      </c>
      <c r="CN173" s="1170"/>
      <c r="CO173" s="1170"/>
      <c r="CP173" s="1170"/>
      <c r="CQ173" s="1187"/>
      <c r="CR173" s="1187"/>
      <c r="CS173" s="1186" t="str">
        <f>CokingRefineryCalcs!C823</f>
        <v>H</v>
      </c>
      <c r="CT173" s="1170" t="str">
        <f>CokingRefineryCalcs!D823</f>
        <v>wt%</v>
      </c>
      <c r="CU173" s="1170">
        <f ca="1">CokingRefineryCalcs!F823</f>
        <v>16.100000000000001</v>
      </c>
      <c r="CV173" s="1170"/>
      <c r="CW173" s="1170"/>
      <c r="CX173" s="1170"/>
      <c r="CY173" s="1160"/>
      <c r="CZ173" s="1160"/>
      <c r="DA173" s="1160"/>
      <c r="DB173" s="1160"/>
      <c r="DC173" s="1160"/>
      <c r="DD173" s="1160"/>
      <c r="DE173" s="1160"/>
      <c r="DF173" s="1160"/>
      <c r="DG173" s="1160"/>
      <c r="DH173" s="1160"/>
      <c r="DI173" s="1160"/>
      <c r="DJ173" s="1160"/>
      <c r="DK173" s="1160" t="s">
        <v>79</v>
      </c>
      <c r="DL173" s="1171">
        <f ca="1">DL172-CokingRefineryCalcs!E990</f>
        <v>0</v>
      </c>
      <c r="DM173" s="1160"/>
      <c r="DN173" s="1160"/>
      <c r="DO173" s="1160"/>
      <c r="DP173" s="1160"/>
      <c r="DQ173" s="1160"/>
      <c r="DR173" s="1160"/>
      <c r="DS173" s="1160"/>
      <c r="DT173" s="1160"/>
      <c r="DU173" s="1160"/>
      <c r="DV173" s="1160"/>
      <c r="DW173" s="1160"/>
      <c r="DX173" s="1160"/>
      <c r="DY173" s="1160"/>
      <c r="DZ173" s="1160"/>
      <c r="EA173" s="1160"/>
      <c r="EB173" s="1160"/>
    </row>
    <row r="174" spans="1:132" x14ac:dyDescent="0.2">
      <c r="A174" s="1160"/>
      <c r="B174" s="1160"/>
      <c r="C174" s="1260"/>
      <c r="D174" s="1260"/>
      <c r="E174" s="1256"/>
      <c r="F174" s="1256"/>
      <c r="G174" s="1256"/>
      <c r="H174" s="1256"/>
      <c r="I174" s="1256"/>
      <c r="J174" s="1256"/>
      <c r="K174" s="1256"/>
      <c r="L174" s="1256"/>
      <c r="M174" s="1256"/>
      <c r="N174" s="1256"/>
      <c r="O174" s="1256"/>
      <c r="P174" s="1256"/>
      <c r="Q174" s="1256"/>
      <c r="R174" s="1170"/>
      <c r="S174" s="1170"/>
      <c r="T174" s="1170"/>
      <c r="U174" s="1170"/>
      <c r="V174" s="1170"/>
      <c r="W174" s="1170"/>
      <c r="X174" s="1170"/>
      <c r="Y174" s="1170"/>
      <c r="Z174" s="1170"/>
      <c r="AA174" s="1170"/>
      <c r="AB174" s="1170"/>
      <c r="AC174" s="1186" t="str">
        <f>CokingRefineryCalcs!C527</f>
        <v>MCR</v>
      </c>
      <c r="AD174" s="1170" t="str">
        <f ca="1">CokingRefineryCalcs!D527</f>
        <v>wt%</v>
      </c>
      <c r="AE174" s="1170">
        <f ca="1">CokingRefineryCalcs!F527</f>
        <v>4.4374255523499508</v>
      </c>
      <c r="AF174" s="1170"/>
      <c r="AG174" s="1170"/>
      <c r="AH174" s="1170"/>
      <c r="AI174" s="1170"/>
      <c r="AJ174" s="1170"/>
      <c r="AK174" s="1186" t="str">
        <f>CokingRefineryCalcs!C543</f>
        <v xml:space="preserve">Sulphur </v>
      </c>
      <c r="AL174" s="1170" t="str">
        <f ca="1">CokingRefineryCalcs!D543</f>
        <v>wt%</v>
      </c>
      <c r="AM174" s="1170">
        <f ca="1">CokingRefineryCalcs!H543</f>
        <v>0</v>
      </c>
      <c r="AN174" s="1170"/>
      <c r="AO174" s="1170"/>
      <c r="AP174" s="1170"/>
      <c r="AQ174" s="1170"/>
      <c r="AR174" s="1170"/>
      <c r="AS174" s="1186" t="str">
        <f>CokingRefineryCalcs!C636</f>
        <v>Hydrogen</v>
      </c>
      <c r="AT174" s="1170" t="str">
        <f ca="1">CokingRefineryCalcs!D636</f>
        <v>wt%</v>
      </c>
      <c r="AU174" s="1170">
        <f ca="1">CokingRefineryCalcs!F636</f>
        <v>0</v>
      </c>
      <c r="AV174" s="1170"/>
      <c r="AW174" s="1170"/>
      <c r="AX174" s="1170"/>
      <c r="AY174" s="1170"/>
      <c r="AZ174" s="1170"/>
      <c r="BA174" s="1170"/>
      <c r="BB174" s="1170"/>
      <c r="BC174" s="1170"/>
      <c r="BD174" s="1170"/>
      <c r="BE174" s="1170"/>
      <c r="BF174" s="1170"/>
      <c r="BG174" s="1170"/>
      <c r="BH174" s="1170"/>
      <c r="BI174" s="1170"/>
      <c r="BJ174" s="1186" t="str">
        <f>CokingRefineryCalcs!C847</f>
        <v>Mass Flow</v>
      </c>
      <c r="BK174" s="1170" t="str">
        <f>CokingRefineryCalcs!D847</f>
        <v>kg/d</v>
      </c>
      <c r="BL174" s="1170">
        <f ca="1">CokingRefineryCalcs!G847</f>
        <v>1.5002419911622788E-15</v>
      </c>
      <c r="BM174" s="1170"/>
      <c r="BN174" s="1170"/>
      <c r="BO174" s="1170"/>
      <c r="BP174" s="1170"/>
      <c r="BQ174" s="1170"/>
      <c r="BR174" s="1170"/>
      <c r="BS174" s="1170"/>
      <c r="BT174" s="1170"/>
      <c r="BU174" s="1170"/>
      <c r="BV174" s="1170"/>
      <c r="BW174" s="1186" t="str">
        <f>CokingRefineryCalcs!C923</f>
        <v xml:space="preserve">Sulphur </v>
      </c>
      <c r="BX174" s="1170" t="str">
        <f ca="1">CokingRefineryCalcs!D923</f>
        <v>wt%</v>
      </c>
      <c r="BY174" s="1170">
        <f>CokingRefineryCalcs!F923</f>
        <v>0</v>
      </c>
      <c r="BZ174" s="1170"/>
      <c r="CA174" s="1170" t="s">
        <v>485</v>
      </c>
      <c r="CB174" s="1170"/>
      <c r="CC174" s="1170">
        <f ca="1">(BL188+BO182)*$CC$176</f>
        <v>1.7574618850930408E-16</v>
      </c>
      <c r="CD174" s="1170"/>
      <c r="CE174" s="1170"/>
      <c r="CF174" s="1170"/>
      <c r="CG174" s="1170"/>
      <c r="CH174" s="1170"/>
      <c r="CI174" s="1170"/>
      <c r="CJ174" s="1170"/>
      <c r="CK174" s="1186" t="str">
        <f>CokingRefineryCalcs!C758</f>
        <v xml:space="preserve">API gravity </v>
      </c>
      <c r="CL174" s="1170"/>
      <c r="CM174" s="1170">
        <f>CokingRefineryCalcs!G758</f>
        <v>94.9</v>
      </c>
      <c r="CN174" s="1170"/>
      <c r="CO174" s="1170"/>
      <c r="CP174" s="1170"/>
      <c r="CQ174" s="1187"/>
      <c r="CR174" s="1187"/>
      <c r="CS174" s="1186" t="str">
        <f>CokingRefineryCalcs!C824</f>
        <v>MCR</v>
      </c>
      <c r="CT174" s="1170" t="str">
        <f>CokingRefineryCalcs!D824</f>
        <v>wt%</v>
      </c>
      <c r="CU174" s="1170">
        <f>CokingRefineryCalcs!F824</f>
        <v>0</v>
      </c>
      <c r="CV174" s="1170"/>
      <c r="CW174" s="1170"/>
      <c r="CX174" s="1170"/>
      <c r="CY174" s="1160"/>
      <c r="CZ174" s="1160"/>
      <c r="DA174" s="1160"/>
      <c r="DB174" s="1160"/>
      <c r="DC174" s="1160"/>
      <c r="DD174" s="1160"/>
      <c r="DE174" s="1160"/>
      <c r="DF174" s="1160"/>
      <c r="DG174" s="1160"/>
      <c r="DH174" s="1160"/>
      <c r="DI174" s="1160"/>
      <c r="DJ174" s="1160"/>
      <c r="DK174" s="1160"/>
      <c r="DL174" s="1171"/>
      <c r="DM174" s="1160"/>
      <c r="DN174" s="1160"/>
      <c r="DO174" s="1160"/>
      <c r="DP174" s="1160"/>
      <c r="DQ174" s="1160"/>
      <c r="DR174" s="1160"/>
      <c r="DS174" s="1160"/>
      <c r="DT174" s="1160"/>
      <c r="DU174" s="1160"/>
      <c r="DV174" s="1160"/>
      <c r="DW174" s="1160"/>
      <c r="DX174" s="1160"/>
      <c r="DY174" s="1160"/>
      <c r="DZ174" s="1160"/>
      <c r="EA174" s="1160"/>
      <c r="EB174" s="1160"/>
    </row>
    <row r="175" spans="1:132" x14ac:dyDescent="0.2">
      <c r="A175" s="1160"/>
      <c r="B175" s="1160"/>
      <c r="C175" s="1260"/>
      <c r="D175" s="1260"/>
      <c r="E175" s="1256"/>
      <c r="F175" s="1256"/>
      <c r="G175" s="1256"/>
      <c r="H175" s="1256"/>
      <c r="I175" s="1256"/>
      <c r="J175" s="1256"/>
      <c r="K175" s="1256"/>
      <c r="L175" s="1256"/>
      <c r="M175" s="1256"/>
      <c r="N175" s="1256"/>
      <c r="O175" s="1256"/>
      <c r="P175" s="1256"/>
      <c r="Q175" s="1256"/>
      <c r="R175" s="1170"/>
      <c r="S175" s="1170"/>
      <c r="T175" s="1170"/>
      <c r="U175" s="1170"/>
      <c r="V175" s="1170"/>
      <c r="W175" s="1170"/>
      <c r="X175" s="1170"/>
      <c r="Y175" s="1170"/>
      <c r="Z175" s="1170"/>
      <c r="AA175" s="1170"/>
      <c r="AB175" s="1170"/>
      <c r="AC175" s="1200" t="s">
        <v>1056</v>
      </c>
      <c r="AD175" s="1199" t="s">
        <v>447</v>
      </c>
      <c r="AE175" s="1199">
        <f ca="1">('Energy &amp; Unit Conversions'!$D$63-('Energy &amp; Unit Conversions'!$E$63*POWER((CokingRefineryPFD!AE172/'Energy &amp; Unit Conversions'!$E$54),2)))</f>
        <v>46.693440000000002</v>
      </c>
      <c r="AF175" s="1170"/>
      <c r="AG175" s="1170"/>
      <c r="AH175" s="1170"/>
      <c r="AI175" s="1170"/>
      <c r="AJ175" s="1170"/>
      <c r="AK175" s="1186" t="str">
        <f>CokingRefineryCalcs!C545</f>
        <v xml:space="preserve">API gravity </v>
      </c>
      <c r="AL175" s="1170" t="str">
        <f ca="1">CokingRefineryCalcs!D545</f>
        <v>oAPI</v>
      </c>
      <c r="AM175" s="1170">
        <f ca="1">CokingRefineryCalcs!H545</f>
        <v>0</v>
      </c>
      <c r="AN175" s="1170"/>
      <c r="AO175" s="1170"/>
      <c r="AP175" s="1170"/>
      <c r="AQ175" s="1170"/>
      <c r="AR175" s="1170"/>
      <c r="AS175" s="1186" t="str">
        <f>CokingRefineryCalcs!C637</f>
        <v>MCR</v>
      </c>
      <c r="AT175" s="1170" t="str">
        <f ca="1">CokingRefineryCalcs!D637</f>
        <v>wt%</v>
      </c>
      <c r="AU175" s="1170" t="str">
        <f ca="1">CokingRefineryCalcs!F637</f>
        <v/>
      </c>
      <c r="AV175" s="1170"/>
      <c r="AW175" s="1170"/>
      <c r="AX175" s="1170"/>
      <c r="AY175" s="1170"/>
      <c r="AZ175" s="1170"/>
      <c r="BA175" s="1170"/>
      <c r="BB175" s="1170"/>
      <c r="BC175" s="1170"/>
      <c r="BD175" s="1170"/>
      <c r="BE175" s="1170"/>
      <c r="BF175" s="1170"/>
      <c r="BG175" s="1170"/>
      <c r="BH175" s="1170"/>
      <c r="BI175" s="1170"/>
      <c r="BJ175" s="1186" t="str">
        <f>CokingRefineryCalcs!C848</f>
        <v xml:space="preserve">Sulphur </v>
      </c>
      <c r="BK175" s="1170" t="str">
        <f ca="1">CokingRefineryCalcs!D848</f>
        <v>wt%</v>
      </c>
      <c r="BL175" s="1170">
        <f ca="1">CokingRefineryCalcs!G848</f>
        <v>0</v>
      </c>
      <c r="BM175" s="1170"/>
      <c r="BN175" s="1170"/>
      <c r="BO175" s="1170"/>
      <c r="BP175" s="1170"/>
      <c r="BQ175" s="1170"/>
      <c r="BR175" s="1170"/>
      <c r="BS175" s="1170"/>
      <c r="BT175" s="1170"/>
      <c r="BU175" s="1170"/>
      <c r="BV175" s="1170"/>
      <c r="BW175" s="1186" t="str">
        <f>CokingRefineryCalcs!C925</f>
        <v xml:space="preserve">API gravity </v>
      </c>
      <c r="BX175" s="1170"/>
      <c r="BY175" s="1170">
        <f>CokingRefineryCalcs!F925</f>
        <v>59.716216216216225</v>
      </c>
      <c r="BZ175" s="1170"/>
      <c r="CA175" s="1170" t="s">
        <v>541</v>
      </c>
      <c r="CB175" s="1170"/>
      <c r="CC175" s="1170">
        <f ca="1">(BL189+BO183)*$CC$176</f>
        <v>0</v>
      </c>
      <c r="CD175" s="1170"/>
      <c r="CE175" s="1170"/>
      <c r="CF175" s="1170"/>
      <c r="CG175" s="1170"/>
      <c r="CH175" s="1170"/>
      <c r="CI175" s="1170"/>
      <c r="CJ175" s="1170"/>
      <c r="CK175" s="1186" t="str">
        <f>CokingRefineryCalcs!C759</f>
        <v>Density</v>
      </c>
      <c r="CL175" s="1170" t="str">
        <f ca="1">CokingRefineryCalcs!D759</f>
        <v>kg/m^3</v>
      </c>
      <c r="CM175" s="1170">
        <f>CokingRefineryCalcs!G759</f>
        <v>625</v>
      </c>
      <c r="CN175" s="1170"/>
      <c r="CO175" s="1170"/>
      <c r="CP175" s="1170"/>
      <c r="CQ175" s="1187"/>
      <c r="CR175" s="1187"/>
      <c r="CS175" s="1200" t="s">
        <v>1056</v>
      </c>
      <c r="CT175" s="1199" t="s">
        <v>447</v>
      </c>
      <c r="CU175" s="1199">
        <f>('Energy &amp; Unit Conversions'!$D$63-('Energy &amp; Unit Conversions'!$E$63*POWER((CokingRefineryPFD!CU172/'Energy &amp; Unit Conversions'!$E$54),2)))</f>
        <v>42.882037467587523</v>
      </c>
      <c r="CV175" s="1170"/>
      <c r="CW175" s="1170"/>
      <c r="CX175" s="1170"/>
      <c r="CY175" s="1160"/>
      <c r="CZ175" s="1160"/>
      <c r="DA175" s="1160"/>
      <c r="DB175" s="1160"/>
      <c r="DC175" s="1160"/>
      <c r="DD175" s="1160"/>
      <c r="DE175" s="1160"/>
      <c r="DF175" s="1160"/>
      <c r="DG175" s="1160"/>
      <c r="DH175" s="1160"/>
      <c r="DI175" s="1160"/>
      <c r="DJ175" s="1160"/>
      <c r="DK175" s="1160"/>
      <c r="DL175" s="1171"/>
      <c r="DM175" s="1160"/>
      <c r="DN175" s="1160"/>
      <c r="DO175" s="1160"/>
      <c r="DP175" s="1160"/>
      <c r="DQ175" s="1160"/>
      <c r="DR175" s="1160"/>
      <c r="DS175" s="1160"/>
      <c r="DT175" s="1160"/>
      <c r="DU175" s="1160"/>
      <c r="DV175" s="1160"/>
      <c r="DW175" s="1160"/>
      <c r="DX175" s="1160"/>
      <c r="DY175" s="1160"/>
      <c r="DZ175" s="1160"/>
      <c r="EA175" s="1160"/>
      <c r="EB175" s="1160"/>
    </row>
    <row r="176" spans="1:132" x14ac:dyDescent="0.2">
      <c r="A176" s="1160"/>
      <c r="B176" s="1160"/>
      <c r="C176" s="1260"/>
      <c r="D176" s="1260"/>
      <c r="E176" s="1256"/>
      <c r="F176" s="1256"/>
      <c r="G176" s="1256"/>
      <c r="H176" s="1256"/>
      <c r="I176" s="1256"/>
      <c r="J176" s="1256"/>
      <c r="K176" s="1256"/>
      <c r="L176" s="1256"/>
      <c r="M176" s="1256"/>
      <c r="N176" s="1256"/>
      <c r="O176" s="1256"/>
      <c r="P176" s="1256"/>
      <c r="Q176" s="1256"/>
      <c r="R176" s="1170"/>
      <c r="S176" s="1170"/>
      <c r="T176" s="1170"/>
      <c r="U176" s="1170"/>
      <c r="V176" s="1170"/>
      <c r="W176" s="1170"/>
      <c r="X176" s="1170"/>
      <c r="Y176" s="1184" t="str">
        <f>'CokingRefinery Detailed Results'!C12</f>
        <v>Vacuum Tower Furnace</v>
      </c>
      <c r="Z176" s="1170"/>
      <c r="AA176" s="1170"/>
      <c r="AB176" s="1170"/>
      <c r="AC176" s="1200" t="s">
        <v>1021</v>
      </c>
      <c r="AD176" s="1199" t="s">
        <v>1022</v>
      </c>
      <c r="AE176" s="1246">
        <f>W139</f>
        <v>69.300827026367188</v>
      </c>
      <c r="AF176" s="1170"/>
      <c r="AG176" s="1170"/>
      <c r="AH176" s="1170"/>
      <c r="AI176" s="1170"/>
      <c r="AJ176" s="1170"/>
      <c r="AK176" s="1186" t="str">
        <f>CokingRefineryCalcs!C546</f>
        <v>Density</v>
      </c>
      <c r="AL176" s="1170" t="str">
        <f ca="1">CokingRefineryCalcs!D546</f>
        <v>kg/m^3</v>
      </c>
      <c r="AM176" s="1170">
        <f ca="1">CokingRefineryCalcs!H546</f>
        <v>0</v>
      </c>
      <c r="AN176" s="1170"/>
      <c r="AO176" s="1170"/>
      <c r="AP176" s="1170"/>
      <c r="AQ176" s="1170"/>
      <c r="AR176" s="1170"/>
      <c r="AS176" s="1200" t="s">
        <v>1056</v>
      </c>
      <c r="AT176" s="1199" t="s">
        <v>447</v>
      </c>
      <c r="AU176" s="1199">
        <f ca="1">('Energy &amp; Unit Conversions'!$D$63-('Energy &amp; Unit Conversions'!$E$63*POWER((CokingRefineryPFD!AU173/'Energy &amp; Unit Conversions'!$E$54),2)))</f>
        <v>46.693440000000002</v>
      </c>
      <c r="AV176" s="1170"/>
      <c r="AW176" s="1170"/>
      <c r="AX176" s="1170"/>
      <c r="AY176" s="1170"/>
      <c r="AZ176" s="1170"/>
      <c r="BA176" s="1170"/>
      <c r="BB176" s="1170"/>
      <c r="BC176" s="1170"/>
      <c r="BD176" s="1170"/>
      <c r="BE176" s="1170"/>
      <c r="BF176" s="1170"/>
      <c r="BG176" s="1170"/>
      <c r="BH176" s="1170"/>
      <c r="BI176" s="1170"/>
      <c r="BJ176" s="1186" t="str">
        <f>CokingRefineryCalcs!C850</f>
        <v xml:space="preserve">API gravity </v>
      </c>
      <c r="BK176" s="1170"/>
      <c r="BL176" s="1170">
        <f ca="1">CokingRefineryCalcs!G850</f>
        <v>52.266233766171041</v>
      </c>
      <c r="BM176" s="1170"/>
      <c r="BN176" s="1170"/>
      <c r="BO176" s="1170"/>
      <c r="BP176" s="1170"/>
      <c r="BQ176" s="1170"/>
      <c r="BR176" s="1170"/>
      <c r="BS176" s="1170"/>
      <c r="BT176" s="1170"/>
      <c r="BU176" s="1170"/>
      <c r="BV176" s="1170"/>
      <c r="BW176" s="1186" t="str">
        <f>CokingRefineryCalcs!C926</f>
        <v>Density</v>
      </c>
      <c r="BX176" s="1170" t="str">
        <f ca="1">CokingRefineryCalcs!D926</f>
        <v>kg/m^3</v>
      </c>
      <c r="BY176" s="1170">
        <f>CokingRefineryCalcs!F926</f>
        <v>740</v>
      </c>
      <c r="BZ176" s="1170"/>
      <c r="CA176" s="1180" t="s">
        <v>1066</v>
      </c>
      <c r="CB176" s="1170"/>
      <c r="CC176" s="1170">
        <f ca="1">IF(CokingRefineryPFD!E50=TRUE,CC177,1)</f>
        <v>1</v>
      </c>
      <c r="CD176" s="1170"/>
      <c r="CE176" s="1170"/>
      <c r="CF176" s="1170"/>
      <c r="CG176" s="1170"/>
      <c r="CH176" s="1170"/>
      <c r="CI176" s="1170"/>
      <c r="CJ176" s="1170"/>
      <c r="CK176" s="1186" t="str">
        <f>CokingRefineryCalcs!C760</f>
        <v>Hydrogen</v>
      </c>
      <c r="CL176" s="1170" t="str">
        <f ca="1">CokingRefineryCalcs!D760</f>
        <v>wt%</v>
      </c>
      <c r="CM176" s="1170">
        <f ca="1">CokingRefineryCalcs!G760</f>
        <v>16.100000000000001</v>
      </c>
      <c r="CN176" s="1170"/>
      <c r="CO176" s="1170"/>
      <c r="CP176" s="1170"/>
      <c r="CQ176" s="1187"/>
      <c r="CR176" s="1187"/>
      <c r="CS176" s="1200" t="s">
        <v>1021</v>
      </c>
      <c r="CT176" s="1199" t="s">
        <v>1022</v>
      </c>
      <c r="CU176" s="1199">
        <f>Constants!G349</f>
        <v>112.06692504882813</v>
      </c>
      <c r="CV176" s="1170"/>
      <c r="CW176" s="1170"/>
      <c r="CX176" s="1170"/>
      <c r="CY176" s="1160"/>
      <c r="CZ176" s="1160"/>
      <c r="DA176" s="1160"/>
      <c r="DB176" s="1160"/>
      <c r="DC176" s="1160"/>
      <c r="DD176" s="1160"/>
      <c r="DE176" s="1160"/>
      <c r="DF176" s="1160"/>
      <c r="DG176" s="1160"/>
      <c r="DH176" s="1160"/>
      <c r="DI176" s="1160"/>
      <c r="DJ176" s="1160"/>
      <c r="DK176" s="1160"/>
      <c r="DL176" s="1171"/>
      <c r="DM176" s="1160"/>
      <c r="DN176" s="1160"/>
      <c r="DO176" s="1160"/>
      <c r="DP176" s="1160"/>
      <c r="DQ176" s="1160"/>
      <c r="DR176" s="1160"/>
      <c r="DS176" s="1160"/>
      <c r="DT176" s="1160"/>
      <c r="DU176" s="1160"/>
      <c r="DV176" s="1160"/>
      <c r="DW176" s="1160"/>
      <c r="DX176" s="1160"/>
      <c r="DY176" s="1160"/>
      <c r="DZ176" s="1160"/>
      <c r="EA176" s="1160"/>
      <c r="EB176" s="1160"/>
    </row>
    <row r="177" spans="1:132" x14ac:dyDescent="0.2">
      <c r="A177" s="1160"/>
      <c r="B177" s="1160"/>
      <c r="C177" s="1260"/>
      <c r="D177" s="1260"/>
      <c r="E177" s="1256"/>
      <c r="F177" s="1256"/>
      <c r="G177" s="1256"/>
      <c r="H177" s="1256"/>
      <c r="I177" s="1256"/>
      <c r="J177" s="1256"/>
      <c r="K177" s="1256"/>
      <c r="L177" s="1256"/>
      <c r="M177" s="1256"/>
      <c r="N177" s="1256"/>
      <c r="O177" s="1256"/>
      <c r="P177" s="1256"/>
      <c r="Q177" s="1256"/>
      <c r="R177" s="1170"/>
      <c r="S177" s="1170"/>
      <c r="T177" s="1170"/>
      <c r="U177" s="1170"/>
      <c r="V177" s="1170"/>
      <c r="W177" s="1170"/>
      <c r="X177" s="1170"/>
      <c r="Y177" s="1184" t="s">
        <v>225</v>
      </c>
      <c r="Z177" s="1184" t="s">
        <v>522</v>
      </c>
      <c r="AA177" s="1170"/>
      <c r="AB177" s="1170"/>
      <c r="AC177" s="1204" t="s">
        <v>1054</v>
      </c>
      <c r="AD177" s="1204" t="str">
        <f>IF(allocationMethod=1,$C$21,IF(allocationMethod=2,$C$22,IF(allocationMethod=3,$C$23,$C$24)))</f>
        <v>Hydrogen Content Basis</v>
      </c>
      <c r="AE177" s="1204">
        <f ca="1">IF(allocationMethod=1,AE169,IF(allocationMethod=2,AE175*AE169,IF(allocationMethod=3,AE176*AE167,AE173*AE169/100)))</f>
        <v>9.9999999999999991E-31</v>
      </c>
      <c r="AF177" s="1170"/>
      <c r="AG177" s="1170"/>
      <c r="AH177" s="1170"/>
      <c r="AI177" s="1170"/>
      <c r="AJ177" s="1170"/>
      <c r="AK177" s="1186" t="str">
        <f>CokingRefineryCalcs!C547</f>
        <v>Hydrogen</v>
      </c>
      <c r="AL177" s="1170" t="str">
        <f ca="1">CokingRefineryCalcs!D547</f>
        <v>wt%</v>
      </c>
      <c r="AM177" s="1170">
        <f ca="1">CokingRefineryCalcs!H547</f>
        <v>0</v>
      </c>
      <c r="AN177" s="1170"/>
      <c r="AO177" s="1170"/>
      <c r="AP177" s="1170"/>
      <c r="AQ177" s="1170"/>
      <c r="AR177" s="1170"/>
      <c r="AS177" s="1200" t="s">
        <v>1021</v>
      </c>
      <c r="AT177" s="1199" t="s">
        <v>1022</v>
      </c>
      <c r="AU177" s="1199">
        <f>AM180</f>
        <v>85.085002899169922</v>
      </c>
      <c r="AV177" s="1170"/>
      <c r="AW177" s="1170"/>
      <c r="AX177" s="1170"/>
      <c r="AY177" s="1170"/>
      <c r="AZ177" s="1170"/>
      <c r="BA177" s="1170"/>
      <c r="BB177" s="1170"/>
      <c r="BC177" s="1170"/>
      <c r="BD177" s="1170"/>
      <c r="BE177" s="1170"/>
      <c r="BF177" s="1170"/>
      <c r="BG177" s="1170"/>
      <c r="BH177" s="1170"/>
      <c r="BI177" s="1170"/>
      <c r="BJ177" s="1186" t="str">
        <f>CokingRefineryCalcs!C851</f>
        <v>Density</v>
      </c>
      <c r="BK177" s="1170" t="str">
        <f ca="1">CokingRefineryCalcs!D851</f>
        <v>kg/m^3</v>
      </c>
      <c r="BL177" s="1170">
        <f ca="1">CokingRefineryCalcs!G851</f>
        <v>770.00000000026284</v>
      </c>
      <c r="BM177" s="1170"/>
      <c r="BN177" s="1170"/>
      <c r="BO177" s="1170"/>
      <c r="BP177" s="1170"/>
      <c r="BQ177" s="1170"/>
      <c r="BR177" s="1170"/>
      <c r="BS177" s="1170"/>
      <c r="BT177" s="1170"/>
      <c r="BU177" s="1170"/>
      <c r="BV177" s="1170"/>
      <c r="BW177" s="1186" t="str">
        <f>CokingRefineryCalcs!C927</f>
        <v>Hydrogen</v>
      </c>
      <c r="BX177" s="1170" t="str">
        <f ca="1">CokingRefineryCalcs!D927</f>
        <v>wt%</v>
      </c>
      <c r="BY177" s="1170">
        <f ca="1">CokingRefineryCalcs!F927</f>
        <v>15.7</v>
      </c>
      <c r="BZ177" s="1170"/>
      <c r="CA177" s="1180" t="s">
        <v>1065</v>
      </c>
      <c r="CB177" s="1170"/>
      <c r="CC177" s="1170">
        <f ca="1">BY181/(BP170+BY181)</f>
        <v>1</v>
      </c>
      <c r="CD177" s="1170"/>
      <c r="CE177" s="1170"/>
      <c r="CF177" s="1170"/>
      <c r="CG177" s="1170"/>
      <c r="CH177" s="1170"/>
      <c r="CI177" s="1170"/>
      <c r="CJ177" s="1170"/>
      <c r="CK177" s="1186" t="str">
        <f>CokingRefineryCalcs!C761</f>
        <v>MCR</v>
      </c>
      <c r="CL177" s="1170" t="str">
        <f ca="1">CokingRefineryCalcs!D761</f>
        <v>wt%</v>
      </c>
      <c r="CM177" s="1170">
        <f>CokingRefineryCalcs!G761</f>
        <v>0</v>
      </c>
      <c r="CN177" s="1170"/>
      <c r="CO177" s="1170"/>
      <c r="CP177" s="1170"/>
      <c r="CQ177" s="1187"/>
      <c r="CR177" s="1187"/>
      <c r="CS177" s="1204" t="s">
        <v>1054</v>
      </c>
      <c r="CT177" s="1204" t="str">
        <f>IF(allocationMethod=1,$C$21,IF(allocationMethod=2,$C$22,IF(allocationMethod=3,$C$23,$C$24)))</f>
        <v>Hydrogen Content Basis</v>
      </c>
      <c r="CU177" s="1204">
        <f ca="1">IF(allocationMethod=1,CU169,IF(allocationMethod=2,CU175*CU169,IF(allocationMethod=3,CU176*CU167,CU173*CU169/100)))</f>
        <v>2.3136544467590254E-16</v>
      </c>
      <c r="CV177" s="1170"/>
      <c r="CW177" s="1170"/>
      <c r="CX177" s="1170"/>
      <c r="CY177" s="1160"/>
      <c r="CZ177" s="1160"/>
      <c r="DA177" s="1160"/>
      <c r="DB177" s="1160"/>
      <c r="DC177" s="1160"/>
      <c r="DD177" s="1160"/>
      <c r="DE177" s="1160"/>
      <c r="DF177" s="1160"/>
      <c r="DG177" s="1160"/>
      <c r="DH177" s="1160"/>
      <c r="DI177" s="1160"/>
      <c r="DJ177" s="1160"/>
      <c r="DK177" s="1160"/>
      <c r="DL177" s="1171"/>
      <c r="DM177" s="1160"/>
      <c r="DN177" s="1160"/>
      <c r="DO177" s="1160"/>
      <c r="DP177" s="1160"/>
      <c r="DQ177" s="1160"/>
      <c r="DR177" s="1160"/>
      <c r="DS177" s="1160"/>
      <c r="DT177" s="1160"/>
      <c r="DU177" s="1160"/>
      <c r="DV177" s="1160"/>
      <c r="DW177" s="1160"/>
      <c r="DX177" s="1160"/>
      <c r="DY177" s="1160"/>
      <c r="DZ177" s="1160"/>
      <c r="EA177" s="1160"/>
      <c r="EB177" s="1160"/>
    </row>
    <row r="178" spans="1:132" x14ac:dyDescent="0.2">
      <c r="A178" s="1160"/>
      <c r="B178" s="1160"/>
      <c r="C178" s="1260"/>
      <c r="D178" s="1260"/>
      <c r="E178" s="1256"/>
      <c r="F178" s="1256"/>
      <c r="G178" s="1256"/>
      <c r="H178" s="1256"/>
      <c r="I178" s="1256"/>
      <c r="J178" s="1256"/>
      <c r="K178" s="1256"/>
      <c r="L178" s="1256"/>
      <c r="M178" s="1256"/>
      <c r="N178" s="1256"/>
      <c r="O178" s="1256"/>
      <c r="P178" s="1256"/>
      <c r="Q178" s="1256"/>
      <c r="R178" s="1170"/>
      <c r="S178" s="1170"/>
      <c r="T178" s="1170"/>
      <c r="U178" s="1170"/>
      <c r="V178" s="1170"/>
      <c r="W178" s="1170"/>
      <c r="X178" s="1170"/>
      <c r="Y178" s="1170" t="s">
        <v>392</v>
      </c>
      <c r="Z178" s="1170">
        <f>'CokingRefinery Detailed Results'!F12</f>
        <v>0</v>
      </c>
      <c r="AA178" s="1170"/>
      <c r="AB178" s="1170"/>
      <c r="AC178" s="1170"/>
      <c r="AD178" s="1170"/>
      <c r="AE178" s="1170"/>
      <c r="AF178" s="1170"/>
      <c r="AG178" s="1170"/>
      <c r="AH178" s="1170"/>
      <c r="AI178" s="1170"/>
      <c r="AJ178" s="1170"/>
      <c r="AK178" s="1170"/>
      <c r="AL178" s="1170"/>
      <c r="AM178" s="1170"/>
      <c r="AN178" s="1170"/>
      <c r="AO178" s="1170"/>
      <c r="AP178" s="1170"/>
      <c r="AQ178" s="1170"/>
      <c r="AR178" s="1170"/>
      <c r="AS178" s="1204" t="s">
        <v>1054</v>
      </c>
      <c r="AT178" s="1204" t="str">
        <f>IF(allocationMethod=1,$C$21,IF(allocationMethod=2,$C$22,IF(allocationMethod=3,$C$23,$C$24)))</f>
        <v>Hydrogen Content Basis</v>
      </c>
      <c r="AU178" s="1204">
        <f ca="1">IF(allocationMethod=1,AU170,IF(allocationMethod=2,AU176*AU170,IF(allocationMethod=3,AU177*AU168,AU174*AU170/100)))</f>
        <v>0</v>
      </c>
      <c r="AV178" s="1170"/>
      <c r="AW178" s="1170"/>
      <c r="AX178" s="1170"/>
      <c r="AY178" s="1170"/>
      <c r="AZ178" s="1170"/>
      <c r="BA178" s="1170"/>
      <c r="BB178" s="1170"/>
      <c r="BC178" s="1170"/>
      <c r="BD178" s="1170"/>
      <c r="BE178" s="1170"/>
      <c r="BF178" s="1170"/>
      <c r="BG178" s="1170"/>
      <c r="BH178" s="1170"/>
      <c r="BI178" s="1170"/>
      <c r="BJ178" s="1186" t="str">
        <f>CokingRefineryCalcs!C852</f>
        <v>Hydrogen</v>
      </c>
      <c r="BK178" s="1170" t="str">
        <f ca="1">CokingRefineryCalcs!D852</f>
        <v>wt%</v>
      </c>
      <c r="BL178" s="1170">
        <f ca="1">CokingRefineryCalcs!G852</f>
        <v>11.999999999998057</v>
      </c>
      <c r="BM178" s="1184" t="str">
        <f>'CokingRefinery Detailed Results'!C23</f>
        <v>Coker Naphtha Hydrotreater</v>
      </c>
      <c r="BN178" s="1170"/>
      <c r="BO178" s="1170"/>
      <c r="BP178" s="1170"/>
      <c r="BQ178" s="1170"/>
      <c r="BR178" s="1170"/>
      <c r="BS178" s="1170"/>
      <c r="BT178" s="1170"/>
      <c r="BU178" s="1170"/>
      <c r="BV178" s="1170"/>
      <c r="BW178" s="1186" t="str">
        <f>CokingRefineryCalcs!C928</f>
        <v>MCR</v>
      </c>
      <c r="BX178" s="1170" t="str">
        <f ca="1">CokingRefineryCalcs!D928</f>
        <v>wt%</v>
      </c>
      <c r="BY178" s="1170" t="str">
        <f ca="1">CokingRefineryCalcs!F928</f>
        <v/>
      </c>
      <c r="BZ178" s="1170"/>
      <c r="CA178" s="1239" t="s">
        <v>228</v>
      </c>
      <c r="CB178" s="1170"/>
      <c r="CC178" s="1170">
        <f ca="1">BY173/(BL174+BO186)</f>
        <v>1.0419540762971502</v>
      </c>
      <c r="CD178" s="1170"/>
      <c r="CE178" s="1170"/>
      <c r="CF178" s="1170"/>
      <c r="CG178" s="1170"/>
      <c r="CH178" s="1170"/>
      <c r="CI178" s="1170"/>
      <c r="CJ178" s="1170"/>
      <c r="CK178" s="1200" t="s">
        <v>1056</v>
      </c>
      <c r="CL178" s="1199" t="s">
        <v>447</v>
      </c>
      <c r="CM178" s="1199">
        <f>('Energy &amp; Unit Conversions'!$D$63-('Energy &amp; Unit Conversions'!$E$63*POWER((CokingRefineryPFD!CM175/'Energy &amp; Unit Conversions'!$E$54),2)))</f>
        <v>43.593320865501802</v>
      </c>
      <c r="CN178" s="1170"/>
      <c r="CO178" s="1170"/>
      <c r="CP178" s="1170"/>
      <c r="CQ178" s="1187"/>
      <c r="CR178" s="1187"/>
      <c r="CS178" s="1170"/>
      <c r="CT178" s="1170"/>
      <c r="CU178" s="1170"/>
      <c r="CV178" s="1170"/>
      <c r="CW178" s="1170"/>
      <c r="CX178" s="1170"/>
      <c r="CY178" s="1160"/>
      <c r="CZ178" s="1160"/>
      <c r="DA178" s="1160"/>
      <c r="DB178" s="1160"/>
      <c r="DC178" s="1160"/>
      <c r="DD178" s="1160"/>
      <c r="DE178" s="1160"/>
      <c r="DF178" s="1160"/>
      <c r="DG178" s="1160"/>
      <c r="DH178" s="1160"/>
      <c r="DI178" s="1160"/>
      <c r="DJ178" s="1160"/>
      <c r="DK178" s="1160"/>
      <c r="DL178" s="1171"/>
      <c r="DM178" s="1160"/>
      <c r="DN178" s="1160"/>
      <c r="DO178" s="1160"/>
      <c r="DP178" s="1160"/>
      <c r="DQ178" s="1160"/>
      <c r="DR178" s="1160"/>
      <c r="DS178" s="1160"/>
      <c r="DT178" s="1160"/>
      <c r="DU178" s="1160"/>
      <c r="DV178" s="1160"/>
      <c r="DW178" s="1160"/>
      <c r="DX178" s="1160"/>
      <c r="DY178" s="1160"/>
      <c r="DZ178" s="1160"/>
      <c r="EA178" s="1160"/>
      <c r="EB178" s="1160"/>
    </row>
    <row r="179" spans="1:132" x14ac:dyDescent="0.2">
      <c r="A179" s="1160"/>
      <c r="B179" s="1160"/>
      <c r="C179" s="1260"/>
      <c r="D179" s="1260"/>
      <c r="E179" s="1256"/>
      <c r="F179" s="1256"/>
      <c r="G179" s="1256"/>
      <c r="H179" s="1256"/>
      <c r="I179" s="1256"/>
      <c r="J179" s="1256"/>
      <c r="K179" s="1256"/>
      <c r="L179" s="1256"/>
      <c r="M179" s="1256"/>
      <c r="N179" s="1256"/>
      <c r="O179" s="1256"/>
      <c r="P179" s="1256"/>
      <c r="Q179" s="1256"/>
      <c r="R179" s="1170"/>
      <c r="S179" s="1170"/>
      <c r="T179" s="1170"/>
      <c r="U179" s="1170"/>
      <c r="V179" s="1170"/>
      <c r="W179" s="1170"/>
      <c r="X179" s="1170"/>
      <c r="Y179" s="1170" t="s">
        <v>224</v>
      </c>
      <c r="Z179" s="1170">
        <f ca="1">'CokingRefinery Detailed Results'!H12</f>
        <v>6.6158838385611065E-15</v>
      </c>
      <c r="AA179" s="1170"/>
      <c r="AB179" s="1170"/>
      <c r="AC179" s="1180" t="str">
        <f>AC165</f>
        <v>Output</v>
      </c>
      <c r="AD179" s="1170"/>
      <c r="AE179" s="1170"/>
      <c r="AF179" s="1170"/>
      <c r="AG179" s="1170"/>
      <c r="AH179" s="1170"/>
      <c r="AI179" s="1170"/>
      <c r="AJ179" s="1170"/>
      <c r="AK179" s="1200" t="s">
        <v>1056</v>
      </c>
      <c r="AL179" s="1199" t="s">
        <v>447</v>
      </c>
      <c r="AM179" s="1199">
        <f ca="1">('Energy &amp; Unit Conversions'!$D$63-('Energy &amp; Unit Conversions'!$E$63*POWER((CokingRefineryPFD!AM176/'Energy &amp; Unit Conversions'!$E$54),2)))</f>
        <v>46.693440000000002</v>
      </c>
      <c r="AN179" s="1199"/>
      <c r="AO179" s="1170"/>
      <c r="AP179" s="1170"/>
      <c r="AQ179" s="1170"/>
      <c r="AR179" s="1170"/>
      <c r="AS179" s="1170"/>
      <c r="AT179" s="1170"/>
      <c r="AU179" s="1170"/>
      <c r="AV179" s="1170"/>
      <c r="AW179" s="1170"/>
      <c r="AX179" s="1170"/>
      <c r="AY179" s="1170"/>
      <c r="AZ179" s="1170"/>
      <c r="BA179" s="1170"/>
      <c r="BB179" s="1170"/>
      <c r="BC179" s="1170"/>
      <c r="BD179" s="1170"/>
      <c r="BE179" s="1170"/>
      <c r="BF179" s="1170"/>
      <c r="BG179" s="1170"/>
      <c r="BH179" s="1199"/>
      <c r="BI179" s="1199"/>
      <c r="BJ179" s="1186" t="str">
        <f>CokingRefineryCalcs!C853</f>
        <v>MCR</v>
      </c>
      <c r="BK179" s="1170" t="str">
        <f ca="1">CokingRefineryCalcs!D853</f>
        <v>wt%</v>
      </c>
      <c r="BL179" s="1170">
        <f>CokingRefineryCalcs!G853</f>
        <v>0</v>
      </c>
      <c r="BM179" s="1184" t="s">
        <v>225</v>
      </c>
      <c r="BN179" s="1170"/>
      <c r="BO179" s="1184" t="s">
        <v>522</v>
      </c>
      <c r="BP179" s="1184"/>
      <c r="BQ179" s="1170"/>
      <c r="BR179" s="1170"/>
      <c r="BS179" s="1170"/>
      <c r="BT179" s="1170"/>
      <c r="BU179" s="1170"/>
      <c r="BV179" s="1170"/>
      <c r="BW179" s="1200" t="s">
        <v>1056</v>
      </c>
      <c r="BX179" s="1199" t="s">
        <v>447</v>
      </c>
      <c r="BY179" s="1199">
        <f ca="1">('Energy &amp; Unit Conversions'!$D$63-('Energy &amp; Unit Conversions'!$E$63*POWER((CokingRefineryPFD!BY177/'Energy &amp; Unit Conversions'!$E$54),2)))</f>
        <v>46.69148378018442</v>
      </c>
      <c r="BZ179" s="1170"/>
      <c r="CA179" s="1170"/>
      <c r="CB179" s="1170"/>
      <c r="CC179" s="1170"/>
      <c r="CD179" s="1170"/>
      <c r="CE179" s="1170"/>
      <c r="CF179" s="1170"/>
      <c r="CG179" s="1170"/>
      <c r="CH179" s="1170"/>
      <c r="CI179" s="1170"/>
      <c r="CJ179" s="1170"/>
      <c r="CK179" s="1200" t="s">
        <v>1021</v>
      </c>
      <c r="CL179" s="1199" t="s">
        <v>1022</v>
      </c>
      <c r="CM179" s="1199">
        <f>Constants!G350</f>
        <v>71.685001373291016</v>
      </c>
      <c r="CN179" s="1170"/>
      <c r="CO179" s="1181"/>
      <c r="CP179" s="1170"/>
      <c r="CQ179" s="1187"/>
      <c r="CR179" s="1187"/>
      <c r="CS179" s="1180" t="str">
        <f>CS165</f>
        <v>Alkylate</v>
      </c>
      <c r="CT179" s="1170"/>
      <c r="CU179" s="1170"/>
      <c r="CV179" s="1170"/>
      <c r="CW179" s="1170"/>
      <c r="CX179" s="1170"/>
      <c r="CY179" s="1160"/>
      <c r="CZ179" s="1160"/>
      <c r="DA179" s="1160"/>
      <c r="DB179" s="1160"/>
      <c r="DC179" s="1160"/>
      <c r="DD179" s="1160"/>
      <c r="DE179" s="1160"/>
      <c r="DF179" s="1160"/>
      <c r="DG179" s="1160"/>
      <c r="DH179" s="1160"/>
      <c r="DI179" s="1160"/>
      <c r="DJ179" s="1160"/>
      <c r="DK179" s="1160"/>
      <c r="DL179" s="1171"/>
      <c r="DM179" s="1160"/>
      <c r="DN179" s="1160"/>
      <c r="DO179" s="1160"/>
      <c r="DP179" s="1160"/>
      <c r="DQ179" s="1160"/>
      <c r="DR179" s="1160"/>
      <c r="DS179" s="1160"/>
      <c r="DT179" s="1160"/>
      <c r="DU179" s="1160"/>
      <c r="DV179" s="1160"/>
      <c r="DW179" s="1160"/>
      <c r="DX179" s="1160"/>
      <c r="DY179" s="1160"/>
      <c r="DZ179" s="1160"/>
      <c r="EA179" s="1160"/>
      <c r="EB179" s="1160"/>
    </row>
    <row r="180" spans="1:132" x14ac:dyDescent="0.2">
      <c r="A180" s="1160"/>
      <c r="B180" s="1160"/>
      <c r="C180" s="1260"/>
      <c r="D180" s="1260"/>
      <c r="E180" s="1256"/>
      <c r="F180" s="1256"/>
      <c r="G180" s="1256"/>
      <c r="H180" s="1256"/>
      <c r="I180" s="1256"/>
      <c r="J180" s="1256"/>
      <c r="K180" s="1256"/>
      <c r="L180" s="1256"/>
      <c r="M180" s="1256"/>
      <c r="N180" s="1256"/>
      <c r="O180" s="1256"/>
      <c r="P180" s="1256"/>
      <c r="Q180" s="1256"/>
      <c r="R180" s="1170"/>
      <c r="S180" s="1170"/>
      <c r="T180" s="1170"/>
      <c r="U180" s="1170"/>
      <c r="V180" s="1170"/>
      <c r="W180" s="1170"/>
      <c r="X180" s="1170"/>
      <c r="Y180" s="1170" t="s">
        <v>485</v>
      </c>
      <c r="Z180" s="1170">
        <f>'CokingRefinery Detailed Results'!J12</f>
        <v>0</v>
      </c>
      <c r="AA180" s="1170"/>
      <c r="AB180" s="1170"/>
      <c r="AC180" s="1183" t="s">
        <v>226</v>
      </c>
      <c r="AD180" s="1170"/>
      <c r="AE180" s="1184" t="s">
        <v>522</v>
      </c>
      <c r="AF180" s="1170"/>
      <c r="AG180" s="1170"/>
      <c r="AH180" s="1170"/>
      <c r="AI180" s="1170"/>
      <c r="AJ180" s="1170"/>
      <c r="AK180" s="1200" t="s">
        <v>1021</v>
      </c>
      <c r="AL180" s="1199" t="s">
        <v>1022</v>
      </c>
      <c r="AM180" s="1199">
        <f>Constants!G343</f>
        <v>85.085002899169922</v>
      </c>
      <c r="AN180" s="1199"/>
      <c r="AO180" s="1170"/>
      <c r="AP180" s="1170"/>
      <c r="AQ180" s="1170"/>
      <c r="AR180" s="1170"/>
      <c r="AS180" s="1170"/>
      <c r="AT180" s="1170"/>
      <c r="AU180" s="1170"/>
      <c r="AV180" s="1170"/>
      <c r="AW180" s="1170"/>
      <c r="AX180" s="1170"/>
      <c r="AY180" s="1170"/>
      <c r="AZ180" s="1170"/>
      <c r="BA180" s="1170"/>
      <c r="BB180" s="1170"/>
      <c r="BC180" s="1170"/>
      <c r="BD180" s="1170"/>
      <c r="BE180" s="1170"/>
      <c r="BF180" s="1170"/>
      <c r="BG180" s="1170"/>
      <c r="BH180" s="1199"/>
      <c r="BI180" s="1199"/>
      <c r="BJ180" s="1200" t="s">
        <v>1056</v>
      </c>
      <c r="BK180" s="1199" t="s">
        <v>447</v>
      </c>
      <c r="BL180" s="1199">
        <f ca="1">('Energy &amp; Unit Conversions'!$D$63-('Energy &amp; Unit Conversions'!$E$63*POWER((CokingRefineryPFD!BL177/'Energy &amp; Unit Conversions'!$E$54),2)))</f>
        <v>41.988004774796195</v>
      </c>
      <c r="BM180" s="1170" t="s">
        <v>392</v>
      </c>
      <c r="BN180" s="1170"/>
      <c r="BO180" s="1170">
        <f ca="1">'CokingRefinery Detailed Results'!F23+IF(AND($EB$144+$EB$161=0,E51=FALSE),'CokingRefinery Detailed Results'!F30*CokingRefineryCalcs!$U$984,0)</f>
        <v>0</v>
      </c>
      <c r="BP180" s="1170"/>
      <c r="BQ180" s="1170"/>
      <c r="BR180" s="1170"/>
      <c r="BS180" s="1170"/>
      <c r="BT180" s="1170"/>
      <c r="BU180" s="1170"/>
      <c r="BV180" s="1170"/>
      <c r="BW180" s="1200" t="s">
        <v>1021</v>
      </c>
      <c r="BX180" s="1199" t="s">
        <v>1022</v>
      </c>
      <c r="BY180" s="1246">
        <f>BG44</f>
        <v>84.555000305175781</v>
      </c>
      <c r="BZ180" s="1170"/>
      <c r="CA180" s="1170"/>
      <c r="CB180" s="1170"/>
      <c r="CC180" s="1170"/>
      <c r="CD180" s="1170"/>
      <c r="CE180" s="1170"/>
      <c r="CF180" s="1170"/>
      <c r="CG180" s="1170"/>
      <c r="CH180" s="1170"/>
      <c r="CI180" s="1170"/>
      <c r="CJ180" s="1170"/>
      <c r="CK180" s="1204" t="s">
        <v>1054</v>
      </c>
      <c r="CL180" s="1204" t="str">
        <f>IF(allocationMethod=1,$C$21,IF(allocationMethod=2,$C$22,IF(allocationMethod=3,$C$23,$C$24)))</f>
        <v>Hydrogen Content Basis</v>
      </c>
      <c r="CM180" s="1204">
        <f ca="1">IF(allocationMethod=1,CM172,IF(allocationMethod=2,CM178*CM172,IF(allocationMethod=3,CM179*CM170,CM176*CM172/100)))</f>
        <v>2.3136544467590254E-16</v>
      </c>
      <c r="CN180" s="1170"/>
      <c r="CO180" s="1182"/>
      <c r="CP180" s="1170"/>
      <c r="CQ180" s="1248"/>
      <c r="CR180" s="1248"/>
      <c r="CS180" s="1183" t="s">
        <v>226</v>
      </c>
      <c r="CT180" s="1170"/>
      <c r="CU180" s="1184" t="s">
        <v>522</v>
      </c>
      <c r="CV180" s="1170"/>
      <c r="CW180" s="1170"/>
      <c r="CX180" s="1170"/>
      <c r="CY180" s="1160"/>
      <c r="CZ180" s="1160"/>
      <c r="DA180" s="1160"/>
      <c r="DB180" s="1160"/>
      <c r="DC180" s="1160"/>
      <c r="DD180" s="1160"/>
      <c r="DE180" s="1160"/>
      <c r="DF180" s="1160"/>
      <c r="DG180" s="1160"/>
      <c r="DH180" s="1160"/>
      <c r="DI180" s="1160"/>
      <c r="DJ180" s="1160"/>
      <c r="DK180" s="1160"/>
      <c r="DL180" s="1171"/>
      <c r="DM180" s="1160"/>
      <c r="DN180" s="1160"/>
      <c r="DO180" s="1160"/>
      <c r="DP180" s="1160"/>
      <c r="DQ180" s="1160"/>
      <c r="DR180" s="1160"/>
      <c r="DS180" s="1160"/>
      <c r="DT180" s="1160"/>
      <c r="DU180" s="1160"/>
      <c r="DV180" s="1160"/>
      <c r="DW180" s="1160"/>
      <c r="DX180" s="1160"/>
      <c r="DY180" s="1160"/>
      <c r="DZ180" s="1160"/>
      <c r="EA180" s="1160"/>
      <c r="EB180" s="1160"/>
    </row>
    <row r="181" spans="1:132" x14ac:dyDescent="0.2">
      <c r="A181" s="1160"/>
      <c r="B181" s="1160"/>
      <c r="C181" s="1260"/>
      <c r="D181" s="1260"/>
      <c r="E181" s="1256"/>
      <c r="F181" s="1256"/>
      <c r="G181" s="1256"/>
      <c r="H181" s="1256"/>
      <c r="I181" s="1256"/>
      <c r="J181" s="1256"/>
      <c r="K181" s="1256"/>
      <c r="L181" s="1256"/>
      <c r="M181" s="1256"/>
      <c r="N181" s="1256"/>
      <c r="O181" s="1256"/>
      <c r="P181" s="1256"/>
      <c r="Q181" s="1256"/>
      <c r="R181" s="1170"/>
      <c r="S181" s="1170"/>
      <c r="T181" s="1170"/>
      <c r="U181" s="1170"/>
      <c r="V181" s="1170"/>
      <c r="W181" s="1170"/>
      <c r="X181" s="1170"/>
      <c r="Y181" s="1170" t="s">
        <v>541</v>
      </c>
      <c r="Z181" s="1170">
        <f>'CokingRefinery Detailed Results'!L12</f>
        <v>0</v>
      </c>
      <c r="AA181" s="1170"/>
      <c r="AB181" s="1170"/>
      <c r="AC181" s="1170" t="s">
        <v>263</v>
      </c>
      <c r="AD181" s="1170"/>
      <c r="AE181" s="1187">
        <f ca="1">+AA130*AE186</f>
        <v>4.315608334441117E-28</v>
      </c>
      <c r="AF181" s="1170"/>
      <c r="AG181" s="1170"/>
      <c r="AH181" s="1170"/>
      <c r="AI181" s="1170"/>
      <c r="AJ181" s="1170"/>
      <c r="AK181" s="1204" t="s">
        <v>1054</v>
      </c>
      <c r="AL181" s="1204" t="str">
        <f>IF(allocationMethod=1,$C$21,IF(allocationMethod=2,$C$22,IF(allocationMethod=3,$C$23,$C$24)))</f>
        <v>Hydrogen Content Basis</v>
      </c>
      <c r="AM181" s="1204">
        <f ca="1">IF(allocationMethod=1,AM173,IF(allocationMethod=2,AM179*AM173,IF(allocationMethod=3,AM180*AM171,AM177*AM173/100)))</f>
        <v>0</v>
      </c>
      <c r="AN181" s="1170"/>
      <c r="AO181" s="1170"/>
      <c r="AP181" s="1170"/>
      <c r="AQ181" s="1170"/>
      <c r="AR181" s="1170"/>
      <c r="AS181" s="1170"/>
      <c r="AT181" s="1170"/>
      <c r="AU181" s="1170"/>
      <c r="AV181" s="1170"/>
      <c r="AW181" s="1170"/>
      <c r="AX181" s="1170"/>
      <c r="AY181" s="1170"/>
      <c r="AZ181" s="1170"/>
      <c r="BA181" s="1170"/>
      <c r="BB181" s="1170"/>
      <c r="BC181" s="1170"/>
      <c r="BD181" s="1170"/>
      <c r="BE181" s="1170"/>
      <c r="BF181" s="1170"/>
      <c r="BG181" s="1170"/>
      <c r="BH181" s="1170"/>
      <c r="BI181" s="1170"/>
      <c r="BJ181" s="1200" t="s">
        <v>1021</v>
      </c>
      <c r="BK181" s="1199" t="s">
        <v>1022</v>
      </c>
      <c r="BL181" s="1246">
        <f>AA52</f>
        <v>72.819999999999993</v>
      </c>
      <c r="BM181" s="1170" t="s">
        <v>224</v>
      </c>
      <c r="BN181" s="1170"/>
      <c r="BO181" s="1170">
        <f ca="1">'CokingRefinery Detailed Results'!H23+IF(AND($EB$144+$EB$161=0,E51=FALSE),'CokingRefinery Detailed Results'!H30*CokingRefineryCalcs!$U$984,0)</f>
        <v>1.2867597181676833E-15</v>
      </c>
      <c r="BP181" s="1170"/>
      <c r="BQ181" s="1170"/>
      <c r="BR181" s="1170"/>
      <c r="BS181" s="1170"/>
      <c r="BT181" s="1170"/>
      <c r="BU181" s="1170"/>
      <c r="BV181" s="1170"/>
      <c r="BW181" s="1204" t="s">
        <v>1054</v>
      </c>
      <c r="BX181" s="1204" t="str">
        <f>IF(allocationMethod=1,$C$21,IF(allocationMethod=2,$C$22,IF(allocationMethod=3,$C$23,$C$24)))</f>
        <v>Hydrogen Content Basis</v>
      </c>
      <c r="BY181" s="1204">
        <f ca="1">IF(allocationMethod=1,BY173,IF(allocationMethod=2,BY179*BY173,IF(allocationMethod=3,BY180*BY171,BY177*BY173/100)))</f>
        <v>2.4541977152541929E-16</v>
      </c>
      <c r="BZ181" s="1170"/>
      <c r="CA181" s="1170"/>
      <c r="CB181" s="1170"/>
      <c r="CC181" s="1170"/>
      <c r="CD181" s="1170"/>
      <c r="CE181" s="1170"/>
      <c r="CF181" s="1170"/>
      <c r="CG181" s="1170"/>
      <c r="CH181" s="1170"/>
      <c r="CI181" s="1170"/>
      <c r="CJ181" s="1170"/>
      <c r="CK181" s="1170"/>
      <c r="CL181" s="1170"/>
      <c r="CM181" s="1170"/>
      <c r="CN181" s="1170"/>
      <c r="CO181" s="1186"/>
      <c r="CP181" s="1170"/>
      <c r="CQ181" s="1187"/>
      <c r="CR181" s="1187"/>
      <c r="CS181" s="1170" t="s">
        <v>263</v>
      </c>
      <c r="CT181" s="1170"/>
      <c r="CU181" s="1187">
        <f ca="1">(CM184)*CU187</f>
        <v>0</v>
      </c>
      <c r="CV181" s="1170"/>
      <c r="CW181" s="1170"/>
      <c r="CX181" s="1170"/>
      <c r="CY181" s="1160"/>
      <c r="CZ181" s="1160"/>
      <c r="DA181" s="1160"/>
      <c r="DB181" s="1160"/>
      <c r="DC181" s="1160"/>
      <c r="DD181" s="1160"/>
      <c r="DE181" s="1160"/>
      <c r="DF181" s="1160"/>
      <c r="DG181" s="1160"/>
      <c r="DH181" s="1160"/>
      <c r="DI181" s="1160"/>
      <c r="DJ181" s="1160"/>
      <c r="DK181" s="1160"/>
      <c r="DL181" s="1171"/>
      <c r="DM181" s="1160"/>
      <c r="DN181" s="1160"/>
      <c r="DO181" s="1160"/>
      <c r="DP181" s="1160"/>
      <c r="DQ181" s="1160"/>
      <c r="DR181" s="1160"/>
      <c r="DS181" s="1160"/>
      <c r="DT181" s="1160"/>
      <c r="DU181" s="1160"/>
      <c r="DV181" s="1160"/>
      <c r="DW181" s="1160"/>
      <c r="DX181" s="1160"/>
      <c r="DY181" s="1160"/>
      <c r="DZ181" s="1160"/>
      <c r="EA181" s="1160"/>
      <c r="EB181" s="1160"/>
    </row>
    <row r="182" spans="1:132" x14ac:dyDescent="0.2">
      <c r="A182" s="1160"/>
      <c r="B182" s="1160"/>
      <c r="C182" s="1260"/>
      <c r="D182" s="1260"/>
      <c r="E182" s="1256"/>
      <c r="F182" s="1256"/>
      <c r="G182" s="1256"/>
      <c r="H182" s="1256"/>
      <c r="I182" s="1256"/>
      <c r="J182" s="1256"/>
      <c r="K182" s="1256"/>
      <c r="L182" s="1256"/>
      <c r="M182" s="1256"/>
      <c r="N182" s="1256"/>
      <c r="O182" s="1256"/>
      <c r="P182" s="1256"/>
      <c r="Q182" s="1256"/>
      <c r="R182" s="1170"/>
      <c r="S182" s="1170"/>
      <c r="T182" s="1170"/>
      <c r="U182" s="1170"/>
      <c r="V182" s="1170"/>
      <c r="W182" s="1170"/>
      <c r="X182" s="1170"/>
      <c r="Y182" s="1170"/>
      <c r="Z182" s="1170"/>
      <c r="AA182" s="1170"/>
      <c r="AB182" s="1170"/>
      <c r="AC182" s="1170" t="s">
        <v>392</v>
      </c>
      <c r="AD182" s="1170"/>
      <c r="AE182" s="1187">
        <f ca="1">(AA131+Z178)*$AE$186</f>
        <v>2.8964931928634858E-32</v>
      </c>
      <c r="AF182" s="1170"/>
      <c r="AG182" s="1170"/>
      <c r="AH182" s="1170"/>
      <c r="AI182" s="1170"/>
      <c r="AJ182" s="1170"/>
      <c r="AK182" s="1180" t="str">
        <f>AK169</f>
        <v>HVGO</v>
      </c>
      <c r="AL182" s="1170"/>
      <c r="AM182" s="1170"/>
      <c r="AN182" s="1170"/>
      <c r="AO182" s="1170"/>
      <c r="AP182" s="1170"/>
      <c r="AQ182" s="1170"/>
      <c r="AR182" s="1170"/>
      <c r="AS182" s="1170"/>
      <c r="AT182" s="1170"/>
      <c r="AU182" s="1170"/>
      <c r="AV182" s="1170"/>
      <c r="AW182" s="1170"/>
      <c r="AX182" s="1170"/>
      <c r="AY182" s="1170"/>
      <c r="AZ182" s="1170"/>
      <c r="BA182" s="1170"/>
      <c r="BB182" s="1170"/>
      <c r="BC182" s="1170"/>
      <c r="BD182" s="1170"/>
      <c r="BE182" s="1170"/>
      <c r="BF182" s="1200"/>
      <c r="BG182" s="1199"/>
      <c r="BH182" s="1199"/>
      <c r="BI182" s="1199"/>
      <c r="BJ182" s="1204" t="s">
        <v>1054</v>
      </c>
      <c r="BK182" s="1204" t="str">
        <f>IF(allocationMethod=1,$C$21,IF(allocationMethod=2,$C$22,IF(allocationMethod=3,$C$23,$C$24)))</f>
        <v>Hydrogen Content Basis</v>
      </c>
      <c r="BL182" s="1204">
        <f ca="1">IF(allocationMethod=1,BL174,IF(allocationMethod=2,BL180*BL174,IF(allocationMethod=3,BL181*BL172,BL178*BL174/100)))</f>
        <v>1.8002903893944429E-16</v>
      </c>
      <c r="BM182" s="1170" t="s">
        <v>485</v>
      </c>
      <c r="BN182" s="1170"/>
      <c r="BO182" s="1170">
        <f ca="1">'CokingRefinery Detailed Results'!J23+IF(AND($EB$144+$EB$161=0,E51=FALSE),'CokingRefinery Detailed Results'!J30*CokingRefineryCalcs!$U$984,0)</f>
        <v>1.0857759695589901E-16</v>
      </c>
      <c r="BP182" s="1170"/>
      <c r="BQ182" s="1170"/>
      <c r="BR182" s="1170"/>
      <c r="BS182" s="1170"/>
      <c r="BT182" s="1170"/>
      <c r="BU182" s="1170"/>
      <c r="BV182" s="1170"/>
      <c r="BW182" s="1170"/>
      <c r="BX182" s="1170"/>
      <c r="BY182" s="1170"/>
      <c r="BZ182" s="1170"/>
      <c r="CA182" s="1170"/>
      <c r="CB182" s="1170"/>
      <c r="CC182" s="1170"/>
      <c r="CD182" s="1170"/>
      <c r="CE182" s="1170"/>
      <c r="CF182" s="1170"/>
      <c r="CG182" s="1170"/>
      <c r="CH182" s="1170"/>
      <c r="CI182" s="1170"/>
      <c r="CJ182" s="1170"/>
      <c r="CK182" s="1180" t="str">
        <f>CK168</f>
        <v>FCC C4</v>
      </c>
      <c r="CL182" s="1170"/>
      <c r="CM182" s="1170"/>
      <c r="CN182" s="1170"/>
      <c r="CO182" s="1186"/>
      <c r="CP182" s="1170"/>
      <c r="CQ182" s="1187"/>
      <c r="CR182" s="1187"/>
      <c r="CS182" s="1170" t="s">
        <v>392</v>
      </c>
      <c r="CT182" s="1170"/>
      <c r="CU182" s="1187">
        <f ca="1">(CQ169+CM185)*$CU$187</f>
        <v>0</v>
      </c>
      <c r="CV182" s="1170"/>
      <c r="CW182" s="1170"/>
      <c r="CX182" s="1170"/>
      <c r="CY182" s="1160"/>
      <c r="CZ182" s="1160"/>
      <c r="DA182" s="1160"/>
      <c r="DB182" s="1160"/>
      <c r="DC182" s="1160"/>
      <c r="DD182" s="1160"/>
      <c r="DE182" s="1160"/>
      <c r="DF182" s="1160"/>
      <c r="DG182" s="1160"/>
      <c r="DH182" s="1160"/>
      <c r="DI182" s="1160"/>
      <c r="DJ182" s="1160"/>
      <c r="DK182" s="1160"/>
      <c r="DL182" s="1171"/>
      <c r="DM182" s="1160"/>
      <c r="DN182" s="1160"/>
      <c r="DO182" s="1160"/>
      <c r="DP182" s="1160"/>
      <c r="DQ182" s="1160"/>
      <c r="DR182" s="1160"/>
      <c r="DS182" s="1160"/>
      <c r="DT182" s="1160"/>
      <c r="DU182" s="1160"/>
      <c r="DV182" s="1160"/>
      <c r="DW182" s="1160"/>
      <c r="DX182" s="1160"/>
      <c r="DY182" s="1160"/>
      <c r="DZ182" s="1160"/>
      <c r="EA182" s="1160"/>
      <c r="EB182" s="1160"/>
    </row>
    <row r="183" spans="1:132" x14ac:dyDescent="0.2">
      <c r="A183" s="1160"/>
      <c r="B183" s="1160"/>
      <c r="C183" s="1260"/>
      <c r="D183" s="1260"/>
      <c r="E183" s="1256"/>
      <c r="F183" s="1256"/>
      <c r="G183" s="1256"/>
      <c r="H183" s="1256"/>
      <c r="I183" s="1256"/>
      <c r="J183" s="1256"/>
      <c r="K183" s="1256"/>
      <c r="L183" s="1256"/>
      <c r="M183" s="1256"/>
      <c r="N183" s="1256"/>
      <c r="O183" s="1256"/>
      <c r="P183" s="1256"/>
      <c r="Q183" s="1256"/>
      <c r="R183" s="1170"/>
      <c r="S183" s="1170"/>
      <c r="T183" s="1170"/>
      <c r="U183" s="1170"/>
      <c r="V183" s="1170"/>
      <c r="W183" s="1170"/>
      <c r="X183" s="1170"/>
      <c r="Y183" s="1170"/>
      <c r="Z183" s="1170"/>
      <c r="AA183" s="1170"/>
      <c r="AB183" s="1170"/>
      <c r="AC183" s="1170" t="s">
        <v>224</v>
      </c>
      <c r="AD183" s="1170"/>
      <c r="AE183" s="1187">
        <f ca="1">(AA132+Z179)*$AE$186</f>
        <v>6.6158838385611097E-15</v>
      </c>
      <c r="AF183" s="1170"/>
      <c r="AG183" s="1170"/>
      <c r="AH183" s="1170"/>
      <c r="AI183" s="1170"/>
      <c r="AJ183" s="1170"/>
      <c r="AK183" s="1183" t="s">
        <v>226</v>
      </c>
      <c r="AL183" s="1170"/>
      <c r="AM183" s="1184" t="s">
        <v>522</v>
      </c>
      <c r="AN183" s="1184"/>
      <c r="AO183" s="1170"/>
      <c r="AP183" s="1170"/>
      <c r="AQ183" s="1170"/>
      <c r="AR183" s="1170"/>
      <c r="AS183" s="1170"/>
      <c r="AT183" s="1170"/>
      <c r="AU183" s="1170"/>
      <c r="AV183" s="1170"/>
      <c r="AW183" s="1170"/>
      <c r="AX183" s="1170"/>
      <c r="AY183" s="1170"/>
      <c r="AZ183" s="1170"/>
      <c r="BA183" s="1170"/>
      <c r="BB183" s="1170"/>
      <c r="BC183" s="1170"/>
      <c r="BD183" s="1170"/>
      <c r="BE183" s="1170"/>
      <c r="BF183" s="1170"/>
      <c r="BG183" s="1170"/>
      <c r="BH183" s="1170"/>
      <c r="BI183" s="1170"/>
      <c r="BJ183" s="1180" t="str">
        <f>BJ170</f>
        <v>Coker Naphtha</v>
      </c>
      <c r="BK183" s="1170"/>
      <c r="BL183" s="1170"/>
      <c r="BM183" s="1170" t="s">
        <v>541</v>
      </c>
      <c r="BN183" s="1170"/>
      <c r="BO183" s="1170">
        <f ca="1">'CokingRefinery Detailed Results'!L23+IF(AND($EB$144+$EB$161=0,E51=FALSE),'CokingRefinery Detailed Results'!L30*CokingRefineryCalcs!$U$984,0)</f>
        <v>0</v>
      </c>
      <c r="BP183" s="1170"/>
      <c r="BQ183" s="1170"/>
      <c r="BR183" s="1170"/>
      <c r="BS183" s="1170"/>
      <c r="BT183" s="1170"/>
      <c r="BU183" s="1170"/>
      <c r="BV183" s="1170"/>
      <c r="BW183" s="1170"/>
      <c r="BX183" s="1170"/>
      <c r="BY183" s="1170"/>
      <c r="BZ183" s="1170"/>
      <c r="CA183" s="1170"/>
      <c r="CB183" s="1170"/>
      <c r="CC183" s="1170"/>
      <c r="CD183" s="1170"/>
      <c r="CE183" s="1170"/>
      <c r="CF183" s="1170"/>
      <c r="CG183" s="1170"/>
      <c r="CH183" s="1170"/>
      <c r="CI183" s="1184"/>
      <c r="CJ183" s="1170"/>
      <c r="CK183" s="1183" t="s">
        <v>226</v>
      </c>
      <c r="CL183" s="1170"/>
      <c r="CM183" s="1184" t="s">
        <v>522</v>
      </c>
      <c r="CN183" s="1170"/>
      <c r="CO183" s="1186"/>
      <c r="CP183" s="1170"/>
      <c r="CQ183" s="1170"/>
      <c r="CR183" s="1170"/>
      <c r="CS183" s="1170" t="s">
        <v>224</v>
      </c>
      <c r="CT183" s="1170"/>
      <c r="CU183" s="1187">
        <f ca="1">(CQ170+CM186)*$CU$187</f>
        <v>2.5809340900906372E-13</v>
      </c>
      <c r="CV183" s="1170"/>
      <c r="CW183" s="1170"/>
      <c r="CX183" s="1170"/>
      <c r="CY183" s="1160"/>
      <c r="CZ183" s="1160"/>
      <c r="DA183" s="1160"/>
      <c r="DB183" s="1160"/>
      <c r="DC183" s="1160"/>
      <c r="DD183" s="1160"/>
      <c r="DE183" s="1160"/>
      <c r="DF183" s="1160"/>
      <c r="DG183" s="1160"/>
      <c r="DH183" s="1160"/>
      <c r="DI183" s="1160"/>
      <c r="DJ183" s="1160"/>
      <c r="DK183" s="1160"/>
      <c r="DL183" s="1171"/>
      <c r="DM183" s="1160"/>
      <c r="DN183" s="1160"/>
      <c r="DO183" s="1160"/>
      <c r="DP183" s="1160"/>
      <c r="DQ183" s="1160"/>
      <c r="DR183" s="1160"/>
      <c r="DS183" s="1160"/>
      <c r="DT183" s="1160"/>
      <c r="DU183" s="1160"/>
      <c r="DV183" s="1160"/>
      <c r="DW183" s="1160"/>
      <c r="DX183" s="1160"/>
      <c r="DY183" s="1160"/>
      <c r="DZ183" s="1160"/>
      <c r="EA183" s="1160"/>
      <c r="EB183" s="1160"/>
    </row>
    <row r="184" spans="1:132" x14ac:dyDescent="0.2">
      <c r="A184" s="1160"/>
      <c r="B184" s="1160"/>
      <c r="C184" s="1260"/>
      <c r="D184" s="1260"/>
      <c r="E184" s="1256"/>
      <c r="F184" s="1256"/>
      <c r="G184" s="1256"/>
      <c r="H184" s="1256"/>
      <c r="I184" s="1256"/>
      <c r="J184" s="1256"/>
      <c r="K184" s="1256"/>
      <c r="L184" s="1256"/>
      <c r="M184" s="1256"/>
      <c r="N184" s="1256"/>
      <c r="O184" s="1256"/>
      <c r="P184" s="1256"/>
      <c r="Q184" s="1256"/>
      <c r="R184" s="1170"/>
      <c r="S184" s="1170"/>
      <c r="T184" s="1170"/>
      <c r="U184" s="1170"/>
      <c r="V184" s="1170"/>
      <c r="W184" s="1170"/>
      <c r="X184" s="1170"/>
      <c r="Y184" s="1170"/>
      <c r="Z184" s="1170"/>
      <c r="AA184" s="1170"/>
      <c r="AB184" s="1170"/>
      <c r="AC184" s="1170" t="s">
        <v>485</v>
      </c>
      <c r="AD184" s="1170"/>
      <c r="AE184" s="1187">
        <f ca="1">(AA133+Z180)*$AE$186</f>
        <v>6.2242382397956034E-31</v>
      </c>
      <c r="AF184" s="1170"/>
      <c r="AG184" s="1170"/>
      <c r="AH184" s="1170"/>
      <c r="AI184" s="1170"/>
      <c r="AJ184" s="1170"/>
      <c r="AK184" s="1170" t="s">
        <v>263</v>
      </c>
      <c r="AL184" s="1170"/>
      <c r="AM184" s="1187">
        <f ca="1">AE181*AM189</f>
        <v>0</v>
      </c>
      <c r="AN184" s="1170"/>
      <c r="AO184" s="1170"/>
      <c r="AP184" s="1170"/>
      <c r="AQ184" s="1170"/>
      <c r="AR184" s="1170"/>
      <c r="AS184" s="1170"/>
      <c r="AT184" s="1170"/>
      <c r="AU184" s="1170"/>
      <c r="AV184" s="1170"/>
      <c r="AW184" s="1170"/>
      <c r="AX184" s="1180" t="str">
        <f>AS185</f>
        <v>HVGO to FCC</v>
      </c>
      <c r="AY184" s="1170"/>
      <c r="AZ184" s="1170"/>
      <c r="BA184" s="1170"/>
      <c r="BB184" s="1170"/>
      <c r="BC184" s="1170"/>
      <c r="BD184" s="1170"/>
      <c r="BE184" s="1170"/>
      <c r="BF184" s="1170"/>
      <c r="BG184" s="1170"/>
      <c r="BH184" s="1170"/>
      <c r="BI184" s="1170"/>
      <c r="BJ184" s="1183" t="s">
        <v>226</v>
      </c>
      <c r="BK184" s="1170"/>
      <c r="BL184" s="1184" t="s">
        <v>522</v>
      </c>
      <c r="BM184" s="1170"/>
      <c r="BN184" s="1170"/>
      <c r="BO184" s="1170"/>
      <c r="BP184" s="1170"/>
      <c r="BQ184" s="1170"/>
      <c r="BR184" s="1170"/>
      <c r="BS184" s="1170"/>
      <c r="BT184" s="1170"/>
      <c r="BU184" s="1170"/>
      <c r="BV184" s="1170"/>
      <c r="BW184" s="1181" t="str">
        <f>CokingRefineryCalcs!K643</f>
        <v>FCC FHT Fuel Gas</v>
      </c>
      <c r="BX184" s="1170"/>
      <c r="BY184" s="1170"/>
      <c r="BZ184" s="1170"/>
      <c r="CA184" s="1170"/>
      <c r="CB184" s="1170"/>
      <c r="CC184" s="1170"/>
      <c r="CD184" s="1170"/>
      <c r="CE184" s="1170"/>
      <c r="CF184" s="1170"/>
      <c r="CG184" s="1170"/>
      <c r="CH184" s="1170"/>
      <c r="CI184" s="1170"/>
      <c r="CJ184" s="1170"/>
      <c r="CK184" s="1170" t="s">
        <v>263</v>
      </c>
      <c r="CL184" s="1170"/>
      <c r="CM184" s="1187">
        <f ca="1">CC251*CM190</f>
        <v>0</v>
      </c>
      <c r="CN184" s="1170"/>
      <c r="CO184" s="1186"/>
      <c r="CP184" s="1170"/>
      <c r="CQ184" s="1170"/>
      <c r="CR184" s="1170"/>
      <c r="CS184" s="1170" t="s">
        <v>485</v>
      </c>
      <c r="CT184" s="1170"/>
      <c r="CU184" s="1187">
        <f ca="1">(CQ171+CM187)*$CU$187</f>
        <v>1.745924653855508E-14</v>
      </c>
      <c r="CV184" s="1170"/>
      <c r="CW184" s="1170"/>
      <c r="CX184" s="1170"/>
      <c r="CY184" s="1160"/>
      <c r="CZ184" s="1160"/>
      <c r="DA184" s="1160"/>
      <c r="DB184" s="1160"/>
      <c r="DC184" s="1160"/>
      <c r="DD184" s="1160"/>
      <c r="DE184" s="1160"/>
      <c r="DF184" s="1160"/>
      <c r="DG184" s="1160"/>
      <c r="DH184" s="1160"/>
      <c r="DI184" s="1160"/>
      <c r="DJ184" s="1160"/>
      <c r="DK184" s="1171"/>
      <c r="DL184" s="1160"/>
      <c r="DM184" s="1160"/>
      <c r="DN184" s="1160"/>
      <c r="DO184" s="1160"/>
      <c r="DP184" s="1160"/>
      <c r="DQ184" s="1160"/>
      <c r="DR184" s="1160"/>
      <c r="DS184" s="1160"/>
      <c r="DT184" s="1160"/>
      <c r="DU184" s="1160"/>
      <c r="DV184" s="1160"/>
      <c r="DW184" s="1160"/>
      <c r="DX184" s="1160"/>
      <c r="DY184" s="1160"/>
      <c r="DZ184" s="1160"/>
      <c r="EA184" s="1160"/>
      <c r="EB184" s="1160"/>
    </row>
    <row r="185" spans="1:132" x14ac:dyDescent="0.2">
      <c r="A185" s="1160"/>
      <c r="B185" s="1160"/>
      <c r="C185" s="1260"/>
      <c r="D185" s="1260"/>
      <c r="E185" s="1256"/>
      <c r="F185" s="1256"/>
      <c r="G185" s="1256"/>
      <c r="H185" s="1256"/>
      <c r="I185" s="1256"/>
      <c r="J185" s="1256"/>
      <c r="K185" s="1256"/>
      <c r="L185" s="1256"/>
      <c r="M185" s="1256"/>
      <c r="N185" s="1256"/>
      <c r="O185" s="1256"/>
      <c r="P185" s="1256"/>
      <c r="Q185" s="1256"/>
      <c r="R185" s="1170"/>
      <c r="S185" s="1170"/>
      <c r="T185" s="1170"/>
      <c r="U185" s="1170"/>
      <c r="V185" s="1170"/>
      <c r="W185" s="1170"/>
      <c r="X185" s="1170"/>
      <c r="Y185" s="1170"/>
      <c r="Z185" s="1170"/>
      <c r="AA185" s="1170"/>
      <c r="AB185" s="1170"/>
      <c r="AC185" s="1170" t="s">
        <v>541</v>
      </c>
      <c r="AD185" s="1170"/>
      <c r="AE185" s="1187">
        <f ca="1">(AA134+Z181)*$AE$186</f>
        <v>0</v>
      </c>
      <c r="AF185" s="1170"/>
      <c r="AG185" s="1170"/>
      <c r="AH185" s="1170"/>
      <c r="AI185" s="1170"/>
      <c r="AJ185" s="1170"/>
      <c r="AK185" s="1170" t="s">
        <v>392</v>
      </c>
      <c r="AL185" s="1170"/>
      <c r="AM185" s="1187">
        <f ca="1">(AE182+AH143)*$AM$189</f>
        <v>0</v>
      </c>
      <c r="AN185" s="1170"/>
      <c r="AO185" s="1170"/>
      <c r="AP185" s="1170"/>
      <c r="AQ185" s="1170"/>
      <c r="AR185" s="1170"/>
      <c r="AS185" s="1181" t="str">
        <f>CokingRefineryCalcs!G628</f>
        <v>HVGO to FCC</v>
      </c>
      <c r="AT185" s="1170"/>
      <c r="AU185" s="1170"/>
      <c r="AV185" s="1170"/>
      <c r="AW185" s="1170"/>
      <c r="AX185" s="1183" t="s">
        <v>226</v>
      </c>
      <c r="AY185" s="1170"/>
      <c r="AZ185" s="1184" t="s">
        <v>522</v>
      </c>
      <c r="BA185" s="1170"/>
      <c r="BB185" s="1170"/>
      <c r="BC185" s="1170"/>
      <c r="BD185" s="1170"/>
      <c r="BE185" s="1170"/>
      <c r="BF185" s="1170"/>
      <c r="BG185" s="1170"/>
      <c r="BH185" s="1170"/>
      <c r="BI185" s="1170"/>
      <c r="BJ185" s="1170" t="s">
        <v>263</v>
      </c>
      <c r="BK185" s="1170"/>
      <c r="BL185" s="1187">
        <f ca="1">BD247*BL190</f>
        <v>0</v>
      </c>
      <c r="BM185" s="1170" t="str">
        <f>CokingRefineryCalcs!C947</f>
        <v>Total hydrogen consumed</v>
      </c>
      <c r="BN185" s="1170"/>
      <c r="BO185" s="1170"/>
      <c r="BP185" s="1170"/>
      <c r="BQ185" s="1170"/>
      <c r="BR185" s="1170"/>
      <c r="BS185" s="1170"/>
      <c r="BT185" s="1170"/>
      <c r="BU185" s="1170"/>
      <c r="BV185" s="1170"/>
      <c r="BW185" s="1182" t="str">
        <f>CokingRefineryCalcs!C643</f>
        <v>Property</v>
      </c>
      <c r="BX185" s="1170"/>
      <c r="BY185" s="1170"/>
      <c r="BZ185" s="1170"/>
      <c r="CA185" s="1170"/>
      <c r="CB185" s="1170"/>
      <c r="CC185" s="1170"/>
      <c r="CD185" s="1170"/>
      <c r="CE185" s="1170"/>
      <c r="CF185" s="1170"/>
      <c r="CG185" s="1170"/>
      <c r="CH185" s="1170"/>
      <c r="CI185" s="1170"/>
      <c r="CJ185" s="1170"/>
      <c r="CK185" s="1170" t="s">
        <v>392</v>
      </c>
      <c r="CL185" s="1170"/>
      <c r="CM185" s="1187">
        <f ca="1">(CC252+CF215)*$CM$190</f>
        <v>0</v>
      </c>
      <c r="CN185" s="1170"/>
      <c r="CO185" s="1186"/>
      <c r="CP185" s="1170"/>
      <c r="CQ185" s="1170"/>
      <c r="CR185" s="1170"/>
      <c r="CS185" s="1170" t="s">
        <v>541</v>
      </c>
      <c r="CT185" s="1170"/>
      <c r="CU185" s="1187">
        <f ca="1">(CQ172+CM188)*$CU$187</f>
        <v>0</v>
      </c>
      <c r="CV185" s="1170"/>
      <c r="CW185" s="1170"/>
      <c r="CX185" s="1170"/>
      <c r="CY185" s="1160"/>
      <c r="CZ185" s="1160"/>
      <c r="DA185" s="1160"/>
      <c r="DB185" s="1160"/>
      <c r="DC185" s="1160"/>
      <c r="DD185" s="1160"/>
      <c r="DE185" s="1160"/>
      <c r="DF185" s="1160"/>
      <c r="DG185" s="1160"/>
      <c r="DH185" s="1160"/>
      <c r="DI185" s="1160"/>
      <c r="DJ185" s="1160"/>
      <c r="DK185" s="1171"/>
      <c r="DL185" s="1160"/>
      <c r="DM185" s="1160"/>
      <c r="DN185" s="1160"/>
      <c r="DO185" s="1160"/>
      <c r="DP185" s="1160"/>
      <c r="DQ185" s="1160"/>
      <c r="DR185" s="1160"/>
      <c r="DS185" s="1160"/>
      <c r="DT185" s="1160"/>
      <c r="DU185" s="1160"/>
      <c r="DV185" s="1160"/>
      <c r="DW185" s="1160"/>
      <c r="DX185" s="1160"/>
      <c r="DY185" s="1160"/>
      <c r="DZ185" s="1160"/>
      <c r="EA185" s="1160"/>
      <c r="EB185" s="1160"/>
    </row>
    <row r="186" spans="1:132" x14ac:dyDescent="0.2">
      <c r="A186" s="1160"/>
      <c r="B186" s="1160"/>
      <c r="C186" s="1260"/>
      <c r="D186" s="1260"/>
      <c r="E186" s="1256"/>
      <c r="F186" s="1256"/>
      <c r="G186" s="1256"/>
      <c r="H186" s="1256"/>
      <c r="I186" s="1256"/>
      <c r="J186" s="1256"/>
      <c r="K186" s="1256"/>
      <c r="L186" s="1256"/>
      <c r="M186" s="1256"/>
      <c r="N186" s="1256"/>
      <c r="O186" s="1256"/>
      <c r="P186" s="1256"/>
      <c r="Q186" s="1256"/>
      <c r="R186" s="1170"/>
      <c r="S186" s="1170"/>
      <c r="T186" s="1170"/>
      <c r="U186" s="1170"/>
      <c r="V186" s="1170"/>
      <c r="W186" s="1170"/>
      <c r="X186" s="1170"/>
      <c r="Y186" s="1170"/>
      <c r="Z186" s="1170"/>
      <c r="AA186" s="1170"/>
      <c r="AB186" s="1170"/>
      <c r="AC186" s="1180" t="s">
        <v>1065</v>
      </c>
      <c r="AD186" s="1170"/>
      <c r="AE186" s="1264">
        <v>1</v>
      </c>
      <c r="AF186" s="1170"/>
      <c r="AG186" s="1170"/>
      <c r="AH186" s="1170"/>
      <c r="AI186" s="1170"/>
      <c r="AJ186" s="1170"/>
      <c r="AK186" s="1170" t="s">
        <v>224</v>
      </c>
      <c r="AL186" s="1170"/>
      <c r="AM186" s="1187">
        <f ca="1">(AE183+AH144)*$AM$189</f>
        <v>0</v>
      </c>
      <c r="AN186" s="1170"/>
      <c r="AO186" s="1170"/>
      <c r="AP186" s="1170"/>
      <c r="AQ186" s="1170"/>
      <c r="AR186" s="1170"/>
      <c r="AS186" s="1182" t="str">
        <f>CokingRefineryCalcs!C628</f>
        <v>Property</v>
      </c>
      <c r="AT186" s="1182" t="str">
        <f>CokingRefineryCalcs!D628</f>
        <v>Units</v>
      </c>
      <c r="AU186" s="1170"/>
      <c r="AV186" s="1170"/>
      <c r="AW186" s="1170"/>
      <c r="AX186" s="1170" t="s">
        <v>263</v>
      </c>
      <c r="AY186" s="1170"/>
      <c r="AZ186" s="1187">
        <f ca="1">AM184*$AZ$191</f>
        <v>0</v>
      </c>
      <c r="BA186" s="1170"/>
      <c r="BB186" s="1170"/>
      <c r="BC186" s="1170"/>
      <c r="BD186" s="1170"/>
      <c r="BE186" s="1170"/>
      <c r="BF186" s="1170"/>
      <c r="BG186" s="1170"/>
      <c r="BH186" s="1170"/>
      <c r="BI186" s="1170"/>
      <c r="BJ186" s="1170" t="s">
        <v>392</v>
      </c>
      <c r="BK186" s="1170"/>
      <c r="BL186" s="1187">
        <f ca="1">(BD248+BG214)*$BL$190</f>
        <v>0</v>
      </c>
      <c r="BM186" s="1170"/>
      <c r="BN186" s="1170" t="str">
        <f>CokingRefineryCalcs!E947</f>
        <v>kg/d</v>
      </c>
      <c r="BO186" s="1170">
        <f ca="1">CokingRefineryCalcs!D947</f>
        <v>0</v>
      </c>
      <c r="BP186" s="1170"/>
      <c r="BQ186" s="1170"/>
      <c r="BR186" s="1170"/>
      <c r="BS186" s="1170"/>
      <c r="BT186" s="1170"/>
      <c r="BU186" s="1170"/>
      <c r="BV186" s="1170"/>
      <c r="BW186" s="1182" t="str">
        <f>CokingRefineryCalcs!C644</f>
        <v>Vol Flow</v>
      </c>
      <c r="BX186" s="1170" t="str">
        <f ca="1">CokingRefineryCalcs!D644</f>
        <v>bpd</v>
      </c>
      <c r="BY186" s="1187">
        <f ca="1">BY187/'Energy &amp; Unit Conversions'!$G$80</f>
        <v>3.7640656651106466E-16</v>
      </c>
      <c r="BZ186" s="1170"/>
      <c r="CA186" s="1170"/>
      <c r="CB186" s="1170"/>
      <c r="CC186" s="1170"/>
      <c r="CD186" s="1170"/>
      <c r="CE186" s="1170"/>
      <c r="CF186" s="1170"/>
      <c r="CG186" s="1170"/>
      <c r="CH186" s="1170"/>
      <c r="CI186" s="1170"/>
      <c r="CJ186" s="1170"/>
      <c r="CK186" s="1170" t="s">
        <v>224</v>
      </c>
      <c r="CL186" s="1170"/>
      <c r="CM186" s="1187">
        <f ca="1">(CC253+CF216)*$CM$190</f>
        <v>2.5809340900906372E-13</v>
      </c>
      <c r="CN186" s="1170"/>
      <c r="CO186" s="1186"/>
      <c r="CP186" s="1170"/>
      <c r="CQ186" s="1170"/>
      <c r="CR186" s="1170"/>
      <c r="CS186" s="1170" t="str">
        <f>CK189</f>
        <v>Catalyst Coke</v>
      </c>
      <c r="CT186" s="1170"/>
      <c r="CU186" s="1187">
        <f ca="1">(CM189)*$CU$187</f>
        <v>3.2022715864708398E-15</v>
      </c>
      <c r="CV186" s="1170"/>
      <c r="CW186" s="1170"/>
      <c r="CX186" s="1170"/>
      <c r="CY186" s="1160"/>
      <c r="CZ186" s="1160"/>
      <c r="DA186" s="1160"/>
      <c r="DB186" s="1160"/>
      <c r="DC186" s="1160"/>
      <c r="DD186" s="1160"/>
      <c r="DE186" s="1160"/>
      <c r="DF186" s="1160"/>
      <c r="DG186" s="1160"/>
      <c r="DH186" s="1160"/>
      <c r="DI186" s="1160"/>
      <c r="DJ186" s="1160"/>
      <c r="DK186" s="1171"/>
      <c r="DL186" s="1160"/>
      <c r="DM186" s="1160"/>
      <c r="DN186" s="1160"/>
      <c r="DO186" s="1160"/>
      <c r="DP186" s="1160"/>
      <c r="DQ186" s="1160"/>
      <c r="DR186" s="1160"/>
      <c r="DS186" s="1160"/>
      <c r="DT186" s="1160"/>
      <c r="DU186" s="1160"/>
      <c r="DV186" s="1160"/>
      <c r="DW186" s="1160"/>
      <c r="DX186" s="1160"/>
      <c r="DY186" s="1160"/>
      <c r="DZ186" s="1160"/>
      <c r="EA186" s="1160"/>
      <c r="EB186" s="1160"/>
    </row>
    <row r="187" spans="1:132" x14ac:dyDescent="0.2">
      <c r="A187" s="1160"/>
      <c r="B187" s="1160"/>
      <c r="C187" s="1260"/>
      <c r="D187" s="1260"/>
      <c r="E187" s="1256"/>
      <c r="F187" s="1256"/>
      <c r="G187" s="1256"/>
      <c r="H187" s="1256"/>
      <c r="I187" s="1256"/>
      <c r="J187" s="1256"/>
      <c r="K187" s="1256"/>
      <c r="L187" s="1256"/>
      <c r="M187" s="1256"/>
      <c r="N187" s="1256"/>
      <c r="O187" s="1256"/>
      <c r="P187" s="1256"/>
      <c r="Q187" s="1256"/>
      <c r="R187" s="1170"/>
      <c r="S187" s="1170"/>
      <c r="T187" s="1170"/>
      <c r="U187" s="1170"/>
      <c r="V187" s="1170"/>
      <c r="W187" s="1170"/>
      <c r="X187" s="1170"/>
      <c r="Y187" s="1170"/>
      <c r="Z187" s="1170"/>
      <c r="AA187" s="1170"/>
      <c r="AB187" s="1170"/>
      <c r="AC187" s="1170"/>
      <c r="AD187" s="1170"/>
      <c r="AE187" s="1170"/>
      <c r="AF187" s="1170"/>
      <c r="AG187" s="1170"/>
      <c r="AH187" s="1170"/>
      <c r="AI187" s="1170"/>
      <c r="AJ187" s="1170"/>
      <c r="AK187" s="1170" t="s">
        <v>485</v>
      </c>
      <c r="AL187" s="1170"/>
      <c r="AM187" s="1187">
        <f ca="1">(AE184+AH145)*$AM$189</f>
        <v>0</v>
      </c>
      <c r="AN187" s="1170"/>
      <c r="AO187" s="1170"/>
      <c r="AP187" s="1170"/>
      <c r="AQ187" s="1170"/>
      <c r="AR187" s="1170"/>
      <c r="AS187" s="1186" t="str">
        <f>CokingRefineryCalcs!C629</f>
        <v>Vol Flow</v>
      </c>
      <c r="AT187" s="1170" t="str">
        <f ca="1">CokingRefineryCalcs!D629</f>
        <v>bpd</v>
      </c>
      <c r="AU187" s="1170">
        <f ca="1">CokingRefineryCalcs!G629</f>
        <v>9.9999999999900004E-15</v>
      </c>
      <c r="AV187" s="1170"/>
      <c r="AW187" s="1170"/>
      <c r="AX187" s="1170" t="s">
        <v>392</v>
      </c>
      <c r="AY187" s="1170"/>
      <c r="AZ187" s="1187">
        <f ca="1">AM185*$AZ$191</f>
        <v>0</v>
      </c>
      <c r="BA187" s="1170"/>
      <c r="BB187" s="1170"/>
      <c r="BC187" s="1170"/>
      <c r="BD187" s="1170"/>
      <c r="BE187" s="1170"/>
      <c r="BF187" s="1170"/>
      <c r="BG187" s="1170"/>
      <c r="BH187" s="1170"/>
      <c r="BI187" s="1170"/>
      <c r="BJ187" s="1170" t="s">
        <v>224</v>
      </c>
      <c r="BK187" s="1170"/>
      <c r="BL187" s="1187">
        <f ca="1">(BD249+BG215)*$BL$190</f>
        <v>3.243108425035154E-13</v>
      </c>
      <c r="BM187" s="1170"/>
      <c r="BN187" s="1170"/>
      <c r="BO187" s="1170"/>
      <c r="BP187" s="1170"/>
      <c r="BQ187" s="1170"/>
      <c r="BR187" s="1170"/>
      <c r="BS187" s="1170"/>
      <c r="BT187" s="1170"/>
      <c r="BU187" s="1170"/>
      <c r="BV187" s="1170"/>
      <c r="BW187" s="1182" t="str">
        <f>CokingRefineryCalcs!C645</f>
        <v>Vol Flow</v>
      </c>
      <c r="BX187" s="1170" t="str">
        <f ca="1">CokingRefineryCalcs!D645</f>
        <v>m^3/d</v>
      </c>
      <c r="BY187" s="1187">
        <f ca="1">BY188*BY191</f>
        <v>5.9843863711864587E-17</v>
      </c>
      <c r="BZ187" s="1170"/>
      <c r="CA187" s="1170"/>
      <c r="CB187" s="1170"/>
      <c r="CC187" s="1170"/>
      <c r="CD187" s="1170"/>
      <c r="CE187" s="1170"/>
      <c r="CF187" s="1170"/>
      <c r="CG187" s="1170"/>
      <c r="CH187" s="1170"/>
      <c r="CI187" s="1170"/>
      <c r="CJ187" s="1170"/>
      <c r="CK187" s="1170" t="s">
        <v>485</v>
      </c>
      <c r="CL187" s="1170"/>
      <c r="CM187" s="1187">
        <f ca="1">(CC254+CF217)*$CM$190</f>
        <v>1.4011694743603336E-14</v>
      </c>
      <c r="CN187" s="1170"/>
      <c r="CO187" s="1186"/>
      <c r="CP187" s="1170"/>
      <c r="CQ187" s="1170"/>
      <c r="CR187" s="1170"/>
      <c r="CS187" s="1180" t="s">
        <v>1065</v>
      </c>
      <c r="CT187" s="1170"/>
      <c r="CU187" s="1170">
        <v>1</v>
      </c>
      <c r="CV187" s="1170"/>
      <c r="CW187" s="1170"/>
      <c r="CX187" s="1170"/>
      <c r="CY187" s="1160"/>
      <c r="CZ187" s="1160"/>
      <c r="DA187" s="1160"/>
      <c r="DB187" s="1160"/>
      <c r="DC187" s="1160"/>
      <c r="DD187" s="1160"/>
      <c r="DE187" s="1160"/>
      <c r="DF187" s="1160"/>
      <c r="DG187" s="1160"/>
      <c r="DH187" s="1160"/>
      <c r="DI187" s="1160"/>
      <c r="DJ187" s="1160"/>
      <c r="DK187" s="1171"/>
      <c r="DL187" s="1160"/>
      <c r="DM187" s="1160"/>
      <c r="DN187" s="1160"/>
      <c r="DO187" s="1160"/>
      <c r="DP187" s="1160"/>
      <c r="DQ187" s="1160"/>
      <c r="DR187" s="1160"/>
      <c r="DS187" s="1160"/>
      <c r="DT187" s="1160"/>
      <c r="DU187" s="1160"/>
      <c r="DV187" s="1160"/>
      <c r="DW187" s="1160"/>
      <c r="DX187" s="1160"/>
      <c r="DY187" s="1160"/>
      <c r="DZ187" s="1160"/>
      <c r="EA187" s="1160"/>
      <c r="EB187" s="1160"/>
    </row>
    <row r="188" spans="1:132" x14ac:dyDescent="0.2">
      <c r="A188" s="1160"/>
      <c r="B188" s="1160"/>
      <c r="C188" s="1160"/>
      <c r="D188" s="1160"/>
      <c r="E188" s="1170"/>
      <c r="F188" s="1170"/>
      <c r="G188" s="1170"/>
      <c r="H188" s="1170"/>
      <c r="I188" s="1170"/>
      <c r="J188" s="1170"/>
      <c r="K188" s="1170"/>
      <c r="L188" s="1170"/>
      <c r="M188" s="1170"/>
      <c r="N188" s="1170"/>
      <c r="O188" s="1170"/>
      <c r="P188" s="1170"/>
      <c r="Q188" s="1170"/>
      <c r="R188" s="1170"/>
      <c r="S188" s="1170"/>
      <c r="T188" s="1170"/>
      <c r="U188" s="1170"/>
      <c r="V188" s="1170"/>
      <c r="W188" s="1170"/>
      <c r="X188" s="1170"/>
      <c r="Y188" s="1170"/>
      <c r="Z188" s="1170"/>
      <c r="AA188" s="1170"/>
      <c r="AB188" s="1170"/>
      <c r="AC188" s="1170"/>
      <c r="AD188" s="1170"/>
      <c r="AE188" s="1170"/>
      <c r="AF188" s="1170"/>
      <c r="AG188" s="1170"/>
      <c r="AH188" s="1170"/>
      <c r="AI188" s="1170"/>
      <c r="AJ188" s="1170"/>
      <c r="AK188" s="1170" t="s">
        <v>541</v>
      </c>
      <c r="AL188" s="1170"/>
      <c r="AM188" s="1187">
        <f ca="1">(AE185+AH146)*$AM$189</f>
        <v>0</v>
      </c>
      <c r="AN188" s="1170"/>
      <c r="AO188" s="1170"/>
      <c r="AP188" s="1170"/>
      <c r="AQ188" s="1170"/>
      <c r="AR188" s="1170"/>
      <c r="AS188" s="1186" t="str">
        <f>CokingRefineryCalcs!C630</f>
        <v>Vol Flow</v>
      </c>
      <c r="AT188" s="1170" t="str">
        <f ca="1">CokingRefineryCalcs!D630</f>
        <v>m^3/d</v>
      </c>
      <c r="AU188" s="1170">
        <f ca="1">CokingRefineryCalcs!G630</f>
        <v>1.5898729999984102E-15</v>
      </c>
      <c r="AV188" s="1170"/>
      <c r="AW188" s="1170"/>
      <c r="AX188" s="1170" t="s">
        <v>224</v>
      </c>
      <c r="AY188" s="1170"/>
      <c r="AZ188" s="1187">
        <f ca="1">AM186*$AZ$191</f>
        <v>0</v>
      </c>
      <c r="BA188" s="1170"/>
      <c r="BB188" s="1170"/>
      <c r="BC188" s="1170"/>
      <c r="BD188" s="1170"/>
      <c r="BE188" s="1170"/>
      <c r="BF188" s="1170"/>
      <c r="BG188" s="1170"/>
      <c r="BH188" s="1170"/>
      <c r="BI188" s="1170"/>
      <c r="BJ188" s="1170" t="s">
        <v>485</v>
      </c>
      <c r="BK188" s="1170"/>
      <c r="BL188" s="1187">
        <f ca="1">(BD250+BG216)*$BL$190</f>
        <v>6.7168591553405072E-17</v>
      </c>
      <c r="BM188" s="1170"/>
      <c r="BN188" s="1170"/>
      <c r="BO188" s="1170"/>
      <c r="BP188" s="1170"/>
      <c r="BQ188" s="1170"/>
      <c r="BR188" s="1170"/>
      <c r="BS188" s="1170"/>
      <c r="BT188" s="1170"/>
      <c r="BU188" s="1170"/>
      <c r="BV188" s="1170"/>
      <c r="BW188" s="1182" t="str">
        <f>CokingRefineryCalcs!C646</f>
        <v>Mass Flow</v>
      </c>
      <c r="BX188" s="1170" t="str">
        <f>CokingRefineryCalcs!D646</f>
        <v>kg/d</v>
      </c>
      <c r="BY188" s="1170">
        <f ca="1">CokingRefineryCalcs!K646</f>
        <v>5.1664320492357097E-17</v>
      </c>
      <c r="BZ188" s="1170"/>
      <c r="CA188" s="1170"/>
      <c r="CB188" s="1170"/>
      <c r="CC188" s="1170"/>
      <c r="CD188" s="1170"/>
      <c r="CE188" s="1170"/>
      <c r="CF188" s="1170"/>
      <c r="CG188" s="1170"/>
      <c r="CH188" s="1170"/>
      <c r="CI188" s="1170"/>
      <c r="CJ188" s="1170"/>
      <c r="CK188" s="1170" t="s">
        <v>541</v>
      </c>
      <c r="CL188" s="1170"/>
      <c r="CM188" s="1187">
        <f ca="1">(CC255+CF218)*$CM$190</f>
        <v>0</v>
      </c>
      <c r="CN188" s="1170"/>
      <c r="CO188" s="1186"/>
      <c r="CP188" s="1170"/>
      <c r="CQ188" s="1170"/>
      <c r="CR188" s="1170"/>
      <c r="CS188" s="1170"/>
      <c r="CT188" s="1170"/>
      <c r="CU188" s="1170"/>
      <c r="CV188" s="1170"/>
      <c r="CW188" s="1170"/>
      <c r="CX188" s="1170"/>
      <c r="CY188" s="1160"/>
      <c r="CZ188" s="1160"/>
      <c r="DA188" s="1160"/>
      <c r="DB188" s="1160"/>
      <c r="DC188" s="1160"/>
      <c r="DD188" s="1160"/>
      <c r="DE188" s="1160"/>
      <c r="DF188" s="1160"/>
      <c r="DG188" s="1160"/>
      <c r="DH188" s="1160"/>
      <c r="DI188" s="1160"/>
      <c r="DJ188" s="1160"/>
      <c r="DK188" s="1171"/>
      <c r="DL188" s="1160"/>
      <c r="DM188" s="1160"/>
      <c r="DN188" s="1160"/>
      <c r="DO188" s="1160"/>
      <c r="DP188" s="1160"/>
      <c r="DQ188" s="1160"/>
      <c r="DR188" s="1160"/>
      <c r="DS188" s="1160"/>
      <c r="DT188" s="1160"/>
      <c r="DU188" s="1160"/>
      <c r="DV188" s="1160"/>
      <c r="DW188" s="1160"/>
      <c r="DX188" s="1160"/>
      <c r="DY188" s="1160"/>
      <c r="DZ188" s="1160"/>
      <c r="EA188" s="1160"/>
      <c r="EB188" s="1160"/>
    </row>
    <row r="189" spans="1:132" x14ac:dyDescent="0.2">
      <c r="A189" s="1160"/>
      <c r="B189" s="1160"/>
      <c r="C189" s="1160"/>
      <c r="D189" s="1160"/>
      <c r="E189" s="1170"/>
      <c r="F189" s="1170"/>
      <c r="G189" s="1170"/>
      <c r="H189" s="1170"/>
      <c r="I189" s="1170"/>
      <c r="J189" s="1170"/>
      <c r="K189" s="1170"/>
      <c r="L189" s="1170"/>
      <c r="M189" s="1170"/>
      <c r="N189" s="1170"/>
      <c r="O189" s="1170"/>
      <c r="P189" s="1170"/>
      <c r="Q189" s="1170"/>
      <c r="R189" s="1170"/>
      <c r="S189" s="1170"/>
      <c r="T189" s="1170"/>
      <c r="U189" s="1170"/>
      <c r="V189" s="1170"/>
      <c r="W189" s="1170"/>
      <c r="X189" s="1170"/>
      <c r="Y189" s="1170"/>
      <c r="Z189" s="1170"/>
      <c r="AA189" s="1170"/>
      <c r="AB189" s="1170"/>
      <c r="AC189" s="1170"/>
      <c r="AD189" s="1170"/>
      <c r="AE189" s="1170"/>
      <c r="AF189" s="1170"/>
      <c r="AG189" s="1170"/>
      <c r="AH189" s="1170"/>
      <c r="AI189" s="1170"/>
      <c r="AJ189" s="1170"/>
      <c r="AK189" s="1180" t="s">
        <v>1065</v>
      </c>
      <c r="AL189" s="1170"/>
      <c r="AM189" s="1170">
        <f ca="1">IF(OR(CokingRefineryConfig=1,CokingRefineryConfig=2,CokingRefineryConfig=3),IF(CokingRefineryPFD!E47=TRUE,IF((AM144+AM181+CokingRefineryPFD!AN293+DD286)=0,0,AM181/(AM144+AM181+CokingRefineryPFD!AN293+DD286)),IF((AM144+AM181)=0,0,AM181/(AM144+AM181))),IF((AM144+AM181+AL245)=0,0,AM181/(AM144+AM181+AL245+DD286)))</f>
        <v>0</v>
      </c>
      <c r="AN189" s="1170"/>
      <c r="AO189" s="1170"/>
      <c r="AP189" s="1170"/>
      <c r="AQ189" s="1170"/>
      <c r="AR189" s="1170"/>
      <c r="AS189" s="1186" t="str">
        <f>CokingRefineryCalcs!C631</f>
        <v>Mass Flow</v>
      </c>
      <c r="AT189" s="1170" t="str">
        <f>CokingRefineryCalcs!D631</f>
        <v>kg/d</v>
      </c>
      <c r="AU189" s="1170">
        <f ca="1">CokingRefineryCalcs!G631</f>
        <v>9.9999999999900004E-15</v>
      </c>
      <c r="AV189" s="1170"/>
      <c r="AW189" s="1170"/>
      <c r="AX189" s="1170" t="s">
        <v>485</v>
      </c>
      <c r="AY189" s="1170"/>
      <c r="AZ189" s="1187">
        <f ca="1">AM187*$AZ$191</f>
        <v>0</v>
      </c>
      <c r="BA189" s="1170"/>
      <c r="BB189" s="1170"/>
      <c r="BC189" s="1170"/>
      <c r="BD189" s="1170"/>
      <c r="BE189" s="1170"/>
      <c r="BF189" s="1170"/>
      <c r="BG189" s="1170"/>
      <c r="BH189" s="1170"/>
      <c r="BI189" s="1170"/>
      <c r="BJ189" s="1170" t="s">
        <v>541</v>
      </c>
      <c r="BK189" s="1170"/>
      <c r="BL189" s="1187">
        <f ca="1">(BD251+BG217)*$BL$190</f>
        <v>0</v>
      </c>
      <c r="BM189" s="1170"/>
      <c r="BN189" s="1170"/>
      <c r="BO189" s="1170"/>
      <c r="BP189" s="1170"/>
      <c r="BQ189" s="1170"/>
      <c r="BR189" s="1170"/>
      <c r="BS189" s="1170"/>
      <c r="BT189" s="1170"/>
      <c r="BU189" s="1170"/>
      <c r="BV189" s="1170"/>
      <c r="BW189" s="1182" t="str">
        <f>CokingRefineryCalcs!C647</f>
        <v xml:space="preserve">Sulphur </v>
      </c>
      <c r="BX189" s="1170" t="str">
        <f ca="1">CokingRefineryCalcs!D647</f>
        <v>wt%</v>
      </c>
      <c r="BY189" s="1170">
        <f ca="1">CokingRefineryCalcs!K647</f>
        <v>0</v>
      </c>
      <c r="BZ189" s="1170"/>
      <c r="CA189" s="1170"/>
      <c r="CB189" s="1170"/>
      <c r="CC189" s="1170"/>
      <c r="CD189" s="1170"/>
      <c r="CE189" s="1170"/>
      <c r="CF189" s="1170"/>
      <c r="CG189" s="1170"/>
      <c r="CH189" s="1170"/>
      <c r="CI189" s="1170"/>
      <c r="CJ189" s="1170"/>
      <c r="CK189" s="1170" t="str">
        <f>CA256</f>
        <v>Catalyst Coke</v>
      </c>
      <c r="CL189" s="1170"/>
      <c r="CM189" s="1187">
        <f ca="1">(CC256)*$CM$190</f>
        <v>3.2022715864708398E-15</v>
      </c>
      <c r="CN189" s="1170"/>
      <c r="CO189" s="1170"/>
      <c r="CP189" s="1170"/>
      <c r="CQ189" s="1170"/>
      <c r="CR189" s="1170"/>
      <c r="CS189" s="1170"/>
      <c r="CT189" s="1170"/>
      <c r="CU189" s="1170"/>
      <c r="CV189" s="1170"/>
      <c r="CW189" s="1170"/>
      <c r="CX189" s="1170"/>
      <c r="CY189" s="1160"/>
      <c r="CZ189" s="1160"/>
      <c r="DA189" s="1160"/>
      <c r="DB189" s="1160"/>
      <c r="DC189" s="1160"/>
      <c r="DD189" s="1160"/>
      <c r="DE189" s="1160"/>
      <c r="DF189" s="1160"/>
      <c r="DG189" s="1160"/>
      <c r="DH189" s="1160"/>
      <c r="DI189" s="1160"/>
      <c r="DJ189" s="1160"/>
      <c r="DK189" s="1171"/>
      <c r="DL189" s="1160"/>
      <c r="DM189" s="1160"/>
      <c r="DN189" s="1160"/>
      <c r="DO189" s="1160"/>
      <c r="DP189" s="1160"/>
      <c r="DQ189" s="1160"/>
      <c r="DR189" s="1160"/>
      <c r="DS189" s="1160"/>
      <c r="DT189" s="1160"/>
      <c r="DU189" s="1160"/>
      <c r="DV189" s="1160"/>
      <c r="DW189" s="1160"/>
      <c r="DX189" s="1160"/>
      <c r="DY189" s="1160"/>
      <c r="DZ189" s="1160"/>
      <c r="EA189" s="1160"/>
      <c r="EB189" s="1160"/>
    </row>
    <row r="190" spans="1:132" x14ac:dyDescent="0.2">
      <c r="A190" s="1160"/>
      <c r="B190" s="1160"/>
      <c r="C190" s="1160"/>
      <c r="D190" s="1160"/>
      <c r="E190" s="1170"/>
      <c r="F190" s="1170"/>
      <c r="G190" s="1170"/>
      <c r="H190" s="1170"/>
      <c r="I190" s="1170"/>
      <c r="J190" s="1170"/>
      <c r="K190" s="1170"/>
      <c r="L190" s="1170"/>
      <c r="M190" s="1170"/>
      <c r="N190" s="1170"/>
      <c r="O190" s="1170"/>
      <c r="P190" s="1170"/>
      <c r="Q190" s="1170"/>
      <c r="R190" s="1170"/>
      <c r="S190" s="1170"/>
      <c r="T190" s="1170"/>
      <c r="U190" s="1170"/>
      <c r="V190" s="1170"/>
      <c r="W190" s="1170"/>
      <c r="X190" s="1170"/>
      <c r="Y190" s="1170"/>
      <c r="Z190" s="1170"/>
      <c r="AA190" s="1170"/>
      <c r="AB190" s="1170"/>
      <c r="AC190" s="1170"/>
      <c r="AD190" s="1170"/>
      <c r="AE190" s="1170"/>
      <c r="AF190" s="1170"/>
      <c r="AG190" s="1170"/>
      <c r="AH190" s="1170"/>
      <c r="AI190" s="1170"/>
      <c r="AJ190" s="1170"/>
      <c r="AK190" s="1197" t="s">
        <v>228</v>
      </c>
      <c r="AL190" s="1170"/>
      <c r="AM190" s="1170">
        <f ca="1">IF(OR(CokingRefineryConfig=1,CokingRefineryConfig=2,CokingRefineryConfig=3),IF(CokingRefineryPFD!E47=TRUE,AM173/AE169,AM173/(AE169-CokingRefineryPFD!AN285)),AM173/AE169)</f>
        <v>1</v>
      </c>
      <c r="AN190" s="1217"/>
      <c r="AO190" s="1170"/>
      <c r="AP190" s="1170"/>
      <c r="AQ190" s="1170"/>
      <c r="AR190" s="1170"/>
      <c r="AS190" s="1186" t="str">
        <f>CokingRefineryCalcs!C632</f>
        <v xml:space="preserve">Sulphur </v>
      </c>
      <c r="AT190" s="1170" t="str">
        <f ca="1">CokingRefineryCalcs!D632</f>
        <v>wt%</v>
      </c>
      <c r="AU190" s="1170">
        <f ca="1">CokingRefineryCalcs!G632</f>
        <v>0</v>
      </c>
      <c r="AV190" s="1170"/>
      <c r="AW190" s="1170"/>
      <c r="AX190" s="1170" t="s">
        <v>541</v>
      </c>
      <c r="AY190" s="1170"/>
      <c r="AZ190" s="1170">
        <f ca="1">AM188*$AZ$191</f>
        <v>0</v>
      </c>
      <c r="BA190" s="1170"/>
      <c r="BB190" s="1170"/>
      <c r="BC190" s="1170"/>
      <c r="BD190" s="1170"/>
      <c r="BE190" s="1170"/>
      <c r="BF190" s="1170"/>
      <c r="BG190" s="1170"/>
      <c r="BH190" s="1170"/>
      <c r="BI190" s="1170"/>
      <c r="BJ190" s="1180" t="s">
        <v>1065</v>
      </c>
      <c r="BK190" s="1170"/>
      <c r="BL190" s="1170">
        <f ca="1">BL182/(BL182+BK275)</f>
        <v>0.2191289476375104</v>
      </c>
      <c r="BM190" s="1170"/>
      <c r="BN190" s="1170"/>
      <c r="BO190" s="1170"/>
      <c r="BP190" s="1170"/>
      <c r="BQ190" s="1170"/>
      <c r="BR190" s="1170"/>
      <c r="BS190" s="1170"/>
      <c r="BT190" s="1170"/>
      <c r="BU190" s="1170"/>
      <c r="BV190" s="1170"/>
      <c r="BW190" s="1182" t="str">
        <f>CokingRefineryCalcs!C649</f>
        <v xml:space="preserve">API gravity </v>
      </c>
      <c r="BX190" s="1170"/>
      <c r="BY190" s="1170"/>
      <c r="BZ190" s="1170"/>
      <c r="CA190" s="1170"/>
      <c r="CB190" s="1170"/>
      <c r="CC190" s="1170"/>
      <c r="CD190" s="1170"/>
      <c r="CE190" s="1170"/>
      <c r="CF190" s="1170"/>
      <c r="CG190" s="1170"/>
      <c r="CH190" s="1170"/>
      <c r="CI190" s="1170"/>
      <c r="CJ190" s="1170"/>
      <c r="CK190" s="1180" t="s">
        <v>1066</v>
      </c>
      <c r="CL190" s="1170"/>
      <c r="CM190" s="1196">
        <f ca="1">IF(CokingRefineryPFD!E47=TRUE,CM191,CM180/(CM180+CU239+CJ254))</f>
        <v>7.8670901539216104E-2</v>
      </c>
      <c r="CN190" s="1170"/>
      <c r="CO190" s="1170"/>
      <c r="CP190" s="1170"/>
      <c r="CQ190" s="1170"/>
      <c r="CR190" s="1170"/>
      <c r="CS190" s="1170"/>
      <c r="CT190" s="1170"/>
      <c r="CU190" s="1170"/>
      <c r="CV190" s="1170"/>
      <c r="CW190" s="1170"/>
      <c r="CX190" s="1170"/>
      <c r="CY190" s="1160"/>
      <c r="CZ190" s="1160"/>
      <c r="DA190" s="1160"/>
      <c r="DB190" s="1160"/>
      <c r="DC190" s="1160"/>
      <c r="DD190" s="1160"/>
      <c r="DE190" s="1160"/>
      <c r="DF190" s="1160"/>
      <c r="DG190" s="1160"/>
      <c r="DH190" s="1160"/>
      <c r="DI190" s="1160"/>
      <c r="DJ190" s="1160"/>
      <c r="DK190" s="1171"/>
      <c r="DL190" s="1160"/>
      <c r="DM190" s="1160"/>
      <c r="DN190" s="1160"/>
      <c r="DO190" s="1160"/>
      <c r="DP190" s="1160"/>
      <c r="DQ190" s="1160"/>
      <c r="DR190" s="1160"/>
      <c r="DS190" s="1160"/>
      <c r="DT190" s="1160"/>
      <c r="DU190" s="1160"/>
      <c r="DV190" s="1160"/>
      <c r="DW190" s="1160"/>
      <c r="DX190" s="1160"/>
      <c r="DY190" s="1160"/>
      <c r="DZ190" s="1160"/>
      <c r="EA190" s="1160"/>
      <c r="EB190" s="1160"/>
    </row>
    <row r="191" spans="1:132" x14ac:dyDescent="0.2">
      <c r="A191" s="1160"/>
      <c r="B191" s="1160"/>
      <c r="C191" s="1160"/>
      <c r="D191" s="1160"/>
      <c r="E191" s="1170"/>
      <c r="F191" s="1170"/>
      <c r="G191" s="1170"/>
      <c r="H191" s="1170"/>
      <c r="I191" s="1170"/>
      <c r="J191" s="1170"/>
      <c r="K191" s="1170"/>
      <c r="L191" s="1170"/>
      <c r="M191" s="1170"/>
      <c r="N191" s="1170"/>
      <c r="O191" s="1170"/>
      <c r="P191" s="1170"/>
      <c r="Q191" s="1170"/>
      <c r="R191" s="1170"/>
      <c r="S191" s="1170"/>
      <c r="T191" s="1170"/>
      <c r="U191" s="1170"/>
      <c r="V191" s="1170"/>
      <c r="W191" s="1170"/>
      <c r="X191" s="1170"/>
      <c r="Y191" s="1170"/>
      <c r="Z191" s="1170"/>
      <c r="AA191" s="1170"/>
      <c r="AB191" s="1170"/>
      <c r="AC191" s="1170"/>
      <c r="AD191" s="1170"/>
      <c r="AE191" s="1170"/>
      <c r="AF191" s="1170"/>
      <c r="AG191" s="1170"/>
      <c r="AH191" s="1170"/>
      <c r="AI191" s="1170"/>
      <c r="AJ191" s="1170"/>
      <c r="AK191" s="1170"/>
      <c r="AL191" s="1170"/>
      <c r="AM191" s="1170"/>
      <c r="AN191" s="1170"/>
      <c r="AO191" s="1170"/>
      <c r="AP191" s="1170"/>
      <c r="AQ191" s="1170"/>
      <c r="AR191" s="1170"/>
      <c r="AS191" s="1186" t="str">
        <f>CokingRefineryCalcs!C634</f>
        <v xml:space="preserve">API gravity </v>
      </c>
      <c r="AT191" s="1170"/>
      <c r="AU191" s="1170">
        <f ca="1">CokingRefineryCalcs!G634</f>
        <v>0</v>
      </c>
      <c r="AV191" s="1170"/>
      <c r="AW191" s="1170"/>
      <c r="AX191" s="1180" t="s">
        <v>1065</v>
      </c>
      <c r="AY191" s="1170"/>
      <c r="AZ191" s="1170">
        <f ca="1">IF(AM181=0,0,AU197/AM181)</f>
        <v>0</v>
      </c>
      <c r="BA191" s="1170"/>
      <c r="BB191" s="1170"/>
      <c r="BC191" s="1170"/>
      <c r="BD191" s="1170"/>
      <c r="BE191" s="1170"/>
      <c r="BF191" s="1170"/>
      <c r="BG191" s="1170"/>
      <c r="BH191" s="1170"/>
      <c r="BI191" s="1170"/>
      <c r="BJ191" s="1239" t="s">
        <v>228</v>
      </c>
      <c r="BK191" s="1170"/>
      <c r="BL191" s="1170">
        <f ca="1">BL174/(BD235)</f>
        <v>0.20460443148043556</v>
      </c>
      <c r="BM191" s="1170"/>
      <c r="BN191" s="1170"/>
      <c r="BO191" s="1170"/>
      <c r="BP191" s="1170"/>
      <c r="BQ191" s="1170"/>
      <c r="BR191" s="1170"/>
      <c r="BS191" s="1170"/>
      <c r="BT191" s="1170"/>
      <c r="BU191" s="1170"/>
      <c r="BV191" s="1170"/>
      <c r="BW191" s="1182" t="str">
        <f>CokingRefineryCalcs!C650</f>
        <v>Density</v>
      </c>
      <c r="BX191" s="1170" t="str">
        <f ca="1">CokingRefineryCalcs!D650</f>
        <v>kg/m^3</v>
      </c>
      <c r="BY191" s="1170">
        <f>'Energy &amp; Unit Conversions'!$E$27/'Energy &amp; Unit Conversions'!$E$93/'Energy &amp; Unit Conversions'!$G$81</f>
        <v>1.1583209290581402</v>
      </c>
      <c r="BZ191" s="1170"/>
      <c r="CA191" s="1170"/>
      <c r="CB191" s="1170"/>
      <c r="CC191" s="1170"/>
      <c r="CD191" s="1170"/>
      <c r="CE191" s="1170"/>
      <c r="CF191" s="1170"/>
      <c r="CG191" s="1170"/>
      <c r="CH191" s="1170"/>
      <c r="CI191" s="1170"/>
      <c r="CJ191" s="1170"/>
      <c r="CK191" s="1180" t="s">
        <v>1065</v>
      </c>
      <c r="CL191" s="1170"/>
      <c r="CM191" s="1170">
        <f ca="1">CM180/(CM180+CU239+CJ254+CP279)</f>
        <v>7.0216756073095216E-2</v>
      </c>
      <c r="CN191" s="1170"/>
      <c r="CO191" s="1170"/>
      <c r="CP191" s="1170"/>
      <c r="CQ191" s="1170"/>
      <c r="CR191" s="1170"/>
      <c r="CS191" s="1170"/>
      <c r="CT191" s="1170"/>
      <c r="CU191" s="1170"/>
      <c r="CV191" s="1170"/>
      <c r="CW191" s="1170"/>
      <c r="CX191" s="1170"/>
      <c r="CY191" s="1160"/>
      <c r="CZ191" s="1160"/>
      <c r="DA191" s="1160"/>
      <c r="DB191" s="1160"/>
      <c r="DC191" s="1160"/>
      <c r="DD191" s="1160"/>
      <c r="DE191" s="1160"/>
      <c r="DF191" s="1160"/>
      <c r="DG191" s="1160"/>
      <c r="DH191" s="1160"/>
      <c r="DI191" s="1160"/>
      <c r="DJ191" s="1160"/>
      <c r="DK191" s="1171"/>
      <c r="DL191" s="1160"/>
      <c r="DM191" s="1160"/>
      <c r="DN191" s="1160"/>
      <c r="DO191" s="1160"/>
      <c r="DP191" s="1160"/>
      <c r="DQ191" s="1160"/>
      <c r="DR191" s="1160"/>
      <c r="DS191" s="1160"/>
      <c r="DT191" s="1160"/>
      <c r="DU191" s="1160"/>
      <c r="DV191" s="1160"/>
      <c r="DW191" s="1160"/>
      <c r="DX191" s="1160"/>
      <c r="DY191" s="1160"/>
      <c r="DZ191" s="1160"/>
      <c r="EA191" s="1160"/>
      <c r="EB191" s="1160"/>
    </row>
    <row r="192" spans="1:132" ht="18" customHeight="1" x14ac:dyDescent="0.4">
      <c r="A192" s="1160"/>
      <c r="B192" s="1160"/>
      <c r="C192" s="1160"/>
      <c r="D192" s="1160"/>
      <c r="E192" s="1170"/>
      <c r="F192" s="1170"/>
      <c r="G192" s="1170"/>
      <c r="H192" s="1170"/>
      <c r="I192" s="1170"/>
      <c r="J192" s="1170"/>
      <c r="K192" s="1170"/>
      <c r="L192" s="1170"/>
      <c r="M192" s="1170"/>
      <c r="N192" s="1170"/>
      <c r="O192" s="1170"/>
      <c r="P192" s="1170"/>
      <c r="Q192" s="1170"/>
      <c r="R192" s="1170"/>
      <c r="S192" s="1170"/>
      <c r="T192" s="1170"/>
      <c r="U192" s="1170"/>
      <c r="V192" s="1170"/>
      <c r="W192" s="1170"/>
      <c r="X192" s="1170"/>
      <c r="Y192" s="1170"/>
      <c r="Z192" s="1170"/>
      <c r="AA192" s="1170"/>
      <c r="AB192" s="1170"/>
      <c r="AC192" s="1170"/>
      <c r="AD192" s="1170"/>
      <c r="AE192" s="1170"/>
      <c r="AF192" s="1170"/>
      <c r="AG192" s="1170"/>
      <c r="AH192" s="1170"/>
      <c r="AI192" s="1170"/>
      <c r="AJ192" s="1170"/>
      <c r="AK192" s="1170"/>
      <c r="AL192" s="1170"/>
      <c r="AM192" s="1170"/>
      <c r="AN192" s="1170"/>
      <c r="AO192" s="1170"/>
      <c r="AP192" s="1170"/>
      <c r="AQ192" s="1170"/>
      <c r="AR192" s="1170"/>
      <c r="AS192" s="1186" t="str">
        <f>CokingRefineryCalcs!C635</f>
        <v>Density</v>
      </c>
      <c r="AT192" s="1170" t="str">
        <f ca="1">CokingRefineryCalcs!D635</f>
        <v>kg/m^3</v>
      </c>
      <c r="AU192" s="1170">
        <f ca="1">CokingRefineryCalcs!G635</f>
        <v>0</v>
      </c>
      <c r="AV192" s="1170"/>
      <c r="AW192" s="1170"/>
      <c r="AX192" s="1170"/>
      <c r="AY192" s="1170"/>
      <c r="AZ192" s="1170"/>
      <c r="BA192" s="1170"/>
      <c r="BB192" s="1170"/>
      <c r="BC192" s="1170"/>
      <c r="BD192" s="1170"/>
      <c r="BE192" s="1265"/>
      <c r="BF192" s="1265"/>
      <c r="BG192" s="1265"/>
      <c r="BH192" s="1265"/>
      <c r="BI192" s="1265"/>
      <c r="BJ192" s="1265"/>
      <c r="BK192" s="1265"/>
      <c r="BL192" s="1170"/>
      <c r="BM192" s="1170"/>
      <c r="BN192" s="1170"/>
      <c r="BO192" s="1170"/>
      <c r="BP192" s="1170"/>
      <c r="BQ192" s="1170"/>
      <c r="BR192" s="1170"/>
      <c r="BS192" s="1170"/>
      <c r="BT192" s="1170"/>
      <c r="BU192" s="1170"/>
      <c r="BV192" s="1170"/>
      <c r="BW192" s="1182" t="str">
        <f>CokingRefineryCalcs!C651</f>
        <v>Hydrogen</v>
      </c>
      <c r="BX192" s="1170" t="str">
        <f ca="1">CokingRefineryCalcs!D651</f>
        <v>wt%</v>
      </c>
      <c r="BY192" s="1170">
        <f ca="1">CokingRefineryCalcs!K651</f>
        <v>18.309736506983477</v>
      </c>
      <c r="BZ192" s="1170"/>
      <c r="CA192" s="1170"/>
      <c r="CB192" s="1170"/>
      <c r="CC192" s="1170"/>
      <c r="CD192" s="1170"/>
      <c r="CE192" s="1170"/>
      <c r="CF192" s="1170"/>
      <c r="CG192" s="1170"/>
      <c r="CH192" s="1170"/>
      <c r="CI192" s="1170"/>
      <c r="CJ192" s="1170"/>
      <c r="CK192" s="1239" t="s">
        <v>228</v>
      </c>
      <c r="CL192" s="1170"/>
      <c r="CM192" s="1170">
        <f ca="1">CM172/CC239</f>
        <v>5.4406964091403699E-2</v>
      </c>
      <c r="CN192" s="1170"/>
      <c r="CO192" s="1170"/>
      <c r="CP192" s="1170"/>
      <c r="CQ192" s="1170"/>
      <c r="CR192" s="1170"/>
      <c r="CS192" s="1170"/>
      <c r="CT192" s="1170"/>
      <c r="CU192" s="1170"/>
      <c r="CV192" s="1170"/>
      <c r="CW192" s="1170"/>
      <c r="CX192" s="1170"/>
      <c r="CY192" s="1160"/>
      <c r="CZ192" s="1160"/>
      <c r="DA192" s="1160"/>
      <c r="DB192" s="1160"/>
      <c r="DC192" s="1160"/>
      <c r="DD192" s="1160"/>
      <c r="DE192" s="1160"/>
      <c r="DF192" s="1160"/>
      <c r="DG192" s="1160"/>
      <c r="DH192" s="1160"/>
      <c r="DI192" s="1160"/>
      <c r="DJ192" s="1160"/>
      <c r="DK192" s="1171"/>
      <c r="DL192" s="1160"/>
      <c r="DM192" s="1160"/>
      <c r="DN192" s="1160"/>
      <c r="DO192" s="1160"/>
      <c r="DP192" s="1160"/>
      <c r="DQ192" s="1160"/>
      <c r="DR192" s="1160"/>
      <c r="DS192" s="1160"/>
      <c r="DT192" s="1160"/>
      <c r="DU192" s="1160"/>
      <c r="DV192" s="1160"/>
      <c r="DW192" s="1160"/>
      <c r="DX192" s="1160"/>
      <c r="DY192" s="1160"/>
      <c r="DZ192" s="1160"/>
      <c r="EA192" s="1160"/>
      <c r="EB192" s="1160"/>
    </row>
    <row r="193" spans="1:132" ht="24.75" customHeight="1" x14ac:dyDescent="0.2">
      <c r="A193" s="1160"/>
      <c r="B193" s="1160"/>
      <c r="C193" s="1160"/>
      <c r="D193" s="1160"/>
      <c r="E193" s="1170"/>
      <c r="F193" s="1170"/>
      <c r="G193" s="1170"/>
      <c r="H193" s="1170"/>
      <c r="I193" s="1170"/>
      <c r="J193" s="1170"/>
      <c r="K193" s="1170"/>
      <c r="L193" s="1170"/>
      <c r="M193" s="1170"/>
      <c r="N193" s="1170"/>
      <c r="O193" s="1170"/>
      <c r="P193" s="1170"/>
      <c r="Q193" s="1170"/>
      <c r="R193" s="1170"/>
      <c r="S193" s="1170"/>
      <c r="T193" s="1170"/>
      <c r="U193" s="1170"/>
      <c r="V193" s="1170"/>
      <c r="W193" s="1170"/>
      <c r="X193" s="1170"/>
      <c r="Y193" s="1170"/>
      <c r="Z193" s="1170"/>
      <c r="AA193" s="1170"/>
      <c r="AB193" s="1170"/>
      <c r="AC193" s="1170"/>
      <c r="AD193" s="1170"/>
      <c r="AE193" s="1170"/>
      <c r="AF193" s="1170"/>
      <c r="AG193" s="1170"/>
      <c r="AH193" s="1170"/>
      <c r="AI193" s="1170"/>
      <c r="AJ193" s="1170"/>
      <c r="AK193" s="1170"/>
      <c r="AL193" s="1170"/>
      <c r="AM193" s="1170"/>
      <c r="AN193" s="1170"/>
      <c r="AO193" s="1170"/>
      <c r="AP193" s="1170"/>
      <c r="AQ193" s="1170"/>
      <c r="AR193" s="1170"/>
      <c r="AS193" s="1186" t="str">
        <f>CokingRefineryCalcs!C636</f>
        <v>Hydrogen</v>
      </c>
      <c r="AT193" s="1170" t="str">
        <f ca="1">CokingRefineryCalcs!D636</f>
        <v>wt%</v>
      </c>
      <c r="AU193" s="1170">
        <f ca="1">CokingRefineryCalcs!G636</f>
        <v>0</v>
      </c>
      <c r="AV193" s="1170"/>
      <c r="AW193" s="1170"/>
      <c r="AX193" s="1170"/>
      <c r="AY193" s="1170"/>
      <c r="AZ193" s="1170"/>
      <c r="BA193" s="1170"/>
      <c r="BB193" s="1170"/>
      <c r="BC193" s="1170"/>
      <c r="BD193" s="1170"/>
      <c r="BE193" s="1170"/>
      <c r="BF193" s="1170"/>
      <c r="BG193" s="1170"/>
      <c r="BH193" s="1170"/>
      <c r="BI193" s="1170"/>
      <c r="BJ193" s="1170"/>
      <c r="BK193" s="1170"/>
      <c r="BL193" s="1170"/>
      <c r="BM193" s="1170"/>
      <c r="BN193" s="1170"/>
      <c r="BO193" s="1170"/>
      <c r="BP193" s="1170"/>
      <c r="BQ193" s="1170"/>
      <c r="BR193" s="1181" t="str">
        <f>CokingRefineryCalcs!I643</f>
        <v>Total Feed to FCC HT</v>
      </c>
      <c r="BS193" s="1170"/>
      <c r="BT193" s="1170"/>
      <c r="BU193" s="1170"/>
      <c r="BV193" s="1170"/>
      <c r="BW193" s="1182" t="str">
        <f>CokingRefineryCalcs!C652</f>
        <v>MCR</v>
      </c>
      <c r="BX193" s="1170" t="str">
        <f ca="1">CokingRefineryCalcs!D652</f>
        <v>wt%</v>
      </c>
      <c r="BY193" s="1170">
        <f>CokingRefineryCalcs!K652</f>
        <v>0</v>
      </c>
      <c r="BZ193" s="1170"/>
      <c r="CA193" s="1170"/>
      <c r="CB193" s="1170"/>
      <c r="CC193" s="1170"/>
      <c r="CD193" s="1170"/>
      <c r="CE193" s="1170"/>
      <c r="CF193" s="1170"/>
      <c r="CG193" s="1170"/>
      <c r="CH193" s="1170"/>
      <c r="CI193" s="1170"/>
      <c r="CJ193" s="1170"/>
      <c r="CK193" s="1170"/>
      <c r="CL193" s="1170"/>
      <c r="CM193" s="1170"/>
      <c r="CN193" s="1170"/>
      <c r="CO193" s="1170"/>
      <c r="CP193" s="1170"/>
      <c r="CQ193" s="1170"/>
      <c r="CR193" s="1170"/>
      <c r="CS193" s="1170"/>
      <c r="CT193" s="1170"/>
      <c r="CU193" s="1170"/>
      <c r="CV193" s="1170"/>
      <c r="CW193" s="1170"/>
      <c r="CX193" s="1170"/>
      <c r="CY193" s="1160"/>
      <c r="CZ193" s="1160"/>
      <c r="DA193" s="1160"/>
      <c r="DB193" s="1160"/>
      <c r="DC193" s="1160"/>
      <c r="DD193" s="1160"/>
      <c r="DE193" s="1160"/>
      <c r="DF193" s="1160"/>
      <c r="DG193" s="1160"/>
      <c r="DH193" s="1160"/>
      <c r="DI193" s="1160"/>
      <c r="DJ193" s="1160"/>
      <c r="DK193" s="1171"/>
      <c r="DL193" s="1160"/>
      <c r="DM193" s="1160"/>
      <c r="DN193" s="1160"/>
      <c r="DO193" s="1160"/>
      <c r="DP193" s="1160"/>
      <c r="DQ193" s="1160"/>
      <c r="DR193" s="1160"/>
      <c r="DS193" s="1160"/>
      <c r="DT193" s="1160"/>
      <c r="DU193" s="1160"/>
      <c r="DV193" s="1160"/>
      <c r="DW193" s="1160"/>
      <c r="DX193" s="1160"/>
      <c r="DY193" s="1160"/>
      <c r="DZ193" s="1160"/>
      <c r="EA193" s="1160"/>
      <c r="EB193" s="1160"/>
    </row>
    <row r="194" spans="1:132" x14ac:dyDescent="0.2">
      <c r="A194" s="1160"/>
      <c r="B194" s="1160"/>
      <c r="C194" s="1160"/>
      <c r="D194" s="1160"/>
      <c r="E194" s="1170"/>
      <c r="F194" s="1170"/>
      <c r="G194" s="1170"/>
      <c r="H194" s="1170"/>
      <c r="I194" s="1170"/>
      <c r="J194" s="1170"/>
      <c r="K194" s="1170"/>
      <c r="L194" s="1170"/>
      <c r="M194" s="1170"/>
      <c r="N194" s="1170"/>
      <c r="O194" s="1170"/>
      <c r="P194" s="1170"/>
      <c r="Q194" s="1170"/>
      <c r="R194" s="1170"/>
      <c r="S194" s="1170"/>
      <c r="T194" s="1170"/>
      <c r="U194" s="1170"/>
      <c r="V194" s="1170"/>
      <c r="W194" s="1170"/>
      <c r="X194" s="1170"/>
      <c r="Y194" s="1170"/>
      <c r="Z194" s="1170"/>
      <c r="AA194" s="1170"/>
      <c r="AB194" s="1170"/>
      <c r="AC194" s="1170"/>
      <c r="AD194" s="1170"/>
      <c r="AE194" s="1170"/>
      <c r="AF194" s="1170"/>
      <c r="AG194" s="1170"/>
      <c r="AH194" s="1170"/>
      <c r="AI194" s="1170"/>
      <c r="AJ194" s="1170"/>
      <c r="AK194" s="1170"/>
      <c r="AL194" s="1170"/>
      <c r="AM194" s="1170"/>
      <c r="AN194" s="1170"/>
      <c r="AO194" s="1170"/>
      <c r="AP194" s="1170"/>
      <c r="AQ194" s="1170"/>
      <c r="AR194" s="1170"/>
      <c r="AS194" s="1186" t="str">
        <f>CokingRefineryCalcs!C637</f>
        <v>MCR</v>
      </c>
      <c r="AT194" s="1170" t="str">
        <f ca="1">CokingRefineryCalcs!D637</f>
        <v>wt%</v>
      </c>
      <c r="AU194" s="1170" t="str">
        <f ca="1">CokingRefineryCalcs!G637</f>
        <v/>
      </c>
      <c r="AV194" s="1170"/>
      <c r="AW194" s="1170"/>
      <c r="AX194" s="1170"/>
      <c r="AY194" s="1170"/>
      <c r="AZ194" s="1170"/>
      <c r="BA194" s="1170"/>
      <c r="BB194" s="1170"/>
      <c r="BC194" s="1170"/>
      <c r="BD194" s="1170"/>
      <c r="BE194" s="1170"/>
      <c r="BF194" s="1170"/>
      <c r="BG194" s="1170"/>
      <c r="BH194" s="1170"/>
      <c r="BI194" s="1170"/>
      <c r="BJ194" s="1170"/>
      <c r="BK194" s="1170"/>
      <c r="BL194" s="1170"/>
      <c r="BM194" s="1170"/>
      <c r="BN194" s="1170"/>
      <c r="BO194" s="1170"/>
      <c r="BP194" s="1170"/>
      <c r="BQ194" s="1170"/>
      <c r="BR194" s="1182" t="str">
        <f>CokingRefineryCalcs!C643</f>
        <v>Property</v>
      </c>
      <c r="BS194" s="1182" t="str">
        <f>CokingRefineryCalcs!D643</f>
        <v>Units</v>
      </c>
      <c r="BT194" s="1170"/>
      <c r="BU194" s="1170"/>
      <c r="BV194" s="1170"/>
      <c r="BW194" s="1186" t="s">
        <v>1698</v>
      </c>
      <c r="BX194" s="1199" t="s">
        <v>447</v>
      </c>
      <c r="BY194" s="1199">
        <f>'Energy &amp; Unit Conversions'!$Q$27</f>
        <v>46.898519302437805</v>
      </c>
      <c r="BZ194" s="1170"/>
      <c r="CA194" s="1170"/>
      <c r="CB194" s="1170"/>
      <c r="CC194" s="1170"/>
      <c r="CD194" s="1170"/>
      <c r="CE194" s="1170"/>
      <c r="CF194" s="1170"/>
      <c r="CG194" s="1170"/>
      <c r="CH194" s="1170"/>
      <c r="CI194" s="1170"/>
      <c r="CJ194" s="1170"/>
      <c r="CK194" s="1170"/>
      <c r="CL194" s="1170"/>
      <c r="CM194" s="1170"/>
      <c r="CN194" s="1170"/>
      <c r="CO194" s="1170"/>
      <c r="CP194" s="1170"/>
      <c r="CQ194" s="1170"/>
      <c r="CR194" s="1170"/>
      <c r="CS194" s="1170"/>
      <c r="CT194" s="1170"/>
      <c r="CU194" s="1170"/>
      <c r="CV194" s="1170"/>
      <c r="CW194" s="1170"/>
      <c r="CX194" s="1170"/>
      <c r="CY194" s="1160"/>
      <c r="CZ194" s="1160"/>
      <c r="DA194" s="1160"/>
      <c r="DB194" s="1160"/>
      <c r="DC194" s="1160"/>
      <c r="DD194" s="1160"/>
      <c r="DE194" s="1160"/>
      <c r="DF194" s="1160"/>
      <c r="DG194" s="1160"/>
      <c r="DH194" s="1160"/>
      <c r="DI194" s="1160"/>
      <c r="DJ194" s="1160"/>
      <c r="DK194" s="1171"/>
      <c r="DL194" s="1160"/>
      <c r="DM194" s="1160"/>
      <c r="DN194" s="1160"/>
      <c r="DO194" s="1160"/>
      <c r="DP194" s="1160"/>
      <c r="DQ194" s="1160"/>
      <c r="DR194" s="1160"/>
      <c r="DS194" s="1160"/>
      <c r="DT194" s="1160"/>
      <c r="DU194" s="1160"/>
      <c r="DV194" s="1160"/>
      <c r="DW194" s="1160"/>
      <c r="DX194" s="1160"/>
      <c r="DY194" s="1160"/>
      <c r="DZ194" s="1160"/>
      <c r="EA194" s="1160"/>
      <c r="EB194" s="1160"/>
    </row>
    <row r="195" spans="1:132" ht="26.25" x14ac:dyDescent="0.4">
      <c r="A195" s="1160"/>
      <c r="B195" s="1160"/>
      <c r="C195" s="1160"/>
      <c r="D195" s="1160"/>
      <c r="E195" s="1170"/>
      <c r="F195" s="1170"/>
      <c r="G195" s="1170"/>
      <c r="H195" s="1170"/>
      <c r="I195" s="1170"/>
      <c r="J195" s="1170"/>
      <c r="K195" s="1170"/>
      <c r="L195" s="1170"/>
      <c r="M195" s="1170"/>
      <c r="N195" s="1170"/>
      <c r="O195" s="1170"/>
      <c r="P195" s="1170"/>
      <c r="Q195" s="1170"/>
      <c r="R195" s="1170"/>
      <c r="S195" s="1170"/>
      <c r="T195" s="1181"/>
      <c r="U195" s="1170"/>
      <c r="V195" s="1170"/>
      <c r="W195" s="1180"/>
      <c r="X195" s="1170"/>
      <c r="Y195" s="1170"/>
      <c r="Z195" s="1170"/>
      <c r="AA195" s="1170"/>
      <c r="AB195" s="1170"/>
      <c r="AC195" s="1170"/>
      <c r="AD195" s="1170"/>
      <c r="AE195" s="1170"/>
      <c r="AF195" s="1170"/>
      <c r="AG195" s="1170"/>
      <c r="AH195" s="1170"/>
      <c r="AI195" s="1170"/>
      <c r="AJ195" s="1170"/>
      <c r="AK195" s="1170"/>
      <c r="AL195" s="1170"/>
      <c r="AM195" s="1170"/>
      <c r="AN195" s="1170"/>
      <c r="AO195" s="1170"/>
      <c r="AP195" s="1170"/>
      <c r="AQ195" s="1170"/>
      <c r="AR195" s="1170"/>
      <c r="AS195" s="1200" t="s">
        <v>1056</v>
      </c>
      <c r="AT195" s="1199" t="s">
        <v>447</v>
      </c>
      <c r="AU195" s="1199">
        <f ca="1">('Energy &amp; Unit Conversions'!$D$63-('Energy &amp; Unit Conversions'!$E$63*POWER((CokingRefineryPFD!AU192/'Energy &amp; Unit Conversions'!$E$54),2)))</f>
        <v>46.693440000000002</v>
      </c>
      <c r="AV195" s="1170"/>
      <c r="AW195" s="1170"/>
      <c r="AX195" s="1170"/>
      <c r="AY195" s="1170"/>
      <c r="AZ195" s="1170"/>
      <c r="BA195" s="1170"/>
      <c r="BB195" s="1170"/>
      <c r="BC195" s="1170"/>
      <c r="BD195" s="1170"/>
      <c r="BE195" s="1170"/>
      <c r="BF195" s="1170"/>
      <c r="BG195" s="1170"/>
      <c r="BH195" s="1265"/>
      <c r="BI195" s="1265"/>
      <c r="BJ195" s="1265"/>
      <c r="BK195" s="1265"/>
      <c r="BL195" s="1170"/>
      <c r="BM195" s="1170"/>
      <c r="BN195" s="1170"/>
      <c r="BO195" s="1170"/>
      <c r="BP195" s="1170"/>
      <c r="BQ195" s="1170"/>
      <c r="BR195" s="1186" t="str">
        <f>CokingRefineryCalcs!C644</f>
        <v>Vol Flow</v>
      </c>
      <c r="BS195" s="1170" t="str">
        <f ca="1">CokingRefineryCalcs!D644</f>
        <v>bpd</v>
      </c>
      <c r="BT195" s="1170">
        <f ca="1">CokingRefineryCalcs!I644</f>
        <v>2.00392753566836E-14</v>
      </c>
      <c r="BU195" s="1170"/>
      <c r="BV195" s="1170"/>
      <c r="BW195" s="1200" t="s">
        <v>1021</v>
      </c>
      <c r="BX195" s="1199" t="s">
        <v>1022</v>
      </c>
      <c r="BY195" s="1199">
        <f>Constants!G353</f>
        <v>33.957001686096191</v>
      </c>
      <c r="BZ195" s="1170"/>
      <c r="CA195" s="1170"/>
      <c r="CB195" s="1170"/>
      <c r="CC195" s="1170"/>
      <c r="CD195" s="1170"/>
      <c r="CE195" s="1170"/>
      <c r="CF195" s="1170"/>
      <c r="CG195" s="1170"/>
      <c r="CH195" s="1170"/>
      <c r="CI195" s="1170"/>
      <c r="CJ195" s="1170"/>
      <c r="CK195" s="1170"/>
      <c r="CL195" s="1170"/>
      <c r="CM195" s="1170"/>
      <c r="CN195" s="1170"/>
      <c r="CO195" s="1170"/>
      <c r="CP195" s="1170"/>
      <c r="CQ195" s="1170"/>
      <c r="CR195" s="1170"/>
      <c r="CS195" s="1170"/>
      <c r="CT195" s="1170"/>
      <c r="CU195" s="1170"/>
      <c r="CV195" s="1170"/>
      <c r="CW195" s="1170"/>
      <c r="CX195" s="1170"/>
      <c r="CY195" s="1160"/>
      <c r="CZ195" s="1160"/>
      <c r="DA195" s="1160"/>
      <c r="DB195" s="1160"/>
      <c r="DC195" s="1160"/>
      <c r="DD195" s="1160"/>
      <c r="DE195" s="1160"/>
      <c r="DF195" s="1160"/>
      <c r="DG195" s="1160"/>
      <c r="DH195" s="1160"/>
      <c r="DI195" s="1160"/>
      <c r="DJ195" s="1160"/>
      <c r="DK195" s="1171"/>
      <c r="DL195" s="1160"/>
      <c r="DM195" s="1160"/>
      <c r="DN195" s="1160"/>
      <c r="DO195" s="1160"/>
      <c r="DP195" s="1160"/>
      <c r="DQ195" s="1160"/>
      <c r="DR195" s="1160"/>
      <c r="DS195" s="1160"/>
      <c r="DT195" s="1160"/>
      <c r="DU195" s="1160"/>
      <c r="DV195" s="1160"/>
      <c r="DW195" s="1160"/>
      <c r="DX195" s="1160"/>
      <c r="DY195" s="1160"/>
      <c r="DZ195" s="1160"/>
      <c r="EA195" s="1160"/>
      <c r="EB195" s="1160"/>
    </row>
    <row r="196" spans="1:132" x14ac:dyDescent="0.2">
      <c r="A196" s="1160"/>
      <c r="B196" s="1160"/>
      <c r="C196" s="1160"/>
      <c r="D196" s="1160"/>
      <c r="E196" s="1170"/>
      <c r="F196" s="1170"/>
      <c r="G196" s="1170"/>
      <c r="H196" s="1170"/>
      <c r="I196" s="1170"/>
      <c r="J196" s="1170"/>
      <c r="K196" s="1170"/>
      <c r="L196" s="1170"/>
      <c r="M196" s="1170"/>
      <c r="N196" s="1170"/>
      <c r="O196" s="1170"/>
      <c r="P196" s="1170"/>
      <c r="Q196" s="1170"/>
      <c r="R196" s="1170"/>
      <c r="S196" s="1170"/>
      <c r="T196" s="1182"/>
      <c r="U196" s="1182"/>
      <c r="V196" s="1170"/>
      <c r="W196" s="1183"/>
      <c r="X196" s="1184"/>
      <c r="Y196" s="1170"/>
      <c r="Z196" s="1170"/>
      <c r="AA196" s="1170"/>
      <c r="AB196" s="1170"/>
      <c r="AC196" s="1170"/>
      <c r="AD196" s="1170"/>
      <c r="AE196" s="1170"/>
      <c r="AF196" s="1170"/>
      <c r="AG196" s="1170"/>
      <c r="AH196" s="1170"/>
      <c r="AI196" s="1170"/>
      <c r="AJ196" s="1170"/>
      <c r="AK196" s="1170"/>
      <c r="AL196" s="1170"/>
      <c r="AM196" s="1170"/>
      <c r="AN196" s="1170"/>
      <c r="AO196" s="1170"/>
      <c r="AP196" s="1170"/>
      <c r="AQ196" s="1170"/>
      <c r="AR196" s="1170"/>
      <c r="AS196" s="1200" t="s">
        <v>1021</v>
      </c>
      <c r="AT196" s="1199" t="s">
        <v>1022</v>
      </c>
      <c r="AU196" s="1199">
        <f>AM180</f>
        <v>85.085002899169922</v>
      </c>
      <c r="AV196" s="1170"/>
      <c r="AW196" s="1170"/>
      <c r="AX196" s="1170"/>
      <c r="AY196" s="1170"/>
      <c r="AZ196" s="1170"/>
      <c r="BA196" s="1170"/>
      <c r="BB196" s="1170"/>
      <c r="BC196" s="1170"/>
      <c r="BD196" s="1170"/>
      <c r="BE196" s="1170"/>
      <c r="BF196" s="1170"/>
      <c r="BG196" s="1170"/>
      <c r="BH196" s="1170"/>
      <c r="BI196" s="1170"/>
      <c r="BJ196" s="1170"/>
      <c r="BK196" s="1170"/>
      <c r="BL196" s="1170"/>
      <c r="BM196" s="1170"/>
      <c r="BN196" s="1170"/>
      <c r="BO196" s="1170"/>
      <c r="BP196" s="1170"/>
      <c r="BQ196" s="1170"/>
      <c r="BR196" s="1186" t="str">
        <f>CokingRefineryCalcs!C645</f>
        <v>Vol Flow</v>
      </c>
      <c r="BS196" s="1170" t="str">
        <f ca="1">CokingRefineryCalcs!D645</f>
        <v>m^3/d</v>
      </c>
      <c r="BT196" s="1170">
        <f ca="1">CokingRefineryCalcs!I645</f>
        <v>3.1859902829156629E-15</v>
      </c>
      <c r="BU196" s="1170"/>
      <c r="BV196" s="1170"/>
      <c r="BW196" s="1204" t="s">
        <v>1054</v>
      </c>
      <c r="BX196" s="1204" t="str">
        <f>IF(allocationMethod=1,$C$21,IF(allocationMethod=2,$C$22,IF(allocationMethod=3,$C$23,$C$24)))</f>
        <v>Hydrogen Content Basis</v>
      </c>
      <c r="BY196" s="1204">
        <f ca="1">CokingRefineryCalcs!R1455</f>
        <v>0</v>
      </c>
      <c r="BZ196" s="1170"/>
      <c r="CA196" s="1170"/>
      <c r="CB196" s="1170"/>
      <c r="CC196" s="1170"/>
      <c r="CD196" s="1170"/>
      <c r="CE196" s="1170"/>
      <c r="CF196" s="1170"/>
      <c r="CG196" s="1170"/>
      <c r="CH196" s="1170"/>
      <c r="CI196" s="1170"/>
      <c r="CJ196" s="1170"/>
      <c r="CK196" s="1170"/>
      <c r="CL196" s="1170"/>
      <c r="CM196" s="1170"/>
      <c r="CN196" s="1170"/>
      <c r="CO196" s="1170"/>
      <c r="CP196" s="1170"/>
      <c r="CQ196" s="1170"/>
      <c r="CR196" s="1170"/>
      <c r="CS196" s="1170"/>
      <c r="CT196" s="1181"/>
      <c r="CU196" s="1170"/>
      <c r="CV196" s="1170"/>
      <c r="CW196" s="1170"/>
      <c r="CX196" s="1170"/>
      <c r="CY196" s="1160"/>
      <c r="CZ196" s="1160"/>
      <c r="DA196" s="1160"/>
      <c r="DB196" s="1160"/>
      <c r="DC196" s="1160"/>
      <c r="DD196" s="1160"/>
      <c r="DE196" s="1160"/>
      <c r="DF196" s="1160"/>
      <c r="DG196" s="1160"/>
      <c r="DH196" s="1160"/>
      <c r="DI196" s="1160"/>
      <c r="DJ196" s="1160"/>
      <c r="DK196" s="1171"/>
      <c r="DL196" s="1160"/>
      <c r="DM196" s="1160"/>
      <c r="DN196" s="1160"/>
      <c r="DO196" s="1160"/>
      <c r="DP196" s="1160"/>
      <c r="DQ196" s="1160"/>
      <c r="DR196" s="1160"/>
      <c r="DS196" s="1160"/>
      <c r="DT196" s="1160"/>
      <c r="DU196" s="1160"/>
      <c r="DV196" s="1160"/>
      <c r="DW196" s="1160"/>
      <c r="DX196" s="1160"/>
      <c r="DY196" s="1160"/>
      <c r="DZ196" s="1160"/>
      <c r="EA196" s="1160"/>
      <c r="EB196" s="1160"/>
    </row>
    <row r="197" spans="1:132" x14ac:dyDescent="0.2">
      <c r="A197" s="1160"/>
      <c r="B197" s="1160"/>
      <c r="C197" s="1160"/>
      <c r="D197" s="1160"/>
      <c r="E197" s="1170"/>
      <c r="F197" s="1170"/>
      <c r="G197" s="1170"/>
      <c r="H197" s="1170"/>
      <c r="I197" s="1170"/>
      <c r="J197" s="1170"/>
      <c r="K197" s="1170"/>
      <c r="L197" s="1170"/>
      <c r="M197" s="1170"/>
      <c r="N197" s="1170"/>
      <c r="O197" s="1170"/>
      <c r="P197" s="1170"/>
      <c r="Q197" s="1170"/>
      <c r="R197" s="1170"/>
      <c r="S197" s="1170"/>
      <c r="T197" s="1182"/>
      <c r="U197" s="1170"/>
      <c r="V197" s="1170"/>
      <c r="W197" s="1170"/>
      <c r="X197" s="1170"/>
      <c r="Y197" s="1170"/>
      <c r="Z197" s="1170"/>
      <c r="AA197" s="1170"/>
      <c r="AB197" s="1170"/>
      <c r="AC197" s="1170"/>
      <c r="AD197" s="1170"/>
      <c r="AE197" s="1170"/>
      <c r="AF197" s="1170"/>
      <c r="AG197" s="1170"/>
      <c r="AH197" s="1170"/>
      <c r="AI197" s="1170"/>
      <c r="AJ197" s="1170"/>
      <c r="AK197" s="1170"/>
      <c r="AL197" s="1170"/>
      <c r="AM197" s="1170"/>
      <c r="AN197" s="1170"/>
      <c r="AO197" s="1170"/>
      <c r="AP197" s="1170"/>
      <c r="AQ197" s="1170"/>
      <c r="AR197" s="1170"/>
      <c r="AS197" s="1204" t="s">
        <v>1054</v>
      </c>
      <c r="AT197" s="1204" t="str">
        <f>IF(allocationMethod=1,$C$21,IF(allocationMethod=2,$C$22,IF(allocationMethod=3,$C$23,$C$24)))</f>
        <v>Hydrogen Content Basis</v>
      </c>
      <c r="AU197" s="1204">
        <f ca="1">IF(allocationMethod=1,AU189,IF(allocationMethod=2,AU195*AU189,IF(allocationMethod=3,AU196*AU187,AU193*AU189/100)))</f>
        <v>0</v>
      </c>
      <c r="AV197" s="1170"/>
      <c r="AW197" s="1170"/>
      <c r="AX197" s="1170"/>
      <c r="AY197" s="1170"/>
      <c r="AZ197" s="1170"/>
      <c r="BA197" s="1170"/>
      <c r="BB197" s="1170"/>
      <c r="BC197" s="1170"/>
      <c r="BD197" s="1170"/>
      <c r="BE197" s="1170"/>
      <c r="BF197" s="1170"/>
      <c r="BG197" s="1170"/>
      <c r="BH197" s="1170"/>
      <c r="BI197" s="1170"/>
      <c r="BJ197" s="1170"/>
      <c r="BK197" s="1170"/>
      <c r="BL197" s="1170"/>
      <c r="BM197" s="1170"/>
      <c r="BN197" s="1170"/>
      <c r="BO197" s="1170"/>
      <c r="BP197" s="1170"/>
      <c r="BQ197" s="1170"/>
      <c r="BR197" s="1186" t="str">
        <f>CokingRefineryCalcs!C646</f>
        <v>Mass Flow</v>
      </c>
      <c r="BS197" s="1170" t="str">
        <f>CokingRefineryCalcs!D646</f>
        <v>kg/d</v>
      </c>
      <c r="BT197" s="1170">
        <f ca="1">CokingRefineryCalcs!I646</f>
        <v>2.5832160246178549E-14</v>
      </c>
      <c r="BU197" s="1170"/>
      <c r="BV197" s="1170"/>
      <c r="BW197" s="1170"/>
      <c r="BX197" s="1170"/>
      <c r="BY197" s="1170"/>
      <c r="BZ197" s="1170"/>
      <c r="CA197" s="1170"/>
      <c r="CB197" s="1170"/>
      <c r="CC197" s="1170"/>
      <c r="CD197" s="1170"/>
      <c r="CE197" s="1170"/>
      <c r="CF197" s="1170"/>
      <c r="CG197" s="1170"/>
      <c r="CH197" s="1170"/>
      <c r="CI197" s="1170"/>
      <c r="CJ197" s="1170"/>
      <c r="CK197" s="1170"/>
      <c r="CL197" s="1170"/>
      <c r="CM197" s="1170"/>
      <c r="CN197" s="1170"/>
      <c r="CO197" s="1170"/>
      <c r="CP197" s="1170"/>
      <c r="CQ197" s="1170"/>
      <c r="CR197" s="1170"/>
      <c r="CS197" s="1170"/>
      <c r="CT197" s="1182"/>
      <c r="CU197" s="1182"/>
      <c r="CV197" s="1170"/>
      <c r="CW197" s="1170"/>
      <c r="CX197" s="1170"/>
      <c r="CY197" s="1160"/>
      <c r="CZ197" s="1160"/>
      <c r="DA197" s="1160"/>
      <c r="DB197" s="1160"/>
      <c r="DC197" s="1160"/>
      <c r="DD197" s="1160"/>
      <c r="DE197" s="1160"/>
      <c r="DF197" s="1160"/>
      <c r="DG197" s="1160"/>
      <c r="DH197" s="1160"/>
      <c r="DI197" s="1160"/>
      <c r="DJ197" s="1160"/>
      <c r="DK197" s="1171"/>
      <c r="DL197" s="1160"/>
      <c r="DM197" s="1160"/>
      <c r="DN197" s="1160"/>
      <c r="DO197" s="1160"/>
      <c r="DP197" s="1160"/>
      <c r="DQ197" s="1160"/>
      <c r="DR197" s="1160"/>
      <c r="DS197" s="1160"/>
      <c r="DT197" s="1160"/>
      <c r="DU197" s="1160"/>
      <c r="DV197" s="1160"/>
      <c r="DW197" s="1160"/>
      <c r="DX197" s="1160"/>
      <c r="DY197" s="1160"/>
      <c r="DZ197" s="1160"/>
      <c r="EA197" s="1160"/>
      <c r="EB197" s="1160"/>
    </row>
    <row r="198" spans="1:132" x14ac:dyDescent="0.2">
      <c r="A198" s="1160"/>
      <c r="B198" s="1160"/>
      <c r="C198" s="1160"/>
      <c r="D198" s="1160"/>
      <c r="E198" s="1170"/>
      <c r="F198" s="1170"/>
      <c r="G198" s="1170"/>
      <c r="H198" s="1170"/>
      <c r="I198" s="1170"/>
      <c r="J198" s="1170"/>
      <c r="K198" s="1170"/>
      <c r="L198" s="1170"/>
      <c r="M198" s="1170"/>
      <c r="N198" s="1170"/>
      <c r="O198" s="1170"/>
      <c r="P198" s="1170"/>
      <c r="Q198" s="1170"/>
      <c r="R198" s="1170"/>
      <c r="S198" s="1170"/>
      <c r="T198" s="1182"/>
      <c r="U198" s="1170"/>
      <c r="V198" s="1170"/>
      <c r="W198" s="1170"/>
      <c r="X198" s="1170"/>
      <c r="Y198" s="1170"/>
      <c r="Z198" s="1170"/>
      <c r="AA198" s="1170"/>
      <c r="AB198" s="1170"/>
      <c r="AC198" s="1170"/>
      <c r="AD198" s="1170"/>
      <c r="AE198" s="1170"/>
      <c r="AF198" s="1170"/>
      <c r="AG198" s="1170"/>
      <c r="AH198" s="1170"/>
      <c r="AI198" s="1170"/>
      <c r="AJ198" s="1170"/>
      <c r="AK198" s="1170"/>
      <c r="AL198" s="1170"/>
      <c r="AM198" s="1170"/>
      <c r="AN198" s="1170"/>
      <c r="AO198" s="1170"/>
      <c r="AP198" s="1170"/>
      <c r="AQ198" s="1170"/>
      <c r="AR198" s="1170"/>
      <c r="AS198" s="1170"/>
      <c r="AT198" s="1170"/>
      <c r="AU198" s="1170"/>
      <c r="AV198" s="1170"/>
      <c r="AW198" s="1170"/>
      <c r="AX198" s="1170"/>
      <c r="AY198" s="1170"/>
      <c r="AZ198" s="1170"/>
      <c r="BA198" s="1170"/>
      <c r="BB198" s="1170"/>
      <c r="BC198" s="1170"/>
      <c r="BD198" s="1170"/>
      <c r="BE198" s="1170"/>
      <c r="BF198" s="1170"/>
      <c r="BG198" s="1170"/>
      <c r="BH198" s="1170"/>
      <c r="BI198" s="1170"/>
      <c r="BJ198" s="1170"/>
      <c r="BK198" s="1170"/>
      <c r="BL198" s="1170"/>
      <c r="BM198" s="1170"/>
      <c r="BN198" s="1170"/>
      <c r="BO198" s="1170"/>
      <c r="BP198" s="1170"/>
      <c r="BQ198" s="1170"/>
      <c r="BR198" s="1186" t="str">
        <f>CokingRefineryCalcs!C647</f>
        <v xml:space="preserve">Sulphur </v>
      </c>
      <c r="BS198" s="1170" t="str">
        <f ca="1">CokingRefineryCalcs!D647</f>
        <v>wt%</v>
      </c>
      <c r="BT198" s="1170">
        <f ca="1">CokingRefineryCalcs!I647</f>
        <v>0</v>
      </c>
      <c r="BU198" s="1170"/>
      <c r="BV198" s="1170"/>
      <c r="BW198" s="1170"/>
      <c r="BX198" s="1170"/>
      <c r="BY198" s="1170"/>
      <c r="BZ198" s="1170"/>
      <c r="CA198" s="1170"/>
      <c r="CB198" s="1170"/>
      <c r="CC198" s="1170"/>
      <c r="CD198" s="1170"/>
      <c r="CE198" s="1170"/>
      <c r="CF198" s="1170"/>
      <c r="CG198" s="1170"/>
      <c r="CH198" s="1170"/>
      <c r="CI198" s="1170"/>
      <c r="CJ198" s="1170"/>
      <c r="CK198" s="1170"/>
      <c r="CL198" s="1170"/>
      <c r="CM198" s="1170"/>
      <c r="CN198" s="1170"/>
      <c r="CO198" s="1170"/>
      <c r="CP198" s="1170"/>
      <c r="CQ198" s="1170"/>
      <c r="CR198" s="1170"/>
      <c r="CS198" s="1170"/>
      <c r="CT198" s="1186"/>
      <c r="CU198" s="1170"/>
      <c r="CV198" s="1170"/>
      <c r="CW198" s="1170"/>
      <c r="CX198" s="1170"/>
      <c r="CY198" s="1160"/>
      <c r="CZ198" s="1160"/>
      <c r="DA198" s="1160"/>
      <c r="DB198" s="1160"/>
      <c r="DC198" s="1160"/>
      <c r="DD198" s="1160"/>
      <c r="DE198" s="1160"/>
      <c r="DF198" s="1160"/>
      <c r="DG198" s="1160"/>
      <c r="DH198" s="1160"/>
      <c r="DI198" s="1160"/>
      <c r="DJ198" s="1160"/>
      <c r="DK198" s="1171"/>
      <c r="DL198" s="1160"/>
      <c r="DM198" s="1160"/>
      <c r="DN198" s="1160"/>
      <c r="DO198" s="1160"/>
      <c r="DP198" s="1160"/>
      <c r="DQ198" s="1160"/>
      <c r="DR198" s="1160"/>
      <c r="DS198" s="1160"/>
      <c r="DT198" s="1160"/>
      <c r="DU198" s="1160"/>
      <c r="DV198" s="1160"/>
      <c r="DW198" s="1160"/>
      <c r="DX198" s="1160"/>
      <c r="DY198" s="1160"/>
      <c r="DZ198" s="1160"/>
      <c r="EA198" s="1160"/>
      <c r="EB198" s="1160"/>
    </row>
    <row r="199" spans="1:132" x14ac:dyDescent="0.2">
      <c r="A199" s="1160"/>
      <c r="B199" s="1160"/>
      <c r="C199" s="1160"/>
      <c r="D199" s="1160"/>
      <c r="E199" s="1170"/>
      <c r="F199" s="1170"/>
      <c r="G199" s="1170"/>
      <c r="H199" s="1170"/>
      <c r="I199" s="1170"/>
      <c r="J199" s="1170"/>
      <c r="K199" s="1170"/>
      <c r="L199" s="1170"/>
      <c r="M199" s="1170"/>
      <c r="N199" s="1170"/>
      <c r="O199" s="1170"/>
      <c r="P199" s="1170"/>
      <c r="Q199" s="1170"/>
      <c r="R199" s="1170"/>
      <c r="S199" s="1170"/>
      <c r="T199" s="1182"/>
      <c r="U199" s="1170"/>
      <c r="V199" s="1170"/>
      <c r="W199" s="1170"/>
      <c r="X199" s="1170"/>
      <c r="Y199" s="1170"/>
      <c r="Z199" s="1170"/>
      <c r="AA199" s="1170"/>
      <c r="AB199" s="1170"/>
      <c r="AC199" s="1170"/>
      <c r="AD199" s="1170"/>
      <c r="AE199" s="1170"/>
      <c r="AF199" s="1170"/>
      <c r="AG199" s="1170"/>
      <c r="AH199" s="1170"/>
      <c r="AI199" s="1170"/>
      <c r="AJ199" s="1170"/>
      <c r="AK199" s="1170"/>
      <c r="AL199" s="1170"/>
      <c r="AM199" s="1170"/>
      <c r="AN199" s="1170"/>
      <c r="AO199" s="1170"/>
      <c r="AP199" s="1170"/>
      <c r="AQ199" s="1170"/>
      <c r="AR199" s="1170"/>
      <c r="AS199" s="1170"/>
      <c r="AT199" s="1170"/>
      <c r="AU199" s="1170"/>
      <c r="AV199" s="1170"/>
      <c r="AW199" s="1170"/>
      <c r="AX199" s="1170"/>
      <c r="AY199" s="1170"/>
      <c r="AZ199" s="1170"/>
      <c r="BA199" s="1170"/>
      <c r="BB199" s="1170"/>
      <c r="BC199" s="1170"/>
      <c r="BD199" s="1170"/>
      <c r="BE199" s="1170"/>
      <c r="BF199" s="1170"/>
      <c r="BG199" s="1170"/>
      <c r="BH199" s="1170"/>
      <c r="BI199" s="1170"/>
      <c r="BJ199" s="1170"/>
      <c r="BK199" s="1170"/>
      <c r="BL199" s="1170"/>
      <c r="BM199" s="1170"/>
      <c r="BN199" s="1170"/>
      <c r="BO199" s="1170"/>
      <c r="BP199" s="1170"/>
      <c r="BQ199" s="1170"/>
      <c r="BR199" s="1186" t="str">
        <f>CokingRefineryCalcs!C649</f>
        <v xml:space="preserve">API gravity </v>
      </c>
      <c r="BS199" s="1170"/>
      <c r="BT199" s="1170">
        <f ca="1">CokingRefineryCalcs!I649</f>
        <v>17320.297323038729</v>
      </c>
      <c r="BU199" s="1170"/>
      <c r="BV199" s="1170"/>
      <c r="BW199" s="1170"/>
      <c r="BX199" s="1170"/>
      <c r="BY199" s="1170"/>
      <c r="BZ199" s="1170"/>
      <c r="CA199" s="1170"/>
      <c r="CB199" s="1170"/>
      <c r="CC199" s="1170"/>
      <c r="CD199" s="1170"/>
      <c r="CE199" s="1170"/>
      <c r="CF199" s="1170"/>
      <c r="CG199" s="1170"/>
      <c r="CH199" s="1170"/>
      <c r="CI199" s="1170"/>
      <c r="CJ199" s="1170"/>
      <c r="CK199" s="1170"/>
      <c r="CL199" s="1170"/>
      <c r="CM199" s="1170"/>
      <c r="CN199" s="1170"/>
      <c r="CO199" s="1170"/>
      <c r="CP199" s="1170"/>
      <c r="CQ199" s="1170"/>
      <c r="CR199" s="1170"/>
      <c r="CS199" s="1170"/>
      <c r="CT199" s="1186"/>
      <c r="CU199" s="1170"/>
      <c r="CV199" s="1170"/>
      <c r="CW199" s="1170"/>
      <c r="CX199" s="1170"/>
      <c r="CY199" s="1160"/>
      <c r="CZ199" s="1160"/>
      <c r="DA199" s="1160"/>
      <c r="DB199" s="1160"/>
      <c r="DC199" s="1160"/>
      <c r="DD199" s="1160"/>
      <c r="DE199" s="1160"/>
      <c r="DF199" s="1160"/>
      <c r="DG199" s="1160"/>
      <c r="DH199" s="1160"/>
      <c r="DI199" s="1160"/>
      <c r="DJ199" s="1160"/>
      <c r="DK199" s="1171"/>
      <c r="DL199" s="1160"/>
      <c r="DM199" s="1160"/>
      <c r="DN199" s="1160"/>
      <c r="DO199" s="1160"/>
      <c r="DP199" s="1160"/>
      <c r="DQ199" s="1160"/>
      <c r="DR199" s="1160"/>
      <c r="DS199" s="1160"/>
      <c r="DT199" s="1160"/>
      <c r="DU199" s="1160"/>
      <c r="DV199" s="1160"/>
      <c r="DW199" s="1160"/>
      <c r="DX199" s="1160"/>
      <c r="DY199" s="1160"/>
      <c r="DZ199" s="1160"/>
      <c r="EA199" s="1160"/>
      <c r="EB199" s="1160"/>
    </row>
    <row r="200" spans="1:132" x14ac:dyDescent="0.2">
      <c r="A200" s="1160"/>
      <c r="B200" s="1160"/>
      <c r="C200" s="1160"/>
      <c r="D200" s="1160"/>
      <c r="E200" s="1170"/>
      <c r="F200" s="1170"/>
      <c r="G200" s="1170"/>
      <c r="H200" s="1170"/>
      <c r="I200" s="1170"/>
      <c r="J200" s="1170"/>
      <c r="K200" s="1170"/>
      <c r="L200" s="1170"/>
      <c r="M200" s="1170"/>
      <c r="N200" s="1170"/>
      <c r="O200" s="1170"/>
      <c r="P200" s="1170"/>
      <c r="Q200" s="1170"/>
      <c r="R200" s="1170"/>
      <c r="S200" s="1170"/>
      <c r="T200" s="1182"/>
      <c r="U200" s="1170"/>
      <c r="V200" s="1170"/>
      <c r="W200" s="1170"/>
      <c r="X200" s="1170"/>
      <c r="Y200" s="1170"/>
      <c r="Z200" s="1170"/>
      <c r="AA200" s="1170"/>
      <c r="AB200" s="1170"/>
      <c r="AC200" s="1170"/>
      <c r="AD200" s="1170"/>
      <c r="AE200" s="1170"/>
      <c r="AF200" s="1170"/>
      <c r="AG200" s="1170"/>
      <c r="AH200" s="1170"/>
      <c r="AI200" s="1170"/>
      <c r="AJ200" s="1170"/>
      <c r="AK200" s="1170"/>
      <c r="AL200" s="1170"/>
      <c r="AM200" s="1170"/>
      <c r="AN200" s="1170"/>
      <c r="AO200" s="1170"/>
      <c r="AP200" s="1170"/>
      <c r="AQ200" s="1170"/>
      <c r="AR200" s="1170"/>
      <c r="AS200" s="1170"/>
      <c r="AT200" s="1170"/>
      <c r="AU200" s="1170"/>
      <c r="AV200" s="1170"/>
      <c r="AW200" s="1170"/>
      <c r="AX200" s="1170"/>
      <c r="AY200" s="1170"/>
      <c r="AZ200" s="1170"/>
      <c r="BA200" s="1170"/>
      <c r="BB200" s="1170"/>
      <c r="BC200" s="1170"/>
      <c r="BD200" s="1170"/>
      <c r="BE200" s="1170"/>
      <c r="BF200" s="1170"/>
      <c r="BG200" s="1170"/>
      <c r="BH200" s="1170"/>
      <c r="BI200" s="1170"/>
      <c r="BJ200" s="1170"/>
      <c r="BK200" s="1170"/>
      <c r="BL200" s="1170"/>
      <c r="BM200" s="1170"/>
      <c r="BN200" s="1170"/>
      <c r="BO200" s="1170"/>
      <c r="BP200" s="1170"/>
      <c r="BQ200" s="1170"/>
      <c r="BR200" s="1186" t="str">
        <f>CokingRefineryCalcs!C650</f>
        <v>Density</v>
      </c>
      <c r="BS200" s="1170" t="str">
        <f ca="1">CokingRefineryCalcs!D650</f>
        <v>kg/m^3</v>
      </c>
      <c r="BT200" s="1170">
        <f ca="1">CokingRefineryCalcs!I650</f>
        <v>8.1080474051346503</v>
      </c>
      <c r="BU200" s="1170"/>
      <c r="BV200" s="1170"/>
      <c r="BW200" s="1170"/>
      <c r="BX200" s="1170"/>
      <c r="BY200" s="1170"/>
      <c r="BZ200" s="1170"/>
      <c r="CA200" s="1170"/>
      <c r="CB200" s="1170"/>
      <c r="CC200" s="1170"/>
      <c r="CD200" s="1170"/>
      <c r="CE200" s="1170"/>
      <c r="CF200" s="1170"/>
      <c r="CG200" s="1170"/>
      <c r="CH200" s="1170"/>
      <c r="CI200" s="1170"/>
      <c r="CJ200" s="1170"/>
      <c r="CK200" s="1170"/>
      <c r="CL200" s="1170"/>
      <c r="CM200" s="1170"/>
      <c r="CN200" s="1170"/>
      <c r="CO200" s="1170"/>
      <c r="CP200" s="1170"/>
      <c r="CQ200" s="1170"/>
      <c r="CR200" s="1170"/>
      <c r="CS200" s="1170"/>
      <c r="CT200" s="1186"/>
      <c r="CU200" s="1170"/>
      <c r="CV200" s="1170"/>
      <c r="CW200" s="1170"/>
      <c r="CX200" s="1170"/>
      <c r="CY200" s="1160"/>
      <c r="CZ200" s="1160"/>
      <c r="DA200" s="1160"/>
      <c r="DB200" s="1160"/>
      <c r="DC200" s="1160"/>
      <c r="DD200" s="1160"/>
      <c r="DE200" s="1160"/>
      <c r="DF200" s="1160"/>
      <c r="DG200" s="1160"/>
      <c r="DH200" s="1160"/>
      <c r="DI200" s="1160"/>
      <c r="DJ200" s="1160"/>
      <c r="DK200" s="1171"/>
      <c r="DL200" s="1160"/>
      <c r="DM200" s="1160"/>
      <c r="DN200" s="1160"/>
      <c r="DO200" s="1160"/>
      <c r="DP200" s="1160"/>
      <c r="DQ200" s="1160"/>
      <c r="DR200" s="1160"/>
      <c r="DS200" s="1160"/>
      <c r="DT200" s="1160"/>
      <c r="DU200" s="1160"/>
      <c r="DV200" s="1160"/>
      <c r="DW200" s="1160"/>
      <c r="DX200" s="1160"/>
      <c r="DY200" s="1160"/>
      <c r="DZ200" s="1160"/>
      <c r="EA200" s="1160"/>
      <c r="EB200" s="1160"/>
    </row>
    <row r="201" spans="1:132" x14ac:dyDescent="0.2">
      <c r="A201" s="1160"/>
      <c r="B201" s="1160"/>
      <c r="C201" s="1160"/>
      <c r="D201" s="1160"/>
      <c r="E201" s="1170"/>
      <c r="F201" s="1170"/>
      <c r="G201" s="1170"/>
      <c r="H201" s="1170"/>
      <c r="I201" s="1170"/>
      <c r="J201" s="1170"/>
      <c r="K201" s="1170"/>
      <c r="L201" s="1170"/>
      <c r="M201" s="1170"/>
      <c r="N201" s="1170"/>
      <c r="O201" s="1170"/>
      <c r="P201" s="1170"/>
      <c r="Q201" s="1170"/>
      <c r="R201" s="1170"/>
      <c r="S201" s="1170"/>
      <c r="T201" s="1182"/>
      <c r="U201" s="1170"/>
      <c r="V201" s="1170"/>
      <c r="W201" s="1170"/>
      <c r="X201" s="1170"/>
      <c r="Y201" s="1170"/>
      <c r="Z201" s="1170"/>
      <c r="AA201" s="1170"/>
      <c r="AB201" s="1170"/>
      <c r="AC201" s="1170"/>
      <c r="AD201" s="1170"/>
      <c r="AE201" s="1170"/>
      <c r="AF201" s="1170"/>
      <c r="AG201" s="1170"/>
      <c r="AH201" s="1170"/>
      <c r="AI201" s="1170"/>
      <c r="AJ201" s="1170"/>
      <c r="AK201" s="1170"/>
      <c r="AL201" s="1170"/>
      <c r="AM201" s="1170"/>
      <c r="AN201" s="1170"/>
      <c r="AO201" s="1170"/>
      <c r="AP201" s="1170"/>
      <c r="AQ201" s="1170"/>
      <c r="AR201" s="1170"/>
      <c r="AS201" s="1170"/>
      <c r="AT201" s="1170"/>
      <c r="AU201" s="1170"/>
      <c r="AV201" s="1181" t="str">
        <f>CokingRefineryCalcs!F844</f>
        <v>Coker Gas</v>
      </c>
      <c r="AW201" s="1170"/>
      <c r="AX201" s="1170"/>
      <c r="AY201" s="1170"/>
      <c r="AZ201" s="1170"/>
      <c r="BA201" s="1170"/>
      <c r="BB201" s="1170"/>
      <c r="BC201" s="1170"/>
      <c r="BD201" s="1170"/>
      <c r="BE201" s="1170"/>
      <c r="BF201" s="1170"/>
      <c r="BG201" s="1170"/>
      <c r="BH201" s="1170"/>
      <c r="BI201" s="1170"/>
      <c r="BJ201" s="1170"/>
      <c r="BK201" s="1170"/>
      <c r="BL201" s="1170"/>
      <c r="BM201" s="1170"/>
      <c r="BN201" s="1170"/>
      <c r="BO201" s="1170"/>
      <c r="BP201" s="1170"/>
      <c r="BQ201" s="1170"/>
      <c r="BR201" s="1186" t="str">
        <f>CokingRefineryCalcs!C651</f>
        <v>Hydrogen</v>
      </c>
      <c r="BS201" s="1170" t="str">
        <f ca="1">CokingRefineryCalcs!D651</f>
        <v>wt%</v>
      </c>
      <c r="BT201" s="1170">
        <f ca="1">CokingRefineryCalcs!I651</f>
        <v>2.483484234256998</v>
      </c>
      <c r="BU201" s="1170"/>
      <c r="BV201" s="1170"/>
      <c r="BW201" s="1170"/>
      <c r="BX201" s="1170"/>
      <c r="BY201" s="1170"/>
      <c r="BZ201" s="1170"/>
      <c r="CA201" s="1170"/>
      <c r="CB201" s="1170"/>
      <c r="CC201" s="1170"/>
      <c r="CD201" s="1170"/>
      <c r="CE201" s="1170"/>
      <c r="CF201" s="1170"/>
      <c r="CG201" s="1170"/>
      <c r="CH201" s="1170"/>
      <c r="CI201" s="1170"/>
      <c r="CJ201" s="1170"/>
      <c r="CK201" s="1170"/>
      <c r="CL201" s="1170"/>
      <c r="CM201" s="1170"/>
      <c r="CN201" s="1170"/>
      <c r="CO201" s="1170"/>
      <c r="CP201" s="1170"/>
      <c r="CQ201" s="1170"/>
      <c r="CR201" s="1170"/>
      <c r="CS201" s="1170"/>
      <c r="CT201" s="1186"/>
      <c r="CU201" s="1170"/>
      <c r="CV201" s="1170"/>
      <c r="CW201" s="1170"/>
      <c r="CX201" s="1170"/>
      <c r="CY201" s="1160"/>
      <c r="CZ201" s="1160"/>
      <c r="DA201" s="1160"/>
      <c r="DB201" s="1160"/>
      <c r="DC201" s="1160"/>
      <c r="DD201" s="1160"/>
      <c r="DE201" s="1160"/>
      <c r="DF201" s="1160"/>
      <c r="DG201" s="1160"/>
      <c r="DH201" s="1160"/>
      <c r="DI201" s="1160"/>
      <c r="DJ201" s="1160"/>
      <c r="DK201" s="1171"/>
      <c r="DL201" s="1160"/>
      <c r="DM201" s="1160"/>
      <c r="DN201" s="1160"/>
      <c r="DO201" s="1160"/>
      <c r="DP201" s="1160"/>
      <c r="DQ201" s="1160"/>
      <c r="DR201" s="1160"/>
      <c r="DS201" s="1160"/>
      <c r="DT201" s="1160"/>
      <c r="DU201" s="1160"/>
      <c r="DV201" s="1160"/>
      <c r="DW201" s="1160"/>
      <c r="DX201" s="1160"/>
      <c r="DY201" s="1160"/>
      <c r="DZ201" s="1160"/>
      <c r="EA201" s="1160"/>
      <c r="EB201" s="1160"/>
    </row>
    <row r="202" spans="1:132" x14ac:dyDescent="0.2">
      <c r="A202" s="1160"/>
      <c r="B202" s="1160"/>
      <c r="C202" s="1160"/>
      <c r="D202" s="1160"/>
      <c r="E202" s="1170"/>
      <c r="F202" s="1170"/>
      <c r="G202" s="1170"/>
      <c r="H202" s="1170"/>
      <c r="I202" s="1170"/>
      <c r="J202" s="1170"/>
      <c r="K202" s="1170"/>
      <c r="L202" s="1170"/>
      <c r="M202" s="1170"/>
      <c r="N202" s="1170"/>
      <c r="O202" s="1170"/>
      <c r="P202" s="1170"/>
      <c r="Q202" s="1170"/>
      <c r="R202" s="1170"/>
      <c r="S202" s="1170"/>
      <c r="T202" s="1182"/>
      <c r="U202" s="1170"/>
      <c r="V202" s="1170"/>
      <c r="W202" s="1180"/>
      <c r="X202" s="1170"/>
      <c r="Y202" s="1170"/>
      <c r="Z202" s="1170"/>
      <c r="AA202" s="1170"/>
      <c r="AB202" s="1170"/>
      <c r="AC202" s="1170"/>
      <c r="AD202" s="1170"/>
      <c r="AE202" s="1170"/>
      <c r="AF202" s="1170"/>
      <c r="AG202" s="1170"/>
      <c r="AH202" s="1170"/>
      <c r="AI202" s="1170"/>
      <c r="AJ202" s="1170"/>
      <c r="AK202" s="1170"/>
      <c r="AL202" s="1170"/>
      <c r="AM202" s="1170"/>
      <c r="AN202" s="1170"/>
      <c r="AO202" s="1170"/>
      <c r="AP202" s="1170"/>
      <c r="AQ202" s="1170"/>
      <c r="AR202" s="1170"/>
      <c r="AS202" s="1170"/>
      <c r="AT202" s="1170"/>
      <c r="AU202" s="1170"/>
      <c r="AV202" s="1182" t="str">
        <f>CokingRefineryCalcs!C844</f>
        <v>Property</v>
      </c>
      <c r="AW202" s="1182" t="str">
        <f>CokingRefineryCalcs!D844</f>
        <v>Units</v>
      </c>
      <c r="AX202" s="1170"/>
      <c r="AY202" s="1170"/>
      <c r="AZ202" s="1170"/>
      <c r="BA202" s="1170"/>
      <c r="BB202" s="1170"/>
      <c r="BC202" s="1170"/>
      <c r="BD202" s="1170"/>
      <c r="BE202" s="1170"/>
      <c r="BF202" s="1170"/>
      <c r="BG202" s="1170"/>
      <c r="BH202" s="1170"/>
      <c r="BI202" s="1170"/>
      <c r="BJ202" s="1170"/>
      <c r="BK202" s="1170"/>
      <c r="BL202" s="1170"/>
      <c r="BM202" s="1170"/>
      <c r="BN202" s="1170"/>
      <c r="BO202" s="1170"/>
      <c r="BP202" s="1170"/>
      <c r="BQ202" s="1170"/>
      <c r="BR202" s="1186" t="str">
        <f>CokingRefineryCalcs!C652</f>
        <v>MCR</v>
      </c>
      <c r="BS202" s="1170" t="str">
        <f ca="1">CokingRefineryCalcs!D652</f>
        <v>wt%</v>
      </c>
      <c r="BT202" s="1170">
        <f>CokingRefineryCalcs!I652</f>
        <v>0</v>
      </c>
      <c r="BU202" s="1170"/>
      <c r="BV202" s="1170"/>
      <c r="BW202" s="1184" t="str">
        <f>'CokingRefinery Detailed Results'!C24</f>
        <v>Fluid Catalytic Cracking Feed Hydrotreater</v>
      </c>
      <c r="BX202" s="1170"/>
      <c r="BY202" s="1187"/>
      <c r="BZ202" s="1187"/>
      <c r="CA202" s="1170"/>
      <c r="CB202" s="1170"/>
      <c r="CC202" s="1170"/>
      <c r="CD202" s="1170"/>
      <c r="CE202" s="1170"/>
      <c r="CF202" s="1170"/>
      <c r="CG202" s="1170"/>
      <c r="CH202" s="1170"/>
      <c r="CI202" s="1170"/>
      <c r="CJ202" s="1170"/>
      <c r="CK202" s="1170"/>
      <c r="CL202" s="1170"/>
      <c r="CM202" s="1170"/>
      <c r="CN202" s="1170"/>
      <c r="CO202" s="1170"/>
      <c r="CP202" s="1170"/>
      <c r="CQ202" s="1170"/>
      <c r="CR202" s="1170"/>
      <c r="CS202" s="1170"/>
      <c r="CT202" s="1186"/>
      <c r="CU202" s="1170"/>
      <c r="CV202" s="1170"/>
      <c r="CW202" s="1170"/>
      <c r="CX202" s="1170"/>
      <c r="CY202" s="1160"/>
      <c r="CZ202" s="1160"/>
      <c r="DA202" s="1160"/>
      <c r="DB202" s="1160"/>
      <c r="DC202" s="1160"/>
      <c r="DD202" s="1160"/>
      <c r="DE202" s="1160"/>
      <c r="DF202" s="1160"/>
      <c r="DG202" s="1160"/>
      <c r="DH202" s="1160"/>
      <c r="DI202" s="1160"/>
      <c r="DJ202" s="1160"/>
      <c r="DK202" s="1171"/>
      <c r="DL202" s="1160"/>
      <c r="DM202" s="1160"/>
      <c r="DN202" s="1160"/>
      <c r="DO202" s="1160"/>
      <c r="DP202" s="1160"/>
      <c r="DQ202" s="1160"/>
      <c r="DR202" s="1160"/>
      <c r="DS202" s="1160"/>
      <c r="DT202" s="1160"/>
      <c r="DU202" s="1160"/>
      <c r="DV202" s="1160"/>
      <c r="DW202" s="1160"/>
      <c r="DX202" s="1160"/>
      <c r="DY202" s="1160"/>
      <c r="DZ202" s="1160"/>
      <c r="EA202" s="1160"/>
      <c r="EB202" s="1160"/>
    </row>
    <row r="203" spans="1:132" x14ac:dyDescent="0.2">
      <c r="A203" s="1160"/>
      <c r="B203" s="1160"/>
      <c r="C203" s="1160"/>
      <c r="D203" s="1160"/>
      <c r="E203" s="1170"/>
      <c r="F203" s="1170"/>
      <c r="G203" s="1170"/>
      <c r="H203" s="1170"/>
      <c r="I203" s="1170"/>
      <c r="J203" s="1170"/>
      <c r="K203" s="1170"/>
      <c r="L203" s="1170"/>
      <c r="M203" s="1170"/>
      <c r="N203" s="1170"/>
      <c r="O203" s="1170"/>
      <c r="P203" s="1170"/>
      <c r="Q203" s="1170"/>
      <c r="R203" s="1170"/>
      <c r="S203" s="1170"/>
      <c r="T203" s="1182"/>
      <c r="U203" s="1170"/>
      <c r="V203" s="1170"/>
      <c r="W203" s="1197"/>
      <c r="X203" s="1196"/>
      <c r="Y203" s="1170"/>
      <c r="Z203" s="1170"/>
      <c r="AA203" s="1170"/>
      <c r="AB203" s="1170"/>
      <c r="AC203" s="1170"/>
      <c r="AD203" s="1170"/>
      <c r="AE203" s="1170"/>
      <c r="AF203" s="1170"/>
      <c r="AG203" s="1170"/>
      <c r="AH203" s="1170"/>
      <c r="AI203" s="1170"/>
      <c r="AJ203" s="1170"/>
      <c r="AK203" s="1170"/>
      <c r="AL203" s="1170"/>
      <c r="AM203" s="1170"/>
      <c r="AN203" s="1170"/>
      <c r="AO203" s="1170"/>
      <c r="AP203" s="1170"/>
      <c r="AQ203" s="1170"/>
      <c r="AR203" s="1170"/>
      <c r="AS203" s="1170"/>
      <c r="AT203" s="1170"/>
      <c r="AU203" s="1170"/>
      <c r="AV203" s="1186" t="str">
        <f>CokingRefineryCalcs!C845</f>
        <v>Vol Flow</v>
      </c>
      <c r="AW203" s="1170" t="str">
        <f ca="1">CokingRefineryCalcs!D845</f>
        <v>bpd</v>
      </c>
      <c r="AX203" s="1187">
        <f ca="1">AX204/'Energy &amp; Unit Conversions'!$G$80</f>
        <v>6.8182955341264016E-15</v>
      </c>
      <c r="AY203" s="1170"/>
      <c r="AZ203" s="1170"/>
      <c r="BA203" s="1170"/>
      <c r="BB203" s="1170"/>
      <c r="BC203" s="1170"/>
      <c r="BD203" s="1170"/>
      <c r="BE203" s="1170"/>
      <c r="BF203" s="1170"/>
      <c r="BG203" s="1170"/>
      <c r="BH203" s="1170"/>
      <c r="BI203" s="1170"/>
      <c r="BJ203" s="1170"/>
      <c r="BK203" s="1170"/>
      <c r="BL203" s="1170"/>
      <c r="BM203" s="1170"/>
      <c r="BN203" s="1170"/>
      <c r="BO203" s="1170"/>
      <c r="BP203" s="1170"/>
      <c r="BQ203" s="1170"/>
      <c r="BR203" s="1200" t="s">
        <v>1056</v>
      </c>
      <c r="BS203" s="1199" t="s">
        <v>447</v>
      </c>
      <c r="BT203" s="1199">
        <f ca="1">('Energy &amp; Unit Conversions'!$D$63-('Energy &amp; Unit Conversions'!$E$63*POWER((CokingRefineryPFD!BT200/'Energy &amp; Unit Conversions'!$E$54),2)))</f>
        <v>46.692918263876102</v>
      </c>
      <c r="BU203" s="1170"/>
      <c r="BV203" s="1170"/>
      <c r="BW203" s="1184" t="s">
        <v>225</v>
      </c>
      <c r="BX203" s="1227" t="s">
        <v>522</v>
      </c>
      <c r="BY203" s="1187"/>
      <c r="BZ203" s="1170"/>
      <c r="CA203" s="1170"/>
      <c r="CB203" s="1170"/>
      <c r="CC203" s="1170"/>
      <c r="CD203" s="1170"/>
      <c r="CE203" s="1170"/>
      <c r="CF203" s="1170"/>
      <c r="CG203" s="1170"/>
      <c r="CH203" s="1170"/>
      <c r="CI203" s="1170"/>
      <c r="CJ203" s="1170"/>
      <c r="CK203" s="1170"/>
      <c r="CL203" s="1170"/>
      <c r="CM203" s="1170"/>
      <c r="CN203" s="1170"/>
      <c r="CO203" s="1170"/>
      <c r="CP203" s="1170"/>
      <c r="CQ203" s="1170"/>
      <c r="CR203" s="1170"/>
      <c r="CS203" s="1170"/>
      <c r="CT203" s="1186"/>
      <c r="CU203" s="1170"/>
      <c r="CV203" s="1170"/>
      <c r="CW203" s="1170"/>
      <c r="CX203" s="1170"/>
      <c r="CY203" s="1160"/>
      <c r="CZ203" s="1160"/>
      <c r="DA203" s="1160"/>
      <c r="DB203" s="1160"/>
      <c r="DC203" s="1160"/>
      <c r="DD203" s="1160"/>
      <c r="DE203" s="1160"/>
      <c r="DF203" s="1160"/>
      <c r="DG203" s="1160"/>
      <c r="DH203" s="1160"/>
      <c r="DI203" s="1160"/>
      <c r="DJ203" s="1160"/>
      <c r="DK203" s="1171"/>
      <c r="DL203" s="1160"/>
      <c r="DM203" s="1160"/>
      <c r="DN203" s="1160"/>
      <c r="DO203" s="1160"/>
      <c r="DP203" s="1160"/>
      <c r="DQ203" s="1160"/>
      <c r="DR203" s="1160"/>
      <c r="DS203" s="1160"/>
      <c r="DT203" s="1160"/>
      <c r="DU203" s="1160"/>
      <c r="DV203" s="1160"/>
      <c r="DW203" s="1160"/>
      <c r="DX203" s="1160"/>
      <c r="DY203" s="1160"/>
      <c r="DZ203" s="1160"/>
      <c r="EA203" s="1160"/>
      <c r="EB203" s="1160"/>
    </row>
    <row r="204" spans="1:132" x14ac:dyDescent="0.2">
      <c r="A204" s="1160"/>
      <c r="B204" s="1160"/>
      <c r="C204" s="1160"/>
      <c r="D204" s="1160"/>
      <c r="E204" s="1170"/>
      <c r="F204" s="1170"/>
      <c r="G204" s="1170"/>
      <c r="H204" s="1170"/>
      <c r="I204" s="1170"/>
      <c r="J204" s="1170"/>
      <c r="K204" s="1170"/>
      <c r="L204" s="1170"/>
      <c r="M204" s="1170"/>
      <c r="N204" s="1170"/>
      <c r="O204" s="1170"/>
      <c r="P204" s="1170"/>
      <c r="Q204" s="1170"/>
      <c r="R204" s="1170"/>
      <c r="S204" s="1170"/>
      <c r="T204" s="1170"/>
      <c r="U204" s="1170"/>
      <c r="V204" s="1170"/>
      <c r="W204" s="1170"/>
      <c r="X204" s="1170"/>
      <c r="Y204" s="1170"/>
      <c r="Z204" s="1170"/>
      <c r="AA204" s="1170"/>
      <c r="AB204" s="1170"/>
      <c r="AC204" s="1170"/>
      <c r="AD204" s="1170"/>
      <c r="AE204" s="1170"/>
      <c r="AF204" s="1170"/>
      <c r="AG204" s="1170"/>
      <c r="AH204" s="1170"/>
      <c r="AI204" s="1170"/>
      <c r="AJ204" s="1170"/>
      <c r="AK204" s="1170"/>
      <c r="AL204" s="1170"/>
      <c r="AM204" s="1170"/>
      <c r="AN204" s="1170"/>
      <c r="AO204" s="1170"/>
      <c r="AP204" s="1170"/>
      <c r="AQ204" s="1170"/>
      <c r="AR204" s="1170"/>
      <c r="AS204" s="1170"/>
      <c r="AT204" s="1170"/>
      <c r="AU204" s="1170"/>
      <c r="AV204" s="1186" t="str">
        <f>CokingRefineryCalcs!C846</f>
        <v>Vol Flow</v>
      </c>
      <c r="AW204" s="1170" t="str">
        <f ca="1">CokingRefineryCalcs!D846</f>
        <v>m^3/d</v>
      </c>
      <c r="AX204" s="1187">
        <f ca="1">AX205*AX208</f>
        <v>1.0840223975728144E-15</v>
      </c>
      <c r="AY204" s="1170"/>
      <c r="AZ204" s="1170"/>
      <c r="BA204" s="1170"/>
      <c r="BB204" s="1170"/>
      <c r="BC204" s="1170"/>
      <c r="BD204" s="1170"/>
      <c r="BE204" s="1170"/>
      <c r="BF204" s="1170"/>
      <c r="BG204" s="1170"/>
      <c r="BH204" s="1170"/>
      <c r="BI204" s="1170"/>
      <c r="BJ204" s="1170"/>
      <c r="BK204" s="1170"/>
      <c r="BL204" s="1170"/>
      <c r="BM204" s="1170"/>
      <c r="BN204" s="1170"/>
      <c r="BO204" s="1170"/>
      <c r="BP204" s="1170"/>
      <c r="BQ204" s="1170"/>
      <c r="BR204" s="1200" t="s">
        <v>1021</v>
      </c>
      <c r="BS204" s="1199" t="s">
        <v>1022</v>
      </c>
      <c r="BT204" s="1246">
        <f ca="1">(AU118*AU109+AU162*AU153+AU196*AU187+BT269*BT260)/BT195</f>
        <v>85.351978544690525</v>
      </c>
      <c r="BU204" s="1170"/>
      <c r="BV204" s="1170"/>
      <c r="BW204" s="1170" t="s">
        <v>392</v>
      </c>
      <c r="BX204" s="1187">
        <f ca="1">'CokingRefinery Detailed Results'!F24+IF(AND($EB$144+$EB$161=0,E51=FALSE),'CokingRefinery Detailed Results'!F30*CokingRefineryCalcs!$U$985,0)</f>
        <v>0</v>
      </c>
      <c r="BY204" s="1187"/>
      <c r="BZ204" s="1170"/>
      <c r="CA204" s="1170"/>
      <c r="CB204" s="1170"/>
      <c r="CC204" s="1170"/>
      <c r="CD204" s="1170"/>
      <c r="CE204" s="1170"/>
      <c r="CF204" s="1170"/>
      <c r="CG204" s="1170"/>
      <c r="CH204" s="1170"/>
      <c r="CI204" s="1170"/>
      <c r="CJ204" s="1170"/>
      <c r="CK204" s="1170"/>
      <c r="CL204" s="1170"/>
      <c r="CM204" s="1170"/>
      <c r="CN204" s="1170"/>
      <c r="CO204" s="1170"/>
      <c r="CP204" s="1170"/>
      <c r="CQ204" s="1170"/>
      <c r="CR204" s="1170"/>
      <c r="CS204" s="1170"/>
      <c r="CT204" s="1186"/>
      <c r="CU204" s="1170"/>
      <c r="CV204" s="1170"/>
      <c r="CW204" s="1170"/>
      <c r="CX204" s="1170"/>
      <c r="CY204" s="1160"/>
      <c r="CZ204" s="1160"/>
      <c r="DA204" s="1160"/>
      <c r="DB204" s="1160"/>
      <c r="DC204" s="1160"/>
      <c r="DD204" s="1160"/>
      <c r="DE204" s="1160"/>
      <c r="DF204" s="1160"/>
      <c r="DG204" s="1160"/>
      <c r="DH204" s="1160"/>
      <c r="DI204" s="1160"/>
      <c r="DJ204" s="1160"/>
      <c r="DK204" s="1171"/>
      <c r="DL204" s="1160"/>
      <c r="DM204" s="1160"/>
      <c r="DN204" s="1160"/>
      <c r="DO204" s="1160"/>
      <c r="DP204" s="1160"/>
      <c r="DQ204" s="1160"/>
      <c r="DR204" s="1160"/>
      <c r="DS204" s="1160"/>
      <c r="DT204" s="1160"/>
      <c r="DU204" s="1160"/>
      <c r="DV204" s="1160"/>
      <c r="DW204" s="1160"/>
      <c r="DX204" s="1160"/>
      <c r="DY204" s="1160"/>
      <c r="DZ204" s="1160"/>
      <c r="EA204" s="1160"/>
      <c r="EB204" s="1160"/>
    </row>
    <row r="205" spans="1:132" x14ac:dyDescent="0.2">
      <c r="A205" s="1160"/>
      <c r="B205" s="1160"/>
      <c r="C205" s="1160"/>
      <c r="D205" s="1160"/>
      <c r="E205" s="1170"/>
      <c r="F205" s="1170"/>
      <c r="G205" s="1170"/>
      <c r="H205" s="1170"/>
      <c r="I205" s="1170"/>
      <c r="J205" s="1170"/>
      <c r="K205" s="1170"/>
      <c r="L205" s="1170"/>
      <c r="M205" s="1170"/>
      <c r="N205" s="1170"/>
      <c r="O205" s="1170"/>
      <c r="P205" s="1170"/>
      <c r="Q205" s="1170"/>
      <c r="R205" s="1170"/>
      <c r="S205" s="1170"/>
      <c r="T205" s="1170"/>
      <c r="U205" s="1170"/>
      <c r="V205" s="1170"/>
      <c r="W205" s="1170"/>
      <c r="X205" s="1170"/>
      <c r="Y205" s="1170"/>
      <c r="Z205" s="1170"/>
      <c r="AA205" s="1170"/>
      <c r="AB205" s="1170"/>
      <c r="AC205" s="1170"/>
      <c r="AD205" s="1170"/>
      <c r="AE205" s="1170"/>
      <c r="AF205" s="1170"/>
      <c r="AG205" s="1170"/>
      <c r="AH205" s="1170"/>
      <c r="AI205" s="1170"/>
      <c r="AJ205" s="1170"/>
      <c r="AK205" s="1170"/>
      <c r="AL205" s="1170"/>
      <c r="AM205" s="1170"/>
      <c r="AN205" s="1170"/>
      <c r="AO205" s="1170"/>
      <c r="AP205" s="1170"/>
      <c r="AQ205" s="1170"/>
      <c r="AR205" s="1170"/>
      <c r="AS205" s="1170"/>
      <c r="AT205" s="1170"/>
      <c r="AU205" s="1170"/>
      <c r="AV205" s="1186" t="str">
        <f>CokingRefineryCalcs!C847</f>
        <v>Mass Flow</v>
      </c>
      <c r="AW205" s="1170" t="str">
        <f>CokingRefineryCalcs!D847</f>
        <v>kg/d</v>
      </c>
      <c r="AX205" s="1170">
        <f ca="1">CokingRefineryCalcs!F847</f>
        <v>9.3585669599724856E-16</v>
      </c>
      <c r="AY205" s="1170"/>
      <c r="AZ205" s="1170"/>
      <c r="BA205" s="1170"/>
      <c r="BB205" s="1170"/>
      <c r="BC205" s="1170"/>
      <c r="BD205" s="1170"/>
      <c r="BE205" s="1170"/>
      <c r="BF205" s="1170"/>
      <c r="BG205" s="1170"/>
      <c r="BH205" s="1170"/>
      <c r="BI205" s="1170"/>
      <c r="BJ205" s="1170"/>
      <c r="BK205" s="1170"/>
      <c r="BL205" s="1170"/>
      <c r="BM205" s="1170"/>
      <c r="BN205" s="1170"/>
      <c r="BO205" s="1170"/>
      <c r="BP205" s="1170"/>
      <c r="BQ205" s="1170"/>
      <c r="BR205" s="1204" t="s">
        <v>1054</v>
      </c>
      <c r="BS205" s="1204" t="str">
        <f>IF(allocationMethod=1,$C$21,IF(allocationMethod=2,$C$22,IF(allocationMethod=3,$C$23,$C$24)))</f>
        <v>Hydrogen Content Basis</v>
      </c>
      <c r="BT205" s="1204">
        <f ca="1">IF(allocationMethod=1,BT197,IF(allocationMethod=2,BT203*BT197,IF(allocationMethod=3,BT204*BT195,BT201*BT197/100)))</f>
        <v>6.4153762708184791E-16</v>
      </c>
      <c r="BU205" s="1199"/>
      <c r="BV205" s="1170"/>
      <c r="BW205" s="1170" t="s">
        <v>224</v>
      </c>
      <c r="BX205" s="1187">
        <f ca="1">'CokingRefinery Detailed Results'!H24+IF(AND($EB$144+$EB$161=0,E51=FALSE),'CokingRefinery Detailed Results'!H30*CokingRefineryCalcs!$U$985,0)</f>
        <v>2.1041239124517779E-12</v>
      </c>
      <c r="BY205" s="1187"/>
      <c r="BZ205" s="1170"/>
      <c r="CA205" s="1170"/>
      <c r="CB205" s="1170"/>
      <c r="CC205" s="1170"/>
      <c r="CD205" s="1170"/>
      <c r="CE205" s="1170"/>
      <c r="CF205" s="1170"/>
      <c r="CG205" s="1170"/>
      <c r="CH205" s="1170"/>
      <c r="CI205" s="1170"/>
      <c r="CJ205" s="1170"/>
      <c r="CK205" s="1170"/>
      <c r="CL205" s="1170"/>
      <c r="CM205" s="1170"/>
      <c r="CN205" s="1170"/>
      <c r="CO205" s="1170"/>
      <c r="CP205" s="1170"/>
      <c r="CQ205" s="1170"/>
      <c r="CR205" s="1170"/>
      <c r="CS205" s="1170"/>
      <c r="CT205" s="1186"/>
      <c r="CU205" s="1170"/>
      <c r="CV205" s="1170"/>
      <c r="CW205" s="1170"/>
      <c r="CX205" s="1170"/>
      <c r="CY205" s="1160"/>
      <c r="CZ205" s="1160"/>
      <c r="DA205" s="1160"/>
      <c r="DB205" s="1160"/>
      <c r="DC205" s="1160"/>
      <c r="DD205" s="1160"/>
      <c r="DE205" s="1160"/>
      <c r="DF205" s="1160"/>
      <c r="DG205" s="1160"/>
      <c r="DH205" s="1160"/>
      <c r="DI205" s="1160"/>
      <c r="DJ205" s="1160"/>
      <c r="DK205" s="1171"/>
      <c r="DL205" s="1160"/>
      <c r="DM205" s="1160"/>
      <c r="DN205" s="1160"/>
      <c r="DO205" s="1160"/>
      <c r="DP205" s="1160"/>
      <c r="DQ205" s="1160"/>
      <c r="DR205" s="1160"/>
      <c r="DS205" s="1160"/>
      <c r="DT205" s="1160"/>
      <c r="DU205" s="1160"/>
      <c r="DV205" s="1160"/>
      <c r="DW205" s="1160"/>
      <c r="DX205" s="1160"/>
      <c r="DY205" s="1160"/>
      <c r="DZ205" s="1160"/>
      <c r="EA205" s="1160"/>
      <c r="EB205" s="1160"/>
    </row>
    <row r="206" spans="1:132" x14ac:dyDescent="0.2">
      <c r="A206" s="1160"/>
      <c r="B206" s="1160"/>
      <c r="C206" s="1160"/>
      <c r="D206" s="1160"/>
      <c r="E206" s="1170"/>
      <c r="F206" s="1170"/>
      <c r="G206" s="1170"/>
      <c r="H206" s="1170"/>
      <c r="I206" s="1170"/>
      <c r="J206" s="1170"/>
      <c r="K206" s="1170"/>
      <c r="L206" s="1170"/>
      <c r="M206" s="1170"/>
      <c r="N206" s="1170"/>
      <c r="O206" s="1170"/>
      <c r="P206" s="1170"/>
      <c r="Q206" s="1170"/>
      <c r="R206" s="1170"/>
      <c r="S206" s="1170"/>
      <c r="T206" s="1170"/>
      <c r="U206" s="1170"/>
      <c r="V206" s="1170"/>
      <c r="W206" s="1170"/>
      <c r="X206" s="1170"/>
      <c r="Y206" s="1170"/>
      <c r="Z206" s="1170"/>
      <c r="AA206" s="1170"/>
      <c r="AB206" s="1170"/>
      <c r="AC206" s="1170"/>
      <c r="AD206" s="1170"/>
      <c r="AE206" s="1170"/>
      <c r="AF206" s="1170"/>
      <c r="AG206" s="1170"/>
      <c r="AH206" s="1170"/>
      <c r="AI206" s="1170"/>
      <c r="AJ206" s="1170"/>
      <c r="AK206" s="1170"/>
      <c r="AL206" s="1170"/>
      <c r="AM206" s="1170"/>
      <c r="AN206" s="1170"/>
      <c r="AO206" s="1170"/>
      <c r="AP206" s="1170"/>
      <c r="AQ206" s="1170"/>
      <c r="AR206" s="1170"/>
      <c r="AS206" s="1170"/>
      <c r="AT206" s="1170"/>
      <c r="AU206" s="1170"/>
      <c r="AV206" s="1186" t="str">
        <f>CokingRefineryCalcs!C848</f>
        <v xml:space="preserve">Sulphur </v>
      </c>
      <c r="AW206" s="1170" t="str">
        <f ca="1">CokingRefineryCalcs!D848</f>
        <v>wt%</v>
      </c>
      <c r="AX206" s="1170">
        <f ca="1">CokingRefineryCalcs!F848</f>
        <v>0</v>
      </c>
      <c r="AY206" s="1170"/>
      <c r="AZ206" s="1170"/>
      <c r="BA206" s="1170"/>
      <c r="BB206" s="1170"/>
      <c r="BC206" s="1170"/>
      <c r="BD206" s="1170"/>
      <c r="BE206" s="1170"/>
      <c r="BF206" s="1170"/>
      <c r="BG206" s="1170"/>
      <c r="BH206" s="1170"/>
      <c r="BI206" s="1170"/>
      <c r="BJ206" s="1170"/>
      <c r="BK206" s="1170"/>
      <c r="BL206" s="1170"/>
      <c r="BM206" s="1170"/>
      <c r="BN206" s="1170"/>
      <c r="BO206" s="1170"/>
      <c r="BP206" s="1170"/>
      <c r="BQ206" s="1170"/>
      <c r="BR206" s="1170"/>
      <c r="BS206" s="1170"/>
      <c r="BT206" s="1170"/>
      <c r="BU206" s="1199"/>
      <c r="BV206" s="1170"/>
      <c r="BW206" s="1170" t="s">
        <v>485</v>
      </c>
      <c r="BX206" s="1187">
        <f ca="1">'CokingRefinery Detailed Results'!J24+IF(AND($EB$144+$EB$161=0,E51=FALSE),'CokingRefinery Detailed Results'!J30*CokingRefineryCalcs!$U$985,0)</f>
        <v>1.7754730342101587E-13</v>
      </c>
      <c r="BY206" s="1187"/>
      <c r="BZ206" s="1170"/>
      <c r="CA206" s="1170"/>
      <c r="CB206" s="1170"/>
      <c r="CC206" s="1170"/>
      <c r="CD206" s="1170"/>
      <c r="CE206" s="1170"/>
      <c r="CF206" s="1170"/>
      <c r="CG206" s="1170"/>
      <c r="CH206" s="1170"/>
      <c r="CI206" s="1170"/>
      <c r="CJ206" s="1170"/>
      <c r="CK206" s="1170"/>
      <c r="CL206" s="1170"/>
      <c r="CM206" s="1170"/>
      <c r="CN206" s="1170"/>
      <c r="CO206" s="1170"/>
      <c r="CP206" s="1170"/>
      <c r="CQ206" s="1170"/>
      <c r="CR206" s="1170"/>
      <c r="CS206" s="1170"/>
      <c r="CT206" s="1170"/>
      <c r="CU206" s="1170"/>
      <c r="CV206" s="1170"/>
      <c r="CW206" s="1170"/>
      <c r="CX206" s="1170"/>
      <c r="CY206" s="1160"/>
      <c r="CZ206" s="1160"/>
      <c r="DA206" s="1160"/>
      <c r="DB206" s="1160"/>
      <c r="DC206" s="1160"/>
      <c r="DD206" s="1160"/>
      <c r="DE206" s="1160"/>
      <c r="DF206" s="1160"/>
      <c r="DG206" s="1160"/>
      <c r="DH206" s="1160"/>
      <c r="DI206" s="1160"/>
      <c r="DJ206" s="1160"/>
      <c r="DK206" s="1171"/>
      <c r="DL206" s="1160"/>
      <c r="DM206" s="1160"/>
      <c r="DN206" s="1160"/>
      <c r="DO206" s="1160"/>
      <c r="DP206" s="1160"/>
      <c r="DQ206" s="1160"/>
      <c r="DR206" s="1160"/>
      <c r="DS206" s="1160"/>
      <c r="DT206" s="1160"/>
      <c r="DU206" s="1160"/>
      <c r="DV206" s="1160"/>
      <c r="DW206" s="1160"/>
      <c r="DX206" s="1160"/>
      <c r="DY206" s="1160"/>
      <c r="DZ206" s="1160"/>
      <c r="EA206" s="1160"/>
      <c r="EB206" s="1160"/>
    </row>
    <row r="207" spans="1:132" x14ac:dyDescent="0.2">
      <c r="A207" s="1160"/>
      <c r="B207" s="1160"/>
      <c r="C207" s="1160"/>
      <c r="D207" s="1160"/>
      <c r="E207" s="1170"/>
      <c r="F207" s="1170"/>
      <c r="G207" s="1170"/>
      <c r="H207" s="1170"/>
      <c r="I207" s="1170"/>
      <c r="J207" s="1170"/>
      <c r="K207" s="1170"/>
      <c r="L207" s="1170"/>
      <c r="M207" s="1170"/>
      <c r="N207" s="1170"/>
      <c r="O207" s="1170"/>
      <c r="P207" s="1170"/>
      <c r="Q207" s="1170"/>
      <c r="R207" s="1170"/>
      <c r="S207" s="1170"/>
      <c r="T207" s="1170"/>
      <c r="U207" s="1170"/>
      <c r="V207" s="1170"/>
      <c r="W207" s="1170"/>
      <c r="X207" s="1170"/>
      <c r="Y207" s="1170"/>
      <c r="Z207" s="1170"/>
      <c r="AA207" s="1170"/>
      <c r="AB207" s="1170"/>
      <c r="AC207" s="1170"/>
      <c r="AD207" s="1170"/>
      <c r="AE207" s="1170"/>
      <c r="AF207" s="1170"/>
      <c r="AG207" s="1170"/>
      <c r="AH207" s="1170"/>
      <c r="AI207" s="1170"/>
      <c r="AJ207" s="1170"/>
      <c r="AK207" s="1170"/>
      <c r="AL207" s="1170"/>
      <c r="AM207" s="1170"/>
      <c r="AN207" s="1170"/>
      <c r="AO207" s="1170"/>
      <c r="AP207" s="1170"/>
      <c r="AQ207" s="1170"/>
      <c r="AR207" s="1170"/>
      <c r="AS207" s="1170"/>
      <c r="AT207" s="1170"/>
      <c r="AU207" s="1170"/>
      <c r="AV207" s="1186" t="str">
        <f>CokingRefineryCalcs!C850</f>
        <v xml:space="preserve">API gravity </v>
      </c>
      <c r="AW207" s="1170"/>
      <c r="AX207" s="1170"/>
      <c r="AY207" s="1170"/>
      <c r="AZ207" s="1170"/>
      <c r="BA207" s="1170"/>
      <c r="BB207" s="1170"/>
      <c r="BC207" s="1170"/>
      <c r="BD207" s="1170"/>
      <c r="BE207" s="1170"/>
      <c r="BF207" s="1170"/>
      <c r="BG207" s="1170"/>
      <c r="BH207" s="1170"/>
      <c r="BI207" s="1170"/>
      <c r="BJ207" s="1170"/>
      <c r="BK207" s="1170"/>
      <c r="BL207" s="1170"/>
      <c r="BM207" s="1170"/>
      <c r="BN207" s="1170"/>
      <c r="BO207" s="1170"/>
      <c r="BP207" s="1170"/>
      <c r="BQ207" s="1170"/>
      <c r="BR207" s="1170"/>
      <c r="BS207" s="1170"/>
      <c r="BT207" s="1170"/>
      <c r="BU207" s="1204"/>
      <c r="BV207" s="1170"/>
      <c r="BW207" s="1170" t="s">
        <v>541</v>
      </c>
      <c r="BX207" s="1187">
        <f ca="1">'CokingRefinery Detailed Results'!L24+IF(AND($EB$144+$EB$161=0,E51=FALSE),'CokingRefinery Detailed Results'!L30*CokingRefineryCalcs!$U$985,0)</f>
        <v>0</v>
      </c>
      <c r="BY207" s="1187"/>
      <c r="BZ207" s="1170"/>
      <c r="CA207" s="1170"/>
      <c r="CB207" s="1170"/>
      <c r="CC207" s="1170"/>
      <c r="CD207" s="1170"/>
      <c r="CE207" s="1170"/>
      <c r="CF207" s="1170"/>
      <c r="CG207" s="1170"/>
      <c r="CH207" s="1170"/>
      <c r="CI207" s="1170"/>
      <c r="CJ207" s="1170"/>
      <c r="CK207" s="1170"/>
      <c r="CL207" s="1170"/>
      <c r="CM207" s="1170"/>
      <c r="CN207" s="1170"/>
      <c r="CO207" s="1170"/>
      <c r="CP207" s="1170"/>
      <c r="CQ207" s="1170"/>
      <c r="CR207" s="1170"/>
      <c r="CS207" s="1170"/>
      <c r="CT207" s="1170"/>
      <c r="CU207" s="1170"/>
      <c r="CV207" s="1170"/>
      <c r="CW207" s="1170"/>
      <c r="CX207" s="1170"/>
      <c r="CY207" s="1160"/>
      <c r="CZ207" s="1160"/>
      <c r="DA207" s="1160"/>
      <c r="DB207" s="1160"/>
      <c r="DC207" s="1160"/>
      <c r="DD207" s="1160"/>
      <c r="DE207" s="1160"/>
      <c r="DF207" s="1160"/>
      <c r="DG207" s="1160"/>
      <c r="DH207" s="1160"/>
      <c r="DI207" s="1160"/>
      <c r="DJ207" s="1160"/>
      <c r="DK207" s="1171"/>
      <c r="DL207" s="1160"/>
      <c r="DM207" s="1160"/>
      <c r="DN207" s="1160"/>
      <c r="DO207" s="1160"/>
      <c r="DP207" s="1160"/>
      <c r="DQ207" s="1160"/>
      <c r="DR207" s="1160"/>
      <c r="DS207" s="1160"/>
      <c r="DT207" s="1160"/>
      <c r="DU207" s="1160"/>
      <c r="DV207" s="1160"/>
      <c r="DW207" s="1160"/>
      <c r="DX207" s="1160"/>
      <c r="DY207" s="1160"/>
      <c r="DZ207" s="1160"/>
      <c r="EA207" s="1160"/>
      <c r="EB207" s="1160"/>
    </row>
    <row r="208" spans="1:132" ht="26.25" x14ac:dyDescent="0.4">
      <c r="A208" s="1160"/>
      <c r="B208" s="1160"/>
      <c r="C208" s="1160"/>
      <c r="D208" s="1160"/>
      <c r="E208" s="1170"/>
      <c r="F208" s="1170"/>
      <c r="G208" s="1170"/>
      <c r="H208" s="1170"/>
      <c r="I208" s="1170"/>
      <c r="J208" s="1170"/>
      <c r="K208" s="1170"/>
      <c r="L208" s="1170"/>
      <c r="M208" s="1170"/>
      <c r="N208" s="1170"/>
      <c r="O208" s="1170"/>
      <c r="P208" s="1170"/>
      <c r="Q208" s="1170"/>
      <c r="R208" s="1170"/>
      <c r="S208" s="1170"/>
      <c r="T208" s="1170"/>
      <c r="U208" s="1170"/>
      <c r="V208" s="1170"/>
      <c r="W208" s="1170"/>
      <c r="X208" s="1170"/>
      <c r="Y208" s="1170"/>
      <c r="Z208" s="1170"/>
      <c r="AA208" s="1170"/>
      <c r="AB208" s="1170"/>
      <c r="AC208" s="1170"/>
      <c r="AD208" s="1170"/>
      <c r="AE208" s="1170"/>
      <c r="AF208" s="1170"/>
      <c r="AG208" s="1170"/>
      <c r="AH208" s="1170"/>
      <c r="AI208" s="1170"/>
      <c r="AJ208" s="1170"/>
      <c r="AK208" s="1170"/>
      <c r="AL208" s="1170"/>
      <c r="AM208" s="1170"/>
      <c r="AN208" s="1170"/>
      <c r="AO208" s="1265"/>
      <c r="AP208" s="1265"/>
      <c r="AQ208" s="1265"/>
      <c r="AR208" s="1265"/>
      <c r="AS208" s="1170"/>
      <c r="AT208" s="1170"/>
      <c r="AU208" s="1170"/>
      <c r="AV208" s="1186" t="str">
        <f>CokingRefineryCalcs!C851</f>
        <v>Density</v>
      </c>
      <c r="AW208" s="1170" t="str">
        <f ca="1">CokingRefineryCalcs!D851</f>
        <v>kg/m^3</v>
      </c>
      <c r="AX208" s="1170">
        <f>'Energy &amp; Unit Conversions'!$E$27/'Energy &amp; Unit Conversions'!$E$93/'Energy &amp; Unit Conversions'!$G$81</f>
        <v>1.1583209290581402</v>
      </c>
      <c r="AY208" s="1170"/>
      <c r="AZ208" s="1170"/>
      <c r="BA208" s="1170"/>
      <c r="BB208" s="1170"/>
      <c r="BC208" s="1170"/>
      <c r="BD208" s="1170"/>
      <c r="BE208" s="1170"/>
      <c r="BF208" s="1170"/>
      <c r="BG208" s="1170"/>
      <c r="BH208" s="1170"/>
      <c r="BI208" s="1170"/>
      <c r="BJ208" s="1170"/>
      <c r="BK208" s="1170"/>
      <c r="BL208" s="1170"/>
      <c r="BM208" s="1170"/>
      <c r="BN208" s="1170"/>
      <c r="BO208" s="1170"/>
      <c r="BP208" s="1170"/>
      <c r="BQ208" s="1170"/>
      <c r="BR208" s="1170"/>
      <c r="BS208" s="1170"/>
      <c r="BT208" s="1170"/>
      <c r="BU208" s="1170"/>
      <c r="BV208" s="1170"/>
      <c r="BW208" s="1181" t="str">
        <f>CokingRefineryCalcs!C657</f>
        <v>Total hydrogen consumed</v>
      </c>
      <c r="BX208" s="1170"/>
      <c r="BY208" s="1170"/>
      <c r="BZ208" s="1187"/>
      <c r="CA208" s="1170"/>
      <c r="CB208" s="1170"/>
      <c r="CC208" s="1170"/>
      <c r="CD208" s="1170"/>
      <c r="CE208" s="1170"/>
      <c r="CF208" s="1170"/>
      <c r="CG208" s="1170"/>
      <c r="CH208" s="1170"/>
      <c r="CI208" s="1170"/>
      <c r="CJ208" s="1170"/>
      <c r="CK208" s="1170"/>
      <c r="CL208" s="1170"/>
      <c r="CM208" s="1170"/>
      <c r="CN208" s="1170"/>
      <c r="CO208" s="1170"/>
      <c r="CP208" s="1170"/>
      <c r="CQ208" s="1170"/>
      <c r="CR208" s="1170"/>
      <c r="CS208" s="1170"/>
      <c r="CT208" s="1170"/>
      <c r="CU208" s="1170"/>
      <c r="CV208" s="1170"/>
      <c r="CW208" s="1170"/>
      <c r="CX208" s="1170"/>
      <c r="CY208" s="1160"/>
      <c r="CZ208" s="1160"/>
      <c r="DA208" s="1160"/>
      <c r="DB208" s="1160"/>
      <c r="DC208" s="1160"/>
      <c r="DD208" s="1160"/>
      <c r="DE208" s="1160"/>
      <c r="DF208" s="1160"/>
      <c r="DG208" s="1160"/>
      <c r="DH208" s="1160"/>
      <c r="DI208" s="1160"/>
      <c r="DJ208" s="1160"/>
      <c r="DK208" s="1171"/>
      <c r="DL208" s="1160"/>
      <c r="DM208" s="1160"/>
      <c r="DN208" s="1160"/>
      <c r="DO208" s="1160"/>
      <c r="DP208" s="1160"/>
      <c r="DQ208" s="1160"/>
      <c r="DR208" s="1160"/>
      <c r="DS208" s="1160"/>
      <c r="DT208" s="1160"/>
      <c r="DU208" s="1160"/>
      <c r="DV208" s="1160"/>
      <c r="DW208" s="1160"/>
      <c r="DX208" s="1160"/>
      <c r="DY208" s="1160"/>
      <c r="DZ208" s="1160"/>
      <c r="EA208" s="1160"/>
      <c r="EB208" s="1160"/>
    </row>
    <row r="209" spans="1:132" ht="26.25" x14ac:dyDescent="0.4">
      <c r="A209" s="1160"/>
      <c r="B209" s="1160"/>
      <c r="C209" s="1160"/>
      <c r="D209" s="1160"/>
      <c r="E209" s="1170"/>
      <c r="F209" s="1170"/>
      <c r="G209" s="1170"/>
      <c r="H209" s="1170"/>
      <c r="I209" s="1170"/>
      <c r="J209" s="1170"/>
      <c r="K209" s="1170"/>
      <c r="L209" s="1170"/>
      <c r="M209" s="1170"/>
      <c r="N209" s="1170"/>
      <c r="O209" s="1170"/>
      <c r="P209" s="1170"/>
      <c r="Q209" s="1170"/>
      <c r="R209" s="1170"/>
      <c r="S209" s="1170"/>
      <c r="T209" s="1170"/>
      <c r="U209" s="1170"/>
      <c r="V209" s="1170"/>
      <c r="W209" s="1170"/>
      <c r="X209" s="1170"/>
      <c r="Y209" s="1170"/>
      <c r="Z209" s="1170"/>
      <c r="AA209" s="1170"/>
      <c r="AB209" s="1170"/>
      <c r="AC209" s="1170"/>
      <c r="AD209" s="1170"/>
      <c r="AE209" s="1170"/>
      <c r="AF209" s="1170"/>
      <c r="AG209" s="1170"/>
      <c r="AH209" s="1170"/>
      <c r="AI209" s="1170"/>
      <c r="AJ209" s="1170"/>
      <c r="AK209" s="1170"/>
      <c r="AL209" s="1170"/>
      <c r="AM209" s="1170"/>
      <c r="AN209" s="1170"/>
      <c r="AO209" s="1170"/>
      <c r="AP209" s="1170"/>
      <c r="AQ209" s="1170"/>
      <c r="AR209" s="1265"/>
      <c r="AS209" s="1170"/>
      <c r="AT209" s="1170"/>
      <c r="AU209" s="1170"/>
      <c r="AV209" s="1186" t="str">
        <f>CokingRefineryCalcs!C852</f>
        <v>Hydrogen</v>
      </c>
      <c r="AW209" s="1170" t="str">
        <f ca="1">CokingRefineryCalcs!D852</f>
        <v>wt%</v>
      </c>
      <c r="AX209" s="1170">
        <f ca="1">CokingRefineryCalcs!F852</f>
        <v>-98.70521767962849</v>
      </c>
      <c r="AY209" s="1170"/>
      <c r="AZ209" s="1170"/>
      <c r="BA209" s="1170"/>
      <c r="BB209" s="1170"/>
      <c r="BC209" s="1170"/>
      <c r="BD209" s="1170"/>
      <c r="BE209" s="1170"/>
      <c r="BF209" s="1170"/>
      <c r="BG209" s="1170"/>
      <c r="BH209" s="1170"/>
      <c r="BI209" s="1170"/>
      <c r="BJ209" s="1170"/>
      <c r="BK209" s="1170"/>
      <c r="BL209" s="1170"/>
      <c r="BM209" s="1170"/>
      <c r="BN209" s="1170"/>
      <c r="BO209" s="1170"/>
      <c r="BP209" s="1170"/>
      <c r="BQ209" s="1170"/>
      <c r="BR209" s="1170"/>
      <c r="BS209" s="1170"/>
      <c r="BT209" s="1170"/>
      <c r="BU209" s="1170"/>
      <c r="BV209" s="1170"/>
      <c r="BW209" s="1170" t="str">
        <f>CokingRefineryCalcs!E657</f>
        <v>kg/d</v>
      </c>
      <c r="BX209" s="1266">
        <f ca="1">CokingRefineryCalcs!D657</f>
        <v>0</v>
      </c>
      <c r="BY209" s="1170"/>
      <c r="BZ209" s="1170"/>
      <c r="CA209" s="1170"/>
      <c r="CB209" s="1170"/>
      <c r="CC209" s="1170"/>
      <c r="CD209" s="1170"/>
      <c r="CE209" s="1170"/>
      <c r="CF209" s="1170"/>
      <c r="CG209" s="1170"/>
      <c r="CH209" s="1170"/>
      <c r="CI209" s="1170"/>
      <c r="CJ209" s="1170"/>
      <c r="CK209" s="1170"/>
      <c r="CL209" s="1170"/>
      <c r="CM209" s="1170"/>
      <c r="CN209" s="1170"/>
      <c r="CO209" s="1170"/>
      <c r="CP209" s="1170"/>
      <c r="CQ209" s="1170"/>
      <c r="CR209" s="1170"/>
      <c r="CS209" s="1170"/>
      <c r="CT209" s="1170"/>
      <c r="CU209" s="1170"/>
      <c r="CV209" s="1170"/>
      <c r="CW209" s="1170"/>
      <c r="CX209" s="1170"/>
      <c r="CY209" s="1160"/>
      <c r="CZ209" s="1160"/>
      <c r="DA209" s="1160"/>
      <c r="DB209" s="1160"/>
      <c r="DC209" s="1160"/>
      <c r="DD209" s="1160"/>
      <c r="DE209" s="1160"/>
      <c r="DF209" s="1160"/>
      <c r="DG209" s="1160"/>
      <c r="DH209" s="1160"/>
      <c r="DI209" s="1160"/>
      <c r="DJ209" s="1160"/>
      <c r="DK209" s="1171"/>
      <c r="DL209" s="1160"/>
      <c r="DM209" s="1160"/>
      <c r="DN209" s="1160"/>
      <c r="DO209" s="1160"/>
      <c r="DP209" s="1160"/>
      <c r="DQ209" s="1160"/>
      <c r="DR209" s="1160"/>
      <c r="DS209" s="1160"/>
      <c r="DT209" s="1160"/>
      <c r="DU209" s="1160"/>
      <c r="DV209" s="1160"/>
      <c r="DW209" s="1160"/>
      <c r="DX209" s="1160"/>
      <c r="DY209" s="1160"/>
      <c r="DZ209" s="1160"/>
      <c r="EA209" s="1160"/>
      <c r="EB209" s="1160"/>
    </row>
    <row r="210" spans="1:132" x14ac:dyDescent="0.2">
      <c r="A210" s="1160"/>
      <c r="B210" s="1160"/>
      <c r="C210" s="1160"/>
      <c r="D210" s="1160"/>
      <c r="E210" s="1170"/>
      <c r="F210" s="1170"/>
      <c r="G210" s="1170"/>
      <c r="H210" s="1170"/>
      <c r="I210" s="1170"/>
      <c r="J210" s="1170"/>
      <c r="K210" s="1170"/>
      <c r="L210" s="1170"/>
      <c r="M210" s="1170"/>
      <c r="N210" s="1170"/>
      <c r="O210" s="1170"/>
      <c r="P210" s="1170"/>
      <c r="Q210" s="1170"/>
      <c r="R210" s="1170"/>
      <c r="S210" s="1170"/>
      <c r="T210" s="1170"/>
      <c r="U210" s="1170"/>
      <c r="V210" s="1170"/>
      <c r="W210" s="1170"/>
      <c r="X210" s="1170"/>
      <c r="Y210" s="1170"/>
      <c r="Z210" s="1170"/>
      <c r="AA210" s="1170"/>
      <c r="AB210" s="1170"/>
      <c r="AC210" s="1170"/>
      <c r="AD210" s="1170"/>
      <c r="AE210" s="1170"/>
      <c r="AF210" s="1170"/>
      <c r="AG210" s="1170"/>
      <c r="AH210" s="1170"/>
      <c r="AI210" s="1170"/>
      <c r="AJ210" s="1170"/>
      <c r="AK210" s="1170"/>
      <c r="AL210" s="1170"/>
      <c r="AM210" s="1170"/>
      <c r="AN210" s="1170"/>
      <c r="AO210" s="1170"/>
      <c r="AP210" s="1170"/>
      <c r="AQ210" s="1170"/>
      <c r="AR210" s="1184"/>
      <c r="AS210" s="1170"/>
      <c r="AT210" s="1170"/>
      <c r="AU210" s="1170"/>
      <c r="AV210" s="1186" t="str">
        <f>CokingRefineryCalcs!C853</f>
        <v>MCR</v>
      </c>
      <c r="AW210" s="1170" t="str">
        <f ca="1">CokingRefineryCalcs!D853</f>
        <v>wt%</v>
      </c>
      <c r="AX210" s="1170">
        <f>CokingRefineryCalcs!F853</f>
        <v>0</v>
      </c>
      <c r="AY210" s="1170"/>
      <c r="AZ210" s="1170"/>
      <c r="BA210" s="1170"/>
      <c r="BB210" s="1170"/>
      <c r="BC210" s="1170"/>
      <c r="BD210" s="1170"/>
      <c r="BE210" s="1170"/>
      <c r="BF210" s="1170"/>
      <c r="BG210" s="1170"/>
      <c r="BH210" s="1170"/>
      <c r="BI210" s="1170"/>
      <c r="BJ210" s="1170"/>
      <c r="BK210" s="1170"/>
      <c r="BL210" s="1170"/>
      <c r="BM210" s="1170"/>
      <c r="BN210" s="1170"/>
      <c r="BO210" s="1170"/>
      <c r="BP210" s="1170"/>
      <c r="BQ210" s="1170"/>
      <c r="BR210" s="1170"/>
      <c r="BS210" s="1170"/>
      <c r="BT210" s="1170"/>
      <c r="BU210" s="1170"/>
      <c r="BV210" s="1170"/>
      <c r="BW210" s="1170"/>
      <c r="BX210" s="1170"/>
      <c r="BY210" s="1170"/>
      <c r="BZ210" s="1170"/>
      <c r="CA210" s="1170"/>
      <c r="CB210" s="1170"/>
      <c r="CC210" s="1170"/>
      <c r="CD210" s="1170"/>
      <c r="CE210" s="1170"/>
      <c r="CF210" s="1170"/>
      <c r="CG210" s="1170"/>
      <c r="CH210" s="1170"/>
      <c r="CI210" s="1170"/>
      <c r="CJ210" s="1170"/>
      <c r="CK210" s="1170"/>
      <c r="CL210" s="1170"/>
      <c r="CM210" s="1170"/>
      <c r="CN210" s="1170"/>
      <c r="CO210" s="1170"/>
      <c r="CP210" s="1170"/>
      <c r="CQ210" s="1170"/>
      <c r="CR210" s="1170"/>
      <c r="CS210" s="1170"/>
      <c r="CT210" s="1170"/>
      <c r="CU210" s="1170"/>
      <c r="CV210" s="1170"/>
      <c r="CW210" s="1170"/>
      <c r="CX210" s="1170"/>
      <c r="CY210" s="1160"/>
      <c r="CZ210" s="1160"/>
      <c r="DA210" s="1160"/>
      <c r="DB210" s="1160"/>
      <c r="DC210" s="1160"/>
      <c r="DD210" s="1160"/>
      <c r="DE210" s="1160"/>
      <c r="DF210" s="1160"/>
      <c r="DG210" s="1160"/>
      <c r="DH210" s="1160"/>
      <c r="DI210" s="1160"/>
      <c r="DJ210" s="1160"/>
      <c r="DK210" s="1171"/>
      <c r="DL210" s="1160"/>
      <c r="DM210" s="1160"/>
      <c r="DN210" s="1160"/>
      <c r="DO210" s="1160"/>
      <c r="DP210" s="1160"/>
      <c r="DQ210" s="1160"/>
      <c r="DR210" s="1160"/>
      <c r="DS210" s="1160"/>
      <c r="DT210" s="1160"/>
      <c r="DU210" s="1160"/>
      <c r="DV210" s="1160"/>
      <c r="DW210" s="1160"/>
      <c r="DX210" s="1160"/>
      <c r="DY210" s="1160"/>
      <c r="DZ210" s="1160"/>
      <c r="EA210" s="1160"/>
      <c r="EB210" s="1160"/>
    </row>
    <row r="211" spans="1:132" x14ac:dyDescent="0.2">
      <c r="A211" s="1160"/>
      <c r="B211" s="1160"/>
      <c r="C211" s="1160"/>
      <c r="D211" s="1160"/>
      <c r="E211" s="1170"/>
      <c r="F211" s="1170"/>
      <c r="G211" s="1170"/>
      <c r="H211" s="1170"/>
      <c r="I211" s="1170"/>
      <c r="J211" s="1170"/>
      <c r="K211" s="1170"/>
      <c r="L211" s="1170"/>
      <c r="M211" s="1170"/>
      <c r="N211" s="1170"/>
      <c r="O211" s="1170"/>
      <c r="P211" s="1170"/>
      <c r="Q211" s="1170"/>
      <c r="R211" s="1170"/>
      <c r="S211" s="1170"/>
      <c r="T211" s="1170"/>
      <c r="U211" s="1170"/>
      <c r="V211" s="1170"/>
      <c r="W211" s="1170"/>
      <c r="X211" s="1170"/>
      <c r="Y211" s="1170"/>
      <c r="Z211" s="1170"/>
      <c r="AA211" s="1170"/>
      <c r="AB211" s="1170"/>
      <c r="AC211" s="1170"/>
      <c r="AD211" s="1170"/>
      <c r="AE211" s="1170"/>
      <c r="AF211" s="1170"/>
      <c r="AG211" s="1170"/>
      <c r="AH211" s="1170"/>
      <c r="AI211" s="1170"/>
      <c r="AJ211" s="1170"/>
      <c r="AK211" s="1170"/>
      <c r="AL211" s="1170"/>
      <c r="AM211" s="1170"/>
      <c r="AN211" s="1170"/>
      <c r="AO211" s="1170"/>
      <c r="AP211" s="1170"/>
      <c r="AQ211" s="1170"/>
      <c r="AR211" s="1170"/>
      <c r="AS211" s="1170"/>
      <c r="AT211" s="1170"/>
      <c r="AU211" s="1170"/>
      <c r="AV211" s="1186" t="s">
        <v>1698</v>
      </c>
      <c r="AW211" s="1199" t="s">
        <v>447</v>
      </c>
      <c r="AX211" s="1199">
        <f>'Energy &amp; Unit Conversions'!$Q$27</f>
        <v>46.898519302437805</v>
      </c>
      <c r="AY211" s="1170"/>
      <c r="AZ211" s="1170"/>
      <c r="BA211" s="1170"/>
      <c r="BB211" s="1170"/>
      <c r="BC211" s="1170"/>
      <c r="BD211" s="1170"/>
      <c r="BE211" s="1170"/>
      <c r="BF211" s="1170"/>
      <c r="BG211" s="1170"/>
      <c r="BH211" s="1170"/>
      <c r="BI211" s="1170"/>
      <c r="BJ211" s="1170"/>
      <c r="BK211" s="1170"/>
      <c r="BL211" s="1170"/>
      <c r="BM211" s="1170"/>
      <c r="BN211" s="1170"/>
      <c r="BO211" s="1170"/>
      <c r="BP211" s="1170"/>
      <c r="BQ211" s="1170"/>
      <c r="BR211" s="1170"/>
      <c r="BS211" s="1170"/>
      <c r="BT211" s="1170"/>
      <c r="BU211" s="1170"/>
      <c r="BV211" s="1170"/>
      <c r="BW211" s="1170"/>
      <c r="BX211" s="1170"/>
      <c r="BY211" s="1170"/>
      <c r="BZ211" s="1170"/>
      <c r="CA211" s="1170"/>
      <c r="CB211" s="1170"/>
      <c r="CC211" s="1170"/>
      <c r="CD211" s="1170"/>
      <c r="CE211" s="1170"/>
      <c r="CF211" s="1170"/>
      <c r="CG211" s="1170"/>
      <c r="CH211" s="1170"/>
      <c r="CI211" s="1170"/>
      <c r="CJ211" s="1170"/>
      <c r="CK211" s="1170"/>
      <c r="CL211" s="1170"/>
      <c r="CM211" s="1170"/>
      <c r="CN211" s="1170"/>
      <c r="CO211" s="1170"/>
      <c r="CP211" s="1170"/>
      <c r="CQ211" s="1170"/>
      <c r="CR211" s="1170"/>
      <c r="CS211" s="1170"/>
      <c r="CT211" s="1170"/>
      <c r="CU211" s="1170"/>
      <c r="CV211" s="1170"/>
      <c r="CW211" s="1170"/>
      <c r="CX211" s="1170"/>
      <c r="CY211" s="1160"/>
      <c r="CZ211" s="1160"/>
      <c r="DA211" s="1160"/>
      <c r="DB211" s="1160"/>
      <c r="DC211" s="1160"/>
      <c r="DD211" s="1160"/>
      <c r="DE211" s="1160"/>
      <c r="DF211" s="1160"/>
      <c r="DG211" s="1160"/>
      <c r="DH211" s="1160"/>
      <c r="DI211" s="1160"/>
      <c r="DJ211" s="1160"/>
      <c r="DK211" s="1171"/>
      <c r="DL211" s="1160"/>
      <c r="DM211" s="1160"/>
      <c r="DN211" s="1160"/>
      <c r="DO211" s="1160"/>
      <c r="DP211" s="1160"/>
      <c r="DQ211" s="1160"/>
      <c r="DR211" s="1160"/>
      <c r="DS211" s="1160"/>
      <c r="DT211" s="1160"/>
      <c r="DU211" s="1160"/>
      <c r="DV211" s="1160"/>
      <c r="DW211" s="1160"/>
      <c r="DX211" s="1160"/>
      <c r="DY211" s="1160"/>
      <c r="DZ211" s="1160"/>
      <c r="EA211" s="1160"/>
      <c r="EB211" s="1160"/>
    </row>
    <row r="212" spans="1:132" ht="26.25" x14ac:dyDescent="0.4">
      <c r="A212" s="1160"/>
      <c r="B212" s="1160"/>
      <c r="C212" s="1160"/>
      <c r="D212" s="1160"/>
      <c r="E212" s="1170"/>
      <c r="F212" s="1170"/>
      <c r="G212" s="1170"/>
      <c r="H212" s="1170"/>
      <c r="I212" s="1170"/>
      <c r="J212" s="1170"/>
      <c r="K212" s="1170"/>
      <c r="L212" s="1170"/>
      <c r="M212" s="1170"/>
      <c r="N212" s="1170"/>
      <c r="O212" s="1170"/>
      <c r="P212" s="1170"/>
      <c r="Q212" s="1170"/>
      <c r="R212" s="1170"/>
      <c r="S212" s="1170"/>
      <c r="T212" s="1170"/>
      <c r="U212" s="1170"/>
      <c r="V212" s="1170"/>
      <c r="W212" s="1170"/>
      <c r="X212" s="1170"/>
      <c r="Y212" s="1170"/>
      <c r="Z212" s="1170"/>
      <c r="AA212" s="1170"/>
      <c r="AB212" s="1170"/>
      <c r="AC212" s="1170"/>
      <c r="AD212" s="1170"/>
      <c r="AE212" s="1170"/>
      <c r="AF212" s="1170"/>
      <c r="AG212" s="1170"/>
      <c r="AH212" s="1170"/>
      <c r="AI212" s="1170"/>
      <c r="AJ212" s="1170"/>
      <c r="AK212" s="1170"/>
      <c r="AL212" s="1170"/>
      <c r="AM212" s="1170"/>
      <c r="AN212" s="1170"/>
      <c r="AO212" s="1170"/>
      <c r="AP212" s="1170"/>
      <c r="AQ212" s="1170"/>
      <c r="AR212" s="1170"/>
      <c r="AS212" s="1170"/>
      <c r="AT212" s="1170"/>
      <c r="AU212" s="1170"/>
      <c r="AV212" s="1200" t="s">
        <v>1021</v>
      </c>
      <c r="AW212" s="1199" t="s">
        <v>1022</v>
      </c>
      <c r="AX212" s="1199">
        <f>Constants!G353</f>
        <v>33.957001686096191</v>
      </c>
      <c r="AY212" s="1170"/>
      <c r="AZ212" s="1170"/>
      <c r="BA212" s="1170"/>
      <c r="BB212" s="1170"/>
      <c r="BC212" s="1170"/>
      <c r="BD212" s="1170"/>
      <c r="BE212" s="1170"/>
      <c r="BF212" s="1267" t="str">
        <f>'CokingRefinery Detailed Results'!C22</f>
        <v xml:space="preserve">Coker Fractionator </v>
      </c>
      <c r="BG212" s="1265"/>
      <c r="BH212" s="1265"/>
      <c r="BI212" s="1170"/>
      <c r="BJ212" s="1170"/>
      <c r="BK212" s="1170"/>
      <c r="BL212" s="1170"/>
      <c r="BM212" s="1170"/>
      <c r="BN212" s="1170"/>
      <c r="BO212" s="1170"/>
      <c r="BP212" s="1170"/>
      <c r="BQ212" s="1170"/>
      <c r="BR212" s="1170"/>
      <c r="BS212" s="1170"/>
      <c r="BT212" s="1170"/>
      <c r="BU212" s="1170"/>
      <c r="BV212" s="1170"/>
      <c r="BW212" s="1170"/>
      <c r="BX212" s="1170"/>
      <c r="BY212" s="1170"/>
      <c r="BZ212" s="1170"/>
      <c r="CA212" s="1170"/>
      <c r="CB212" s="1170"/>
      <c r="CC212" s="1170"/>
      <c r="CD212" s="1170"/>
      <c r="CE212" s="1170"/>
      <c r="CF212" s="1170"/>
      <c r="CG212" s="1170"/>
      <c r="CH212" s="1170"/>
      <c r="CI212" s="1170"/>
      <c r="CJ212" s="1170"/>
      <c r="CK212" s="1170"/>
      <c r="CL212" s="1170"/>
      <c r="CM212" s="1170"/>
      <c r="CN212" s="1170"/>
      <c r="CO212" s="1170"/>
      <c r="CP212" s="1170"/>
      <c r="CQ212" s="1170"/>
      <c r="CR212" s="1170"/>
      <c r="CS212" s="1170"/>
      <c r="CT212" s="1170"/>
      <c r="CU212" s="1170"/>
      <c r="CV212" s="1170"/>
      <c r="CW212" s="1170"/>
      <c r="CX212" s="1170"/>
      <c r="CY212" s="1160"/>
      <c r="CZ212" s="1160"/>
      <c r="DA212" s="1160"/>
      <c r="DB212" s="1160"/>
      <c r="DC212" s="1160"/>
      <c r="DD212" s="1160"/>
      <c r="DE212" s="1160"/>
      <c r="DF212" s="1160"/>
      <c r="DG212" s="1160"/>
      <c r="DH212" s="1160"/>
      <c r="DI212" s="1160"/>
      <c r="DJ212" s="1160"/>
      <c r="DK212" s="1171"/>
      <c r="DL212" s="1160"/>
      <c r="DM212" s="1160"/>
      <c r="DN212" s="1160"/>
      <c r="DO212" s="1160"/>
      <c r="DP212" s="1160"/>
      <c r="DQ212" s="1160"/>
      <c r="DR212" s="1160"/>
      <c r="DS212" s="1160"/>
      <c r="DT212" s="1160"/>
      <c r="DU212" s="1160"/>
      <c r="DV212" s="1160"/>
      <c r="DW212" s="1160"/>
      <c r="DX212" s="1160"/>
      <c r="DY212" s="1160"/>
      <c r="DZ212" s="1160"/>
      <c r="EA212" s="1160"/>
      <c r="EB212" s="1160"/>
    </row>
    <row r="213" spans="1:132" x14ac:dyDescent="0.2">
      <c r="A213" s="1160"/>
      <c r="B213" s="1160"/>
      <c r="C213" s="1160"/>
      <c r="D213" s="1160"/>
      <c r="E213" s="1184"/>
      <c r="F213" s="1170"/>
      <c r="G213" s="1170"/>
      <c r="H213" s="1170"/>
      <c r="I213" s="1170"/>
      <c r="J213" s="1170"/>
      <c r="K213" s="1170"/>
      <c r="L213" s="1170"/>
      <c r="M213" s="1170"/>
      <c r="N213" s="1170"/>
      <c r="O213" s="1170"/>
      <c r="P213" s="1170"/>
      <c r="Q213" s="1170"/>
      <c r="R213" s="1170"/>
      <c r="S213" s="1170"/>
      <c r="T213" s="1170"/>
      <c r="U213" s="1170"/>
      <c r="V213" s="1170"/>
      <c r="W213" s="1170"/>
      <c r="X213" s="1170"/>
      <c r="Y213" s="1170"/>
      <c r="Z213" s="1170"/>
      <c r="AA213" s="1170"/>
      <c r="AB213" s="1170"/>
      <c r="AC213" s="1170"/>
      <c r="AD213" s="1170"/>
      <c r="AE213" s="1170"/>
      <c r="AF213" s="1170"/>
      <c r="AG213" s="1170"/>
      <c r="AH213" s="1170"/>
      <c r="AI213" s="1170"/>
      <c r="AJ213" s="1170"/>
      <c r="AK213" s="1170"/>
      <c r="AL213" s="1170"/>
      <c r="AM213" s="1170"/>
      <c r="AN213" s="1170"/>
      <c r="AO213" s="1170"/>
      <c r="AP213" s="1170"/>
      <c r="AQ213" s="1170"/>
      <c r="AR213" s="1170"/>
      <c r="AS213" s="1170"/>
      <c r="AT213" s="1170"/>
      <c r="AU213" s="1170"/>
      <c r="AV213" s="1204" t="s">
        <v>1054</v>
      </c>
      <c r="AW213" s="1204" t="str">
        <f>IF(allocationMethod=1,$C$21,IF(allocationMethod=2,$C$22,IF(allocationMethod=3,$C$23,$C$24)))</f>
        <v>Hydrogen Content Basis</v>
      </c>
      <c r="AX213" s="1204">
        <f ca="1">CokingRefineryCalcs!R1453</f>
        <v>0</v>
      </c>
      <c r="AY213" s="1170"/>
      <c r="AZ213" s="1170"/>
      <c r="BA213" s="1170"/>
      <c r="BB213" s="1170"/>
      <c r="BC213" s="1170"/>
      <c r="BD213" s="1170"/>
      <c r="BE213" s="1170"/>
      <c r="BF213" s="1184" t="s">
        <v>225</v>
      </c>
      <c r="BG213" s="1184" t="s">
        <v>522</v>
      </c>
      <c r="BH213" s="1170"/>
      <c r="BI213" s="1170"/>
      <c r="BJ213" s="1170"/>
      <c r="BK213" s="1170"/>
      <c r="BL213" s="1170"/>
      <c r="BM213" s="1170"/>
      <c r="BN213" s="1170"/>
      <c r="BO213" s="1170"/>
      <c r="BP213" s="1170"/>
      <c r="BQ213" s="1170"/>
      <c r="BR213" s="1170"/>
      <c r="BS213" s="1170"/>
      <c r="BT213" s="1170"/>
      <c r="BU213" s="1170"/>
      <c r="BV213" s="1170"/>
      <c r="BW213" s="1170"/>
      <c r="BX213" s="1170"/>
      <c r="BY213" s="1170"/>
      <c r="BZ213" s="1170"/>
      <c r="CA213" s="1170"/>
      <c r="CB213" s="1170"/>
      <c r="CC213" s="1170"/>
      <c r="CD213" s="1170"/>
      <c r="CE213" s="1184" t="str">
        <f>'CokingRefinery Detailed Results'!C26</f>
        <v>Fluid Catalytic Cracker Main Fractionator</v>
      </c>
      <c r="CF213" s="1170"/>
      <c r="CG213" s="1170"/>
      <c r="CH213" s="1170"/>
      <c r="CI213" s="1170"/>
      <c r="CJ213" s="1170"/>
      <c r="CK213" s="1170"/>
      <c r="CL213" s="1170"/>
      <c r="CM213" s="1170"/>
      <c r="CN213" s="1170"/>
      <c r="CO213" s="1170"/>
      <c r="CP213" s="1170"/>
      <c r="CQ213" s="1170"/>
      <c r="CR213" s="1170"/>
      <c r="CS213" s="1170"/>
      <c r="CT213" s="1170"/>
      <c r="CU213" s="1170"/>
      <c r="CV213" s="1170"/>
      <c r="CW213" s="1170"/>
      <c r="CX213" s="1170"/>
      <c r="CY213" s="1160"/>
      <c r="CZ213" s="1160"/>
      <c r="DA213" s="1160"/>
      <c r="DB213" s="1160"/>
      <c r="DC213" s="1160"/>
      <c r="DD213" s="1160"/>
      <c r="DE213" s="1160"/>
      <c r="DF213" s="1160"/>
      <c r="DG213" s="1160"/>
      <c r="DH213" s="1160"/>
      <c r="DI213" s="1160"/>
      <c r="DJ213" s="1160"/>
      <c r="DK213" s="1171"/>
      <c r="DL213" s="1160"/>
      <c r="DM213" s="1160"/>
      <c r="DN213" s="1160"/>
      <c r="DO213" s="1160"/>
      <c r="DP213" s="1160"/>
      <c r="DQ213" s="1160"/>
      <c r="DR213" s="1160"/>
      <c r="DS213" s="1160"/>
      <c r="DT213" s="1160"/>
      <c r="DU213" s="1160"/>
      <c r="DV213" s="1160"/>
      <c r="DW213" s="1160"/>
      <c r="DX213" s="1160"/>
      <c r="DY213" s="1160"/>
      <c r="DZ213" s="1160"/>
      <c r="EA213" s="1160"/>
      <c r="EB213" s="1160"/>
    </row>
    <row r="214" spans="1:132" x14ac:dyDescent="0.2">
      <c r="A214" s="1160"/>
      <c r="B214" s="1160"/>
      <c r="C214" s="1160"/>
      <c r="D214" s="1160"/>
      <c r="E214" s="1184"/>
      <c r="F214" s="1184"/>
      <c r="G214" s="1170"/>
      <c r="H214" s="1170"/>
      <c r="I214" s="1170"/>
      <c r="J214" s="1170"/>
      <c r="K214" s="1170"/>
      <c r="L214" s="1170"/>
      <c r="M214" s="1170"/>
      <c r="N214" s="1170"/>
      <c r="O214" s="1170"/>
      <c r="P214" s="1170"/>
      <c r="Q214" s="1170"/>
      <c r="R214" s="1170"/>
      <c r="S214" s="1170"/>
      <c r="T214" s="1170"/>
      <c r="U214" s="1170"/>
      <c r="V214" s="1170"/>
      <c r="W214" s="1170"/>
      <c r="X214" s="1170"/>
      <c r="Y214" s="1170"/>
      <c r="Z214" s="1170"/>
      <c r="AA214" s="1170"/>
      <c r="AB214" s="1170"/>
      <c r="AC214" s="1170"/>
      <c r="AD214" s="1170"/>
      <c r="AE214" s="1170"/>
      <c r="AF214" s="1170"/>
      <c r="AG214" s="1170"/>
      <c r="AH214" s="1170"/>
      <c r="AI214" s="1170"/>
      <c r="AJ214" s="1170"/>
      <c r="AK214" s="1170"/>
      <c r="AL214" s="1170"/>
      <c r="AM214" s="1170"/>
      <c r="AN214" s="1170"/>
      <c r="AO214" s="1170"/>
      <c r="AP214" s="1170"/>
      <c r="AQ214" s="1170"/>
      <c r="AR214" s="1170"/>
      <c r="AS214" s="1170"/>
      <c r="AT214" s="1170"/>
      <c r="AU214" s="1170"/>
      <c r="AV214" s="1170"/>
      <c r="AW214" s="1170"/>
      <c r="AX214" s="1170"/>
      <c r="AY214" s="1170"/>
      <c r="AZ214" s="1170"/>
      <c r="BA214" s="1170"/>
      <c r="BB214" s="1170"/>
      <c r="BC214" s="1170"/>
      <c r="BD214" s="1170"/>
      <c r="BE214" s="1170"/>
      <c r="BF214" s="1170" t="s">
        <v>392</v>
      </c>
      <c r="BG214" s="1170">
        <f ca="1">'CokingRefinery Detailed Results'!F22</f>
        <v>0</v>
      </c>
      <c r="BH214" s="1170"/>
      <c r="BI214" s="1170"/>
      <c r="BJ214" s="1170"/>
      <c r="BK214" s="1170"/>
      <c r="BL214" s="1170"/>
      <c r="BM214" s="1170"/>
      <c r="BN214" s="1170"/>
      <c r="BO214" s="1170"/>
      <c r="BP214" s="1170"/>
      <c r="BQ214" s="1170"/>
      <c r="BR214" s="1170"/>
      <c r="BS214" s="1170"/>
      <c r="BT214" s="1170"/>
      <c r="BU214" s="1170"/>
      <c r="BV214" s="1170"/>
      <c r="BW214" s="1170"/>
      <c r="BX214" s="1181" t="str">
        <f>CokingRefineryCalcs!J643</f>
        <v>Hydrotreated FCC Feed</v>
      </c>
      <c r="BY214" s="1170"/>
      <c r="BZ214" s="1170"/>
      <c r="CA214" s="1180" t="str">
        <f>BX214</f>
        <v>Hydrotreated FCC Feed</v>
      </c>
      <c r="CB214" s="1170"/>
      <c r="CC214" s="1170"/>
      <c r="CD214" s="1170"/>
      <c r="CE214" s="1184" t="s">
        <v>225</v>
      </c>
      <c r="CF214" s="1184" t="s">
        <v>522</v>
      </c>
      <c r="CG214" s="1170"/>
      <c r="CH214" s="1170"/>
      <c r="CI214" s="1170"/>
      <c r="CJ214" s="1170"/>
      <c r="CK214" s="1170"/>
      <c r="CL214" s="1170"/>
      <c r="CM214" s="1170"/>
      <c r="CN214" s="1170"/>
      <c r="CO214" s="1170"/>
      <c r="CP214" s="1170"/>
      <c r="CQ214" s="1170"/>
      <c r="CR214" s="1170"/>
      <c r="CS214" s="1170"/>
      <c r="CT214" s="1170"/>
      <c r="CU214" s="1170"/>
      <c r="CV214" s="1170"/>
      <c r="CW214" s="1170"/>
      <c r="CX214" s="1170"/>
      <c r="CY214" s="1160"/>
      <c r="CZ214" s="1160"/>
      <c r="DA214" s="1160"/>
      <c r="DB214" s="1160"/>
      <c r="DC214" s="1160"/>
      <c r="DD214" s="1160"/>
      <c r="DE214" s="1160"/>
      <c r="DF214" s="1160"/>
      <c r="DG214" s="1160"/>
      <c r="DH214" s="1160"/>
      <c r="DI214" s="1160"/>
      <c r="DJ214" s="1160"/>
      <c r="DK214" s="1171"/>
      <c r="DL214" s="1160"/>
      <c r="DM214" s="1160"/>
      <c r="DN214" s="1160"/>
      <c r="DO214" s="1160"/>
      <c r="DP214" s="1160"/>
      <c r="DQ214" s="1160"/>
      <c r="DR214" s="1160"/>
      <c r="DS214" s="1160"/>
      <c r="DT214" s="1160"/>
      <c r="DU214" s="1160"/>
      <c r="DV214" s="1160"/>
      <c r="DW214" s="1160"/>
      <c r="DX214" s="1160"/>
      <c r="DY214" s="1160"/>
      <c r="DZ214" s="1160"/>
      <c r="EA214" s="1160"/>
      <c r="EB214" s="1160"/>
    </row>
    <row r="215" spans="1:132" x14ac:dyDescent="0.2">
      <c r="A215" s="1160"/>
      <c r="B215" s="1160"/>
      <c r="C215" s="1160"/>
      <c r="D215" s="1160"/>
      <c r="E215" s="1170"/>
      <c r="F215" s="1170"/>
      <c r="G215" s="1170"/>
      <c r="H215" s="1170"/>
      <c r="I215" s="1170"/>
      <c r="J215" s="1170"/>
      <c r="K215" s="1170"/>
      <c r="L215" s="1170"/>
      <c r="M215" s="1170"/>
      <c r="N215" s="1170"/>
      <c r="O215" s="1170"/>
      <c r="P215" s="1170"/>
      <c r="Q215" s="1170"/>
      <c r="R215" s="1170"/>
      <c r="S215" s="1170"/>
      <c r="T215" s="1170"/>
      <c r="U215" s="1170"/>
      <c r="V215" s="1170"/>
      <c r="W215" s="1170"/>
      <c r="X215" s="1170"/>
      <c r="Y215" s="1170"/>
      <c r="Z215" s="1170"/>
      <c r="AA215" s="1170"/>
      <c r="AB215" s="1170"/>
      <c r="AC215" s="1170"/>
      <c r="AD215" s="1170"/>
      <c r="AE215" s="1170"/>
      <c r="AF215" s="1170"/>
      <c r="AG215" s="1170"/>
      <c r="AH215" s="1170"/>
      <c r="AI215" s="1170"/>
      <c r="AJ215" s="1170"/>
      <c r="AK215" s="1170"/>
      <c r="AL215" s="1170"/>
      <c r="AM215" s="1170"/>
      <c r="AN215" s="1170"/>
      <c r="AO215" s="1170"/>
      <c r="AP215" s="1170"/>
      <c r="AQ215" s="1170"/>
      <c r="AR215" s="1170"/>
      <c r="AS215" s="1170"/>
      <c r="AT215" s="1170"/>
      <c r="AU215" s="1170"/>
      <c r="AV215" s="1170"/>
      <c r="AW215" s="1170"/>
      <c r="AX215" s="1170"/>
      <c r="AY215" s="1170"/>
      <c r="AZ215" s="1170"/>
      <c r="BA215" s="1170"/>
      <c r="BB215" s="1170"/>
      <c r="BC215" s="1170"/>
      <c r="BD215" s="1170"/>
      <c r="BE215" s="1170"/>
      <c r="BF215" s="1170" t="s">
        <v>224</v>
      </c>
      <c r="BG215" s="1170">
        <f>'CokingRefinery Detailed Results'!H22</f>
        <v>0</v>
      </c>
      <c r="BH215" s="1170"/>
      <c r="BI215" s="1170"/>
      <c r="BJ215" s="1170"/>
      <c r="BK215" s="1170"/>
      <c r="BL215" s="1170"/>
      <c r="BM215" s="1170"/>
      <c r="BN215" s="1170"/>
      <c r="BO215" s="1170"/>
      <c r="BP215" s="1170"/>
      <c r="BQ215" s="1170"/>
      <c r="BR215" s="1170"/>
      <c r="BS215" s="1170"/>
      <c r="BT215" s="1170"/>
      <c r="BU215" s="1170"/>
      <c r="BV215" s="1170"/>
      <c r="BW215" s="1170"/>
      <c r="BX215" s="1182" t="str">
        <f>CokingRefineryCalcs!C643</f>
        <v>Property</v>
      </c>
      <c r="BY215" s="1182" t="str">
        <f>CokingRefineryCalcs!D643</f>
        <v>Units</v>
      </c>
      <c r="BZ215" s="1170"/>
      <c r="CA215" s="1183" t="s">
        <v>226</v>
      </c>
      <c r="CB215" s="1170"/>
      <c r="CC215" s="1184" t="s">
        <v>522</v>
      </c>
      <c r="CD215" s="1170"/>
      <c r="CE215" s="1170" t="s">
        <v>392</v>
      </c>
      <c r="CF215" s="1187">
        <f ca="1">'CokingRefinery Detailed Results'!F26</f>
        <v>0</v>
      </c>
      <c r="CG215" s="1187"/>
      <c r="CH215" s="1187"/>
      <c r="CI215" s="1170"/>
      <c r="CJ215" s="1170"/>
      <c r="CK215" s="1170"/>
      <c r="CL215" s="1170"/>
      <c r="CM215" s="1170"/>
      <c r="CN215" s="1170"/>
      <c r="CO215" s="1170"/>
      <c r="CP215" s="1170"/>
      <c r="CQ215" s="1170"/>
      <c r="CR215" s="1170"/>
      <c r="CS215" s="1170"/>
      <c r="CT215" s="1170"/>
      <c r="CU215" s="1170"/>
      <c r="CV215" s="1170"/>
      <c r="CW215" s="1170"/>
      <c r="CX215" s="1170"/>
      <c r="CY215" s="1160"/>
      <c r="CZ215" s="1160"/>
      <c r="DA215" s="1160"/>
      <c r="DB215" s="1160"/>
      <c r="DC215" s="1160"/>
      <c r="DD215" s="1160"/>
      <c r="DE215" s="1160"/>
      <c r="DF215" s="1160"/>
      <c r="DG215" s="1160"/>
      <c r="DH215" s="1160"/>
      <c r="DI215" s="1160"/>
      <c r="DJ215" s="1160"/>
      <c r="DK215" s="1171"/>
      <c r="DL215" s="1160"/>
      <c r="DM215" s="1160"/>
      <c r="DN215" s="1160"/>
      <c r="DO215" s="1160"/>
      <c r="DP215" s="1160"/>
      <c r="DQ215" s="1160"/>
      <c r="DR215" s="1160"/>
      <c r="DS215" s="1160"/>
      <c r="DT215" s="1160"/>
      <c r="DU215" s="1160"/>
      <c r="DV215" s="1160"/>
      <c r="DW215" s="1160"/>
      <c r="DX215" s="1160"/>
      <c r="DY215" s="1160"/>
      <c r="DZ215" s="1160"/>
      <c r="EA215" s="1160"/>
      <c r="EB215" s="1160"/>
    </row>
    <row r="216" spans="1:132" x14ac:dyDescent="0.2">
      <c r="A216" s="1160"/>
      <c r="B216" s="1160"/>
      <c r="C216" s="1160"/>
      <c r="D216" s="1160"/>
      <c r="E216" s="1170"/>
      <c r="F216" s="1170"/>
      <c r="G216" s="1170"/>
      <c r="H216" s="1170"/>
      <c r="I216" s="1170"/>
      <c r="J216" s="1170"/>
      <c r="K216" s="1170"/>
      <c r="L216" s="1170"/>
      <c r="M216" s="1170"/>
      <c r="N216" s="1170"/>
      <c r="O216" s="1170"/>
      <c r="P216" s="1170"/>
      <c r="Q216" s="1170"/>
      <c r="R216" s="1170"/>
      <c r="S216" s="1170"/>
      <c r="T216" s="1170"/>
      <c r="U216" s="1170"/>
      <c r="V216" s="1170"/>
      <c r="W216" s="1170"/>
      <c r="X216" s="1170"/>
      <c r="Y216" s="1170"/>
      <c r="Z216" s="1170"/>
      <c r="AA216" s="1170"/>
      <c r="AB216" s="1170"/>
      <c r="AC216" s="1170"/>
      <c r="AD216" s="1170"/>
      <c r="AE216" s="1170"/>
      <c r="AF216" s="1170"/>
      <c r="AG216" s="1170"/>
      <c r="AH216" s="1170"/>
      <c r="AI216" s="1170"/>
      <c r="AJ216" s="1170"/>
      <c r="AK216" s="1170"/>
      <c r="AL216" s="1170"/>
      <c r="AM216" s="1170"/>
      <c r="AN216" s="1170"/>
      <c r="AO216" s="1170"/>
      <c r="AP216" s="1170"/>
      <c r="AQ216" s="1170"/>
      <c r="AR216" s="1170"/>
      <c r="AS216" s="1170"/>
      <c r="AT216" s="1170"/>
      <c r="AU216" s="1170"/>
      <c r="AV216" s="1170"/>
      <c r="AW216" s="1170"/>
      <c r="AX216" s="1170"/>
      <c r="AY216" s="1170"/>
      <c r="AZ216" s="1170"/>
      <c r="BA216" s="1170"/>
      <c r="BB216" s="1170"/>
      <c r="BC216" s="1170"/>
      <c r="BD216" s="1170"/>
      <c r="BE216" s="1170"/>
      <c r="BF216" s="1170" t="s">
        <v>485</v>
      </c>
      <c r="BG216" s="1170">
        <f ca="1">'CokingRefinery Detailed Results'!J22</f>
        <v>3.0652541472757562E-16</v>
      </c>
      <c r="BH216" s="1170"/>
      <c r="BI216" s="1170"/>
      <c r="BJ216" s="1170"/>
      <c r="BK216" s="1170"/>
      <c r="BL216" s="1170"/>
      <c r="BM216" s="1170"/>
      <c r="BN216" s="1170"/>
      <c r="BO216" s="1170"/>
      <c r="BP216" s="1170"/>
      <c r="BQ216" s="1170"/>
      <c r="BR216" s="1170"/>
      <c r="BS216" s="1170"/>
      <c r="BT216" s="1170"/>
      <c r="BU216" s="1170"/>
      <c r="BV216" s="1170"/>
      <c r="BW216" s="1170"/>
      <c r="BX216" s="1186" t="str">
        <f>CokingRefineryCalcs!C644</f>
        <v>Vol Flow</v>
      </c>
      <c r="BY216" s="1170" t="str">
        <f ca="1">CokingRefineryCalcs!D644</f>
        <v>bpd</v>
      </c>
      <c r="BZ216" s="1170">
        <f ca="1">CokingRefineryCalcs!J644</f>
        <v>1.9865467468475886E-16</v>
      </c>
      <c r="CA216" s="1170" t="s">
        <v>263</v>
      </c>
      <c r="CB216" s="1170"/>
      <c r="CC216" s="1170">
        <f ca="1">(AZ109+AZ153+AZ186+BT273)*$CC$221</f>
        <v>0</v>
      </c>
      <c r="CD216" s="1170"/>
      <c r="CE216" s="1170" t="s">
        <v>224</v>
      </c>
      <c r="CF216" s="1187">
        <f>'CokingRefinery Detailed Results'!H26</f>
        <v>0</v>
      </c>
      <c r="CG216" s="1187"/>
      <c r="CH216" s="1187"/>
      <c r="CI216" s="1170"/>
      <c r="CJ216" s="1170"/>
      <c r="CK216" s="1170"/>
      <c r="CL216" s="1170"/>
      <c r="CM216" s="1170"/>
      <c r="CN216" s="1170"/>
      <c r="CO216" s="1184"/>
      <c r="CP216" s="1170"/>
      <c r="CQ216" s="1170"/>
      <c r="CR216" s="1170"/>
      <c r="CS216" s="1170"/>
      <c r="CT216" s="1170"/>
      <c r="CU216" s="1170"/>
      <c r="CV216" s="1170"/>
      <c r="CW216" s="1170"/>
      <c r="CX216" s="1170"/>
      <c r="CY216" s="1160"/>
      <c r="CZ216" s="1160"/>
      <c r="DA216" s="1160"/>
      <c r="DB216" s="1160"/>
      <c r="DC216" s="1160"/>
      <c r="DD216" s="1160"/>
      <c r="DE216" s="1160"/>
      <c r="DF216" s="1160"/>
      <c r="DG216" s="1160"/>
      <c r="DH216" s="1160"/>
      <c r="DI216" s="1160"/>
      <c r="DJ216" s="1160"/>
      <c r="DK216" s="1171"/>
      <c r="DL216" s="1160"/>
      <c r="DM216" s="1160"/>
      <c r="DN216" s="1160"/>
      <c r="DO216" s="1160"/>
      <c r="DP216" s="1160"/>
      <c r="DQ216" s="1160"/>
      <c r="DR216" s="1160"/>
      <c r="DS216" s="1160"/>
      <c r="DT216" s="1160"/>
      <c r="DU216" s="1160"/>
      <c r="DV216" s="1160"/>
      <c r="DW216" s="1160"/>
      <c r="DX216" s="1160"/>
      <c r="DY216" s="1160"/>
      <c r="DZ216" s="1160"/>
      <c r="EA216" s="1160"/>
      <c r="EB216" s="1160"/>
    </row>
    <row r="217" spans="1:132" x14ac:dyDescent="0.2">
      <c r="A217" s="1160"/>
      <c r="B217" s="1160"/>
      <c r="C217" s="1160"/>
      <c r="D217" s="1160"/>
      <c r="E217" s="1170"/>
      <c r="F217" s="1170"/>
      <c r="G217" s="1170"/>
      <c r="H217" s="1170"/>
      <c r="I217" s="1170"/>
      <c r="J217" s="1170"/>
      <c r="K217" s="1170"/>
      <c r="L217" s="1170"/>
      <c r="M217" s="1170"/>
      <c r="N217" s="1170"/>
      <c r="O217" s="1170"/>
      <c r="P217" s="1170"/>
      <c r="Q217" s="1170"/>
      <c r="R217" s="1170"/>
      <c r="S217" s="1170"/>
      <c r="T217" s="1170"/>
      <c r="U217" s="1170"/>
      <c r="V217" s="1170"/>
      <c r="W217" s="1170"/>
      <c r="X217" s="1170"/>
      <c r="Y217" s="1170"/>
      <c r="Z217" s="1170"/>
      <c r="AA217" s="1170"/>
      <c r="AB217" s="1170"/>
      <c r="AC217" s="1170"/>
      <c r="AD217" s="1170"/>
      <c r="AE217" s="1170"/>
      <c r="AF217" s="1170"/>
      <c r="AG217" s="1170"/>
      <c r="AH217" s="1170"/>
      <c r="AI217" s="1170"/>
      <c r="AJ217" s="1170"/>
      <c r="AK217" s="1170"/>
      <c r="AL217" s="1170"/>
      <c r="AM217" s="1170"/>
      <c r="AN217" s="1170"/>
      <c r="AO217" s="1170"/>
      <c r="AP217" s="1170"/>
      <c r="AQ217" s="1170"/>
      <c r="AR217" s="1170"/>
      <c r="AS217" s="1170"/>
      <c r="AT217" s="1170"/>
      <c r="AU217" s="1170"/>
      <c r="AV217" s="1170"/>
      <c r="AW217" s="1170"/>
      <c r="AX217" s="1170"/>
      <c r="AY217" s="1170"/>
      <c r="AZ217" s="1170"/>
      <c r="BA217" s="1170"/>
      <c r="BB217" s="1170"/>
      <c r="BC217" s="1170"/>
      <c r="BD217" s="1170"/>
      <c r="BE217" s="1170"/>
      <c r="BF217" s="1170" t="s">
        <v>541</v>
      </c>
      <c r="BG217" s="1170">
        <f>'CokingRefinery Detailed Results'!L22</f>
        <v>0</v>
      </c>
      <c r="BH217" s="1170"/>
      <c r="BI217" s="1170"/>
      <c r="BJ217" s="1170"/>
      <c r="BK217" s="1170"/>
      <c r="BL217" s="1170"/>
      <c r="BM217" s="1170"/>
      <c r="BN217" s="1170"/>
      <c r="BO217" s="1170"/>
      <c r="BP217" s="1170"/>
      <c r="BQ217" s="1170"/>
      <c r="BR217" s="1170"/>
      <c r="BS217" s="1170"/>
      <c r="BT217" s="1170"/>
      <c r="BU217" s="1170"/>
      <c r="BV217" s="1170"/>
      <c r="BW217" s="1170"/>
      <c r="BX217" s="1186" t="str">
        <f>CokingRefineryCalcs!C645</f>
        <v>Vol Flow</v>
      </c>
      <c r="BY217" s="1170" t="str">
        <f ca="1">CokingRefineryCalcs!D645</f>
        <v>m^3/d</v>
      </c>
      <c r="BZ217" s="1170">
        <f ca="1">CokingRefineryCalcs!J645</f>
        <v>3.1583570360508162E-17</v>
      </c>
      <c r="CA217" s="1170" t="s">
        <v>392</v>
      </c>
      <c r="CB217" s="1170"/>
      <c r="CC217" s="1170">
        <f ca="1">(BX204+AZ110+AZ154+AZ187+BT274)*$CC$221</f>
        <v>0</v>
      </c>
      <c r="CD217" s="1170"/>
      <c r="CE217" s="1170" t="s">
        <v>485</v>
      </c>
      <c r="CF217" s="1187">
        <f ca="1">'CokingRefinery Detailed Results'!J26</f>
        <v>3.1851548738288391E-16</v>
      </c>
      <c r="CG217" s="1187"/>
      <c r="CH217" s="1187"/>
      <c r="CI217" s="1170"/>
      <c r="CJ217" s="1170"/>
      <c r="CK217" s="1170"/>
      <c r="CL217" s="1170"/>
      <c r="CM217" s="1170"/>
      <c r="CN217" s="1170"/>
      <c r="CO217" s="1184"/>
      <c r="CP217" s="1184"/>
      <c r="CQ217" s="1184"/>
      <c r="CR217" s="1184"/>
      <c r="CS217" s="1170"/>
      <c r="CT217" s="1170"/>
      <c r="CU217" s="1170"/>
      <c r="CV217" s="1170"/>
      <c r="CW217" s="1170"/>
      <c r="CX217" s="1170"/>
      <c r="CY217" s="1160"/>
      <c r="CZ217" s="1160"/>
      <c r="DA217" s="1160"/>
      <c r="DB217" s="1160"/>
      <c r="DC217" s="1160"/>
      <c r="DD217" s="1160"/>
      <c r="DE217" s="1160"/>
      <c r="DF217" s="1160"/>
      <c r="DG217" s="1160"/>
      <c r="DH217" s="1160"/>
      <c r="DI217" s="1160"/>
      <c r="DJ217" s="1160"/>
      <c r="DK217" s="1171"/>
      <c r="DL217" s="1160"/>
      <c r="DM217" s="1160"/>
      <c r="DN217" s="1160"/>
      <c r="DO217" s="1160"/>
      <c r="DP217" s="1160"/>
      <c r="DQ217" s="1160"/>
      <c r="DR217" s="1160"/>
      <c r="DS217" s="1160"/>
      <c r="DT217" s="1160"/>
      <c r="DU217" s="1160"/>
      <c r="DV217" s="1160"/>
      <c r="DW217" s="1160"/>
      <c r="DX217" s="1160"/>
      <c r="DY217" s="1160"/>
      <c r="DZ217" s="1160"/>
      <c r="EA217" s="1160"/>
      <c r="EB217" s="1160"/>
    </row>
    <row r="218" spans="1:132" ht="26.25" x14ac:dyDescent="0.4">
      <c r="A218" s="1160"/>
      <c r="B218" s="1160"/>
      <c r="C218" s="1160"/>
      <c r="D218" s="1160"/>
      <c r="E218" s="1170"/>
      <c r="F218" s="1170"/>
      <c r="G218" s="1170"/>
      <c r="H218" s="1170"/>
      <c r="I218" s="1170"/>
      <c r="J218" s="1170"/>
      <c r="K218" s="1170"/>
      <c r="L218" s="1170"/>
      <c r="M218" s="1170"/>
      <c r="N218" s="1170"/>
      <c r="O218" s="1170"/>
      <c r="P218" s="1170"/>
      <c r="Q218" s="1170"/>
      <c r="R218" s="1170"/>
      <c r="S218" s="1170"/>
      <c r="T218" s="1170"/>
      <c r="U218" s="1170"/>
      <c r="V218" s="1170"/>
      <c r="W218" s="1170"/>
      <c r="X218" s="1170"/>
      <c r="Y218" s="1170"/>
      <c r="Z218" s="1170"/>
      <c r="AA218" s="1170"/>
      <c r="AB218" s="1170"/>
      <c r="AC218" s="1170"/>
      <c r="AD218" s="1170"/>
      <c r="AE218" s="1170"/>
      <c r="AF218" s="1170"/>
      <c r="AG218" s="1170"/>
      <c r="AH218" s="1170"/>
      <c r="AI218" s="1170"/>
      <c r="AJ218" s="1170"/>
      <c r="AK218" s="1170"/>
      <c r="AL218" s="1170"/>
      <c r="AM218" s="1170"/>
      <c r="AN218" s="1170"/>
      <c r="AO218" s="1170"/>
      <c r="AP218" s="1170"/>
      <c r="AQ218" s="1170"/>
      <c r="AR218" s="1170"/>
      <c r="AS218" s="1170"/>
      <c r="AT218" s="1170"/>
      <c r="AU218" s="1170"/>
      <c r="AV218" s="1196"/>
      <c r="AW218" s="1267" t="str">
        <f>'CokingRefinery Detailed Results'!C21</f>
        <v>Coker</v>
      </c>
      <c r="AX218" s="1170"/>
      <c r="AY218" s="1265"/>
      <c r="AZ218" s="1170"/>
      <c r="BA218" s="1170"/>
      <c r="BB218" s="1170"/>
      <c r="BC218" s="1170"/>
      <c r="BD218" s="1170"/>
      <c r="BE218" s="1170"/>
      <c r="BF218" s="1170"/>
      <c r="BG218" s="1170"/>
      <c r="BH218" s="1170"/>
      <c r="BI218" s="1170"/>
      <c r="BJ218" s="1170"/>
      <c r="BK218" s="1170"/>
      <c r="BL218" s="1170"/>
      <c r="BM218" s="1170"/>
      <c r="BN218" s="1170"/>
      <c r="BO218" s="1170"/>
      <c r="BP218" s="1170"/>
      <c r="BQ218" s="1170"/>
      <c r="BR218" s="1170"/>
      <c r="BS218" s="1170"/>
      <c r="BT218" s="1170"/>
      <c r="BU218" s="1170"/>
      <c r="BV218" s="1170"/>
      <c r="BW218" s="1170"/>
      <c r="BX218" s="1186" t="str">
        <f>CokingRefineryCalcs!C646</f>
        <v>Mass Flow</v>
      </c>
      <c r="BY218" s="1170" t="str">
        <f>CokingRefineryCalcs!D646</f>
        <v>kg/d</v>
      </c>
      <c r="BZ218" s="1170">
        <f ca="1">CokingRefineryCalcs!J646</f>
        <v>2.8741049028062426E-14</v>
      </c>
      <c r="CA218" s="1170" t="s">
        <v>224</v>
      </c>
      <c r="CB218" s="1170"/>
      <c r="CC218" s="1170">
        <f ca="1">(BX205+AZ111+AZ155+AZ188+BT275)*$CC$221</f>
        <v>3.2598130699471068E-12</v>
      </c>
      <c r="CD218" s="1170"/>
      <c r="CE218" s="1170" t="s">
        <v>541</v>
      </c>
      <c r="CF218" s="1187">
        <f>'CokingRefinery Detailed Results'!L26</f>
        <v>0</v>
      </c>
      <c r="CG218" s="1187"/>
      <c r="CH218" s="1187"/>
      <c r="CI218" s="1170"/>
      <c r="CJ218" s="1170"/>
      <c r="CK218" s="1170"/>
      <c r="CL218" s="1170"/>
      <c r="CM218" s="1170"/>
      <c r="CN218" s="1170"/>
      <c r="CO218" s="1170"/>
      <c r="CP218" s="1170"/>
      <c r="CQ218" s="1170"/>
      <c r="CR218" s="1170"/>
      <c r="CS218" s="1170"/>
      <c r="CT218" s="1170"/>
      <c r="CU218" s="1170"/>
      <c r="CV218" s="1170"/>
      <c r="CW218" s="1170"/>
      <c r="CX218" s="1170"/>
      <c r="CY218" s="1160"/>
      <c r="CZ218" s="1160"/>
      <c r="DA218" s="1160"/>
      <c r="DB218" s="1160"/>
      <c r="DC218" s="1160"/>
      <c r="DD218" s="1160"/>
      <c r="DE218" s="1160"/>
      <c r="DF218" s="1160"/>
      <c r="DG218" s="1160"/>
      <c r="DH218" s="1160"/>
      <c r="DI218" s="1160"/>
      <c r="DJ218" s="1160"/>
      <c r="DK218" s="1171"/>
      <c r="DL218" s="1160"/>
      <c r="DM218" s="1160"/>
      <c r="DN218" s="1160"/>
      <c r="DO218" s="1160"/>
      <c r="DP218" s="1160"/>
      <c r="DQ218" s="1160"/>
      <c r="DR218" s="1160"/>
      <c r="DS218" s="1160"/>
      <c r="DT218" s="1160"/>
      <c r="DU218" s="1160"/>
      <c r="DV218" s="1160"/>
      <c r="DW218" s="1160"/>
      <c r="DX218" s="1160"/>
      <c r="DY218" s="1160"/>
      <c r="DZ218" s="1160"/>
      <c r="EA218" s="1160"/>
      <c r="EB218" s="1160"/>
    </row>
    <row r="219" spans="1:132" x14ac:dyDescent="0.2">
      <c r="A219" s="1160"/>
      <c r="B219" s="1160"/>
      <c r="C219" s="1160"/>
      <c r="D219" s="1160"/>
      <c r="E219" s="1170"/>
      <c r="F219" s="1170"/>
      <c r="G219" s="1170"/>
      <c r="H219" s="1170"/>
      <c r="I219" s="1170"/>
      <c r="J219" s="1170"/>
      <c r="K219" s="1170"/>
      <c r="L219" s="1170"/>
      <c r="M219" s="1170"/>
      <c r="N219" s="1170"/>
      <c r="O219" s="1170"/>
      <c r="P219" s="1170"/>
      <c r="Q219" s="1170"/>
      <c r="R219" s="1170"/>
      <c r="S219" s="1170"/>
      <c r="T219" s="1170"/>
      <c r="U219" s="1170"/>
      <c r="V219" s="1170"/>
      <c r="W219" s="1170"/>
      <c r="X219" s="1170"/>
      <c r="Y219" s="1170"/>
      <c r="Z219" s="1170"/>
      <c r="AA219" s="1170"/>
      <c r="AB219" s="1170"/>
      <c r="AC219" s="1170"/>
      <c r="AD219" s="1170"/>
      <c r="AE219" s="1170"/>
      <c r="AF219" s="1170"/>
      <c r="AG219" s="1170"/>
      <c r="AH219" s="1170"/>
      <c r="AI219" s="1170"/>
      <c r="AJ219" s="1170"/>
      <c r="AK219" s="1170"/>
      <c r="AL219" s="1170"/>
      <c r="AM219" s="1170"/>
      <c r="AN219" s="1170"/>
      <c r="AO219" s="1170"/>
      <c r="AP219" s="1170"/>
      <c r="AQ219" s="1170"/>
      <c r="AR219" s="1170"/>
      <c r="AS219" s="1170"/>
      <c r="AT219" s="1170"/>
      <c r="AU219" s="1170"/>
      <c r="AV219" s="1170"/>
      <c r="AW219" s="1184" t="s">
        <v>225</v>
      </c>
      <c r="AX219" s="1170"/>
      <c r="AY219" s="1184" t="s">
        <v>522</v>
      </c>
      <c r="AZ219" s="1170"/>
      <c r="BA219" s="1170"/>
      <c r="BB219" s="1170"/>
      <c r="BC219" s="1170"/>
      <c r="BD219" s="1170"/>
      <c r="BE219" s="1170"/>
      <c r="BF219" s="1170"/>
      <c r="BG219" s="1170"/>
      <c r="BH219" s="1170"/>
      <c r="BI219" s="1170"/>
      <c r="BJ219" s="1170"/>
      <c r="BK219" s="1170"/>
      <c r="BL219" s="1170"/>
      <c r="BM219" s="1170"/>
      <c r="BN219" s="1170"/>
      <c r="BO219" s="1170"/>
      <c r="BP219" s="1170"/>
      <c r="BQ219" s="1170"/>
      <c r="BR219" s="1170"/>
      <c r="BS219" s="1170"/>
      <c r="BT219" s="1170"/>
      <c r="BU219" s="1170"/>
      <c r="BV219" s="1170"/>
      <c r="BW219" s="1170"/>
      <c r="BX219" s="1186" t="str">
        <f>CokingRefineryCalcs!C647</f>
        <v xml:space="preserve">Sulphur </v>
      </c>
      <c r="BY219" s="1170" t="str">
        <f ca="1">CokingRefineryCalcs!D647</f>
        <v>wt%</v>
      </c>
      <c r="BZ219" s="1170">
        <f ca="1">CokingRefineryCalcs!J647</f>
        <v>0</v>
      </c>
      <c r="CA219" s="1170" t="s">
        <v>485</v>
      </c>
      <c r="CB219" s="1170"/>
      <c r="CC219" s="1170">
        <f ca="1">(BX206+AZ112+AZ156+AZ189+BT276)*$CC$221</f>
        <v>1.777866602441898E-13</v>
      </c>
      <c r="CD219" s="1170"/>
      <c r="CE219" s="1170"/>
      <c r="CF219" s="1170"/>
      <c r="CG219" s="1170"/>
      <c r="CH219" s="1170"/>
      <c r="CI219" s="1170"/>
      <c r="CJ219" s="1170"/>
      <c r="CK219" s="1170"/>
      <c r="CL219" s="1170"/>
      <c r="CM219" s="1170"/>
      <c r="CN219" s="1170"/>
      <c r="CO219" s="1170"/>
      <c r="CP219" s="1170"/>
      <c r="CQ219" s="1170"/>
      <c r="CR219" s="1170"/>
      <c r="CS219" s="1170"/>
      <c r="CT219" s="1170"/>
      <c r="CU219" s="1170"/>
      <c r="CV219" s="1170"/>
      <c r="CW219" s="1170"/>
      <c r="CX219" s="1170"/>
      <c r="CY219" s="1160"/>
      <c r="CZ219" s="1160"/>
      <c r="DA219" s="1160"/>
      <c r="DB219" s="1160"/>
      <c r="DC219" s="1160"/>
      <c r="DD219" s="1160"/>
      <c r="DE219" s="1160"/>
      <c r="DF219" s="1160"/>
      <c r="DG219" s="1160"/>
      <c r="DH219" s="1160"/>
      <c r="DI219" s="1160"/>
      <c r="DJ219" s="1160"/>
      <c r="DK219" s="1171"/>
      <c r="DL219" s="1160"/>
      <c r="DM219" s="1160"/>
      <c r="DN219" s="1160"/>
      <c r="DO219" s="1160"/>
      <c r="DP219" s="1160"/>
      <c r="DQ219" s="1160"/>
      <c r="DR219" s="1160"/>
      <c r="DS219" s="1160"/>
      <c r="DT219" s="1160"/>
      <c r="DU219" s="1160"/>
      <c r="DV219" s="1160"/>
      <c r="DW219" s="1160"/>
      <c r="DX219" s="1160"/>
      <c r="DY219" s="1160"/>
      <c r="DZ219" s="1160"/>
      <c r="EA219" s="1160"/>
      <c r="EB219" s="1160"/>
    </row>
    <row r="220" spans="1:132" x14ac:dyDescent="0.2">
      <c r="A220" s="1160"/>
      <c r="B220" s="1160"/>
      <c r="C220" s="1160"/>
      <c r="D220" s="1160"/>
      <c r="E220" s="1170"/>
      <c r="F220" s="1170"/>
      <c r="G220" s="1170"/>
      <c r="H220" s="1170"/>
      <c r="I220" s="1170"/>
      <c r="J220" s="1170"/>
      <c r="K220" s="1170"/>
      <c r="L220" s="1170"/>
      <c r="M220" s="1170"/>
      <c r="N220" s="1170"/>
      <c r="O220" s="1170"/>
      <c r="P220" s="1170"/>
      <c r="Q220" s="1170"/>
      <c r="R220" s="1170"/>
      <c r="S220" s="1170"/>
      <c r="T220" s="1170"/>
      <c r="U220" s="1170"/>
      <c r="V220" s="1170"/>
      <c r="W220" s="1170"/>
      <c r="X220" s="1170"/>
      <c r="Y220" s="1170"/>
      <c r="Z220" s="1170"/>
      <c r="AA220" s="1170"/>
      <c r="AB220" s="1170"/>
      <c r="AC220" s="1170"/>
      <c r="AD220" s="1170"/>
      <c r="AE220" s="1170"/>
      <c r="AF220" s="1170"/>
      <c r="AG220" s="1170"/>
      <c r="AH220" s="1170"/>
      <c r="AI220" s="1170"/>
      <c r="AJ220" s="1170"/>
      <c r="AK220" s="1170"/>
      <c r="AL220" s="1170"/>
      <c r="AM220" s="1170"/>
      <c r="AN220" s="1170"/>
      <c r="AO220" s="1170"/>
      <c r="AP220" s="1170"/>
      <c r="AQ220" s="1170"/>
      <c r="AR220" s="1170"/>
      <c r="AS220" s="1170"/>
      <c r="AT220" s="1170"/>
      <c r="AU220" s="1170"/>
      <c r="AV220" s="1170"/>
      <c r="AW220" s="1170" t="s">
        <v>392</v>
      </c>
      <c r="AX220" s="1170"/>
      <c r="AY220" s="1170">
        <f ca="1">'CokingRefinery Detailed Results'!F21+IF(AND($EB$144+$EB$161=0,E51=FALSE),'CokingRefinery Detailed Results'!F30*CokingRefineryCalcs!$U$983,0)</f>
        <v>0</v>
      </c>
      <c r="AZ220" s="1170"/>
      <c r="BA220" s="1170"/>
      <c r="BB220" s="1170"/>
      <c r="BC220" s="1170"/>
      <c r="BD220" s="1170"/>
      <c r="BE220" s="1170"/>
      <c r="BF220" s="1170"/>
      <c r="BG220" s="1170"/>
      <c r="BH220" s="1170"/>
      <c r="BI220" s="1170"/>
      <c r="BJ220" s="1170"/>
      <c r="BK220" s="1170"/>
      <c r="BL220" s="1170"/>
      <c r="BM220" s="1170"/>
      <c r="BN220" s="1170"/>
      <c r="BO220" s="1170"/>
      <c r="BP220" s="1170"/>
      <c r="BQ220" s="1170"/>
      <c r="BR220" s="1170"/>
      <c r="BS220" s="1170"/>
      <c r="BT220" s="1170"/>
      <c r="BU220" s="1170"/>
      <c r="BV220" s="1170"/>
      <c r="BW220" s="1170"/>
      <c r="BX220" s="1186" t="str">
        <f>CokingRefineryCalcs!C649</f>
        <v xml:space="preserve">API gravity </v>
      </c>
      <c r="BY220" s="1170"/>
      <c r="BZ220" s="1170">
        <f>CokingRefineryCalcs!J649</f>
        <v>23.994505494505489</v>
      </c>
      <c r="CA220" s="1170" t="s">
        <v>541</v>
      </c>
      <c r="CB220" s="1170"/>
      <c r="CC220" s="1170">
        <f ca="1">(BX207+AZ113+AZ157+AZ190+BT277)*$CC$221</f>
        <v>0</v>
      </c>
      <c r="CD220" s="1170"/>
      <c r="CE220" s="1170"/>
      <c r="CF220" s="1170"/>
      <c r="CG220" s="1170"/>
      <c r="CH220" s="1170"/>
      <c r="CI220" s="1170"/>
      <c r="CJ220" s="1170"/>
      <c r="CK220" s="1170"/>
      <c r="CL220" s="1170"/>
      <c r="CM220" s="1170"/>
      <c r="CN220" s="1170"/>
      <c r="CO220" s="1170"/>
      <c r="CP220" s="1170"/>
      <c r="CQ220" s="1170"/>
      <c r="CR220" s="1170"/>
      <c r="CS220" s="1170"/>
      <c r="CT220" s="1170"/>
      <c r="CU220" s="1170"/>
      <c r="CV220" s="1170"/>
      <c r="CW220" s="1170"/>
      <c r="CX220" s="1170"/>
      <c r="CY220" s="1160"/>
      <c r="CZ220" s="1160"/>
      <c r="DA220" s="1160"/>
      <c r="DB220" s="1160"/>
      <c r="DC220" s="1160"/>
      <c r="DD220" s="1160"/>
      <c r="DE220" s="1160"/>
      <c r="DF220" s="1160"/>
      <c r="DG220" s="1160"/>
      <c r="DH220" s="1160"/>
      <c r="DI220" s="1160"/>
      <c r="DJ220" s="1160"/>
      <c r="DK220" s="1171"/>
      <c r="DL220" s="1160"/>
      <c r="DM220" s="1160"/>
      <c r="DN220" s="1160"/>
      <c r="DO220" s="1160"/>
      <c r="DP220" s="1160"/>
      <c r="DQ220" s="1160"/>
      <c r="DR220" s="1160"/>
      <c r="DS220" s="1160"/>
      <c r="DT220" s="1160"/>
      <c r="DU220" s="1160"/>
      <c r="DV220" s="1160"/>
      <c r="DW220" s="1160"/>
      <c r="DX220" s="1160"/>
      <c r="DY220" s="1160"/>
      <c r="DZ220" s="1160"/>
      <c r="EA220" s="1160"/>
      <c r="EB220" s="1160"/>
    </row>
    <row r="221" spans="1:132" ht="15" customHeight="1" x14ac:dyDescent="0.2">
      <c r="A221" s="1160"/>
      <c r="B221" s="1160"/>
      <c r="C221" s="1160"/>
      <c r="D221" s="1160"/>
      <c r="E221" s="1170"/>
      <c r="F221" s="1170"/>
      <c r="G221" s="1170"/>
      <c r="H221" s="1170"/>
      <c r="I221" s="1170"/>
      <c r="J221" s="1170"/>
      <c r="K221" s="1170"/>
      <c r="L221" s="1170"/>
      <c r="M221" s="1170"/>
      <c r="N221" s="1170"/>
      <c r="O221" s="1170"/>
      <c r="P221" s="1170"/>
      <c r="Q221" s="1170"/>
      <c r="R221" s="1170"/>
      <c r="S221" s="1170"/>
      <c r="T221" s="1170"/>
      <c r="U221" s="1170"/>
      <c r="V221" s="1170"/>
      <c r="W221" s="1170"/>
      <c r="X221" s="1170"/>
      <c r="Y221" s="1170"/>
      <c r="Z221" s="1170"/>
      <c r="AA221" s="1170"/>
      <c r="AB221" s="1170"/>
      <c r="AC221" s="1170"/>
      <c r="AD221" s="1170"/>
      <c r="AE221" s="1170"/>
      <c r="AF221" s="1170"/>
      <c r="AG221" s="1170"/>
      <c r="AH221" s="1170"/>
      <c r="AI221" s="1170"/>
      <c r="AJ221" s="1170"/>
      <c r="AK221" s="1170"/>
      <c r="AL221" s="1170"/>
      <c r="AM221" s="1170"/>
      <c r="AN221" s="1170"/>
      <c r="AO221" s="1170"/>
      <c r="AP221" s="1170"/>
      <c r="AQ221" s="1170"/>
      <c r="AR221" s="1170"/>
      <c r="AS221" s="1170"/>
      <c r="AT221" s="1170"/>
      <c r="AU221" s="1170"/>
      <c r="AV221" s="1170"/>
      <c r="AW221" s="1170" t="s">
        <v>224</v>
      </c>
      <c r="AX221" s="1170"/>
      <c r="AY221" s="1170">
        <f ca="1">'CokingRefinery Detailed Results'!H21+IF(AND($EB$144+$EB$161=0,E51=FALSE),'CokingRefinery Detailed Results'!H30*CokingRefineryCalcs!$U$983,0)</f>
        <v>0</v>
      </c>
      <c r="AZ221" s="1170"/>
      <c r="BA221" s="1170"/>
      <c r="BB221" s="1170"/>
      <c r="BC221" s="1170"/>
      <c r="BD221" s="1170"/>
      <c r="BE221" s="1170"/>
      <c r="BF221" s="1170"/>
      <c r="BG221" s="1170"/>
      <c r="BH221" s="1170"/>
      <c r="BI221" s="1170"/>
      <c r="BJ221" s="1170"/>
      <c r="BK221" s="1170"/>
      <c r="BL221" s="1170"/>
      <c r="BM221" s="1170"/>
      <c r="BN221" s="1170"/>
      <c r="BO221" s="1170"/>
      <c r="BP221" s="1170"/>
      <c r="BQ221" s="1170"/>
      <c r="BR221" s="1170"/>
      <c r="BS221" s="1170"/>
      <c r="BT221" s="1170"/>
      <c r="BU221" s="1170"/>
      <c r="BV221" s="1170"/>
      <c r="BW221" s="1170"/>
      <c r="BX221" s="1186" t="str">
        <f>CokingRefineryCalcs!C650</f>
        <v>Density</v>
      </c>
      <c r="BY221" s="1170" t="str">
        <f ca="1">CokingRefineryCalcs!D650</f>
        <v>kg/m^3</v>
      </c>
      <c r="BZ221" s="1170">
        <f>CokingRefineryCalcs!J650</f>
        <v>910</v>
      </c>
      <c r="CA221" s="1180" t="s">
        <v>1066</v>
      </c>
      <c r="CB221" s="1170"/>
      <c r="CC221" s="1170">
        <f ca="1">IF(CokingRefineryPFD!E50=TRUE,CC222,1)</f>
        <v>1</v>
      </c>
      <c r="CD221" s="1170"/>
      <c r="CE221" s="1170"/>
      <c r="CF221" s="1170"/>
      <c r="CG221" s="1170"/>
      <c r="CH221" s="1170"/>
      <c r="CI221" s="1170"/>
      <c r="CJ221" s="1170"/>
      <c r="CK221" s="1170"/>
      <c r="CL221" s="1170"/>
      <c r="CM221" s="1170"/>
      <c r="CN221" s="1170"/>
      <c r="CO221" s="1170"/>
      <c r="CP221" s="1170"/>
      <c r="CQ221" s="1170"/>
      <c r="CR221" s="1170"/>
      <c r="CS221" s="1170"/>
      <c r="CT221" s="1170"/>
      <c r="CU221" s="1170"/>
      <c r="CV221" s="1170"/>
      <c r="CW221" s="1170"/>
      <c r="CX221" s="1170"/>
      <c r="CY221" s="1160"/>
      <c r="CZ221" s="1160"/>
      <c r="DA221" s="1160"/>
      <c r="DB221" s="1160"/>
      <c r="DC221" s="1160"/>
      <c r="DD221" s="1160"/>
      <c r="DE221" s="1160"/>
      <c r="DF221" s="1160"/>
      <c r="DG221" s="1160"/>
      <c r="DH221" s="1160"/>
      <c r="DI221" s="1160"/>
      <c r="DJ221" s="1160"/>
      <c r="DK221" s="1171"/>
      <c r="DL221" s="1160"/>
      <c r="DM221" s="1160"/>
      <c r="DN221" s="1160"/>
      <c r="DO221" s="1160"/>
      <c r="DP221" s="1160"/>
      <c r="DQ221" s="1160"/>
      <c r="DR221" s="1160"/>
      <c r="DS221" s="1160"/>
      <c r="DT221" s="1160"/>
      <c r="DU221" s="1160"/>
      <c r="DV221" s="1160"/>
      <c r="DW221" s="1160"/>
      <c r="DX221" s="1160"/>
      <c r="DY221" s="1160"/>
      <c r="DZ221" s="1160"/>
      <c r="EA221" s="1160"/>
      <c r="EB221" s="1160"/>
    </row>
    <row r="222" spans="1:132" x14ac:dyDescent="0.2">
      <c r="A222" s="1160"/>
      <c r="B222" s="1160"/>
      <c r="C222" s="1160"/>
      <c r="D222" s="1160"/>
      <c r="E222" s="1170"/>
      <c r="F222" s="1170"/>
      <c r="G222" s="1170"/>
      <c r="H222" s="1170"/>
      <c r="I222" s="1170"/>
      <c r="J222" s="1170"/>
      <c r="K222" s="1170"/>
      <c r="L222" s="1170"/>
      <c r="M222" s="1170"/>
      <c r="N222" s="1170"/>
      <c r="O222" s="1170"/>
      <c r="P222" s="1170"/>
      <c r="Q222" s="1170"/>
      <c r="R222" s="1170"/>
      <c r="S222" s="1170"/>
      <c r="T222" s="1170"/>
      <c r="U222" s="1170"/>
      <c r="V222" s="1170"/>
      <c r="W222" s="1170"/>
      <c r="X222" s="1170"/>
      <c r="Y222" s="1170"/>
      <c r="Z222" s="1170"/>
      <c r="AA222" s="1170"/>
      <c r="AB222" s="1170"/>
      <c r="AC222" s="1170"/>
      <c r="AD222" s="1170"/>
      <c r="AE222" s="1170"/>
      <c r="AF222" s="1170"/>
      <c r="AG222" s="1170"/>
      <c r="AH222" s="1170"/>
      <c r="AI222" s="1170"/>
      <c r="AJ222" s="1170"/>
      <c r="AK222" s="1170"/>
      <c r="AL222" s="1170"/>
      <c r="AM222" s="1170"/>
      <c r="AN222" s="1170"/>
      <c r="AO222" s="1170"/>
      <c r="AP222" s="1170"/>
      <c r="AQ222" s="1170"/>
      <c r="AR222" s="1170"/>
      <c r="AS222" s="1170"/>
      <c r="AT222" s="1170"/>
      <c r="AU222" s="1170"/>
      <c r="AV222" s="1170"/>
      <c r="AW222" s="1170" t="s">
        <v>485</v>
      </c>
      <c r="AX222" s="1170"/>
      <c r="AY222" s="1170">
        <f ca="1">'CokingRefinery Detailed Results'!J21+IF(AND($EB$144+$EB$161=0,E51=FALSE),'CokingRefinery Detailed Results'!J30*CokingRefineryCalcs!$U$983,0)</f>
        <v>0</v>
      </c>
      <c r="AZ222" s="1170"/>
      <c r="BA222" s="1170"/>
      <c r="BB222" s="1170"/>
      <c r="BC222" s="1170"/>
      <c r="BD222" s="1170"/>
      <c r="BE222" s="1170"/>
      <c r="BF222" s="1170"/>
      <c r="BG222" s="1170"/>
      <c r="BH222" s="1170"/>
      <c r="BI222" s="1170"/>
      <c r="BJ222" s="1170"/>
      <c r="BK222" s="1170"/>
      <c r="BL222" s="1170"/>
      <c r="BM222" s="1170"/>
      <c r="BN222" s="1170"/>
      <c r="BO222" s="1170"/>
      <c r="BP222" s="1170"/>
      <c r="BQ222" s="1170"/>
      <c r="BR222" s="1170"/>
      <c r="BS222" s="1170"/>
      <c r="BT222" s="1170"/>
      <c r="BU222" s="1170"/>
      <c r="BV222" s="1170"/>
      <c r="BW222" s="1170"/>
      <c r="BX222" s="1186" t="str">
        <f>CokingRefineryCalcs!C651</f>
        <v>Hydrogen</v>
      </c>
      <c r="BY222" s="1170" t="str">
        <f ca="1">CokingRefineryCalcs!D651</f>
        <v>wt%</v>
      </c>
      <c r="BZ222" s="1170">
        <f ca="1">CokingRefineryCalcs!J651</f>
        <v>12.5</v>
      </c>
      <c r="CA222" s="1180" t="s">
        <v>1065</v>
      </c>
      <c r="CB222" s="1170"/>
      <c r="CC222" s="1170">
        <f ca="1">BZ226/(BZ226+BY196)</f>
        <v>1</v>
      </c>
      <c r="CD222" s="1170"/>
      <c r="CE222" s="1170"/>
      <c r="CF222" s="1170"/>
      <c r="CG222" s="1170"/>
      <c r="CH222" s="1170"/>
      <c r="CI222" s="1170"/>
      <c r="CJ222" s="1170"/>
      <c r="CK222" s="1170"/>
      <c r="CL222" s="1170"/>
      <c r="CM222" s="1170"/>
      <c r="CN222" s="1170"/>
      <c r="CO222" s="1170"/>
      <c r="CP222" s="1170"/>
      <c r="CQ222" s="1170"/>
      <c r="CR222" s="1170"/>
      <c r="CS222" s="1170"/>
      <c r="CT222" s="1170"/>
      <c r="CU222" s="1170"/>
      <c r="CV222" s="1170"/>
      <c r="CW222" s="1170"/>
      <c r="CX222" s="1170"/>
      <c r="CY222" s="1160"/>
      <c r="CZ222" s="1160"/>
      <c r="DA222" s="1160"/>
      <c r="DB222" s="1160"/>
      <c r="DC222" s="1160"/>
      <c r="DD222" s="1160"/>
      <c r="DE222" s="1160"/>
      <c r="DF222" s="1160"/>
      <c r="DG222" s="1160"/>
      <c r="DH222" s="1160"/>
      <c r="DI222" s="1160"/>
      <c r="DJ222" s="1160"/>
      <c r="DK222" s="1171"/>
      <c r="DL222" s="1160"/>
      <c r="DM222" s="1160"/>
      <c r="DN222" s="1160"/>
      <c r="DO222" s="1160"/>
      <c r="DP222" s="1160"/>
      <c r="DQ222" s="1160"/>
      <c r="DR222" s="1160"/>
      <c r="DS222" s="1160"/>
      <c r="DT222" s="1160"/>
      <c r="DU222" s="1160"/>
      <c r="DV222" s="1160"/>
      <c r="DW222" s="1160"/>
      <c r="DX222" s="1160"/>
      <c r="DY222" s="1160"/>
      <c r="DZ222" s="1160"/>
      <c r="EA222" s="1160"/>
      <c r="EB222" s="1160"/>
    </row>
    <row r="223" spans="1:132" x14ac:dyDescent="0.2">
      <c r="A223" s="1160"/>
      <c r="B223" s="1160"/>
      <c r="C223" s="1160"/>
      <c r="D223" s="1160"/>
      <c r="E223" s="1170"/>
      <c r="F223" s="1170"/>
      <c r="G223" s="1170"/>
      <c r="H223" s="1170"/>
      <c r="I223" s="1170"/>
      <c r="J223" s="1170"/>
      <c r="K223" s="1170"/>
      <c r="L223" s="1170"/>
      <c r="M223" s="1170"/>
      <c r="N223" s="1170"/>
      <c r="O223" s="1170"/>
      <c r="P223" s="1170"/>
      <c r="Q223" s="1170"/>
      <c r="R223" s="1170"/>
      <c r="S223" s="1170"/>
      <c r="T223" s="1170"/>
      <c r="U223" s="1170"/>
      <c r="V223" s="1170"/>
      <c r="W223" s="1170"/>
      <c r="X223" s="1170"/>
      <c r="Y223" s="1170"/>
      <c r="Z223" s="1170"/>
      <c r="AA223" s="1170"/>
      <c r="AB223" s="1170"/>
      <c r="AC223" s="1170"/>
      <c r="AD223" s="1170"/>
      <c r="AE223" s="1170"/>
      <c r="AF223" s="1170"/>
      <c r="AG223" s="1170"/>
      <c r="AH223" s="1170"/>
      <c r="AI223" s="1170"/>
      <c r="AJ223" s="1170"/>
      <c r="AK223" s="1170"/>
      <c r="AL223" s="1170"/>
      <c r="AM223" s="1170"/>
      <c r="AN223" s="1170"/>
      <c r="AO223" s="1170"/>
      <c r="AP223" s="1170"/>
      <c r="AQ223" s="1170"/>
      <c r="AR223" s="1170"/>
      <c r="AS223" s="1170"/>
      <c r="AT223" s="1170"/>
      <c r="AU223" s="1170"/>
      <c r="AV223" s="1170"/>
      <c r="AW223" s="1170" t="s">
        <v>541</v>
      </c>
      <c r="AX223" s="1170"/>
      <c r="AY223" s="1170">
        <f ca="1">'CokingRefinery Detailed Results'!L21+IF(AND($EB$144+$EB$161=0,E51=FALSE),'CokingRefinery Detailed Results'!L30*CokingRefineryCalcs!$U$983,0)</f>
        <v>0</v>
      </c>
      <c r="AZ223" s="1170"/>
      <c r="BA223" s="1170"/>
      <c r="BB223" s="1170"/>
      <c r="BC223" s="1170"/>
      <c r="BD223" s="1170"/>
      <c r="BE223" s="1170"/>
      <c r="BF223" s="1170"/>
      <c r="BG223" s="1170"/>
      <c r="BH223" s="1170"/>
      <c r="BI223" s="1170"/>
      <c r="BJ223" s="1170"/>
      <c r="BK223" s="1170"/>
      <c r="BL223" s="1170"/>
      <c r="BM223" s="1170"/>
      <c r="BN223" s="1170"/>
      <c r="BO223" s="1170"/>
      <c r="BP223" s="1170"/>
      <c r="BQ223" s="1170"/>
      <c r="BR223" s="1170"/>
      <c r="BS223" s="1170"/>
      <c r="BT223" s="1170"/>
      <c r="BU223" s="1170"/>
      <c r="BV223" s="1170"/>
      <c r="BW223" s="1170"/>
      <c r="BX223" s="1186" t="str">
        <f>CokingRefineryCalcs!C652</f>
        <v>MCR</v>
      </c>
      <c r="BY223" s="1170" t="str">
        <f ca="1">CokingRefineryCalcs!D652</f>
        <v>wt%</v>
      </c>
      <c r="BZ223" s="1170">
        <f>CokingRefineryCalcs!J652</f>
        <v>0</v>
      </c>
      <c r="CA223" s="1239" t="s">
        <v>228</v>
      </c>
      <c r="CB223" s="1170"/>
      <c r="CC223" s="1170">
        <f ca="1">+BZ218/(BT197+BX209)</f>
        <v>1.1126072598715084</v>
      </c>
      <c r="CD223" s="1170"/>
      <c r="CE223" s="1170"/>
      <c r="CF223" s="1170"/>
      <c r="CG223" s="1170"/>
      <c r="CH223" s="1170"/>
      <c r="CI223" s="1170"/>
      <c r="CJ223" s="1170"/>
      <c r="CK223" s="1170"/>
      <c r="CL223" s="1170"/>
      <c r="CM223" s="1170"/>
      <c r="CN223" s="1170"/>
      <c r="CO223" s="1170"/>
      <c r="CP223" s="1170"/>
      <c r="CQ223" s="1170"/>
      <c r="CR223" s="1170"/>
      <c r="CS223" s="1170"/>
      <c r="CT223" s="1170"/>
      <c r="CU223" s="1170"/>
      <c r="CV223" s="1170"/>
      <c r="CW223" s="1170"/>
      <c r="CX223" s="1170"/>
      <c r="CY223" s="1160"/>
      <c r="CZ223" s="1160"/>
      <c r="DA223" s="1160"/>
      <c r="DB223" s="1160"/>
      <c r="DC223" s="1160"/>
      <c r="DD223" s="1160"/>
      <c r="DE223" s="1160"/>
      <c r="DF223" s="1160"/>
      <c r="DG223" s="1160"/>
      <c r="DH223" s="1160"/>
      <c r="DI223" s="1160"/>
      <c r="DJ223" s="1160"/>
      <c r="DK223" s="1171"/>
      <c r="DL223" s="1160"/>
      <c r="DM223" s="1160"/>
      <c r="DN223" s="1160"/>
      <c r="DO223" s="1160"/>
      <c r="DP223" s="1160"/>
      <c r="DQ223" s="1160"/>
      <c r="DR223" s="1160"/>
      <c r="DS223" s="1160"/>
      <c r="DT223" s="1160"/>
      <c r="DU223" s="1160"/>
      <c r="DV223" s="1160"/>
      <c r="DW223" s="1160"/>
      <c r="DX223" s="1160"/>
      <c r="DY223" s="1160"/>
      <c r="DZ223" s="1160"/>
      <c r="EA223" s="1160"/>
      <c r="EB223" s="1160"/>
    </row>
    <row r="224" spans="1:132" ht="13.5" thickBot="1" x14ac:dyDescent="0.25">
      <c r="A224" s="1160"/>
      <c r="B224" s="1160"/>
      <c r="C224" s="1160"/>
      <c r="D224" s="1160"/>
      <c r="E224" s="1170"/>
      <c r="F224" s="1170"/>
      <c r="G224" s="1170"/>
      <c r="H224" s="1170"/>
      <c r="I224" s="1170"/>
      <c r="J224" s="1170"/>
      <c r="K224" s="1170"/>
      <c r="L224" s="1170"/>
      <c r="M224" s="1170"/>
      <c r="N224" s="1170"/>
      <c r="O224" s="1170"/>
      <c r="P224" s="1170"/>
      <c r="Q224" s="1170"/>
      <c r="R224" s="1170"/>
      <c r="S224" s="1170"/>
      <c r="T224" s="1170"/>
      <c r="U224" s="1170"/>
      <c r="V224" s="1170"/>
      <c r="W224" s="1170"/>
      <c r="X224" s="1170"/>
      <c r="Y224" s="1170"/>
      <c r="Z224" s="1170"/>
      <c r="AA224" s="1170"/>
      <c r="AB224" s="1170"/>
      <c r="AC224" s="1170"/>
      <c r="AD224" s="1170"/>
      <c r="AE224" s="1170"/>
      <c r="AF224" s="1170"/>
      <c r="AG224" s="1170"/>
      <c r="AH224" s="1170"/>
      <c r="AI224" s="1170"/>
      <c r="AJ224" s="1170"/>
      <c r="AK224" s="1170"/>
      <c r="AL224" s="1170"/>
      <c r="AM224" s="1170"/>
      <c r="AN224" s="1170"/>
      <c r="AO224" s="1170"/>
      <c r="AP224" s="1170"/>
      <c r="AQ224" s="1170"/>
      <c r="AR224" s="1170"/>
      <c r="AS224" s="1170"/>
      <c r="AT224" s="1170"/>
      <c r="AU224" s="1170"/>
      <c r="AV224" s="1170"/>
      <c r="AW224" s="1170"/>
      <c r="AX224" s="1170"/>
      <c r="AY224" s="1170"/>
      <c r="AZ224" s="1170"/>
      <c r="BA224" s="1170"/>
      <c r="BB224" s="1170"/>
      <c r="BC224" s="1170"/>
      <c r="BD224" s="1170"/>
      <c r="BE224" s="1170"/>
      <c r="BF224" s="1170"/>
      <c r="BG224" s="1170"/>
      <c r="BH224" s="1170"/>
      <c r="BI224" s="1170"/>
      <c r="BJ224" s="1170"/>
      <c r="BK224" s="1170"/>
      <c r="BL224" s="1170"/>
      <c r="BM224" s="1170"/>
      <c r="BN224" s="1170"/>
      <c r="BO224" s="1170"/>
      <c r="BP224" s="1170"/>
      <c r="BQ224" s="1170"/>
      <c r="BR224" s="1170"/>
      <c r="BS224" s="1170"/>
      <c r="BT224" s="1170"/>
      <c r="BU224" s="1170"/>
      <c r="BV224" s="1170"/>
      <c r="BW224" s="1170"/>
      <c r="BX224" s="1200" t="s">
        <v>1056</v>
      </c>
      <c r="BY224" s="1199" t="s">
        <v>447</v>
      </c>
      <c r="BZ224" s="1199">
        <f>('Energy &amp; Unit Conversions'!$D$63-('Energy &amp; Unit Conversions'!$E$63*POWER((CokingRefineryPFD!BZ221/'Energy &amp; Unit Conversions'!$E$54),2)))</f>
        <v>40.121385842488429</v>
      </c>
      <c r="CA224" s="1170"/>
      <c r="CB224" s="1170"/>
      <c r="CC224" s="1170"/>
      <c r="CD224" s="1170"/>
      <c r="CE224" s="1170"/>
      <c r="CF224" s="1170"/>
      <c r="CG224" s="1170"/>
      <c r="CH224" s="1170"/>
      <c r="CI224" s="1170"/>
      <c r="CJ224" s="1170"/>
      <c r="CK224" s="1170"/>
      <c r="CL224" s="1170"/>
      <c r="CM224" s="1170"/>
      <c r="CN224" s="1170"/>
      <c r="CO224" s="1170"/>
      <c r="CP224" s="1170"/>
      <c r="CQ224" s="1170"/>
      <c r="CR224" s="1170"/>
      <c r="CS224" s="1170"/>
      <c r="CT224" s="1170"/>
      <c r="CU224" s="1170"/>
      <c r="CV224" s="1170"/>
      <c r="CW224" s="1170"/>
      <c r="CX224" s="1170"/>
      <c r="CY224" s="1160"/>
      <c r="CZ224" s="1160"/>
      <c r="DA224" s="1160"/>
      <c r="DB224" s="1160"/>
      <c r="DC224" s="1160"/>
      <c r="DD224" s="1160"/>
      <c r="DE224" s="1160"/>
      <c r="DF224" s="1160"/>
      <c r="DG224" s="1160"/>
      <c r="DH224" s="1160"/>
      <c r="DI224" s="1160"/>
      <c r="DJ224" s="1160"/>
      <c r="DK224" s="1171"/>
      <c r="DL224" s="1160"/>
      <c r="DM224" s="1160"/>
      <c r="DN224" s="1160"/>
      <c r="DO224" s="1160"/>
      <c r="DP224" s="1160"/>
      <c r="DQ224" s="1160"/>
      <c r="DR224" s="1160"/>
      <c r="DS224" s="1160"/>
      <c r="DT224" s="1160"/>
      <c r="DU224" s="1160"/>
      <c r="DV224" s="1160"/>
      <c r="DW224" s="1160"/>
      <c r="DX224" s="1160"/>
      <c r="DY224" s="1160"/>
      <c r="DZ224" s="1160"/>
      <c r="EA224" s="1160"/>
      <c r="EB224" s="1160"/>
    </row>
    <row r="225" spans="1:132" ht="13.5" thickBot="1" x14ac:dyDescent="0.25">
      <c r="A225" s="1160"/>
      <c r="B225" s="1160"/>
      <c r="C225" s="1160"/>
      <c r="D225" s="1160"/>
      <c r="E225" s="1170"/>
      <c r="F225" s="1170"/>
      <c r="G225" s="1170"/>
      <c r="H225" s="1170"/>
      <c r="I225" s="1170"/>
      <c r="J225" s="1170"/>
      <c r="K225" s="1170"/>
      <c r="L225" s="1170"/>
      <c r="M225" s="1170"/>
      <c r="N225" s="1170"/>
      <c r="O225" s="1170"/>
      <c r="P225" s="1170"/>
      <c r="Q225" s="1170"/>
      <c r="R225" s="1170"/>
      <c r="S225" s="1170"/>
      <c r="T225" s="1170"/>
      <c r="U225" s="1170"/>
      <c r="V225" s="1170"/>
      <c r="W225" s="1170"/>
      <c r="X225" s="1170"/>
      <c r="Y225" s="1170"/>
      <c r="Z225" s="1170"/>
      <c r="AA225" s="1170"/>
      <c r="AB225" s="1170"/>
      <c r="AC225" s="1170"/>
      <c r="AD225" s="1170"/>
      <c r="AE225" s="1170"/>
      <c r="AF225" s="1170"/>
      <c r="AG225" s="1170"/>
      <c r="AH225" s="1170"/>
      <c r="AI225" s="1170"/>
      <c r="AJ225" s="1170"/>
      <c r="AK225" s="1170"/>
      <c r="AL225" s="1170"/>
      <c r="AM225" s="1170"/>
      <c r="AN225" s="1170"/>
      <c r="AO225" s="1170"/>
      <c r="AP225" s="1170"/>
      <c r="AQ225" s="1170"/>
      <c r="AR225" s="1170"/>
      <c r="AS225" s="1170"/>
      <c r="AT225" s="1170"/>
      <c r="AU225" s="1170"/>
      <c r="AV225" s="1170"/>
      <c r="AW225" s="1170"/>
      <c r="AX225" s="1170"/>
      <c r="AY225" s="1170"/>
      <c r="AZ225" s="1170"/>
      <c r="BA225" s="1170"/>
      <c r="BB225" s="1170"/>
      <c r="BC225" s="1170"/>
      <c r="BD225" s="1170"/>
      <c r="BE225" s="1170"/>
      <c r="BF225" s="1170"/>
      <c r="BG225" s="1170"/>
      <c r="BH225" s="1170"/>
      <c r="BI225" s="1170"/>
      <c r="BJ225" s="1170"/>
      <c r="BK225" s="1170"/>
      <c r="BL225" s="1170"/>
      <c r="BM225" s="1170"/>
      <c r="BN225" s="1170"/>
      <c r="BO225" s="1170"/>
      <c r="BP225" s="1170"/>
      <c r="BQ225" s="1170"/>
      <c r="BR225" s="1170"/>
      <c r="BS225" s="1170"/>
      <c r="BT225" s="1170"/>
      <c r="BU225" s="1170"/>
      <c r="BV225" s="1170"/>
      <c r="BW225" s="1170"/>
      <c r="BX225" s="1200" t="s">
        <v>1021</v>
      </c>
      <c r="BY225" s="1199" t="s">
        <v>1022</v>
      </c>
      <c r="BZ225" s="1268">
        <f ca="1">BT204</f>
        <v>85.351978544690525</v>
      </c>
      <c r="CA225" s="1170"/>
      <c r="CB225" s="1170"/>
      <c r="CC225" s="1170"/>
      <c r="CD225" s="1170"/>
      <c r="CE225" s="1170"/>
      <c r="CF225" s="1170"/>
      <c r="CG225" s="1170"/>
      <c r="CH225" s="1170"/>
      <c r="CI225" s="1170"/>
      <c r="CJ225" s="1170"/>
      <c r="CK225" s="1170"/>
      <c r="CL225" s="1170"/>
      <c r="CM225" s="1170"/>
      <c r="CN225" s="1170"/>
      <c r="CO225" s="1170"/>
      <c r="CP225" s="1170"/>
      <c r="CQ225" s="1170"/>
      <c r="CR225" s="1170"/>
      <c r="CS225" s="1170"/>
      <c r="CT225" s="1170"/>
      <c r="CU225" s="1170"/>
      <c r="CV225" s="1170"/>
      <c r="CW225" s="1170"/>
      <c r="CX225" s="1170"/>
      <c r="CY225" s="1160"/>
      <c r="CZ225" s="1160"/>
      <c r="DA225" s="1160"/>
      <c r="DB225" s="1160"/>
      <c r="DC225" s="1160"/>
      <c r="DD225" s="1160"/>
      <c r="DE225" s="1160"/>
      <c r="DF225" s="1160"/>
      <c r="DG225" s="1160"/>
      <c r="DH225" s="1160"/>
      <c r="DI225" s="1160"/>
      <c r="DJ225" s="1160"/>
      <c r="DK225" s="1171"/>
      <c r="DL225" s="1160"/>
      <c r="DM225" s="1160"/>
      <c r="DN225" s="1160"/>
      <c r="DO225" s="1160"/>
      <c r="DP225" s="1160"/>
      <c r="DQ225" s="1160"/>
      <c r="DR225" s="1160"/>
      <c r="DS225" s="1160"/>
      <c r="DT225" s="1160"/>
      <c r="DU225" s="1160"/>
      <c r="DV225" s="1160"/>
      <c r="DW225" s="1160"/>
      <c r="DX225" s="1160"/>
      <c r="DY225" s="1160"/>
      <c r="DZ225" s="1160"/>
      <c r="EA225" s="1160"/>
      <c r="EB225" s="1160"/>
    </row>
    <row r="226" spans="1:132" x14ac:dyDescent="0.2">
      <c r="A226" s="1160"/>
      <c r="B226" s="1160"/>
      <c r="C226" s="1160"/>
      <c r="D226" s="1160"/>
      <c r="E226" s="1170"/>
      <c r="F226" s="1170"/>
      <c r="G226" s="1170"/>
      <c r="H226" s="1170"/>
      <c r="I226" s="1170"/>
      <c r="J226" s="1170"/>
      <c r="K226" s="1170"/>
      <c r="L226" s="1170"/>
      <c r="M226" s="1170"/>
      <c r="N226" s="1170"/>
      <c r="O226" s="1170"/>
      <c r="P226" s="1170"/>
      <c r="Q226" s="1170"/>
      <c r="R226" s="1170"/>
      <c r="S226" s="1170"/>
      <c r="T226" s="1170"/>
      <c r="U226" s="1170"/>
      <c r="V226" s="1170"/>
      <c r="W226" s="1170"/>
      <c r="X226" s="1170"/>
      <c r="Y226" s="1170"/>
      <c r="Z226" s="1170"/>
      <c r="AA226" s="1170"/>
      <c r="AB226" s="1170"/>
      <c r="AC226" s="1170"/>
      <c r="AD226" s="1170"/>
      <c r="AE226" s="1170"/>
      <c r="AF226" s="1170"/>
      <c r="AG226" s="1170"/>
      <c r="AH226" s="1170"/>
      <c r="AI226" s="1170"/>
      <c r="AJ226" s="1170"/>
      <c r="AK226" s="1170"/>
      <c r="AL226" s="1170"/>
      <c r="AM226" s="1170"/>
      <c r="AN226" s="1170"/>
      <c r="AO226" s="1170"/>
      <c r="AP226" s="1170"/>
      <c r="AQ226" s="1170"/>
      <c r="AR226" s="1170"/>
      <c r="AS226" s="1170"/>
      <c r="AT226" s="1170"/>
      <c r="AU226" s="1170"/>
      <c r="AV226" s="1170"/>
      <c r="AW226" s="1170"/>
      <c r="AX226" s="1170"/>
      <c r="AY226" s="1170"/>
      <c r="AZ226" s="1170"/>
      <c r="BA226" s="1170"/>
      <c r="BB226" s="1170"/>
      <c r="BC226" s="1170"/>
      <c r="BD226" s="1170"/>
      <c r="BE226" s="1170"/>
      <c r="BF226" s="1170"/>
      <c r="BG226" s="1170"/>
      <c r="BH226" s="1170"/>
      <c r="BI226" s="1170"/>
      <c r="BJ226" s="1170"/>
      <c r="BK226" s="1170"/>
      <c r="BL226" s="1170"/>
      <c r="BM226" s="1170"/>
      <c r="BN226" s="1170"/>
      <c r="BO226" s="1170"/>
      <c r="BP226" s="1170"/>
      <c r="BQ226" s="1170"/>
      <c r="BR226" s="1170"/>
      <c r="BS226" s="1170"/>
      <c r="BT226" s="1170"/>
      <c r="BU226" s="1170"/>
      <c r="BV226" s="1170"/>
      <c r="BW226" s="1170"/>
      <c r="BX226" s="1204" t="s">
        <v>1054</v>
      </c>
      <c r="BY226" s="1204" t="str">
        <f>IF(allocationMethod=1,$C$21,IF(allocationMethod=2,$C$22,IF(allocationMethod=3,$C$23,$C$24)))</f>
        <v>Hydrogen Content Basis</v>
      </c>
      <c r="BZ226" s="1204">
        <f ca="1">IF(allocationMethod=1,BZ218,IF(allocationMethod=2,BZ224*BZ218,IF(allocationMethod=3,BZ225*BZ216,BZ222*BZ218/100)))</f>
        <v>3.5926311285078033E-15</v>
      </c>
      <c r="CA226" s="1170"/>
      <c r="CB226" s="1170"/>
      <c r="CC226" s="1170"/>
      <c r="CD226" s="1170"/>
      <c r="CE226" s="1170"/>
      <c r="CF226" s="1170"/>
      <c r="CG226" s="1170"/>
      <c r="CH226" s="1170"/>
      <c r="CI226" s="1170"/>
      <c r="CJ226" s="1170"/>
      <c r="CK226" s="1170"/>
      <c r="CL226" s="1170"/>
      <c r="CM226" s="1170"/>
      <c r="CN226" s="1170"/>
      <c r="CO226" s="1170"/>
      <c r="CP226" s="1170"/>
      <c r="CQ226" s="1170"/>
      <c r="CR226" s="1170"/>
      <c r="CS226" s="1170"/>
      <c r="CT226" s="1170"/>
      <c r="CU226" s="1170"/>
      <c r="CV226" s="1170"/>
      <c r="CW226" s="1170"/>
      <c r="CX226" s="1170"/>
      <c r="CY226" s="1160"/>
      <c r="CZ226" s="1160"/>
      <c r="DA226" s="1160"/>
      <c r="DB226" s="1160"/>
      <c r="DC226" s="1160"/>
      <c r="DD226" s="1160"/>
      <c r="DE226" s="1160"/>
      <c r="DF226" s="1160"/>
      <c r="DG226" s="1160"/>
      <c r="DH226" s="1160"/>
      <c r="DI226" s="1160"/>
      <c r="DJ226" s="1160"/>
      <c r="DK226" s="1171"/>
      <c r="DL226" s="1160"/>
      <c r="DM226" s="1160"/>
      <c r="DN226" s="1160"/>
      <c r="DO226" s="1160"/>
      <c r="DP226" s="1160"/>
      <c r="DQ226" s="1160"/>
      <c r="DR226" s="1160"/>
      <c r="DS226" s="1160"/>
      <c r="DT226" s="1160"/>
      <c r="DU226" s="1160"/>
      <c r="DV226" s="1160"/>
      <c r="DW226" s="1160"/>
      <c r="DX226" s="1160"/>
      <c r="DY226" s="1160"/>
      <c r="DZ226" s="1160"/>
      <c r="EA226" s="1160"/>
      <c r="EB226" s="1160"/>
    </row>
    <row r="227" spans="1:132" x14ac:dyDescent="0.2">
      <c r="A227" s="1160"/>
      <c r="B227" s="1160"/>
      <c r="C227" s="1160"/>
      <c r="D227" s="1160"/>
      <c r="E227" s="1170"/>
      <c r="F227" s="1170"/>
      <c r="G227" s="1170"/>
      <c r="H227" s="1170"/>
      <c r="I227" s="1170"/>
      <c r="J227" s="1170"/>
      <c r="K227" s="1170"/>
      <c r="L227" s="1170"/>
      <c r="M227" s="1170"/>
      <c r="N227" s="1170"/>
      <c r="O227" s="1170"/>
      <c r="P227" s="1170"/>
      <c r="Q227" s="1170"/>
      <c r="R227" s="1170"/>
      <c r="S227" s="1170"/>
      <c r="T227" s="1170"/>
      <c r="U227" s="1170"/>
      <c r="V227" s="1170"/>
      <c r="W227" s="1170"/>
      <c r="X227" s="1170"/>
      <c r="Y227" s="1170"/>
      <c r="Z227" s="1170"/>
      <c r="AA227" s="1170"/>
      <c r="AB227" s="1170"/>
      <c r="AC227" s="1170"/>
      <c r="AD227" s="1170"/>
      <c r="AE227" s="1170"/>
      <c r="AF227" s="1170"/>
      <c r="AG227" s="1170"/>
      <c r="AH227" s="1170"/>
      <c r="AI227" s="1170"/>
      <c r="AJ227" s="1170"/>
      <c r="AK227" s="1170"/>
      <c r="AL227" s="1170"/>
      <c r="AM227" s="1170"/>
      <c r="AN227" s="1199"/>
      <c r="AO227" s="1170"/>
      <c r="AP227" s="1170"/>
      <c r="AQ227" s="1170"/>
      <c r="AR227" s="1170"/>
      <c r="AS227" s="1170"/>
      <c r="AT227" s="1170"/>
      <c r="AU227" s="1170"/>
      <c r="AV227" s="1170"/>
      <c r="AW227" s="1170"/>
      <c r="AX227" s="1170"/>
      <c r="AY227" s="1170"/>
      <c r="AZ227" s="1170"/>
      <c r="BA227" s="1170"/>
      <c r="BB227" s="1170"/>
      <c r="BC227" s="1170"/>
      <c r="BD227" s="1170"/>
      <c r="BE227" s="1170"/>
      <c r="BF227" s="1170"/>
      <c r="BG227" s="1170"/>
      <c r="BH227" s="1170"/>
      <c r="BI227" s="1170"/>
      <c r="BJ227" s="1170"/>
      <c r="BK227" s="1170"/>
      <c r="BL227" s="1170"/>
      <c r="BM227" s="1170"/>
      <c r="BN227" s="1170"/>
      <c r="BO227" s="1170"/>
      <c r="BP227" s="1170"/>
      <c r="BQ227" s="1170"/>
      <c r="BR227" s="1181" t="str">
        <f>CokingRefineryCalcs!F696</f>
        <v>FCC Fuel Gas</v>
      </c>
      <c r="BS227" s="1170"/>
      <c r="BT227" s="1170"/>
      <c r="BU227" s="1170"/>
      <c r="BV227" s="1170"/>
      <c r="BW227" s="1170"/>
      <c r="BX227" s="1170"/>
      <c r="BY227" s="1170"/>
      <c r="BZ227" s="1170"/>
      <c r="CA227" s="1170"/>
      <c r="CB227" s="1170"/>
      <c r="CC227" s="1170"/>
      <c r="CD227" s="1170"/>
      <c r="CE227" s="1170"/>
      <c r="CF227" s="1170"/>
      <c r="CG227" s="1170"/>
      <c r="CH227" s="1170"/>
      <c r="CI227" s="1170"/>
      <c r="CJ227" s="1170"/>
      <c r="CK227" s="1170"/>
      <c r="CL227" s="1170"/>
      <c r="CM227" s="1170"/>
      <c r="CN227" s="1170"/>
      <c r="CO227" s="1170"/>
      <c r="CP227" s="1170"/>
      <c r="CQ227" s="1170"/>
      <c r="CR227" s="1170"/>
      <c r="CS227" s="1181" t="str">
        <f>CokingRefineryCalcs!H752</f>
        <v>FCC Gasoline</v>
      </c>
      <c r="CT227" s="1170"/>
      <c r="CU227" s="1170"/>
      <c r="CV227" s="1170"/>
      <c r="CW227" s="1170"/>
      <c r="CX227" s="1170"/>
      <c r="CY227" s="1160"/>
      <c r="CZ227" s="1160"/>
      <c r="DA227" s="1160"/>
      <c r="DB227" s="1160"/>
      <c r="DC227" s="1160"/>
      <c r="DD227" s="1160"/>
      <c r="DE227" s="1160"/>
      <c r="DF227" s="1160"/>
      <c r="DG227" s="1160"/>
      <c r="DH227" s="1160"/>
      <c r="DI227" s="1160"/>
      <c r="DJ227" s="1160"/>
      <c r="DK227" s="1171"/>
      <c r="DL227" s="1160"/>
      <c r="DM227" s="1160"/>
      <c r="DN227" s="1160"/>
      <c r="DO227" s="1160"/>
      <c r="DP227" s="1160"/>
      <c r="DQ227" s="1160"/>
      <c r="DR227" s="1160"/>
      <c r="DS227" s="1160"/>
      <c r="DT227" s="1160"/>
      <c r="DU227" s="1160"/>
      <c r="DV227" s="1160"/>
      <c r="DW227" s="1160"/>
      <c r="DX227" s="1160"/>
      <c r="DY227" s="1160"/>
      <c r="DZ227" s="1160"/>
      <c r="EA227" s="1160"/>
      <c r="EB227" s="1160"/>
    </row>
    <row r="228" spans="1:132" x14ac:dyDescent="0.2">
      <c r="A228" s="1160"/>
      <c r="B228" s="1160"/>
      <c r="C228" s="1160"/>
      <c r="D228" s="1160"/>
      <c r="E228" s="1170"/>
      <c r="F228" s="1170"/>
      <c r="G228" s="1170"/>
      <c r="H228" s="1170"/>
      <c r="I228" s="1170"/>
      <c r="J228" s="1170"/>
      <c r="K228" s="1170"/>
      <c r="L228" s="1170"/>
      <c r="M228" s="1170"/>
      <c r="N228" s="1170"/>
      <c r="O228" s="1170"/>
      <c r="P228" s="1170"/>
      <c r="Q228" s="1170"/>
      <c r="R228" s="1170"/>
      <c r="S228" s="1170"/>
      <c r="T228" s="1170"/>
      <c r="U228" s="1170"/>
      <c r="V228" s="1170"/>
      <c r="W228" s="1170"/>
      <c r="X228" s="1170"/>
      <c r="Y228" s="1170"/>
      <c r="Z228" s="1170"/>
      <c r="AA228" s="1170"/>
      <c r="AB228" s="1170"/>
      <c r="AC228" s="1170"/>
      <c r="AD228" s="1170"/>
      <c r="AE228" s="1170"/>
      <c r="AF228" s="1170"/>
      <c r="AG228" s="1170"/>
      <c r="AH228" s="1170"/>
      <c r="AI228" s="1170"/>
      <c r="AJ228" s="1170"/>
      <c r="AK228" s="1170"/>
      <c r="AL228" s="1170"/>
      <c r="AM228" s="1170"/>
      <c r="AN228" s="1199"/>
      <c r="AO228" s="1170"/>
      <c r="AP228" s="1170"/>
      <c r="AQ228" s="1170"/>
      <c r="AR228" s="1170"/>
      <c r="AS228" s="1170"/>
      <c r="AT228" s="1170"/>
      <c r="AU228" s="1170"/>
      <c r="AV228" s="1170"/>
      <c r="AW228" s="1170"/>
      <c r="AX228" s="1170"/>
      <c r="AY228" s="1170"/>
      <c r="AZ228" s="1170"/>
      <c r="BA228" s="1170"/>
      <c r="BB228" s="1170"/>
      <c r="BC228" s="1170"/>
      <c r="BD228" s="1170"/>
      <c r="BE228" s="1170"/>
      <c r="BF228" s="1170"/>
      <c r="BG228" s="1170"/>
      <c r="BH228" s="1170"/>
      <c r="BI228" s="1170"/>
      <c r="BJ228" s="1170"/>
      <c r="BK228" s="1170"/>
      <c r="BL228" s="1170"/>
      <c r="BM228" s="1170"/>
      <c r="BN228" s="1170"/>
      <c r="BO228" s="1170"/>
      <c r="BP228" s="1170"/>
      <c r="BQ228" s="1170"/>
      <c r="BR228" s="1182" t="str">
        <f>CokingRefineryCalcs!C696</f>
        <v>Property</v>
      </c>
      <c r="BS228" s="1182" t="str">
        <f>CokingRefineryCalcs!D696</f>
        <v>Units</v>
      </c>
      <c r="BT228" s="1170"/>
      <c r="BU228" s="1170"/>
      <c r="BV228" s="1170"/>
      <c r="BW228" s="1170"/>
      <c r="BX228" s="1170"/>
      <c r="BY228" s="1170"/>
      <c r="BZ228" s="1170"/>
      <c r="CA228" s="1170"/>
      <c r="CB228" s="1170"/>
      <c r="CC228" s="1170"/>
      <c r="CD228" s="1170"/>
      <c r="CE228" s="1170"/>
      <c r="CF228" s="1170"/>
      <c r="CG228" s="1170"/>
      <c r="CH228" s="1170"/>
      <c r="CI228" s="1170"/>
      <c r="CJ228" s="1170"/>
      <c r="CK228" s="1170"/>
      <c r="CL228" s="1170"/>
      <c r="CM228" s="1170"/>
      <c r="CN228" s="1170"/>
      <c r="CO228" s="1170"/>
      <c r="CP228" s="1170"/>
      <c r="CQ228" s="1170"/>
      <c r="CR228" s="1170"/>
      <c r="CS228" s="1182" t="str">
        <f>CokingRefineryCalcs!C752</f>
        <v>Property</v>
      </c>
      <c r="CT228" s="1182" t="str">
        <f>CokingRefineryCalcs!D752</f>
        <v>Units</v>
      </c>
      <c r="CU228" s="1170"/>
      <c r="CV228" s="1170"/>
      <c r="CW228" s="1170"/>
      <c r="CX228" s="1170"/>
      <c r="CY228" s="1160"/>
      <c r="CZ228" s="1160"/>
      <c r="DA228" s="1160"/>
      <c r="DB228" s="1160"/>
      <c r="DC228" s="1160"/>
      <c r="DD228" s="1160"/>
      <c r="DE228" s="1160"/>
      <c r="DF228" s="1160"/>
      <c r="DG228" s="1160"/>
      <c r="DH228" s="1160"/>
      <c r="DI228" s="1160"/>
      <c r="DJ228" s="1160"/>
      <c r="DK228" s="1171"/>
      <c r="DL228" s="1160"/>
      <c r="DM228" s="1160"/>
      <c r="DN228" s="1160"/>
      <c r="DO228" s="1160"/>
      <c r="DP228" s="1160"/>
      <c r="DQ228" s="1160"/>
      <c r="DR228" s="1160"/>
      <c r="DS228" s="1160"/>
      <c r="DT228" s="1160"/>
      <c r="DU228" s="1160"/>
      <c r="DV228" s="1160"/>
      <c r="DW228" s="1160"/>
      <c r="DX228" s="1160"/>
      <c r="DY228" s="1160"/>
      <c r="DZ228" s="1160"/>
      <c r="EA228" s="1160"/>
      <c r="EB228" s="1160"/>
    </row>
    <row r="229" spans="1:132" x14ac:dyDescent="0.2">
      <c r="A229" s="1160"/>
      <c r="B229" s="1160"/>
      <c r="C229" s="1160"/>
      <c r="D229" s="1160"/>
      <c r="E229" s="1170"/>
      <c r="F229" s="1170"/>
      <c r="G229" s="1170"/>
      <c r="H229" s="1170"/>
      <c r="I229" s="1170"/>
      <c r="J229" s="1170"/>
      <c r="K229" s="1170"/>
      <c r="L229" s="1170"/>
      <c r="M229" s="1170"/>
      <c r="N229" s="1170"/>
      <c r="O229" s="1170"/>
      <c r="P229" s="1170"/>
      <c r="Q229" s="1170"/>
      <c r="R229" s="1170"/>
      <c r="S229" s="1170"/>
      <c r="T229" s="1170"/>
      <c r="U229" s="1170"/>
      <c r="V229" s="1170"/>
      <c r="W229" s="1170"/>
      <c r="X229" s="1170"/>
      <c r="Y229" s="1170"/>
      <c r="Z229" s="1170"/>
      <c r="AA229" s="1170"/>
      <c r="AB229" s="1170"/>
      <c r="AC229" s="1170"/>
      <c r="AD229" s="1170"/>
      <c r="AE229" s="1170"/>
      <c r="AF229" s="1170"/>
      <c r="AG229" s="1170"/>
      <c r="AH229" s="1170"/>
      <c r="AI229" s="1170"/>
      <c r="AJ229" s="1170"/>
      <c r="AK229" s="1170"/>
      <c r="AL229" s="1170"/>
      <c r="AM229" s="1170"/>
      <c r="AN229" s="1170"/>
      <c r="AO229" s="1170"/>
      <c r="AP229" s="1170"/>
      <c r="AQ229" s="1170"/>
      <c r="AR229" s="1170"/>
      <c r="AS229" s="1170"/>
      <c r="AT229" s="1170"/>
      <c r="AU229" s="1170"/>
      <c r="AV229" s="1170"/>
      <c r="AW229" s="1170"/>
      <c r="AX229" s="1170"/>
      <c r="AY229" s="1170"/>
      <c r="AZ229" s="1170"/>
      <c r="BA229" s="1170"/>
      <c r="BB229" s="1170"/>
      <c r="BC229" s="1170"/>
      <c r="BD229" s="1170"/>
      <c r="BE229" s="1170"/>
      <c r="BF229" s="1170"/>
      <c r="BG229" s="1170"/>
      <c r="BH229" s="1170"/>
      <c r="BI229" s="1170"/>
      <c r="BJ229" s="1170"/>
      <c r="BK229" s="1170"/>
      <c r="BL229" s="1170"/>
      <c r="BM229" s="1170"/>
      <c r="BN229" s="1170"/>
      <c r="BO229" s="1170"/>
      <c r="BP229" s="1170"/>
      <c r="BQ229" s="1170"/>
      <c r="BR229" s="1186" t="str">
        <f>CokingRefineryCalcs!C697</f>
        <v>Vol Flow</v>
      </c>
      <c r="BS229" s="1170" t="str">
        <f ca="1">CokingRefineryCalcs!D697</f>
        <v>bpd</v>
      </c>
      <c r="BT229" s="1187">
        <f ca="1">BT230/'Energy &amp; Unit Conversions'!$G$80</f>
        <v>6.9100791962980515E-15</v>
      </c>
      <c r="BU229" s="1170"/>
      <c r="BV229" s="1170"/>
      <c r="BW229" s="1170"/>
      <c r="BX229" s="1170"/>
      <c r="BY229" s="1170"/>
      <c r="BZ229" s="1170"/>
      <c r="CA229" s="1170"/>
      <c r="CB229" s="1186"/>
      <c r="CC229" s="1170"/>
      <c r="CD229" s="1170"/>
      <c r="CE229" s="1170"/>
      <c r="CF229" s="1170"/>
      <c r="CG229" s="1170"/>
      <c r="CH229" s="1170"/>
      <c r="CI229" s="1170"/>
      <c r="CJ229" s="1170"/>
      <c r="CK229" s="1170"/>
      <c r="CL229" s="1170"/>
      <c r="CM229" s="1170"/>
      <c r="CN229" s="1170"/>
      <c r="CO229" s="1170"/>
      <c r="CP229" s="1170"/>
      <c r="CQ229" s="1170"/>
      <c r="CR229" s="1170"/>
      <c r="CS229" s="1186" t="str">
        <f>CokingRefineryCalcs!C753</f>
        <v>Vol Flow</v>
      </c>
      <c r="CT229" s="1170" t="str">
        <f ca="1">CokingRefineryCalcs!D753</f>
        <v>bpd</v>
      </c>
      <c r="CU229" s="1170">
        <f ca="1">CokingRefineryCalcs!H753</f>
        <v>1.2581015309592083E-16</v>
      </c>
      <c r="CV229" s="1170"/>
      <c r="CW229" s="1170"/>
      <c r="CX229" s="1170"/>
      <c r="CY229" s="1160"/>
      <c r="CZ229" s="1160"/>
      <c r="DA229" s="1160"/>
      <c r="DB229" s="1160"/>
      <c r="DC229" s="1160"/>
      <c r="DD229" s="1160"/>
      <c r="DE229" s="1160"/>
      <c r="DF229" s="1160"/>
      <c r="DG229" s="1160"/>
      <c r="DH229" s="1160"/>
      <c r="DI229" s="1160"/>
      <c r="DJ229" s="1160"/>
      <c r="DK229" s="1171"/>
      <c r="DL229" s="1160"/>
      <c r="DM229" s="1160"/>
      <c r="DN229" s="1160"/>
      <c r="DO229" s="1160"/>
      <c r="DP229" s="1160"/>
      <c r="DQ229" s="1160"/>
      <c r="DR229" s="1160"/>
      <c r="DS229" s="1160"/>
      <c r="DT229" s="1160"/>
      <c r="DU229" s="1160"/>
      <c r="DV229" s="1160"/>
      <c r="DW229" s="1160"/>
      <c r="DX229" s="1160"/>
      <c r="DY229" s="1160"/>
      <c r="DZ229" s="1160"/>
      <c r="EA229" s="1160"/>
      <c r="EB229" s="1160"/>
    </row>
    <row r="230" spans="1:132" x14ac:dyDescent="0.2">
      <c r="A230" s="1160"/>
      <c r="B230" s="1160"/>
      <c r="C230" s="1160"/>
      <c r="D230" s="1160"/>
      <c r="E230" s="1170"/>
      <c r="F230" s="1170"/>
      <c r="G230" s="1170"/>
      <c r="H230" s="1170"/>
      <c r="I230" s="1170"/>
      <c r="J230" s="1170"/>
      <c r="K230" s="1170"/>
      <c r="L230" s="1170"/>
      <c r="M230" s="1170"/>
      <c r="N230" s="1170"/>
      <c r="O230" s="1170"/>
      <c r="P230" s="1170"/>
      <c r="Q230" s="1170"/>
      <c r="R230" s="1170"/>
      <c r="S230" s="1170"/>
      <c r="T230" s="1170"/>
      <c r="U230" s="1170"/>
      <c r="V230" s="1170"/>
      <c r="W230" s="1170"/>
      <c r="X230" s="1170"/>
      <c r="Y230" s="1170"/>
      <c r="Z230" s="1170"/>
      <c r="AA230" s="1170"/>
      <c r="AB230" s="1170"/>
      <c r="AC230" s="1170"/>
      <c r="AD230" s="1170"/>
      <c r="AE230" s="1170"/>
      <c r="AF230" s="1170"/>
      <c r="AG230" s="1170"/>
      <c r="AH230" s="1170"/>
      <c r="AI230" s="1170"/>
      <c r="AJ230" s="1170"/>
      <c r="AK230" s="1170"/>
      <c r="AL230" s="1170"/>
      <c r="AM230" s="1170"/>
      <c r="AN230" s="1170"/>
      <c r="AO230" s="1170"/>
      <c r="AP230" s="1170"/>
      <c r="AQ230" s="1170"/>
      <c r="AR230" s="1170"/>
      <c r="AS230" s="1170"/>
      <c r="AT230" s="1170"/>
      <c r="AU230" s="1170"/>
      <c r="AV230" s="1170"/>
      <c r="AW230" s="1170"/>
      <c r="AX230" s="1170"/>
      <c r="AY230" s="1170"/>
      <c r="AZ230" s="1170"/>
      <c r="BA230" s="1170"/>
      <c r="BB230" s="1170"/>
      <c r="BC230" s="1170"/>
      <c r="BD230" s="1170"/>
      <c r="BE230" s="1170"/>
      <c r="BF230" s="1170"/>
      <c r="BG230" s="1170"/>
      <c r="BH230" s="1170"/>
      <c r="BI230" s="1170"/>
      <c r="BJ230" s="1170"/>
      <c r="BK230" s="1170"/>
      <c r="BL230" s="1170"/>
      <c r="BM230" s="1170"/>
      <c r="BN230" s="1170"/>
      <c r="BO230" s="1170"/>
      <c r="BP230" s="1170"/>
      <c r="BQ230" s="1170"/>
      <c r="BR230" s="1186" t="str">
        <f>CokingRefineryCalcs!C698</f>
        <v>Vol Flow</v>
      </c>
      <c r="BS230" s="1170" t="str">
        <f ca="1">CokingRefineryCalcs!D698</f>
        <v>m^3/d</v>
      </c>
      <c r="BT230" s="1187">
        <f ca="1">BT231*BT234</f>
        <v>1.0986148342055972E-15</v>
      </c>
      <c r="BU230" s="1170"/>
      <c r="BV230" s="1170"/>
      <c r="BW230" s="1170"/>
      <c r="BX230" s="1170"/>
      <c r="BY230" s="1170"/>
      <c r="BZ230" s="1170"/>
      <c r="CA230" s="1170"/>
      <c r="CB230" s="1186"/>
      <c r="CC230" s="1170"/>
      <c r="CD230" s="1170"/>
      <c r="CE230" s="1170"/>
      <c r="CF230" s="1170"/>
      <c r="CG230" s="1170"/>
      <c r="CH230" s="1170"/>
      <c r="CI230" s="1170"/>
      <c r="CJ230" s="1170"/>
      <c r="CK230" s="1170"/>
      <c r="CL230" s="1170"/>
      <c r="CM230" s="1170"/>
      <c r="CN230" s="1170"/>
      <c r="CO230" s="1170"/>
      <c r="CP230" s="1170"/>
      <c r="CQ230" s="1170"/>
      <c r="CR230" s="1170"/>
      <c r="CS230" s="1186" t="str">
        <f>CokingRefineryCalcs!C754</f>
        <v>Vol Flow</v>
      </c>
      <c r="CT230" s="1170" t="str">
        <f ca="1">CokingRefineryCalcs!D754</f>
        <v>m^3/d</v>
      </c>
      <c r="CU230" s="1170">
        <f ca="1">CokingRefineryCalcs!H754</f>
        <v>2.0002216553307093E-17</v>
      </c>
      <c r="CV230" s="1170"/>
      <c r="CW230" s="1170"/>
      <c r="CX230" s="1170"/>
      <c r="CY230" s="1160"/>
      <c r="CZ230" s="1160"/>
      <c r="DA230" s="1160"/>
      <c r="DB230" s="1160"/>
      <c r="DC230" s="1160"/>
      <c r="DD230" s="1160"/>
      <c r="DE230" s="1160"/>
      <c r="DF230" s="1160"/>
      <c r="DG230" s="1160"/>
      <c r="DH230" s="1160"/>
      <c r="DI230" s="1160"/>
      <c r="DJ230" s="1160"/>
      <c r="DK230" s="1171"/>
      <c r="DL230" s="1160"/>
      <c r="DM230" s="1160"/>
      <c r="DN230" s="1160"/>
      <c r="DO230" s="1160"/>
      <c r="DP230" s="1160"/>
      <c r="DQ230" s="1160"/>
      <c r="DR230" s="1160"/>
      <c r="DS230" s="1160"/>
      <c r="DT230" s="1160"/>
      <c r="DU230" s="1160"/>
      <c r="DV230" s="1160"/>
      <c r="DW230" s="1160"/>
      <c r="DX230" s="1160"/>
      <c r="DY230" s="1160"/>
      <c r="DZ230" s="1160"/>
      <c r="EA230" s="1160"/>
      <c r="EB230" s="1160"/>
    </row>
    <row r="231" spans="1:132" x14ac:dyDescent="0.2">
      <c r="A231" s="1160"/>
      <c r="B231" s="1160"/>
      <c r="C231" s="1160"/>
      <c r="D231" s="1160"/>
      <c r="E231" s="1170"/>
      <c r="F231" s="1170"/>
      <c r="G231" s="1170"/>
      <c r="H231" s="1170"/>
      <c r="I231" s="1170"/>
      <c r="J231" s="1170"/>
      <c r="K231" s="1170"/>
      <c r="L231" s="1170"/>
      <c r="M231" s="1170"/>
      <c r="N231" s="1170"/>
      <c r="O231" s="1170"/>
      <c r="P231" s="1170"/>
      <c r="Q231" s="1170"/>
      <c r="R231" s="1170"/>
      <c r="S231" s="1170"/>
      <c r="T231" s="1170"/>
      <c r="U231" s="1170"/>
      <c r="V231" s="1170"/>
      <c r="W231" s="1170"/>
      <c r="X231" s="1170"/>
      <c r="Y231" s="1170"/>
      <c r="Z231" s="1170"/>
      <c r="AA231" s="1170"/>
      <c r="AB231" s="1170"/>
      <c r="AC231" s="1170"/>
      <c r="AD231" s="1170"/>
      <c r="AE231" s="1170"/>
      <c r="AF231" s="1170"/>
      <c r="AG231" s="1170"/>
      <c r="AH231" s="1170"/>
      <c r="AI231" s="1170"/>
      <c r="AJ231" s="1170"/>
      <c r="AK231" s="1170"/>
      <c r="AL231" s="1170"/>
      <c r="AM231" s="1170"/>
      <c r="AN231" s="1184"/>
      <c r="AO231" s="1170"/>
      <c r="AP231" s="1170"/>
      <c r="AQ231" s="1170"/>
      <c r="AR231" s="1170"/>
      <c r="AS231" s="1170"/>
      <c r="AT231" s="1170"/>
      <c r="AU231" s="1170"/>
      <c r="AV231" s="1170"/>
      <c r="AW231" s="1170"/>
      <c r="AX231" s="1170"/>
      <c r="AY231" s="1170"/>
      <c r="AZ231" s="1170"/>
      <c r="BA231" s="1170"/>
      <c r="BB231" s="1181" t="str">
        <f>CokingRefineryCalcs!I844</f>
        <v>Total Coker Liquids</v>
      </c>
      <c r="BC231" s="1170"/>
      <c r="BD231" s="1170"/>
      <c r="BE231" s="1170"/>
      <c r="BF231" s="1170"/>
      <c r="BG231" s="1170"/>
      <c r="BH231" s="1170"/>
      <c r="BI231" s="1170"/>
      <c r="BJ231" s="1170"/>
      <c r="BK231" s="1170"/>
      <c r="BL231" s="1170"/>
      <c r="BM231" s="1170"/>
      <c r="BN231" s="1170"/>
      <c r="BO231" s="1170"/>
      <c r="BP231" s="1170"/>
      <c r="BQ231" s="1170"/>
      <c r="BR231" s="1186" t="str">
        <f>CokingRefineryCalcs!C699</f>
        <v>Mass Flow</v>
      </c>
      <c r="BS231" s="1170" t="str">
        <f>CokingRefineryCalcs!D699</f>
        <v>kg/d</v>
      </c>
      <c r="BT231" s="1170">
        <f ca="1">CokingRefineryCalcs!F699</f>
        <v>9.4845461792606004E-16</v>
      </c>
      <c r="BU231" s="1170"/>
      <c r="BV231" s="1170"/>
      <c r="BW231" s="1170"/>
      <c r="BX231" s="1170"/>
      <c r="BY231" s="1170"/>
      <c r="BZ231" s="1170"/>
      <c r="CA231" s="1170"/>
      <c r="CB231" s="1186"/>
      <c r="CC231" s="1170"/>
      <c r="CD231" s="1170"/>
      <c r="CE231" s="1170"/>
      <c r="CF231" s="1170"/>
      <c r="CG231" s="1170"/>
      <c r="CH231" s="1170"/>
      <c r="CI231" s="1170"/>
      <c r="CJ231" s="1170"/>
      <c r="CK231" s="1170"/>
      <c r="CL231" s="1170"/>
      <c r="CM231" s="1170"/>
      <c r="CN231" s="1170"/>
      <c r="CO231" s="1170"/>
      <c r="CP231" s="1170"/>
      <c r="CQ231" s="1170"/>
      <c r="CR231" s="1170"/>
      <c r="CS231" s="1186" t="str">
        <f>CokingRefineryCalcs!C755</f>
        <v>Mass Flow</v>
      </c>
      <c r="CT231" s="1170" t="str">
        <f>CokingRefineryCalcs!D755</f>
        <v>kg/d</v>
      </c>
      <c r="CU231" s="1170">
        <f ca="1">CokingRefineryCalcs!H755</f>
        <v>1.4801640249447621E-14</v>
      </c>
      <c r="CV231" s="1170"/>
      <c r="CW231" s="1170"/>
      <c r="CX231" s="1170"/>
      <c r="CY231" s="1160"/>
      <c r="CZ231" s="1160"/>
      <c r="DA231" s="1160"/>
      <c r="DB231" s="1160"/>
      <c r="DC231" s="1160"/>
      <c r="DD231" s="1160"/>
      <c r="DE231" s="1160"/>
      <c r="DF231" s="1160"/>
      <c r="DG231" s="1160"/>
      <c r="DH231" s="1160"/>
      <c r="DI231" s="1160"/>
      <c r="DJ231" s="1160"/>
      <c r="DK231" s="1171"/>
      <c r="DL231" s="1160"/>
      <c r="DM231" s="1160"/>
      <c r="DN231" s="1160"/>
      <c r="DO231" s="1160"/>
      <c r="DP231" s="1160"/>
      <c r="DQ231" s="1160"/>
      <c r="DR231" s="1160"/>
      <c r="DS231" s="1160"/>
      <c r="DT231" s="1160"/>
      <c r="DU231" s="1160"/>
      <c r="DV231" s="1160"/>
      <c r="DW231" s="1160"/>
      <c r="DX231" s="1160"/>
      <c r="DY231" s="1160"/>
      <c r="DZ231" s="1160"/>
      <c r="EA231" s="1160"/>
      <c r="EB231" s="1160"/>
    </row>
    <row r="232" spans="1:132" x14ac:dyDescent="0.2">
      <c r="A232" s="1160"/>
      <c r="B232" s="1160"/>
      <c r="C232" s="1160"/>
      <c r="D232" s="1160"/>
      <c r="E232" s="1170"/>
      <c r="F232" s="1170"/>
      <c r="G232" s="1170"/>
      <c r="H232" s="1170"/>
      <c r="I232" s="1170"/>
      <c r="J232" s="1170"/>
      <c r="K232" s="1170"/>
      <c r="L232" s="1170"/>
      <c r="M232" s="1170"/>
      <c r="N232" s="1170"/>
      <c r="O232" s="1170"/>
      <c r="P232" s="1170"/>
      <c r="Q232" s="1170"/>
      <c r="R232" s="1170"/>
      <c r="S232" s="1170"/>
      <c r="T232" s="1170"/>
      <c r="U232" s="1170"/>
      <c r="V232" s="1170"/>
      <c r="W232" s="1170"/>
      <c r="X232" s="1170"/>
      <c r="Y232" s="1170"/>
      <c r="Z232" s="1170"/>
      <c r="AA232" s="1170"/>
      <c r="AB232" s="1170"/>
      <c r="AC232" s="1170"/>
      <c r="AD232" s="1170"/>
      <c r="AE232" s="1170"/>
      <c r="AF232" s="1170"/>
      <c r="AG232" s="1170"/>
      <c r="AH232" s="1170"/>
      <c r="AI232" s="1170"/>
      <c r="AJ232" s="1170"/>
      <c r="AK232" s="1170"/>
      <c r="AL232" s="1170"/>
      <c r="AM232" s="1170"/>
      <c r="AN232" s="1170"/>
      <c r="AO232" s="1170"/>
      <c r="AP232" s="1170"/>
      <c r="AQ232" s="1170"/>
      <c r="AR232" s="1170"/>
      <c r="AS232" s="1170"/>
      <c r="AT232" s="1170"/>
      <c r="AU232" s="1170"/>
      <c r="AV232" s="1170"/>
      <c r="AW232" s="1170"/>
      <c r="AX232" s="1170"/>
      <c r="AY232" s="1170"/>
      <c r="AZ232" s="1170"/>
      <c r="BA232" s="1170"/>
      <c r="BB232" s="1182" t="str">
        <f>CokingRefineryCalcs!C829</f>
        <v>Property</v>
      </c>
      <c r="BC232" s="1182" t="str">
        <f>CokingRefineryCalcs!D829</f>
        <v>Units</v>
      </c>
      <c r="BD232" s="1170"/>
      <c r="BE232" s="1170"/>
      <c r="BF232" s="1170"/>
      <c r="BG232" s="1170"/>
      <c r="BH232" s="1170"/>
      <c r="BI232" s="1170"/>
      <c r="BJ232" s="1170"/>
      <c r="BK232" s="1170"/>
      <c r="BL232" s="1170"/>
      <c r="BM232" s="1170"/>
      <c r="BN232" s="1170"/>
      <c r="BO232" s="1170"/>
      <c r="BP232" s="1170"/>
      <c r="BQ232" s="1170"/>
      <c r="BR232" s="1186" t="str">
        <f>CokingRefineryCalcs!C700</f>
        <v xml:space="preserve">Sulphur </v>
      </c>
      <c r="BS232" s="1170" t="str">
        <f ca="1">CokingRefineryCalcs!D700</f>
        <v>wt%</v>
      </c>
      <c r="BT232" s="1170">
        <f ca="1">CokingRefineryCalcs!F700</f>
        <v>0</v>
      </c>
      <c r="BU232" s="1170"/>
      <c r="BV232" s="1170"/>
      <c r="BW232" s="1170"/>
      <c r="BX232" s="1170"/>
      <c r="BY232" s="1170"/>
      <c r="BZ232" s="1170"/>
      <c r="CA232" s="1170"/>
      <c r="CB232" s="1170"/>
      <c r="CC232" s="1170"/>
      <c r="CD232" s="1170"/>
      <c r="CE232" s="1170"/>
      <c r="CF232" s="1170"/>
      <c r="CG232" s="1170"/>
      <c r="CH232" s="1170"/>
      <c r="CI232" s="1170"/>
      <c r="CJ232" s="1170"/>
      <c r="CK232" s="1170"/>
      <c r="CL232" s="1170"/>
      <c r="CM232" s="1170"/>
      <c r="CN232" s="1170"/>
      <c r="CO232" s="1170"/>
      <c r="CP232" s="1170"/>
      <c r="CQ232" s="1170"/>
      <c r="CR232" s="1170"/>
      <c r="CS232" s="1186" t="str">
        <f>CokingRefineryCalcs!C756</f>
        <v xml:space="preserve">Sulphur </v>
      </c>
      <c r="CT232" s="1170" t="str">
        <f ca="1">CokingRefineryCalcs!D756</f>
        <v>wt%</v>
      </c>
      <c r="CU232" s="1170">
        <f ca="1">CokingRefineryCalcs!H756</f>
        <v>0</v>
      </c>
      <c r="CV232" s="1170"/>
      <c r="CW232" s="1170"/>
      <c r="CX232" s="1170"/>
      <c r="CY232" s="1160"/>
      <c r="CZ232" s="1160"/>
      <c r="DA232" s="1160"/>
      <c r="DB232" s="1160"/>
      <c r="DC232" s="1160"/>
      <c r="DD232" s="1160"/>
      <c r="DE232" s="1160"/>
      <c r="DF232" s="1160"/>
      <c r="DG232" s="1160"/>
      <c r="DH232" s="1160"/>
      <c r="DI232" s="1160"/>
      <c r="DJ232" s="1160"/>
      <c r="DK232" s="1171"/>
      <c r="DL232" s="1160"/>
      <c r="DM232" s="1160"/>
      <c r="DN232" s="1160"/>
      <c r="DO232" s="1160"/>
      <c r="DP232" s="1160"/>
      <c r="DQ232" s="1160"/>
      <c r="DR232" s="1160"/>
      <c r="DS232" s="1160"/>
      <c r="DT232" s="1160"/>
      <c r="DU232" s="1160"/>
      <c r="DV232" s="1160"/>
      <c r="DW232" s="1160"/>
      <c r="DX232" s="1160"/>
      <c r="DY232" s="1160"/>
      <c r="DZ232" s="1160"/>
      <c r="EA232" s="1160"/>
      <c r="EB232" s="1160"/>
    </row>
    <row r="233" spans="1:132" x14ac:dyDescent="0.2">
      <c r="A233" s="1160"/>
      <c r="B233" s="1160"/>
      <c r="C233" s="1160"/>
      <c r="D233" s="1160"/>
      <c r="E233" s="1170"/>
      <c r="F233" s="1170"/>
      <c r="G233" s="1170"/>
      <c r="H233" s="1170"/>
      <c r="I233" s="1170"/>
      <c r="J233" s="1170"/>
      <c r="K233" s="1170"/>
      <c r="L233" s="1170"/>
      <c r="M233" s="1170"/>
      <c r="N233" s="1170"/>
      <c r="O233" s="1170"/>
      <c r="P233" s="1170"/>
      <c r="Q233" s="1170"/>
      <c r="R233" s="1170"/>
      <c r="S233" s="1170"/>
      <c r="T233" s="1170"/>
      <c r="U233" s="1170"/>
      <c r="V233" s="1170"/>
      <c r="W233" s="1170"/>
      <c r="X233" s="1170"/>
      <c r="Y233" s="1170"/>
      <c r="Z233" s="1170"/>
      <c r="AA233" s="1170"/>
      <c r="AB233" s="1170"/>
      <c r="AC233" s="1170"/>
      <c r="AD233" s="1170"/>
      <c r="AE233" s="1170"/>
      <c r="AF233" s="1170"/>
      <c r="AG233" s="1170"/>
      <c r="AH233" s="1170"/>
      <c r="AI233" s="1170"/>
      <c r="AJ233" s="1181" t="str">
        <f>CokingRefineryCalcs!I539</f>
        <v>Vac Residue</v>
      </c>
      <c r="AK233" s="1170"/>
      <c r="AL233" s="1170"/>
      <c r="AM233" s="1170"/>
      <c r="AN233" s="1170"/>
      <c r="AO233" s="1170"/>
      <c r="AP233" s="1170"/>
      <c r="AQ233" s="1170"/>
      <c r="AR233" s="1170"/>
      <c r="AS233" s="1170"/>
      <c r="AT233" s="1170"/>
      <c r="AU233" s="1170"/>
      <c r="AV233" s="1170"/>
      <c r="AW233" s="1170"/>
      <c r="AX233" s="1170"/>
      <c r="AY233" s="1170"/>
      <c r="AZ233" s="1170"/>
      <c r="BA233" s="1170"/>
      <c r="BB233" s="1186" t="str">
        <f>CokingRefineryCalcs!C830</f>
        <v>Vol Flow</v>
      </c>
      <c r="BC233" s="1170" t="str">
        <f ca="1">CokingRefineryCalcs!D830</f>
        <v>bpd</v>
      </c>
      <c r="BD233" s="1170">
        <f ca="1">CokingRefineryCalcs!I845</f>
        <v>5.1530211162379341E-17</v>
      </c>
      <c r="BE233" s="1170"/>
      <c r="BF233" s="1170"/>
      <c r="BG233" s="1170"/>
      <c r="BH233" s="1170"/>
      <c r="BI233" s="1170"/>
      <c r="BJ233" s="1170"/>
      <c r="BK233" s="1170"/>
      <c r="BL233" s="1170"/>
      <c r="BM233" s="1170"/>
      <c r="BN233" s="1170"/>
      <c r="BO233" s="1170"/>
      <c r="BP233" s="1170"/>
      <c r="BQ233" s="1170"/>
      <c r="BR233" s="1186" t="str">
        <f>CokingRefineryCalcs!C702</f>
        <v xml:space="preserve">API gravity </v>
      </c>
      <c r="BS233" s="1170"/>
      <c r="BT233" s="1170"/>
      <c r="BU233" s="1170"/>
      <c r="BV233" s="1170"/>
      <c r="BW233" s="1170"/>
      <c r="BX233" s="1170"/>
      <c r="BY233" s="1170"/>
      <c r="BZ233" s="1170"/>
      <c r="CA233" s="1170"/>
      <c r="CB233" s="1170"/>
      <c r="CC233" s="1170"/>
      <c r="CD233" s="1170"/>
      <c r="CE233" s="1170"/>
      <c r="CF233" s="1170"/>
      <c r="CG233" s="1170"/>
      <c r="CH233" s="1170"/>
      <c r="CI233" s="1170"/>
      <c r="CJ233" s="1170"/>
      <c r="CK233" s="1170"/>
      <c r="CL233" s="1170"/>
      <c r="CM233" s="1170"/>
      <c r="CN233" s="1170"/>
      <c r="CO233" s="1170"/>
      <c r="CP233" s="1170"/>
      <c r="CQ233" s="1170"/>
      <c r="CR233" s="1170"/>
      <c r="CS233" s="1186" t="str">
        <f>CokingRefineryCalcs!C758</f>
        <v xml:space="preserve">API gravity </v>
      </c>
      <c r="CT233" s="1170" t="str">
        <f ca="1">CokingRefineryCalcs!D758</f>
        <v>oAPI</v>
      </c>
      <c r="CU233" s="1170">
        <f ca="1">CokingRefineryCalcs!H758</f>
        <v>59.716216216211393</v>
      </c>
      <c r="CV233" s="1170"/>
      <c r="CW233" s="1170"/>
      <c r="CX233" s="1170"/>
      <c r="CY233" s="1160"/>
      <c r="CZ233" s="1160"/>
      <c r="DA233" s="1160"/>
      <c r="DB233" s="1160"/>
      <c r="DC233" s="1160"/>
      <c r="DD233" s="1160"/>
      <c r="DE233" s="1160"/>
      <c r="DF233" s="1160"/>
      <c r="DG233" s="1160"/>
      <c r="DH233" s="1160"/>
      <c r="DI233" s="1160"/>
      <c r="DJ233" s="1160"/>
      <c r="DK233" s="1171"/>
      <c r="DL233" s="1160"/>
      <c r="DM233" s="1160"/>
      <c r="DN233" s="1160"/>
      <c r="DO233" s="1160"/>
      <c r="DP233" s="1160"/>
      <c r="DQ233" s="1160"/>
      <c r="DR233" s="1160"/>
      <c r="DS233" s="1160"/>
      <c r="DT233" s="1160"/>
      <c r="DU233" s="1160"/>
      <c r="DV233" s="1160"/>
      <c r="DW233" s="1160"/>
      <c r="DX233" s="1160"/>
      <c r="DY233" s="1160"/>
      <c r="DZ233" s="1160"/>
      <c r="EA233" s="1160"/>
      <c r="EB233" s="1160"/>
    </row>
    <row r="234" spans="1:132" x14ac:dyDescent="0.2">
      <c r="A234" s="1160"/>
      <c r="B234" s="1160"/>
      <c r="C234" s="1160"/>
      <c r="D234" s="1160"/>
      <c r="E234" s="1170"/>
      <c r="F234" s="1170"/>
      <c r="G234" s="1170"/>
      <c r="H234" s="1170"/>
      <c r="I234" s="1170"/>
      <c r="J234" s="1170"/>
      <c r="K234" s="1170"/>
      <c r="L234" s="1170"/>
      <c r="M234" s="1170"/>
      <c r="N234" s="1170"/>
      <c r="O234" s="1170"/>
      <c r="P234" s="1170"/>
      <c r="Q234" s="1170"/>
      <c r="R234" s="1170"/>
      <c r="S234" s="1170"/>
      <c r="T234" s="1170"/>
      <c r="U234" s="1170"/>
      <c r="V234" s="1170"/>
      <c r="W234" s="1170"/>
      <c r="X234" s="1170"/>
      <c r="Y234" s="1170"/>
      <c r="Z234" s="1170"/>
      <c r="AA234" s="1170"/>
      <c r="AB234" s="1170"/>
      <c r="AC234" s="1170"/>
      <c r="AD234" s="1170"/>
      <c r="AE234" s="1170"/>
      <c r="AF234" s="1170"/>
      <c r="AG234" s="1170"/>
      <c r="AH234" s="1170"/>
      <c r="AI234" s="1170"/>
      <c r="AJ234" s="1182" t="str">
        <f>CokingRefineryCalcs!C539</f>
        <v>Property</v>
      </c>
      <c r="AK234" s="1182" t="str">
        <f>CokingRefineryCalcs!D539</f>
        <v>Units</v>
      </c>
      <c r="AL234" s="1170"/>
      <c r="AM234" s="1170"/>
      <c r="AN234" s="1170"/>
      <c r="AO234" s="1170"/>
      <c r="AP234" s="1170"/>
      <c r="AQ234" s="1170"/>
      <c r="AR234" s="1170"/>
      <c r="AS234" s="1181" t="str">
        <f>CokingRefineryCalcs!F829</f>
        <v>Coker Furnace Product</v>
      </c>
      <c r="AT234" s="1170"/>
      <c r="AU234" s="1170"/>
      <c r="AV234" s="1170"/>
      <c r="AW234" s="1170"/>
      <c r="AX234" s="1170"/>
      <c r="AY234" s="1170"/>
      <c r="AZ234" s="1170"/>
      <c r="BA234" s="1170"/>
      <c r="BB234" s="1186" t="str">
        <f>CokingRefineryCalcs!C831</f>
        <v>Vol Flow</v>
      </c>
      <c r="BC234" s="1170" t="str">
        <f ca="1">CokingRefineryCalcs!D831</f>
        <v>m^3/d</v>
      </c>
      <c r="BD234" s="1170">
        <f ca="1">CokingRefineryCalcs!I846</f>
        <v>8.1926491411365527E-18</v>
      </c>
      <c r="BE234" s="1170"/>
      <c r="BF234" s="1170"/>
      <c r="BG234" s="1170"/>
      <c r="BH234" s="1170"/>
      <c r="BI234" s="1170"/>
      <c r="BJ234" s="1170"/>
      <c r="BK234" s="1170"/>
      <c r="BL234" s="1170"/>
      <c r="BM234" s="1170"/>
      <c r="BN234" s="1170"/>
      <c r="BO234" s="1170"/>
      <c r="BP234" s="1170"/>
      <c r="BQ234" s="1170"/>
      <c r="BR234" s="1186" t="str">
        <f>CokingRefineryCalcs!C703</f>
        <v>Density</v>
      </c>
      <c r="BS234" s="1170" t="str">
        <f ca="1">CokingRefineryCalcs!D703</f>
        <v>kg/m^3</v>
      </c>
      <c r="BT234" s="1170">
        <f>'Energy &amp; Unit Conversions'!$E$27/'Energy &amp; Unit Conversions'!$E$93/'Energy &amp; Unit Conversions'!$G$81</f>
        <v>1.1583209290581402</v>
      </c>
      <c r="BU234" s="1170"/>
      <c r="BV234" s="1170"/>
      <c r="BW234" s="1170"/>
      <c r="BX234" s="1170"/>
      <c r="BY234" s="1170"/>
      <c r="BZ234" s="1170"/>
      <c r="CA234" s="1170"/>
      <c r="CB234" s="1170"/>
      <c r="CC234" s="1170"/>
      <c r="CD234" s="1170"/>
      <c r="CE234" s="1170"/>
      <c r="CF234" s="1170"/>
      <c r="CG234" s="1170"/>
      <c r="CH234" s="1170"/>
      <c r="CI234" s="1170"/>
      <c r="CJ234" s="1170"/>
      <c r="CK234" s="1170"/>
      <c r="CL234" s="1170"/>
      <c r="CM234" s="1170"/>
      <c r="CN234" s="1170"/>
      <c r="CO234" s="1170"/>
      <c r="CP234" s="1170"/>
      <c r="CQ234" s="1170"/>
      <c r="CR234" s="1170"/>
      <c r="CS234" s="1186" t="str">
        <f>CokingRefineryCalcs!C759</f>
        <v>Density</v>
      </c>
      <c r="CT234" s="1170" t="str">
        <f ca="1">CokingRefineryCalcs!D759</f>
        <v>kg/m^3</v>
      </c>
      <c r="CU234" s="1170">
        <f ca="1">CokingRefineryCalcs!H759</f>
        <v>740.00000000001864</v>
      </c>
      <c r="CV234" s="1170"/>
      <c r="CW234" s="1170"/>
      <c r="CX234" s="1170"/>
      <c r="CY234" s="1160"/>
      <c r="CZ234" s="1160"/>
      <c r="DA234" s="1160"/>
      <c r="DB234" s="1160"/>
      <c r="DC234" s="1160"/>
      <c r="DD234" s="1160"/>
      <c r="DE234" s="1160"/>
      <c r="DF234" s="1160"/>
      <c r="DG234" s="1160"/>
      <c r="DH234" s="1160"/>
      <c r="DI234" s="1160"/>
      <c r="DJ234" s="1160"/>
      <c r="DK234" s="1171"/>
      <c r="DL234" s="1160"/>
      <c r="DM234" s="1160"/>
      <c r="DN234" s="1160"/>
      <c r="DO234" s="1160"/>
      <c r="DP234" s="1160"/>
      <c r="DQ234" s="1160"/>
      <c r="DR234" s="1160"/>
      <c r="DS234" s="1160"/>
      <c r="DT234" s="1160"/>
      <c r="DU234" s="1160"/>
      <c r="DV234" s="1160"/>
      <c r="DW234" s="1160"/>
      <c r="DX234" s="1160"/>
      <c r="DY234" s="1160"/>
      <c r="DZ234" s="1160"/>
      <c r="EA234" s="1160"/>
      <c r="EB234" s="1160"/>
    </row>
    <row r="235" spans="1:132" x14ac:dyDescent="0.2">
      <c r="A235" s="1160"/>
      <c r="B235" s="1160"/>
      <c r="C235" s="1160"/>
      <c r="D235" s="1160"/>
      <c r="E235" s="1170"/>
      <c r="F235" s="1170"/>
      <c r="G235" s="1170"/>
      <c r="H235" s="1170"/>
      <c r="I235" s="1170"/>
      <c r="J235" s="1170"/>
      <c r="K235" s="1170"/>
      <c r="L235" s="1170"/>
      <c r="M235" s="1170"/>
      <c r="N235" s="1170"/>
      <c r="O235" s="1170"/>
      <c r="P235" s="1170"/>
      <c r="Q235" s="1170"/>
      <c r="R235" s="1170"/>
      <c r="S235" s="1170"/>
      <c r="T235" s="1170"/>
      <c r="U235" s="1170"/>
      <c r="V235" s="1170"/>
      <c r="W235" s="1170"/>
      <c r="X235" s="1170"/>
      <c r="Y235" s="1170"/>
      <c r="Z235" s="1170"/>
      <c r="AA235" s="1170"/>
      <c r="AB235" s="1170"/>
      <c r="AC235" s="1170"/>
      <c r="AD235" s="1170"/>
      <c r="AE235" s="1170"/>
      <c r="AF235" s="1170"/>
      <c r="AG235" s="1170"/>
      <c r="AH235" s="1170"/>
      <c r="AI235" s="1170"/>
      <c r="AJ235" s="1186" t="str">
        <f>CokingRefineryCalcs!C540</f>
        <v>Vol Flow</v>
      </c>
      <c r="AK235" s="1170" t="str">
        <f ca="1">CokingRefineryCalcs!D540</f>
        <v>bpd</v>
      </c>
      <c r="AL235" s="1170">
        <f ca="1">CokingRefineryCalcs!I540</f>
        <v>1E-14</v>
      </c>
      <c r="AM235" s="1170"/>
      <c r="AN235" s="1170"/>
      <c r="AO235" s="1170"/>
      <c r="AP235" s="1170"/>
      <c r="AQ235" s="1170"/>
      <c r="AR235" s="1170"/>
      <c r="AS235" s="1182" t="str">
        <f>CokingRefineryCalcs!C829</f>
        <v>Property</v>
      </c>
      <c r="AT235" s="1182" t="str">
        <f>CokingRefineryCalcs!D829</f>
        <v>Units</v>
      </c>
      <c r="AU235" s="1170"/>
      <c r="AV235" s="1170"/>
      <c r="AW235" s="1170"/>
      <c r="AX235" s="1170"/>
      <c r="AY235" s="1170"/>
      <c r="AZ235" s="1170"/>
      <c r="BA235" s="1170"/>
      <c r="BB235" s="1186" t="str">
        <f>CokingRefineryCalcs!C832</f>
        <v>Mass Flow</v>
      </c>
      <c r="BC235" s="1170" t="str">
        <f>CokingRefineryCalcs!D832</f>
        <v>kg/d</v>
      </c>
      <c r="BD235" s="1170">
        <f ca="1">CokingRefineryCalcs!I847</f>
        <v>7.3324022373666578E-15</v>
      </c>
      <c r="BE235" s="1170"/>
      <c r="BF235" s="1170"/>
      <c r="BG235" s="1170"/>
      <c r="BH235" s="1170"/>
      <c r="BI235" s="1170"/>
      <c r="BJ235" s="1170"/>
      <c r="BK235" s="1170"/>
      <c r="BL235" s="1170"/>
      <c r="BM235" s="1170"/>
      <c r="BN235" s="1170"/>
      <c r="BO235" s="1170"/>
      <c r="BP235" s="1170"/>
      <c r="BQ235" s="1170"/>
      <c r="BR235" s="1186" t="str">
        <f>CokingRefineryCalcs!C704</f>
        <v>Hydrogen</v>
      </c>
      <c r="BS235" s="1170" t="str">
        <f ca="1">CokingRefineryCalcs!D704</f>
        <v>wt%</v>
      </c>
      <c r="BT235" s="1170">
        <f ca="1">CokingRefineryCalcs!F704</f>
        <v>22.796969696969693</v>
      </c>
      <c r="BU235" s="1170"/>
      <c r="BV235" s="1170"/>
      <c r="BW235" s="1170"/>
      <c r="BX235" s="1170"/>
      <c r="BY235" s="1170"/>
      <c r="BZ235" s="1170"/>
      <c r="CA235" s="1181" t="str">
        <f>CokingRefineryCalcs!K696</f>
        <v>Total FCC Liquids</v>
      </c>
      <c r="CB235" s="1170"/>
      <c r="CC235" s="1170"/>
      <c r="CD235" s="1170"/>
      <c r="CE235" s="1170"/>
      <c r="CF235" s="1170"/>
      <c r="CG235" s="1170"/>
      <c r="CH235" s="1170"/>
      <c r="CI235" s="1170"/>
      <c r="CJ235" s="1170"/>
      <c r="CK235" s="1170"/>
      <c r="CL235" s="1170"/>
      <c r="CM235" s="1170"/>
      <c r="CN235" s="1170"/>
      <c r="CO235" s="1170"/>
      <c r="CP235" s="1170"/>
      <c r="CQ235" s="1170"/>
      <c r="CR235" s="1170"/>
      <c r="CS235" s="1186" t="str">
        <f>CokingRefineryCalcs!C760</f>
        <v>Hydrogen</v>
      </c>
      <c r="CT235" s="1170" t="str">
        <f ca="1">CokingRefineryCalcs!D760</f>
        <v>wt%</v>
      </c>
      <c r="CU235" s="1170">
        <f ca="1">CokingRefineryCalcs!H760</f>
        <v>14.499999999999089</v>
      </c>
      <c r="CV235" s="1170"/>
      <c r="CW235" s="1170"/>
      <c r="CX235" s="1170"/>
      <c r="CY235" s="1160"/>
      <c r="CZ235" s="1160"/>
      <c r="DA235" s="1160"/>
      <c r="DB235" s="1160"/>
      <c r="DC235" s="1160"/>
      <c r="DD235" s="1160"/>
      <c r="DE235" s="1160"/>
      <c r="DF235" s="1160"/>
      <c r="DG235" s="1160"/>
      <c r="DH235" s="1160"/>
      <c r="DI235" s="1160"/>
      <c r="DJ235" s="1160"/>
      <c r="DK235" s="1171"/>
      <c r="DL235" s="1160"/>
      <c r="DM235" s="1160"/>
      <c r="DN235" s="1160"/>
      <c r="DO235" s="1160"/>
      <c r="DP235" s="1160"/>
      <c r="DQ235" s="1160"/>
      <c r="DR235" s="1160"/>
      <c r="DS235" s="1160"/>
      <c r="DT235" s="1160"/>
      <c r="DU235" s="1160"/>
      <c r="DV235" s="1160"/>
      <c r="DW235" s="1160"/>
      <c r="DX235" s="1160"/>
      <c r="DY235" s="1160"/>
      <c r="DZ235" s="1160"/>
      <c r="EA235" s="1160"/>
      <c r="EB235" s="1160"/>
    </row>
    <row r="236" spans="1:132" x14ac:dyDescent="0.2">
      <c r="A236" s="1160"/>
      <c r="B236" s="1160"/>
      <c r="C236" s="1160"/>
      <c r="D236" s="1160"/>
      <c r="E236" s="1170"/>
      <c r="F236" s="1170"/>
      <c r="G236" s="1170"/>
      <c r="H236" s="1170"/>
      <c r="I236" s="1170"/>
      <c r="J236" s="1170"/>
      <c r="K236" s="1170"/>
      <c r="L236" s="1170"/>
      <c r="M236" s="1170"/>
      <c r="N236" s="1170"/>
      <c r="O236" s="1170"/>
      <c r="P236" s="1170"/>
      <c r="Q236" s="1170"/>
      <c r="R236" s="1170"/>
      <c r="S236" s="1170"/>
      <c r="T236" s="1170"/>
      <c r="U236" s="1170"/>
      <c r="V236" s="1170"/>
      <c r="W236" s="1170"/>
      <c r="X236" s="1170"/>
      <c r="Y236" s="1170"/>
      <c r="Z236" s="1170"/>
      <c r="AA236" s="1170"/>
      <c r="AB236" s="1170"/>
      <c r="AC236" s="1170"/>
      <c r="AD236" s="1170"/>
      <c r="AE236" s="1170"/>
      <c r="AF236" s="1170"/>
      <c r="AG236" s="1170"/>
      <c r="AH236" s="1170"/>
      <c r="AI236" s="1170"/>
      <c r="AJ236" s="1186" t="str">
        <f>CokingRefineryCalcs!C541</f>
        <v>Vol Flow</v>
      </c>
      <c r="AK236" s="1170" t="str">
        <f ca="1">CokingRefineryCalcs!D541</f>
        <v>m^3/d</v>
      </c>
      <c r="AL236" s="1170">
        <f ca="1">CokingRefineryCalcs!I541</f>
        <v>1.589873E-15</v>
      </c>
      <c r="AM236" s="1170"/>
      <c r="AN236" s="1170"/>
      <c r="AO236" s="1170"/>
      <c r="AP236" s="1170"/>
      <c r="AQ236" s="1170"/>
      <c r="AR236" s="1170"/>
      <c r="AS236" s="1186" t="str">
        <f>CokingRefineryCalcs!C830</f>
        <v>Vol Flow</v>
      </c>
      <c r="AT236" s="1170" t="str">
        <f ca="1">CokingRefineryCalcs!D830</f>
        <v>bpd</v>
      </c>
      <c r="AU236" s="1170">
        <f ca="1">CokingRefineryCalcs!F830</f>
        <v>1E-14</v>
      </c>
      <c r="AV236" s="1170"/>
      <c r="AW236" s="1170"/>
      <c r="AX236" s="1170"/>
      <c r="AY236" s="1170"/>
      <c r="AZ236" s="1170"/>
      <c r="BA236" s="1170"/>
      <c r="BB236" s="1186" t="str">
        <f>CokingRefineryCalcs!C833</f>
        <v xml:space="preserve">Sulphur </v>
      </c>
      <c r="BC236" s="1170" t="str">
        <f ca="1">CokingRefineryCalcs!D833</f>
        <v>wt%</v>
      </c>
      <c r="BD236" s="1170">
        <f ca="1">CokingRefineryCalcs!I848</f>
        <v>0</v>
      </c>
      <c r="BE236" s="1170"/>
      <c r="BF236" s="1170"/>
      <c r="BG236" s="1170"/>
      <c r="BH236" s="1170"/>
      <c r="BI236" s="1170"/>
      <c r="BJ236" s="1170"/>
      <c r="BK236" s="1170"/>
      <c r="BL236" s="1170"/>
      <c r="BM236" s="1170"/>
      <c r="BN236" s="1170"/>
      <c r="BO236" s="1170"/>
      <c r="BP236" s="1170"/>
      <c r="BQ236" s="1170"/>
      <c r="BR236" s="1186" t="str">
        <f>CokingRefineryCalcs!C705</f>
        <v>MCR</v>
      </c>
      <c r="BS236" s="1170" t="str">
        <f ca="1">CokingRefineryCalcs!D705</f>
        <v>wt%</v>
      </c>
      <c r="BT236" s="1170">
        <f>CokingRefineryCalcs!F705</f>
        <v>0</v>
      </c>
      <c r="BU236" s="1170"/>
      <c r="BV236" s="1170"/>
      <c r="BW236" s="1170"/>
      <c r="BX236" s="1170"/>
      <c r="BY236" s="1170"/>
      <c r="BZ236" s="1170"/>
      <c r="CA236" s="1182" t="str">
        <f>CokingRefineryCalcs!C696</f>
        <v>Property</v>
      </c>
      <c r="CB236" s="1182" t="str">
        <f>CokingRefineryCalcs!D696</f>
        <v>Units</v>
      </c>
      <c r="CC236" s="1170"/>
      <c r="CD236" s="1170"/>
      <c r="CE236" s="1170"/>
      <c r="CF236" s="1170"/>
      <c r="CG236" s="1170"/>
      <c r="CH236" s="1170"/>
      <c r="CI236" s="1170"/>
      <c r="CJ236" s="1170"/>
      <c r="CK236" s="1170"/>
      <c r="CL236" s="1170"/>
      <c r="CM236" s="1170"/>
      <c r="CN236" s="1170"/>
      <c r="CO236" s="1170"/>
      <c r="CP236" s="1170"/>
      <c r="CQ236" s="1170"/>
      <c r="CR236" s="1170"/>
      <c r="CS236" s="1186" t="str">
        <f>CokingRefineryCalcs!C761</f>
        <v>MCR</v>
      </c>
      <c r="CT236" s="1170" t="str">
        <f ca="1">CokingRefineryCalcs!D761</f>
        <v>wt%</v>
      </c>
      <c r="CU236" s="1170">
        <f>CokingRefineryCalcs!H761</f>
        <v>0</v>
      </c>
      <c r="CV236" s="1170"/>
      <c r="CW236" s="1170"/>
      <c r="CX236" s="1170"/>
      <c r="CY236" s="1160"/>
      <c r="CZ236" s="1160"/>
      <c r="DA236" s="1160"/>
      <c r="DB236" s="1160"/>
      <c r="DC236" s="1160"/>
      <c r="DD236" s="1160"/>
      <c r="DE236" s="1160"/>
      <c r="DF236" s="1160"/>
      <c r="DG236" s="1160"/>
      <c r="DH236" s="1160"/>
      <c r="DI236" s="1160"/>
      <c r="DJ236" s="1160"/>
      <c r="DK236" s="1171"/>
      <c r="DL236" s="1160"/>
      <c r="DM236" s="1160"/>
      <c r="DN236" s="1160"/>
      <c r="DO236" s="1160"/>
      <c r="DP236" s="1160"/>
      <c r="DQ236" s="1160"/>
      <c r="DR236" s="1160"/>
      <c r="DS236" s="1160"/>
      <c r="DT236" s="1160"/>
      <c r="DU236" s="1160"/>
      <c r="DV236" s="1160"/>
      <c r="DW236" s="1160"/>
      <c r="DX236" s="1160"/>
      <c r="DY236" s="1160"/>
      <c r="DZ236" s="1160"/>
      <c r="EA236" s="1160"/>
      <c r="EB236" s="1160"/>
    </row>
    <row r="237" spans="1:132" x14ac:dyDescent="0.2">
      <c r="A237" s="1160"/>
      <c r="B237" s="1160"/>
      <c r="C237" s="1160"/>
      <c r="D237" s="1160"/>
      <c r="E237" s="1170"/>
      <c r="F237" s="1170"/>
      <c r="G237" s="1170"/>
      <c r="H237" s="1170"/>
      <c r="I237" s="1170"/>
      <c r="J237" s="1170"/>
      <c r="K237" s="1170"/>
      <c r="L237" s="1170"/>
      <c r="M237" s="1170"/>
      <c r="N237" s="1170"/>
      <c r="O237" s="1170"/>
      <c r="P237" s="1170"/>
      <c r="Q237" s="1170"/>
      <c r="R237" s="1170"/>
      <c r="S237" s="1170"/>
      <c r="T237" s="1170"/>
      <c r="U237" s="1170"/>
      <c r="V237" s="1170"/>
      <c r="W237" s="1170"/>
      <c r="X237" s="1170"/>
      <c r="Y237" s="1170"/>
      <c r="Z237" s="1170"/>
      <c r="AA237" s="1170"/>
      <c r="AB237" s="1170"/>
      <c r="AC237" s="1170"/>
      <c r="AD237" s="1170"/>
      <c r="AE237" s="1170"/>
      <c r="AF237" s="1170"/>
      <c r="AG237" s="1170"/>
      <c r="AH237" s="1170"/>
      <c r="AI237" s="1170"/>
      <c r="AJ237" s="1186" t="str">
        <f>CokingRefineryCalcs!C542</f>
        <v>Mass Flow</v>
      </c>
      <c r="AK237" s="1170" t="str">
        <f>CokingRefineryCalcs!D542</f>
        <v>kg/d</v>
      </c>
      <c r="AL237" s="1170">
        <f ca="1">CokingRefineryCalcs!I542</f>
        <v>1E-14</v>
      </c>
      <c r="AM237" s="1170"/>
      <c r="AN237" s="1170"/>
      <c r="AO237" s="1170"/>
      <c r="AP237" s="1170"/>
      <c r="AQ237" s="1170"/>
      <c r="AR237" s="1170"/>
      <c r="AS237" s="1186" t="str">
        <f>CokingRefineryCalcs!C831</f>
        <v>Vol Flow</v>
      </c>
      <c r="AT237" s="1170" t="str">
        <f ca="1">CokingRefineryCalcs!D831</f>
        <v>m^3/d</v>
      </c>
      <c r="AU237" s="1170">
        <f ca="1">CokingRefineryCalcs!F831</f>
        <v>1.589873E-15</v>
      </c>
      <c r="AV237" s="1170"/>
      <c r="AW237" s="1170"/>
      <c r="AX237" s="1170"/>
      <c r="AY237" s="1170"/>
      <c r="AZ237" s="1170"/>
      <c r="BA237" s="1170"/>
      <c r="BB237" s="1186" t="str">
        <f>CokingRefineryCalcs!C835</f>
        <v xml:space="preserve">API gravity </v>
      </c>
      <c r="BC237" s="1170"/>
      <c r="BD237" s="1170">
        <f ca="1">CokingRefineryCalcs!I850</f>
        <v>26.600962814494494</v>
      </c>
      <c r="BE237" s="1170"/>
      <c r="BF237" s="1170"/>
      <c r="BG237" s="1170"/>
      <c r="BH237" s="1170"/>
      <c r="BI237" s="1170"/>
      <c r="BJ237" s="1170"/>
      <c r="BK237" s="1170"/>
      <c r="BL237" s="1170"/>
      <c r="BM237" s="1170"/>
      <c r="BN237" s="1170"/>
      <c r="BO237" s="1170"/>
      <c r="BP237" s="1170"/>
      <c r="BQ237" s="1170"/>
      <c r="BR237" s="1186" t="s">
        <v>1698</v>
      </c>
      <c r="BS237" s="1199" t="s">
        <v>447</v>
      </c>
      <c r="BT237" s="1199">
        <f>'Energy &amp; Unit Conversions'!$Q$27</f>
        <v>46.898519302437805</v>
      </c>
      <c r="BU237" s="1199"/>
      <c r="BV237" s="1170"/>
      <c r="BW237" s="1170"/>
      <c r="BX237" s="1170"/>
      <c r="BY237" s="1170"/>
      <c r="BZ237" s="1170"/>
      <c r="CA237" s="1186" t="str">
        <f>CokingRefineryCalcs!C697</f>
        <v>Vol Flow</v>
      </c>
      <c r="CB237" s="1170" t="str">
        <f ca="1">CokingRefineryCalcs!D697</f>
        <v>bpd</v>
      </c>
      <c r="CC237" s="1170">
        <f ca="1">CokingRefineryCalcs!K697</f>
        <v>2.1037151276575161E-16</v>
      </c>
      <c r="CD237" s="1170"/>
      <c r="CE237" s="1170"/>
      <c r="CF237" s="1170"/>
      <c r="CG237" s="1170"/>
      <c r="CH237" s="1170"/>
      <c r="CI237" s="1170"/>
      <c r="CJ237" s="1170"/>
      <c r="CK237" s="1170"/>
      <c r="CL237" s="1170"/>
      <c r="CM237" s="1170"/>
      <c r="CN237" s="1170"/>
      <c r="CO237" s="1170"/>
      <c r="CP237" s="1170"/>
      <c r="CQ237" s="1170"/>
      <c r="CR237" s="1170"/>
      <c r="CS237" s="1200" t="s">
        <v>1056</v>
      </c>
      <c r="CT237" s="1199" t="s">
        <v>447</v>
      </c>
      <c r="CU237" s="1199">
        <f ca="1">('Energy &amp; Unit Conversions'!$D$63-('Energy &amp; Unit Conversions'!$E$63*POWER((CokingRefineryPFD!CU234/'Energy &amp; Unit Conversions'!$E$54),2)))</f>
        <v>42.34751939058868</v>
      </c>
      <c r="CV237" s="1170"/>
      <c r="CW237" s="1170"/>
      <c r="CX237" s="1170"/>
      <c r="CY237" s="1160"/>
      <c r="CZ237" s="1160"/>
      <c r="DA237" s="1160"/>
      <c r="DB237" s="1160"/>
      <c r="DC237" s="1160"/>
      <c r="DD237" s="1160"/>
      <c r="DE237" s="1160"/>
      <c r="DF237" s="1160"/>
      <c r="DG237" s="1160"/>
      <c r="DH237" s="1160"/>
      <c r="DI237" s="1160"/>
      <c r="DJ237" s="1160"/>
      <c r="DK237" s="1171"/>
      <c r="DL237" s="1160"/>
      <c r="DM237" s="1160"/>
      <c r="DN237" s="1160"/>
      <c r="DO237" s="1160"/>
      <c r="DP237" s="1160"/>
      <c r="DQ237" s="1160"/>
      <c r="DR237" s="1160"/>
      <c r="DS237" s="1160"/>
      <c r="DT237" s="1160"/>
      <c r="DU237" s="1160"/>
      <c r="DV237" s="1160"/>
      <c r="DW237" s="1160"/>
      <c r="DX237" s="1160"/>
      <c r="DY237" s="1160"/>
      <c r="DZ237" s="1160"/>
      <c r="EA237" s="1160"/>
      <c r="EB237" s="1160"/>
    </row>
    <row r="238" spans="1:132" x14ac:dyDescent="0.2">
      <c r="A238" s="1160"/>
      <c r="B238" s="1160"/>
      <c r="C238" s="1160"/>
      <c r="D238" s="1160"/>
      <c r="E238" s="1170"/>
      <c r="F238" s="1170"/>
      <c r="G238" s="1170"/>
      <c r="H238" s="1170"/>
      <c r="I238" s="1170"/>
      <c r="J238" s="1170"/>
      <c r="K238" s="1170"/>
      <c r="L238" s="1170"/>
      <c r="M238" s="1170"/>
      <c r="N238" s="1170"/>
      <c r="O238" s="1170"/>
      <c r="P238" s="1170"/>
      <c r="Q238" s="1170"/>
      <c r="R238" s="1170"/>
      <c r="S238" s="1170"/>
      <c r="T238" s="1170"/>
      <c r="U238" s="1170"/>
      <c r="V238" s="1170"/>
      <c r="W238" s="1170"/>
      <c r="X238" s="1170"/>
      <c r="Y238" s="1170"/>
      <c r="Z238" s="1170"/>
      <c r="AA238" s="1170"/>
      <c r="AB238" s="1170"/>
      <c r="AC238" s="1170"/>
      <c r="AD238" s="1170"/>
      <c r="AE238" s="1170"/>
      <c r="AF238" s="1170"/>
      <c r="AG238" s="1170"/>
      <c r="AH238" s="1170"/>
      <c r="AI238" s="1170"/>
      <c r="AJ238" s="1186" t="str">
        <f>CokingRefineryCalcs!C543</f>
        <v xml:space="preserve">Sulphur </v>
      </c>
      <c r="AK238" s="1170" t="str">
        <f ca="1">CokingRefineryCalcs!D543</f>
        <v>wt%</v>
      </c>
      <c r="AL238" s="1170">
        <f ca="1">CokingRefineryCalcs!I543</f>
        <v>0</v>
      </c>
      <c r="AM238" s="1170"/>
      <c r="AN238" s="1196"/>
      <c r="AO238" s="1170"/>
      <c r="AP238" s="1170"/>
      <c r="AQ238" s="1170"/>
      <c r="AR238" s="1170"/>
      <c r="AS238" s="1186" t="str">
        <f>CokingRefineryCalcs!C832</f>
        <v>Mass Flow</v>
      </c>
      <c r="AT238" s="1170" t="str">
        <f>CokingRefineryCalcs!D832</f>
        <v>kg/d</v>
      </c>
      <c r="AU238" s="1170">
        <f ca="1">CokingRefineryCalcs!F832</f>
        <v>1E-14</v>
      </c>
      <c r="AV238" s="1170"/>
      <c r="AW238" s="1170"/>
      <c r="AX238" s="1170"/>
      <c r="AY238" s="1170"/>
      <c r="AZ238" s="1170"/>
      <c r="BA238" s="1170"/>
      <c r="BB238" s="1186" t="str">
        <f>CokingRefineryCalcs!C836</f>
        <v>Density</v>
      </c>
      <c r="BC238" s="1170" t="str">
        <f ca="1">CokingRefineryCalcs!D836</f>
        <v>kg/m^3</v>
      </c>
      <c r="BD238" s="1170">
        <f ca="1">CokingRefineryCalcs!I851</f>
        <v>894.99771210139306</v>
      </c>
      <c r="BE238" s="1170"/>
      <c r="BF238" s="1170"/>
      <c r="BG238" s="1170"/>
      <c r="BH238" s="1170"/>
      <c r="BI238" s="1170"/>
      <c r="BJ238" s="1170"/>
      <c r="BK238" s="1170"/>
      <c r="BL238" s="1170"/>
      <c r="BM238" s="1170"/>
      <c r="BN238" s="1170"/>
      <c r="BO238" s="1170"/>
      <c r="BP238" s="1170"/>
      <c r="BQ238" s="1170"/>
      <c r="BR238" s="1200" t="s">
        <v>1021</v>
      </c>
      <c r="BS238" s="1199" t="s">
        <v>1022</v>
      </c>
      <c r="BT238" s="1199">
        <f>Constants!G353</f>
        <v>33.957001686096191</v>
      </c>
      <c r="BU238" s="1199"/>
      <c r="BV238" s="1170"/>
      <c r="BW238" s="1170"/>
      <c r="BX238" s="1170"/>
      <c r="BY238" s="1170"/>
      <c r="BZ238" s="1170"/>
      <c r="CA238" s="1186" t="str">
        <f>CokingRefineryCalcs!C698</f>
        <v>Vol Flow</v>
      </c>
      <c r="CB238" s="1170" t="str">
        <f ca="1">CokingRefineryCalcs!D698</f>
        <v>m^3/d</v>
      </c>
      <c r="CC238" s="1170">
        <f ca="1">CokingRefineryCalcs!K698</f>
        <v>3.3446398811542381E-17</v>
      </c>
      <c r="CD238" s="1170"/>
      <c r="CE238" s="1170"/>
      <c r="CF238" s="1170"/>
      <c r="CG238" s="1170"/>
      <c r="CH238" s="1170"/>
      <c r="CI238" s="1170"/>
      <c r="CJ238" s="1170"/>
      <c r="CK238" s="1170"/>
      <c r="CL238" s="1170"/>
      <c r="CM238" s="1170"/>
      <c r="CN238" s="1170"/>
      <c r="CO238" s="1170"/>
      <c r="CP238" s="1170"/>
      <c r="CQ238" s="1170"/>
      <c r="CR238" s="1170"/>
      <c r="CS238" s="1200" t="s">
        <v>1021</v>
      </c>
      <c r="CT238" s="1199" t="s">
        <v>1022</v>
      </c>
      <c r="CU238" s="1199">
        <f>Constants!G351</f>
        <v>85.724998474121094</v>
      </c>
      <c r="CV238" s="1170"/>
      <c r="CW238" s="1170"/>
      <c r="CX238" s="1170"/>
      <c r="CY238" s="1160"/>
      <c r="CZ238" s="1160"/>
      <c r="DA238" s="1160"/>
      <c r="DB238" s="1160"/>
      <c r="DC238" s="1160"/>
      <c r="DD238" s="1160"/>
      <c r="DE238" s="1160"/>
      <c r="DF238" s="1160"/>
      <c r="DG238" s="1160"/>
      <c r="DH238" s="1160"/>
      <c r="DI238" s="1160"/>
      <c r="DJ238" s="1160"/>
      <c r="DK238" s="1171"/>
      <c r="DL238" s="1160"/>
      <c r="DM238" s="1160"/>
      <c r="DN238" s="1160"/>
      <c r="DO238" s="1160"/>
      <c r="DP238" s="1160"/>
      <c r="DQ238" s="1160"/>
      <c r="DR238" s="1160"/>
      <c r="DS238" s="1160"/>
      <c r="DT238" s="1160"/>
      <c r="DU238" s="1160"/>
      <c r="DV238" s="1160"/>
      <c r="DW238" s="1160"/>
      <c r="DX238" s="1160"/>
      <c r="DY238" s="1160"/>
      <c r="DZ238" s="1160"/>
      <c r="EA238" s="1160"/>
      <c r="EB238" s="1160"/>
    </row>
    <row r="239" spans="1:132" x14ac:dyDescent="0.2">
      <c r="A239" s="1160"/>
      <c r="B239" s="1160"/>
      <c r="C239" s="1160"/>
      <c r="D239" s="1160"/>
      <c r="E239" s="1170"/>
      <c r="F239" s="1170"/>
      <c r="G239" s="1170"/>
      <c r="H239" s="1170"/>
      <c r="I239" s="1170"/>
      <c r="J239" s="1170"/>
      <c r="K239" s="1170"/>
      <c r="L239" s="1170"/>
      <c r="M239" s="1170"/>
      <c r="N239" s="1170"/>
      <c r="O239" s="1170"/>
      <c r="P239" s="1170"/>
      <c r="Q239" s="1170"/>
      <c r="R239" s="1170"/>
      <c r="S239" s="1170"/>
      <c r="T239" s="1170"/>
      <c r="U239" s="1170"/>
      <c r="V239" s="1170"/>
      <c r="W239" s="1170"/>
      <c r="X239" s="1170"/>
      <c r="Y239" s="1170"/>
      <c r="Z239" s="1170"/>
      <c r="AA239" s="1170"/>
      <c r="AB239" s="1170"/>
      <c r="AC239" s="1170"/>
      <c r="AD239" s="1170"/>
      <c r="AE239" s="1170"/>
      <c r="AF239" s="1170"/>
      <c r="AG239" s="1170"/>
      <c r="AH239" s="1170"/>
      <c r="AI239" s="1170"/>
      <c r="AJ239" s="1186" t="str">
        <f>CokingRefineryCalcs!C545</f>
        <v xml:space="preserve">API gravity </v>
      </c>
      <c r="AK239" s="1170" t="str">
        <f ca="1">CokingRefineryCalcs!D545</f>
        <v>oAPI</v>
      </c>
      <c r="AL239" s="1170">
        <f ca="1">CokingRefineryCalcs!I545</f>
        <v>0</v>
      </c>
      <c r="AM239" s="1170"/>
      <c r="AN239" s="1170"/>
      <c r="AO239" s="1170"/>
      <c r="AP239" s="1170"/>
      <c r="AQ239" s="1170"/>
      <c r="AR239" s="1170"/>
      <c r="AS239" s="1186" t="str">
        <f>CokingRefineryCalcs!C833</f>
        <v xml:space="preserve">Sulphur </v>
      </c>
      <c r="AT239" s="1170" t="str">
        <f ca="1">CokingRefineryCalcs!D833</f>
        <v>wt%</v>
      </c>
      <c r="AU239" s="1170">
        <f ca="1">CokingRefineryCalcs!F833</f>
        <v>0</v>
      </c>
      <c r="AV239" s="1170"/>
      <c r="AW239" s="1170"/>
      <c r="AX239" s="1170"/>
      <c r="AY239" s="1170"/>
      <c r="AZ239" s="1170"/>
      <c r="BA239" s="1170"/>
      <c r="BB239" s="1186" t="str">
        <f>CokingRefineryCalcs!C837</f>
        <v>Hydrogen</v>
      </c>
      <c r="BC239" s="1170" t="str">
        <f ca="1">CokingRefineryCalcs!D837</f>
        <v>wt%</v>
      </c>
      <c r="BD239" s="1170">
        <f ca="1">CokingRefineryCalcs!I852</f>
        <v>11.451877934271586</v>
      </c>
      <c r="BE239" s="1170"/>
      <c r="BF239" s="1170"/>
      <c r="BG239" s="1170"/>
      <c r="BH239" s="1170"/>
      <c r="BI239" s="1170"/>
      <c r="BJ239" s="1170"/>
      <c r="BK239" s="1170"/>
      <c r="BL239" s="1170"/>
      <c r="BM239" s="1170"/>
      <c r="BN239" s="1170"/>
      <c r="BO239" s="1170"/>
      <c r="BP239" s="1170"/>
      <c r="BQ239" s="1170"/>
      <c r="BR239" s="1204" t="s">
        <v>1054</v>
      </c>
      <c r="BS239" s="1204" t="str">
        <f>IF(allocationMethod=1,$C$21,IF(allocationMethod=2,$C$22,IF(allocationMethod=3,$C$23,$C$24)))</f>
        <v>Hydrogen Content Basis</v>
      </c>
      <c r="BT239" s="1204">
        <f ca="1">CokingRefineryCalcs!R1456</f>
        <v>0</v>
      </c>
      <c r="BU239" s="1170"/>
      <c r="BV239" s="1170"/>
      <c r="BW239" s="1170"/>
      <c r="BX239" s="1170"/>
      <c r="BY239" s="1170"/>
      <c r="BZ239" s="1170"/>
      <c r="CA239" s="1186" t="str">
        <f>CokingRefineryCalcs!C699</f>
        <v>Mass Flow</v>
      </c>
      <c r="CB239" s="1170" t="str">
        <f>CokingRefineryCalcs!D699</f>
        <v>kg/d</v>
      </c>
      <c r="CC239" s="1170">
        <f ca="1">CokingRefineryCalcs!K699</f>
        <v>2.641302405678937E-14</v>
      </c>
      <c r="CD239" s="1170"/>
      <c r="CE239" s="1170"/>
      <c r="CF239" s="1170"/>
      <c r="CG239" s="1170"/>
      <c r="CH239" s="1170"/>
      <c r="CI239" s="1170"/>
      <c r="CJ239" s="1170"/>
      <c r="CK239" s="1170"/>
      <c r="CL239" s="1170"/>
      <c r="CM239" s="1170"/>
      <c r="CN239" s="1170"/>
      <c r="CO239" s="1170"/>
      <c r="CP239" s="1170"/>
      <c r="CQ239" s="1170"/>
      <c r="CR239" s="1170"/>
      <c r="CS239" s="1204" t="s">
        <v>1054</v>
      </c>
      <c r="CT239" s="1204" t="str">
        <f>IF(allocationMethod=1,$C$21,IF(allocationMethod=2,$C$22,IF(allocationMethod=3,$C$23,$C$24)))</f>
        <v>Hydrogen Content Basis</v>
      </c>
      <c r="CU239" s="1204">
        <f ca="1">IF(allocationMethod=1,CU231,IF(allocationMethod=2,CU237*CU231,IF(allocationMethod=3,CU238*CU229,CU235*CU231/100)))</f>
        <v>2.1462378361697702E-15</v>
      </c>
      <c r="CV239" s="1170"/>
      <c r="CW239" s="1170"/>
      <c r="CX239" s="1170"/>
      <c r="CY239" s="1160"/>
      <c r="CZ239" s="1160"/>
      <c r="DA239" s="1160"/>
      <c r="DB239" s="1160"/>
      <c r="DC239" s="1160"/>
      <c r="DD239" s="1160"/>
      <c r="DE239" s="1160"/>
      <c r="DF239" s="1160"/>
      <c r="DG239" s="1160"/>
      <c r="DH239" s="1160"/>
      <c r="DI239" s="1160"/>
      <c r="DJ239" s="1160"/>
      <c r="DK239" s="1171"/>
      <c r="DL239" s="1160"/>
      <c r="DM239" s="1160"/>
      <c r="DN239" s="1160"/>
      <c r="DO239" s="1160"/>
      <c r="DP239" s="1160"/>
      <c r="DQ239" s="1160"/>
      <c r="DR239" s="1160"/>
      <c r="DS239" s="1160"/>
      <c r="DT239" s="1160"/>
      <c r="DU239" s="1160"/>
      <c r="DV239" s="1160"/>
      <c r="DW239" s="1160"/>
      <c r="DX239" s="1160"/>
      <c r="DY239" s="1160"/>
      <c r="DZ239" s="1160"/>
      <c r="EA239" s="1160"/>
      <c r="EB239" s="1160"/>
    </row>
    <row r="240" spans="1:132" ht="26.25" x14ac:dyDescent="0.4">
      <c r="A240" s="1160"/>
      <c r="B240" s="1160"/>
      <c r="C240" s="1160"/>
      <c r="D240" s="1160"/>
      <c r="E240" s="1170"/>
      <c r="F240" s="1170"/>
      <c r="G240" s="1170"/>
      <c r="H240" s="1170"/>
      <c r="I240" s="1170"/>
      <c r="J240" s="1170"/>
      <c r="K240" s="1170"/>
      <c r="L240" s="1170"/>
      <c r="M240" s="1170"/>
      <c r="N240" s="1170"/>
      <c r="O240" s="1170"/>
      <c r="P240" s="1170"/>
      <c r="Q240" s="1170"/>
      <c r="R240" s="1170"/>
      <c r="S240" s="1170"/>
      <c r="T240" s="1170"/>
      <c r="U240" s="1170"/>
      <c r="V240" s="1170"/>
      <c r="W240" s="1170"/>
      <c r="X240" s="1170"/>
      <c r="Y240" s="1170"/>
      <c r="Z240" s="1170"/>
      <c r="AA240" s="1170"/>
      <c r="AB240" s="1170"/>
      <c r="AC240" s="1170"/>
      <c r="AD240" s="1170"/>
      <c r="AE240" s="1170"/>
      <c r="AF240" s="1170"/>
      <c r="AG240" s="1170"/>
      <c r="AH240" s="1170"/>
      <c r="AI240" s="1170"/>
      <c r="AJ240" s="1186" t="str">
        <f>CokingRefineryCalcs!C546</f>
        <v>Density</v>
      </c>
      <c r="AK240" s="1170" t="str">
        <f ca="1">CokingRefineryCalcs!D546</f>
        <v>kg/m^3</v>
      </c>
      <c r="AL240" s="1170">
        <f ca="1">CokingRefineryCalcs!I546</f>
        <v>0</v>
      </c>
      <c r="AM240" s="1170"/>
      <c r="AN240" s="1170"/>
      <c r="AO240" s="1267" t="str">
        <f>'CokingRefinery Detailed Results'!C20</f>
        <v>Coker Furnace</v>
      </c>
      <c r="AP240" s="1265"/>
      <c r="AQ240" s="1265"/>
      <c r="AR240" s="1170"/>
      <c r="AS240" s="1186" t="str">
        <f>CokingRefineryCalcs!C835</f>
        <v xml:space="preserve">API gravity </v>
      </c>
      <c r="AT240" s="1170"/>
      <c r="AU240" s="1170">
        <f ca="1">CokingRefineryCalcs!F835</f>
        <v>0</v>
      </c>
      <c r="AV240" s="1170"/>
      <c r="AW240" s="1170"/>
      <c r="AX240" s="1170"/>
      <c r="AY240" s="1170"/>
      <c r="AZ240" s="1170"/>
      <c r="BA240" s="1170"/>
      <c r="BB240" s="1186" t="str">
        <f>CokingRefineryCalcs!C838</f>
        <v>MCR</v>
      </c>
      <c r="BC240" s="1170" t="str">
        <f ca="1">CokingRefineryCalcs!D838</f>
        <v>wt%</v>
      </c>
      <c r="BD240" s="1170">
        <f>CokingRefineryCalcs!I853</f>
        <v>0</v>
      </c>
      <c r="BE240" s="1170"/>
      <c r="BF240" s="1170"/>
      <c r="BG240" s="1170"/>
      <c r="BH240" s="1170"/>
      <c r="BI240" s="1170"/>
      <c r="BJ240" s="1170"/>
      <c r="BK240" s="1170"/>
      <c r="BL240" s="1181" t="str">
        <f>CokingRefineryCalcs!F905</f>
        <v>CGO To Gas Oil HC</v>
      </c>
      <c r="BM240" s="1170"/>
      <c r="BN240" s="1170"/>
      <c r="BO240" s="1170"/>
      <c r="BP240" s="1170"/>
      <c r="BQ240" s="1170"/>
      <c r="BR240" s="1170"/>
      <c r="BS240" s="1180"/>
      <c r="BT240" s="1170"/>
      <c r="BU240" s="1170"/>
      <c r="BV240" s="1170"/>
      <c r="BW240" s="1170"/>
      <c r="BX240" s="1170"/>
      <c r="BY240" s="1170"/>
      <c r="BZ240" s="1170"/>
      <c r="CA240" s="1186" t="str">
        <f>CokingRefineryCalcs!C700</f>
        <v xml:space="preserve">Sulphur </v>
      </c>
      <c r="CB240" s="1170" t="str">
        <f ca="1">CokingRefineryCalcs!D700</f>
        <v>wt%</v>
      </c>
      <c r="CC240" s="1170">
        <f ca="1">CokingRefineryCalcs!K700</f>
        <v>0</v>
      </c>
      <c r="CD240" s="1170"/>
      <c r="CE240" s="1170"/>
      <c r="CF240" s="1170"/>
      <c r="CG240" s="1170"/>
      <c r="CH240" s="1170"/>
      <c r="CI240" s="1170"/>
      <c r="CJ240" s="1170"/>
      <c r="CK240" s="1170"/>
      <c r="CL240" s="1170"/>
      <c r="CM240" s="1170"/>
      <c r="CN240" s="1170"/>
      <c r="CO240" s="1170"/>
      <c r="CP240" s="1170"/>
      <c r="CQ240" s="1170"/>
      <c r="CR240" s="1170"/>
      <c r="CS240" s="1180" t="str">
        <f>CS227</f>
        <v>FCC Gasoline</v>
      </c>
      <c r="CT240" s="1170"/>
      <c r="CU240" s="1170"/>
      <c r="CV240" s="1170"/>
      <c r="CW240" s="1170"/>
      <c r="CX240" s="1170"/>
      <c r="CY240" s="1160"/>
      <c r="CZ240" s="1160"/>
      <c r="DA240" s="1160"/>
      <c r="DB240" s="1160"/>
      <c r="DC240" s="1160"/>
      <c r="DD240" s="1160"/>
      <c r="DE240" s="1160"/>
      <c r="DF240" s="1160"/>
      <c r="DG240" s="1160"/>
      <c r="DH240" s="1160"/>
      <c r="DI240" s="1160"/>
      <c r="DJ240" s="1160"/>
      <c r="DK240" s="1171"/>
      <c r="DL240" s="1160"/>
      <c r="DM240" s="1160"/>
      <c r="DN240" s="1160"/>
      <c r="DO240" s="1160"/>
      <c r="DP240" s="1160"/>
      <c r="DQ240" s="1160"/>
      <c r="DR240" s="1160"/>
      <c r="DS240" s="1160"/>
      <c r="DT240" s="1160"/>
      <c r="DU240" s="1160"/>
      <c r="DV240" s="1160"/>
      <c r="DW240" s="1160"/>
      <c r="DX240" s="1160"/>
      <c r="DY240" s="1160"/>
      <c r="DZ240" s="1160"/>
      <c r="EA240" s="1160"/>
      <c r="EB240" s="1160"/>
    </row>
    <row r="241" spans="1:132" x14ac:dyDescent="0.2">
      <c r="A241" s="1160"/>
      <c r="B241" s="1160"/>
      <c r="C241" s="1160"/>
      <c r="D241" s="1160"/>
      <c r="E241" s="1170"/>
      <c r="F241" s="1170"/>
      <c r="G241" s="1170"/>
      <c r="H241" s="1170"/>
      <c r="I241" s="1170"/>
      <c r="J241" s="1170"/>
      <c r="K241" s="1170"/>
      <c r="L241" s="1170"/>
      <c r="M241" s="1170"/>
      <c r="N241" s="1170"/>
      <c r="O241" s="1170"/>
      <c r="P241" s="1170"/>
      <c r="Q241" s="1170"/>
      <c r="R241" s="1170"/>
      <c r="S241" s="1170"/>
      <c r="T241" s="1170"/>
      <c r="U241" s="1170"/>
      <c r="V241" s="1170"/>
      <c r="W241" s="1170"/>
      <c r="X241" s="1170"/>
      <c r="Y241" s="1170"/>
      <c r="Z241" s="1170"/>
      <c r="AA241" s="1170"/>
      <c r="AB241" s="1170"/>
      <c r="AC241" s="1170"/>
      <c r="AD241" s="1170"/>
      <c r="AE241" s="1170"/>
      <c r="AF241" s="1170"/>
      <c r="AG241" s="1170"/>
      <c r="AH241" s="1170"/>
      <c r="AI241" s="1170"/>
      <c r="AJ241" s="1186" t="str">
        <f>CokingRefineryCalcs!C547</f>
        <v>Hydrogen</v>
      </c>
      <c r="AK241" s="1170" t="str">
        <f ca="1">CokingRefineryCalcs!D547</f>
        <v>wt%</v>
      </c>
      <c r="AL241" s="1170">
        <f ca="1">CokingRefineryCalcs!I547</f>
        <v>0</v>
      </c>
      <c r="AM241" s="1170"/>
      <c r="AN241" s="1170"/>
      <c r="AO241" s="1184" t="s">
        <v>225</v>
      </c>
      <c r="AP241" s="1170"/>
      <c r="AQ241" s="1184" t="s">
        <v>522</v>
      </c>
      <c r="AR241" s="1170"/>
      <c r="AS241" s="1186" t="str">
        <f>CokingRefineryCalcs!C836</f>
        <v>Density</v>
      </c>
      <c r="AT241" s="1170" t="str">
        <f ca="1">CokingRefineryCalcs!D836</f>
        <v>kg/m^3</v>
      </c>
      <c r="AU241" s="1170">
        <f ca="1">CokingRefineryCalcs!F836</f>
        <v>0</v>
      </c>
      <c r="AV241" s="1170"/>
      <c r="AW241" s="1170"/>
      <c r="AX241" s="1170"/>
      <c r="AY241" s="1170"/>
      <c r="AZ241" s="1170"/>
      <c r="BA241" s="1170"/>
      <c r="BB241" s="1200" t="s">
        <v>1056</v>
      </c>
      <c r="BC241" s="1199" t="s">
        <v>447</v>
      </c>
      <c r="BD241" s="1199">
        <f ca="1">('Energy &amp; Unit Conversions'!$D$63-('Energy &amp; Unit Conversions'!$E$63*POWER((CokingRefineryPFD!BD238/'Energy &amp; Unit Conversions'!$E$54),2)))</f>
        <v>40.336293801752632</v>
      </c>
      <c r="BE241" s="1170"/>
      <c r="BF241" s="1170"/>
      <c r="BG241" s="1170"/>
      <c r="BH241" s="1170"/>
      <c r="BI241" s="1170"/>
      <c r="BJ241" s="1170"/>
      <c r="BK241" s="1170"/>
      <c r="BL241" s="1182" t="str">
        <f>CokingRefineryCalcs!C905</f>
        <v>Property</v>
      </c>
      <c r="BM241" s="1182" t="str">
        <f>CokingRefineryCalcs!D905</f>
        <v>Units</v>
      </c>
      <c r="BN241" s="1170"/>
      <c r="BO241" s="1170"/>
      <c r="BP241" s="1170"/>
      <c r="BQ241" s="1170"/>
      <c r="BR241" s="1170"/>
      <c r="BS241" s="1170"/>
      <c r="BT241" s="1170"/>
      <c r="BU241" s="1170"/>
      <c r="BV241" s="1170"/>
      <c r="BW241" s="1170"/>
      <c r="BX241" s="1170"/>
      <c r="BY241" s="1170"/>
      <c r="BZ241" s="1170"/>
      <c r="CA241" s="1186" t="str">
        <f>CokingRefineryCalcs!C702</f>
        <v xml:space="preserve">API gravity </v>
      </c>
      <c r="CB241" s="1170"/>
      <c r="CC241" s="1170">
        <f ca="1">CokingRefineryCalcs!K702</f>
        <v>47.679234519219449</v>
      </c>
      <c r="CD241" s="1170"/>
      <c r="CE241" s="1170"/>
      <c r="CF241" s="1170"/>
      <c r="CG241" s="1170"/>
      <c r="CH241" s="1170"/>
      <c r="CI241" s="1170"/>
      <c r="CJ241" s="1170"/>
      <c r="CK241" s="1170"/>
      <c r="CL241" s="1170"/>
      <c r="CM241" s="1170"/>
      <c r="CN241" s="1170"/>
      <c r="CO241" s="1170"/>
      <c r="CP241" s="1170"/>
      <c r="CQ241" s="1170"/>
      <c r="CR241" s="1170"/>
      <c r="CS241" s="1183" t="s">
        <v>226</v>
      </c>
      <c r="CT241" s="1170"/>
      <c r="CU241" s="1184" t="s">
        <v>522</v>
      </c>
      <c r="CV241" s="1170"/>
      <c r="CW241" s="1170"/>
      <c r="CX241" s="1170"/>
      <c r="CY241" s="1160"/>
      <c r="CZ241" s="1160"/>
      <c r="DA241" s="1160"/>
      <c r="DB241" s="1160"/>
      <c r="DC241" s="1160"/>
      <c r="DD241" s="1160"/>
      <c r="DE241" s="1160"/>
      <c r="DF241" s="1160"/>
      <c r="DG241" s="1160"/>
      <c r="DH241" s="1160"/>
      <c r="DI241" s="1160"/>
      <c r="DJ241" s="1160"/>
      <c r="DK241" s="1171"/>
      <c r="DL241" s="1160"/>
      <c r="DM241" s="1160"/>
      <c r="DN241" s="1160"/>
      <c r="DO241" s="1160"/>
      <c r="DP241" s="1160"/>
      <c r="DQ241" s="1160"/>
      <c r="DR241" s="1160"/>
      <c r="DS241" s="1160"/>
      <c r="DT241" s="1160"/>
      <c r="DU241" s="1160"/>
      <c r="DV241" s="1160"/>
      <c r="DW241" s="1160"/>
      <c r="DX241" s="1160"/>
      <c r="DY241" s="1160"/>
      <c r="DZ241" s="1160"/>
      <c r="EA241" s="1160"/>
      <c r="EB241" s="1160"/>
    </row>
    <row r="242" spans="1:132" x14ac:dyDescent="0.2">
      <c r="A242" s="1160"/>
      <c r="B242" s="1160"/>
      <c r="C242" s="1160"/>
      <c r="D242" s="1160"/>
      <c r="E242" s="1170"/>
      <c r="F242" s="1170"/>
      <c r="G242" s="1170"/>
      <c r="H242" s="1170"/>
      <c r="I242" s="1170"/>
      <c r="J242" s="1170"/>
      <c r="K242" s="1170"/>
      <c r="L242" s="1170"/>
      <c r="M242" s="1170"/>
      <c r="N242" s="1170"/>
      <c r="O242" s="1170"/>
      <c r="P242" s="1170"/>
      <c r="Q242" s="1170"/>
      <c r="R242" s="1170"/>
      <c r="S242" s="1170"/>
      <c r="T242" s="1170"/>
      <c r="U242" s="1170"/>
      <c r="V242" s="1170"/>
      <c r="W242" s="1170"/>
      <c r="X242" s="1170"/>
      <c r="Y242" s="1170"/>
      <c r="Z242" s="1170"/>
      <c r="AA242" s="1170"/>
      <c r="AB242" s="1170"/>
      <c r="AC242" s="1170"/>
      <c r="AD242" s="1170"/>
      <c r="AE242" s="1170"/>
      <c r="AF242" s="1170"/>
      <c r="AG242" s="1170"/>
      <c r="AH242" s="1170"/>
      <c r="AI242" s="1170"/>
      <c r="AJ242" s="1170"/>
      <c r="AK242" s="1170"/>
      <c r="AL242" s="1170"/>
      <c r="AM242" s="1170"/>
      <c r="AN242" s="1170"/>
      <c r="AO242" s="1170" t="s">
        <v>392</v>
      </c>
      <c r="AP242" s="1170"/>
      <c r="AQ242" s="1170">
        <f>'CokingRefinery Detailed Results'!F20</f>
        <v>0</v>
      </c>
      <c r="AR242" s="1170"/>
      <c r="AS242" s="1186" t="str">
        <f>CokingRefineryCalcs!C837</f>
        <v>Hydrogen</v>
      </c>
      <c r="AT242" s="1170" t="str">
        <f ca="1">CokingRefineryCalcs!D837</f>
        <v>wt%</v>
      </c>
      <c r="AU242" s="1170">
        <f ca="1">CokingRefineryCalcs!F837</f>
        <v>0</v>
      </c>
      <c r="AV242" s="1170"/>
      <c r="AW242" s="1170"/>
      <c r="AX242" s="1170"/>
      <c r="AY242" s="1170"/>
      <c r="AZ242" s="1170"/>
      <c r="BA242" s="1170"/>
      <c r="BB242" s="1200" t="s">
        <v>1021</v>
      </c>
      <c r="BC242" s="1199" t="s">
        <v>1022</v>
      </c>
      <c r="BD242" s="1269">
        <f ca="1">(BL172*BL181+BK274*BK266)/BD233</f>
        <v>27.628323265601065</v>
      </c>
      <c r="BE242" s="1170"/>
      <c r="BF242" s="1170"/>
      <c r="BG242" s="1170"/>
      <c r="BH242" s="1170"/>
      <c r="BI242" s="1170"/>
      <c r="BJ242" s="1170"/>
      <c r="BK242" s="1170"/>
      <c r="BL242" s="1186" t="str">
        <f>CokingRefineryCalcs!C906</f>
        <v>Vol Flow</v>
      </c>
      <c r="BM242" s="1170" t="str">
        <f>CokingRefineryCalcs!D906</f>
        <v>bpd</v>
      </c>
      <c r="BN242" s="1170">
        <f ca="1">CokingRefineryCalcs!F906</f>
        <v>3.9275356703639501E-29</v>
      </c>
      <c r="BO242" s="1170"/>
      <c r="BP242" s="1170"/>
      <c r="BQ242" s="1170"/>
      <c r="BR242" s="1170"/>
      <c r="BS242" s="1170"/>
      <c r="BT242" s="1170"/>
      <c r="BU242" s="1170"/>
      <c r="BV242" s="1170"/>
      <c r="BW242" s="1170"/>
      <c r="BX242" s="1170"/>
      <c r="BY242" s="1170"/>
      <c r="BZ242" s="1170"/>
      <c r="CA242" s="1186" t="str">
        <f>CokingRefineryCalcs!C703</f>
        <v>Density</v>
      </c>
      <c r="CB242" s="1170" t="str">
        <f ca="1">CokingRefineryCalcs!D703</f>
        <v>kg/m^3</v>
      </c>
      <c r="CC242" s="1170">
        <f ca="1">CokingRefineryCalcs!K703</f>
        <v>789.71204659780028</v>
      </c>
      <c r="CD242" s="1170"/>
      <c r="CE242" s="1170"/>
      <c r="CF242" s="1170"/>
      <c r="CG242" s="1170"/>
      <c r="CH242" s="1181" t="str">
        <f>CokingRefineryCalcs!I752</f>
        <v>FCC LCO</v>
      </c>
      <c r="CI242" s="1170"/>
      <c r="CJ242" s="1170"/>
      <c r="CK242" s="1170"/>
      <c r="CL242" s="1170"/>
      <c r="CM242" s="1170"/>
      <c r="CN242" s="1170"/>
      <c r="CO242" s="1170"/>
      <c r="CP242" s="1170"/>
      <c r="CQ242" s="1170"/>
      <c r="CR242" s="1170"/>
      <c r="CS242" s="1170" t="s">
        <v>263</v>
      </c>
      <c r="CT242" s="1170"/>
      <c r="CU242" s="1187">
        <f ca="1">CC251*CU248</f>
        <v>0</v>
      </c>
      <c r="CV242" s="1170"/>
      <c r="CW242" s="1170"/>
      <c r="CX242" s="1170"/>
      <c r="CY242" s="1160"/>
      <c r="CZ242" s="1160"/>
      <c r="DA242" s="1160"/>
      <c r="DB242" s="1160"/>
      <c r="DC242" s="1160"/>
      <c r="DD242" s="1160"/>
      <c r="DE242" s="1160"/>
      <c r="DF242" s="1160"/>
      <c r="DG242" s="1160"/>
      <c r="DH242" s="1160"/>
      <c r="DI242" s="1160"/>
      <c r="DJ242" s="1160"/>
      <c r="DK242" s="1171"/>
      <c r="DL242" s="1160"/>
      <c r="DM242" s="1160"/>
      <c r="DN242" s="1160"/>
      <c r="DO242" s="1160"/>
      <c r="DP242" s="1160"/>
      <c r="DQ242" s="1160"/>
      <c r="DR242" s="1160"/>
      <c r="DS242" s="1160"/>
      <c r="DT242" s="1160"/>
      <c r="DU242" s="1160"/>
      <c r="DV242" s="1160"/>
      <c r="DW242" s="1160"/>
      <c r="DX242" s="1160"/>
      <c r="DY242" s="1160"/>
      <c r="DZ242" s="1160"/>
      <c r="EA242" s="1160"/>
      <c r="EB242" s="1160"/>
    </row>
    <row r="243" spans="1:132" x14ac:dyDescent="0.2">
      <c r="A243" s="1160"/>
      <c r="B243" s="1160"/>
      <c r="C243" s="1160"/>
      <c r="D243" s="1160"/>
      <c r="E243" s="1170"/>
      <c r="F243" s="1170"/>
      <c r="G243" s="1170"/>
      <c r="H243" s="1170"/>
      <c r="I243" s="1170"/>
      <c r="J243" s="1170"/>
      <c r="K243" s="1170"/>
      <c r="L243" s="1170"/>
      <c r="M243" s="1170"/>
      <c r="N243" s="1170"/>
      <c r="O243" s="1170"/>
      <c r="P243" s="1170"/>
      <c r="Q243" s="1170"/>
      <c r="R243" s="1170"/>
      <c r="S243" s="1170"/>
      <c r="T243" s="1170"/>
      <c r="U243" s="1170"/>
      <c r="V243" s="1170"/>
      <c r="W243" s="1170"/>
      <c r="X243" s="1170"/>
      <c r="Y243" s="1170"/>
      <c r="Z243" s="1170"/>
      <c r="AA243" s="1170"/>
      <c r="AB243" s="1170"/>
      <c r="AC243" s="1170"/>
      <c r="AD243" s="1170"/>
      <c r="AE243" s="1170"/>
      <c r="AF243" s="1170"/>
      <c r="AG243" s="1170"/>
      <c r="AH243" s="1170"/>
      <c r="AI243" s="1170"/>
      <c r="AJ243" s="1200" t="s">
        <v>1056</v>
      </c>
      <c r="AK243" s="1199" t="s">
        <v>447</v>
      </c>
      <c r="AL243" s="1199">
        <f ca="1">('Energy &amp; Unit Conversions'!$D$63-('Energy &amp; Unit Conversions'!$E$63*POWER((CokingRefineryPFD!AL239/'Energy &amp; Unit Conversions'!$E$54),2)))</f>
        <v>46.693440000000002</v>
      </c>
      <c r="AM243" s="1170"/>
      <c r="AN243" s="1170"/>
      <c r="AO243" s="1170" t="s">
        <v>224</v>
      </c>
      <c r="AP243" s="1170"/>
      <c r="AQ243" s="1170">
        <f ca="1">'CokingRefinery Detailed Results'!H20</f>
        <v>1.48E-12</v>
      </c>
      <c r="AR243" s="1170"/>
      <c r="AS243" s="1186" t="str">
        <f>CokingRefineryCalcs!C838</f>
        <v>MCR</v>
      </c>
      <c r="AT243" s="1170" t="str">
        <f ca="1">CokingRefineryCalcs!D838</f>
        <v>wt%</v>
      </c>
      <c r="AU243" s="1170">
        <f ca="1">CokingRefineryCalcs!F838</f>
        <v>10.823381666475589</v>
      </c>
      <c r="AV243" s="1170"/>
      <c r="AW243" s="1170"/>
      <c r="AX243" s="1170"/>
      <c r="AY243" s="1170"/>
      <c r="AZ243" s="1170"/>
      <c r="BA243" s="1170"/>
      <c r="BB243" s="1204" t="s">
        <v>1054</v>
      </c>
      <c r="BC243" s="1204" t="str">
        <f>IF(allocationMethod=1,$C$21,IF(allocationMethod=2,$C$22,IF(allocationMethod=3,$C$23,$C$24)))</f>
        <v>Hydrogen Content Basis</v>
      </c>
      <c r="BD243" s="1204">
        <f ca="1">IF(allocationMethod=1,BD235,IF(allocationMethod=2,BD241*BD235,IF(allocationMethod=3,BD242*BD233,BD239*BD235/100)))</f>
        <v>8.3969775387302841E-16</v>
      </c>
      <c r="BE243" s="1170"/>
      <c r="BF243" s="1170"/>
      <c r="BG243" s="1170"/>
      <c r="BH243" s="1170"/>
      <c r="BI243" s="1170"/>
      <c r="BJ243" s="1170"/>
      <c r="BK243" s="1170"/>
      <c r="BL243" s="1186" t="str">
        <f>CokingRefineryCalcs!C907</f>
        <v>Vol Flow</v>
      </c>
      <c r="BM243" s="1170" t="str">
        <f>CokingRefineryCalcs!D907</f>
        <v>m^3/d</v>
      </c>
      <c r="BN243" s="1170">
        <f ca="1">CokingRefineryCalcs!F907</f>
        <v>6.244282918848544E-30</v>
      </c>
      <c r="BO243" s="1170"/>
      <c r="BP243" s="1170"/>
      <c r="BQ243" s="1170"/>
      <c r="BR243" s="1170"/>
      <c r="BS243" s="1170"/>
      <c r="BT243" s="1170"/>
      <c r="BU243" s="1170"/>
      <c r="BV243" s="1170"/>
      <c r="BW243" s="1170"/>
      <c r="BX243" s="1170"/>
      <c r="BY243" s="1170"/>
      <c r="BZ243" s="1170"/>
      <c r="CA243" s="1186" t="str">
        <f>CokingRefineryCalcs!C704</f>
        <v>Hydrogen</v>
      </c>
      <c r="CB243" s="1170" t="str">
        <f ca="1">CokingRefineryCalcs!D704</f>
        <v>wt%</v>
      </c>
      <c r="CC243" s="1170">
        <f ca="1">CokingRefineryCalcs!K704</f>
        <v>12.474972796517955</v>
      </c>
      <c r="CD243" s="1170"/>
      <c r="CE243" s="1170"/>
      <c r="CF243" s="1170"/>
      <c r="CG243" s="1170"/>
      <c r="CH243" s="1182" t="str">
        <f>CokingRefineryCalcs!C752</f>
        <v>Property</v>
      </c>
      <c r="CI243" s="1182" t="str">
        <f>CokingRefineryCalcs!D752</f>
        <v>Units</v>
      </c>
      <c r="CJ243" s="1170"/>
      <c r="CK243" s="1170"/>
      <c r="CL243" s="1170"/>
      <c r="CM243" s="1170"/>
      <c r="CN243" s="1170"/>
      <c r="CO243" s="1170"/>
      <c r="CP243" s="1170"/>
      <c r="CQ243" s="1170"/>
      <c r="CR243" s="1170"/>
      <c r="CS243" s="1170" t="s">
        <v>392</v>
      </c>
      <c r="CT243" s="1170"/>
      <c r="CU243" s="1187">
        <f ca="1">(CC252+CF215)*$CU$248</f>
        <v>0</v>
      </c>
      <c r="CV243" s="1170"/>
      <c r="CW243" s="1170"/>
      <c r="CX243" s="1170"/>
      <c r="CY243" s="1160"/>
      <c r="CZ243" s="1160"/>
      <c r="DA243" s="1160"/>
      <c r="DB243" s="1160"/>
      <c r="DC243" s="1160"/>
      <c r="DD243" s="1160"/>
      <c r="DE243" s="1160"/>
      <c r="DF243" s="1160"/>
      <c r="DG243" s="1160"/>
      <c r="DH243" s="1160"/>
      <c r="DI243" s="1160"/>
      <c r="DJ243" s="1160"/>
      <c r="DK243" s="1171"/>
      <c r="DL243" s="1160"/>
      <c r="DM243" s="1160"/>
      <c r="DN243" s="1160"/>
      <c r="DO243" s="1160"/>
      <c r="DP243" s="1160"/>
      <c r="DQ243" s="1160"/>
      <c r="DR243" s="1160"/>
      <c r="DS243" s="1160"/>
      <c r="DT243" s="1160"/>
      <c r="DU243" s="1160"/>
      <c r="DV243" s="1160"/>
      <c r="DW243" s="1160"/>
      <c r="DX243" s="1160"/>
      <c r="DY243" s="1160"/>
      <c r="DZ243" s="1160"/>
      <c r="EA243" s="1160"/>
      <c r="EB243" s="1160"/>
    </row>
    <row r="244" spans="1:132" x14ac:dyDescent="0.2">
      <c r="A244" s="1160"/>
      <c r="B244" s="1160"/>
      <c r="C244" s="1160"/>
      <c r="D244" s="1160"/>
      <c r="E244" s="1170"/>
      <c r="F244" s="1170"/>
      <c r="G244" s="1170"/>
      <c r="H244" s="1170"/>
      <c r="I244" s="1170"/>
      <c r="J244" s="1170"/>
      <c r="K244" s="1170"/>
      <c r="L244" s="1170"/>
      <c r="M244" s="1170"/>
      <c r="N244" s="1170"/>
      <c r="O244" s="1170"/>
      <c r="P244" s="1170"/>
      <c r="Q244" s="1170"/>
      <c r="R244" s="1170"/>
      <c r="S244" s="1170"/>
      <c r="T244" s="1170"/>
      <c r="U244" s="1170"/>
      <c r="V244" s="1170"/>
      <c r="W244" s="1170"/>
      <c r="X244" s="1170"/>
      <c r="Y244" s="1170"/>
      <c r="Z244" s="1170"/>
      <c r="AA244" s="1170"/>
      <c r="AB244" s="1170"/>
      <c r="AC244" s="1170"/>
      <c r="AD244" s="1170"/>
      <c r="AE244" s="1170"/>
      <c r="AF244" s="1170"/>
      <c r="AG244" s="1170"/>
      <c r="AH244" s="1170"/>
      <c r="AI244" s="1170"/>
      <c r="AJ244" s="1200" t="s">
        <v>1021</v>
      </c>
      <c r="AK244" s="1199" t="s">
        <v>1022</v>
      </c>
      <c r="AL244" s="1199">
        <f>Constants!G344</f>
        <v>65.005823135375977</v>
      </c>
      <c r="AM244" s="1170"/>
      <c r="AN244" s="1170"/>
      <c r="AO244" s="1170" t="s">
        <v>485</v>
      </c>
      <c r="AP244" s="1170"/>
      <c r="AQ244" s="1170">
        <f>'CokingRefinery Detailed Results'!J20</f>
        <v>0</v>
      </c>
      <c r="AR244" s="1170"/>
      <c r="AS244" s="1200" t="s">
        <v>1056</v>
      </c>
      <c r="AT244" s="1199" t="s">
        <v>447</v>
      </c>
      <c r="AU244" s="1199">
        <f ca="1">('Energy &amp; Unit Conversions'!$D$63-('Energy &amp; Unit Conversions'!$E$63*POWER((CokingRefineryPFD!AU241/'Energy &amp; Unit Conversions'!$E$54),2)))</f>
        <v>46.693440000000002</v>
      </c>
      <c r="AV244" s="1170"/>
      <c r="AW244" s="1170"/>
      <c r="AX244" s="1170"/>
      <c r="AY244" s="1170"/>
      <c r="AZ244" s="1170"/>
      <c r="BA244" s="1170"/>
      <c r="BB244" s="1170"/>
      <c r="BC244" s="1170"/>
      <c r="BD244" s="1170"/>
      <c r="BE244" s="1170"/>
      <c r="BF244" s="1170"/>
      <c r="BG244" s="1170"/>
      <c r="BH244" s="1170"/>
      <c r="BI244" s="1170"/>
      <c r="BJ244" s="1170"/>
      <c r="BK244" s="1170"/>
      <c r="BL244" s="1186" t="str">
        <f>CokingRefineryCalcs!C908</f>
        <v>Mass Flow</v>
      </c>
      <c r="BM244" s="1170" t="str">
        <f>CokingRefineryCalcs!D908</f>
        <v>kg/d</v>
      </c>
      <c r="BN244" s="1170">
        <f ca="1">CokingRefineryCalcs!F908</f>
        <v>5.8321602462043793E-27</v>
      </c>
      <c r="BO244" s="1170"/>
      <c r="BP244" s="1170"/>
      <c r="BQ244" s="1170"/>
      <c r="BR244" s="1170"/>
      <c r="BS244" s="1170"/>
      <c r="BT244" s="1170"/>
      <c r="BU244" s="1170"/>
      <c r="BV244" s="1170"/>
      <c r="BW244" s="1184" t="str">
        <f>'CokingRefinery Detailed Results'!C25</f>
        <v>Fluid Catalytic Cracker</v>
      </c>
      <c r="BX244" s="1170"/>
      <c r="BY244" s="1187"/>
      <c r="BZ244" s="1187"/>
      <c r="CA244" s="1186" t="str">
        <f>CokingRefineryCalcs!C705</f>
        <v>MCR</v>
      </c>
      <c r="CB244" s="1170" t="str">
        <f ca="1">CokingRefineryCalcs!D705</f>
        <v>wt%</v>
      </c>
      <c r="CC244" s="1170">
        <f>CokingRefineryCalcs!K705</f>
        <v>0</v>
      </c>
      <c r="CD244" s="1170"/>
      <c r="CE244" s="1170"/>
      <c r="CF244" s="1170"/>
      <c r="CG244" s="1170"/>
      <c r="CH244" s="1186" t="str">
        <f>CokingRefineryCalcs!C753</f>
        <v>Vol Flow</v>
      </c>
      <c r="CI244" s="1170" t="str">
        <f ca="1">CokingRefineryCalcs!D753</f>
        <v>bpd</v>
      </c>
      <c r="CJ244" s="1170">
        <f ca="1">CokingRefineryCalcs!I753</f>
        <v>4.2535471520813291E-17</v>
      </c>
      <c r="CK244" s="1170"/>
      <c r="CL244" s="1170"/>
      <c r="CM244" s="1170"/>
      <c r="CN244" s="1170"/>
      <c r="CO244" s="1170"/>
      <c r="CP244" s="1170"/>
      <c r="CQ244" s="1170"/>
      <c r="CR244" s="1170"/>
      <c r="CS244" s="1170" t="s">
        <v>224</v>
      </c>
      <c r="CT244" s="1170"/>
      <c r="CU244" s="1187">
        <f ca="1">(CC253+CF216)*$CU$248</f>
        <v>2.3941770581049351E-12</v>
      </c>
      <c r="CV244" s="1170"/>
      <c r="CW244" s="1170"/>
      <c r="CX244" s="1170"/>
      <c r="CY244" s="1160"/>
      <c r="CZ244" s="1160"/>
      <c r="DA244" s="1160"/>
      <c r="DB244" s="1160"/>
      <c r="DC244" s="1160"/>
      <c r="DD244" s="1160"/>
      <c r="DE244" s="1160"/>
      <c r="DF244" s="1160"/>
      <c r="DG244" s="1160"/>
      <c r="DH244" s="1160"/>
      <c r="DI244" s="1160"/>
      <c r="DJ244" s="1160"/>
      <c r="DK244" s="1171"/>
      <c r="DL244" s="1160"/>
      <c r="DM244" s="1160"/>
      <c r="DN244" s="1160"/>
      <c r="DO244" s="1160"/>
      <c r="DP244" s="1160"/>
      <c r="DQ244" s="1160"/>
      <c r="DR244" s="1160"/>
      <c r="DS244" s="1160"/>
      <c r="DT244" s="1160"/>
      <c r="DU244" s="1160"/>
      <c r="DV244" s="1160"/>
      <c r="DW244" s="1160"/>
      <c r="DX244" s="1160"/>
      <c r="DY244" s="1160"/>
      <c r="DZ244" s="1160"/>
      <c r="EA244" s="1160"/>
      <c r="EB244" s="1160"/>
    </row>
    <row r="245" spans="1:132" x14ac:dyDescent="0.2">
      <c r="A245" s="1160"/>
      <c r="B245" s="1160"/>
      <c r="C245" s="1160"/>
      <c r="D245" s="1160"/>
      <c r="E245" s="1170"/>
      <c r="F245" s="1170"/>
      <c r="G245" s="1170"/>
      <c r="H245" s="1170"/>
      <c r="I245" s="1170"/>
      <c r="J245" s="1170"/>
      <c r="K245" s="1170"/>
      <c r="L245" s="1170"/>
      <c r="M245" s="1170"/>
      <c r="N245" s="1170"/>
      <c r="O245" s="1170"/>
      <c r="P245" s="1170"/>
      <c r="Q245" s="1170"/>
      <c r="R245" s="1170"/>
      <c r="S245" s="1170"/>
      <c r="T245" s="1170"/>
      <c r="U245" s="1170"/>
      <c r="V245" s="1170"/>
      <c r="W245" s="1170"/>
      <c r="X245" s="1170"/>
      <c r="Y245" s="1170"/>
      <c r="Z245" s="1170"/>
      <c r="AA245" s="1170"/>
      <c r="AB245" s="1170"/>
      <c r="AC245" s="1170"/>
      <c r="AD245" s="1170"/>
      <c r="AE245" s="1170"/>
      <c r="AF245" s="1170"/>
      <c r="AG245" s="1170"/>
      <c r="AH245" s="1170"/>
      <c r="AI245" s="1170"/>
      <c r="AJ245" s="1204" t="s">
        <v>1054</v>
      </c>
      <c r="AK245" s="1204" t="str">
        <f>IF(allocationMethod=1,$C$21,IF(allocationMethod=2,$C$22,IF(allocationMethod=3,$C$23,$C$24)))</f>
        <v>Hydrogen Content Basis</v>
      </c>
      <c r="AL245" s="1204">
        <f ca="1">IF(allocationMethod=1,AL237,IF(allocationMethod=2,AL243*AL237,IF(allocationMethod=3,AL244*AL235,AL241*AL237/100)))</f>
        <v>0</v>
      </c>
      <c r="AM245" s="1170"/>
      <c r="AN245" s="1170"/>
      <c r="AO245" s="1170" t="s">
        <v>541</v>
      </c>
      <c r="AP245" s="1170"/>
      <c r="AQ245" s="1170">
        <f>'CokingRefinery Detailed Results'!L20</f>
        <v>0</v>
      </c>
      <c r="AR245" s="1170"/>
      <c r="AS245" s="1200" t="s">
        <v>1021</v>
      </c>
      <c r="AT245" s="1199" t="s">
        <v>1022</v>
      </c>
      <c r="AU245" s="1246">
        <f>AL244</f>
        <v>65.005823135375977</v>
      </c>
      <c r="AV245" s="1170"/>
      <c r="AW245" s="1170"/>
      <c r="AX245" s="1170"/>
      <c r="AY245" s="1170"/>
      <c r="AZ245" s="1170"/>
      <c r="BA245" s="1170"/>
      <c r="BB245" s="1180" t="str">
        <f>BB231</f>
        <v>Total Coker Liquids</v>
      </c>
      <c r="BC245" s="1170"/>
      <c r="BD245" s="1170"/>
      <c r="BE245" s="1170"/>
      <c r="BF245" s="1170"/>
      <c r="BG245" s="1170"/>
      <c r="BH245" s="1170"/>
      <c r="BI245" s="1170"/>
      <c r="BJ245" s="1170"/>
      <c r="BK245" s="1170"/>
      <c r="BL245" s="1186" t="str">
        <f>CokingRefineryCalcs!C909</f>
        <v>S</v>
      </c>
      <c r="BM245" s="1170" t="str">
        <f>CokingRefineryCalcs!D909</f>
        <v>wt%</v>
      </c>
      <c r="BN245" s="1170">
        <f ca="1">CokingRefineryCalcs!F909</f>
        <v>0</v>
      </c>
      <c r="BO245" s="1170"/>
      <c r="BP245" s="1170"/>
      <c r="BQ245" s="1170"/>
      <c r="BR245" s="1170"/>
      <c r="BS245" s="1170"/>
      <c r="BT245" s="1170"/>
      <c r="BU245" s="1170"/>
      <c r="BV245" s="1170"/>
      <c r="BW245" s="1184" t="s">
        <v>225</v>
      </c>
      <c r="BX245" s="1227" t="s">
        <v>522</v>
      </c>
      <c r="BY245" s="1187"/>
      <c r="BZ245" s="1170"/>
      <c r="CA245" s="1200" t="s">
        <v>1056</v>
      </c>
      <c r="CB245" s="1199" t="s">
        <v>447</v>
      </c>
      <c r="CC245" s="1199">
        <f ca="1">('Energy &amp; Unit Conversions'!$D$63-('Energy &amp; Unit Conversions'!$E$63*POWER((CokingRefineryPFD!CC242/'Energy &amp; Unit Conversions'!$E$54),2)))</f>
        <v>41.744002153146269</v>
      </c>
      <c r="CD245" s="1170"/>
      <c r="CE245" s="1170"/>
      <c r="CF245" s="1170"/>
      <c r="CG245" s="1170"/>
      <c r="CH245" s="1186" t="str">
        <f>CokingRefineryCalcs!C754</f>
        <v>Vol Flow</v>
      </c>
      <c r="CI245" s="1170" t="str">
        <f ca="1">CokingRefineryCalcs!D754</f>
        <v>m^3/d</v>
      </c>
      <c r="CJ245" s="1170">
        <f ca="1">CokingRefineryCalcs!I754</f>
        <v>6.7625997713209992E-18</v>
      </c>
      <c r="CK245" s="1170"/>
      <c r="CL245" s="1170"/>
      <c r="CM245" s="1170"/>
      <c r="CN245" s="1170"/>
      <c r="CO245" s="1170"/>
      <c r="CP245" s="1170"/>
      <c r="CQ245" s="1170"/>
      <c r="CR245" s="1170"/>
      <c r="CS245" s="1170" t="s">
        <v>485</v>
      </c>
      <c r="CT245" s="1170"/>
      <c r="CU245" s="1187">
        <f ca="1">(CC254+CF217)*$CU$248</f>
        <v>1.2997805030785008E-13</v>
      </c>
      <c r="CV245" s="1170"/>
      <c r="CW245" s="1170"/>
      <c r="CX245" s="1170"/>
      <c r="CY245" s="1160"/>
      <c r="CZ245" s="1160"/>
      <c r="DA245" s="1160"/>
      <c r="DB245" s="1160"/>
      <c r="DC245" s="1160"/>
      <c r="DD245" s="1160"/>
      <c r="DE245" s="1160"/>
      <c r="DF245" s="1160"/>
      <c r="DG245" s="1160"/>
      <c r="DH245" s="1160"/>
      <c r="DI245" s="1160"/>
      <c r="DJ245" s="1160"/>
      <c r="DK245" s="1171"/>
      <c r="DL245" s="1160"/>
      <c r="DM245" s="1160"/>
      <c r="DN245" s="1160"/>
      <c r="DO245" s="1160"/>
      <c r="DP245" s="1160"/>
      <c r="DQ245" s="1160"/>
      <c r="DR245" s="1160"/>
      <c r="DS245" s="1160"/>
      <c r="DT245" s="1160"/>
      <c r="DU245" s="1160"/>
      <c r="DV245" s="1160"/>
      <c r="DW245" s="1160"/>
      <c r="DX245" s="1160"/>
      <c r="DY245" s="1160"/>
      <c r="DZ245" s="1160"/>
      <c r="EA245" s="1160"/>
      <c r="EB245" s="1160"/>
    </row>
    <row r="246" spans="1:132" x14ac:dyDescent="0.2">
      <c r="A246" s="1160"/>
      <c r="B246" s="1160"/>
      <c r="C246" s="1160"/>
      <c r="D246" s="1160"/>
      <c r="E246" s="1170"/>
      <c r="F246" s="1170"/>
      <c r="G246" s="1170"/>
      <c r="H246" s="1170"/>
      <c r="I246" s="1170"/>
      <c r="J246" s="1170"/>
      <c r="K246" s="1170"/>
      <c r="L246" s="1170"/>
      <c r="M246" s="1170"/>
      <c r="N246" s="1170"/>
      <c r="O246" s="1170"/>
      <c r="P246" s="1170"/>
      <c r="Q246" s="1170"/>
      <c r="R246" s="1170"/>
      <c r="S246" s="1170"/>
      <c r="T246" s="1170"/>
      <c r="U246" s="1170"/>
      <c r="V246" s="1170"/>
      <c r="W246" s="1170"/>
      <c r="X246" s="1170"/>
      <c r="Y246" s="1170"/>
      <c r="Z246" s="1170"/>
      <c r="AA246" s="1170"/>
      <c r="AB246" s="1170"/>
      <c r="AC246" s="1170"/>
      <c r="AD246" s="1170"/>
      <c r="AE246" s="1170"/>
      <c r="AF246" s="1170"/>
      <c r="AG246" s="1170"/>
      <c r="AH246" s="1170"/>
      <c r="AI246" s="1170"/>
      <c r="AJ246" s="1180" t="str">
        <f>AJ233</f>
        <v>Vac Residue</v>
      </c>
      <c r="AK246" s="1170"/>
      <c r="AL246" s="1170"/>
      <c r="AM246" s="1170"/>
      <c r="AN246" s="1170"/>
      <c r="AO246" s="1170"/>
      <c r="AP246" s="1170"/>
      <c r="AQ246" s="1170"/>
      <c r="AR246" s="1170"/>
      <c r="AS246" s="1204" t="s">
        <v>1054</v>
      </c>
      <c r="AT246" s="1204" t="str">
        <f>IF(allocationMethod=1,$C$21,IF(allocationMethod=2,$C$22,IF(allocationMethod=3,$C$23,$C$24)))</f>
        <v>Hydrogen Content Basis</v>
      </c>
      <c r="AU246" s="1204">
        <f ca="1">IF(allocationMethod=1,AU238,IF(allocationMethod=2,AU244*AU238,IF(allocationMethod=3,AU245*AU236,AU242*AU238/100)))</f>
        <v>0</v>
      </c>
      <c r="AV246" s="1170"/>
      <c r="AW246" s="1170"/>
      <c r="AX246" s="1170"/>
      <c r="AY246" s="1170"/>
      <c r="AZ246" s="1170"/>
      <c r="BA246" s="1170"/>
      <c r="BB246" s="1183" t="s">
        <v>226</v>
      </c>
      <c r="BC246" s="1184" t="s">
        <v>522</v>
      </c>
      <c r="BD246" s="1170"/>
      <c r="BE246" s="1170"/>
      <c r="BF246" s="1170"/>
      <c r="BG246" s="1170"/>
      <c r="BH246" s="1170"/>
      <c r="BI246" s="1170"/>
      <c r="BJ246" s="1170"/>
      <c r="BK246" s="1170"/>
      <c r="BL246" s="1186" t="str">
        <f>CokingRefineryCalcs!C911</f>
        <v>API</v>
      </c>
      <c r="BM246" s="1170"/>
      <c r="BN246" s="1170">
        <f ca="1">CokingRefineryCalcs!F911</f>
        <v>19.998929336192617</v>
      </c>
      <c r="BO246" s="1170"/>
      <c r="BP246" s="1170"/>
      <c r="BQ246" s="1170"/>
      <c r="BR246" s="1170"/>
      <c r="BS246" s="1170"/>
      <c r="BT246" s="1170"/>
      <c r="BU246" s="1170"/>
      <c r="BV246" s="1170"/>
      <c r="BW246" s="1170" t="s">
        <v>392</v>
      </c>
      <c r="BX246" s="1187">
        <f ca="1">'CokingRefinery Detailed Results'!F25+IF(AND($EB$144+$EB$161=0,E51=FALSE),'CokingRefinery Detailed Results'!F30*CokingRefineryCalcs!$U$986,0)</f>
        <v>0</v>
      </c>
      <c r="BY246" s="1187"/>
      <c r="BZ246" s="1170"/>
      <c r="CA246" s="1200" t="s">
        <v>1021</v>
      </c>
      <c r="CB246" s="1199" t="s">
        <v>1022</v>
      </c>
      <c r="CC246" s="1246">
        <f ca="1">(CM179*CM170+CU238*CU229+CJ253*CJ244+CP278*CP269)/CC237</f>
        <v>80.178774713645893</v>
      </c>
      <c r="CD246" s="1170"/>
      <c r="CE246" s="1170"/>
      <c r="CF246" s="1170"/>
      <c r="CG246" s="1170"/>
      <c r="CH246" s="1186" t="str">
        <f>CokingRefineryCalcs!C755</f>
        <v>Mass Flow</v>
      </c>
      <c r="CI246" s="1170" t="str">
        <f>CokingRefineryCalcs!D755</f>
        <v>kg/d</v>
      </c>
      <c r="CJ246" s="1170">
        <f ca="1">CokingRefineryCalcs!I755</f>
        <v>5.7482098056163516E-15</v>
      </c>
      <c r="CK246" s="1170"/>
      <c r="CL246" s="1170"/>
      <c r="CM246" s="1170"/>
      <c r="CN246" s="1170"/>
      <c r="CO246" s="1170"/>
      <c r="CP246" s="1170"/>
      <c r="CQ246" s="1170"/>
      <c r="CR246" s="1170"/>
      <c r="CS246" s="1170" t="s">
        <v>541</v>
      </c>
      <c r="CT246" s="1170"/>
      <c r="CU246" s="1187">
        <f ca="1">(CC255+CF218)*$CU$248</f>
        <v>0</v>
      </c>
      <c r="CV246" s="1170"/>
      <c r="CW246" s="1170"/>
      <c r="CX246" s="1170"/>
      <c r="CY246" s="1160"/>
      <c r="CZ246" s="1160"/>
      <c r="DA246" s="1160"/>
      <c r="DB246" s="1160"/>
      <c r="DC246" s="1160"/>
      <c r="DD246" s="1160"/>
      <c r="DE246" s="1160"/>
      <c r="DF246" s="1160"/>
      <c r="DG246" s="1160"/>
      <c r="DH246" s="1160"/>
      <c r="DI246" s="1160"/>
      <c r="DJ246" s="1160"/>
      <c r="DK246" s="1171"/>
      <c r="DL246" s="1160"/>
      <c r="DM246" s="1160"/>
      <c r="DN246" s="1160"/>
      <c r="DO246" s="1160"/>
      <c r="DP246" s="1160"/>
      <c r="DQ246" s="1160"/>
      <c r="DR246" s="1160"/>
      <c r="DS246" s="1160"/>
      <c r="DT246" s="1160"/>
      <c r="DU246" s="1160"/>
      <c r="DV246" s="1160"/>
      <c r="DW246" s="1160"/>
      <c r="DX246" s="1160"/>
      <c r="DY246" s="1160"/>
      <c r="DZ246" s="1160"/>
      <c r="EA246" s="1160"/>
      <c r="EB246" s="1160"/>
    </row>
    <row r="247" spans="1:132" x14ac:dyDescent="0.2">
      <c r="A247" s="1160"/>
      <c r="B247" s="1160"/>
      <c r="C247" s="1160"/>
      <c r="D247" s="1160"/>
      <c r="E247" s="1170"/>
      <c r="F247" s="1170"/>
      <c r="G247" s="1170"/>
      <c r="H247" s="1170"/>
      <c r="I247" s="1170"/>
      <c r="J247" s="1170"/>
      <c r="K247" s="1170"/>
      <c r="L247" s="1170"/>
      <c r="M247" s="1170"/>
      <c r="N247" s="1170"/>
      <c r="O247" s="1170"/>
      <c r="P247" s="1170"/>
      <c r="Q247" s="1170"/>
      <c r="R247" s="1170"/>
      <c r="S247" s="1170"/>
      <c r="T247" s="1170"/>
      <c r="U247" s="1170"/>
      <c r="V247" s="1170"/>
      <c r="W247" s="1170"/>
      <c r="X247" s="1170"/>
      <c r="Y247" s="1170"/>
      <c r="Z247" s="1170"/>
      <c r="AA247" s="1170"/>
      <c r="AB247" s="1170"/>
      <c r="AC247" s="1170"/>
      <c r="AD247" s="1170"/>
      <c r="AE247" s="1170"/>
      <c r="AF247" s="1170"/>
      <c r="AG247" s="1170"/>
      <c r="AH247" s="1170"/>
      <c r="AI247" s="1170"/>
      <c r="AJ247" s="1183" t="s">
        <v>226</v>
      </c>
      <c r="AK247" s="1170"/>
      <c r="AL247" s="1184" t="s">
        <v>522</v>
      </c>
      <c r="AM247" s="1170"/>
      <c r="AN247" s="1170"/>
      <c r="AO247" s="1170"/>
      <c r="AP247" s="1170"/>
      <c r="AQ247" s="1170"/>
      <c r="AR247" s="1170"/>
      <c r="AS247" s="1180" t="str">
        <f>AS234</f>
        <v>Coker Furnace Product</v>
      </c>
      <c r="AT247" s="1170"/>
      <c r="AU247" s="1170"/>
      <c r="AV247" s="1170"/>
      <c r="AW247" s="1170"/>
      <c r="AX247" s="1170"/>
      <c r="AY247" s="1170"/>
      <c r="AZ247" s="1170"/>
      <c r="BA247" s="1170"/>
      <c r="BB247" s="1170" t="s">
        <v>263</v>
      </c>
      <c r="BC247" s="1170"/>
      <c r="BD247" s="1187">
        <f ca="1">AU249*$BD$252</f>
        <v>0</v>
      </c>
      <c r="BE247" s="1170"/>
      <c r="BF247" s="1170"/>
      <c r="BG247" s="1170"/>
      <c r="BH247" s="1170"/>
      <c r="BI247" s="1170"/>
      <c r="BJ247" s="1170"/>
      <c r="BK247" s="1170"/>
      <c r="BL247" s="1186" t="str">
        <f>CokingRefineryCalcs!C912</f>
        <v>Density</v>
      </c>
      <c r="BM247" s="1170" t="str">
        <f>CokingRefineryCalcs!D912</f>
        <v>kg/m^3</v>
      </c>
      <c r="BN247" s="1170">
        <f ca="1">CokingRefineryCalcs!F912</f>
        <v>933.99999999997431</v>
      </c>
      <c r="BO247" s="1170"/>
      <c r="BP247" s="1170"/>
      <c r="BQ247" s="1170"/>
      <c r="BR247" s="1170"/>
      <c r="BS247" s="1170"/>
      <c r="BT247" s="1170"/>
      <c r="BU247" s="1170"/>
      <c r="BV247" s="1170"/>
      <c r="BW247" s="1170" t="s">
        <v>224</v>
      </c>
      <c r="BX247" s="1187">
        <f ca="1">'CokingRefinery Detailed Results'!H25+IF(AND($EB$144+$EB$161=0,E51=FALSE),'CokingRefinery Detailed Results'!H30*CokingRefineryCalcs!$U$986,0)</f>
        <v>2.085874084189968E-14</v>
      </c>
      <c r="BY247" s="1187"/>
      <c r="BZ247" s="1170"/>
      <c r="CA247" s="1204" t="s">
        <v>1054</v>
      </c>
      <c r="CB247" s="1204" t="str">
        <f>IF(allocationMethod=1,$C$21,IF(allocationMethod=2,$C$22,IF(allocationMethod=3,$C$23,$C$24)))</f>
        <v>Hydrogen Content Basis</v>
      </c>
      <c r="CC247" s="1204">
        <f ca="1">IF(allocationMethod=1,CC239,IF(allocationMethod=2,CC245*CC239,IF(allocationMethod=3,CC246*CC237,CC243*CC239/100)))</f>
        <v>3.2950175658222172E-15</v>
      </c>
      <c r="CD247" s="1170"/>
      <c r="CE247" s="1170"/>
      <c r="CF247" s="1170"/>
      <c r="CG247" s="1170"/>
      <c r="CH247" s="1186" t="str">
        <f>CokingRefineryCalcs!C756</f>
        <v xml:space="preserve">Sulphur </v>
      </c>
      <c r="CI247" s="1170" t="str">
        <f ca="1">CokingRefineryCalcs!D756</f>
        <v>wt%</v>
      </c>
      <c r="CJ247" s="1170">
        <f ca="1">CokingRefineryCalcs!I756</f>
        <v>0</v>
      </c>
      <c r="CK247" s="1170"/>
      <c r="CL247" s="1170"/>
      <c r="CM247" s="1170"/>
      <c r="CN247" s="1170"/>
      <c r="CO247" s="1170"/>
      <c r="CP247" s="1170"/>
      <c r="CQ247" s="1170"/>
      <c r="CR247" s="1170"/>
      <c r="CS247" s="1170" t="str">
        <f>CA256</f>
        <v>Catalyst Coke</v>
      </c>
      <c r="CT247" s="1170"/>
      <c r="CU247" s="1187">
        <f ca="1">(CC256)*$CU$248</f>
        <v>2.9705544188772889E-14</v>
      </c>
      <c r="CV247" s="1170"/>
      <c r="CW247" s="1170"/>
      <c r="CX247" s="1170"/>
      <c r="CY247" s="1160"/>
      <c r="CZ247" s="1160"/>
      <c r="DA247" s="1160"/>
      <c r="DB247" s="1160"/>
      <c r="DC247" s="1160"/>
      <c r="DD247" s="1160"/>
      <c r="DE247" s="1160"/>
      <c r="DF247" s="1160"/>
      <c r="DG247" s="1160"/>
      <c r="DH247" s="1160"/>
      <c r="DI247" s="1160"/>
      <c r="DJ247" s="1160"/>
      <c r="DK247" s="1171"/>
      <c r="DL247" s="1160"/>
      <c r="DM247" s="1160"/>
      <c r="DN247" s="1160"/>
      <c r="DO247" s="1160"/>
      <c r="DP247" s="1160"/>
      <c r="DQ247" s="1160"/>
      <c r="DR247" s="1160"/>
      <c r="DS247" s="1160"/>
      <c r="DT247" s="1160"/>
      <c r="DU247" s="1160"/>
      <c r="DV247" s="1160"/>
      <c r="DW247" s="1160"/>
      <c r="DX247" s="1160"/>
      <c r="DY247" s="1160"/>
      <c r="DZ247" s="1160"/>
      <c r="EA247" s="1160"/>
      <c r="EB247" s="1160"/>
    </row>
    <row r="248" spans="1:132" x14ac:dyDescent="0.2">
      <c r="A248" s="1160"/>
      <c r="B248" s="1160"/>
      <c r="C248" s="1160"/>
      <c r="D248" s="1160"/>
      <c r="E248" s="1170"/>
      <c r="F248" s="1170"/>
      <c r="G248" s="1170"/>
      <c r="H248" s="1170"/>
      <c r="I248" s="1170"/>
      <c r="J248" s="1170"/>
      <c r="K248" s="1170"/>
      <c r="L248" s="1170"/>
      <c r="M248" s="1170"/>
      <c r="N248" s="1170"/>
      <c r="O248" s="1170"/>
      <c r="P248" s="1170"/>
      <c r="Q248" s="1170"/>
      <c r="R248" s="1170"/>
      <c r="S248" s="1170"/>
      <c r="T248" s="1170"/>
      <c r="U248" s="1170"/>
      <c r="V248" s="1170"/>
      <c r="W248" s="1170"/>
      <c r="X248" s="1170"/>
      <c r="Y248" s="1170"/>
      <c r="Z248" s="1170"/>
      <c r="AA248" s="1170"/>
      <c r="AB248" s="1170"/>
      <c r="AC248" s="1170"/>
      <c r="AD248" s="1170"/>
      <c r="AE248" s="1170"/>
      <c r="AF248" s="1170"/>
      <c r="AG248" s="1170"/>
      <c r="AH248" s="1170"/>
      <c r="AI248" s="1170"/>
      <c r="AJ248" s="1170" t="s">
        <v>263</v>
      </c>
      <c r="AK248" s="1170"/>
      <c r="AL248" s="1170">
        <f ca="1">AE181*AL253</f>
        <v>0</v>
      </c>
      <c r="AM248" s="1170"/>
      <c r="AN248" s="1170"/>
      <c r="AO248" s="1170"/>
      <c r="AP248" s="1170"/>
      <c r="AQ248" s="1170"/>
      <c r="AR248" s="1170"/>
      <c r="AS248" s="1183" t="s">
        <v>226</v>
      </c>
      <c r="AT248" s="1170"/>
      <c r="AU248" s="1184" t="s">
        <v>522</v>
      </c>
      <c r="AV248" s="1170"/>
      <c r="AW248" s="1170"/>
      <c r="AX248" s="1170"/>
      <c r="AY248" s="1170"/>
      <c r="AZ248" s="1170"/>
      <c r="BA248" s="1170"/>
      <c r="BB248" s="1170" t="s">
        <v>392</v>
      </c>
      <c r="BC248" s="1170"/>
      <c r="BD248" s="1187">
        <f ca="1">(AU250+AY220)*$BD$252</f>
        <v>0</v>
      </c>
      <c r="BE248" s="1170"/>
      <c r="BF248" s="1170"/>
      <c r="BG248" s="1170"/>
      <c r="BH248" s="1170"/>
      <c r="BI248" s="1170"/>
      <c r="BJ248" s="1170"/>
      <c r="BK248" s="1170"/>
      <c r="BL248" s="1186" t="str">
        <f>CokingRefineryCalcs!C913</f>
        <v>H</v>
      </c>
      <c r="BM248" s="1170" t="str">
        <f>CokingRefineryCalcs!D913</f>
        <v>wt%</v>
      </c>
      <c r="BN248" s="1170">
        <f ca="1">CokingRefineryCalcs!F913</f>
        <v>11.000000000000131</v>
      </c>
      <c r="BO248" s="1170"/>
      <c r="BP248" s="1170"/>
      <c r="BQ248" s="1170"/>
      <c r="BR248" s="1170"/>
      <c r="BS248" s="1170"/>
      <c r="BT248" s="1170"/>
      <c r="BU248" s="1170"/>
      <c r="BV248" s="1170"/>
      <c r="BW248" s="1170" t="s">
        <v>485</v>
      </c>
      <c r="BX248" s="1187">
        <f ca="1">'CokingRefinery Detailed Results'!J25+IF(AND($EB$144+$EB$161=0,E51=FALSE),'CokingRefinery Detailed Results'!J30*CokingRefineryCalcs!$U$986,0)</f>
        <v>0</v>
      </c>
      <c r="BY248" s="1187"/>
      <c r="BZ248" s="1170"/>
      <c r="CA248" s="1170"/>
      <c r="CB248" s="1170"/>
      <c r="CC248" s="1170"/>
      <c r="CD248" s="1170"/>
      <c r="CE248" s="1170"/>
      <c r="CF248" s="1170"/>
      <c r="CG248" s="1170"/>
      <c r="CH248" s="1186" t="str">
        <f>CokingRefineryCalcs!C758</f>
        <v xml:space="preserve">API gravity </v>
      </c>
      <c r="CI248" s="1170"/>
      <c r="CJ248" s="1170">
        <f ca="1">CokingRefineryCalcs!I758</f>
        <v>34.970588235482325</v>
      </c>
      <c r="CK248" s="1170"/>
      <c r="CL248" s="1170"/>
      <c r="CM248" s="1170"/>
      <c r="CN248" s="1170"/>
      <c r="CO248" s="1170"/>
      <c r="CP248" s="1170"/>
      <c r="CQ248" s="1170"/>
      <c r="CR248" s="1170"/>
      <c r="CS248" s="1180" t="s">
        <v>1066</v>
      </c>
      <c r="CT248" s="1170"/>
      <c r="CU248" s="1170">
        <f ca="1">IF(CokingRefineryPFD!E47=TRUE,CU249,CU239/(CM180+CU239+CJ254))</f>
        <v>0.72978255558245908</v>
      </c>
      <c r="CV248" s="1170"/>
      <c r="CW248" s="1170"/>
      <c r="CX248" s="1170"/>
      <c r="CY248" s="1160"/>
      <c r="CZ248" s="1160"/>
      <c r="DA248" s="1160"/>
      <c r="DB248" s="1160"/>
      <c r="DC248" s="1160"/>
      <c r="DD248" s="1160"/>
      <c r="DE248" s="1160"/>
      <c r="DF248" s="1160"/>
      <c r="DG248" s="1160"/>
      <c r="DH248" s="1160"/>
      <c r="DI248" s="1160"/>
      <c r="DJ248" s="1160"/>
      <c r="DK248" s="1171"/>
      <c r="DL248" s="1160"/>
      <c r="DM248" s="1160"/>
      <c r="DN248" s="1160"/>
      <c r="DO248" s="1160"/>
      <c r="DP248" s="1160"/>
      <c r="DQ248" s="1160"/>
      <c r="DR248" s="1160"/>
      <c r="DS248" s="1160"/>
      <c r="DT248" s="1160"/>
      <c r="DU248" s="1160"/>
      <c r="DV248" s="1160"/>
      <c r="DW248" s="1160"/>
      <c r="DX248" s="1160"/>
      <c r="DY248" s="1160"/>
      <c r="DZ248" s="1160"/>
      <c r="EA248" s="1160"/>
      <c r="EB248" s="1160"/>
    </row>
    <row r="249" spans="1:132" x14ac:dyDescent="0.2">
      <c r="A249" s="1160"/>
      <c r="B249" s="1160"/>
      <c r="C249" s="1160"/>
      <c r="D249" s="1160"/>
      <c r="E249" s="1170"/>
      <c r="F249" s="1170"/>
      <c r="G249" s="1170"/>
      <c r="H249" s="1170"/>
      <c r="I249" s="1170"/>
      <c r="J249" s="1170"/>
      <c r="K249" s="1170"/>
      <c r="L249" s="1170"/>
      <c r="M249" s="1170"/>
      <c r="N249" s="1170"/>
      <c r="O249" s="1170"/>
      <c r="P249" s="1170"/>
      <c r="Q249" s="1170"/>
      <c r="R249" s="1170"/>
      <c r="S249" s="1170"/>
      <c r="T249" s="1170"/>
      <c r="U249" s="1170"/>
      <c r="V249" s="1170"/>
      <c r="W249" s="1170"/>
      <c r="X249" s="1170"/>
      <c r="Y249" s="1170"/>
      <c r="Z249" s="1170"/>
      <c r="AA249" s="1170"/>
      <c r="AB249" s="1170"/>
      <c r="AC249" s="1170"/>
      <c r="AD249" s="1170"/>
      <c r="AE249" s="1170"/>
      <c r="AF249" s="1170"/>
      <c r="AG249" s="1170"/>
      <c r="AH249" s="1170"/>
      <c r="AI249" s="1170"/>
      <c r="AJ249" s="1170" t="s">
        <v>392</v>
      </c>
      <c r="AK249" s="1170"/>
      <c r="AL249" s="1170">
        <f ca="1">(AE182+AH143)*$AL$253</f>
        <v>0</v>
      </c>
      <c r="AM249" s="1170"/>
      <c r="AN249" s="1170"/>
      <c r="AO249" s="1170"/>
      <c r="AP249" s="1170"/>
      <c r="AQ249" s="1170"/>
      <c r="AR249" s="1170"/>
      <c r="AS249" s="1170" t="s">
        <v>263</v>
      </c>
      <c r="AT249" s="1170"/>
      <c r="AU249" s="1170">
        <f ca="1">AL248*AU254</f>
        <v>0</v>
      </c>
      <c r="AV249" s="1170"/>
      <c r="AW249" s="1170"/>
      <c r="AX249" s="1170"/>
      <c r="AY249" s="1170"/>
      <c r="AZ249" s="1170"/>
      <c r="BA249" s="1170"/>
      <c r="BB249" s="1170" t="s">
        <v>224</v>
      </c>
      <c r="BC249" s="1170"/>
      <c r="BD249" s="1187">
        <f ca="1">(AU251+AY221)*$BD$252</f>
        <v>1.48E-12</v>
      </c>
      <c r="BE249" s="1170"/>
      <c r="BF249" s="1170"/>
      <c r="BG249" s="1170"/>
      <c r="BH249" s="1170"/>
      <c r="BI249" s="1170"/>
      <c r="BJ249" s="1170"/>
      <c r="BK249" s="1170"/>
      <c r="BL249" s="1186" t="str">
        <f>CokingRefineryCalcs!C914</f>
        <v>MCR</v>
      </c>
      <c r="BM249" s="1170" t="str">
        <f>CokingRefineryCalcs!D914</f>
        <v>wt%</v>
      </c>
      <c r="BN249" s="1170">
        <f>CokingRefineryCalcs!F914</f>
        <v>0</v>
      </c>
      <c r="BO249" s="1170"/>
      <c r="BP249" s="1170"/>
      <c r="BQ249" s="1170"/>
      <c r="BR249" s="1170"/>
      <c r="BS249" s="1170"/>
      <c r="BT249" s="1170"/>
      <c r="BU249" s="1170"/>
      <c r="BV249" s="1170"/>
      <c r="BW249" s="1170" t="s">
        <v>541</v>
      </c>
      <c r="BX249" s="1187">
        <f ca="1">'CokingRefinery Detailed Results'!L25+IF(AND($EB$144+$EB$161=0,E51=FALSE),'CokingRefinery Detailed Results'!L30*CokingRefineryCalcs!$U$986,0)</f>
        <v>0</v>
      </c>
      <c r="BY249" s="1187"/>
      <c r="BZ249" s="1170"/>
      <c r="CA249" s="1180" t="str">
        <f>CA235</f>
        <v>Total FCC Liquids</v>
      </c>
      <c r="CB249" s="1170"/>
      <c r="CC249" s="1170"/>
      <c r="CD249" s="1170"/>
      <c r="CE249" s="1170"/>
      <c r="CF249" s="1170"/>
      <c r="CG249" s="1170"/>
      <c r="CH249" s="1186" t="str">
        <f>CokingRefineryCalcs!C759</f>
        <v>Density</v>
      </c>
      <c r="CI249" s="1170" t="str">
        <f ca="1">CokingRefineryCalcs!D759</f>
        <v>kg/m^3</v>
      </c>
      <c r="CJ249" s="1170">
        <f ca="1">CokingRefineryCalcs!I759</f>
        <v>849.99999999903912</v>
      </c>
      <c r="CK249" s="1170"/>
      <c r="CL249" s="1170"/>
      <c r="CM249" s="1170"/>
      <c r="CN249" s="1170"/>
      <c r="CO249" s="1170"/>
      <c r="CP249" s="1170"/>
      <c r="CQ249" s="1170"/>
      <c r="CR249" s="1170"/>
      <c r="CS249" s="1180" t="s">
        <v>1065</v>
      </c>
      <c r="CT249" s="1170"/>
      <c r="CU249" s="1170">
        <f ca="1">CU239/(CM180+CU239+CJ254+CP279)</f>
        <v>0.65135854158465234</v>
      </c>
      <c r="CV249" s="1170"/>
      <c r="CW249" s="1170"/>
      <c r="CX249" s="1170"/>
      <c r="CY249" s="1160"/>
      <c r="CZ249" s="1160"/>
      <c r="DA249" s="1160"/>
      <c r="DB249" s="1160"/>
      <c r="DC249" s="1160"/>
      <c r="DD249" s="1160"/>
      <c r="DE249" s="1160"/>
      <c r="DF249" s="1160"/>
      <c r="DG249" s="1160"/>
      <c r="DH249" s="1160"/>
      <c r="DI249" s="1160"/>
      <c r="DJ249" s="1160"/>
      <c r="DK249" s="1171"/>
      <c r="DL249" s="1160"/>
      <c r="DM249" s="1160"/>
      <c r="DN249" s="1160"/>
      <c r="DO249" s="1160"/>
      <c r="DP249" s="1160"/>
      <c r="DQ249" s="1160"/>
      <c r="DR249" s="1160"/>
      <c r="DS249" s="1160"/>
      <c r="DT249" s="1160"/>
      <c r="DU249" s="1160"/>
      <c r="DV249" s="1160"/>
      <c r="DW249" s="1160"/>
      <c r="DX249" s="1160"/>
      <c r="DY249" s="1160"/>
      <c r="DZ249" s="1160"/>
      <c r="EA249" s="1160"/>
      <c r="EB249" s="1160"/>
    </row>
    <row r="250" spans="1:132" x14ac:dyDescent="0.2">
      <c r="A250" s="1160"/>
      <c r="B250" s="1160"/>
      <c r="C250" s="1160"/>
      <c r="D250" s="1160"/>
      <c r="E250" s="1170"/>
      <c r="F250" s="1170"/>
      <c r="G250" s="1170"/>
      <c r="H250" s="1170"/>
      <c r="I250" s="1170"/>
      <c r="J250" s="1170"/>
      <c r="K250" s="1170"/>
      <c r="L250" s="1170"/>
      <c r="M250" s="1170"/>
      <c r="N250" s="1170"/>
      <c r="O250" s="1170"/>
      <c r="P250" s="1170"/>
      <c r="Q250" s="1170"/>
      <c r="R250" s="1170"/>
      <c r="S250" s="1170"/>
      <c r="T250" s="1170"/>
      <c r="U250" s="1170"/>
      <c r="V250" s="1170"/>
      <c r="W250" s="1170"/>
      <c r="X250" s="1170"/>
      <c r="Y250" s="1170"/>
      <c r="Z250" s="1170"/>
      <c r="AA250" s="1170"/>
      <c r="AB250" s="1170"/>
      <c r="AC250" s="1170"/>
      <c r="AD250" s="1170"/>
      <c r="AE250" s="1170"/>
      <c r="AF250" s="1170"/>
      <c r="AG250" s="1170"/>
      <c r="AH250" s="1170"/>
      <c r="AI250" s="1170"/>
      <c r="AJ250" s="1170" t="s">
        <v>224</v>
      </c>
      <c r="AK250" s="1170"/>
      <c r="AL250" s="1170">
        <f ca="1">(AE183+AH144)*$AL$253</f>
        <v>0</v>
      </c>
      <c r="AM250" s="1170"/>
      <c r="AN250" s="1170"/>
      <c r="AO250" s="1170"/>
      <c r="AP250" s="1170"/>
      <c r="AQ250" s="1170"/>
      <c r="AR250" s="1170"/>
      <c r="AS250" s="1170" t="s">
        <v>392</v>
      </c>
      <c r="AT250" s="1170"/>
      <c r="AU250" s="1170">
        <f ca="1">(AL249+AQ242)*$AU$254</f>
        <v>0</v>
      </c>
      <c r="AV250" s="1170"/>
      <c r="AW250" s="1170"/>
      <c r="AX250" s="1170"/>
      <c r="AY250" s="1170"/>
      <c r="AZ250" s="1170"/>
      <c r="BA250" s="1170"/>
      <c r="BB250" s="1170" t="s">
        <v>485</v>
      </c>
      <c r="BC250" s="1170"/>
      <c r="BD250" s="1187">
        <f ca="1">(AU252+AY222)*$BD$252</f>
        <v>0</v>
      </c>
      <c r="BE250" s="1170"/>
      <c r="BF250" s="1170"/>
      <c r="BG250" s="1170"/>
      <c r="BH250" s="1170"/>
      <c r="BI250" s="1170"/>
      <c r="BJ250" s="1170"/>
      <c r="BK250" s="1170"/>
      <c r="BL250" s="1200" t="s">
        <v>1056</v>
      </c>
      <c r="BM250" s="1199" t="s">
        <v>447</v>
      </c>
      <c r="BN250" s="1199">
        <f ca="1">('Energy &amp; Unit Conversions'!$D$63-('Energy &amp; Unit Conversions'!$E$63*POWER((CokingRefineryPFD!BN247/'Energy &amp; Unit Conversions'!$E$54),2)))</f>
        <v>39.770156729102951</v>
      </c>
      <c r="BO250" s="1170"/>
      <c r="BP250" s="1170"/>
      <c r="BQ250" s="1170"/>
      <c r="BR250" s="1170"/>
      <c r="BS250" s="1170"/>
      <c r="BT250" s="1170"/>
      <c r="BU250" s="1170"/>
      <c r="BV250" s="1170"/>
      <c r="BW250" s="1170" t="s">
        <v>234</v>
      </c>
      <c r="BX250" s="1270">
        <f ca="1">'CokingRefinery Detailed Results'!R25</f>
        <v>4.0704650942312667E-14</v>
      </c>
      <c r="BY250" s="1187"/>
      <c r="BZ250" s="1170"/>
      <c r="CA250" s="1183" t="s">
        <v>226</v>
      </c>
      <c r="CB250" s="1170"/>
      <c r="CC250" s="1184" t="s">
        <v>522</v>
      </c>
      <c r="CD250" s="1170"/>
      <c r="CE250" s="1170"/>
      <c r="CF250" s="1170"/>
      <c r="CG250" s="1170"/>
      <c r="CH250" s="1186" t="str">
        <f>CokingRefineryCalcs!C760</f>
        <v>Hydrogen</v>
      </c>
      <c r="CI250" s="1170" t="str">
        <f ca="1">CokingRefineryCalcs!D760</f>
        <v>wt%</v>
      </c>
      <c r="CJ250" s="1170">
        <f ca="1">CokingRefineryCalcs!I760</f>
        <v>9.8000000000053564</v>
      </c>
      <c r="CK250" s="1170"/>
      <c r="CL250" s="1170"/>
      <c r="CM250" s="1170"/>
      <c r="CN250" s="1170"/>
      <c r="CO250" s="1170"/>
      <c r="CP250" s="1170"/>
      <c r="CQ250" s="1170"/>
      <c r="CR250" s="1170"/>
      <c r="CS250" s="1239" t="s">
        <v>228</v>
      </c>
      <c r="CT250" s="1170"/>
      <c r="CU250" s="1170">
        <f ca="1">CU231/CC239</f>
        <v>0.56039173014128663</v>
      </c>
      <c r="CV250" s="1170"/>
      <c r="CW250" s="1170"/>
      <c r="CX250" s="1170"/>
      <c r="CY250" s="1160"/>
      <c r="CZ250" s="1160"/>
      <c r="DA250" s="1160"/>
      <c r="DB250" s="1160"/>
      <c r="DC250" s="1160"/>
      <c r="DD250" s="1160"/>
      <c r="DE250" s="1160"/>
      <c r="DF250" s="1160"/>
      <c r="DG250" s="1160"/>
      <c r="DH250" s="1160"/>
      <c r="DI250" s="1160"/>
      <c r="DJ250" s="1160"/>
      <c r="DK250" s="1171"/>
      <c r="DL250" s="1160"/>
      <c r="DM250" s="1160"/>
      <c r="DN250" s="1160"/>
      <c r="DO250" s="1160"/>
      <c r="DP250" s="1160"/>
      <c r="DQ250" s="1160"/>
      <c r="DR250" s="1160"/>
      <c r="DS250" s="1160"/>
      <c r="DT250" s="1160"/>
      <c r="DU250" s="1160"/>
      <c r="DV250" s="1160"/>
      <c r="DW250" s="1160"/>
      <c r="DX250" s="1160"/>
      <c r="DY250" s="1160"/>
      <c r="DZ250" s="1160"/>
      <c r="EA250" s="1160"/>
      <c r="EB250" s="1160"/>
    </row>
    <row r="251" spans="1:132" x14ac:dyDescent="0.2">
      <c r="A251" s="1160"/>
      <c r="B251" s="1160"/>
      <c r="C251" s="1160"/>
      <c r="D251" s="1160"/>
      <c r="E251" s="1170"/>
      <c r="F251" s="1170"/>
      <c r="G251" s="1170"/>
      <c r="H251" s="1170"/>
      <c r="I251" s="1170"/>
      <c r="J251" s="1170"/>
      <c r="K251" s="1170"/>
      <c r="L251" s="1170"/>
      <c r="M251" s="1170"/>
      <c r="N251" s="1170"/>
      <c r="O251" s="1170"/>
      <c r="P251" s="1170"/>
      <c r="Q251" s="1170"/>
      <c r="R251" s="1170"/>
      <c r="S251" s="1170"/>
      <c r="T251" s="1170"/>
      <c r="U251" s="1170"/>
      <c r="V251" s="1170"/>
      <c r="W251" s="1170"/>
      <c r="X251" s="1170"/>
      <c r="Y251" s="1170"/>
      <c r="Z251" s="1170"/>
      <c r="AA251" s="1170"/>
      <c r="AB251" s="1170"/>
      <c r="AC251" s="1170"/>
      <c r="AD251" s="1170"/>
      <c r="AE251" s="1170"/>
      <c r="AF251" s="1170"/>
      <c r="AG251" s="1170"/>
      <c r="AH251" s="1170"/>
      <c r="AI251" s="1170"/>
      <c r="AJ251" s="1170" t="s">
        <v>485</v>
      </c>
      <c r="AK251" s="1170"/>
      <c r="AL251" s="1170">
        <f ca="1">(AE184+AH145)*$AL$253</f>
        <v>0</v>
      </c>
      <c r="AM251" s="1170"/>
      <c r="AN251" s="1170"/>
      <c r="AO251" s="1170"/>
      <c r="AP251" s="1170"/>
      <c r="AQ251" s="1170"/>
      <c r="AR251" s="1170"/>
      <c r="AS251" s="1170" t="s">
        <v>224</v>
      </c>
      <c r="AT251" s="1170"/>
      <c r="AU251" s="1170">
        <f ca="1">(AL250+AQ243)*$AU$254</f>
        <v>1.48E-12</v>
      </c>
      <c r="AV251" s="1170"/>
      <c r="AW251" s="1170"/>
      <c r="AX251" s="1170"/>
      <c r="AY251" s="1170"/>
      <c r="AZ251" s="1170"/>
      <c r="BA251" s="1170"/>
      <c r="BB251" s="1170" t="s">
        <v>541</v>
      </c>
      <c r="BC251" s="1170"/>
      <c r="BD251" s="1187">
        <f ca="1">(AU253+AY223)*$BD$252</f>
        <v>0</v>
      </c>
      <c r="BE251" s="1170"/>
      <c r="BF251" s="1170"/>
      <c r="BG251" s="1170"/>
      <c r="BH251" s="1170"/>
      <c r="BI251" s="1170"/>
      <c r="BJ251" s="1170"/>
      <c r="BK251" s="1170"/>
      <c r="BL251" s="1200" t="s">
        <v>1021</v>
      </c>
      <c r="BM251" s="1199" t="s">
        <v>1022</v>
      </c>
      <c r="BN251" s="1246">
        <f>BK274</f>
        <v>85.085002899169922</v>
      </c>
      <c r="BO251" s="1170"/>
      <c r="BP251" s="1170"/>
      <c r="BQ251" s="1170"/>
      <c r="BR251" s="1170"/>
      <c r="BS251" s="1170"/>
      <c r="BT251" s="1170"/>
      <c r="BU251" s="1170"/>
      <c r="BV251" s="1170"/>
      <c r="BW251" s="1170"/>
      <c r="BX251" s="1170"/>
      <c r="BY251" s="1170"/>
      <c r="BZ251" s="1170"/>
      <c r="CA251" s="1170" t="s">
        <v>263</v>
      </c>
      <c r="CB251" s="1170"/>
      <c r="CC251" s="1187">
        <f ca="1">CC216*$CC$257</f>
        <v>0</v>
      </c>
      <c r="CD251" s="1170"/>
      <c r="CE251" s="1170"/>
      <c r="CF251" s="1170"/>
      <c r="CG251" s="1170"/>
      <c r="CH251" s="1186" t="str">
        <f>CokingRefineryCalcs!C761</f>
        <v>MCR</v>
      </c>
      <c r="CI251" s="1170" t="str">
        <f ca="1">CokingRefineryCalcs!D761</f>
        <v>wt%</v>
      </c>
      <c r="CJ251" s="1170">
        <f>CokingRefineryCalcs!I761</f>
        <v>0</v>
      </c>
      <c r="CK251" s="1170"/>
      <c r="CL251" s="1170"/>
      <c r="CM251" s="1170"/>
      <c r="CN251" s="1170"/>
      <c r="CO251" s="1170"/>
      <c r="CP251" s="1170"/>
      <c r="CQ251" s="1170"/>
      <c r="CR251" s="1170"/>
      <c r="CS251" s="1170"/>
      <c r="CT251" s="1170"/>
      <c r="CU251" s="1170"/>
      <c r="CV251" s="1170"/>
      <c r="CW251" s="1170"/>
      <c r="CX251" s="1170"/>
      <c r="CY251" s="1160"/>
      <c r="CZ251" s="1160"/>
      <c r="DA251" s="1160"/>
      <c r="DB251" s="1160"/>
      <c r="DC251" s="1160"/>
      <c r="DD251" s="1160"/>
      <c r="DE251" s="1160"/>
      <c r="DF251" s="1160"/>
      <c r="DG251" s="1160"/>
      <c r="DH251" s="1160"/>
      <c r="DI251" s="1160"/>
      <c r="DJ251" s="1160"/>
      <c r="DK251" s="1171"/>
      <c r="DL251" s="1160"/>
      <c r="DM251" s="1160"/>
      <c r="DN251" s="1160"/>
      <c r="DO251" s="1160"/>
      <c r="DP251" s="1160"/>
      <c r="DQ251" s="1160"/>
      <c r="DR251" s="1160"/>
      <c r="DS251" s="1160"/>
      <c r="DT251" s="1160"/>
      <c r="DU251" s="1160"/>
      <c r="DV251" s="1160"/>
      <c r="DW251" s="1160"/>
      <c r="DX251" s="1160"/>
      <c r="DY251" s="1160"/>
      <c r="DZ251" s="1160"/>
      <c r="EA251" s="1160"/>
      <c r="EB251" s="1160"/>
    </row>
    <row r="252" spans="1:132" x14ac:dyDescent="0.2">
      <c r="A252" s="1160"/>
      <c r="B252" s="1160"/>
      <c r="C252" s="1160"/>
      <c r="D252" s="1160"/>
      <c r="E252" s="1170"/>
      <c r="F252" s="1170"/>
      <c r="G252" s="1170"/>
      <c r="H252" s="1170"/>
      <c r="I252" s="1170"/>
      <c r="J252" s="1170"/>
      <c r="K252" s="1170"/>
      <c r="L252" s="1170"/>
      <c r="M252" s="1170"/>
      <c r="N252" s="1170"/>
      <c r="O252" s="1170"/>
      <c r="P252" s="1170"/>
      <c r="Q252" s="1170"/>
      <c r="R252" s="1170"/>
      <c r="S252" s="1170"/>
      <c r="T252" s="1170"/>
      <c r="U252" s="1170"/>
      <c r="V252" s="1170"/>
      <c r="W252" s="1170"/>
      <c r="X252" s="1170"/>
      <c r="Y252" s="1170"/>
      <c r="Z252" s="1170"/>
      <c r="AA252" s="1170"/>
      <c r="AB252" s="1170"/>
      <c r="AC252" s="1170"/>
      <c r="AD252" s="1170"/>
      <c r="AE252" s="1170"/>
      <c r="AF252" s="1983">
        <f ca="1">69505371.8842107+DG276</f>
        <v>69505371.884210706</v>
      </c>
      <c r="AG252" s="1170"/>
      <c r="AH252" s="1170"/>
      <c r="AI252" s="1170"/>
      <c r="AJ252" s="1170" t="s">
        <v>541</v>
      </c>
      <c r="AK252" s="1170"/>
      <c r="AL252" s="1170">
        <f ca="1">(AE185+AH146)*$AL$253</f>
        <v>0</v>
      </c>
      <c r="AM252" s="1170"/>
      <c r="AN252" s="1170"/>
      <c r="AO252" s="1170"/>
      <c r="AP252" s="1170"/>
      <c r="AQ252" s="1170"/>
      <c r="AR252" s="1170"/>
      <c r="AS252" s="1170" t="s">
        <v>485</v>
      </c>
      <c r="AT252" s="1170"/>
      <c r="AU252" s="1170">
        <f ca="1">(AL251+AQ244)*$AU$254</f>
        <v>0</v>
      </c>
      <c r="AV252" s="1170"/>
      <c r="AW252" s="1170"/>
      <c r="AX252" s="1170"/>
      <c r="AY252" s="1170"/>
      <c r="AZ252" s="1170"/>
      <c r="BA252" s="1170"/>
      <c r="BB252" s="1180" t="s">
        <v>1066</v>
      </c>
      <c r="BC252" s="1170"/>
      <c r="BD252" s="1170">
        <f ca="1">IF(AND(CokingRefineryPFD!E48=TRUE,CokingRefineryPFD!E50=TRUE),BD253,IF(CokingRefineryPFD!E48=TRUE,BD255,IF(CokingRefineryPFD!E50=TRUE,BD256,1)))</f>
        <v>1</v>
      </c>
      <c r="BE252" s="1170"/>
      <c r="BF252" s="1170"/>
      <c r="BG252" s="1170"/>
      <c r="BH252" s="1170"/>
      <c r="BI252" s="1170"/>
      <c r="BJ252" s="1170"/>
      <c r="BK252" s="1170"/>
      <c r="BL252" s="1204" t="s">
        <v>1054</v>
      </c>
      <c r="BM252" s="1204" t="str">
        <f>IF(allocationMethod=1,$C$21,IF(allocationMethod=2,$C$22,IF(allocationMethod=3,$C$23,$C$24)))</f>
        <v>Hydrogen Content Basis</v>
      </c>
      <c r="BN252" s="1204">
        <f ca="1">IF(allocationMethod=1,BN244,IF(allocationMethod=2,BN250*BN244,IF(allocationMethod=3,BN251*BN242,BN248*BN244/100)))</f>
        <v>6.4153762708248936E-28</v>
      </c>
      <c r="BO252" s="1170"/>
      <c r="BP252" s="1170"/>
      <c r="BQ252" s="1170"/>
      <c r="BR252" s="1170"/>
      <c r="BS252" s="1170"/>
      <c r="BT252" s="1170"/>
      <c r="BU252" s="1170"/>
      <c r="BV252" s="1170"/>
      <c r="BW252" s="1170"/>
      <c r="BX252" s="1170"/>
      <c r="BY252" s="1170"/>
      <c r="BZ252" s="1170"/>
      <c r="CA252" s="1170" t="s">
        <v>392</v>
      </c>
      <c r="CB252" s="1170"/>
      <c r="CC252" s="1187">
        <f ca="1">(CC217+BX246)*$CC$257</f>
        <v>0</v>
      </c>
      <c r="CD252" s="1170"/>
      <c r="CE252" s="1170"/>
      <c r="CF252" s="1170"/>
      <c r="CG252" s="1170"/>
      <c r="CH252" s="1200" t="s">
        <v>1056</v>
      </c>
      <c r="CI252" s="1199" t="s">
        <v>447</v>
      </c>
      <c r="CJ252" s="1199">
        <f ca="1">('Energy &amp; Unit Conversions'!$D$63-('Energy &amp; Unit Conversions'!$E$63*POWER((CokingRefineryPFD!CJ249/'Energy &amp; Unit Conversions'!$E$54),2)))</f>
        <v>40.959459648845097</v>
      </c>
      <c r="CK252" s="1170"/>
      <c r="CL252" s="1170"/>
      <c r="CM252" s="1170"/>
      <c r="CN252" s="1170"/>
      <c r="CO252" s="1170"/>
      <c r="CP252" s="1170"/>
      <c r="CQ252" s="1170"/>
      <c r="CR252" s="1170"/>
      <c r="CS252" s="1170"/>
      <c r="CT252" s="1170"/>
      <c r="CU252" s="1170"/>
      <c r="CV252" s="1170"/>
      <c r="CW252" s="1170"/>
      <c r="CX252" s="1170"/>
      <c r="CY252" s="1160"/>
      <c r="CZ252" s="1160"/>
      <c r="DA252" s="1160"/>
      <c r="DB252" s="1160"/>
      <c r="DC252" s="1160"/>
      <c r="DD252" s="1160"/>
      <c r="DE252" s="1160"/>
      <c r="DF252" s="1160"/>
      <c r="DG252" s="1160"/>
      <c r="DH252" s="1160"/>
      <c r="DI252" s="1160"/>
      <c r="DJ252" s="1160"/>
      <c r="DK252" s="1171"/>
      <c r="DL252" s="1160"/>
      <c r="DM252" s="1160"/>
      <c r="DN252" s="1160"/>
      <c r="DO252" s="1160"/>
      <c r="DP252" s="1160"/>
      <c r="DQ252" s="1160"/>
      <c r="DR252" s="1160"/>
      <c r="DS252" s="1160"/>
      <c r="DT252" s="1160"/>
      <c r="DU252" s="1160"/>
      <c r="DV252" s="1160"/>
      <c r="DW252" s="1160"/>
      <c r="DX252" s="1160"/>
      <c r="DY252" s="1160"/>
      <c r="DZ252" s="1160"/>
      <c r="EA252" s="1160"/>
      <c r="EB252" s="1160"/>
    </row>
    <row r="253" spans="1:132" x14ac:dyDescent="0.2">
      <c r="A253" s="1160"/>
      <c r="B253" s="1160"/>
      <c r="C253" s="1160"/>
      <c r="D253" s="1160"/>
      <c r="E253" s="1170"/>
      <c r="F253" s="1170"/>
      <c r="G253" s="1170"/>
      <c r="H253" s="1170"/>
      <c r="I253" s="1170"/>
      <c r="J253" s="1170"/>
      <c r="K253" s="1170"/>
      <c r="L253" s="1170"/>
      <c r="M253" s="1170"/>
      <c r="N253" s="1170"/>
      <c r="O253" s="1170"/>
      <c r="P253" s="1170"/>
      <c r="Q253" s="1170"/>
      <c r="R253" s="1170"/>
      <c r="S253" s="1170"/>
      <c r="T253" s="1170"/>
      <c r="U253" s="1170"/>
      <c r="V253" s="1170"/>
      <c r="W253" s="1170"/>
      <c r="X253" s="1170"/>
      <c r="Y253" s="1170"/>
      <c r="Z253" s="1170"/>
      <c r="AA253" s="1170"/>
      <c r="AB253" s="1170"/>
      <c r="AC253" s="1170"/>
      <c r="AD253" s="1170"/>
      <c r="AE253" s="1170"/>
      <c r="AF253" s="1170"/>
      <c r="AG253" s="1170"/>
      <c r="AH253" s="1170"/>
      <c r="AI253" s="1170"/>
      <c r="AJ253" s="1180" t="s">
        <v>1065</v>
      </c>
      <c r="AK253" s="1170"/>
      <c r="AL253" s="1271">
        <f ca="1">IF((AM144+AM181+AL245)=0,0,AL245/(AM144+AM181+AL245+DD286+AN293))</f>
        <v>0</v>
      </c>
      <c r="AM253" s="1170"/>
      <c r="AN253" s="1170"/>
      <c r="AO253" s="1170"/>
      <c r="AP253" s="1170"/>
      <c r="AQ253" s="1170"/>
      <c r="AR253" s="1170"/>
      <c r="AS253" s="1170" t="s">
        <v>541</v>
      </c>
      <c r="AT253" s="1170"/>
      <c r="AU253" s="1170">
        <f ca="1">(AL252+AQ245)*$AU$254</f>
        <v>0</v>
      </c>
      <c r="AV253" s="1170"/>
      <c r="AW253" s="1170"/>
      <c r="AX253" s="1170"/>
      <c r="AY253" s="1170"/>
      <c r="AZ253" s="1170"/>
      <c r="BA253" s="1170"/>
      <c r="BB253" s="1232" t="s">
        <v>1065</v>
      </c>
      <c r="BC253" s="1170"/>
      <c r="BD253" s="1272">
        <f ca="1">BD243/(AX213+BD243+BD314)</f>
        <v>0.89152147195634968</v>
      </c>
      <c r="BE253" s="1170"/>
      <c r="BF253" s="1170"/>
      <c r="BG253" s="1170"/>
      <c r="BH253" s="1170"/>
      <c r="BI253" s="1170"/>
      <c r="BJ253" s="1170"/>
      <c r="BK253" s="1170"/>
      <c r="BL253" s="1180" t="str">
        <f>BL240</f>
        <v>CGO To Gas Oil HC</v>
      </c>
      <c r="BM253" s="1170"/>
      <c r="BN253" s="1170"/>
      <c r="BO253" s="1170"/>
      <c r="BP253" s="1170"/>
      <c r="BQ253" s="1170"/>
      <c r="BR253" s="1170"/>
      <c r="BS253" s="1170"/>
      <c r="BT253" s="1170"/>
      <c r="BU253" s="1170"/>
      <c r="BV253" s="1170"/>
      <c r="BW253" s="1170"/>
      <c r="BX253" s="1170"/>
      <c r="BY253" s="1170"/>
      <c r="BZ253" s="1170"/>
      <c r="CA253" s="1170" t="s">
        <v>224</v>
      </c>
      <c r="CB253" s="1170"/>
      <c r="CC253" s="1187">
        <f ca="1">(CC218+BX247)*$CC$257</f>
        <v>3.2806718107890066E-12</v>
      </c>
      <c r="CD253" s="1170"/>
      <c r="CE253" s="1170"/>
      <c r="CF253" s="1170"/>
      <c r="CG253" s="1170"/>
      <c r="CH253" s="1200" t="s">
        <v>1021</v>
      </c>
      <c r="CI253" s="1199" t="s">
        <v>1022</v>
      </c>
      <c r="CJ253" s="1199">
        <f>Constants!G352</f>
        <v>83.939994812011719</v>
      </c>
      <c r="CK253" s="1170"/>
      <c r="CL253" s="1170"/>
      <c r="CM253" s="1170"/>
      <c r="CN253" s="1170"/>
      <c r="CO253" s="1170"/>
      <c r="CP253" s="1170"/>
      <c r="CQ253" s="1170"/>
      <c r="CR253" s="1170"/>
      <c r="CS253" s="1170"/>
      <c r="CT253" s="1170"/>
      <c r="CU253" s="1170"/>
      <c r="CV253" s="1170"/>
      <c r="CW253" s="1170"/>
      <c r="CX253" s="1170"/>
      <c r="CY253" s="1160"/>
      <c r="CZ253" s="1160"/>
      <c r="DA253" s="1160"/>
      <c r="DB253" s="1160"/>
      <c r="DC253" s="1160"/>
      <c r="DD253" s="1160"/>
      <c r="DE253" s="1160"/>
      <c r="DF253" s="1160"/>
      <c r="DG253" s="1160"/>
      <c r="DH253" s="1160"/>
      <c r="DI253" s="1160"/>
      <c r="DJ253" s="1160"/>
      <c r="DK253" s="1171"/>
      <c r="DL253" s="1160"/>
      <c r="DM253" s="1160"/>
      <c r="DN253" s="1160"/>
      <c r="DO253" s="1160"/>
      <c r="DP253" s="1160"/>
      <c r="DQ253" s="1160"/>
      <c r="DR253" s="1160"/>
      <c r="DS253" s="1160"/>
      <c r="DT253" s="1160"/>
      <c r="DU253" s="1160"/>
      <c r="DV253" s="1160"/>
      <c r="DW253" s="1160"/>
      <c r="DX253" s="1160"/>
      <c r="DY253" s="1160"/>
      <c r="DZ253" s="1160"/>
      <c r="EA253" s="1160"/>
      <c r="EB253" s="1160"/>
    </row>
    <row r="254" spans="1:132" x14ac:dyDescent="0.2">
      <c r="A254" s="1160"/>
      <c r="B254" s="1160"/>
      <c r="C254" s="1160"/>
      <c r="D254" s="1160"/>
      <c r="E254" s="1170"/>
      <c r="F254" s="1170"/>
      <c r="G254" s="1170"/>
      <c r="H254" s="1170"/>
      <c r="I254" s="1170"/>
      <c r="J254" s="1170"/>
      <c r="K254" s="1170"/>
      <c r="L254" s="1170"/>
      <c r="M254" s="1170"/>
      <c r="N254" s="1170"/>
      <c r="O254" s="1170"/>
      <c r="P254" s="1170"/>
      <c r="Q254" s="1170"/>
      <c r="R254" s="1170"/>
      <c r="S254" s="1170"/>
      <c r="T254" s="1170"/>
      <c r="U254" s="1170"/>
      <c r="V254" s="1170"/>
      <c r="W254" s="1170"/>
      <c r="X254" s="1170"/>
      <c r="Y254" s="1170"/>
      <c r="Z254" s="1170"/>
      <c r="AA254" s="1170"/>
      <c r="AB254" s="1170"/>
      <c r="AC254" s="1170"/>
      <c r="AD254" s="1170"/>
      <c r="AE254" s="1170"/>
      <c r="AF254" s="1170"/>
      <c r="AG254" s="1170"/>
      <c r="AH254" s="1170"/>
      <c r="AI254" s="1170"/>
      <c r="AJ254" s="1197" t="s">
        <v>228</v>
      </c>
      <c r="AK254" s="1170"/>
      <c r="AL254" s="1196">
        <f ca="1">AL237/AE169</f>
        <v>1</v>
      </c>
      <c r="AM254" s="1170"/>
      <c r="AN254" s="1170"/>
      <c r="AO254" s="1170"/>
      <c r="AP254" s="1170"/>
      <c r="AQ254" s="1170"/>
      <c r="AR254" s="1170"/>
      <c r="AS254" s="1180" t="s">
        <v>1065</v>
      </c>
      <c r="AT254" s="1170"/>
      <c r="AU254" s="1170">
        <v>1</v>
      </c>
      <c r="AV254" s="1170"/>
      <c r="AW254" s="1170"/>
      <c r="AX254" s="1170"/>
      <c r="AY254" s="1170"/>
      <c r="AZ254" s="1170"/>
      <c r="BA254" s="1170"/>
      <c r="BB254" s="1273" t="s">
        <v>228</v>
      </c>
      <c r="BC254" s="1170"/>
      <c r="BD254" s="1236">
        <f ca="1">BD235/AU238</f>
        <v>0.73324022373666575</v>
      </c>
      <c r="BE254" s="1170"/>
      <c r="BF254" s="1170"/>
      <c r="BG254" s="1170"/>
      <c r="BH254" s="1170"/>
      <c r="BI254" s="1170"/>
      <c r="BJ254" s="1170"/>
      <c r="BK254" s="1170"/>
      <c r="BL254" s="1183" t="s">
        <v>226</v>
      </c>
      <c r="BM254" s="1170"/>
      <c r="BN254" s="1184" t="s">
        <v>522</v>
      </c>
      <c r="BO254" s="1170"/>
      <c r="BP254" s="1170"/>
      <c r="BQ254" s="1170"/>
      <c r="BR254" s="1170"/>
      <c r="BS254" s="1170"/>
      <c r="BT254" s="1170"/>
      <c r="BU254" s="1170"/>
      <c r="BV254" s="1170"/>
      <c r="BW254" s="1170"/>
      <c r="BX254" s="1170"/>
      <c r="BY254" s="1170"/>
      <c r="BZ254" s="1170"/>
      <c r="CA254" s="1170" t="s">
        <v>485</v>
      </c>
      <c r="CB254" s="1170"/>
      <c r="CC254" s="1187">
        <f ca="1">(CC219+BX248)*$CC$257</f>
        <v>1.777866602441898E-13</v>
      </c>
      <c r="CD254" s="1170"/>
      <c r="CE254" s="1170"/>
      <c r="CF254" s="1170"/>
      <c r="CG254" s="1170"/>
      <c r="CH254" s="1204" t="s">
        <v>1054</v>
      </c>
      <c r="CI254" s="1204" t="str">
        <f>IF(allocationMethod=1,$C$21,IF(allocationMethod=2,$C$22,IF(allocationMethod=3,$C$23,$C$24)))</f>
        <v>Hydrogen Content Basis</v>
      </c>
      <c r="CJ254" s="1204">
        <f ca="1">IF(allocationMethod=1,CJ246,IF(allocationMethod=2,CJ252*CJ246,IF(allocationMethod=3,CJ253*CJ244,CJ250*CJ246/100)))</f>
        <v>5.6332456095071033E-16</v>
      </c>
      <c r="CK254" s="1170"/>
      <c r="CL254" s="1170"/>
      <c r="CM254" s="1170"/>
      <c r="CN254" s="1170"/>
      <c r="CO254" s="1170"/>
      <c r="CP254" s="1170"/>
      <c r="CQ254" s="1170"/>
      <c r="CR254" s="1170"/>
      <c r="CS254" s="1170"/>
      <c r="CT254" s="1170"/>
      <c r="CU254" s="1170"/>
      <c r="CV254" s="1170"/>
      <c r="CW254" s="1170"/>
      <c r="CX254" s="1170"/>
      <c r="CY254" s="1160"/>
      <c r="CZ254" s="1160"/>
      <c r="DA254" s="1160"/>
      <c r="DB254" s="1160"/>
      <c r="DC254" s="1160"/>
      <c r="DD254" s="1160"/>
      <c r="DE254" s="1160"/>
      <c r="DF254" s="1160"/>
      <c r="DG254" s="1160"/>
      <c r="DH254" s="1160"/>
      <c r="DI254" s="1160"/>
      <c r="DJ254" s="1160"/>
      <c r="DK254" s="1171"/>
      <c r="DL254" s="1160"/>
      <c r="DM254" s="1160"/>
      <c r="DN254" s="1160"/>
      <c r="DO254" s="1160"/>
      <c r="DP254" s="1160"/>
      <c r="DQ254" s="1160"/>
      <c r="DR254" s="1160"/>
      <c r="DS254" s="1160"/>
      <c r="DT254" s="1160"/>
      <c r="DU254" s="1160"/>
      <c r="DV254" s="1160"/>
      <c r="DW254" s="1160"/>
      <c r="DX254" s="1160"/>
      <c r="DY254" s="1160"/>
      <c r="DZ254" s="1160"/>
      <c r="EA254" s="1160"/>
      <c r="EB254" s="1160"/>
    </row>
    <row r="255" spans="1:132" x14ac:dyDescent="0.2">
      <c r="A255" s="1160"/>
      <c r="B255" s="1160"/>
      <c r="C255" s="1160"/>
      <c r="D255" s="1160"/>
      <c r="E255" s="1170"/>
      <c r="F255" s="1170"/>
      <c r="G255" s="1170"/>
      <c r="H255" s="1170"/>
      <c r="I255" s="1170"/>
      <c r="J255" s="1170"/>
      <c r="K255" s="1170"/>
      <c r="L255" s="1170"/>
      <c r="M255" s="1170"/>
      <c r="N255" s="1170"/>
      <c r="O255" s="1170"/>
      <c r="P255" s="1170"/>
      <c r="Q255" s="1170"/>
      <c r="R255" s="1170"/>
      <c r="S255" s="1170"/>
      <c r="T255" s="1170"/>
      <c r="U255" s="1170"/>
      <c r="V255" s="1170"/>
      <c r="W255" s="1170"/>
      <c r="X255" s="1170"/>
      <c r="Y255" s="1170"/>
      <c r="Z255" s="1170"/>
      <c r="AA255" s="1170"/>
      <c r="AB255" s="1170"/>
      <c r="AC255" s="1170"/>
      <c r="AD255" s="1170"/>
      <c r="AE255" s="1170"/>
      <c r="AF255" s="1170"/>
      <c r="AG255" s="1170"/>
      <c r="AH255" s="1170"/>
      <c r="AI255" s="1170"/>
      <c r="AJ255" s="1170"/>
      <c r="AK255" s="1170"/>
      <c r="AL255" s="1170"/>
      <c r="AM255" s="1170"/>
      <c r="AN255" s="1170"/>
      <c r="AO255" s="1170"/>
      <c r="AP255" s="1170"/>
      <c r="AQ255" s="1170"/>
      <c r="AR255" s="1170"/>
      <c r="AS255" s="1170"/>
      <c r="AT255" s="1170"/>
      <c r="AU255" s="1170"/>
      <c r="AV255" s="1170"/>
      <c r="AW255" s="1170"/>
      <c r="AX255" s="1170"/>
      <c r="AY255" s="1170"/>
      <c r="AZ255" s="1170"/>
      <c r="BA255" s="1170"/>
      <c r="BB255" s="1235" t="s">
        <v>1067</v>
      </c>
      <c r="BC255" s="1170"/>
      <c r="BD255" s="1236">
        <f ca="1">BD243/(BD243+BD314)</f>
        <v>0.89152147195634968</v>
      </c>
      <c r="BE255" s="1170"/>
      <c r="BF255" s="1170"/>
      <c r="BG255" s="1170"/>
      <c r="BH255" s="1170"/>
      <c r="BI255" s="1170"/>
      <c r="BJ255" s="1170"/>
      <c r="BK255" s="1170"/>
      <c r="BL255" s="1170" t="s">
        <v>263</v>
      </c>
      <c r="BM255" s="1170"/>
      <c r="BN255" s="1187">
        <f ca="1">BK278*$BN$260</f>
        <v>0</v>
      </c>
      <c r="BO255" s="1170"/>
      <c r="BP255" s="1170"/>
      <c r="BQ255" s="1170"/>
      <c r="BR255" s="1170"/>
      <c r="BS255" s="1170"/>
      <c r="BT255" s="1170"/>
      <c r="BU255" s="1170"/>
      <c r="BV255" s="1170"/>
      <c r="BW255" s="1170"/>
      <c r="BX255" s="1170"/>
      <c r="BY255" s="1170"/>
      <c r="BZ255" s="1170"/>
      <c r="CA255" s="1170" t="s">
        <v>541</v>
      </c>
      <c r="CB255" s="1170"/>
      <c r="CC255" s="1187">
        <f ca="1">(CC220+BX249)*$CC$257</f>
        <v>0</v>
      </c>
      <c r="CD255" s="1170"/>
      <c r="CE255" s="1170"/>
      <c r="CF255" s="1170"/>
      <c r="CG255" s="1170"/>
      <c r="CH255" s="1170"/>
      <c r="CI255" s="1170"/>
      <c r="CJ255" s="1170"/>
      <c r="CK255" s="1170"/>
      <c r="CL255" s="1170"/>
      <c r="CM255" s="1170"/>
      <c r="CN255" s="1170"/>
      <c r="CO255" s="1170"/>
      <c r="CP255" s="1170"/>
      <c r="CQ255" s="1170"/>
      <c r="CR255" s="1170"/>
      <c r="CS255" s="1170"/>
      <c r="CT255" s="1170"/>
      <c r="CU255" s="1170"/>
      <c r="CV255" s="1170"/>
      <c r="CW255" s="1170"/>
      <c r="CX255" s="1170"/>
      <c r="CY255" s="1160"/>
      <c r="CZ255" s="1160"/>
      <c r="DA255" s="1160"/>
      <c r="DB255" s="1160"/>
      <c r="DC255" s="1160"/>
      <c r="DD255" s="1160"/>
      <c r="DE255" s="1160"/>
      <c r="DF255" s="1160"/>
      <c r="DG255" s="1160"/>
      <c r="DH255" s="1160"/>
      <c r="DI255" s="1160"/>
      <c r="DJ255" s="1160"/>
      <c r="DK255" s="1171"/>
      <c r="DL255" s="1160"/>
      <c r="DM255" s="1160"/>
      <c r="DN255" s="1160"/>
      <c r="DO255" s="1160"/>
      <c r="DP255" s="1160"/>
      <c r="DQ255" s="1160"/>
      <c r="DR255" s="1160"/>
      <c r="DS255" s="1160"/>
      <c r="DT255" s="1160"/>
      <c r="DU255" s="1160"/>
      <c r="DV255" s="1160"/>
      <c r="DW255" s="1160"/>
      <c r="DX255" s="1160"/>
      <c r="DY255" s="1160"/>
      <c r="DZ255" s="1160"/>
      <c r="EA255" s="1160"/>
      <c r="EB255" s="1160"/>
    </row>
    <row r="256" spans="1:132" x14ac:dyDescent="0.2">
      <c r="A256" s="1160"/>
      <c r="B256" s="1160"/>
      <c r="C256" s="1160"/>
      <c r="D256" s="1160"/>
      <c r="E256" s="1170"/>
      <c r="F256" s="1170"/>
      <c r="G256" s="1170"/>
      <c r="H256" s="1170"/>
      <c r="I256" s="1170"/>
      <c r="J256" s="1170"/>
      <c r="K256" s="1170"/>
      <c r="L256" s="1170"/>
      <c r="M256" s="1170"/>
      <c r="N256" s="1170"/>
      <c r="O256" s="1170"/>
      <c r="P256" s="1170"/>
      <c r="Q256" s="1170"/>
      <c r="R256" s="1170"/>
      <c r="S256" s="1170"/>
      <c r="T256" s="1170"/>
      <c r="U256" s="1170"/>
      <c r="V256" s="1170"/>
      <c r="W256" s="1170"/>
      <c r="X256" s="1170"/>
      <c r="Y256" s="1170"/>
      <c r="Z256" s="1170"/>
      <c r="AA256" s="1170"/>
      <c r="AB256" s="1981"/>
      <c r="AC256" s="1981"/>
      <c r="AD256" s="1170"/>
      <c r="AE256" s="1170"/>
      <c r="AF256" s="1170"/>
      <c r="AG256" s="1170"/>
      <c r="AH256" s="1170"/>
      <c r="AI256" s="1170"/>
      <c r="AJ256" s="1170"/>
      <c r="AK256" s="1170"/>
      <c r="AL256" s="1170"/>
      <c r="AM256" s="1170"/>
      <c r="AN256" s="1170"/>
      <c r="AO256" s="1170"/>
      <c r="AP256" s="1170"/>
      <c r="AQ256" s="1170"/>
      <c r="AR256" s="1170"/>
      <c r="AS256" s="1170"/>
      <c r="AT256" s="1170"/>
      <c r="AU256" s="1170"/>
      <c r="AV256" s="1170"/>
      <c r="AW256" s="1170"/>
      <c r="AX256" s="1170"/>
      <c r="AY256" s="1170"/>
      <c r="AZ256" s="1170"/>
      <c r="BA256" s="1170"/>
      <c r="BB256" s="1237" t="s">
        <v>1702</v>
      </c>
      <c r="BC256" s="1170"/>
      <c r="BD256" s="1238">
        <f ca="1">BD243/(AX213+BD243)</f>
        <v>1</v>
      </c>
      <c r="BE256" s="1170"/>
      <c r="BF256" s="1170"/>
      <c r="BG256" s="1170"/>
      <c r="BH256" s="1170"/>
      <c r="BI256" s="1170"/>
      <c r="BJ256" s="1170"/>
      <c r="BK256" s="1170"/>
      <c r="BL256" s="1170" t="s">
        <v>392</v>
      </c>
      <c r="BM256" s="1170"/>
      <c r="BN256" s="1187">
        <f ca="1">BK279*$BN$260</f>
        <v>0</v>
      </c>
      <c r="BO256" s="1170"/>
      <c r="BP256" s="1170"/>
      <c r="BQ256" s="1170"/>
      <c r="BR256" s="1170"/>
      <c r="BS256" s="1170"/>
      <c r="BT256" s="1170"/>
      <c r="BU256" s="1170"/>
      <c r="BV256" s="1170"/>
      <c r="BW256" s="1170"/>
      <c r="BX256" s="1170"/>
      <c r="BY256" s="1170"/>
      <c r="BZ256" s="1170"/>
      <c r="CA256" s="1170" t="str">
        <f>BW250</f>
        <v>Catalyst Coke</v>
      </c>
      <c r="CB256" s="1170"/>
      <c r="CC256" s="1187">
        <f ca="1">BX250*CC257</f>
        <v>4.0704650942312667E-14</v>
      </c>
      <c r="CD256" s="1170"/>
      <c r="CE256" s="1170"/>
      <c r="CF256" s="1170"/>
      <c r="CG256" s="1170"/>
      <c r="CH256" s="1170"/>
      <c r="CI256" s="1170"/>
      <c r="CJ256" s="1170"/>
      <c r="CK256" s="1170"/>
      <c r="CL256" s="1170"/>
      <c r="CM256" s="1170"/>
      <c r="CN256" s="1170"/>
      <c r="CO256" s="1170"/>
      <c r="CP256" s="1170"/>
      <c r="CQ256" s="1170"/>
      <c r="CR256" s="1170"/>
      <c r="CS256" s="1170"/>
      <c r="CT256" s="1170"/>
      <c r="CU256" s="1170"/>
      <c r="CV256" s="1170"/>
      <c r="CW256" s="1170"/>
      <c r="CX256" s="1170"/>
      <c r="CY256" s="1160"/>
      <c r="CZ256" s="1160"/>
      <c r="DA256" s="1160"/>
      <c r="DB256" s="1160"/>
      <c r="DC256" s="1160"/>
      <c r="DD256" s="1160"/>
      <c r="DE256" s="1160"/>
      <c r="DF256" s="1160"/>
      <c r="DG256" s="1160"/>
      <c r="DH256" s="1160"/>
      <c r="DI256" s="1160"/>
      <c r="DJ256" s="1160"/>
      <c r="DK256" s="1171"/>
      <c r="DL256" s="1160"/>
      <c r="DM256" s="1160"/>
      <c r="DN256" s="1160"/>
      <c r="DO256" s="1160"/>
      <c r="DP256" s="1160"/>
      <c r="DQ256" s="1160"/>
      <c r="DR256" s="1160"/>
      <c r="DS256" s="1160"/>
      <c r="DT256" s="1160"/>
      <c r="DU256" s="1160"/>
      <c r="DV256" s="1160"/>
      <c r="DW256" s="1160"/>
      <c r="DX256" s="1160"/>
      <c r="DY256" s="1160"/>
      <c r="DZ256" s="1160"/>
      <c r="EA256" s="1160"/>
      <c r="EB256" s="1160"/>
    </row>
    <row r="257" spans="1:132" x14ac:dyDescent="0.2">
      <c r="A257" s="1160"/>
      <c r="B257" s="1160"/>
      <c r="C257" s="1160"/>
      <c r="D257" s="1160"/>
      <c r="E257" s="1170"/>
      <c r="F257" s="1170"/>
      <c r="G257" s="1170"/>
      <c r="H257" s="1170"/>
      <c r="I257" s="1170"/>
      <c r="J257" s="1170"/>
      <c r="K257" s="1170"/>
      <c r="L257" s="1170"/>
      <c r="M257" s="1170"/>
      <c r="N257" s="1170"/>
      <c r="O257" s="1170"/>
      <c r="P257" s="1170"/>
      <c r="Q257" s="1170"/>
      <c r="R257" s="1170"/>
      <c r="S257" s="1170"/>
      <c r="T257" s="1170"/>
      <c r="U257" s="1170"/>
      <c r="V257" s="1170"/>
      <c r="W257" s="1170"/>
      <c r="X257" s="1170"/>
      <c r="Y257" s="1170"/>
      <c r="Z257" s="1170"/>
      <c r="AA257" s="1170"/>
      <c r="AB257" s="1981"/>
      <c r="AC257" s="1981"/>
      <c r="AD257" s="1170"/>
      <c r="AE257" s="1170"/>
      <c r="AF257" s="1170"/>
      <c r="AG257" s="1170"/>
      <c r="AH257" s="1170"/>
      <c r="AI257" s="1170"/>
      <c r="AJ257" s="1170"/>
      <c r="AK257" s="1170"/>
      <c r="AL257" s="1170"/>
      <c r="AM257" s="1170"/>
      <c r="AN257" s="1170"/>
      <c r="AO257" s="1170"/>
      <c r="AP257" s="1170"/>
      <c r="AQ257" s="1170"/>
      <c r="AR257" s="1170"/>
      <c r="AS257" s="1170"/>
      <c r="AT257" s="1170"/>
      <c r="AU257" s="1170"/>
      <c r="AV257" s="1170"/>
      <c r="AW257" s="1170"/>
      <c r="AX257" s="1170"/>
      <c r="AY257" s="1170"/>
      <c r="AZ257" s="1170"/>
      <c r="BA257" s="1170"/>
      <c r="BB257" s="1170"/>
      <c r="BC257" s="1170"/>
      <c r="BD257" s="1170"/>
      <c r="BE257" s="1170"/>
      <c r="BF257" s="1170"/>
      <c r="BG257" s="1170"/>
      <c r="BH257" s="1170"/>
      <c r="BI257" s="1170"/>
      <c r="BJ257" s="1170"/>
      <c r="BK257" s="1170"/>
      <c r="BL257" s="1170" t="s">
        <v>224</v>
      </c>
      <c r="BM257" s="1170"/>
      <c r="BN257" s="1187">
        <f ca="1">BK280*$BN$260</f>
        <v>1.1556891574964844E-24</v>
      </c>
      <c r="BO257" s="1170"/>
      <c r="BP257" s="1170"/>
      <c r="BQ257" s="1170"/>
      <c r="BR257" s="1170"/>
      <c r="BS257" s="1170"/>
      <c r="BT257" s="1170"/>
      <c r="BU257" s="1170"/>
      <c r="BV257" s="1170"/>
      <c r="BW257" s="1170"/>
      <c r="BX257" s="1170"/>
      <c r="BY257" s="1170"/>
      <c r="BZ257" s="1170"/>
      <c r="CA257" s="1180" t="s">
        <v>1066</v>
      </c>
      <c r="CB257" s="1170"/>
      <c r="CC257" s="1170">
        <f ca="1">IF(CokingRefineryPFD!E50=TRUE,CC258,1)</f>
        <v>1</v>
      </c>
      <c r="CD257" s="1170"/>
      <c r="CE257" s="1170"/>
      <c r="CF257" s="1170"/>
      <c r="CG257" s="1170"/>
      <c r="CH257" s="1180" t="str">
        <f>CH242</f>
        <v>FCC LCO</v>
      </c>
      <c r="CI257" s="1180"/>
      <c r="CJ257" s="1170"/>
      <c r="CK257" s="1170"/>
      <c r="CL257" s="1170"/>
      <c r="CM257" s="1170"/>
      <c r="CN257" s="1170"/>
      <c r="CO257" s="1170"/>
      <c r="CP257" s="1170"/>
      <c r="CQ257" s="1170"/>
      <c r="CR257" s="1170"/>
      <c r="CS257" s="1170"/>
      <c r="CT257" s="1170"/>
      <c r="CU257" s="1170"/>
      <c r="CV257" s="1170"/>
      <c r="CW257" s="1170"/>
      <c r="CX257" s="1170"/>
      <c r="CY257" s="1160"/>
      <c r="CZ257" s="1160"/>
      <c r="DA257" s="1160"/>
      <c r="DB257" s="1160"/>
      <c r="DC257" s="1160"/>
      <c r="DD257" s="1160"/>
      <c r="DE257" s="1160"/>
      <c r="DF257" s="1160"/>
      <c r="DG257" s="1160"/>
      <c r="DH257" s="1160"/>
      <c r="DI257" s="1160"/>
      <c r="DJ257" s="1160"/>
      <c r="DK257" s="1171"/>
      <c r="DL257" s="1160"/>
      <c r="DM257" s="1160"/>
      <c r="DN257" s="1160"/>
      <c r="DO257" s="1160"/>
      <c r="DP257" s="1160"/>
      <c r="DQ257" s="1160"/>
      <c r="DR257" s="1160"/>
      <c r="DS257" s="1160"/>
      <c r="DT257" s="1160"/>
      <c r="DU257" s="1160"/>
      <c r="DV257" s="1160"/>
      <c r="DW257" s="1160"/>
      <c r="DX257" s="1160"/>
      <c r="DY257" s="1160"/>
      <c r="DZ257" s="1160"/>
      <c r="EA257" s="1160"/>
      <c r="EB257" s="1160"/>
    </row>
    <row r="258" spans="1:132" x14ac:dyDescent="0.2">
      <c r="A258" s="1160"/>
      <c r="B258" s="1160"/>
      <c r="C258" s="1160"/>
      <c r="D258" s="1160"/>
      <c r="E258" s="1170"/>
      <c r="F258" s="1170"/>
      <c r="G258" s="1170"/>
      <c r="H258" s="1170"/>
      <c r="I258" s="1170"/>
      <c r="J258" s="1170"/>
      <c r="K258" s="1170"/>
      <c r="L258" s="1170"/>
      <c r="M258" s="1170"/>
      <c r="N258" s="1170"/>
      <c r="O258" s="1170"/>
      <c r="P258" s="1170"/>
      <c r="Q258" s="1170"/>
      <c r="R258" s="1170"/>
      <c r="S258" s="1170"/>
      <c r="T258" s="1170"/>
      <c r="U258" s="1170"/>
      <c r="V258" s="1170"/>
      <c r="W258" s="1170"/>
      <c r="X258" s="1170"/>
      <c r="Y258" s="1170"/>
      <c r="Z258" s="1170"/>
      <c r="AA258" s="1170"/>
      <c r="AB258" s="1981"/>
      <c r="AC258" s="1981"/>
      <c r="AD258" s="1982"/>
      <c r="AE258" s="1170"/>
      <c r="AF258" s="1170"/>
      <c r="AG258" s="1170"/>
      <c r="AH258" s="1170"/>
      <c r="AI258" s="1170"/>
      <c r="AJ258" s="1170"/>
      <c r="AK258" s="1170"/>
      <c r="AL258" s="1170"/>
      <c r="AM258" s="1170"/>
      <c r="AN258" s="1170"/>
      <c r="AO258" s="1170"/>
      <c r="AP258" s="1170"/>
      <c r="AQ258" s="1170"/>
      <c r="AR258" s="1170"/>
      <c r="AS258" s="1170"/>
      <c r="AT258" s="1170"/>
      <c r="AU258" s="1170"/>
      <c r="AV258" s="1170"/>
      <c r="AW258" s="1170"/>
      <c r="AX258" s="1170"/>
      <c r="AY258" s="1170"/>
      <c r="AZ258" s="1170"/>
      <c r="BA258" s="1170"/>
      <c r="BB258" s="1170"/>
      <c r="BC258" s="1170"/>
      <c r="BD258" s="1170"/>
      <c r="BE258" s="1170"/>
      <c r="BF258" s="1170"/>
      <c r="BG258" s="1170"/>
      <c r="BH258" s="1170"/>
      <c r="BI258" s="1170"/>
      <c r="BJ258" s="1170"/>
      <c r="BK258" s="1170"/>
      <c r="BL258" s="1170" t="s">
        <v>485</v>
      </c>
      <c r="BM258" s="1170"/>
      <c r="BN258" s="1187">
        <f ca="1">BK281*$BN$260</f>
        <v>2.3935682317417054E-28</v>
      </c>
      <c r="BO258" s="1170"/>
      <c r="BP258" s="1170"/>
      <c r="BQ258" s="1170"/>
      <c r="BR258" s="1181" t="str">
        <f>CokingRefineryCalcs!G905</f>
        <v>CGO to FCC</v>
      </c>
      <c r="BS258" s="1170"/>
      <c r="BT258" s="1170"/>
      <c r="BU258" s="1170"/>
      <c r="BV258" s="1170"/>
      <c r="BW258" s="1170"/>
      <c r="BX258" s="1170"/>
      <c r="BY258" s="1170"/>
      <c r="BZ258" s="1170"/>
      <c r="CA258" s="1180" t="s">
        <v>1065</v>
      </c>
      <c r="CB258" s="1170"/>
      <c r="CC258" s="1170">
        <f ca="1">CC247/(BT239+CC247)</f>
        <v>1</v>
      </c>
      <c r="CD258" s="1170"/>
      <c r="CE258" s="1170"/>
      <c r="CF258" s="1170"/>
      <c r="CG258" s="1170"/>
      <c r="CH258" s="1180" t="s">
        <v>226</v>
      </c>
      <c r="CI258" s="1180"/>
      <c r="CJ258" s="1184" t="s">
        <v>522</v>
      </c>
      <c r="CK258" s="1170"/>
      <c r="CL258" s="1170"/>
      <c r="CM258" s="1170"/>
      <c r="CN258" s="1170"/>
      <c r="CO258" s="1170"/>
      <c r="CP258" s="1170"/>
      <c r="CQ258" s="1170"/>
      <c r="CR258" s="1170"/>
      <c r="CS258" s="1170"/>
      <c r="CT258" s="1170"/>
      <c r="CU258" s="1170"/>
      <c r="CV258" s="1170"/>
      <c r="CW258" s="1170"/>
      <c r="CX258" s="1170"/>
      <c r="CY258" s="1160"/>
      <c r="CZ258" s="1160"/>
      <c r="DA258" s="1160"/>
      <c r="DB258" s="1160"/>
      <c r="DC258" s="1160"/>
      <c r="DD258" s="1160"/>
      <c r="DE258" s="1160"/>
      <c r="DF258" s="1160"/>
      <c r="DG258" s="1160"/>
      <c r="DH258" s="1160"/>
      <c r="DI258" s="1160"/>
      <c r="DJ258" s="1160"/>
      <c r="DK258" s="1171"/>
      <c r="DL258" s="1160"/>
      <c r="DM258" s="1160"/>
      <c r="DN258" s="1160"/>
      <c r="DO258" s="1160"/>
      <c r="DP258" s="1160"/>
      <c r="DQ258" s="1160"/>
      <c r="DR258" s="1160"/>
      <c r="DS258" s="1160"/>
      <c r="DT258" s="1160"/>
      <c r="DU258" s="1160"/>
      <c r="DV258" s="1160"/>
      <c r="DW258" s="1160"/>
      <c r="DX258" s="1160"/>
      <c r="DY258" s="1160"/>
      <c r="DZ258" s="1160"/>
      <c r="EA258" s="1160"/>
      <c r="EB258" s="1160"/>
    </row>
    <row r="259" spans="1:132" x14ac:dyDescent="0.2">
      <c r="A259" s="1160"/>
      <c r="B259" s="1160"/>
      <c r="C259" s="1160"/>
      <c r="D259" s="1160"/>
      <c r="E259" s="1170"/>
      <c r="F259" s="1170"/>
      <c r="G259" s="1170"/>
      <c r="H259" s="1170"/>
      <c r="I259" s="1170"/>
      <c r="J259" s="1170"/>
      <c r="K259" s="1170"/>
      <c r="L259" s="1170"/>
      <c r="M259" s="1170"/>
      <c r="N259" s="1170"/>
      <c r="O259" s="1170"/>
      <c r="P259" s="1170"/>
      <c r="Q259" s="1170"/>
      <c r="R259" s="1170"/>
      <c r="S259" s="1170"/>
      <c r="T259" s="1170"/>
      <c r="U259" s="1170"/>
      <c r="V259" s="1170"/>
      <c r="W259" s="1170"/>
      <c r="X259" s="1170"/>
      <c r="Y259" s="1170"/>
      <c r="Z259" s="1170"/>
      <c r="AA259" s="1170"/>
      <c r="AB259" s="1170"/>
      <c r="AC259" s="1170"/>
      <c r="AD259" s="1170"/>
      <c r="AE259" s="1170"/>
      <c r="AF259" s="1170"/>
      <c r="AG259" s="1170"/>
      <c r="AH259" s="1170"/>
      <c r="AI259" s="1170"/>
      <c r="AJ259" s="1170"/>
      <c r="AK259" s="1170"/>
      <c r="AL259" s="1170"/>
      <c r="AM259" s="1170"/>
      <c r="AN259" s="1170"/>
      <c r="AO259" s="1170"/>
      <c r="AP259" s="1170"/>
      <c r="AQ259" s="1170"/>
      <c r="AR259" s="1170"/>
      <c r="AS259" s="1170"/>
      <c r="AT259" s="1170"/>
      <c r="AU259" s="1170"/>
      <c r="AV259" s="1170"/>
      <c r="AW259" s="1170"/>
      <c r="AX259" s="1170"/>
      <c r="AY259" s="1170"/>
      <c r="AZ259" s="1170"/>
      <c r="BA259" s="1170"/>
      <c r="BB259" s="1170"/>
      <c r="BC259" s="1170"/>
      <c r="BD259" s="1170"/>
      <c r="BE259" s="1170"/>
      <c r="BF259" s="1170"/>
      <c r="BG259" s="1170"/>
      <c r="BH259" s="1170"/>
      <c r="BI259" s="1170"/>
      <c r="BJ259" s="1170"/>
      <c r="BK259" s="1170"/>
      <c r="BL259" s="1170" t="s">
        <v>541</v>
      </c>
      <c r="BM259" s="1170"/>
      <c r="BN259" s="1187">
        <f ca="1">BK282*$BN$260</f>
        <v>0</v>
      </c>
      <c r="BO259" s="1170"/>
      <c r="BP259" s="1170"/>
      <c r="BQ259" s="1170"/>
      <c r="BR259" s="1182" t="str">
        <f>CokingRefineryCalcs!C905</f>
        <v>Property</v>
      </c>
      <c r="BS259" s="1182" t="str">
        <f>CokingRefineryCalcs!D905</f>
        <v>Units</v>
      </c>
      <c r="BT259" s="1170"/>
      <c r="BU259" s="1170"/>
      <c r="BV259" s="1170"/>
      <c r="BW259" s="1170"/>
      <c r="BX259" s="1170"/>
      <c r="BY259" s="1170"/>
      <c r="BZ259" s="1170"/>
      <c r="CA259" s="1239" t="s">
        <v>228</v>
      </c>
      <c r="CB259" s="1170"/>
      <c r="CC259" s="1240">
        <f ca="1">CC239/(BZ218-'CokingRefinery Detailed Results'!Q25)</f>
        <v>0.96533613445378152</v>
      </c>
      <c r="CD259" s="1170"/>
      <c r="CE259" s="1170"/>
      <c r="CF259" s="1170"/>
      <c r="CG259" s="1170"/>
      <c r="CH259" s="1170" t="s">
        <v>263</v>
      </c>
      <c r="CI259" s="1170"/>
      <c r="CJ259" s="1187">
        <f ca="1">CC251*CJ265</f>
        <v>0</v>
      </c>
      <c r="CK259" s="1170"/>
      <c r="CL259" s="1170"/>
      <c r="CM259" s="1170"/>
      <c r="CN259" s="1170"/>
      <c r="CO259" s="1170"/>
      <c r="CP259" s="1170"/>
      <c r="CQ259" s="1170"/>
      <c r="CR259" s="1170"/>
      <c r="CS259" s="1170"/>
      <c r="CT259" s="1170"/>
      <c r="CU259" s="1170"/>
      <c r="CV259" s="1170"/>
      <c r="CW259" s="1170"/>
      <c r="CX259" s="1170"/>
      <c r="CY259" s="1160"/>
      <c r="CZ259" s="1160"/>
      <c r="DA259" s="1160"/>
      <c r="DB259" s="1160"/>
      <c r="DC259" s="1160"/>
      <c r="DD259" s="1160"/>
      <c r="DE259" s="1160"/>
      <c r="DF259" s="1160"/>
      <c r="DG259" s="1160"/>
      <c r="DH259" s="1160"/>
      <c r="DI259" s="1160"/>
      <c r="DJ259" s="1160"/>
      <c r="DK259" s="1171"/>
      <c r="DL259" s="1160"/>
      <c r="DM259" s="1160"/>
      <c r="DN259" s="1160"/>
      <c r="DO259" s="1160"/>
      <c r="DP259" s="1160"/>
      <c r="DQ259" s="1160"/>
      <c r="DR259" s="1160"/>
      <c r="DS259" s="1160"/>
      <c r="DT259" s="1160"/>
      <c r="DU259" s="1160"/>
      <c r="DV259" s="1160"/>
      <c r="DW259" s="1160"/>
      <c r="DX259" s="1160"/>
      <c r="DY259" s="1160"/>
      <c r="DZ259" s="1160"/>
      <c r="EA259" s="1160"/>
      <c r="EB259" s="1160"/>
    </row>
    <row r="260" spans="1:132" x14ac:dyDescent="0.2">
      <c r="A260" s="1160"/>
      <c r="B260" s="1160"/>
      <c r="C260" s="1160"/>
      <c r="D260" s="1160"/>
      <c r="E260" s="1170"/>
      <c r="F260" s="1170"/>
      <c r="G260" s="1170"/>
      <c r="H260" s="1170"/>
      <c r="I260" s="1170"/>
      <c r="J260" s="1170"/>
      <c r="K260" s="1170"/>
      <c r="L260" s="1170"/>
      <c r="M260" s="1170"/>
      <c r="N260" s="1170"/>
      <c r="O260" s="1170"/>
      <c r="P260" s="1170"/>
      <c r="Q260" s="1170"/>
      <c r="R260" s="1170"/>
      <c r="S260" s="1170"/>
      <c r="T260" s="1170"/>
      <c r="U260" s="1170"/>
      <c r="V260" s="1170"/>
      <c r="W260" s="1170"/>
      <c r="X260" s="1170"/>
      <c r="Y260" s="1170"/>
      <c r="Z260" s="1170"/>
      <c r="AA260" s="1170"/>
      <c r="AB260" s="1170"/>
      <c r="AC260" s="1170"/>
      <c r="AD260" s="1170"/>
      <c r="AE260" s="1170"/>
      <c r="AF260" s="1170"/>
      <c r="AG260" s="1170"/>
      <c r="AH260" s="1170"/>
      <c r="AI260" s="1170"/>
      <c r="AJ260" s="1170"/>
      <c r="AK260" s="1170"/>
      <c r="AL260" s="1170"/>
      <c r="AM260" s="1170"/>
      <c r="AN260" s="1170"/>
      <c r="AO260" s="1170"/>
      <c r="AP260" s="1170"/>
      <c r="AQ260" s="1170"/>
      <c r="AR260" s="1170"/>
      <c r="AS260" s="1170"/>
      <c r="AT260" s="1170"/>
      <c r="AU260" s="1170"/>
      <c r="AV260" s="1170"/>
      <c r="AW260" s="1170"/>
      <c r="AX260" s="1170"/>
      <c r="AY260" s="1170"/>
      <c r="AZ260" s="1170"/>
      <c r="BA260" s="1170"/>
      <c r="BB260" s="1170"/>
      <c r="BC260" s="1170"/>
      <c r="BD260" s="1170"/>
      <c r="BE260" s="1170"/>
      <c r="BF260" s="1170"/>
      <c r="BG260" s="1170"/>
      <c r="BH260" s="1170"/>
      <c r="BI260" s="1170"/>
      <c r="BJ260" s="1170"/>
      <c r="BK260" s="1170"/>
      <c r="BL260" s="1180" t="s">
        <v>1065</v>
      </c>
      <c r="BM260" s="1170"/>
      <c r="BN260" s="1170">
        <f ca="1">BN252/BK275</f>
        <v>9.9999999999999998E-13</v>
      </c>
      <c r="BO260" s="1170"/>
      <c r="BP260" s="1170"/>
      <c r="BQ260" s="1170"/>
      <c r="BR260" s="1186" t="str">
        <f>CokingRefineryCalcs!C906</f>
        <v>Vol Flow</v>
      </c>
      <c r="BS260" s="1170" t="str">
        <f>CokingRefineryCalcs!D906</f>
        <v>bpd</v>
      </c>
      <c r="BT260" s="1170">
        <f ca="1">CokingRefineryCalcs!G906</f>
        <v>3.927535670360022E-17</v>
      </c>
      <c r="BU260" s="1170"/>
      <c r="BV260" s="1170"/>
      <c r="BW260" s="1170"/>
      <c r="BX260" s="1170"/>
      <c r="BY260" s="1170"/>
      <c r="BZ260" s="1170"/>
      <c r="CA260" s="1170"/>
      <c r="CB260" s="1170"/>
      <c r="CC260" s="1170"/>
      <c r="CD260" s="1170"/>
      <c r="CE260" s="1170"/>
      <c r="CF260" s="1170"/>
      <c r="CG260" s="1170"/>
      <c r="CH260" s="1170" t="s">
        <v>392</v>
      </c>
      <c r="CI260" s="1170"/>
      <c r="CJ260" s="1187">
        <f ca="1">(CC252+CF215)*$CJ$265</f>
        <v>0</v>
      </c>
      <c r="CK260" s="1170"/>
      <c r="CL260" s="1170"/>
      <c r="CM260" s="1170"/>
      <c r="CN260" s="1170"/>
      <c r="CO260" s="1170"/>
      <c r="CP260" s="1170"/>
      <c r="CQ260" s="1170"/>
      <c r="CR260" s="1170"/>
      <c r="CS260" s="1170"/>
      <c r="CT260" s="1170"/>
      <c r="CU260" s="1170"/>
      <c r="CV260" s="1170"/>
      <c r="CW260" s="1170"/>
      <c r="CX260" s="1170"/>
      <c r="CY260" s="1160"/>
      <c r="CZ260" s="1160"/>
      <c r="DA260" s="1160"/>
      <c r="DB260" s="1160"/>
      <c r="DC260" s="1160"/>
      <c r="DD260" s="1160"/>
      <c r="DE260" s="1160"/>
      <c r="DF260" s="1160"/>
      <c r="DG260" s="1160"/>
      <c r="DH260" s="1160"/>
      <c r="DI260" s="1160"/>
      <c r="DJ260" s="1160"/>
      <c r="DK260" s="1171"/>
      <c r="DL260" s="1160"/>
      <c r="DM260" s="1160"/>
      <c r="DN260" s="1160"/>
      <c r="DO260" s="1160"/>
      <c r="DP260" s="1160"/>
      <c r="DQ260" s="1160"/>
      <c r="DR260" s="1160"/>
      <c r="DS260" s="1160"/>
      <c r="DT260" s="1160"/>
      <c r="DU260" s="1160"/>
      <c r="DV260" s="1160"/>
      <c r="DW260" s="1160"/>
      <c r="DX260" s="1160"/>
      <c r="DY260" s="1160"/>
      <c r="DZ260" s="1160"/>
      <c r="EA260" s="1160"/>
      <c r="EB260" s="1160"/>
    </row>
    <row r="261" spans="1:132" x14ac:dyDescent="0.2">
      <c r="A261" s="1160"/>
      <c r="B261" s="1160"/>
      <c r="C261" s="1160"/>
      <c r="D261" s="1160"/>
      <c r="E261" s="1170"/>
      <c r="F261" s="1170"/>
      <c r="G261" s="1170"/>
      <c r="H261" s="1170"/>
      <c r="I261" s="1170"/>
      <c r="J261" s="1170"/>
      <c r="K261" s="1170"/>
      <c r="L261" s="1170"/>
      <c r="M261" s="1170"/>
      <c r="N261" s="1170"/>
      <c r="O261" s="1170"/>
      <c r="P261" s="1170"/>
      <c r="Q261" s="1170"/>
      <c r="R261" s="1170"/>
      <c r="S261" s="1170"/>
      <c r="T261" s="1170"/>
      <c r="U261" s="1170"/>
      <c r="V261" s="1170"/>
      <c r="W261" s="1170"/>
      <c r="X261" s="1170"/>
      <c r="Y261" s="1170"/>
      <c r="Z261" s="1170"/>
      <c r="AA261" s="1170"/>
      <c r="AB261" s="1170"/>
      <c r="AC261" s="1170"/>
      <c r="AD261" s="1170"/>
      <c r="AE261" s="1170"/>
      <c r="AF261" s="1170"/>
      <c r="AG261" s="1170"/>
      <c r="AH261" s="1170"/>
      <c r="AI261" s="1170"/>
      <c r="AJ261" s="1170"/>
      <c r="AK261" s="1170"/>
      <c r="AL261" s="1170"/>
      <c r="AM261" s="1170"/>
      <c r="AN261" s="1170"/>
      <c r="AO261" s="1170"/>
      <c r="AP261" s="1170"/>
      <c r="AQ261" s="1170"/>
      <c r="AR261" s="1170"/>
      <c r="AS261" s="1170"/>
      <c r="AT261" s="1170"/>
      <c r="AU261" s="1170"/>
      <c r="AV261" s="1170"/>
      <c r="AW261" s="1170"/>
      <c r="AX261" s="1170"/>
      <c r="AY261" s="1170"/>
      <c r="AZ261" s="1170"/>
      <c r="BA261" s="1170"/>
      <c r="BB261" s="1170"/>
      <c r="BC261" s="1170"/>
      <c r="BD261" s="1170"/>
      <c r="BE261" s="1170"/>
      <c r="BF261" s="1170"/>
      <c r="BG261" s="1170"/>
      <c r="BH261" s="1170"/>
      <c r="BI261" s="1170"/>
      <c r="BJ261" s="1170"/>
      <c r="BK261" s="1170"/>
      <c r="BL261" s="1170"/>
      <c r="BM261" s="1170"/>
      <c r="BN261" s="1170"/>
      <c r="BO261" s="1170"/>
      <c r="BP261" s="1170"/>
      <c r="BQ261" s="1170"/>
      <c r="BR261" s="1186" t="str">
        <f>CokingRefineryCalcs!C907</f>
        <v>Vol Flow</v>
      </c>
      <c r="BS261" s="1170" t="str">
        <f>CokingRefineryCalcs!D907</f>
        <v>m^3/d</v>
      </c>
      <c r="BT261" s="1170">
        <f ca="1">CokingRefineryCalcs!G907</f>
        <v>6.2442829188422996E-18</v>
      </c>
      <c r="BU261" s="1170"/>
      <c r="BV261" s="1170"/>
      <c r="BW261" s="1170"/>
      <c r="BX261" s="1170"/>
      <c r="BY261" s="1170"/>
      <c r="BZ261" s="1170"/>
      <c r="CA261" s="1170"/>
      <c r="CB261" s="1170"/>
      <c r="CC261" s="1170"/>
      <c r="CD261" s="1170"/>
      <c r="CE261" s="1170"/>
      <c r="CF261" s="1170"/>
      <c r="CG261" s="1170"/>
      <c r="CH261" s="1170" t="s">
        <v>224</v>
      </c>
      <c r="CI261" s="1170"/>
      <c r="CJ261" s="1187">
        <f ca="1">(CC253+CF216)*$CJ$265</f>
        <v>6.2840134367500828E-13</v>
      </c>
      <c r="CK261" s="1170"/>
      <c r="CL261" s="1170"/>
      <c r="CM261" s="1170"/>
      <c r="CN261" s="1170"/>
      <c r="CO261" s="1170"/>
      <c r="CP261" s="1170"/>
      <c r="CQ261" s="1170"/>
      <c r="CR261" s="1170"/>
      <c r="CS261" s="1170"/>
      <c r="CT261" s="1170"/>
      <c r="CU261" s="1170"/>
      <c r="CV261" s="1170"/>
      <c r="CW261" s="1170"/>
      <c r="CX261" s="1170"/>
      <c r="CY261" s="1170"/>
      <c r="CZ261" s="1160"/>
      <c r="DA261" s="1160"/>
      <c r="DB261" s="1160"/>
      <c r="DC261" s="1160"/>
      <c r="DD261" s="1160"/>
      <c r="DE261" s="1160"/>
      <c r="DF261" s="1160"/>
      <c r="DG261" s="1160"/>
      <c r="DH261" s="1160"/>
      <c r="DI261" s="1160"/>
      <c r="DJ261" s="1160"/>
      <c r="DK261" s="1171"/>
      <c r="DL261" s="1160"/>
      <c r="DM261" s="1160"/>
      <c r="DN261" s="1160"/>
      <c r="DO261" s="1160"/>
      <c r="DP261" s="1160"/>
      <c r="DQ261" s="1160"/>
      <c r="DR261" s="1160"/>
      <c r="DS261" s="1160"/>
      <c r="DT261" s="1160"/>
      <c r="DU261" s="1160"/>
      <c r="DV261" s="1160"/>
      <c r="DW261" s="1160"/>
      <c r="DX261" s="1160"/>
      <c r="DY261" s="1160"/>
      <c r="DZ261" s="1160"/>
      <c r="EA261" s="1160"/>
      <c r="EB261" s="1160"/>
    </row>
    <row r="262" spans="1:132" x14ac:dyDescent="0.2">
      <c r="A262" s="1160"/>
      <c r="B262" s="1160"/>
      <c r="C262" s="1160"/>
      <c r="D262" s="1160"/>
      <c r="E262" s="1170"/>
      <c r="F262" s="1170"/>
      <c r="G262" s="1170"/>
      <c r="H262" s="1170"/>
      <c r="I262" s="1170"/>
      <c r="J262" s="1170"/>
      <c r="K262" s="1170"/>
      <c r="L262" s="1170"/>
      <c r="M262" s="1170"/>
      <c r="N262" s="1170"/>
      <c r="O262" s="1170"/>
      <c r="P262" s="1170"/>
      <c r="Q262" s="1170"/>
      <c r="R262" s="1170"/>
      <c r="S262" s="1170"/>
      <c r="T262" s="1170"/>
      <c r="U262" s="1170"/>
      <c r="V262" s="1170"/>
      <c r="W262" s="1170"/>
      <c r="X262" s="1170"/>
      <c r="Y262" s="1170"/>
      <c r="Z262" s="1170"/>
      <c r="AA262" s="1170"/>
      <c r="AB262" s="1170"/>
      <c r="AC262" s="1170"/>
      <c r="AD262" s="1170"/>
      <c r="AE262" s="1170"/>
      <c r="AF262" s="1170"/>
      <c r="AG262" s="1170"/>
      <c r="AH262" s="1170"/>
      <c r="AI262" s="1170"/>
      <c r="AJ262" s="1170"/>
      <c r="AK262" s="1170"/>
      <c r="AL262" s="1170"/>
      <c r="AM262" s="1170"/>
      <c r="AN262" s="1170"/>
      <c r="AO262" s="1170"/>
      <c r="AP262" s="1170"/>
      <c r="AQ262" s="1170"/>
      <c r="AR262" s="1170"/>
      <c r="AS262" s="1170"/>
      <c r="AT262" s="1170"/>
      <c r="AU262" s="1170"/>
      <c r="AV262" s="1170"/>
      <c r="AW262" s="1170"/>
      <c r="AX262" s="1170"/>
      <c r="AY262" s="1170"/>
      <c r="AZ262" s="1170"/>
      <c r="BA262" s="1170"/>
      <c r="BB262" s="1170"/>
      <c r="BC262" s="1170"/>
      <c r="BD262" s="1170"/>
      <c r="BE262" s="1170"/>
      <c r="BF262" s="1170"/>
      <c r="BG262" s="1170"/>
      <c r="BH262" s="1170"/>
      <c r="BI262" s="1170"/>
      <c r="BJ262" s="1170"/>
      <c r="BK262" s="1170"/>
      <c r="BL262" s="1170"/>
      <c r="BM262" s="1170"/>
      <c r="BN262" s="1170"/>
      <c r="BO262" s="1170"/>
      <c r="BP262" s="1170"/>
      <c r="BQ262" s="1170"/>
      <c r="BR262" s="1186" t="str">
        <f>CokingRefineryCalcs!C908</f>
        <v>Mass Flow</v>
      </c>
      <c r="BS262" s="1170" t="str">
        <f>CokingRefineryCalcs!D908</f>
        <v>kg/d</v>
      </c>
      <c r="BT262" s="1170">
        <f ca="1">CokingRefineryCalcs!G908</f>
        <v>5.8321602461985476E-15</v>
      </c>
      <c r="BU262" s="1170"/>
      <c r="BV262" s="1170"/>
      <c r="BW262" s="1170"/>
      <c r="BX262" s="1170"/>
      <c r="BY262" s="1170"/>
      <c r="BZ262" s="1170"/>
      <c r="CA262" s="1170"/>
      <c r="CB262" s="1170"/>
      <c r="CC262" s="1170"/>
      <c r="CD262" s="1170"/>
      <c r="CE262" s="1170"/>
      <c r="CF262" s="1170"/>
      <c r="CG262" s="1170"/>
      <c r="CH262" s="1170" t="s">
        <v>485</v>
      </c>
      <c r="CI262" s="1170"/>
      <c r="CJ262" s="1187">
        <f ca="1">(CC254+CF217)*$CJ$265</f>
        <v>3.4115430680119282E-14</v>
      </c>
      <c r="CK262" s="1170"/>
      <c r="CL262" s="1170"/>
      <c r="CM262" s="1170"/>
      <c r="CN262" s="1170"/>
      <c r="CO262" s="1170"/>
      <c r="CP262" s="1170"/>
      <c r="CQ262" s="1170"/>
      <c r="CR262" s="1170"/>
      <c r="CS262" s="1170"/>
      <c r="CT262" s="1170"/>
      <c r="CU262" s="1170"/>
      <c r="CV262" s="1170"/>
      <c r="CW262" s="1170"/>
      <c r="CX262" s="1170"/>
      <c r="CY262" s="1170"/>
      <c r="CZ262" s="1160"/>
      <c r="DA262" s="1160"/>
      <c r="DB262" s="1160"/>
      <c r="DC262" s="1160"/>
      <c r="DD262" s="1160"/>
      <c r="DE262" s="1160"/>
      <c r="DF262" s="1160"/>
      <c r="DG262" s="1160"/>
      <c r="DH262" s="1160"/>
      <c r="DI262" s="1160"/>
      <c r="DJ262" s="1160"/>
      <c r="DK262" s="1160"/>
      <c r="DL262" s="1160"/>
      <c r="DM262" s="1160"/>
      <c r="DN262" s="1160"/>
      <c r="DO262" s="1160"/>
      <c r="DP262" s="1160"/>
      <c r="DQ262" s="1160"/>
      <c r="DR262" s="1160"/>
      <c r="DS262" s="1160"/>
      <c r="DT262" s="1160"/>
      <c r="DU262" s="1160"/>
      <c r="DV262" s="1160"/>
      <c r="DW262" s="1160"/>
      <c r="DX262" s="1160"/>
      <c r="DY262" s="1160"/>
      <c r="DZ262" s="1160"/>
      <c r="EA262" s="1160"/>
      <c r="EB262" s="1160"/>
    </row>
    <row r="263" spans="1:132" x14ac:dyDescent="0.2">
      <c r="A263" s="1160"/>
      <c r="B263" s="1160"/>
      <c r="C263" s="1160"/>
      <c r="D263" s="1160"/>
      <c r="E263" s="1170"/>
      <c r="F263" s="1170"/>
      <c r="G263" s="1170"/>
      <c r="H263" s="1170"/>
      <c r="I263" s="1170"/>
      <c r="J263" s="1170"/>
      <c r="K263" s="1170"/>
      <c r="L263" s="1170"/>
      <c r="M263" s="1170"/>
      <c r="N263" s="1170"/>
      <c r="O263" s="1170"/>
      <c r="P263" s="1170"/>
      <c r="Q263" s="1170"/>
      <c r="R263" s="1170"/>
      <c r="S263" s="1170"/>
      <c r="T263" s="1170"/>
      <c r="U263" s="1170"/>
      <c r="V263" s="1170"/>
      <c r="W263" s="1170"/>
      <c r="X263" s="1170"/>
      <c r="Y263" s="1170"/>
      <c r="Z263" s="1170"/>
      <c r="AA263" s="1170"/>
      <c r="AB263" s="1170"/>
      <c r="AC263" s="1170"/>
      <c r="AD263" s="1170"/>
      <c r="AE263" s="1170"/>
      <c r="AF263" s="1170"/>
      <c r="AG263" s="1170"/>
      <c r="AH263" s="1170"/>
      <c r="AI263" s="1170"/>
      <c r="AJ263" s="1170"/>
      <c r="AK263" s="1170"/>
      <c r="AL263" s="1170"/>
      <c r="AM263" s="1170"/>
      <c r="AN263" s="1170"/>
      <c r="AO263" s="1170"/>
      <c r="AP263" s="1170"/>
      <c r="AQ263" s="1170"/>
      <c r="AR263" s="1170"/>
      <c r="AS263" s="1170"/>
      <c r="AT263" s="1170"/>
      <c r="AU263" s="1170"/>
      <c r="AV263" s="1170"/>
      <c r="AW263" s="1170"/>
      <c r="AX263" s="1170"/>
      <c r="AY263" s="1170"/>
      <c r="AZ263" s="1170"/>
      <c r="BA263" s="1170"/>
      <c r="BB263" s="1170"/>
      <c r="BC263" s="1170"/>
      <c r="BD263" s="1170"/>
      <c r="BE263" s="1170"/>
      <c r="BF263" s="1170"/>
      <c r="BG263" s="1170"/>
      <c r="BH263" s="1170"/>
      <c r="BI263" s="1181" t="str">
        <f>CokingRefineryCalcs!H844</f>
        <v>Coker Gas Oil</v>
      </c>
      <c r="BJ263" s="1170"/>
      <c r="BK263" s="1170"/>
      <c r="BL263" s="1170"/>
      <c r="BM263" s="1170"/>
      <c r="BN263" s="1170"/>
      <c r="BO263" s="1170"/>
      <c r="BP263" s="1170"/>
      <c r="BQ263" s="1170"/>
      <c r="BR263" s="1186" t="str">
        <f>CokingRefineryCalcs!C909</f>
        <v>S</v>
      </c>
      <c r="BS263" s="1170" t="str">
        <f>CokingRefineryCalcs!D909</f>
        <v>wt%</v>
      </c>
      <c r="BT263" s="1170">
        <f ca="1">CokingRefineryCalcs!G909</f>
        <v>0</v>
      </c>
      <c r="BU263" s="1170"/>
      <c r="BV263" s="1170"/>
      <c r="BW263" s="1170"/>
      <c r="BX263" s="1170"/>
      <c r="BY263" s="1170"/>
      <c r="BZ263" s="1170"/>
      <c r="CA263" s="1170"/>
      <c r="CB263" s="1170"/>
      <c r="CC263" s="1170"/>
      <c r="CD263" s="1170"/>
      <c r="CE263" s="1170"/>
      <c r="CF263" s="1170"/>
      <c r="CG263" s="1170"/>
      <c r="CH263" s="1170" t="s">
        <v>541</v>
      </c>
      <c r="CI263" s="1170"/>
      <c r="CJ263" s="1187">
        <f ca="1">(CC255+CF218)*$CJ$265</f>
        <v>0</v>
      </c>
      <c r="CK263" s="1170"/>
      <c r="CL263" s="1170"/>
      <c r="CM263" s="1170"/>
      <c r="CN263" s="1170"/>
      <c r="CO263" s="1170"/>
      <c r="CP263" s="1170"/>
      <c r="CQ263" s="1170"/>
      <c r="CR263" s="1170"/>
      <c r="CS263" s="1170"/>
      <c r="CT263" s="1170"/>
      <c r="CU263" s="1170"/>
      <c r="CV263" s="1170"/>
      <c r="CW263" s="1170"/>
      <c r="CX263" s="1170"/>
      <c r="CY263" s="1160"/>
      <c r="CZ263" s="1160"/>
      <c r="DA263" s="1160"/>
      <c r="DB263" s="1160"/>
      <c r="DC263" s="1160"/>
      <c r="DD263" s="1160"/>
      <c r="DE263" s="1160"/>
      <c r="DF263" s="1160"/>
      <c r="DG263" s="1160"/>
      <c r="DH263" s="1160"/>
      <c r="DI263" s="1160"/>
      <c r="DJ263" s="1160"/>
      <c r="DK263" s="1160"/>
      <c r="DL263" s="1160"/>
      <c r="DM263" s="1160"/>
      <c r="DN263" s="1160"/>
      <c r="DO263" s="1160"/>
      <c r="DP263" s="1160"/>
      <c r="DQ263" s="1160"/>
      <c r="DR263" s="1160"/>
      <c r="DS263" s="1160"/>
      <c r="DT263" s="1160"/>
      <c r="DU263" s="1160"/>
      <c r="DV263" s="1160"/>
      <c r="DW263" s="1160"/>
      <c r="DX263" s="1160"/>
      <c r="DY263" s="1160"/>
      <c r="DZ263" s="1160"/>
      <c r="EA263" s="1160"/>
      <c r="EB263" s="1160"/>
    </row>
    <row r="264" spans="1:132" x14ac:dyDescent="0.2">
      <c r="A264" s="1160"/>
      <c r="B264" s="1160"/>
      <c r="C264" s="1160"/>
      <c r="D264" s="1160"/>
      <c r="E264" s="1170"/>
      <c r="F264" s="1170"/>
      <c r="G264" s="1170"/>
      <c r="H264" s="1170"/>
      <c r="I264" s="1170"/>
      <c r="J264" s="1170"/>
      <c r="K264" s="1170"/>
      <c r="L264" s="1170"/>
      <c r="M264" s="1170"/>
      <c r="N264" s="1170"/>
      <c r="O264" s="1170"/>
      <c r="P264" s="1170"/>
      <c r="Q264" s="1170"/>
      <c r="R264" s="1170"/>
      <c r="S264" s="1170"/>
      <c r="T264" s="1170"/>
      <c r="U264" s="1170"/>
      <c r="V264" s="1170"/>
      <c r="W264" s="1170"/>
      <c r="X264" s="1170"/>
      <c r="Y264" s="1170"/>
      <c r="Z264" s="1170"/>
      <c r="AA264" s="1170"/>
      <c r="AB264" s="1170"/>
      <c r="AC264" s="1170"/>
      <c r="AD264" s="1170"/>
      <c r="AE264" s="1170"/>
      <c r="AF264" s="1170"/>
      <c r="AG264" s="1170"/>
      <c r="AH264" s="1170"/>
      <c r="AI264" s="1170"/>
      <c r="AJ264" s="1170"/>
      <c r="AK264" s="1170"/>
      <c r="AL264" s="1170"/>
      <c r="AM264" s="1170"/>
      <c r="AN264" s="1170"/>
      <c r="AO264" s="1170"/>
      <c r="AP264" s="1170"/>
      <c r="AQ264" s="1170"/>
      <c r="AR264" s="1170"/>
      <c r="AS264" s="1170"/>
      <c r="AT264" s="1170"/>
      <c r="AU264" s="1170"/>
      <c r="AV264" s="1170"/>
      <c r="AW264" s="1170"/>
      <c r="AX264" s="1170"/>
      <c r="AY264" s="1170"/>
      <c r="AZ264" s="1170"/>
      <c r="BA264" s="1170"/>
      <c r="BB264" s="1170"/>
      <c r="BC264" s="1170"/>
      <c r="BD264" s="1170"/>
      <c r="BE264" s="1170"/>
      <c r="BF264" s="1170"/>
      <c r="BG264" s="1170"/>
      <c r="BH264" s="1170"/>
      <c r="BI264" s="1182" t="str">
        <f>CokingRefineryCalcs!C844</f>
        <v>Property</v>
      </c>
      <c r="BJ264" s="1182" t="str">
        <f>CokingRefineryCalcs!D844</f>
        <v>Units</v>
      </c>
      <c r="BK264" s="1170"/>
      <c r="BL264" s="1170"/>
      <c r="BM264" s="1170"/>
      <c r="BN264" s="1170"/>
      <c r="BO264" s="1170"/>
      <c r="BP264" s="1170"/>
      <c r="BQ264" s="1170"/>
      <c r="BR264" s="1186" t="str">
        <f>CokingRefineryCalcs!C911</f>
        <v>API</v>
      </c>
      <c r="BS264" s="1170"/>
      <c r="BT264" s="1170">
        <f ca="1">CokingRefineryCalcs!G911</f>
        <v>19.998929336192617</v>
      </c>
      <c r="BU264" s="1170"/>
      <c r="BV264" s="1170"/>
      <c r="BW264" s="1170"/>
      <c r="BX264" s="1170"/>
      <c r="BY264" s="1170"/>
      <c r="BZ264" s="1170"/>
      <c r="CA264" s="1170"/>
      <c r="CB264" s="1170"/>
      <c r="CC264" s="1170"/>
      <c r="CD264" s="1170"/>
      <c r="CE264" s="1170"/>
      <c r="CF264" s="1170"/>
      <c r="CG264" s="1170"/>
      <c r="CH264" s="1170" t="str">
        <f>CA256</f>
        <v>Catalyst Coke</v>
      </c>
      <c r="CI264" s="1170"/>
      <c r="CJ264" s="1187">
        <f ca="1">(CC256)*$CJ$265</f>
        <v>7.7968351670689407E-15</v>
      </c>
      <c r="CK264" s="1170"/>
      <c r="CL264" s="1170"/>
      <c r="CM264" s="1170"/>
      <c r="CN264" s="1170"/>
      <c r="CO264" s="1170"/>
      <c r="CP264" s="1170"/>
      <c r="CQ264" s="1170"/>
      <c r="CR264" s="1170"/>
      <c r="CS264" s="1170"/>
      <c r="CT264" s="1170"/>
      <c r="CU264" s="1170"/>
      <c r="CV264" s="1170"/>
      <c r="CW264" s="1170"/>
      <c r="CX264" s="1170"/>
      <c r="CY264" s="1160"/>
      <c r="CZ264" s="1160"/>
      <c r="DA264" s="1160"/>
      <c r="DB264" s="1160"/>
      <c r="DC264" s="1160"/>
      <c r="DD264" s="1160"/>
      <c r="DE264" s="1160"/>
      <c r="DF264" s="1160"/>
      <c r="DG264" s="1160"/>
      <c r="DH264" s="1160"/>
      <c r="DI264" s="1160"/>
      <c r="DJ264" s="1160"/>
      <c r="DK264" s="1160"/>
      <c r="DL264" s="1160"/>
      <c r="DM264" s="1160"/>
      <c r="DN264" s="1160"/>
      <c r="DO264" s="1160"/>
      <c r="DP264" s="1160"/>
      <c r="DQ264" s="1160"/>
      <c r="DR264" s="1160"/>
      <c r="DS264" s="1160"/>
      <c r="DT264" s="1160"/>
      <c r="DU264" s="1160"/>
      <c r="DV264" s="1160"/>
      <c r="DW264" s="1160"/>
      <c r="DX264" s="1160"/>
      <c r="DY264" s="1160"/>
      <c r="DZ264" s="1160"/>
      <c r="EA264" s="1160"/>
      <c r="EB264" s="1160"/>
    </row>
    <row r="265" spans="1:132" x14ac:dyDescent="0.2">
      <c r="A265" s="1160"/>
      <c r="B265" s="1160"/>
      <c r="C265" s="1160"/>
      <c r="D265" s="1160"/>
      <c r="E265" s="1170"/>
      <c r="F265" s="1170"/>
      <c r="G265" s="1170"/>
      <c r="H265" s="1170"/>
      <c r="I265" s="1170"/>
      <c r="J265" s="1170"/>
      <c r="K265" s="1170"/>
      <c r="L265" s="1170"/>
      <c r="M265" s="1170"/>
      <c r="N265" s="1170"/>
      <c r="O265" s="1170"/>
      <c r="P265" s="1170"/>
      <c r="Q265" s="1170"/>
      <c r="R265" s="1170"/>
      <c r="S265" s="1170"/>
      <c r="T265" s="1170"/>
      <c r="U265" s="1170"/>
      <c r="V265" s="1170"/>
      <c r="W265" s="1170"/>
      <c r="X265" s="1170"/>
      <c r="Y265" s="1170"/>
      <c r="Z265" s="1170"/>
      <c r="AA265" s="1170"/>
      <c r="AB265" s="1170"/>
      <c r="AC265" s="1170"/>
      <c r="AD265" s="1170"/>
      <c r="AE265" s="1170"/>
      <c r="AF265" s="1170"/>
      <c r="AG265" s="1170"/>
      <c r="AH265" s="1170"/>
      <c r="AI265" s="1170"/>
      <c r="AJ265" s="1170"/>
      <c r="AK265" s="1170"/>
      <c r="AL265" s="1170"/>
      <c r="AM265" s="1170"/>
      <c r="AN265" s="1170"/>
      <c r="AO265" s="1170"/>
      <c r="AP265" s="1170"/>
      <c r="AQ265" s="1170"/>
      <c r="AR265" s="1170"/>
      <c r="AS265" s="1170"/>
      <c r="AT265" s="1170"/>
      <c r="AU265" s="1170"/>
      <c r="AV265" s="1170"/>
      <c r="AW265" s="1170"/>
      <c r="AX265" s="1170"/>
      <c r="AY265" s="1170"/>
      <c r="AZ265" s="1170"/>
      <c r="BA265" s="1170"/>
      <c r="BB265" s="1170"/>
      <c r="BC265" s="1170"/>
      <c r="BD265" s="1170"/>
      <c r="BE265" s="1170"/>
      <c r="BF265" s="1170"/>
      <c r="BG265" s="1170"/>
      <c r="BH265" s="1170"/>
      <c r="BI265" s="1186" t="str">
        <f>CokingRefineryCalcs!C845</f>
        <v>Vol Flow</v>
      </c>
      <c r="BJ265" s="1170" t="str">
        <f ca="1">CokingRefineryCalcs!D845</f>
        <v>bpd</v>
      </c>
      <c r="BK265" s="1170">
        <f ca="1">CokingRefineryCalcs!H845</f>
        <v>3.9275356703639497E-17</v>
      </c>
      <c r="BL265" s="1170"/>
      <c r="BM265" s="1170"/>
      <c r="BN265" s="1170"/>
      <c r="BO265" s="1170"/>
      <c r="BP265" s="1170"/>
      <c r="BQ265" s="1170"/>
      <c r="BR265" s="1186" t="str">
        <f>CokingRefineryCalcs!C912</f>
        <v>Density</v>
      </c>
      <c r="BS265" s="1170" t="str">
        <f>CokingRefineryCalcs!D912</f>
        <v>kg/m^3</v>
      </c>
      <c r="BT265" s="1170">
        <f ca="1">CokingRefineryCalcs!G912</f>
        <v>933.99999999997431</v>
      </c>
      <c r="BU265" s="1170"/>
      <c r="BV265" s="1170"/>
      <c r="BW265" s="1170"/>
      <c r="BX265" s="1170"/>
      <c r="BY265" s="1170"/>
      <c r="BZ265" s="1170"/>
      <c r="CA265" s="1170"/>
      <c r="CB265" s="1170"/>
      <c r="CC265" s="1170"/>
      <c r="CD265" s="1170"/>
      <c r="CE265" s="1170"/>
      <c r="CF265" s="1170"/>
      <c r="CG265" s="1170"/>
      <c r="CH265" s="1180" t="s">
        <v>1066</v>
      </c>
      <c r="CI265" s="1180"/>
      <c r="CJ265" s="1170">
        <f ca="1">IF(CokingRefineryPFD!E47=TRUE,CJ266,CJ254/(CM180+CU239+CJ254))</f>
        <v>0.1915465428783249</v>
      </c>
      <c r="CK265" s="1170"/>
      <c r="CL265" s="1170"/>
      <c r="CM265" s="1170"/>
      <c r="CN265" s="1170"/>
      <c r="CO265" s="1170"/>
      <c r="CP265" s="1170"/>
      <c r="CQ265" s="1170"/>
      <c r="CR265" s="1170"/>
      <c r="CS265" s="1170"/>
      <c r="CT265" s="1170"/>
      <c r="CU265" s="1170"/>
      <c r="CV265" s="1170"/>
      <c r="CW265" s="1170"/>
      <c r="CX265" s="1170"/>
      <c r="CY265" s="1160"/>
      <c r="CZ265" s="1160"/>
      <c r="DA265" s="1160"/>
      <c r="DB265" s="1160"/>
      <c r="DC265" s="1160"/>
      <c r="DD265" s="1160"/>
      <c r="DE265" s="1160"/>
      <c r="DF265" s="1160"/>
      <c r="DG265" s="1160"/>
      <c r="DH265" s="1160"/>
      <c r="DI265" s="1160"/>
      <c r="DJ265" s="1160"/>
      <c r="DK265" s="1160"/>
      <c r="DL265" s="1160"/>
      <c r="DM265" s="1160"/>
      <c r="DN265" s="1160"/>
      <c r="DO265" s="1160"/>
      <c r="DP265" s="1160"/>
      <c r="DQ265" s="1160"/>
      <c r="DR265" s="1160"/>
      <c r="DS265" s="1160"/>
      <c r="DT265" s="1160"/>
      <c r="DU265" s="1160"/>
      <c r="DV265" s="1160"/>
      <c r="DW265" s="1160"/>
      <c r="DX265" s="1160"/>
      <c r="DY265" s="1160"/>
      <c r="DZ265" s="1160"/>
      <c r="EA265" s="1160"/>
      <c r="EB265" s="1160"/>
    </row>
    <row r="266" spans="1:132" x14ac:dyDescent="0.2">
      <c r="A266" s="1160"/>
      <c r="B266" s="1160"/>
      <c r="C266" s="1160"/>
      <c r="D266" s="1160"/>
      <c r="E266" s="1170"/>
      <c r="F266" s="1170"/>
      <c r="G266" s="1170"/>
      <c r="H266" s="1170"/>
      <c r="I266" s="1170"/>
      <c r="J266" s="1170"/>
      <c r="K266" s="1170"/>
      <c r="L266" s="1170"/>
      <c r="M266" s="1170"/>
      <c r="N266" s="1170"/>
      <c r="O266" s="1170"/>
      <c r="P266" s="1170"/>
      <c r="Q266" s="1170"/>
      <c r="R266" s="1170"/>
      <c r="S266" s="1170"/>
      <c r="T266" s="1170"/>
      <c r="U266" s="1170"/>
      <c r="V266" s="1170"/>
      <c r="W266" s="1170"/>
      <c r="X266" s="1170"/>
      <c r="Y266" s="1170"/>
      <c r="Z266" s="1170"/>
      <c r="AA266" s="1170"/>
      <c r="AB266" s="1170"/>
      <c r="AC266" s="1170"/>
      <c r="AD266" s="1170"/>
      <c r="AE266" s="1170"/>
      <c r="AF266" s="1170"/>
      <c r="AG266" s="1170"/>
      <c r="AH266" s="1170"/>
      <c r="AI266" s="1170"/>
      <c r="AJ266" s="1170"/>
      <c r="AK266" s="1170"/>
      <c r="AL266" s="1170"/>
      <c r="AM266" s="1170"/>
      <c r="AN266" s="1170"/>
      <c r="AO266" s="1170"/>
      <c r="AP266" s="1170"/>
      <c r="AQ266" s="1170"/>
      <c r="AR266" s="1170"/>
      <c r="AS266" s="1170"/>
      <c r="AT266" s="1170"/>
      <c r="AU266" s="1170"/>
      <c r="AV266" s="1170"/>
      <c r="AW266" s="1170"/>
      <c r="AX266" s="1170"/>
      <c r="AY266" s="1170"/>
      <c r="AZ266" s="1170"/>
      <c r="BA266" s="1170"/>
      <c r="BB266" s="1170"/>
      <c r="BC266" s="1170"/>
      <c r="BD266" s="1170"/>
      <c r="BE266" s="1170"/>
      <c r="BF266" s="1170"/>
      <c r="BG266" s="1170"/>
      <c r="BH266" s="1170"/>
      <c r="BI266" s="1186" t="str">
        <f>CokingRefineryCalcs!C846</f>
        <v>Vol Flow</v>
      </c>
      <c r="BJ266" s="1170" t="str">
        <f ca="1">CokingRefineryCalcs!D846</f>
        <v>m^3/d</v>
      </c>
      <c r="BK266" s="1170">
        <f ca="1">CokingRefineryCalcs!H846</f>
        <v>6.2442829188485434E-18</v>
      </c>
      <c r="BL266" s="1170"/>
      <c r="BM266" s="1170"/>
      <c r="BN266" s="1170"/>
      <c r="BO266" s="1170"/>
      <c r="BP266" s="1170"/>
      <c r="BQ266" s="1170"/>
      <c r="BR266" s="1186" t="str">
        <f>CokingRefineryCalcs!C913</f>
        <v>H</v>
      </c>
      <c r="BS266" s="1170" t="str">
        <f>CokingRefineryCalcs!D913</f>
        <v>wt%</v>
      </c>
      <c r="BT266" s="1170">
        <f ca="1">CokingRefineryCalcs!G913</f>
        <v>11.000000000000131</v>
      </c>
      <c r="BU266" s="1170"/>
      <c r="BV266" s="1170"/>
      <c r="BW266" s="1170"/>
      <c r="BX266" s="1170"/>
      <c r="BY266" s="1170"/>
      <c r="BZ266" s="1170"/>
      <c r="CA266" s="1170"/>
      <c r="CB266" s="1170"/>
      <c r="CC266" s="1170"/>
      <c r="CD266" s="1170"/>
      <c r="CE266" s="1170"/>
      <c r="CF266" s="1170"/>
      <c r="CG266" s="1170"/>
      <c r="CH266" s="1180" t="s">
        <v>1065</v>
      </c>
      <c r="CI266" s="1180"/>
      <c r="CJ266" s="1170">
        <f ca="1">CJ254/(CM180+CU239+CJ254+CP279)</f>
        <v>0.17096253652600549</v>
      </c>
      <c r="CK266" s="1170"/>
      <c r="CL266" s="1170"/>
      <c r="CM266" s="1170"/>
      <c r="CN266" s="1170"/>
      <c r="CO266" s="1170"/>
      <c r="CP266" s="1170"/>
      <c r="CQ266" s="1170"/>
      <c r="CR266" s="1170"/>
      <c r="CS266" s="1170"/>
      <c r="CT266" s="1170"/>
      <c r="CU266" s="1170"/>
      <c r="CV266" s="1170"/>
      <c r="CW266" s="1170"/>
      <c r="CX266" s="1170"/>
      <c r="CY266" s="1160"/>
      <c r="CZ266" s="1160"/>
      <c r="DA266" s="1160"/>
      <c r="DB266" s="1160"/>
      <c r="DC266" s="1160"/>
      <c r="DD266" s="1160"/>
      <c r="DE266" s="1160"/>
      <c r="DF266" s="1160"/>
      <c r="DG266" s="1160"/>
      <c r="DH266" s="1170"/>
      <c r="DI266" s="1160"/>
      <c r="DJ266" s="1160"/>
      <c r="DK266" s="1160"/>
      <c r="DL266" s="1160"/>
      <c r="DM266" s="1160"/>
      <c r="DN266" s="1160"/>
      <c r="DO266" s="1160"/>
      <c r="DP266" s="1160"/>
      <c r="DQ266" s="1160"/>
      <c r="DR266" s="1160"/>
      <c r="DS266" s="1160"/>
      <c r="DT266" s="1160"/>
      <c r="DU266" s="1160"/>
      <c r="DV266" s="1160"/>
      <c r="DW266" s="1160"/>
      <c r="DX266" s="1160"/>
      <c r="DY266" s="1160"/>
      <c r="DZ266" s="1160"/>
      <c r="EA266" s="1160"/>
      <c r="EB266" s="1160"/>
    </row>
    <row r="267" spans="1:132" x14ac:dyDescent="0.2">
      <c r="A267" s="1160"/>
      <c r="B267" s="1160"/>
      <c r="C267" s="1160"/>
      <c r="D267" s="1160"/>
      <c r="E267" s="1170"/>
      <c r="F267" s="1170"/>
      <c r="G267" s="1170"/>
      <c r="H267" s="1170"/>
      <c r="I267" s="1170"/>
      <c r="J267" s="1170"/>
      <c r="K267" s="1170"/>
      <c r="L267" s="1170"/>
      <c r="M267" s="1170"/>
      <c r="N267" s="1170"/>
      <c r="O267" s="1170"/>
      <c r="P267" s="1170"/>
      <c r="Q267" s="1170"/>
      <c r="R267" s="1170"/>
      <c r="S267" s="1170"/>
      <c r="T267" s="1170"/>
      <c r="U267" s="1170"/>
      <c r="V267" s="1170"/>
      <c r="W267" s="1170"/>
      <c r="X267" s="1170"/>
      <c r="Y267" s="1170"/>
      <c r="Z267" s="1170"/>
      <c r="AA267" s="1170"/>
      <c r="AB267" s="1170"/>
      <c r="AC267" s="1170"/>
      <c r="AD267" s="1170"/>
      <c r="AE267" s="1170"/>
      <c r="AF267" s="1170"/>
      <c r="AG267" s="1170"/>
      <c r="AH267" s="1170"/>
      <c r="AI267" s="1170"/>
      <c r="AJ267" s="1170"/>
      <c r="AK267" s="1170"/>
      <c r="AL267" s="1170"/>
      <c r="AM267" s="1170"/>
      <c r="AN267" s="1170"/>
      <c r="AO267" s="1170"/>
      <c r="AP267" s="1170"/>
      <c r="AQ267" s="1170"/>
      <c r="AR267" s="1170"/>
      <c r="AS267" s="1170"/>
      <c r="AT267" s="1170"/>
      <c r="AU267" s="1170"/>
      <c r="AV267" s="1170"/>
      <c r="AW267" s="1170"/>
      <c r="AX267" s="1170"/>
      <c r="AY267" s="1170"/>
      <c r="AZ267" s="1170"/>
      <c r="BA267" s="1170"/>
      <c r="BB267" s="1170"/>
      <c r="BC267" s="1170"/>
      <c r="BD267" s="1170"/>
      <c r="BE267" s="1170"/>
      <c r="BF267" s="1170"/>
      <c r="BG267" s="1170"/>
      <c r="BH267" s="1170"/>
      <c r="BI267" s="1186" t="str">
        <f>CokingRefineryCalcs!C847</f>
        <v>Mass Flow</v>
      </c>
      <c r="BJ267" s="1170" t="str">
        <f>CokingRefineryCalcs!D847</f>
        <v>kg/d</v>
      </c>
      <c r="BK267" s="1170">
        <f ca="1">CokingRefineryCalcs!H847</f>
        <v>5.8321602462043796E-15</v>
      </c>
      <c r="BL267" s="1170"/>
      <c r="BM267" s="1170"/>
      <c r="BN267" s="1170"/>
      <c r="BO267" s="1170"/>
      <c r="BP267" s="1170"/>
      <c r="BQ267" s="1170"/>
      <c r="BR267" s="1186" t="str">
        <f>CokingRefineryCalcs!C914</f>
        <v>MCR</v>
      </c>
      <c r="BS267" s="1170" t="str">
        <f>CokingRefineryCalcs!D914</f>
        <v>wt%</v>
      </c>
      <c r="BT267" s="1170">
        <f>CokingRefineryCalcs!G914</f>
        <v>0</v>
      </c>
      <c r="BU267" s="1170"/>
      <c r="BV267" s="1170"/>
      <c r="BW267" s="1170"/>
      <c r="BX267" s="1170"/>
      <c r="BY267" s="1170"/>
      <c r="BZ267" s="1170"/>
      <c r="CA267" s="1170"/>
      <c r="CB267" s="1170"/>
      <c r="CC267" s="1170"/>
      <c r="CD267" s="1170"/>
      <c r="CE267" s="1170"/>
      <c r="CF267" s="1170"/>
      <c r="CG267" s="1170"/>
      <c r="CH267" s="1239" t="s">
        <v>228</v>
      </c>
      <c r="CI267" s="1239"/>
      <c r="CJ267" s="1170">
        <f ca="1">CJ246/CC239</f>
        <v>0.21762785636576118</v>
      </c>
      <c r="CK267" s="1170"/>
      <c r="CL267" s="1170"/>
      <c r="CM267" s="1170"/>
      <c r="CN267" s="1181" t="str">
        <f>CokingRefineryCalcs!J752</f>
        <v>Slurry Oil</v>
      </c>
      <c r="CO267" s="1181"/>
      <c r="CP267" s="1170"/>
      <c r="CQ267" s="1170"/>
      <c r="CR267" s="1170"/>
      <c r="CS267" s="1191" t="str">
        <f>CN267</f>
        <v>Slurry Oil</v>
      </c>
      <c r="CT267" s="1191"/>
      <c r="CU267" s="1160"/>
      <c r="CV267" s="1170"/>
      <c r="CW267" s="1170"/>
      <c r="CX267" s="1170"/>
      <c r="CY267" s="1160"/>
      <c r="CZ267" s="1160"/>
      <c r="DA267" s="1160"/>
      <c r="DB267" s="1160"/>
      <c r="DC267" s="1160"/>
      <c r="DD267" s="1160"/>
      <c r="DE267" s="1160"/>
      <c r="DF267" s="1160"/>
      <c r="DG267" s="1160"/>
      <c r="DH267" s="1191"/>
      <c r="DI267" s="1170"/>
      <c r="DJ267" s="1160"/>
      <c r="DK267" s="1160"/>
      <c r="DL267" s="1160"/>
      <c r="DM267" s="1160"/>
      <c r="DN267" s="1160"/>
      <c r="DO267" s="1160"/>
      <c r="DP267" s="1160"/>
      <c r="DQ267" s="1160"/>
      <c r="DR267" s="1160"/>
      <c r="DS267" s="1160"/>
      <c r="DT267" s="1160"/>
      <c r="DU267" s="1160"/>
      <c r="DV267" s="1160"/>
      <c r="DW267" s="1160"/>
      <c r="DX267" s="1160"/>
      <c r="DY267" s="1160"/>
      <c r="DZ267" s="1160"/>
      <c r="EA267" s="1160"/>
      <c r="EB267" s="1160"/>
    </row>
    <row r="268" spans="1:132" x14ac:dyDescent="0.2">
      <c r="A268" s="1160"/>
      <c r="B268" s="1160"/>
      <c r="C268" s="1160"/>
      <c r="D268" s="1160"/>
      <c r="E268" s="1170"/>
      <c r="F268" s="1170"/>
      <c r="G268" s="1170"/>
      <c r="H268" s="1170"/>
      <c r="I268" s="1170"/>
      <c r="J268" s="1170"/>
      <c r="K268" s="1170"/>
      <c r="L268" s="1170"/>
      <c r="M268" s="1170"/>
      <c r="N268" s="1170"/>
      <c r="O268" s="1170"/>
      <c r="P268" s="1170"/>
      <c r="Q268" s="1170"/>
      <c r="R268" s="1170"/>
      <c r="S268" s="1170"/>
      <c r="T268" s="1170"/>
      <c r="U268" s="1170"/>
      <c r="V268" s="1170"/>
      <c r="W268" s="1170"/>
      <c r="X268" s="1170"/>
      <c r="Y268" s="1170"/>
      <c r="Z268" s="1170"/>
      <c r="AA268" s="1170"/>
      <c r="AB268" s="1170"/>
      <c r="AC268" s="1170"/>
      <c r="AD268" s="1170"/>
      <c r="AE268" s="1170"/>
      <c r="AF268" s="1170"/>
      <c r="AG268" s="1170"/>
      <c r="AH268" s="1170"/>
      <c r="AI268" s="1170"/>
      <c r="AJ268" s="1170"/>
      <c r="AK268" s="1170"/>
      <c r="AL268" s="1170"/>
      <c r="AM268" s="1170"/>
      <c r="AN268" s="1170"/>
      <c r="AO268" s="1170"/>
      <c r="AP268" s="1170"/>
      <c r="AQ268" s="1170"/>
      <c r="AR268" s="1170"/>
      <c r="AS268" s="1170"/>
      <c r="AT268" s="1170"/>
      <c r="AU268" s="1170"/>
      <c r="AV268" s="1170"/>
      <c r="AW268" s="1170"/>
      <c r="AX268" s="1170"/>
      <c r="AY268" s="1170"/>
      <c r="AZ268" s="1170"/>
      <c r="BA268" s="1170"/>
      <c r="BB268" s="1170"/>
      <c r="BC268" s="1170"/>
      <c r="BD268" s="1170"/>
      <c r="BE268" s="1170"/>
      <c r="BF268" s="1170"/>
      <c r="BG268" s="1170"/>
      <c r="BH268" s="1170"/>
      <c r="BI268" s="1186" t="str">
        <f>CokingRefineryCalcs!C848</f>
        <v xml:space="preserve">Sulphur </v>
      </c>
      <c r="BJ268" s="1170" t="str">
        <f ca="1">CokingRefineryCalcs!D848</f>
        <v>wt%</v>
      </c>
      <c r="BK268" s="1170">
        <f ca="1">CokingRefineryCalcs!H848</f>
        <v>0</v>
      </c>
      <c r="BL268" s="1170"/>
      <c r="BM268" s="1170"/>
      <c r="BN268" s="1170"/>
      <c r="BO268" s="1170"/>
      <c r="BP268" s="1170"/>
      <c r="BQ268" s="1170"/>
      <c r="BR268" s="1200" t="s">
        <v>1056</v>
      </c>
      <c r="BS268" s="1199" t="s">
        <v>447</v>
      </c>
      <c r="BT268" s="1199">
        <f ca="1">('Energy &amp; Unit Conversions'!$D$63-('Energy &amp; Unit Conversions'!$E$63*POWER((CokingRefineryPFD!BT265/'Energy &amp; Unit Conversions'!$E$54),2)))</f>
        <v>39.770156729102951</v>
      </c>
      <c r="BU268" s="1199"/>
      <c r="BV268" s="1170"/>
      <c r="BW268" s="1170"/>
      <c r="BX268" s="1170"/>
      <c r="BY268" s="1170"/>
      <c r="BZ268" s="1170"/>
      <c r="CA268" s="1170"/>
      <c r="CB268" s="1170"/>
      <c r="CC268" s="1170"/>
      <c r="CD268" s="1170"/>
      <c r="CE268" s="1170"/>
      <c r="CF268" s="1170"/>
      <c r="CG268" s="1170"/>
      <c r="CH268" s="1170"/>
      <c r="CI268" s="1170"/>
      <c r="CJ268" s="1170"/>
      <c r="CK268" s="1170"/>
      <c r="CL268" s="1170"/>
      <c r="CM268" s="1170"/>
      <c r="CN268" s="1182" t="str">
        <f>CokingRefineryCalcs!C752</f>
        <v>Property</v>
      </c>
      <c r="CO268" s="1182" t="str">
        <f>CokingRefineryCalcs!D752</f>
        <v>Units</v>
      </c>
      <c r="CP268" s="1170"/>
      <c r="CQ268" s="1170"/>
      <c r="CR268" s="1170"/>
      <c r="CS268" s="1193" t="s">
        <v>226</v>
      </c>
      <c r="CT268" s="1193"/>
      <c r="CU268" s="1194" t="s">
        <v>522</v>
      </c>
      <c r="CV268" s="1170"/>
      <c r="CW268" s="1170"/>
      <c r="CX268" s="1170"/>
      <c r="CY268" s="1170"/>
      <c r="CZ268" s="1160"/>
      <c r="DA268" s="1160"/>
      <c r="DB268" s="1160"/>
      <c r="DC268" s="1160"/>
      <c r="DD268" s="1160"/>
      <c r="DE268" s="1160"/>
      <c r="DF268" s="1160"/>
      <c r="DG268" s="1160"/>
      <c r="DH268" s="1255"/>
      <c r="DI268" s="1274"/>
      <c r="DJ268" s="1160"/>
      <c r="DK268" s="1160"/>
      <c r="DL268" s="1160"/>
      <c r="DM268" s="1160"/>
      <c r="DN268" s="1160"/>
      <c r="DO268" s="1160"/>
      <c r="DP268" s="1160"/>
      <c r="DQ268" s="1160"/>
      <c r="DR268" s="1160"/>
      <c r="DS268" s="1160"/>
      <c r="DT268" s="1160"/>
      <c r="DU268" s="1160"/>
      <c r="DV268" s="1160"/>
      <c r="DW268" s="1160"/>
      <c r="DX268" s="1160"/>
      <c r="DY268" s="1160"/>
      <c r="DZ268" s="1160"/>
      <c r="EA268" s="1160"/>
      <c r="EB268" s="1160"/>
    </row>
    <row r="269" spans="1:132" x14ac:dyDescent="0.2">
      <c r="A269" s="1160"/>
      <c r="B269" s="1160"/>
      <c r="C269" s="1160"/>
      <c r="D269" s="1160"/>
      <c r="E269" s="1170"/>
      <c r="F269" s="1170"/>
      <c r="G269" s="1170"/>
      <c r="H269" s="1170"/>
      <c r="I269" s="1170"/>
      <c r="J269" s="1170"/>
      <c r="K269" s="1170"/>
      <c r="L269" s="1170"/>
      <c r="M269" s="1170"/>
      <c r="N269" s="1170"/>
      <c r="O269" s="1170"/>
      <c r="P269" s="1170"/>
      <c r="Q269" s="1170"/>
      <c r="R269" s="1170"/>
      <c r="S269" s="1170"/>
      <c r="T269" s="1170"/>
      <c r="U269" s="1170"/>
      <c r="V269" s="1170"/>
      <c r="W269" s="1170"/>
      <c r="X269" s="1170"/>
      <c r="Y269" s="1170"/>
      <c r="Z269" s="1170"/>
      <c r="AA269" s="1170"/>
      <c r="AB269" s="1170"/>
      <c r="AC269" s="1170"/>
      <c r="AD269" s="1170"/>
      <c r="AE269" s="1170"/>
      <c r="AF269" s="1170"/>
      <c r="AG269" s="1170"/>
      <c r="AH269" s="1170"/>
      <c r="AI269" s="1170"/>
      <c r="AJ269" s="1170"/>
      <c r="AK269" s="1170"/>
      <c r="AL269" s="1170"/>
      <c r="AM269" s="1170"/>
      <c r="AN269" s="1107"/>
      <c r="AO269" s="1107"/>
      <c r="AP269" s="1107"/>
      <c r="AQ269" s="1107"/>
      <c r="AR269" s="1170"/>
      <c r="AS269" s="1170"/>
      <c r="AT269" s="1170"/>
      <c r="AU269" s="1170"/>
      <c r="AV269" s="1170"/>
      <c r="AW269" s="1170"/>
      <c r="AX269" s="1170"/>
      <c r="AY269" s="1170"/>
      <c r="AZ269" s="1170"/>
      <c r="BA269" s="1170"/>
      <c r="BB269" s="1170"/>
      <c r="BC269" s="1170"/>
      <c r="BD269" s="1170"/>
      <c r="BE269" s="1170"/>
      <c r="BF269" s="1170"/>
      <c r="BG269" s="1170"/>
      <c r="BH269" s="1170"/>
      <c r="BI269" s="1186" t="str">
        <f>CokingRefineryCalcs!C850</f>
        <v xml:space="preserve">API gravity </v>
      </c>
      <c r="BJ269" s="1170"/>
      <c r="BK269" s="1170">
        <f ca="1">CokingRefineryCalcs!H850</f>
        <v>19.998929336192617</v>
      </c>
      <c r="BL269" s="1170"/>
      <c r="BM269" s="1170"/>
      <c r="BN269" s="1170"/>
      <c r="BO269" s="1170"/>
      <c r="BP269" s="1170"/>
      <c r="BQ269" s="1170"/>
      <c r="BR269" s="1200" t="s">
        <v>1021</v>
      </c>
      <c r="BS269" s="1199" t="s">
        <v>1022</v>
      </c>
      <c r="BT269" s="1269">
        <f>BK274</f>
        <v>85.085002899169922</v>
      </c>
      <c r="BU269" s="1170"/>
      <c r="BV269" s="1170"/>
      <c r="BW269" s="1170"/>
      <c r="BX269" s="1170"/>
      <c r="BY269" s="1170"/>
      <c r="BZ269" s="1170"/>
      <c r="CA269" s="1170"/>
      <c r="CB269" s="1170"/>
      <c r="CC269" s="1170"/>
      <c r="CD269" s="1170"/>
      <c r="CE269" s="1170"/>
      <c r="CF269" s="1170"/>
      <c r="CG269" s="1170"/>
      <c r="CH269" s="1170"/>
      <c r="CI269" s="1170"/>
      <c r="CJ269" s="1170"/>
      <c r="CK269" s="1170"/>
      <c r="CL269" s="1170"/>
      <c r="CM269" s="1170"/>
      <c r="CN269" s="1186" t="str">
        <f>CokingRefineryCalcs!C753</f>
        <v>Vol Flow</v>
      </c>
      <c r="CO269" s="1170" t="str">
        <f ca="1">CokingRefineryCalcs!D753</f>
        <v>bpd</v>
      </c>
      <c r="CP269" s="1170">
        <f ca="1">CokingRefineryCalcs!J753</f>
        <v>2.7563827832009571E-17</v>
      </c>
      <c r="CQ269" s="1170"/>
      <c r="CR269" s="1170"/>
      <c r="CS269" s="1160" t="s">
        <v>263</v>
      </c>
      <c r="CT269" s="1160"/>
      <c r="CU269" s="1187">
        <f ca="1">CC251*CU275</f>
        <v>0</v>
      </c>
      <c r="CV269" s="1170"/>
      <c r="CW269" s="1170"/>
      <c r="CX269" s="1170"/>
      <c r="CY269" s="1170"/>
      <c r="CZ269" s="1160"/>
      <c r="DA269" s="1160"/>
      <c r="DB269" s="1160"/>
      <c r="DC269" s="1160"/>
      <c r="DD269" s="1160"/>
      <c r="DE269" s="1160"/>
      <c r="DF269" s="1160"/>
      <c r="DG269" s="1160"/>
      <c r="DH269" s="1160"/>
      <c r="DI269" s="1160"/>
      <c r="DJ269" s="1160"/>
      <c r="DK269" s="1160"/>
      <c r="DL269" s="1160"/>
      <c r="DM269" s="1160"/>
      <c r="DN269" s="1160"/>
      <c r="DO269" s="1160"/>
      <c r="DP269" s="1160"/>
      <c r="DQ269" s="1160"/>
      <c r="DR269" s="1160"/>
      <c r="DS269" s="1160"/>
      <c r="DT269" s="1160"/>
      <c r="DU269" s="1160"/>
      <c r="DV269" s="1160"/>
      <c r="DW269" s="1160"/>
      <c r="DX269" s="1160"/>
      <c r="DY269" s="1160"/>
      <c r="DZ269" s="1160"/>
      <c r="EA269" s="1160"/>
      <c r="EB269" s="1160"/>
    </row>
    <row r="270" spans="1:132" x14ac:dyDescent="0.2">
      <c r="A270" s="1160"/>
      <c r="B270" s="1160"/>
      <c r="C270" s="1160"/>
      <c r="D270" s="1160"/>
      <c r="E270" s="1170"/>
      <c r="F270" s="1170"/>
      <c r="G270" s="1170"/>
      <c r="H270" s="1170"/>
      <c r="I270" s="1170"/>
      <c r="J270" s="1170"/>
      <c r="K270" s="1170"/>
      <c r="L270" s="1170"/>
      <c r="M270" s="1170"/>
      <c r="N270" s="1170"/>
      <c r="O270" s="1170"/>
      <c r="P270" s="1170"/>
      <c r="Q270" s="1170"/>
      <c r="R270" s="1170"/>
      <c r="S270" s="1170"/>
      <c r="T270" s="1170"/>
      <c r="U270" s="1170"/>
      <c r="V270" s="1170"/>
      <c r="W270" s="1170"/>
      <c r="X270" s="1170"/>
      <c r="Y270" s="1170"/>
      <c r="Z270" s="1170"/>
      <c r="AA270" s="1170"/>
      <c r="AB270" s="1170"/>
      <c r="AC270" s="1170"/>
      <c r="AD270" s="1170"/>
      <c r="AE270" s="1170"/>
      <c r="AF270" s="1170"/>
      <c r="AG270" s="1170"/>
      <c r="AH270" s="1170"/>
      <c r="AI270" s="1170"/>
      <c r="AJ270" s="1170"/>
      <c r="AK270" s="1170"/>
      <c r="AL270" s="1170"/>
      <c r="AM270" s="1170"/>
      <c r="AN270" s="1107"/>
      <c r="AO270" s="1107"/>
      <c r="AP270" s="1107"/>
      <c r="AQ270" s="1107"/>
      <c r="AR270" s="1170"/>
      <c r="AS270" s="1170"/>
      <c r="AT270" s="1170"/>
      <c r="AU270" s="1170"/>
      <c r="AV270" s="1170"/>
      <c r="AW270" s="1170"/>
      <c r="AX270" s="1170"/>
      <c r="AY270" s="1170"/>
      <c r="AZ270" s="1170"/>
      <c r="BA270" s="1170"/>
      <c r="BB270" s="1170"/>
      <c r="BC270" s="1170"/>
      <c r="BD270" s="1170"/>
      <c r="BE270" s="1170"/>
      <c r="BF270" s="1170"/>
      <c r="BG270" s="1170"/>
      <c r="BH270" s="1170"/>
      <c r="BI270" s="1186" t="str">
        <f>CokingRefineryCalcs!C851</f>
        <v>Density</v>
      </c>
      <c r="BJ270" s="1170" t="str">
        <f ca="1">CokingRefineryCalcs!D851</f>
        <v>kg/m^3</v>
      </c>
      <c r="BK270" s="1170">
        <f ca="1">CokingRefineryCalcs!H851</f>
        <v>933.99999999997431</v>
      </c>
      <c r="BL270" s="1170"/>
      <c r="BM270" s="1170"/>
      <c r="BN270" s="1170"/>
      <c r="BO270" s="1170"/>
      <c r="BP270" s="1170"/>
      <c r="BQ270" s="1170"/>
      <c r="BR270" s="1204" t="s">
        <v>1054</v>
      </c>
      <c r="BS270" s="1204" t="str">
        <f>IF(allocationMethod=1,$C$21,IF(allocationMethod=2,$C$22,IF(allocationMethod=3,$C$23,$C$24)))</f>
        <v>Hydrogen Content Basis</v>
      </c>
      <c r="BT270" s="1204">
        <f ca="1">IF(allocationMethod=1,BT262,IF(allocationMethod=2,BT268*BT262,IF(allocationMethod=3,BT269*BT260,BT266*BT262/100)))</f>
        <v>6.4153762708184791E-16</v>
      </c>
      <c r="BU270" s="1204"/>
      <c r="BV270" s="1170"/>
      <c r="BW270" s="1170"/>
      <c r="BX270" s="1170"/>
      <c r="BY270" s="1170"/>
      <c r="BZ270" s="1170"/>
      <c r="CA270" s="1170"/>
      <c r="CB270" s="1170"/>
      <c r="CC270" s="1170"/>
      <c r="CD270" s="1170"/>
      <c r="CE270" s="1170"/>
      <c r="CF270" s="1170"/>
      <c r="CG270" s="1170"/>
      <c r="CH270" s="1170"/>
      <c r="CI270" s="1170"/>
      <c r="CJ270" s="1170"/>
      <c r="CK270" s="1170"/>
      <c r="CL270" s="1170"/>
      <c r="CM270" s="1170"/>
      <c r="CN270" s="1186" t="str">
        <f>CokingRefineryCalcs!C754</f>
        <v>Vol Flow</v>
      </c>
      <c r="CO270" s="1170" t="str">
        <f ca="1">CokingRefineryCalcs!D754</f>
        <v>m^3/d</v>
      </c>
      <c r="CP270" s="1170">
        <f ca="1">CokingRefineryCalcs!J754</f>
        <v>4.3822985646760549E-18</v>
      </c>
      <c r="CQ270" s="1170"/>
      <c r="CR270" s="1170"/>
      <c r="CS270" s="1160" t="s">
        <v>392</v>
      </c>
      <c r="CT270" s="1160"/>
      <c r="CU270" s="1187">
        <f ca="1">(CC252+CF215)*$CU$275</f>
        <v>0</v>
      </c>
      <c r="CV270" s="1170"/>
      <c r="CW270" s="1170"/>
      <c r="CX270" s="1170"/>
      <c r="CY270" s="1170"/>
      <c r="CZ270" s="1160"/>
      <c r="DA270" s="1160"/>
      <c r="DB270" s="1160"/>
      <c r="DC270" s="1160"/>
      <c r="DD270" s="1160"/>
      <c r="DE270" s="1160"/>
      <c r="DF270" s="1160"/>
      <c r="DG270" s="1160"/>
      <c r="DH270" s="1160"/>
      <c r="DI270" s="1160"/>
      <c r="DJ270" s="1160"/>
      <c r="DK270" s="1160"/>
      <c r="DL270" s="1160"/>
      <c r="DM270" s="1160"/>
      <c r="DN270" s="1160"/>
      <c r="DO270" s="1160"/>
      <c r="DP270" s="1160"/>
      <c r="DQ270" s="1160"/>
      <c r="DR270" s="1160"/>
      <c r="DS270" s="1160"/>
      <c r="DT270" s="1160"/>
      <c r="DU270" s="1160"/>
      <c r="DV270" s="1160"/>
      <c r="DW270" s="1160"/>
      <c r="DX270" s="1160"/>
      <c r="DY270" s="1160"/>
      <c r="DZ270" s="1160"/>
      <c r="EA270" s="1160"/>
      <c r="EB270" s="1160"/>
    </row>
    <row r="271" spans="1:132" x14ac:dyDescent="0.2">
      <c r="A271" s="1160"/>
      <c r="B271" s="1160"/>
      <c r="C271" s="1160"/>
      <c r="D271" s="1160"/>
      <c r="E271" s="1170"/>
      <c r="F271" s="1170"/>
      <c r="G271" s="1170"/>
      <c r="H271" s="1170"/>
      <c r="I271" s="1170"/>
      <c r="J271" s="1170"/>
      <c r="K271" s="1170"/>
      <c r="L271" s="1170"/>
      <c r="M271" s="1170"/>
      <c r="N271" s="1170"/>
      <c r="O271" s="1170"/>
      <c r="P271" s="1170"/>
      <c r="Q271" s="1170"/>
      <c r="R271" s="1170"/>
      <c r="S271" s="1170"/>
      <c r="T271" s="1170"/>
      <c r="U271" s="1170"/>
      <c r="V271" s="1170"/>
      <c r="W271" s="1170"/>
      <c r="X271" s="1170"/>
      <c r="Y271" s="1170"/>
      <c r="Z271" s="1170"/>
      <c r="AA271" s="1170"/>
      <c r="AB271" s="1170"/>
      <c r="AC271" s="1170"/>
      <c r="AD271" s="1170"/>
      <c r="AE271" s="1170"/>
      <c r="AF271" s="1170"/>
      <c r="AG271" s="1170"/>
      <c r="AH271" s="1170"/>
      <c r="AI271" s="1170"/>
      <c r="AJ271" s="1170"/>
      <c r="AK271" s="1170"/>
      <c r="AL271" s="1170"/>
      <c r="AM271" s="1170"/>
      <c r="AN271" s="1107"/>
      <c r="AO271" s="1107"/>
      <c r="AP271" s="1107"/>
      <c r="AQ271" s="1107"/>
      <c r="AR271" s="1170"/>
      <c r="AS271" s="1170"/>
      <c r="AT271" s="1170"/>
      <c r="AU271" s="1170"/>
      <c r="AV271" s="1170"/>
      <c r="AW271" s="1170"/>
      <c r="AX271" s="1170"/>
      <c r="AY271" s="1170"/>
      <c r="AZ271" s="1170"/>
      <c r="BA271" s="1170"/>
      <c r="BB271" s="1170"/>
      <c r="BC271" s="1170"/>
      <c r="BD271" s="1170"/>
      <c r="BE271" s="1170"/>
      <c r="BF271" s="1170"/>
      <c r="BG271" s="1170"/>
      <c r="BH271" s="1170"/>
      <c r="BI271" s="1186" t="str">
        <f>CokingRefineryCalcs!C852</f>
        <v>Hydrogen</v>
      </c>
      <c r="BJ271" s="1170" t="str">
        <f ca="1">CokingRefineryCalcs!D852</f>
        <v>wt%</v>
      </c>
      <c r="BK271" s="1170">
        <f ca="1">CokingRefineryCalcs!H852</f>
        <v>11.000000000000131</v>
      </c>
      <c r="BL271" s="1170"/>
      <c r="BM271" s="1170"/>
      <c r="BN271" s="1170"/>
      <c r="BO271" s="1170"/>
      <c r="BP271" s="1170"/>
      <c r="BQ271" s="1170"/>
      <c r="BR271" s="1180" t="str">
        <f>BR258</f>
        <v>CGO to FCC</v>
      </c>
      <c r="BS271" s="1170"/>
      <c r="BT271" s="1170"/>
      <c r="BU271" s="1170"/>
      <c r="BV271" s="1170"/>
      <c r="BW271" s="1170"/>
      <c r="BX271" s="1170"/>
      <c r="BY271" s="1170"/>
      <c r="BZ271" s="1170"/>
      <c r="CA271" s="1170"/>
      <c r="CB271" s="1170"/>
      <c r="CC271" s="1170"/>
      <c r="CD271" s="1170"/>
      <c r="CE271" s="1170"/>
      <c r="CF271" s="1170"/>
      <c r="CG271" s="1170"/>
      <c r="CH271" s="1170"/>
      <c r="CI271" s="1170"/>
      <c r="CJ271" s="1170"/>
      <c r="CK271" s="1170"/>
      <c r="CL271" s="1170"/>
      <c r="CM271" s="1170"/>
      <c r="CN271" s="1186" t="str">
        <f>CokingRefineryCalcs!C755</f>
        <v>Mass Flow</v>
      </c>
      <c r="CO271" s="1170" t="str">
        <f>CokingRefineryCalcs!D755</f>
        <v>kg/d</v>
      </c>
      <c r="CP271" s="1170">
        <f ca="1">CokingRefineryCalcs!J755</f>
        <v>4.4261215503222749E-15</v>
      </c>
      <c r="CQ271" s="1170"/>
      <c r="CR271" s="1170"/>
      <c r="CS271" s="1160" t="s">
        <v>224</v>
      </c>
      <c r="CT271" s="1160"/>
      <c r="CU271" s="1187">
        <f ca="1">(CC253+CF216)*$CU$275</f>
        <v>0</v>
      </c>
      <c r="CV271" s="1170"/>
      <c r="CW271" s="1170"/>
      <c r="CX271" s="1170"/>
      <c r="CY271" s="1170"/>
      <c r="CZ271" s="1160"/>
      <c r="DA271" s="1160"/>
      <c r="DB271" s="1160"/>
      <c r="DC271" s="1160"/>
      <c r="DD271" s="1160"/>
      <c r="DE271" s="1160"/>
      <c r="DF271" s="1160"/>
      <c r="DG271" s="1160"/>
      <c r="DH271" s="1160"/>
      <c r="DI271" s="1160"/>
      <c r="DJ271" s="1160"/>
      <c r="DK271" s="1160"/>
      <c r="DL271" s="1160"/>
      <c r="DM271" s="1160"/>
      <c r="DN271" s="1160"/>
      <c r="DO271" s="1160"/>
      <c r="DP271" s="1160"/>
      <c r="DQ271" s="1160"/>
      <c r="DR271" s="1160"/>
      <c r="DS271" s="1160"/>
      <c r="DT271" s="1160"/>
      <c r="DU271" s="1160"/>
      <c r="DV271" s="1160"/>
      <c r="DW271" s="1160"/>
      <c r="DX271" s="1160"/>
      <c r="DY271" s="1160"/>
      <c r="DZ271" s="1160"/>
      <c r="EA271" s="1160"/>
      <c r="EB271" s="1160"/>
    </row>
    <row r="272" spans="1:132" x14ac:dyDescent="0.2">
      <c r="A272" s="1160"/>
      <c r="B272" s="1160"/>
      <c r="C272" s="1160"/>
      <c r="D272" s="1160"/>
      <c r="E272" s="1170"/>
      <c r="F272" s="1170"/>
      <c r="G272" s="1170"/>
      <c r="H272" s="1170"/>
      <c r="I272" s="1170"/>
      <c r="J272" s="1170"/>
      <c r="K272" s="1170"/>
      <c r="L272" s="1170"/>
      <c r="M272" s="1170"/>
      <c r="N272" s="1170"/>
      <c r="O272" s="1170"/>
      <c r="P272" s="1170"/>
      <c r="Q272" s="1170"/>
      <c r="R272" s="1170"/>
      <c r="S272" s="1170"/>
      <c r="T272" s="1170"/>
      <c r="U272" s="1170"/>
      <c r="V272" s="1170"/>
      <c r="W272" s="1170"/>
      <c r="X272" s="1170"/>
      <c r="Y272" s="1170"/>
      <c r="Z272" s="1170"/>
      <c r="AA272" s="1170"/>
      <c r="AB272" s="1170"/>
      <c r="AC272" s="1170"/>
      <c r="AD272" s="1170"/>
      <c r="AE272" s="1170"/>
      <c r="AF272" s="1170"/>
      <c r="AG272" s="1170"/>
      <c r="AH272" s="1170"/>
      <c r="AI272" s="1170"/>
      <c r="AJ272" s="1170"/>
      <c r="AK272" s="1170"/>
      <c r="AL272" s="1170"/>
      <c r="AM272" s="1170"/>
      <c r="AN272" s="1170"/>
      <c r="AO272" s="1107"/>
      <c r="AP272" s="1107"/>
      <c r="AQ272" s="1107"/>
      <c r="AR272" s="1170"/>
      <c r="AS272" s="1170"/>
      <c r="AT272" s="1170"/>
      <c r="AU272" s="1170"/>
      <c r="AV272" s="1170"/>
      <c r="AW272" s="1170"/>
      <c r="AX272" s="1170"/>
      <c r="AY272" s="1170"/>
      <c r="AZ272" s="1170"/>
      <c r="BA272" s="1170"/>
      <c r="BB272" s="1170"/>
      <c r="BC272" s="1170"/>
      <c r="BD272" s="1170"/>
      <c r="BE272" s="1170"/>
      <c r="BF272" s="1170"/>
      <c r="BG272" s="1170"/>
      <c r="BH272" s="1170"/>
      <c r="BI272" s="1186" t="str">
        <f>CokingRefineryCalcs!C853</f>
        <v>MCR</v>
      </c>
      <c r="BJ272" s="1170" t="str">
        <f ca="1">CokingRefineryCalcs!D853</f>
        <v>wt%</v>
      </c>
      <c r="BK272" s="1170">
        <f>CokingRefineryCalcs!H853</f>
        <v>0</v>
      </c>
      <c r="BL272" s="1170"/>
      <c r="BM272" s="1170"/>
      <c r="BN272" s="1170"/>
      <c r="BO272" s="1170"/>
      <c r="BP272" s="1170"/>
      <c r="BQ272" s="1170"/>
      <c r="BR272" s="1183" t="s">
        <v>226</v>
      </c>
      <c r="BS272" s="1170"/>
      <c r="BT272" s="1184" t="s">
        <v>522</v>
      </c>
      <c r="BU272" s="1184"/>
      <c r="BV272" s="1170"/>
      <c r="BW272" s="1170"/>
      <c r="BX272" s="1170"/>
      <c r="BY272" s="1170"/>
      <c r="BZ272" s="1170"/>
      <c r="CA272" s="1170"/>
      <c r="CB272" s="1170"/>
      <c r="CC272" s="1170"/>
      <c r="CD272" s="1170"/>
      <c r="CE272" s="1170"/>
      <c r="CF272" s="1170"/>
      <c r="CG272" s="1170"/>
      <c r="CH272" s="1170"/>
      <c r="CI272" s="1170"/>
      <c r="CJ272" s="1170"/>
      <c r="CK272" s="1170"/>
      <c r="CL272" s="1170"/>
      <c r="CM272" s="1170"/>
      <c r="CN272" s="1186" t="str">
        <f>CokingRefineryCalcs!C756</f>
        <v xml:space="preserve">Sulphur </v>
      </c>
      <c r="CO272" s="1170" t="str">
        <f ca="1">CokingRefineryCalcs!D756</f>
        <v>wt%</v>
      </c>
      <c r="CP272" s="1170">
        <f ca="1">CokingRefineryCalcs!J756</f>
        <v>0</v>
      </c>
      <c r="CQ272" s="1170"/>
      <c r="CR272" s="1170"/>
      <c r="CS272" s="1160" t="s">
        <v>485</v>
      </c>
      <c r="CT272" s="1160"/>
      <c r="CU272" s="1187">
        <f ca="1">(CC254+CF217)*$CU$275</f>
        <v>0</v>
      </c>
      <c r="CV272" s="1170"/>
      <c r="CW272" s="1170"/>
      <c r="CX272" s="1170"/>
      <c r="CY272" s="1170"/>
      <c r="CZ272" s="1160"/>
      <c r="DA272" s="1160"/>
      <c r="DB272" s="1160"/>
      <c r="DC272" s="1160"/>
      <c r="DD272" s="1160"/>
      <c r="DE272" s="1160"/>
      <c r="DF272" s="1160"/>
      <c r="DG272" s="1160"/>
      <c r="DH272" s="1160"/>
      <c r="DI272" s="1160"/>
      <c r="DJ272" s="1160"/>
      <c r="DK272" s="1160"/>
      <c r="DL272" s="1160"/>
      <c r="DM272" s="1160"/>
      <c r="DN272" s="1160"/>
      <c r="DO272" s="1160"/>
      <c r="DP272" s="1160"/>
      <c r="DQ272" s="1160"/>
      <c r="DR272" s="1160"/>
      <c r="DS272" s="1160"/>
      <c r="DT272" s="1160"/>
      <c r="DU272" s="1160"/>
      <c r="DV272" s="1160"/>
      <c r="DW272" s="1160"/>
      <c r="DX272" s="1160"/>
      <c r="DY272" s="1160"/>
      <c r="DZ272" s="1160"/>
      <c r="EA272" s="1160"/>
      <c r="EB272" s="1160"/>
    </row>
    <row r="273" spans="1:132" x14ac:dyDescent="0.2">
      <c r="A273" s="1160"/>
      <c r="B273" s="1160"/>
      <c r="C273" s="1160"/>
      <c r="D273" s="1160"/>
      <c r="E273" s="1170"/>
      <c r="F273" s="1170"/>
      <c r="G273" s="1170"/>
      <c r="H273" s="1170"/>
      <c r="I273" s="1170"/>
      <c r="J273" s="1170"/>
      <c r="K273" s="1170"/>
      <c r="L273" s="1170"/>
      <c r="M273" s="1170"/>
      <c r="N273" s="1170"/>
      <c r="O273" s="1170"/>
      <c r="P273" s="1170"/>
      <c r="Q273" s="1170"/>
      <c r="R273" s="1170"/>
      <c r="S273" s="1170"/>
      <c r="T273" s="1170"/>
      <c r="U273" s="1170"/>
      <c r="V273" s="1170"/>
      <c r="W273" s="1170"/>
      <c r="X273" s="1170"/>
      <c r="Y273" s="1170"/>
      <c r="Z273" s="1170"/>
      <c r="AA273" s="1170"/>
      <c r="AB273" s="1170"/>
      <c r="AC273" s="1170"/>
      <c r="AD273" s="1170"/>
      <c r="AE273" s="1170"/>
      <c r="AF273" s="1170"/>
      <c r="AG273" s="1170"/>
      <c r="AH273" s="1170"/>
      <c r="AI273" s="1170"/>
      <c r="AJ273" s="1170"/>
      <c r="AK273" s="1170"/>
      <c r="AL273" s="1170"/>
      <c r="AM273" s="1170"/>
      <c r="AN273" s="1170"/>
      <c r="AO273" s="1107"/>
      <c r="AP273" s="1107"/>
      <c r="AQ273" s="1107"/>
      <c r="AR273" s="1170"/>
      <c r="AS273" s="1170"/>
      <c r="AT273" s="1170"/>
      <c r="AU273" s="1170"/>
      <c r="AV273" s="1170"/>
      <c r="AW273" s="1170"/>
      <c r="AX273" s="1170"/>
      <c r="AY273" s="1170"/>
      <c r="AZ273" s="1170"/>
      <c r="BA273" s="1170"/>
      <c r="BB273" s="1170"/>
      <c r="BC273" s="1170"/>
      <c r="BD273" s="1170"/>
      <c r="BE273" s="1170"/>
      <c r="BF273" s="1170"/>
      <c r="BG273" s="1170"/>
      <c r="BH273" s="1170"/>
      <c r="BI273" s="1200" t="s">
        <v>1056</v>
      </c>
      <c r="BJ273" s="1199" t="s">
        <v>447</v>
      </c>
      <c r="BK273" s="1199">
        <f ca="1">('Energy &amp; Unit Conversions'!$D$63-('Energy &amp; Unit Conversions'!$E$63*POWER((CokingRefineryPFD!BK270/'Energy &amp; Unit Conversions'!$E$54),2)))</f>
        <v>39.770156729102951</v>
      </c>
      <c r="BL273" s="1170"/>
      <c r="BM273" s="1170"/>
      <c r="BN273" s="1170"/>
      <c r="BO273" s="1170"/>
      <c r="BP273" s="1170"/>
      <c r="BQ273" s="1170"/>
      <c r="BR273" s="1170" t="s">
        <v>263</v>
      </c>
      <c r="BS273" s="1170"/>
      <c r="BT273" s="1187">
        <f ca="1">BK278*$BT$278</f>
        <v>0</v>
      </c>
      <c r="BU273" s="1170"/>
      <c r="BV273" s="1170"/>
      <c r="BW273" s="1170"/>
      <c r="BX273" s="1170"/>
      <c r="BY273" s="1170"/>
      <c r="BZ273" s="1170"/>
      <c r="CA273" s="1170"/>
      <c r="CB273" s="1170"/>
      <c r="CC273" s="1170"/>
      <c r="CD273" s="1170"/>
      <c r="CE273" s="1170"/>
      <c r="CF273" s="1170"/>
      <c r="CG273" s="1170"/>
      <c r="CH273" s="1170"/>
      <c r="CI273" s="1170"/>
      <c r="CJ273" s="1170"/>
      <c r="CK273" s="1170"/>
      <c r="CL273" s="1170"/>
      <c r="CM273" s="1170"/>
      <c r="CN273" s="1186" t="str">
        <f>CokingRefineryCalcs!C758</f>
        <v xml:space="preserve">API gravity </v>
      </c>
      <c r="CO273" s="1170"/>
      <c r="CP273" s="1170">
        <f ca="1">CokingRefineryCalcs!J758</f>
        <v>8.5990099010072356</v>
      </c>
      <c r="CQ273" s="1170"/>
      <c r="CR273" s="1170"/>
      <c r="CS273" s="1160" t="s">
        <v>541</v>
      </c>
      <c r="CT273" s="1160"/>
      <c r="CU273" s="1187">
        <f ca="1">(CC255+CF218)*$CU$275</f>
        <v>0</v>
      </c>
      <c r="CV273" s="1170"/>
      <c r="CW273" s="1170"/>
      <c r="CX273" s="1170"/>
      <c r="CY273" s="1170"/>
      <c r="CZ273" s="1160"/>
      <c r="DA273" s="1160"/>
      <c r="DB273" s="1160"/>
      <c r="DC273" s="1160"/>
      <c r="DD273" s="1160"/>
      <c r="DE273" s="1160"/>
      <c r="DF273" s="1160"/>
      <c r="DG273" s="1160"/>
      <c r="DH273" s="1160"/>
      <c r="DI273" s="1160"/>
      <c r="DJ273" s="1160"/>
      <c r="DK273" s="1160"/>
      <c r="DL273" s="1160"/>
      <c r="DM273" s="1160"/>
      <c r="DN273" s="1160"/>
      <c r="DO273" s="1160"/>
      <c r="DP273" s="1160"/>
      <c r="DQ273" s="1160"/>
      <c r="DR273" s="1160"/>
      <c r="DS273" s="1160"/>
      <c r="DT273" s="1160"/>
      <c r="DU273" s="1160"/>
      <c r="DV273" s="1160"/>
      <c r="DW273" s="1160"/>
      <c r="DX273" s="1160"/>
      <c r="DY273" s="1160"/>
      <c r="DZ273" s="1160"/>
      <c r="EA273" s="1160"/>
      <c r="EB273" s="1160"/>
    </row>
    <row r="274" spans="1:132" x14ac:dyDescent="0.2">
      <c r="A274" s="1160"/>
      <c r="B274" s="1160"/>
      <c r="C274" s="1160"/>
      <c r="D274" s="1160"/>
      <c r="E274" s="1170"/>
      <c r="F274" s="1170"/>
      <c r="G274" s="1170"/>
      <c r="H274" s="1170"/>
      <c r="I274" s="1170"/>
      <c r="J274" s="1170"/>
      <c r="K274" s="1170"/>
      <c r="L274" s="1170"/>
      <c r="M274" s="1170"/>
      <c r="N274" s="1170"/>
      <c r="O274" s="1170"/>
      <c r="P274" s="1170"/>
      <c r="Q274" s="1170"/>
      <c r="R274" s="1170"/>
      <c r="S274" s="1170"/>
      <c r="T274" s="1170"/>
      <c r="U274" s="1170"/>
      <c r="V274" s="1170"/>
      <c r="W274" s="1170"/>
      <c r="X274" s="1170"/>
      <c r="Y274" s="1170"/>
      <c r="Z274" s="1170"/>
      <c r="AA274" s="1170"/>
      <c r="AB274" s="1170"/>
      <c r="AC274" s="1170"/>
      <c r="AD274" s="1170"/>
      <c r="AE274" s="1170"/>
      <c r="AF274" s="1170"/>
      <c r="AG274" s="1170"/>
      <c r="AH274" s="1170"/>
      <c r="AI274" s="1170"/>
      <c r="AJ274" s="1170"/>
      <c r="AK274" s="1170"/>
      <c r="AL274" s="1170"/>
      <c r="AM274" s="1170"/>
      <c r="AN274" s="1170"/>
      <c r="AO274" s="1107"/>
      <c r="AP274" s="1107"/>
      <c r="AQ274" s="1107"/>
      <c r="AR274" s="1170"/>
      <c r="AS274" s="1170"/>
      <c r="AT274" s="1170"/>
      <c r="AU274" s="1170"/>
      <c r="AV274" s="1170"/>
      <c r="AW274" s="1170"/>
      <c r="AX274" s="1170"/>
      <c r="AY274" s="1170"/>
      <c r="AZ274" s="1170"/>
      <c r="BA274" s="1170"/>
      <c r="BB274" s="1170"/>
      <c r="BC274" s="1170"/>
      <c r="BD274" s="1170"/>
      <c r="BE274" s="1170"/>
      <c r="BF274" s="1170"/>
      <c r="BG274" s="1170"/>
      <c r="BH274" s="1170"/>
      <c r="BI274" s="1200" t="s">
        <v>1021</v>
      </c>
      <c r="BJ274" s="1199" t="s">
        <v>1022</v>
      </c>
      <c r="BK274" s="1246">
        <f>AM180</f>
        <v>85.085002899169922</v>
      </c>
      <c r="BL274" s="1170"/>
      <c r="BM274" s="1170"/>
      <c r="BN274" s="1170"/>
      <c r="BO274" s="1170"/>
      <c r="BP274" s="1170"/>
      <c r="BQ274" s="1170"/>
      <c r="BR274" s="1170" t="s">
        <v>392</v>
      </c>
      <c r="BS274" s="1170"/>
      <c r="BT274" s="1187">
        <f ca="1">BK279*$BT$278</f>
        <v>0</v>
      </c>
      <c r="BU274" s="1170"/>
      <c r="BV274" s="1170"/>
      <c r="BW274" s="1170"/>
      <c r="BX274" s="1170"/>
      <c r="BY274" s="1170"/>
      <c r="BZ274" s="1170"/>
      <c r="CA274" s="1170"/>
      <c r="CB274" s="1170"/>
      <c r="CC274" s="1170"/>
      <c r="CD274" s="1170"/>
      <c r="CE274" s="1170"/>
      <c r="CF274" s="1170"/>
      <c r="CG274" s="1170"/>
      <c r="CH274" s="1170"/>
      <c r="CI274" s="1170"/>
      <c r="CJ274" s="1170"/>
      <c r="CK274" s="1170"/>
      <c r="CL274" s="1170"/>
      <c r="CM274" s="1170"/>
      <c r="CN274" s="1186" t="str">
        <f>CokingRefineryCalcs!C759</f>
        <v>Density</v>
      </c>
      <c r="CO274" s="1170" t="str">
        <f ca="1">CokingRefineryCalcs!D759</f>
        <v>kg/m^3</v>
      </c>
      <c r="CP274" s="1170">
        <f ca="1">CokingRefineryCalcs!J759</f>
        <v>1009.9999999998765</v>
      </c>
      <c r="CQ274" s="1170"/>
      <c r="CR274" s="1170"/>
      <c r="CS274" s="1170" t="str">
        <f>CA256</f>
        <v>Catalyst Coke</v>
      </c>
      <c r="CT274" s="1170"/>
      <c r="CU274" s="1187">
        <f ca="1">(CC256+CH188)*$CU$275</f>
        <v>0</v>
      </c>
      <c r="CV274" s="1170"/>
      <c r="CW274" s="1170"/>
      <c r="CX274" s="1170"/>
      <c r="CY274" s="1170"/>
      <c r="CZ274" s="1160"/>
      <c r="DA274" s="1160"/>
      <c r="DB274" s="1980" t="s">
        <v>1909</v>
      </c>
      <c r="DC274" s="1160"/>
      <c r="DD274" s="1160"/>
      <c r="DE274" s="1978" t="s">
        <v>1909</v>
      </c>
      <c r="DF274" s="1979"/>
      <c r="DG274" s="1979"/>
      <c r="DH274" s="1170"/>
      <c r="DI274" s="1160"/>
      <c r="DJ274" s="1160"/>
      <c r="DK274" s="1171"/>
      <c r="DL274" s="1160"/>
      <c r="DM274" s="1160"/>
      <c r="DN274" s="1160"/>
      <c r="DO274" s="1160"/>
      <c r="DP274" s="1160"/>
      <c r="DQ274" s="1160"/>
      <c r="DR274" s="1160"/>
      <c r="DS274" s="1160"/>
      <c r="DT274" s="1160"/>
      <c r="DU274" s="1160"/>
      <c r="DV274" s="1160"/>
      <c r="DW274" s="1160"/>
      <c r="DX274" s="1160"/>
      <c r="DY274" s="1160"/>
      <c r="DZ274" s="1160"/>
      <c r="EA274" s="1160"/>
      <c r="EB274" s="1160"/>
    </row>
    <row r="275" spans="1:132" x14ac:dyDescent="0.2">
      <c r="A275" s="1160"/>
      <c r="B275" s="1160"/>
      <c r="C275" s="1160"/>
      <c r="D275" s="1160"/>
      <c r="E275" s="1170"/>
      <c r="F275" s="1170"/>
      <c r="G275" s="1170"/>
      <c r="H275" s="1170"/>
      <c r="I275" s="1170"/>
      <c r="J275" s="1170"/>
      <c r="K275" s="1170"/>
      <c r="L275" s="1170"/>
      <c r="M275" s="1170"/>
      <c r="N275" s="1170"/>
      <c r="O275" s="1170"/>
      <c r="P275" s="1170"/>
      <c r="Q275" s="1170"/>
      <c r="R275" s="1170"/>
      <c r="S275" s="1170"/>
      <c r="T275" s="1170"/>
      <c r="U275" s="1170"/>
      <c r="V275" s="1170"/>
      <c r="W275" s="1170"/>
      <c r="X275" s="1170"/>
      <c r="Y275" s="1170"/>
      <c r="Z275" s="1170"/>
      <c r="AA275" s="1170"/>
      <c r="AB275" s="1170"/>
      <c r="AC275" s="1170"/>
      <c r="AD275" s="1170"/>
      <c r="AE275" s="1170"/>
      <c r="AF275" s="1170"/>
      <c r="AG275" s="1170"/>
      <c r="AH275" s="1170"/>
      <c r="AI275" s="1170"/>
      <c r="AJ275" s="1170"/>
      <c r="AK275" s="1170"/>
      <c r="AL275" s="1170"/>
      <c r="AM275" s="1170"/>
      <c r="AN275" s="1170"/>
      <c r="AO275" s="1170"/>
      <c r="AP275" s="1170"/>
      <c r="AQ275" s="1170"/>
      <c r="AR275" s="1170"/>
      <c r="AS275" s="1170"/>
      <c r="AT275" s="1170"/>
      <c r="AU275" s="1170"/>
      <c r="AV275" s="1170"/>
      <c r="AW275" s="1170"/>
      <c r="AX275" s="1170"/>
      <c r="AY275" s="1170"/>
      <c r="AZ275" s="1170"/>
      <c r="BA275" s="1170"/>
      <c r="BB275" s="1170"/>
      <c r="BC275" s="1170"/>
      <c r="BD275" s="1170"/>
      <c r="BE275" s="1170"/>
      <c r="BF275" s="1170"/>
      <c r="BG275" s="1170"/>
      <c r="BH275" s="1170"/>
      <c r="BI275" s="1204" t="s">
        <v>1054</v>
      </c>
      <c r="BJ275" s="1204" t="str">
        <f>IF(allocationMethod=1,$C$21,IF(allocationMethod=2,$C$22,IF(allocationMethod=3,$C$23,$C$24)))</f>
        <v>Hydrogen Content Basis</v>
      </c>
      <c r="BK275" s="1204">
        <f ca="1">IF(allocationMethod=1,BK267,IF(allocationMethod=2,BK273*BK267,IF(allocationMethod=3,BK274*BK265,BK271*BK267/100)))</f>
        <v>6.4153762708248935E-16</v>
      </c>
      <c r="BL275" s="1170"/>
      <c r="BM275" s="1170"/>
      <c r="BN275" s="1170"/>
      <c r="BO275" s="1170"/>
      <c r="BP275" s="1170"/>
      <c r="BQ275" s="1170"/>
      <c r="BR275" s="1170" t="s">
        <v>224</v>
      </c>
      <c r="BS275" s="1170"/>
      <c r="BT275" s="1187">
        <f ca="1">BK280*$BT$278</f>
        <v>1.1556891574953289E-12</v>
      </c>
      <c r="BU275" s="1170"/>
      <c r="BV275" s="1170"/>
      <c r="BW275" s="1170"/>
      <c r="BX275" s="1170"/>
      <c r="BY275" s="1170"/>
      <c r="BZ275" s="1170"/>
      <c r="CA275" s="1170"/>
      <c r="CB275" s="1170"/>
      <c r="CC275" s="1170"/>
      <c r="CD275" s="1170"/>
      <c r="CE275" s="1170"/>
      <c r="CF275" s="1170"/>
      <c r="CG275" s="1170"/>
      <c r="CH275" s="1170"/>
      <c r="CI275" s="1170"/>
      <c r="CJ275" s="1170"/>
      <c r="CK275" s="1170"/>
      <c r="CL275" s="1170"/>
      <c r="CM275" s="1170"/>
      <c r="CN275" s="1186" t="str">
        <f>CokingRefineryCalcs!C760</f>
        <v>Hydrogen</v>
      </c>
      <c r="CO275" s="1170" t="str">
        <f ca="1">CokingRefineryCalcs!D760</f>
        <v>wt%</v>
      </c>
      <c r="CP275" s="1170">
        <f ca="1">CokingRefineryCalcs!J760</f>
        <v>8.0000000000011688</v>
      </c>
      <c r="CQ275" s="1170"/>
      <c r="CR275" s="1170"/>
      <c r="CS275" s="1191" t="s">
        <v>1066</v>
      </c>
      <c r="CT275" s="1191"/>
      <c r="CU275" s="1170">
        <f>IF(CokingRefineryPFD!E47=TRUE,CU276,0)</f>
        <v>0</v>
      </c>
      <c r="CV275" s="1170"/>
      <c r="CW275" s="1170"/>
      <c r="CX275" s="1170"/>
      <c r="CY275" s="1170"/>
      <c r="CZ275" s="1160"/>
      <c r="DA275" s="1160"/>
      <c r="DB275" s="1977" t="s">
        <v>568</v>
      </c>
      <c r="DC275" s="1977" t="s">
        <v>623</v>
      </c>
      <c r="DD275" s="1160"/>
      <c r="DE275" s="1978" t="s">
        <v>226</v>
      </c>
      <c r="DF275" s="1979"/>
      <c r="DG275" s="1979" t="s">
        <v>522</v>
      </c>
      <c r="DH275" s="1170"/>
      <c r="DI275" s="1160"/>
      <c r="DJ275" s="1160"/>
      <c r="DK275" s="1171"/>
      <c r="DL275" s="1160"/>
      <c r="DM275" s="1160"/>
      <c r="DN275" s="1160"/>
      <c r="DO275" s="1160"/>
      <c r="DP275" s="1160"/>
      <c r="DQ275" s="1160"/>
      <c r="DR275" s="1160"/>
      <c r="DS275" s="1160"/>
      <c r="DT275" s="1160"/>
      <c r="DU275" s="1160"/>
      <c r="DV275" s="1160"/>
      <c r="DW275" s="1160"/>
      <c r="DX275" s="1160"/>
      <c r="DY275" s="1160"/>
      <c r="DZ275" s="1160"/>
      <c r="EA275" s="1160"/>
      <c r="EB275" s="1160"/>
    </row>
    <row r="276" spans="1:132" x14ac:dyDescent="0.2">
      <c r="A276" s="1160"/>
      <c r="B276" s="1160"/>
      <c r="C276" s="1160"/>
      <c r="D276" s="1160"/>
      <c r="E276" s="1170"/>
      <c r="F276" s="1170"/>
      <c r="G276" s="1170"/>
      <c r="H276" s="1170"/>
      <c r="I276" s="1170"/>
      <c r="J276" s="1170"/>
      <c r="K276" s="1170"/>
      <c r="L276" s="1170"/>
      <c r="M276" s="1170"/>
      <c r="N276" s="1170"/>
      <c r="O276" s="1170"/>
      <c r="P276" s="1170"/>
      <c r="Q276" s="1170"/>
      <c r="R276" s="1170"/>
      <c r="S276" s="1170"/>
      <c r="T276" s="1170"/>
      <c r="U276" s="1170"/>
      <c r="V276" s="1170"/>
      <c r="W276" s="1170"/>
      <c r="X276" s="1170"/>
      <c r="Y276" s="1170"/>
      <c r="Z276" s="1170"/>
      <c r="AA276" s="1170"/>
      <c r="AB276" s="1170"/>
      <c r="AC276" s="1170"/>
      <c r="AD276" s="1170"/>
      <c r="AE276" s="1170"/>
      <c r="AF276" s="1170"/>
      <c r="AG276" s="1170"/>
      <c r="AH276" s="1170"/>
      <c r="AI276" s="1170"/>
      <c r="AJ276" s="1170"/>
      <c r="AK276" s="1170"/>
      <c r="AL276" s="1170"/>
      <c r="AM276" s="1170"/>
      <c r="AN276" s="1170"/>
      <c r="AO276" s="1170"/>
      <c r="AP276" s="1170"/>
      <c r="AQ276" s="1170"/>
      <c r="AR276" s="1170"/>
      <c r="AS276" s="1170"/>
      <c r="AT276" s="1170"/>
      <c r="AU276" s="1170"/>
      <c r="AV276" s="1170"/>
      <c r="AW276" s="1170"/>
      <c r="AX276" s="1170"/>
      <c r="AY276" s="1170"/>
      <c r="AZ276" s="1170"/>
      <c r="BA276" s="1170"/>
      <c r="BB276" s="1170"/>
      <c r="BC276" s="1170"/>
      <c r="BD276" s="1170"/>
      <c r="BE276" s="1170"/>
      <c r="BF276" s="1170"/>
      <c r="BG276" s="1170"/>
      <c r="BH276" s="1170"/>
      <c r="BI276" s="1180" t="str">
        <f>BI263</f>
        <v>Coker Gas Oil</v>
      </c>
      <c r="BJ276" s="1170"/>
      <c r="BK276" s="1170"/>
      <c r="BL276" s="1170"/>
      <c r="BM276" s="1170"/>
      <c r="BN276" s="1170"/>
      <c r="BO276" s="1170"/>
      <c r="BP276" s="1170"/>
      <c r="BQ276" s="1170"/>
      <c r="BR276" s="1170" t="s">
        <v>485</v>
      </c>
      <c r="BS276" s="1170"/>
      <c r="BT276" s="1187">
        <f ca="1">BK281*$BT$278</f>
        <v>2.3935682317393121E-16</v>
      </c>
      <c r="BU276" s="1170"/>
      <c r="BV276" s="1170"/>
      <c r="BW276" s="1170"/>
      <c r="BX276" s="1170"/>
      <c r="BY276" s="1170"/>
      <c r="BZ276" s="1170"/>
      <c r="CA276" s="1170"/>
      <c r="CB276" s="1170"/>
      <c r="CC276" s="1170"/>
      <c r="CD276" s="1170"/>
      <c r="CE276" s="1170"/>
      <c r="CF276" s="1170"/>
      <c r="CG276" s="1170"/>
      <c r="CH276" s="1170"/>
      <c r="CI276" s="1170"/>
      <c r="CJ276" s="1170"/>
      <c r="CK276" s="1170"/>
      <c r="CL276" s="1170"/>
      <c r="CM276" s="1170"/>
      <c r="CN276" s="1186" t="str">
        <f>CokingRefineryCalcs!C761</f>
        <v>MCR</v>
      </c>
      <c r="CO276" s="1170" t="str">
        <f ca="1">CokingRefineryCalcs!D761</f>
        <v>wt%</v>
      </c>
      <c r="CP276" s="1170">
        <f>CokingRefineryCalcs!J761</f>
        <v>0</v>
      </c>
      <c r="CQ276" s="1170"/>
      <c r="CR276" s="1170"/>
      <c r="CS276" s="1191" t="s">
        <v>1065</v>
      </c>
      <c r="CT276" s="1191"/>
      <c r="CU276" s="1170">
        <f ca="1">CP279/(CM180+CU239+CJ254+CP279)</f>
        <v>0.10746216581624705</v>
      </c>
      <c r="CV276" s="1170"/>
      <c r="CW276" s="1170"/>
      <c r="CX276" s="1170"/>
      <c r="CY276" s="1170"/>
      <c r="CZ276" s="1160"/>
      <c r="DA276" s="1160"/>
      <c r="DB276" s="1229" t="s">
        <v>582</v>
      </c>
      <c r="DC276" s="1160" t="s">
        <v>566</v>
      </c>
      <c r="DD276" s="1975">
        <f ca="1">DD277/'Energy &amp; Unit Conversions'!G80</f>
        <v>0</v>
      </c>
      <c r="DE276" s="1171" t="s">
        <v>263</v>
      </c>
      <c r="DF276" s="1160"/>
      <c r="DG276" s="1975">
        <f ca="1">AE181*DG281</f>
        <v>0</v>
      </c>
      <c r="DH276" s="1160"/>
      <c r="DI276" s="1160"/>
      <c r="DJ276" s="1160"/>
      <c r="DK276" s="1171"/>
      <c r="DL276" s="1160"/>
      <c r="DM276" s="1160"/>
      <c r="DN276" s="1160"/>
      <c r="DO276" s="1160"/>
      <c r="DP276" s="1160"/>
      <c r="DQ276" s="1160"/>
      <c r="DR276" s="1160"/>
      <c r="DS276" s="1160"/>
      <c r="DT276" s="1160"/>
      <c r="DU276" s="1160"/>
      <c r="DV276" s="1160"/>
      <c r="DW276" s="1160"/>
      <c r="DX276" s="1160"/>
      <c r="DY276" s="1160"/>
      <c r="DZ276" s="1160"/>
      <c r="EA276" s="1160"/>
      <c r="EB276" s="1160"/>
    </row>
    <row r="277" spans="1:132" x14ac:dyDescent="0.2">
      <c r="A277" s="1160"/>
      <c r="B277" s="1160"/>
      <c r="C277" s="1160"/>
      <c r="D277" s="1160"/>
      <c r="E277" s="1170"/>
      <c r="F277" s="1170"/>
      <c r="G277" s="1170"/>
      <c r="H277" s="1170"/>
      <c r="I277" s="1170"/>
      <c r="J277" s="1170"/>
      <c r="K277" s="1170"/>
      <c r="L277" s="1170"/>
      <c r="M277" s="1170"/>
      <c r="N277" s="1170"/>
      <c r="O277" s="1170"/>
      <c r="P277" s="1170"/>
      <c r="Q277" s="1170"/>
      <c r="R277" s="1170"/>
      <c r="S277" s="1170"/>
      <c r="T277" s="1170"/>
      <c r="U277" s="1170"/>
      <c r="V277" s="1170"/>
      <c r="W277" s="1170"/>
      <c r="X277" s="1170"/>
      <c r="Y277" s="1170"/>
      <c r="Z277" s="1170"/>
      <c r="AA277" s="1170"/>
      <c r="AB277" s="1170"/>
      <c r="AC277" s="1170"/>
      <c r="AD277" s="1170"/>
      <c r="AE277" s="1170"/>
      <c r="AF277" s="1170"/>
      <c r="AG277" s="1170"/>
      <c r="AH277" s="1170"/>
      <c r="AI277" s="1170"/>
      <c r="AJ277" s="1170"/>
      <c r="AK277" s="1170"/>
      <c r="AL277" s="1170"/>
      <c r="AM277" s="1170"/>
      <c r="AN277" s="1170"/>
      <c r="AO277" s="1170"/>
      <c r="AP277" s="1170"/>
      <c r="AQ277" s="1170"/>
      <c r="AR277" s="1170"/>
      <c r="AS277" s="1170"/>
      <c r="AT277" s="1170"/>
      <c r="AU277" s="1170"/>
      <c r="AV277" s="1170"/>
      <c r="AW277" s="1170"/>
      <c r="AX277" s="1170"/>
      <c r="AY277" s="1170"/>
      <c r="AZ277" s="1170"/>
      <c r="BA277" s="1170"/>
      <c r="BB277" s="1170"/>
      <c r="BC277" s="1170"/>
      <c r="BD277" s="1170"/>
      <c r="BE277" s="1170"/>
      <c r="BF277" s="1170"/>
      <c r="BG277" s="1170"/>
      <c r="BH277" s="1170"/>
      <c r="BI277" s="1183" t="s">
        <v>226</v>
      </c>
      <c r="BJ277" s="1170"/>
      <c r="BK277" s="1184" t="s">
        <v>522</v>
      </c>
      <c r="BL277" s="1170"/>
      <c r="BM277" s="1170"/>
      <c r="BN277" s="1170"/>
      <c r="BO277" s="1170"/>
      <c r="BP277" s="1170"/>
      <c r="BQ277" s="1170"/>
      <c r="BR277" s="1170" t="s">
        <v>541</v>
      </c>
      <c r="BS277" s="1170"/>
      <c r="BT277" s="1187">
        <f ca="1">BK282*$BT$278</f>
        <v>0</v>
      </c>
      <c r="BU277" s="1170"/>
      <c r="BV277" s="1170"/>
      <c r="BW277" s="1170"/>
      <c r="BX277" s="1170"/>
      <c r="BY277" s="1170"/>
      <c r="BZ277" s="1170"/>
      <c r="CA277" s="1170"/>
      <c r="CB277" s="1170"/>
      <c r="CC277" s="1170"/>
      <c r="CD277" s="1170"/>
      <c r="CE277" s="1170"/>
      <c r="CF277" s="1170"/>
      <c r="CG277" s="1170"/>
      <c r="CH277" s="1170"/>
      <c r="CI277" s="1170"/>
      <c r="CJ277" s="1170"/>
      <c r="CK277" s="1170"/>
      <c r="CL277" s="1170"/>
      <c r="CM277" s="1170"/>
      <c r="CN277" s="1200" t="s">
        <v>1056</v>
      </c>
      <c r="CO277" s="1199" t="s">
        <v>447</v>
      </c>
      <c r="CP277" s="1199">
        <f ca="1">('Energy &amp; Unit Conversions'!$D$63-('Energy &amp; Unit Conversions'!$E$63*POWER((CokingRefineryPFD!CP274/'Energy &amp; Unit Conversions'!$E$54),2)))</f>
        <v>38.59761528550186</v>
      </c>
      <c r="CQ277" s="1199"/>
      <c r="CR277" s="1199"/>
      <c r="CS277" s="1253" t="s">
        <v>228</v>
      </c>
      <c r="CT277" s="1253"/>
      <c r="CU277" s="1170">
        <f ca="1">CP271/CC239</f>
        <v>0.16757344940154842</v>
      </c>
      <c r="CV277" s="1170"/>
      <c r="CW277" s="1170"/>
      <c r="CX277" s="1170"/>
      <c r="CY277" s="1160"/>
      <c r="CZ277" s="1160"/>
      <c r="DA277" s="1160"/>
      <c r="DB277" s="1229" t="s">
        <v>582</v>
      </c>
      <c r="DC277" s="1160" t="s">
        <v>628</v>
      </c>
      <c r="DD277" s="1975">
        <f ca="1">DD278/DD281</f>
        <v>0</v>
      </c>
      <c r="DE277" s="1171" t="s">
        <v>392</v>
      </c>
      <c r="DF277" s="1160"/>
      <c r="DG277" s="1160">
        <f ca="1">(AE182+AH143)*$DG$281</f>
        <v>0</v>
      </c>
      <c r="DH277" s="1160"/>
      <c r="DI277" s="1160"/>
      <c r="DJ277" s="1160"/>
      <c r="DK277" s="1171"/>
      <c r="DL277" s="1160"/>
      <c r="DM277" s="1160"/>
      <c r="DN277" s="1160"/>
      <c r="DO277" s="1160"/>
      <c r="DP277" s="1160"/>
      <c r="DQ277" s="1160"/>
      <c r="DR277" s="1160"/>
      <c r="DS277" s="1160"/>
      <c r="DT277" s="1160"/>
      <c r="DU277" s="1160"/>
      <c r="DV277" s="1160"/>
      <c r="DW277" s="1160"/>
      <c r="DX277" s="1160"/>
      <c r="DY277" s="1160"/>
      <c r="DZ277" s="1160"/>
      <c r="EA277" s="1160"/>
      <c r="EB277" s="1160"/>
    </row>
    <row r="278" spans="1:132" x14ac:dyDescent="0.2">
      <c r="A278" s="1160"/>
      <c r="B278" s="1160"/>
      <c r="C278" s="1160"/>
      <c r="D278" s="1160"/>
      <c r="E278" s="1170"/>
      <c r="F278" s="1170"/>
      <c r="G278" s="1170"/>
      <c r="H278" s="1170"/>
      <c r="I278" s="1170"/>
      <c r="J278" s="1170"/>
      <c r="K278" s="1170"/>
      <c r="L278" s="1170"/>
      <c r="M278" s="1170"/>
      <c r="N278" s="1170"/>
      <c r="O278" s="1170"/>
      <c r="P278" s="1170"/>
      <c r="Q278" s="1170"/>
      <c r="R278" s="1170"/>
      <c r="S278" s="1170"/>
      <c r="T278" s="1170"/>
      <c r="U278" s="1170"/>
      <c r="V278" s="1170"/>
      <c r="W278" s="1170"/>
      <c r="X278" s="1170"/>
      <c r="Y278" s="1170"/>
      <c r="Z278" s="1170"/>
      <c r="AA278" s="1170"/>
      <c r="AB278" s="1170"/>
      <c r="AC278" s="1170"/>
      <c r="AD278" s="1170"/>
      <c r="AE278" s="1170"/>
      <c r="AF278" s="1170"/>
      <c r="AG278" s="1170"/>
      <c r="AH278" s="1170"/>
      <c r="AI278" s="1170"/>
      <c r="AJ278" s="1170"/>
      <c r="AK278" s="1170"/>
      <c r="AL278" s="1170"/>
      <c r="AM278" s="1170"/>
      <c r="AN278" s="1170"/>
      <c r="AO278" s="1170"/>
      <c r="AP278" s="1170"/>
      <c r="AQ278" s="1170"/>
      <c r="AR278" s="1170"/>
      <c r="AS278" s="1170"/>
      <c r="AT278" s="1170"/>
      <c r="AU278" s="1170"/>
      <c r="AV278" s="1170"/>
      <c r="AW278" s="1170"/>
      <c r="AX278" s="1170"/>
      <c r="AY278" s="1170"/>
      <c r="AZ278" s="1170"/>
      <c r="BA278" s="1170"/>
      <c r="BB278" s="1170"/>
      <c r="BC278" s="1170"/>
      <c r="BD278" s="1170"/>
      <c r="BE278" s="1170"/>
      <c r="BF278" s="1170"/>
      <c r="BG278" s="1170"/>
      <c r="BH278" s="1170"/>
      <c r="BI278" s="1170" t="s">
        <v>263</v>
      </c>
      <c r="BJ278" s="1170"/>
      <c r="BK278" s="1187">
        <f ca="1">BD247*BK283</f>
        <v>0</v>
      </c>
      <c r="BL278" s="1170"/>
      <c r="BM278" s="1170"/>
      <c r="BN278" s="1170"/>
      <c r="BO278" s="1170"/>
      <c r="BP278" s="1170"/>
      <c r="BQ278" s="1170"/>
      <c r="BR278" s="1180" t="s">
        <v>1065</v>
      </c>
      <c r="BS278" s="1170"/>
      <c r="BT278" s="1170">
        <f ca="1">BT270/BK275</f>
        <v>0.99999999999900013</v>
      </c>
      <c r="BU278" s="1170"/>
      <c r="BV278" s="1170"/>
      <c r="BW278" s="1170"/>
      <c r="BX278" s="1170"/>
      <c r="BY278" s="1170"/>
      <c r="BZ278" s="1170"/>
      <c r="CA278" s="1170"/>
      <c r="CB278" s="1170"/>
      <c r="CC278" s="1170"/>
      <c r="CD278" s="1170"/>
      <c r="CE278" s="1170"/>
      <c r="CF278" s="1170"/>
      <c r="CG278" s="1170"/>
      <c r="CH278" s="1170"/>
      <c r="CI278" s="1170"/>
      <c r="CJ278" s="1170"/>
      <c r="CK278" s="1170"/>
      <c r="CL278" s="1170"/>
      <c r="CM278" s="1170"/>
      <c r="CN278" s="1200" t="s">
        <v>1021</v>
      </c>
      <c r="CO278" s="1199" t="s">
        <v>1022</v>
      </c>
      <c r="CP278" s="1246">
        <f>DD303</f>
        <v>53.516328811645508</v>
      </c>
      <c r="CQ278" s="1199"/>
      <c r="CR278" s="1199"/>
      <c r="CS278" s="1170"/>
      <c r="CT278" s="1170"/>
      <c r="CU278" s="1170"/>
      <c r="CV278" s="1170"/>
      <c r="CW278" s="1170"/>
      <c r="CX278" s="1170"/>
      <c r="CY278" s="1160"/>
      <c r="CZ278" s="1160"/>
      <c r="DA278" s="1160"/>
      <c r="DB278" s="1229" t="s">
        <v>620</v>
      </c>
      <c r="DC278" s="1160" t="s">
        <v>622</v>
      </c>
      <c r="DD278" s="1160">
        <f ca="1">CokingRefineryCalcs!D1466</f>
        <v>0</v>
      </c>
      <c r="DE278" s="1171" t="s">
        <v>224</v>
      </c>
      <c r="DF278" s="1160"/>
      <c r="DG278" s="1160">
        <f ca="1">(AE183+AH144)*$DG$281</f>
        <v>0</v>
      </c>
      <c r="DH278" s="1160"/>
      <c r="DI278" s="1160"/>
      <c r="DJ278" s="1160"/>
      <c r="DK278" s="1171"/>
      <c r="DL278" s="1160"/>
      <c r="DM278" s="1160"/>
      <c r="DN278" s="1160"/>
      <c r="DO278" s="1160"/>
      <c r="DP278" s="1160"/>
      <c r="DQ278" s="1160"/>
      <c r="DR278" s="1160"/>
      <c r="DS278" s="1160"/>
      <c r="DT278" s="1160"/>
      <c r="DU278" s="1160"/>
      <c r="DV278" s="1160"/>
      <c r="DW278" s="1160"/>
      <c r="DX278" s="1160"/>
      <c r="DY278" s="1160"/>
      <c r="DZ278" s="1160"/>
      <c r="EA278" s="1160"/>
      <c r="EB278" s="1160"/>
    </row>
    <row r="279" spans="1:132" x14ac:dyDescent="0.2">
      <c r="A279" s="1160"/>
      <c r="B279" s="1160"/>
      <c r="C279" s="1160"/>
      <c r="D279" s="1160"/>
      <c r="E279" s="1170"/>
      <c r="F279" s="1170"/>
      <c r="G279" s="1170"/>
      <c r="H279" s="1170"/>
      <c r="I279" s="1170"/>
      <c r="J279" s="1170"/>
      <c r="K279" s="1170"/>
      <c r="L279" s="1170"/>
      <c r="M279" s="1170"/>
      <c r="N279" s="1170"/>
      <c r="O279" s="1170"/>
      <c r="P279" s="1170"/>
      <c r="Q279" s="1170"/>
      <c r="R279" s="1170"/>
      <c r="S279" s="1170"/>
      <c r="T279" s="1170"/>
      <c r="U279" s="1170"/>
      <c r="V279" s="1170"/>
      <c r="W279" s="1170"/>
      <c r="X279" s="1170"/>
      <c r="Y279" s="1170"/>
      <c r="Z279" s="1170"/>
      <c r="AA279" s="1170"/>
      <c r="AB279" s="1170"/>
      <c r="AC279" s="1170"/>
      <c r="AD279" s="1170"/>
      <c r="AE279" s="1170"/>
      <c r="AF279" s="1170"/>
      <c r="AG279" s="1170"/>
      <c r="AH279" s="1170"/>
      <c r="AI279" s="1170"/>
      <c r="AJ279" s="1170"/>
      <c r="AK279" s="1170"/>
      <c r="AL279" s="1170"/>
      <c r="AM279" s="1170"/>
      <c r="AN279" s="1170"/>
      <c r="AO279" s="1170"/>
      <c r="AP279" s="1170"/>
      <c r="AQ279" s="1170"/>
      <c r="AR279" s="1170"/>
      <c r="AS279" s="1170"/>
      <c r="AT279" s="1170"/>
      <c r="AU279" s="1170"/>
      <c r="AV279" s="1170"/>
      <c r="AW279" s="1170"/>
      <c r="AX279" s="1170"/>
      <c r="AY279" s="1170"/>
      <c r="AZ279" s="1170"/>
      <c r="BA279" s="1170"/>
      <c r="BB279" s="1170"/>
      <c r="BC279" s="1170"/>
      <c r="BD279" s="1170"/>
      <c r="BE279" s="1170"/>
      <c r="BF279" s="1170"/>
      <c r="BG279" s="1170"/>
      <c r="BH279" s="1170"/>
      <c r="BI279" s="1170" t="s">
        <v>392</v>
      </c>
      <c r="BJ279" s="1170"/>
      <c r="BK279" s="1187">
        <f ca="1">(BD248+BG214)*$BK$283</f>
        <v>0</v>
      </c>
      <c r="BL279" s="1170"/>
      <c r="BM279" s="1170"/>
      <c r="BN279" s="1170"/>
      <c r="BO279" s="1170"/>
      <c r="BP279" s="1170"/>
      <c r="BQ279" s="1170"/>
      <c r="BR279" s="1170"/>
      <c r="BS279" s="1170"/>
      <c r="BT279" s="1170"/>
      <c r="BU279" s="1170"/>
      <c r="BV279" s="1170"/>
      <c r="BW279" s="1170"/>
      <c r="BX279" s="1170"/>
      <c r="BY279" s="1170"/>
      <c r="BZ279" s="1170"/>
      <c r="CA279" s="1170"/>
      <c r="CB279" s="1170"/>
      <c r="CC279" s="1170"/>
      <c r="CD279" s="1170"/>
      <c r="CE279" s="1170"/>
      <c r="CF279" s="1170"/>
      <c r="CG279" s="1170"/>
      <c r="CH279" s="1170"/>
      <c r="CI279" s="1170"/>
      <c r="CJ279" s="1170"/>
      <c r="CK279" s="1170"/>
      <c r="CL279" s="1170"/>
      <c r="CM279" s="1170"/>
      <c r="CN279" s="1204" t="s">
        <v>1054</v>
      </c>
      <c r="CO279" s="1204" t="str">
        <f>IF(allocationMethod=1,$C$21,IF(allocationMethod=2,$C$22,IF(allocationMethod=3,$C$23,$C$24)))</f>
        <v>Hydrogen Content Basis</v>
      </c>
      <c r="CP279" s="1204">
        <f ca="1">IF(allocationMethod=1,CP271,IF(allocationMethod=2,CP277*CP271,IF(allocationMethod=3,CP278*CP269,CP275*CP271/100)))</f>
        <v>3.5408972402583375E-16</v>
      </c>
      <c r="CQ279" s="1204"/>
      <c r="CR279" s="1204"/>
      <c r="CS279" s="1170"/>
      <c r="CT279" s="1170"/>
      <c r="CU279" s="1170"/>
      <c r="CV279" s="1170"/>
      <c r="CW279" s="1170"/>
      <c r="CX279" s="1170"/>
      <c r="CY279" s="1160"/>
      <c r="CZ279" s="1160"/>
      <c r="DA279" s="1160"/>
      <c r="DB279" s="1229" t="s">
        <v>776</v>
      </c>
      <c r="DC279" s="1160" t="s">
        <v>579</v>
      </c>
      <c r="DD279" s="1170">
        <f t="shared" ref="DD279:DD285" ca="1" si="4">AL238</f>
        <v>0</v>
      </c>
      <c r="DE279" s="1171" t="s">
        <v>485</v>
      </c>
      <c r="DF279" s="1160"/>
      <c r="DG279" s="1160">
        <f ca="1">(AE184+AH145)*$DG$281</f>
        <v>0</v>
      </c>
      <c r="DH279" s="1160"/>
      <c r="DI279" s="1160"/>
      <c r="DJ279" s="1160"/>
      <c r="DK279" s="1171"/>
      <c r="DL279" s="1160"/>
      <c r="DM279" s="1160"/>
      <c r="DN279" s="1160"/>
      <c r="DO279" s="1160"/>
      <c r="DP279" s="1160"/>
      <c r="DQ279" s="1160"/>
      <c r="DR279" s="1160"/>
      <c r="DS279" s="1160"/>
      <c r="DT279" s="1160"/>
      <c r="DU279" s="1160"/>
      <c r="DV279" s="1160"/>
      <c r="DW279" s="1160"/>
      <c r="DX279" s="1160"/>
      <c r="DY279" s="1160"/>
      <c r="DZ279" s="1160"/>
      <c r="EA279" s="1160"/>
      <c r="EB279" s="1160"/>
    </row>
    <row r="280" spans="1:132" x14ac:dyDescent="0.2">
      <c r="A280" s="1160"/>
      <c r="B280" s="1160"/>
      <c r="C280" s="1160"/>
      <c r="D280" s="1160"/>
      <c r="E280" s="1170"/>
      <c r="F280" s="1170"/>
      <c r="G280" s="1170"/>
      <c r="H280" s="1170"/>
      <c r="I280" s="1170"/>
      <c r="J280" s="1170"/>
      <c r="K280" s="1170"/>
      <c r="L280" s="1170"/>
      <c r="M280" s="1170"/>
      <c r="N280" s="1170"/>
      <c r="O280" s="1170"/>
      <c r="P280" s="1170"/>
      <c r="Q280" s="1170"/>
      <c r="R280" s="1170"/>
      <c r="S280" s="1170"/>
      <c r="T280" s="1170"/>
      <c r="U280" s="1170"/>
      <c r="V280" s="1170"/>
      <c r="W280" s="1170"/>
      <c r="X280" s="1170"/>
      <c r="Y280" s="1170"/>
      <c r="Z280" s="1170"/>
      <c r="AA280" s="1170"/>
      <c r="AB280" s="1170"/>
      <c r="AC280" s="1170"/>
      <c r="AD280" s="1170"/>
      <c r="AE280" s="1170"/>
      <c r="AF280" s="1170"/>
      <c r="AG280" s="1170"/>
      <c r="AH280" s="1170"/>
      <c r="AI280" s="1170"/>
      <c r="AJ280" s="1170"/>
      <c r="AK280" s="1170"/>
      <c r="AL280" s="1903" t="s">
        <v>903</v>
      </c>
      <c r="AM280" s="1903"/>
      <c r="AN280" s="1903"/>
      <c r="AO280" s="1107"/>
      <c r="AP280" s="1170"/>
      <c r="AQ280" s="1170"/>
      <c r="AR280" s="1170"/>
      <c r="AS280" s="1170"/>
      <c r="AT280" s="1170"/>
      <c r="AU280" s="1170"/>
      <c r="AV280" s="1170"/>
      <c r="AW280" s="1170"/>
      <c r="AX280" s="1170"/>
      <c r="AY280" s="1170"/>
      <c r="AZ280" s="1170"/>
      <c r="BA280" s="1170"/>
      <c r="BB280" s="1170"/>
      <c r="BC280" s="1170"/>
      <c r="BD280" s="1170"/>
      <c r="BE280" s="1170"/>
      <c r="BF280" s="1170"/>
      <c r="BG280" s="1170"/>
      <c r="BH280" s="1170"/>
      <c r="BI280" s="1170" t="s">
        <v>224</v>
      </c>
      <c r="BJ280" s="1170"/>
      <c r="BK280" s="1187">
        <f ca="1">(BD249+BG215)*$BK$283</f>
        <v>1.1556891574964845E-12</v>
      </c>
      <c r="BL280" s="1170"/>
      <c r="BM280" s="1170"/>
      <c r="BN280" s="1170"/>
      <c r="BO280" s="1170"/>
      <c r="BP280" s="1170"/>
      <c r="BQ280" s="1170"/>
      <c r="BR280" s="1170"/>
      <c r="BS280" s="1170"/>
      <c r="BT280" s="1170"/>
      <c r="BU280" s="1170"/>
      <c r="BV280" s="1170"/>
      <c r="BW280" s="1170"/>
      <c r="BX280" s="1170"/>
      <c r="BY280" s="1170"/>
      <c r="BZ280" s="1170"/>
      <c r="CA280" s="1170"/>
      <c r="CB280" s="1170"/>
      <c r="CC280" s="1170"/>
      <c r="CD280" s="1170"/>
      <c r="CE280" s="1170"/>
      <c r="CF280" s="1170"/>
      <c r="CG280" s="1170"/>
      <c r="CH280" s="1170"/>
      <c r="CI280" s="1170"/>
      <c r="CJ280" s="1170"/>
      <c r="CK280" s="1170"/>
      <c r="CL280" s="1170"/>
      <c r="CM280" s="1170"/>
      <c r="CN280" s="1170"/>
      <c r="CO280" s="1170"/>
      <c r="CP280" s="1170"/>
      <c r="CQ280" s="1170"/>
      <c r="CR280" s="1170"/>
      <c r="CS280" s="1170"/>
      <c r="CT280" s="1170"/>
      <c r="CU280" s="1170"/>
      <c r="CV280" s="1170"/>
      <c r="CW280" s="1170"/>
      <c r="CX280" s="1170"/>
      <c r="CY280" s="1160"/>
      <c r="CZ280" s="1160"/>
      <c r="DA280" s="1160"/>
      <c r="DB280" s="1229" t="s">
        <v>779</v>
      </c>
      <c r="DC280" s="1160"/>
      <c r="DD280" s="1170">
        <f t="shared" ca="1" si="4"/>
        <v>0</v>
      </c>
      <c r="DE280" s="1171" t="s">
        <v>541</v>
      </c>
      <c r="DF280" s="1160"/>
      <c r="DG280" s="1160">
        <f ca="1">(AE185+AH146)*$DG$281</f>
        <v>0</v>
      </c>
      <c r="DN280" s="1160"/>
      <c r="DO280" s="1160"/>
      <c r="DP280" s="1160"/>
      <c r="DQ280" s="1160"/>
      <c r="DR280" s="1160"/>
      <c r="DS280" s="1160"/>
      <c r="DT280" s="1160"/>
      <c r="DU280" s="1160"/>
      <c r="DV280" s="1160"/>
      <c r="DW280" s="1160"/>
      <c r="DX280" s="1160"/>
      <c r="DY280" s="1160"/>
      <c r="DZ280" s="1160"/>
      <c r="EA280" s="1160"/>
      <c r="EB280" s="1160"/>
    </row>
    <row r="281" spans="1:132" x14ac:dyDescent="0.2">
      <c r="A281" s="1160"/>
      <c r="B281" s="1160"/>
      <c r="C281" s="1160"/>
      <c r="D281" s="1160"/>
      <c r="E281" s="1170"/>
      <c r="F281" s="1170"/>
      <c r="G281" s="1170"/>
      <c r="H281" s="1170"/>
      <c r="I281" s="1170"/>
      <c r="J281" s="1170"/>
      <c r="K281" s="1170"/>
      <c r="L281" s="1170"/>
      <c r="M281" s="1170"/>
      <c r="N281" s="1170"/>
      <c r="O281" s="1170"/>
      <c r="P281" s="1170"/>
      <c r="Q281" s="1170"/>
      <c r="R281" s="1170"/>
      <c r="S281" s="1170"/>
      <c r="T281" s="1170"/>
      <c r="U281" s="1170"/>
      <c r="V281" s="1170"/>
      <c r="W281" s="1170"/>
      <c r="X281" s="1170"/>
      <c r="Y281" s="1170"/>
      <c r="Z281" s="1170"/>
      <c r="AA281" s="1170"/>
      <c r="AB281" s="1170"/>
      <c r="AC281" s="1170"/>
      <c r="AD281" s="1170"/>
      <c r="AE281" s="1170"/>
      <c r="AF281" s="1170"/>
      <c r="AG281" s="1170"/>
      <c r="AH281" s="1170"/>
      <c r="AI281" s="1170"/>
      <c r="AJ281" s="1170"/>
      <c r="AK281" s="1170"/>
      <c r="AL281" s="1903" t="str">
        <f ca="1">IF(CokingRefineryConfig=0,CokingRefineryCalcs!M45,IF(OR(CokingRefineryConfig=1,CokingRefineryConfig=2,CokingRefineryConfig=3),CokingRefineryCalcs!J539,0))</f>
        <v>ATM Residue to Heavy Fuel Oil</v>
      </c>
      <c r="AM281" s="1903"/>
      <c r="AN281" s="1903"/>
      <c r="AO281" s="1107"/>
      <c r="AP281" s="1170"/>
      <c r="AQ281" s="1170"/>
      <c r="AR281" s="1170"/>
      <c r="AS281" s="1170"/>
      <c r="AT281" s="1170"/>
      <c r="AU281" s="1170"/>
      <c r="AV281" s="1170"/>
      <c r="AW281" s="1170"/>
      <c r="AX281" s="1170"/>
      <c r="AY281" s="1170"/>
      <c r="AZ281" s="1170"/>
      <c r="BA281" s="1170"/>
      <c r="BB281" s="1170"/>
      <c r="BC281" s="1170"/>
      <c r="BD281" s="1170"/>
      <c r="BE281" s="1170"/>
      <c r="BF281" s="1170"/>
      <c r="BG281" s="1170"/>
      <c r="BH281" s="1170"/>
      <c r="BI281" s="1170" t="s">
        <v>485</v>
      </c>
      <c r="BJ281" s="1170"/>
      <c r="BK281" s="1187">
        <f ca="1">(BD250+BG216)*$BK$283</f>
        <v>2.3935682317417053E-16</v>
      </c>
      <c r="BL281" s="1170"/>
      <c r="BM281" s="1170"/>
      <c r="BN281" s="1170"/>
      <c r="BO281" s="1170"/>
      <c r="BP281" s="1170"/>
      <c r="BQ281" s="1170"/>
      <c r="BR281" s="1170"/>
      <c r="BS281" s="1170"/>
      <c r="BT281" s="1170"/>
      <c r="BU281" s="1170"/>
      <c r="BV281" s="1170"/>
      <c r="BW281" s="1170"/>
      <c r="BX281" s="1170"/>
      <c r="BY281" s="1170"/>
      <c r="BZ281" s="1170"/>
      <c r="CA281" s="1170"/>
      <c r="CB281" s="1170"/>
      <c r="CC281" s="1170"/>
      <c r="CD281" s="1170"/>
      <c r="CE281" s="1170"/>
      <c r="CF281" s="1170"/>
      <c r="CG281" s="1170"/>
      <c r="CH281" s="1170"/>
      <c r="CI281" s="1170"/>
      <c r="CJ281" s="1170"/>
      <c r="CK281" s="1170"/>
      <c r="CL281" s="1170"/>
      <c r="CM281" s="1170"/>
      <c r="CN281" s="1170"/>
      <c r="CO281" s="1170"/>
      <c r="CP281" s="1170"/>
      <c r="CQ281" s="1170"/>
      <c r="CR281" s="1170"/>
      <c r="CS281" s="1170"/>
      <c r="CT281" s="1170"/>
      <c r="CU281" s="1170"/>
      <c r="CV281" s="1170"/>
      <c r="CW281" s="1170"/>
      <c r="CX281" s="1170"/>
      <c r="CY281" s="1160"/>
      <c r="CZ281" s="1160"/>
      <c r="DA281" s="1160"/>
      <c r="DB281" s="1229" t="s">
        <v>580</v>
      </c>
      <c r="DC281" s="1160" t="s">
        <v>581</v>
      </c>
      <c r="DD281" s="1170">
        <f ca="1">CokingRefineryCalcs!D1470</f>
        <v>1055.1979728481299</v>
      </c>
      <c r="DE281" s="1171" t="s">
        <v>1065</v>
      </c>
      <c r="DF281" s="1160"/>
      <c r="DG281" s="1160">
        <f ca="1">IF((AM144+AM181+AL245)=0,0,DD286/(AM144+AM181+AL245+DD286+AN293))</f>
        <v>0</v>
      </c>
      <c r="DN281" s="1160"/>
      <c r="DO281" s="1160"/>
      <c r="DP281" s="1160"/>
      <c r="DQ281" s="1160"/>
      <c r="DR281" s="1160"/>
      <c r="DS281" s="1160"/>
      <c r="DT281" s="1160"/>
      <c r="DU281" s="1160"/>
      <c r="DV281" s="1160"/>
      <c r="DW281" s="1160"/>
      <c r="DX281" s="1160"/>
      <c r="DY281" s="1160"/>
      <c r="DZ281" s="1160"/>
      <c r="EA281" s="1160"/>
      <c r="EB281" s="1160"/>
    </row>
    <row r="282" spans="1:132" x14ac:dyDescent="0.2">
      <c r="A282" s="1160"/>
      <c r="B282" s="1160"/>
      <c r="C282" s="1160"/>
      <c r="D282" s="1160"/>
      <c r="E282" s="1170"/>
      <c r="F282" s="1170"/>
      <c r="G282" s="1170"/>
      <c r="H282" s="1170"/>
      <c r="I282" s="1170"/>
      <c r="J282" s="1170"/>
      <c r="K282" s="1170"/>
      <c r="L282" s="1170"/>
      <c r="M282" s="1170"/>
      <c r="N282" s="1170"/>
      <c r="O282" s="1170"/>
      <c r="P282" s="1170"/>
      <c r="Q282" s="1170"/>
      <c r="R282" s="1170"/>
      <c r="S282" s="1170"/>
      <c r="T282" s="1170"/>
      <c r="U282" s="1170"/>
      <c r="V282" s="1170"/>
      <c r="W282" s="1170"/>
      <c r="X282" s="1170"/>
      <c r="Y282" s="1170"/>
      <c r="Z282" s="1170"/>
      <c r="AA282" s="1170"/>
      <c r="AB282" s="1170"/>
      <c r="AC282" s="1170"/>
      <c r="AD282" s="1170"/>
      <c r="AE282" s="1170"/>
      <c r="AF282" s="1170"/>
      <c r="AG282" s="1170"/>
      <c r="AH282" s="1170"/>
      <c r="AI282" s="1170"/>
      <c r="AJ282" s="1170"/>
      <c r="AK282" s="1170"/>
      <c r="AL282" s="1903" t="str">
        <f>CokingRefineryPFD!AJ234</f>
        <v>Property</v>
      </c>
      <c r="AM282" s="1903" t="str">
        <f>CokingRefineryPFD!AK234</f>
        <v>Units</v>
      </c>
      <c r="AN282" s="1903"/>
      <c r="AO282" s="1107"/>
      <c r="AP282" s="1170"/>
      <c r="AQ282" s="1170"/>
      <c r="AR282" s="1170"/>
      <c r="AS282" s="1170"/>
      <c r="AT282" s="1170"/>
      <c r="AU282" s="1170"/>
      <c r="AV282" s="1170"/>
      <c r="AW282" s="1170"/>
      <c r="AX282" s="1170"/>
      <c r="AY282" s="1170"/>
      <c r="AZ282" s="1170"/>
      <c r="BA282" s="1170"/>
      <c r="BB282" s="1170"/>
      <c r="BC282" s="1170"/>
      <c r="BD282" s="1170"/>
      <c r="BE282" s="1170"/>
      <c r="BF282" s="1170"/>
      <c r="BG282" s="1170"/>
      <c r="BH282" s="1170"/>
      <c r="BI282" s="1170" t="s">
        <v>541</v>
      </c>
      <c r="BJ282" s="1170"/>
      <c r="BK282" s="1187">
        <f ca="1">(BD251+BG217)*$BK$283</f>
        <v>0</v>
      </c>
      <c r="BL282" s="1170"/>
      <c r="BM282" s="1170"/>
      <c r="BN282" s="1170"/>
      <c r="BO282" s="1170"/>
      <c r="BP282" s="1170"/>
      <c r="BQ282" s="1170"/>
      <c r="BR282" s="1170"/>
      <c r="BS282" s="1170"/>
      <c r="BT282" s="1170"/>
      <c r="BU282" s="1170"/>
      <c r="BV282" s="1170"/>
      <c r="BW282" s="1170"/>
      <c r="BX282" s="1170"/>
      <c r="BY282" s="1170"/>
      <c r="BZ282" s="1170"/>
      <c r="CA282" s="1170"/>
      <c r="CB282" s="1170"/>
      <c r="CC282" s="1170"/>
      <c r="CD282" s="1170"/>
      <c r="CE282" s="1170"/>
      <c r="CF282" s="1170"/>
      <c r="CG282" s="1170"/>
      <c r="CH282" s="1170"/>
      <c r="CI282" s="1170"/>
      <c r="CJ282" s="1170"/>
      <c r="CK282" s="1170"/>
      <c r="CL282" s="1170"/>
      <c r="CM282" s="1170"/>
      <c r="CN282" s="1170"/>
      <c r="CO282" s="1170"/>
      <c r="CP282" s="1170"/>
      <c r="CQ282" s="1170"/>
      <c r="CR282" s="1170"/>
      <c r="CS282" s="1170"/>
      <c r="CT282" s="1170"/>
      <c r="CU282" s="1170"/>
      <c r="CV282" s="1170"/>
      <c r="CW282" s="1170"/>
      <c r="CX282" s="1170"/>
      <c r="CY282" s="1160"/>
      <c r="CZ282" s="1160"/>
      <c r="DA282" s="1160"/>
      <c r="DB282" s="1229" t="s">
        <v>541</v>
      </c>
      <c r="DC282" s="1160" t="s">
        <v>579</v>
      </c>
      <c r="DD282" s="1170">
        <f ca="1">AL241</f>
        <v>0</v>
      </c>
      <c r="DE282" s="1171"/>
      <c r="DF282" s="1160"/>
      <c r="DG282" s="1160"/>
      <c r="DN282" s="1160"/>
      <c r="DO282" s="1160"/>
      <c r="DP282" s="1160"/>
      <c r="DQ282" s="1160"/>
      <c r="DR282" s="1160"/>
      <c r="DS282" s="1160"/>
      <c r="DT282" s="1160"/>
      <c r="DU282" s="1160"/>
      <c r="DV282" s="1160"/>
      <c r="DW282" s="1160"/>
      <c r="DX282" s="1160"/>
      <c r="DY282" s="1160"/>
      <c r="DZ282" s="1160"/>
      <c r="EA282" s="1160"/>
      <c r="EB282" s="1160"/>
    </row>
    <row r="283" spans="1:132" x14ac:dyDescent="0.2">
      <c r="A283" s="1160"/>
      <c r="B283" s="1160"/>
      <c r="C283" s="1160"/>
      <c r="D283" s="1160"/>
      <c r="E283" s="1170"/>
      <c r="F283" s="1170"/>
      <c r="G283" s="1170"/>
      <c r="H283" s="1170"/>
      <c r="I283" s="1170"/>
      <c r="J283" s="1170"/>
      <c r="K283" s="1170"/>
      <c r="L283" s="1170"/>
      <c r="M283" s="1170"/>
      <c r="N283" s="1170"/>
      <c r="O283" s="1170"/>
      <c r="P283" s="1170"/>
      <c r="Q283" s="1170"/>
      <c r="R283" s="1170"/>
      <c r="S283" s="1170"/>
      <c r="T283" s="1170"/>
      <c r="U283" s="1170"/>
      <c r="V283" s="1170"/>
      <c r="W283" s="1170"/>
      <c r="X283" s="1170"/>
      <c r="Y283" s="1170"/>
      <c r="Z283" s="1170"/>
      <c r="AA283" s="1170"/>
      <c r="AB283" s="1170"/>
      <c r="AC283" s="1170"/>
      <c r="AD283" s="1170"/>
      <c r="AE283" s="1170"/>
      <c r="AF283" s="1170"/>
      <c r="AG283" s="1170"/>
      <c r="AH283" s="1170"/>
      <c r="AI283" s="1170"/>
      <c r="AJ283" s="1170"/>
      <c r="AK283" s="1170"/>
      <c r="AL283" s="1904" t="str">
        <f>CokingRefineryPFD!AJ235</f>
        <v>Vol Flow</v>
      </c>
      <c r="AM283" s="1904" t="str">
        <f ca="1">CokingRefineryPFD!AK235</f>
        <v>bpd</v>
      </c>
      <c r="AN283" s="1905">
        <f ca="1">IF(CokingRefineryConfig=0,CokingRefineryCalcs!M47,IF(OR(CokingRefineryConfig=1,CokingRefineryConfig=2,CokingRefineryConfig=3),CokingRefineryCalcs!J540,0))</f>
        <v>28238.054386069471</v>
      </c>
      <c r="AO283" s="1170"/>
      <c r="AP283" s="1170"/>
      <c r="AQ283" s="1170"/>
      <c r="AR283" s="1170"/>
      <c r="AS283" s="1170"/>
      <c r="AT283" s="1170"/>
      <c r="AU283" s="1170"/>
      <c r="AV283" s="1170"/>
      <c r="AW283" s="1170"/>
      <c r="AX283" s="1170"/>
      <c r="AY283" s="1170"/>
      <c r="AZ283" s="1170"/>
      <c r="BA283" s="1170"/>
      <c r="BB283" s="1170"/>
      <c r="BC283" s="1170"/>
      <c r="BD283" s="1170"/>
      <c r="BE283" s="1170"/>
      <c r="BF283" s="1170"/>
      <c r="BG283" s="1170"/>
      <c r="BH283" s="1170"/>
      <c r="BI283" s="1180" t="s">
        <v>1065</v>
      </c>
      <c r="BJ283" s="1170"/>
      <c r="BK283" s="1170">
        <f ca="1">BK275/(BL182+BK275)</f>
        <v>0.78087105236248955</v>
      </c>
      <c r="BL283" s="1170"/>
      <c r="BM283" s="1170"/>
      <c r="BN283" s="1170"/>
      <c r="BO283" s="1170"/>
      <c r="BP283" s="1170"/>
      <c r="BQ283" s="1170"/>
      <c r="BR283" s="1170"/>
      <c r="BS283" s="1170"/>
      <c r="BT283" s="1170"/>
      <c r="BU283" s="1170"/>
      <c r="BV283" s="1170"/>
      <c r="BW283" s="1170"/>
      <c r="BX283" s="1170"/>
      <c r="BY283" s="1170"/>
      <c r="BZ283" s="1170"/>
      <c r="CA283" s="1170"/>
      <c r="CB283" s="1170"/>
      <c r="CC283" s="1170"/>
      <c r="CD283" s="1170"/>
      <c r="CE283" s="1170"/>
      <c r="CF283" s="1170"/>
      <c r="CG283" s="1170"/>
      <c r="CH283" s="1170"/>
      <c r="CI283" s="1170"/>
      <c r="CJ283" s="1170"/>
      <c r="CK283" s="1170"/>
      <c r="CL283" s="1170"/>
      <c r="CM283" s="1170"/>
      <c r="CN283" s="1170"/>
      <c r="CO283" s="1170"/>
      <c r="CP283" s="1170"/>
      <c r="CQ283" s="1170"/>
      <c r="CR283" s="1170"/>
      <c r="CS283" s="1170"/>
      <c r="CT283" s="1170"/>
      <c r="CU283" s="1170"/>
      <c r="CV283" s="1170"/>
      <c r="CW283" s="1170"/>
      <c r="CX283" s="1170"/>
      <c r="CY283" s="1160"/>
      <c r="CZ283" s="1160"/>
      <c r="DA283" s="1160"/>
      <c r="DB283" s="1229" t="s">
        <v>544</v>
      </c>
      <c r="DC283" s="1160" t="s">
        <v>579</v>
      </c>
      <c r="DD283" s="1170">
        <f t="shared" si="4"/>
        <v>0</v>
      </c>
      <c r="DE283" s="1171"/>
      <c r="DF283" s="1160"/>
      <c r="DG283" s="1160"/>
      <c r="DN283" s="1160"/>
      <c r="DO283" s="1160"/>
      <c r="DP283" s="1160"/>
      <c r="DQ283" s="1160"/>
      <c r="DR283" s="1160"/>
      <c r="DS283" s="1160"/>
      <c r="DT283" s="1160"/>
      <c r="DU283" s="1160"/>
      <c r="DV283" s="1160"/>
      <c r="DW283" s="1160"/>
      <c r="DX283" s="1160"/>
      <c r="DY283" s="1160"/>
      <c r="DZ283" s="1160"/>
      <c r="EA283" s="1160"/>
      <c r="EB283" s="1160"/>
    </row>
    <row r="284" spans="1:132" x14ac:dyDescent="0.2">
      <c r="A284" s="1160"/>
      <c r="B284" s="1160"/>
      <c r="C284" s="1160"/>
      <c r="D284" s="1160"/>
      <c r="E284" s="1170"/>
      <c r="F284" s="1170"/>
      <c r="G284" s="1170"/>
      <c r="H284" s="1170"/>
      <c r="I284" s="1170"/>
      <c r="J284" s="1170"/>
      <c r="K284" s="1170"/>
      <c r="L284" s="1170"/>
      <c r="M284" s="1170"/>
      <c r="N284" s="1170"/>
      <c r="O284" s="1170"/>
      <c r="P284" s="1170"/>
      <c r="Q284" s="1170"/>
      <c r="R284" s="1170"/>
      <c r="S284" s="1170"/>
      <c r="T284" s="1170"/>
      <c r="U284" s="1170"/>
      <c r="V284" s="1170"/>
      <c r="W284" s="1170"/>
      <c r="X284" s="1170"/>
      <c r="Y284" s="1170"/>
      <c r="Z284" s="1170"/>
      <c r="AA284" s="1170"/>
      <c r="AB284" s="1170"/>
      <c r="AC284" s="1170"/>
      <c r="AD284" s="1170"/>
      <c r="AE284" s="1170"/>
      <c r="AF284" s="1170"/>
      <c r="AG284" s="1170"/>
      <c r="AH284" s="1170"/>
      <c r="AI284" s="1170"/>
      <c r="AJ284" s="1170"/>
      <c r="AK284" s="1170"/>
      <c r="AL284" s="1904" t="str">
        <f>CokingRefineryPFD!AJ236</f>
        <v>Vol Flow</v>
      </c>
      <c r="AM284" s="1904" t="str">
        <f ca="1">CokingRefineryPFD!AK236</f>
        <v>m^3/d</v>
      </c>
      <c r="AN284" s="1905">
        <f ca="1">IF(CokingRefineryConfig=0,CokingRefineryCalcs!M48,IF(OR(CokingRefineryConfig=1,CokingRefineryConfig=2,CokingRefineryConfig=3),CokingRefineryCalcs!J541,0))</f>
        <v>4489.4920240943429</v>
      </c>
      <c r="AO284" s="1965"/>
      <c r="AP284" s="1170"/>
      <c r="AQ284" s="1170"/>
      <c r="AR284" s="1170"/>
      <c r="AS284" s="1170"/>
      <c r="AT284" s="1170"/>
      <c r="AU284" s="1170"/>
      <c r="AV284" s="1170"/>
      <c r="AW284" s="1170"/>
      <c r="AX284" s="1170"/>
      <c r="AY284" s="1170"/>
      <c r="AZ284" s="1170"/>
      <c r="BA284" s="1170"/>
      <c r="BB284" s="1170"/>
      <c r="BC284" s="1170"/>
      <c r="BD284" s="1170"/>
      <c r="BE284" s="1170"/>
      <c r="BF284" s="1170"/>
      <c r="BG284" s="1170"/>
      <c r="BH284" s="1170"/>
      <c r="BI284" s="1239" t="s">
        <v>228</v>
      </c>
      <c r="BJ284" s="1170"/>
      <c r="BK284" s="1275">
        <f ca="1">BK267/(BD235)</f>
        <v>0.7953955685195645</v>
      </c>
      <c r="BL284" s="1170"/>
      <c r="BM284" s="1170"/>
      <c r="BN284" s="1170"/>
      <c r="BO284" s="1170"/>
      <c r="BP284" s="1170"/>
      <c r="BQ284" s="1170"/>
      <c r="BR284" s="1170"/>
      <c r="BS284" s="1170"/>
      <c r="BT284" s="1170"/>
      <c r="BU284" s="1170"/>
      <c r="BV284" s="1170"/>
      <c r="BW284" s="1170"/>
      <c r="BX284" s="1170"/>
      <c r="BY284" s="1170"/>
      <c r="BZ284" s="1170"/>
      <c r="CA284" s="1170"/>
      <c r="CB284" s="1170"/>
      <c r="CC284" s="1170"/>
      <c r="CD284" s="1170"/>
      <c r="CE284" s="1170"/>
      <c r="CF284" s="1170"/>
      <c r="CG284" s="1170"/>
      <c r="CH284" s="1170"/>
      <c r="CI284" s="1170"/>
      <c r="CJ284" s="1170"/>
      <c r="CK284" s="1170"/>
      <c r="CL284" s="1170"/>
      <c r="CM284" s="1170"/>
      <c r="CN284" s="1170"/>
      <c r="CO284" s="1170"/>
      <c r="CP284" s="1170"/>
      <c r="CQ284" s="1170"/>
      <c r="CR284" s="1170"/>
      <c r="CS284" s="1170"/>
      <c r="CT284" s="1170"/>
      <c r="CU284" s="1170"/>
      <c r="CV284" s="1170"/>
      <c r="CW284" s="1170"/>
      <c r="CX284" s="1170"/>
      <c r="CY284" s="1160"/>
      <c r="CZ284" s="1160"/>
      <c r="DA284" s="1160"/>
      <c r="DB284" s="1229" t="s">
        <v>1056</v>
      </c>
      <c r="DC284" s="1160" t="s">
        <v>447</v>
      </c>
      <c r="DD284" s="1170">
        <f t="shared" ca="1" si="4"/>
        <v>46.693440000000002</v>
      </c>
      <c r="DE284" s="1171"/>
      <c r="DF284" s="1160"/>
      <c r="DG284" s="1160"/>
      <c r="DN284" s="1160"/>
      <c r="DO284" s="1160"/>
      <c r="DP284" s="1160"/>
      <c r="DQ284" s="1160"/>
      <c r="DR284" s="1160"/>
      <c r="DS284" s="1160"/>
      <c r="DT284" s="1160"/>
      <c r="DU284" s="1160"/>
      <c r="DV284" s="1160"/>
      <c r="DW284" s="1160"/>
      <c r="DX284" s="1160"/>
      <c r="DY284" s="1160"/>
      <c r="DZ284" s="1160"/>
      <c r="EA284" s="1160"/>
      <c r="EB284" s="1160"/>
    </row>
    <row r="285" spans="1:132" x14ac:dyDescent="0.2">
      <c r="A285" s="1160"/>
      <c r="B285" s="1160"/>
      <c r="C285" s="1160"/>
      <c r="D285" s="1160"/>
      <c r="E285" s="1170"/>
      <c r="F285" s="1170"/>
      <c r="G285" s="1170"/>
      <c r="H285" s="1170"/>
      <c r="I285" s="1170"/>
      <c r="J285" s="1170"/>
      <c r="K285" s="1170"/>
      <c r="L285" s="1170"/>
      <c r="M285" s="1170"/>
      <c r="N285" s="1170"/>
      <c r="O285" s="1170"/>
      <c r="P285" s="1170"/>
      <c r="Q285" s="1170"/>
      <c r="R285" s="1170"/>
      <c r="S285" s="1170"/>
      <c r="T285" s="1170"/>
      <c r="U285" s="1170"/>
      <c r="V285" s="1170"/>
      <c r="W285" s="1170"/>
      <c r="X285" s="1170"/>
      <c r="Y285" s="1170"/>
      <c r="Z285" s="1170"/>
      <c r="AA285" s="1170"/>
      <c r="AB285" s="1170"/>
      <c r="AC285" s="1170"/>
      <c r="AD285" s="1170"/>
      <c r="AE285" s="1170"/>
      <c r="AF285" s="1170"/>
      <c r="AG285" s="1170"/>
      <c r="AH285" s="1170"/>
      <c r="AI285" s="1170"/>
      <c r="AJ285" s="1170"/>
      <c r="AK285" s="1170"/>
      <c r="AL285" s="1904" t="str">
        <f>CokingRefineryPFD!AJ237</f>
        <v>Mass Flow</v>
      </c>
      <c r="AM285" s="1904" t="str">
        <f>CokingRefineryPFD!AK237</f>
        <v>kg/d</v>
      </c>
      <c r="AN285" s="1905">
        <f ca="1">IF(CokingRefineryConfig=0,CokingRefineryCalcs!M49,IF(OR(CokingRefineryConfig=1,CokingRefineryConfig=2,CokingRefineryConfig=3),CokingRefineryCalcs!J542,0))</f>
        <v>3701424.2988945264</v>
      </c>
      <c r="AO285" s="1170"/>
      <c r="AP285" s="1170"/>
      <c r="AQ285" s="1170"/>
      <c r="AR285" s="1170"/>
      <c r="AS285" s="1170"/>
      <c r="AT285" s="1170"/>
      <c r="AU285" s="1170"/>
      <c r="AV285" s="1170"/>
      <c r="AW285" s="1170"/>
      <c r="AX285" s="1170"/>
      <c r="AY285" s="1170"/>
      <c r="AZ285" s="1170"/>
      <c r="BA285" s="1170"/>
      <c r="BB285" s="1170"/>
      <c r="BC285" s="1170"/>
      <c r="BD285" s="1170"/>
      <c r="BE285" s="1170"/>
      <c r="BF285" s="1170"/>
      <c r="BG285" s="1170"/>
      <c r="BH285" s="1170"/>
      <c r="BI285" s="1170"/>
      <c r="BJ285" s="1170"/>
      <c r="BK285" s="1170"/>
      <c r="BL285" s="1170"/>
      <c r="BM285" s="1170"/>
      <c r="BN285" s="1170"/>
      <c r="BO285" s="1170"/>
      <c r="BP285" s="1170"/>
      <c r="BQ285" s="1170"/>
      <c r="BR285" s="1170"/>
      <c r="BS285" s="1170"/>
      <c r="BT285" s="1170"/>
      <c r="BU285" s="1170"/>
      <c r="BV285" s="1170"/>
      <c r="BW285" s="1170"/>
      <c r="BX285" s="1170"/>
      <c r="BY285" s="1170"/>
      <c r="BZ285" s="1170"/>
      <c r="CA285" s="1170"/>
      <c r="CB285" s="1170"/>
      <c r="CC285" s="1170"/>
      <c r="CD285" s="1170"/>
      <c r="CE285" s="1170"/>
      <c r="CF285" s="1170"/>
      <c r="CG285" s="1170"/>
      <c r="CH285" s="1170"/>
      <c r="CI285" s="1170"/>
      <c r="CJ285" s="1170"/>
      <c r="CK285" s="1170"/>
      <c r="CL285" s="1170"/>
      <c r="CM285" s="1170"/>
      <c r="CN285" s="1170"/>
      <c r="CO285" s="1170"/>
      <c r="CP285" s="1170"/>
      <c r="CQ285" s="1170"/>
      <c r="CR285" s="1170"/>
      <c r="CS285" s="1170"/>
      <c r="CT285" s="1170"/>
      <c r="CU285" s="1170"/>
      <c r="CV285" s="1170"/>
      <c r="CW285" s="1170"/>
      <c r="CX285" s="1170"/>
      <c r="CY285" s="1160"/>
      <c r="CZ285" s="1160"/>
      <c r="DA285" s="1160"/>
      <c r="DB285" s="1229" t="s">
        <v>1021</v>
      </c>
      <c r="DC285" s="1160" t="s">
        <v>1022</v>
      </c>
      <c r="DD285" s="1170">
        <f t="shared" si="4"/>
        <v>65.005823135375977</v>
      </c>
      <c r="DE285" s="1171"/>
      <c r="DF285" s="1160"/>
      <c r="DG285" s="1160"/>
      <c r="DN285" s="1160"/>
      <c r="DO285" s="1160"/>
      <c r="DP285" s="1160"/>
      <c r="DQ285" s="1160"/>
      <c r="DR285" s="1160"/>
      <c r="DS285" s="1160"/>
      <c r="DT285" s="1160"/>
      <c r="DU285" s="1160"/>
      <c r="DV285" s="1160"/>
      <c r="DW285" s="1160"/>
      <c r="DX285" s="1160"/>
      <c r="DY285" s="1160"/>
      <c r="DZ285" s="1160"/>
      <c r="EA285" s="1160"/>
      <c r="EB285" s="1160"/>
    </row>
    <row r="286" spans="1:132" x14ac:dyDescent="0.2">
      <c r="A286" s="1160"/>
      <c r="B286" s="1160"/>
      <c r="C286" s="1160"/>
      <c r="D286" s="1160"/>
      <c r="E286" s="1170"/>
      <c r="F286" s="1170"/>
      <c r="G286" s="1170"/>
      <c r="H286" s="1170"/>
      <c r="I286" s="1170"/>
      <c r="J286" s="1170"/>
      <c r="K286" s="1170"/>
      <c r="L286" s="1170"/>
      <c r="M286" s="1170"/>
      <c r="N286" s="1170"/>
      <c r="O286" s="1170"/>
      <c r="P286" s="1170"/>
      <c r="Q286" s="1170"/>
      <c r="R286" s="1170"/>
      <c r="S286" s="1170"/>
      <c r="T286" s="1170"/>
      <c r="U286" s="1170"/>
      <c r="V286" s="1170"/>
      <c r="W286" s="1170"/>
      <c r="X286" s="1170"/>
      <c r="Y286" s="1170"/>
      <c r="Z286" s="1170"/>
      <c r="AA286" s="1170"/>
      <c r="AB286" s="1170"/>
      <c r="AC286" s="1170"/>
      <c r="AD286" s="1170"/>
      <c r="AE286" s="1170"/>
      <c r="AF286" s="1170"/>
      <c r="AG286" s="1170"/>
      <c r="AH286" s="1170"/>
      <c r="AI286" s="1170"/>
      <c r="AJ286" s="1170"/>
      <c r="AK286" s="1170"/>
      <c r="AL286" s="1904" t="str">
        <f>CokingRefineryPFD!AJ238</f>
        <v xml:space="preserve">Sulphur </v>
      </c>
      <c r="AM286" s="1904" t="str">
        <f ca="1">CokingRefineryPFD!AK238</f>
        <v>wt%</v>
      </c>
      <c r="AN286" s="1906">
        <f ca="1">IF(CokingRefineryConfig=0,CokingRefineryCalcs!M50,IF(OR(CokingRefineryConfig=1,CokingRefineryConfig=2,CokingRefineryConfig=3),CokingRefineryCalcs!J543,0))</f>
        <v>0.40136935229490656</v>
      </c>
      <c r="AO286" s="1170"/>
      <c r="AP286" s="1170"/>
      <c r="AQ286" s="1170"/>
      <c r="AR286" s="1170"/>
      <c r="AS286" s="1170"/>
      <c r="AT286" s="1170"/>
      <c r="AU286" s="1170"/>
      <c r="AV286" s="1170"/>
      <c r="AW286" s="1170"/>
      <c r="AX286" s="1170"/>
      <c r="AY286" s="1170"/>
      <c r="AZ286" s="1170"/>
      <c r="BA286" s="1170"/>
      <c r="BB286" s="1170"/>
      <c r="BC286" s="1170"/>
      <c r="BD286" s="1170"/>
      <c r="BE286" s="1170"/>
      <c r="BF286" s="1170"/>
      <c r="BG286" s="1170"/>
      <c r="BH286" s="1170"/>
      <c r="BI286" s="1170"/>
      <c r="BJ286" s="1170"/>
      <c r="BK286" s="1170"/>
      <c r="BL286" s="1170"/>
      <c r="BM286" s="1170"/>
      <c r="BN286" s="1170"/>
      <c r="BO286" s="1170"/>
      <c r="BP286" s="1170"/>
      <c r="BQ286" s="1170"/>
      <c r="BR286" s="1170"/>
      <c r="BS286" s="1170"/>
      <c r="BT286" s="1170"/>
      <c r="BU286" s="1170"/>
      <c r="BV286" s="1170"/>
      <c r="BW286" s="1170"/>
      <c r="BX286" s="1170"/>
      <c r="BY286" s="1170"/>
      <c r="BZ286" s="1170"/>
      <c r="CA286" s="1170"/>
      <c r="CB286" s="1170"/>
      <c r="CC286" s="1170"/>
      <c r="CD286" s="1170"/>
      <c r="CE286" s="1170"/>
      <c r="CF286" s="1170"/>
      <c r="CG286" s="1170"/>
      <c r="CH286" s="1170"/>
      <c r="CI286" s="1170"/>
      <c r="CJ286" s="1170"/>
      <c r="CK286" s="1170"/>
      <c r="CL286" s="1170"/>
      <c r="CM286" s="1170"/>
      <c r="CN286" s="1170"/>
      <c r="CO286" s="1170"/>
      <c r="CP286" s="1170"/>
      <c r="CQ286" s="1170"/>
      <c r="CR286" s="1170"/>
      <c r="CS286" s="1170"/>
      <c r="CT286" s="1170"/>
      <c r="CU286" s="1170"/>
      <c r="CV286" s="1170"/>
      <c r="CW286" s="1170"/>
      <c r="CX286" s="1170"/>
      <c r="CY286" s="1160"/>
      <c r="CZ286" s="1160"/>
      <c r="DA286" s="1160"/>
      <c r="DB286" s="1204" t="s">
        <v>1054</v>
      </c>
      <c r="DC286" s="1204" t="str">
        <f>IF(allocationMethod=1,$C$21,IF(allocationMethod=2,$C$22,IF(allocationMethod=3,$C$23,$C$24)))</f>
        <v>Hydrogen Content Basis</v>
      </c>
      <c r="DD286" s="1204">
        <f>IF(E54=FALSE, 0, IF(allocationMethod=1,DD278,IF(allocationMethod=2,DD284*DD278,IF(allocationMethod=3,DD285*DD276,DD282*DD278/100))))</f>
        <v>0</v>
      </c>
      <c r="DE286" s="1171"/>
      <c r="DF286" s="1160"/>
      <c r="DG286" s="1160"/>
      <c r="DN286" s="1160"/>
      <c r="DO286" s="1160"/>
      <c r="DP286" s="1160"/>
      <c r="DQ286" s="1160"/>
      <c r="DR286" s="1160"/>
      <c r="DS286" s="1160"/>
      <c r="DT286" s="1160"/>
      <c r="DU286" s="1160"/>
      <c r="DV286" s="1160"/>
      <c r="DW286" s="1160"/>
      <c r="DX286" s="1160"/>
      <c r="DY286" s="1160"/>
      <c r="DZ286" s="1160"/>
      <c r="EA286" s="1160"/>
      <c r="EB286" s="1160"/>
    </row>
    <row r="287" spans="1:132" x14ac:dyDescent="0.2">
      <c r="A287" s="1160"/>
      <c r="B287" s="1160"/>
      <c r="C287" s="1160"/>
      <c r="D287" s="1160"/>
      <c r="E287" s="1170"/>
      <c r="F287" s="1170"/>
      <c r="G287" s="1170"/>
      <c r="H287" s="1170"/>
      <c r="I287" s="1170"/>
      <c r="J287" s="1170"/>
      <c r="K287" s="1170"/>
      <c r="L287" s="1170"/>
      <c r="M287" s="1170"/>
      <c r="N287" s="1170"/>
      <c r="O287" s="1170"/>
      <c r="P287" s="1170"/>
      <c r="Q287" s="1170"/>
      <c r="R287" s="1170"/>
      <c r="S287" s="1170"/>
      <c r="T287" s="1170"/>
      <c r="U287" s="1170"/>
      <c r="V287" s="1170"/>
      <c r="W287" s="1170"/>
      <c r="X287" s="1170"/>
      <c r="Y287" s="1170"/>
      <c r="Z287" s="1170"/>
      <c r="AA287" s="1170"/>
      <c r="AB287" s="1170"/>
      <c r="AC287" s="1170"/>
      <c r="AD287" s="1170"/>
      <c r="AE287" s="1170"/>
      <c r="AF287" s="1170"/>
      <c r="AG287" s="1170"/>
      <c r="AH287" s="1170"/>
      <c r="AI287" s="1170"/>
      <c r="AJ287" s="1170"/>
      <c r="AK287" s="1170"/>
      <c r="AL287" s="1904" t="str">
        <f>CokingRefineryPFD!AJ239</f>
        <v xml:space="preserve">API gravity </v>
      </c>
      <c r="AM287" s="1904" t="str">
        <f ca="1">CokingRefineryPFD!AK239</f>
        <v>oAPI</v>
      </c>
      <c r="AN287" s="1906">
        <f ca="1">IF(CokingRefineryConfig=0,CokingRefineryCalcs!M52,IF(OR(CokingRefineryConfig=1,CokingRefineryConfig=2,CokingRefineryConfig=3),CokingRefineryCalcs!J545,0))</f>
        <v>40.126668577033513</v>
      </c>
      <c r="AO287" s="1170"/>
      <c r="AP287" s="1170"/>
      <c r="AQ287" s="1170"/>
      <c r="AR287" s="1170"/>
      <c r="AS287" s="1170"/>
      <c r="AT287" s="1170"/>
      <c r="AU287" s="1170"/>
      <c r="AV287" s="1170"/>
      <c r="AW287" s="1170"/>
      <c r="AX287" s="1170"/>
      <c r="AY287" s="1170"/>
      <c r="AZ287" s="1170"/>
      <c r="BA287" s="1170"/>
      <c r="BB287" s="1170"/>
      <c r="BC287" s="1170"/>
      <c r="BD287" s="1170"/>
      <c r="BE287" s="1170"/>
      <c r="BF287" s="1170"/>
      <c r="BG287" s="1170"/>
      <c r="BH287" s="1170"/>
      <c r="BI287" s="1170"/>
      <c r="BJ287" s="1170"/>
      <c r="BK287" s="1170"/>
      <c r="BL287" s="1170"/>
      <c r="BM287" s="1170"/>
      <c r="BN287" s="1170"/>
      <c r="BO287" s="1170"/>
      <c r="BP287" s="1170"/>
      <c r="BQ287" s="1170"/>
      <c r="BR287" s="1170"/>
      <c r="BS287" s="1170"/>
      <c r="BT287" s="1170"/>
      <c r="BU287" s="1170"/>
      <c r="BV287" s="1170"/>
      <c r="BW287" s="1170"/>
      <c r="BX287" s="1170"/>
      <c r="BY287" s="1170"/>
      <c r="BZ287" s="1170"/>
      <c r="CA287" s="1170"/>
      <c r="CB287" s="1170"/>
      <c r="CC287" s="1170"/>
      <c r="CD287" s="1170"/>
      <c r="CE287" s="1170"/>
      <c r="CF287" s="1170"/>
      <c r="CG287" s="1170"/>
      <c r="CH287" s="1170"/>
      <c r="CI287" s="1170"/>
      <c r="CJ287" s="1170"/>
      <c r="CK287" s="1170"/>
      <c r="CL287" s="1170"/>
      <c r="CM287" s="1170"/>
      <c r="CN287" s="1170"/>
      <c r="CO287" s="1170"/>
      <c r="CP287" s="1170"/>
      <c r="CQ287" s="1170"/>
      <c r="CR287" s="1170"/>
      <c r="CS287" s="1170"/>
      <c r="CT287" s="1170"/>
      <c r="CU287" s="1170"/>
      <c r="CV287" s="1170"/>
      <c r="CW287" s="1170"/>
      <c r="CX287" s="1170"/>
      <c r="CY287" s="1160"/>
      <c r="CZ287" s="1160"/>
      <c r="DA287" s="1160"/>
      <c r="DB287" s="1160"/>
      <c r="DC287" s="1160"/>
      <c r="DD287" s="1160"/>
      <c r="DE287" s="1160"/>
      <c r="DF287" s="1160"/>
      <c r="DG287" s="1160"/>
      <c r="DN287" s="1160"/>
      <c r="DO287" s="1160"/>
      <c r="DP287" s="1160"/>
      <c r="DQ287" s="1160"/>
      <c r="DR287" s="1160"/>
      <c r="DS287" s="1160"/>
      <c r="DT287" s="1160"/>
      <c r="DU287" s="1160"/>
      <c r="DV287" s="1160"/>
      <c r="DW287" s="1160"/>
      <c r="DX287" s="1160"/>
      <c r="DY287" s="1160"/>
      <c r="DZ287" s="1160"/>
      <c r="EA287" s="1160"/>
      <c r="EB287" s="1160"/>
    </row>
    <row r="288" spans="1:132" x14ac:dyDescent="0.2">
      <c r="A288" s="1160"/>
      <c r="B288" s="1160"/>
      <c r="C288" s="1160"/>
      <c r="D288" s="1160"/>
      <c r="E288" s="1170"/>
      <c r="F288" s="1170"/>
      <c r="G288" s="1170"/>
      <c r="H288" s="1170"/>
      <c r="I288" s="1170"/>
      <c r="J288" s="1170"/>
      <c r="K288" s="1170"/>
      <c r="L288" s="1170"/>
      <c r="M288" s="1170"/>
      <c r="N288" s="1170"/>
      <c r="O288" s="1170"/>
      <c r="P288" s="1170"/>
      <c r="Q288" s="1170"/>
      <c r="R288" s="1170"/>
      <c r="S288" s="1170"/>
      <c r="T288" s="1170"/>
      <c r="U288" s="1170"/>
      <c r="V288" s="1170"/>
      <c r="W288" s="1170"/>
      <c r="X288" s="1170"/>
      <c r="Y288" s="1170"/>
      <c r="Z288" s="1170"/>
      <c r="AA288" s="1170"/>
      <c r="AB288" s="1170"/>
      <c r="AC288" s="1170"/>
      <c r="AD288" s="1170"/>
      <c r="AE288" s="1170"/>
      <c r="AF288" s="1170"/>
      <c r="AG288" s="1170"/>
      <c r="AH288" s="1170"/>
      <c r="AI288" s="1170"/>
      <c r="AJ288" s="1170"/>
      <c r="AK288" s="1170"/>
      <c r="AL288" s="1904" t="str">
        <f>CokingRefineryPFD!AJ240</f>
        <v>Density</v>
      </c>
      <c r="AM288" s="1904" t="str">
        <f ca="1">CokingRefineryPFD!AK240</f>
        <v>kg/m^3</v>
      </c>
      <c r="AN288" s="1905">
        <f ca="1">IF(CokingRefineryConfig=0,CokingRefineryCalcs!M53,IF(OR(CokingRefineryConfig=1,CokingRefineryConfig=2,CokingRefineryConfig=3),CokingRefineryCalcs!J546,0))</f>
        <v>824.46394358863085</v>
      </c>
      <c r="AO288" s="1170"/>
      <c r="AP288" s="1170"/>
      <c r="AQ288" s="1170"/>
      <c r="AR288" s="1170"/>
      <c r="AS288" s="1170"/>
      <c r="AT288" s="1170"/>
      <c r="AU288" s="1170"/>
      <c r="AV288" s="1170"/>
      <c r="AW288" s="1170"/>
      <c r="AX288" s="1170"/>
      <c r="AY288" s="1170"/>
      <c r="AZ288" s="1170"/>
      <c r="BA288" s="1170"/>
      <c r="BB288" s="1170"/>
      <c r="BC288" s="1170"/>
      <c r="BD288" s="1170"/>
      <c r="BE288" s="1170"/>
      <c r="BF288" s="1170"/>
      <c r="BG288" s="1170"/>
      <c r="BH288" s="1170"/>
      <c r="BI288" s="1170"/>
      <c r="BJ288" s="1170"/>
      <c r="BK288" s="1170"/>
      <c r="BL288" s="1170"/>
      <c r="BM288" s="1170"/>
      <c r="BN288" s="1170"/>
      <c r="BO288" s="1170"/>
      <c r="BP288" s="1170"/>
      <c r="BQ288" s="1170"/>
      <c r="BR288" s="1170"/>
      <c r="BS288" s="1170"/>
      <c r="BT288" s="1170"/>
      <c r="BU288" s="1170"/>
      <c r="BV288" s="1170"/>
      <c r="BW288" s="1170"/>
      <c r="BX288" s="1170"/>
      <c r="BY288" s="1170"/>
      <c r="BZ288" s="1170"/>
      <c r="CA288" s="1170"/>
      <c r="CB288" s="1170"/>
      <c r="CC288" s="1170"/>
      <c r="CD288" s="1170"/>
      <c r="CE288" s="1170"/>
      <c r="CF288" s="1170"/>
      <c r="CG288" s="1170"/>
      <c r="CH288" s="1170"/>
      <c r="CI288" s="1170"/>
      <c r="CJ288" s="1170"/>
      <c r="CK288" s="1170"/>
      <c r="CL288" s="1170"/>
      <c r="CM288" s="1170"/>
      <c r="CN288" s="1170"/>
      <c r="CO288" s="1170"/>
      <c r="CP288" s="1170"/>
      <c r="CQ288" s="1170"/>
      <c r="CR288" s="1170"/>
      <c r="CS288" s="1170"/>
      <c r="CT288" s="1170"/>
      <c r="CU288" s="1170"/>
      <c r="CV288" s="1170"/>
      <c r="CW288" s="1170"/>
      <c r="CX288" s="1170"/>
      <c r="CY288" s="1160"/>
      <c r="CZ288" s="1160"/>
      <c r="DA288" s="1160"/>
      <c r="DB288" s="1160"/>
      <c r="DC288" s="1160"/>
      <c r="DD288" s="1160"/>
      <c r="DE288" s="1160"/>
      <c r="DF288" s="1160"/>
      <c r="DG288" s="1160"/>
      <c r="DN288" s="1160"/>
      <c r="DO288" s="1160"/>
      <c r="DP288" s="1160"/>
      <c r="DQ288" s="1160"/>
      <c r="DR288" s="1160"/>
      <c r="DS288" s="1160"/>
      <c r="DT288" s="1160"/>
      <c r="DU288" s="1160"/>
      <c r="DV288" s="1160"/>
      <c r="DW288" s="1160"/>
      <c r="DX288" s="1160"/>
      <c r="DY288" s="1160"/>
      <c r="DZ288" s="1160"/>
      <c r="EA288" s="1160"/>
      <c r="EB288" s="1160"/>
    </row>
    <row r="289" spans="1:132" x14ac:dyDescent="0.2">
      <c r="A289" s="1160"/>
      <c r="B289" s="1160"/>
      <c r="C289" s="1160"/>
      <c r="D289" s="1160"/>
      <c r="E289" s="1170"/>
      <c r="F289" s="1170"/>
      <c r="G289" s="1170"/>
      <c r="H289" s="1170"/>
      <c r="I289" s="1170"/>
      <c r="J289" s="1170"/>
      <c r="K289" s="1170"/>
      <c r="L289" s="1170"/>
      <c r="M289" s="1170"/>
      <c r="N289" s="1170"/>
      <c r="O289" s="1170"/>
      <c r="P289" s="1170"/>
      <c r="Q289" s="1170"/>
      <c r="R289" s="1170"/>
      <c r="S289" s="1170"/>
      <c r="T289" s="1170"/>
      <c r="U289" s="1170"/>
      <c r="V289" s="1170"/>
      <c r="W289" s="1170"/>
      <c r="X289" s="1170"/>
      <c r="Y289" s="1170"/>
      <c r="Z289" s="1170"/>
      <c r="AA289" s="1170"/>
      <c r="AB289" s="1170"/>
      <c r="AC289" s="1170"/>
      <c r="AD289" s="1170"/>
      <c r="AE289" s="1170"/>
      <c r="AF289" s="1170"/>
      <c r="AG289" s="1170"/>
      <c r="AH289" s="1170"/>
      <c r="AI289" s="1170"/>
      <c r="AJ289" s="1170"/>
      <c r="AK289" s="1170"/>
      <c r="AL289" s="1186" t="s">
        <v>1828</v>
      </c>
      <c r="AM289" s="1170" t="s">
        <v>579</v>
      </c>
      <c r="AN289" s="1205">
        <f ca="1">IF(CokingRefineryConfig=0,CokingRefineryCalcs!M54,IF(OR(CokingRefineryConfig=1,CokingRefineryConfig=2,CokingRefineryConfig=3),CokingRefineryCalcs!J547,0))</f>
        <v>12.849096068230512</v>
      </c>
      <c r="AO289" s="1170"/>
      <c r="AP289" s="1170"/>
      <c r="AQ289" s="1170"/>
      <c r="AR289" s="1170"/>
      <c r="AS289" s="1170"/>
      <c r="AT289" s="1170"/>
      <c r="AU289" s="1170"/>
      <c r="AV289" s="1170"/>
      <c r="AW289" s="1170"/>
      <c r="AX289" s="1170"/>
      <c r="AY289" s="1170"/>
      <c r="AZ289" s="1170"/>
      <c r="BA289" s="1170"/>
      <c r="BB289" s="1170"/>
      <c r="BC289" s="1170"/>
      <c r="BD289" s="1170"/>
      <c r="BE289" s="1170"/>
      <c r="BF289" s="1170"/>
      <c r="BG289" s="1170"/>
      <c r="BH289" s="1170"/>
      <c r="BI289" s="1170"/>
      <c r="BJ289" s="1170"/>
      <c r="BK289" s="1170"/>
      <c r="BL289" s="1170"/>
      <c r="BM289" s="1170"/>
      <c r="BN289" s="1170"/>
      <c r="BO289" s="1170"/>
      <c r="BP289" s="1170"/>
      <c r="BQ289" s="1170"/>
      <c r="BR289" s="1170"/>
      <c r="BS289" s="1170"/>
      <c r="BT289" s="1170"/>
      <c r="BU289" s="1170"/>
      <c r="BV289" s="1170"/>
      <c r="BW289" s="1170"/>
      <c r="BX289" s="1170"/>
      <c r="BY289" s="1170"/>
      <c r="BZ289" s="1170"/>
      <c r="CA289" s="1170"/>
      <c r="CB289" s="1170"/>
      <c r="CC289" s="1170"/>
      <c r="CD289" s="1170"/>
      <c r="CE289" s="1170"/>
      <c r="CF289" s="1170"/>
      <c r="CG289" s="1170"/>
      <c r="CH289" s="1170"/>
      <c r="CI289" s="1170"/>
      <c r="CJ289" s="1170"/>
      <c r="CK289" s="1170"/>
      <c r="CL289" s="1170"/>
      <c r="CM289" s="1170"/>
      <c r="CN289" s="1170"/>
      <c r="CO289" s="1170"/>
      <c r="CP289" s="1170"/>
      <c r="CQ289" s="1170"/>
      <c r="CR289" s="1170"/>
      <c r="CS289" s="1170"/>
      <c r="CT289" s="1170"/>
      <c r="CU289" s="1170"/>
      <c r="CV289" s="1170"/>
      <c r="CW289" s="1170"/>
      <c r="CX289" s="1170"/>
      <c r="CY289" s="1160"/>
      <c r="CZ289" s="1160"/>
      <c r="DA289" s="1160"/>
      <c r="DB289" s="1160"/>
      <c r="DC289" s="1160"/>
      <c r="DD289" s="1160"/>
      <c r="DE289" s="1160"/>
      <c r="DF289" s="1160"/>
      <c r="DG289" s="1160"/>
      <c r="DN289" s="1160"/>
      <c r="DO289" s="1160"/>
      <c r="DP289" s="1160"/>
      <c r="DQ289" s="1160"/>
      <c r="DR289" s="1160"/>
      <c r="DS289" s="1160"/>
      <c r="DT289" s="1160"/>
      <c r="DU289" s="1160"/>
      <c r="DV289" s="1160"/>
      <c r="DW289" s="1160"/>
      <c r="DX289" s="1160"/>
      <c r="DY289" s="1160"/>
      <c r="DZ289" s="1160"/>
      <c r="EA289" s="1160"/>
      <c r="EB289" s="1160"/>
    </row>
    <row r="290" spans="1:132" x14ac:dyDescent="0.2">
      <c r="A290" s="1160"/>
      <c r="B290" s="1160"/>
      <c r="C290" s="1160"/>
      <c r="D290" s="1160"/>
      <c r="E290" s="1170"/>
      <c r="F290" s="1170"/>
      <c r="G290" s="1170"/>
      <c r="H290" s="1170"/>
      <c r="I290" s="1170"/>
      <c r="J290" s="1170"/>
      <c r="K290" s="1170"/>
      <c r="L290" s="1170"/>
      <c r="M290" s="1170"/>
      <c r="N290" s="1170"/>
      <c r="O290" s="1170"/>
      <c r="P290" s="1170"/>
      <c r="Q290" s="1170"/>
      <c r="R290" s="1170"/>
      <c r="S290" s="1170"/>
      <c r="T290" s="1170"/>
      <c r="U290" s="1170"/>
      <c r="V290" s="1170"/>
      <c r="W290" s="1170"/>
      <c r="X290" s="1170"/>
      <c r="Y290" s="1170"/>
      <c r="Z290" s="1170"/>
      <c r="AA290" s="1170"/>
      <c r="AB290" s="1170"/>
      <c r="AC290" s="1170"/>
      <c r="AD290" s="1170"/>
      <c r="AE290" s="1170"/>
      <c r="AF290" s="1170"/>
      <c r="AG290" s="1170"/>
      <c r="AH290" s="1170"/>
      <c r="AI290" s="1170"/>
      <c r="AJ290" s="1170"/>
      <c r="AK290" s="1170"/>
      <c r="AL290" s="1186" t="s">
        <v>544</v>
      </c>
      <c r="AM290" s="1170" t="s">
        <v>579</v>
      </c>
      <c r="AN290" s="1906">
        <f ca="1">CokingRefineryCalcs!K55</f>
        <v>4.4374255523499508</v>
      </c>
      <c r="AO290" s="1170"/>
      <c r="AP290" s="1170"/>
      <c r="AQ290" s="1170"/>
      <c r="AR290" s="1170"/>
      <c r="AS290" s="1170"/>
      <c r="AT290" s="1170"/>
      <c r="AU290" s="1170"/>
      <c r="AV290" s="1170"/>
      <c r="AW290" s="1170"/>
      <c r="AX290" s="1170"/>
      <c r="AY290" s="1170"/>
      <c r="AZ290" s="1170"/>
      <c r="BA290" s="1170"/>
      <c r="BB290" s="1170"/>
      <c r="BC290" s="1170"/>
      <c r="BD290" s="1170"/>
      <c r="BE290" s="1170"/>
      <c r="BF290" s="1170"/>
      <c r="BG290" s="1170"/>
      <c r="BH290" s="1170"/>
      <c r="BI290" s="1170"/>
      <c r="BJ290" s="1170"/>
      <c r="BK290" s="1170"/>
      <c r="BL290" s="1170"/>
      <c r="BM290" s="1170"/>
      <c r="BN290" s="1170"/>
      <c r="BO290" s="1170"/>
      <c r="BP290" s="1170"/>
      <c r="BQ290" s="1170"/>
      <c r="BR290" s="1170"/>
      <c r="BS290" s="1170"/>
      <c r="BT290" s="1170"/>
      <c r="BU290" s="1170"/>
      <c r="BV290" s="1170"/>
      <c r="BW290" s="1170"/>
      <c r="BX290" s="1170"/>
      <c r="BY290" s="1170"/>
      <c r="BZ290" s="1170"/>
      <c r="CA290" s="1170"/>
      <c r="CB290" s="1170"/>
      <c r="CC290" s="1170"/>
      <c r="CD290" s="1170"/>
      <c r="CE290" s="1170"/>
      <c r="CF290" s="1170"/>
      <c r="CG290" s="1170"/>
      <c r="CH290" s="1170"/>
      <c r="CI290" s="1170"/>
      <c r="CJ290" s="1170"/>
      <c r="CK290" s="1170"/>
      <c r="CL290" s="1170"/>
      <c r="CM290" s="1170"/>
      <c r="CN290" s="1170"/>
      <c r="CO290" s="1170"/>
      <c r="CP290" s="1170"/>
      <c r="CQ290" s="1170"/>
      <c r="CR290" s="1170"/>
      <c r="CS290" s="1170"/>
      <c r="CT290" s="1170"/>
      <c r="CU290" s="1170"/>
      <c r="CV290" s="1170"/>
      <c r="CW290" s="1170"/>
      <c r="CX290" s="1170"/>
      <c r="CY290" s="1160"/>
      <c r="CZ290" s="1160"/>
      <c r="DA290" s="1160"/>
      <c r="DB290" s="1160"/>
      <c r="DC290" s="1160"/>
      <c r="DD290" s="1160"/>
      <c r="DE290" s="1160"/>
      <c r="DF290" s="1160"/>
      <c r="DG290" s="1160"/>
      <c r="DN290" s="1160"/>
      <c r="DO290" s="1160"/>
      <c r="DP290" s="1160"/>
      <c r="DQ290" s="1160"/>
      <c r="DR290" s="1160"/>
      <c r="DS290" s="1160"/>
      <c r="DT290" s="1160"/>
      <c r="DU290" s="1160"/>
      <c r="DV290" s="1160"/>
      <c r="DW290" s="1160"/>
      <c r="DX290" s="1160"/>
      <c r="DY290" s="1160"/>
      <c r="DZ290" s="1160"/>
      <c r="EA290" s="1160"/>
      <c r="EB290" s="1160"/>
    </row>
    <row r="291" spans="1:132" x14ac:dyDescent="0.2">
      <c r="A291" s="1160"/>
      <c r="B291" s="1160"/>
      <c r="C291" s="1160"/>
      <c r="D291" s="1160"/>
      <c r="E291" s="1170"/>
      <c r="F291" s="1170"/>
      <c r="G291" s="1170"/>
      <c r="H291" s="1170"/>
      <c r="I291" s="1170"/>
      <c r="J291" s="1170"/>
      <c r="K291" s="1170"/>
      <c r="L291" s="1170"/>
      <c r="M291" s="1170"/>
      <c r="N291" s="1170"/>
      <c r="O291" s="1170"/>
      <c r="P291" s="1170"/>
      <c r="Q291" s="1170"/>
      <c r="R291" s="1170"/>
      <c r="S291" s="1170"/>
      <c r="T291" s="1170"/>
      <c r="U291" s="1170"/>
      <c r="V291" s="1170"/>
      <c r="W291" s="1170"/>
      <c r="X291" s="1170"/>
      <c r="Y291" s="1170"/>
      <c r="Z291" s="1170"/>
      <c r="AA291" s="1170"/>
      <c r="AB291" s="1170"/>
      <c r="AC291" s="1170"/>
      <c r="AD291" s="1170"/>
      <c r="AE291" s="1170"/>
      <c r="AF291" s="1170"/>
      <c r="AG291" s="1170"/>
      <c r="AH291" s="1170"/>
      <c r="AI291" s="1170"/>
      <c r="AJ291" s="1170"/>
      <c r="AK291" s="1170"/>
      <c r="AL291" s="1200" t="s">
        <v>1056</v>
      </c>
      <c r="AM291" s="1199" t="s">
        <v>447</v>
      </c>
      <c r="AN291" s="1199">
        <f ca="1">('Energy &amp; Unit Conversions'!$D$63-('Energy &amp; Unit Conversions'!$E$63*POWER((CokingRefineryPFD!AN288/'Energy &amp; Unit Conversions'!$E$54),2)))</f>
        <v>41.298809746331258</v>
      </c>
      <c r="AO291" s="1170"/>
      <c r="AP291" s="1170"/>
      <c r="AQ291" s="1170"/>
      <c r="AR291" s="1170"/>
      <c r="AS291" s="1170"/>
      <c r="AT291" s="1170"/>
      <c r="AU291" s="1170"/>
      <c r="AV291" s="1170"/>
      <c r="AW291" s="1170"/>
      <c r="AX291" s="1170"/>
      <c r="AY291" s="1170"/>
      <c r="AZ291" s="1170"/>
      <c r="BA291" s="1170"/>
      <c r="BB291" s="1170"/>
      <c r="BC291" s="1170"/>
      <c r="BD291" s="1170"/>
      <c r="BE291" s="1170"/>
      <c r="BF291" s="1170"/>
      <c r="BG291" s="1170"/>
      <c r="BH291" s="1170"/>
      <c r="BI291" s="1170"/>
      <c r="BJ291" s="1170"/>
      <c r="BK291" s="1170"/>
      <c r="BL291" s="1170"/>
      <c r="BM291" s="1170"/>
      <c r="BN291" s="1170"/>
      <c r="BO291" s="1170"/>
      <c r="BP291" s="1170"/>
      <c r="BQ291" s="1170"/>
      <c r="BR291" s="1170"/>
      <c r="BS291" s="1170"/>
      <c r="BT291" s="1170"/>
      <c r="BU291" s="1170"/>
      <c r="BV291" s="1170"/>
      <c r="BW291" s="1170"/>
      <c r="BX291" s="1170"/>
      <c r="BY291" s="1170"/>
      <c r="BZ291" s="1170"/>
      <c r="CA291" s="1170"/>
      <c r="CB291" s="1170"/>
      <c r="CC291" s="1170"/>
      <c r="CD291" s="1170"/>
      <c r="CE291" s="1170"/>
      <c r="CF291" s="1170"/>
      <c r="CG291" s="1170"/>
      <c r="CH291" s="1170"/>
      <c r="CI291" s="1170"/>
      <c r="CJ291" s="1170"/>
      <c r="CK291" s="1170"/>
      <c r="CL291" s="1170"/>
      <c r="CM291" s="1170"/>
      <c r="CN291" s="1170"/>
      <c r="CO291" s="1170"/>
      <c r="CP291" s="1170"/>
      <c r="CQ291" s="1170"/>
      <c r="CR291" s="1170"/>
      <c r="CS291" s="1170"/>
      <c r="CT291" s="1170"/>
      <c r="CU291" s="1170"/>
      <c r="CV291" s="1170"/>
      <c r="CW291" s="1170"/>
      <c r="CX291" s="1170"/>
      <c r="CY291" s="1160"/>
      <c r="CZ291" s="1160"/>
      <c r="DA291" s="1160"/>
      <c r="DB291" s="1160"/>
      <c r="DC291" s="1160"/>
      <c r="DD291" s="1160"/>
      <c r="DE291" s="1160"/>
      <c r="DF291" s="1160"/>
      <c r="DG291" s="1160"/>
      <c r="DN291" s="1160"/>
      <c r="DO291" s="1160"/>
      <c r="DP291" s="1160"/>
      <c r="DQ291" s="1160"/>
      <c r="DR291" s="1160"/>
      <c r="DS291" s="1160"/>
      <c r="DT291" s="1160"/>
      <c r="DU291" s="1160"/>
      <c r="DV291" s="1160"/>
      <c r="DW291" s="1160"/>
      <c r="DX291" s="1160"/>
      <c r="DY291" s="1160"/>
      <c r="DZ291" s="1160"/>
      <c r="EA291" s="1160"/>
      <c r="EB291" s="1160"/>
    </row>
    <row r="292" spans="1:132" x14ac:dyDescent="0.2">
      <c r="A292" s="1160"/>
      <c r="B292" s="1160"/>
      <c r="C292" s="1160"/>
      <c r="D292" s="1160"/>
      <c r="E292" s="1170"/>
      <c r="F292" s="1170"/>
      <c r="G292" s="1170"/>
      <c r="H292" s="1170"/>
      <c r="I292" s="1170"/>
      <c r="J292" s="1170"/>
      <c r="K292" s="1170"/>
      <c r="L292" s="1170"/>
      <c r="M292" s="1170"/>
      <c r="N292" s="1170"/>
      <c r="O292" s="1170"/>
      <c r="P292" s="1170"/>
      <c r="Q292" s="1170"/>
      <c r="R292" s="1170"/>
      <c r="S292" s="1170"/>
      <c r="T292" s="1170"/>
      <c r="U292" s="1170"/>
      <c r="V292" s="1170"/>
      <c r="W292" s="1170"/>
      <c r="X292" s="1170"/>
      <c r="Y292" s="1170"/>
      <c r="Z292" s="1170"/>
      <c r="AA292" s="1170"/>
      <c r="AB292" s="1170"/>
      <c r="AC292" s="1170"/>
      <c r="AD292" s="1170"/>
      <c r="AE292" s="1170"/>
      <c r="AF292" s="1170"/>
      <c r="AG292" s="1170"/>
      <c r="AH292" s="1170"/>
      <c r="AI292" s="1170"/>
      <c r="AJ292" s="1170"/>
      <c r="AK292" s="1170"/>
      <c r="AL292" s="1200" t="s">
        <v>1021</v>
      </c>
      <c r="AM292" s="1199" t="s">
        <v>1022</v>
      </c>
      <c r="AN292" s="1199">
        <f ca="1">IF(CokingRefineryConfig=0,CokingRefineryPFD!W139,IF(OR(CokingRefineryConfig=1,CokingRefineryConfig=2,CokingRefineryConfig=3),CokingRefineryPFD!AL244,0))</f>
        <v>69.300827026367188</v>
      </c>
      <c r="AO292" s="1170"/>
      <c r="AP292" s="1170"/>
      <c r="AQ292" s="1170"/>
      <c r="AR292" s="1170"/>
      <c r="AS292" s="1170"/>
      <c r="AT292" s="1170"/>
      <c r="AU292" s="1170"/>
      <c r="AV292" s="1170"/>
      <c r="AW292" s="1170"/>
      <c r="AX292" s="1170"/>
      <c r="AY292" s="1170"/>
      <c r="AZ292" s="1170"/>
      <c r="BA292" s="1170"/>
      <c r="BB292" s="1170"/>
      <c r="BC292" s="1170"/>
      <c r="BD292" s="1170"/>
      <c r="BE292" s="1170"/>
      <c r="BF292" s="1170"/>
      <c r="BG292" s="1170"/>
      <c r="BH292" s="1170"/>
      <c r="BI292" s="1170"/>
      <c r="BJ292" s="1170"/>
      <c r="BK292" s="1170"/>
      <c r="BL292" s="1170"/>
      <c r="BM292" s="1170"/>
      <c r="BN292" s="1170"/>
      <c r="BO292" s="1170"/>
      <c r="BP292" s="1170"/>
      <c r="BQ292" s="1170"/>
      <c r="BR292" s="1170"/>
      <c r="BS292" s="1170"/>
      <c r="BT292" s="1170"/>
      <c r="BU292" s="1170"/>
      <c r="BV292" s="1170"/>
      <c r="BW292" s="1170"/>
      <c r="BX292" s="1170"/>
      <c r="BY292" s="1170"/>
      <c r="BZ292" s="1170"/>
      <c r="CA292" s="1170"/>
      <c r="CB292" s="1170"/>
      <c r="CC292" s="1170"/>
      <c r="CD292" s="1170"/>
      <c r="CE292" s="1170"/>
      <c r="CF292" s="1170"/>
      <c r="CG292" s="1170"/>
      <c r="CH292" s="1170"/>
      <c r="CI292" s="1170"/>
      <c r="CJ292" s="1170"/>
      <c r="CK292" s="1170"/>
      <c r="CL292" s="1170"/>
      <c r="CM292" s="1170"/>
      <c r="CN292" s="1170"/>
      <c r="CO292" s="1170"/>
      <c r="CP292" s="1170"/>
      <c r="CQ292" s="1170"/>
      <c r="CR292" s="1170"/>
      <c r="CS292" s="1170"/>
      <c r="CT292" s="1170"/>
      <c r="CU292" s="1170"/>
      <c r="CV292" s="1170"/>
      <c r="CW292" s="1170"/>
      <c r="CX292" s="1170"/>
      <c r="CY292" s="1160"/>
      <c r="CZ292" s="1160"/>
      <c r="DA292" s="1160"/>
      <c r="DB292" s="1181" t="s">
        <v>1941</v>
      </c>
      <c r="DC292" s="1170"/>
      <c r="DD292" s="1170"/>
      <c r="DE292" s="1191" t="str">
        <f>DB292</f>
        <v>Liquid Heavy Ends or Precursor of Heavy Oil</v>
      </c>
      <c r="DF292" s="1191"/>
      <c r="DG292" s="1160"/>
      <c r="DN292" s="1160"/>
      <c r="DO292" s="1160"/>
      <c r="DP292" s="1160"/>
      <c r="DQ292" s="1160"/>
      <c r="DR292" s="1160"/>
      <c r="DS292" s="1160"/>
      <c r="DT292" s="1160"/>
      <c r="DU292" s="1160"/>
      <c r="DV292" s="1160"/>
      <c r="DW292" s="1160"/>
      <c r="DX292" s="1160"/>
      <c r="DY292" s="1160"/>
      <c r="DZ292" s="1160"/>
      <c r="EA292" s="1160"/>
      <c r="EB292" s="1160"/>
    </row>
    <row r="293" spans="1:132" x14ac:dyDescent="0.2">
      <c r="A293" s="1160"/>
      <c r="B293" s="1160"/>
      <c r="C293" s="1160"/>
      <c r="D293" s="1160"/>
      <c r="E293" s="1170"/>
      <c r="F293" s="1170"/>
      <c r="G293" s="1170"/>
      <c r="H293" s="1170"/>
      <c r="I293" s="1170"/>
      <c r="J293" s="1170"/>
      <c r="K293" s="1170"/>
      <c r="L293" s="1170"/>
      <c r="M293" s="1170"/>
      <c r="N293" s="1170"/>
      <c r="O293" s="1170"/>
      <c r="P293" s="1170"/>
      <c r="Q293" s="1170"/>
      <c r="R293" s="1170"/>
      <c r="S293" s="1170"/>
      <c r="T293" s="1170"/>
      <c r="U293" s="1170"/>
      <c r="V293" s="1170"/>
      <c r="W293" s="1170"/>
      <c r="X293" s="1170"/>
      <c r="Y293" s="1170"/>
      <c r="Z293" s="1170"/>
      <c r="AA293" s="1170"/>
      <c r="AB293" s="1170"/>
      <c r="AC293" s="1170"/>
      <c r="AD293" s="1170"/>
      <c r="AE293" s="1170"/>
      <c r="AF293" s="1170"/>
      <c r="AG293" s="1170"/>
      <c r="AH293" s="1170"/>
      <c r="AI293" s="1170"/>
      <c r="AJ293" s="1170"/>
      <c r="AK293" s="1170"/>
      <c r="AL293" s="1204" t="s">
        <v>1054</v>
      </c>
      <c r="AM293" s="1204" t="str">
        <f>IF(allocationMethod=1,CokingRefineryPFD!$C$21,IF(allocationMethod=2,CokingRefineryPFD!$C$22,IF(allocationMethod=3,CokingRefineryPFD!$C$23,CokingRefineryPFD!$C$24)))</f>
        <v>Hydrogen Content Basis</v>
      </c>
      <c r="AN293" s="1250">
        <f ca="1">IF(allocationMethod=1,AN285,IF(allocationMethod=2,AN291*AN285,IF(allocationMethod=3,AN292*AN283,AN290*AN285/100)))</f>
        <v>164247.94764003574</v>
      </c>
      <c r="AO293" s="1170"/>
      <c r="AP293" s="1170"/>
      <c r="AQ293" s="1170"/>
      <c r="AR293" s="1170"/>
      <c r="AS293" s="1170"/>
      <c r="AT293" s="1170"/>
      <c r="AU293" s="1170"/>
      <c r="AV293" s="1170"/>
      <c r="AW293" s="1170"/>
      <c r="AX293" s="1170"/>
      <c r="AY293" s="1170"/>
      <c r="AZ293" s="1170"/>
      <c r="BA293" s="1170"/>
      <c r="BB293" s="1170"/>
      <c r="BC293" s="1170"/>
      <c r="BD293" s="1170"/>
      <c r="BE293" s="1170"/>
      <c r="BF293" s="1170"/>
      <c r="BG293" s="1170"/>
      <c r="BH293" s="1170"/>
      <c r="BI293" s="1170"/>
      <c r="BJ293" s="1170"/>
      <c r="BK293" s="1170"/>
      <c r="BL293" s="1170"/>
      <c r="BM293" s="1170"/>
      <c r="BN293" s="1170"/>
      <c r="BO293" s="1170"/>
      <c r="BP293" s="1170"/>
      <c r="BQ293" s="1170"/>
      <c r="BR293" s="1170"/>
      <c r="BS293" s="1170"/>
      <c r="BT293" s="1170"/>
      <c r="BU293" s="1170"/>
      <c r="BV293" s="1170"/>
      <c r="BW293" s="1170"/>
      <c r="BX293" s="1170"/>
      <c r="BY293" s="1170"/>
      <c r="BZ293" s="1170"/>
      <c r="CA293" s="1170"/>
      <c r="CB293" s="1170"/>
      <c r="CC293" s="1170"/>
      <c r="CD293" s="1170"/>
      <c r="CE293" s="1170"/>
      <c r="CF293" s="1170"/>
      <c r="CG293" s="1170"/>
      <c r="CH293" s="1170"/>
      <c r="CI293" s="1170"/>
      <c r="CJ293" s="1170"/>
      <c r="CK293" s="1170"/>
      <c r="CL293" s="1170"/>
      <c r="CM293" s="1170"/>
      <c r="CN293" s="1170"/>
      <c r="CO293" s="1170"/>
      <c r="CP293" s="1170"/>
      <c r="CQ293" s="1170"/>
      <c r="CR293" s="1170"/>
      <c r="CS293" s="1170"/>
      <c r="CT293" s="1170"/>
      <c r="CU293" s="1170"/>
      <c r="CV293" s="1170"/>
      <c r="CW293" s="1170"/>
      <c r="CX293" s="1170"/>
      <c r="CY293" s="1160"/>
      <c r="CZ293" s="1160"/>
      <c r="DA293" s="1160"/>
      <c r="DB293" s="1182" t="str">
        <f t="shared" ref="DB293:DC297" si="5">CN268</f>
        <v>Property</v>
      </c>
      <c r="DC293" s="1182" t="str">
        <f t="shared" si="5"/>
        <v>Units</v>
      </c>
      <c r="DD293" s="1170"/>
      <c r="DE293" s="1193" t="s">
        <v>226</v>
      </c>
      <c r="DF293" s="1193"/>
      <c r="DG293" s="1194" t="s">
        <v>522</v>
      </c>
      <c r="DH293" s="1160"/>
      <c r="DI293" s="1160"/>
      <c r="DJ293" s="1160"/>
      <c r="DK293" s="1171"/>
      <c r="DL293" s="1160"/>
      <c r="DM293" s="1160"/>
      <c r="DN293" s="1160"/>
      <c r="DO293" s="1160"/>
      <c r="DP293" s="1160"/>
      <c r="DQ293" s="1160"/>
      <c r="DR293" s="1160"/>
      <c r="DS293" s="1160"/>
      <c r="DT293" s="1160"/>
      <c r="DU293" s="1160"/>
      <c r="DV293" s="1160"/>
      <c r="DW293" s="1160"/>
      <c r="DX293" s="1160"/>
      <c r="DY293" s="1160"/>
      <c r="DZ293" s="1160"/>
      <c r="EA293" s="1160"/>
      <c r="EB293" s="1160"/>
    </row>
    <row r="294" spans="1:132" x14ac:dyDescent="0.2">
      <c r="A294" s="1160"/>
      <c r="B294" s="1160"/>
      <c r="C294" s="1160"/>
      <c r="D294" s="1160"/>
      <c r="E294" s="1170"/>
      <c r="F294" s="1170"/>
      <c r="G294" s="1170"/>
      <c r="H294" s="1170"/>
      <c r="I294" s="1170"/>
      <c r="J294" s="1170"/>
      <c r="K294" s="1170"/>
      <c r="L294" s="1170"/>
      <c r="M294" s="1170"/>
      <c r="N294" s="1170"/>
      <c r="O294" s="1170"/>
      <c r="P294" s="1170"/>
      <c r="Q294" s="1170"/>
      <c r="R294" s="1170"/>
      <c r="S294" s="1170"/>
      <c r="T294" s="1170"/>
      <c r="U294" s="1170"/>
      <c r="V294" s="1170"/>
      <c r="W294" s="1170"/>
      <c r="X294" s="1170"/>
      <c r="Y294" s="1170"/>
      <c r="Z294" s="1170"/>
      <c r="AA294" s="1170"/>
      <c r="AB294" s="1170"/>
      <c r="AC294" s="1170"/>
      <c r="AD294" s="1170"/>
      <c r="AE294" s="1170"/>
      <c r="AF294" s="1170"/>
      <c r="AG294" s="1170"/>
      <c r="AH294" s="1170"/>
      <c r="AI294" s="1170"/>
      <c r="AJ294" s="1170"/>
      <c r="AK294" s="1170"/>
      <c r="AL294" s="1907" t="str">
        <f ca="1">AL281</f>
        <v>ATM Residue to Heavy Fuel Oil</v>
      </c>
      <c r="AM294" s="1907"/>
      <c r="AN294" s="1907"/>
      <c r="AO294" s="1170"/>
      <c r="AP294" s="1170"/>
      <c r="AQ294" s="1170"/>
      <c r="AR294" s="1170"/>
      <c r="AS294" s="1170"/>
      <c r="AT294" s="1170"/>
      <c r="AU294" s="1170"/>
      <c r="AV294" s="1170"/>
      <c r="AW294" s="1170"/>
      <c r="AX294" s="1170"/>
      <c r="AY294" s="1170"/>
      <c r="AZ294" s="1170"/>
      <c r="BA294" s="1170"/>
      <c r="BB294" s="1170"/>
      <c r="BC294" s="1170"/>
      <c r="BD294" s="1170"/>
      <c r="BE294" s="1170"/>
      <c r="BF294" s="1170"/>
      <c r="BG294" s="1170"/>
      <c r="BH294" s="1170"/>
      <c r="BI294" s="1170"/>
      <c r="BJ294" s="1170"/>
      <c r="BK294" s="1170"/>
      <c r="BL294" s="1170"/>
      <c r="BM294" s="1170"/>
      <c r="BN294" s="1170"/>
      <c r="BO294" s="1170"/>
      <c r="BP294" s="1170"/>
      <c r="BQ294" s="1170"/>
      <c r="BR294" s="1170"/>
      <c r="BS294" s="1170"/>
      <c r="BT294" s="1170"/>
      <c r="BU294" s="1170"/>
      <c r="BV294" s="1170"/>
      <c r="BW294" s="1170"/>
      <c r="BX294" s="1170"/>
      <c r="BY294" s="1170"/>
      <c r="BZ294" s="1170"/>
      <c r="CA294" s="1170"/>
      <c r="CB294" s="1170"/>
      <c r="CC294" s="1170"/>
      <c r="CD294" s="1170"/>
      <c r="CE294" s="1170"/>
      <c r="CF294" s="1170"/>
      <c r="CG294" s="1170"/>
      <c r="CH294" s="1170"/>
      <c r="CI294" s="1170"/>
      <c r="CJ294" s="1170"/>
      <c r="CK294" s="1170"/>
      <c r="CL294" s="1170"/>
      <c r="CM294" s="1170"/>
      <c r="CN294" s="1170"/>
      <c r="CO294" s="1170"/>
      <c r="CP294" s="1170"/>
      <c r="CQ294" s="1170"/>
      <c r="CR294" s="1170"/>
      <c r="CS294" s="1170"/>
      <c r="CT294" s="1170"/>
      <c r="CU294" s="1170"/>
      <c r="CV294" s="1170"/>
      <c r="CW294" s="1170"/>
      <c r="CX294" s="1170"/>
      <c r="CY294" s="1160"/>
      <c r="CZ294" s="1160"/>
      <c r="DA294" s="1160"/>
      <c r="DB294" s="1186" t="str">
        <f t="shared" si="5"/>
        <v>Vol Flow</v>
      </c>
      <c r="DC294" s="1170" t="str">
        <f ca="1">CO269</f>
        <v>bpd</v>
      </c>
      <c r="DD294" s="1170">
        <f ca="1">CP269+IF(CokingRefineryConfig&lt;4,CokingRefineryPFD!AN283,0)</f>
        <v>28238.054386069471</v>
      </c>
      <c r="DE294" s="1160" t="s">
        <v>263</v>
      </c>
      <c r="DF294" s="1160"/>
      <c r="DG294" s="1187">
        <f ca="1">CU269+IF(CokingRefineryConfig&lt;4,CokingRefineryPFD!AN296,0)</f>
        <v>0</v>
      </c>
      <c r="DH294" s="1160"/>
      <c r="DI294" s="1160"/>
      <c r="DJ294" s="1160"/>
      <c r="DK294" s="1171"/>
      <c r="DL294" s="1160"/>
      <c r="DM294" s="1160"/>
      <c r="DN294" s="1160"/>
      <c r="DO294" s="1160"/>
      <c r="DP294" s="1160"/>
      <c r="DQ294" s="1160"/>
      <c r="DR294" s="1160"/>
      <c r="DS294" s="1160"/>
      <c r="DT294" s="1160"/>
      <c r="DU294" s="1160"/>
      <c r="DV294" s="1160"/>
      <c r="DW294" s="1160"/>
      <c r="DX294" s="1160"/>
      <c r="DY294" s="1160"/>
      <c r="DZ294" s="1160"/>
      <c r="EA294" s="1160"/>
      <c r="EB294" s="1160"/>
    </row>
    <row r="295" spans="1:132" x14ac:dyDescent="0.2">
      <c r="A295" s="1160"/>
      <c r="B295" s="1160"/>
      <c r="C295" s="1160"/>
      <c r="D295" s="1160"/>
      <c r="E295" s="1170"/>
      <c r="F295" s="1170"/>
      <c r="G295" s="1170"/>
      <c r="H295" s="1170"/>
      <c r="I295" s="1170"/>
      <c r="J295" s="1170"/>
      <c r="K295" s="1170"/>
      <c r="L295" s="1170"/>
      <c r="M295" s="1170"/>
      <c r="N295" s="1170"/>
      <c r="O295" s="1170"/>
      <c r="P295" s="1170"/>
      <c r="Q295" s="1170"/>
      <c r="R295" s="1170"/>
      <c r="S295" s="1170"/>
      <c r="T295" s="1170"/>
      <c r="U295" s="1170"/>
      <c r="V295" s="1170"/>
      <c r="W295" s="1170"/>
      <c r="X295" s="1170"/>
      <c r="Y295" s="1170"/>
      <c r="Z295" s="1170"/>
      <c r="AA295" s="1170"/>
      <c r="AB295" s="1170"/>
      <c r="AC295" s="1170"/>
      <c r="AD295" s="1170"/>
      <c r="AE295" s="1170"/>
      <c r="AF295" s="1170"/>
      <c r="AG295" s="1170"/>
      <c r="AH295" s="1170"/>
      <c r="AI295" s="1170"/>
      <c r="AJ295" s="1170"/>
      <c r="AK295" s="1170"/>
      <c r="AL295" s="1907" t="s">
        <v>226</v>
      </c>
      <c r="AM295" s="1907"/>
      <c r="AN295" s="1907" t="s">
        <v>522</v>
      </c>
      <c r="AO295" s="1170"/>
      <c r="AP295" s="1170"/>
      <c r="AQ295" s="1170"/>
      <c r="AR295" s="1170"/>
      <c r="AS295" s="1170"/>
      <c r="AT295" s="1170"/>
      <c r="AU295" s="1170"/>
      <c r="AV295" s="1170"/>
      <c r="AW295" s="1170"/>
      <c r="AX295" s="1170"/>
      <c r="AY295" s="1170"/>
      <c r="AZ295" s="1170"/>
      <c r="BA295" s="1170"/>
      <c r="BB295" s="1170"/>
      <c r="BC295" s="1170"/>
      <c r="BD295" s="1170"/>
      <c r="BE295" s="1170"/>
      <c r="BF295" s="1170"/>
      <c r="BG295" s="1170"/>
      <c r="BH295" s="1170"/>
      <c r="BI295" s="1170"/>
      <c r="BJ295" s="1170"/>
      <c r="BK295" s="1170"/>
      <c r="BL295" s="1170"/>
      <c r="BM295" s="1170"/>
      <c r="BN295" s="1170"/>
      <c r="BO295" s="1170"/>
      <c r="BP295" s="1170"/>
      <c r="BQ295" s="1170"/>
      <c r="BR295" s="1170"/>
      <c r="BS295" s="1170"/>
      <c r="BT295" s="1170"/>
      <c r="BU295" s="1170"/>
      <c r="BV295" s="1170"/>
      <c r="BW295" s="1170"/>
      <c r="BX295" s="1170"/>
      <c r="BY295" s="1170"/>
      <c r="BZ295" s="1170"/>
      <c r="CA295" s="1170"/>
      <c r="CB295" s="1170"/>
      <c r="CC295" s="1170"/>
      <c r="CD295" s="1170"/>
      <c r="CE295" s="1170"/>
      <c r="CF295" s="1170"/>
      <c r="CG295" s="1170"/>
      <c r="CH295" s="1170"/>
      <c r="CI295" s="1170"/>
      <c r="CJ295" s="1170"/>
      <c r="CK295" s="1170"/>
      <c r="CL295" s="1170"/>
      <c r="CM295" s="1170"/>
      <c r="CN295" s="1170"/>
      <c r="CO295" s="1170"/>
      <c r="CP295" s="1170"/>
      <c r="CQ295" s="1170"/>
      <c r="CR295" s="1170"/>
      <c r="CS295" s="1170"/>
      <c r="CT295" s="1170"/>
      <c r="CU295" s="1170"/>
      <c r="CV295" s="1170"/>
      <c r="CW295" s="1170"/>
      <c r="CX295" s="1170"/>
      <c r="CY295" s="1160"/>
      <c r="CZ295" s="1160"/>
      <c r="DA295" s="1160"/>
      <c r="DB295" s="1186" t="str">
        <f t="shared" si="5"/>
        <v>Vol Flow</v>
      </c>
      <c r="DC295" s="1170" t="str">
        <f ca="1">CO270</f>
        <v>m^3/d</v>
      </c>
      <c r="DD295" s="1170">
        <f ca="1">CP270+IF(CokingRefineryConfig&lt;4,CokingRefineryPFD!AN284,0)</f>
        <v>4489.4920240943429</v>
      </c>
      <c r="DE295" s="1160" t="s">
        <v>392</v>
      </c>
      <c r="DF295" s="1160"/>
      <c r="DG295" s="1187">
        <f ca="1">CU270+IF(CokingRefineryConfig&lt;4,CokingRefineryPFD!AN297,0)</f>
        <v>0</v>
      </c>
      <c r="DH295" s="1160"/>
      <c r="DI295" s="1160"/>
      <c r="DJ295" s="1160"/>
      <c r="DK295" s="1171"/>
      <c r="DL295" s="1160"/>
      <c r="DM295" s="1160"/>
      <c r="DN295" s="1160"/>
      <c r="DO295" s="1160"/>
      <c r="DP295" s="1160"/>
      <c r="DQ295" s="1160"/>
      <c r="DR295" s="1160"/>
      <c r="DS295" s="1160"/>
      <c r="DT295" s="1160"/>
      <c r="DU295" s="1160"/>
      <c r="DV295" s="1160"/>
      <c r="DW295" s="1160"/>
      <c r="DX295" s="1160"/>
      <c r="DY295" s="1160"/>
      <c r="DZ295" s="1160"/>
      <c r="EA295" s="1160"/>
      <c r="EB295" s="1160"/>
    </row>
    <row r="296" spans="1:132" x14ac:dyDescent="0.2">
      <c r="A296" s="1160"/>
      <c r="B296" s="1160"/>
      <c r="C296" s="1160"/>
      <c r="D296" s="1160"/>
      <c r="E296" s="1170"/>
      <c r="F296" s="1170"/>
      <c r="G296" s="1170"/>
      <c r="H296" s="1170"/>
      <c r="I296" s="1170"/>
      <c r="J296" s="1170"/>
      <c r="K296" s="1170"/>
      <c r="L296" s="1170"/>
      <c r="M296" s="1170"/>
      <c r="N296" s="1170"/>
      <c r="O296" s="1170"/>
      <c r="P296" s="1170"/>
      <c r="Q296" s="1170"/>
      <c r="R296" s="1170"/>
      <c r="S296" s="1170"/>
      <c r="T296" s="1170"/>
      <c r="U296" s="1170"/>
      <c r="V296" s="1170"/>
      <c r="W296" s="1170"/>
      <c r="X296" s="1170"/>
      <c r="Y296" s="1170"/>
      <c r="Z296" s="1170"/>
      <c r="AA296" s="1170"/>
      <c r="AB296" s="1170"/>
      <c r="AC296" s="1170"/>
      <c r="AD296" s="1170"/>
      <c r="AE296" s="1170"/>
      <c r="AF296" s="1170"/>
      <c r="AG296" s="1170"/>
      <c r="AH296" s="1170"/>
      <c r="AI296" s="1170"/>
      <c r="AJ296" s="1170"/>
      <c r="AK296" s="1170"/>
      <c r="AL296" s="1904" t="s">
        <v>263</v>
      </c>
      <c r="AM296" s="1904"/>
      <c r="AN296" s="1905">
        <f ca="1">IF(CokingRefineryConfig=0,CokingRefineryPFD!U111*AN302,IF(OR(CokingRefineryConfig=1,CokingRefineryConfig=2,CokingRefineryConfig=3),CokingRefineryPFD!AE181*AN302,0))</f>
        <v>0</v>
      </c>
      <c r="AO296" s="1170"/>
      <c r="AP296" s="1170"/>
      <c r="AQ296" s="1170"/>
      <c r="AR296" s="1170"/>
      <c r="AS296" s="1170"/>
      <c r="AT296" s="1170"/>
      <c r="AU296" s="1170"/>
      <c r="AV296" s="1170"/>
      <c r="AW296" s="1170"/>
      <c r="AX296" s="1170"/>
      <c r="AY296" s="1170"/>
      <c r="AZ296" s="1170"/>
      <c r="BA296" s="1170"/>
      <c r="BB296" s="1170"/>
      <c r="BC296" s="1170"/>
      <c r="BD296" s="1170"/>
      <c r="BE296" s="1170"/>
      <c r="BF296" s="1170"/>
      <c r="BG296" s="1170"/>
      <c r="BH296" s="1170"/>
      <c r="BI296" s="1170"/>
      <c r="BJ296" s="1170"/>
      <c r="BK296" s="1170"/>
      <c r="BL296" s="1170"/>
      <c r="BM296" s="1170"/>
      <c r="BN296" s="1170"/>
      <c r="BO296" s="1170"/>
      <c r="BP296" s="1170"/>
      <c r="BQ296" s="1170"/>
      <c r="BR296" s="1170"/>
      <c r="BS296" s="1170"/>
      <c r="BT296" s="1170"/>
      <c r="BU296" s="1170"/>
      <c r="BV296" s="1170"/>
      <c r="BW296" s="1170"/>
      <c r="BX296" s="1170"/>
      <c r="BY296" s="1170"/>
      <c r="BZ296" s="1170"/>
      <c r="CA296" s="1170"/>
      <c r="CB296" s="1170"/>
      <c r="CC296" s="1170"/>
      <c r="CD296" s="1170"/>
      <c r="CE296" s="1170"/>
      <c r="CF296" s="1170"/>
      <c r="CG296" s="1170"/>
      <c r="CH296" s="1170"/>
      <c r="CI296" s="1170"/>
      <c r="CJ296" s="1170"/>
      <c r="CK296" s="1170"/>
      <c r="CL296" s="1170"/>
      <c r="CM296" s="1170"/>
      <c r="CN296" s="1170"/>
      <c r="CO296" s="1170"/>
      <c r="CP296" s="1170"/>
      <c r="CQ296" s="1170"/>
      <c r="CR296" s="1170"/>
      <c r="CS296" s="1170"/>
      <c r="CT296" s="1170"/>
      <c r="CU296" s="1170"/>
      <c r="CV296" s="1170"/>
      <c r="CW296" s="1170"/>
      <c r="CX296" s="1170"/>
      <c r="CY296" s="1160"/>
      <c r="CZ296" s="1160"/>
      <c r="DA296" s="1160"/>
      <c r="DB296" s="1186" t="str">
        <f t="shared" si="5"/>
        <v>Mass Flow</v>
      </c>
      <c r="DC296" s="1170" t="str">
        <f t="shared" si="5"/>
        <v>kg/d</v>
      </c>
      <c r="DD296" s="1170">
        <f ca="1">CP271+IF(CokingRefineryConfig&lt;4,CokingRefineryPFD!AN285,0)</f>
        <v>3701424.2988945264</v>
      </c>
      <c r="DE296" s="1160" t="s">
        <v>224</v>
      </c>
      <c r="DF296" s="1160"/>
      <c r="DG296" s="1187">
        <f ca="1">CU271+IF(CokingRefineryConfig&lt;4,CokingRefineryPFD!AN298,0)</f>
        <v>0</v>
      </c>
      <c r="DH296" s="1160"/>
      <c r="DI296" s="1170"/>
      <c r="DJ296" s="1160"/>
      <c r="DK296" s="1171"/>
      <c r="DL296" s="1160"/>
      <c r="DM296" s="1160"/>
      <c r="DN296" s="1160"/>
      <c r="DO296" s="1160"/>
      <c r="DP296" s="1160"/>
      <c r="DQ296" s="1160"/>
      <c r="DR296" s="1160"/>
      <c r="DS296" s="1160"/>
      <c r="DT296" s="1160"/>
      <c r="DU296" s="1160"/>
      <c r="DV296" s="1160"/>
      <c r="DW296" s="1160"/>
      <c r="DX296" s="1160"/>
      <c r="DY296" s="1160"/>
      <c r="DZ296" s="1160"/>
      <c r="EA296" s="1160"/>
      <c r="EB296" s="1160"/>
    </row>
    <row r="297" spans="1:132" x14ac:dyDescent="0.2">
      <c r="A297" s="1160"/>
      <c r="B297" s="1160"/>
      <c r="C297" s="1160"/>
      <c r="D297" s="1160"/>
      <c r="E297" s="1170"/>
      <c r="F297" s="1170"/>
      <c r="G297" s="1170"/>
      <c r="H297" s="1170"/>
      <c r="I297" s="1170"/>
      <c r="J297" s="1170"/>
      <c r="K297" s="1170"/>
      <c r="L297" s="1170"/>
      <c r="M297" s="1170"/>
      <c r="N297" s="1170"/>
      <c r="O297" s="1170"/>
      <c r="P297" s="1170"/>
      <c r="Q297" s="1170"/>
      <c r="R297" s="1170"/>
      <c r="S297" s="1170"/>
      <c r="T297" s="1170"/>
      <c r="U297" s="1170"/>
      <c r="V297" s="1170"/>
      <c r="W297" s="1170"/>
      <c r="X297" s="1170"/>
      <c r="Y297" s="1170"/>
      <c r="Z297" s="1170"/>
      <c r="AA297" s="1170"/>
      <c r="AB297" s="1170"/>
      <c r="AC297" s="1170"/>
      <c r="AD297" s="1170"/>
      <c r="AE297" s="1170"/>
      <c r="AF297" s="1170"/>
      <c r="AG297" s="1170"/>
      <c r="AH297" s="1170"/>
      <c r="AI297" s="1170"/>
      <c r="AJ297" s="1170"/>
      <c r="AK297" s="1170"/>
      <c r="AL297" s="1904" t="s">
        <v>392</v>
      </c>
      <c r="AM297" s="1904"/>
      <c r="AN297" s="1905">
        <f ca="1">IF(CokingRefineryConfig=0,(CokingRefineryPFD!U112+CokingRefineryPFD!W50)*$AN$302,IF(OR(CokingRefineryConfig=1,CokingRefineryConfig=2,CokingRefineryConfig=3),(CokingRefineryPFD!AE182+CokingRefineryPFD!AH143)*$AN$302,0))</f>
        <v>0</v>
      </c>
      <c r="AO297" s="1170"/>
      <c r="AP297" s="1170"/>
      <c r="AQ297" s="1170"/>
      <c r="AR297" s="1170"/>
      <c r="AS297" s="1170"/>
      <c r="AT297" s="1170"/>
      <c r="AU297" s="1170"/>
      <c r="AV297" s="1170"/>
      <c r="AW297" s="1170"/>
      <c r="AX297" s="1170"/>
      <c r="AY297" s="1170"/>
      <c r="AZ297" s="1170"/>
      <c r="BA297" s="1170"/>
      <c r="BB297" s="1170"/>
      <c r="BC297" s="1170"/>
      <c r="BD297" s="1170"/>
      <c r="BE297" s="1170"/>
      <c r="BF297" s="1170"/>
      <c r="BG297" s="1170"/>
      <c r="BH297" s="1170"/>
      <c r="BI297" s="1170"/>
      <c r="BJ297" s="1170"/>
      <c r="BK297" s="1170"/>
      <c r="BL297" s="1170"/>
      <c r="BM297" s="1170"/>
      <c r="BN297" s="1170"/>
      <c r="BO297" s="1170"/>
      <c r="BP297" s="1170"/>
      <c r="BQ297" s="1170"/>
      <c r="BR297" s="1170"/>
      <c r="BS297" s="1170"/>
      <c r="BT297" s="1170"/>
      <c r="BU297" s="1170"/>
      <c r="BV297" s="1170"/>
      <c r="BW297" s="1170"/>
      <c r="BX297" s="1170"/>
      <c r="BY297" s="1170"/>
      <c r="BZ297" s="1170"/>
      <c r="CA297" s="1170"/>
      <c r="CB297" s="1170"/>
      <c r="CC297" s="1170"/>
      <c r="CD297" s="1170"/>
      <c r="CE297" s="1170"/>
      <c r="CF297" s="1170"/>
      <c r="CG297" s="1170"/>
      <c r="CH297" s="1170"/>
      <c r="CI297" s="1170"/>
      <c r="CJ297" s="1170"/>
      <c r="CK297" s="1170"/>
      <c r="CL297" s="1170"/>
      <c r="CM297" s="1170"/>
      <c r="CN297" s="1170"/>
      <c r="CO297" s="1170"/>
      <c r="CP297" s="1170"/>
      <c r="CQ297" s="1170"/>
      <c r="CR297" s="1170"/>
      <c r="CS297" s="1170"/>
      <c r="CT297" s="1170"/>
      <c r="CU297" s="1170"/>
      <c r="CV297" s="1170"/>
      <c r="CW297" s="1170"/>
      <c r="CX297" s="1170"/>
      <c r="CY297" s="1160"/>
      <c r="CZ297" s="1160"/>
      <c r="DA297" s="1160"/>
      <c r="DB297" s="1186" t="str">
        <f t="shared" si="5"/>
        <v xml:space="preserve">Sulphur </v>
      </c>
      <c r="DC297" s="1170" t="str">
        <f ca="1">CO272</f>
        <v>wt%</v>
      </c>
      <c r="DD297" s="1170">
        <f ca="1">((CP272*$CP$271)+IF(CokingRefineryConfig&lt;4,(CokingRefineryPFD!AN286*CokingRefineryPFD!$AN$285),0))/$DD$296</f>
        <v>0.40136935229490656</v>
      </c>
      <c r="DE297" s="1160" t="s">
        <v>485</v>
      </c>
      <c r="DF297" s="1160"/>
      <c r="DG297" s="1187">
        <f ca="1">CU272+IF(CokingRefineryConfig&lt;4,CokingRefineryPFD!AN299,0)</f>
        <v>0</v>
      </c>
      <c r="DH297" s="1160"/>
      <c r="DI297" s="1170"/>
      <c r="DJ297" s="1160"/>
      <c r="DK297" s="1171"/>
      <c r="DL297" s="1160"/>
      <c r="DM297" s="1160"/>
      <c r="DN297" s="1160"/>
      <c r="DO297" s="1160"/>
      <c r="DP297" s="1160"/>
      <c r="DQ297" s="1160"/>
      <c r="DR297" s="1160"/>
      <c r="DS297" s="1160"/>
      <c r="DT297" s="1160"/>
      <c r="DU297" s="1160"/>
      <c r="DV297" s="1160"/>
      <c r="DW297" s="1160"/>
      <c r="DX297" s="1160"/>
      <c r="DY297" s="1160"/>
      <c r="DZ297" s="1160"/>
      <c r="EA297" s="1160"/>
      <c r="EB297" s="1160"/>
    </row>
    <row r="298" spans="1:132" x14ac:dyDescent="0.2">
      <c r="A298" s="1160"/>
      <c r="B298" s="1160"/>
      <c r="C298" s="1160"/>
      <c r="D298" s="1160"/>
      <c r="E298" s="1170"/>
      <c r="F298" s="1170"/>
      <c r="G298" s="1170"/>
      <c r="H298" s="1170"/>
      <c r="I298" s="1170"/>
      <c r="J298" s="1170"/>
      <c r="K298" s="1170"/>
      <c r="L298" s="1170"/>
      <c r="M298" s="1170"/>
      <c r="N298" s="1170"/>
      <c r="O298" s="1170"/>
      <c r="P298" s="1170"/>
      <c r="Q298" s="1170"/>
      <c r="R298" s="1170"/>
      <c r="S298" s="1170"/>
      <c r="T298" s="1170"/>
      <c r="U298" s="1170"/>
      <c r="V298" s="1170"/>
      <c r="W298" s="1170"/>
      <c r="X298" s="1170"/>
      <c r="Y298" s="1170"/>
      <c r="Z298" s="1170"/>
      <c r="AA298" s="1170"/>
      <c r="AB298" s="1170"/>
      <c r="AC298" s="1170"/>
      <c r="AD298" s="1170"/>
      <c r="AE298" s="1170"/>
      <c r="AF298" s="1170"/>
      <c r="AG298" s="1170"/>
      <c r="AH298" s="1170"/>
      <c r="AI298" s="1170"/>
      <c r="AJ298" s="1170"/>
      <c r="AK298" s="1170"/>
      <c r="AL298" s="1904" t="s">
        <v>224</v>
      </c>
      <c r="AM298" s="1904"/>
      <c r="AN298" s="1905">
        <f ca="1">IF(CokingRefineryConfig=0,(CokingRefineryPFD!U113+CokingRefineryPFD!W51)*$AN$302,IF(OR(CokingRefineryConfig=1,CokingRefineryConfig=2,CokingRefineryConfig=3),(CokingRefineryPFD!AE183+CokingRefineryPFD!AH144)*$AN$302,0))</f>
        <v>0</v>
      </c>
      <c r="AO298" s="1170"/>
      <c r="AP298" s="1170"/>
      <c r="AQ298" s="1170"/>
      <c r="AR298" s="1170"/>
      <c r="AS298" s="1170"/>
      <c r="AT298" s="1170"/>
      <c r="AU298" s="1170"/>
      <c r="AV298" s="1170"/>
      <c r="AW298" s="1170"/>
      <c r="AX298" s="1170"/>
      <c r="AY298" s="1170"/>
      <c r="AZ298" s="1170"/>
      <c r="BA298" s="1170"/>
      <c r="BB298" s="1170"/>
      <c r="BC298" s="1170"/>
      <c r="BD298" s="1170"/>
      <c r="BE298" s="1170"/>
      <c r="BF298" s="1170"/>
      <c r="BG298" s="1170"/>
      <c r="BH298" s="1170"/>
      <c r="BI298" s="1170"/>
      <c r="BJ298" s="1170"/>
      <c r="BK298" s="1170"/>
      <c r="BL298" s="1170"/>
      <c r="BM298" s="1170"/>
      <c r="BN298" s="1170"/>
      <c r="BO298" s="1170"/>
      <c r="BP298" s="1170"/>
      <c r="BQ298" s="1170"/>
      <c r="BR298" s="1170"/>
      <c r="BS298" s="1170"/>
      <c r="BT298" s="1170"/>
      <c r="BU298" s="1170"/>
      <c r="BV298" s="1170"/>
      <c r="BW298" s="1170"/>
      <c r="BX298" s="1170"/>
      <c r="BY298" s="1170"/>
      <c r="BZ298" s="1170"/>
      <c r="CA298" s="1170"/>
      <c r="CB298" s="1170"/>
      <c r="CC298" s="1170"/>
      <c r="CD298" s="1170"/>
      <c r="CE298" s="1170"/>
      <c r="CF298" s="1170"/>
      <c r="CG298" s="1170"/>
      <c r="CH298" s="1170"/>
      <c r="CI298" s="1170"/>
      <c r="CJ298" s="1170"/>
      <c r="CK298" s="1170"/>
      <c r="CL298" s="1170"/>
      <c r="CM298" s="1170"/>
      <c r="CN298" s="1170"/>
      <c r="CO298" s="1170"/>
      <c r="CP298" s="1170"/>
      <c r="CQ298" s="1170"/>
      <c r="CR298" s="1170"/>
      <c r="CS298" s="1170"/>
      <c r="CT298" s="1170"/>
      <c r="CU298" s="1170"/>
      <c r="CV298" s="1170"/>
      <c r="CW298" s="1170"/>
      <c r="CX298" s="1170"/>
      <c r="CY298" s="1160"/>
      <c r="CZ298" s="1160"/>
      <c r="DA298" s="1160"/>
      <c r="DB298" s="1186" t="str">
        <f>CN273</f>
        <v xml:space="preserve">API gravity </v>
      </c>
      <c r="DC298" s="1170"/>
      <c r="DD298" s="1170">
        <f ca="1">((CP273*$CP$271)+IF(CokingRefineryConfig&lt;4,(CokingRefineryPFD!AN287*CokingRefineryPFD!$AN$285),0))/$DD$296</f>
        <v>40.126668577033506</v>
      </c>
      <c r="DE298" s="1160" t="s">
        <v>541</v>
      </c>
      <c r="DF298" s="1160"/>
      <c r="DG298" s="1187">
        <f ca="1">CU273+IF(CokingRefineryConfig&lt;4,CokingRefineryPFD!AN300,0)</f>
        <v>0</v>
      </c>
      <c r="DH298" s="1160"/>
      <c r="DI298" s="1160"/>
      <c r="DJ298" s="1160"/>
      <c r="DK298" s="1171"/>
      <c r="DL298" s="1160"/>
      <c r="DM298" s="1160"/>
      <c r="DN298" s="1160"/>
      <c r="DO298" s="1160"/>
      <c r="DP298" s="1160"/>
      <c r="DQ298" s="1160"/>
      <c r="DR298" s="1160"/>
      <c r="DS298" s="1160"/>
      <c r="DT298" s="1160"/>
      <c r="DU298" s="1160"/>
      <c r="DV298" s="1160"/>
      <c r="DW298" s="1160"/>
      <c r="DX298" s="1160"/>
      <c r="DY298" s="1160"/>
      <c r="DZ298" s="1160"/>
      <c r="EA298" s="1160"/>
      <c r="EB298" s="1160"/>
    </row>
    <row r="299" spans="1:132" x14ac:dyDescent="0.2">
      <c r="A299" s="1160"/>
      <c r="B299" s="1160"/>
      <c r="C299" s="1160"/>
      <c r="D299" s="1160"/>
      <c r="E299" s="1170"/>
      <c r="F299" s="1170"/>
      <c r="G299" s="1170"/>
      <c r="H299" s="1170"/>
      <c r="I299" s="1170"/>
      <c r="J299" s="1170"/>
      <c r="K299" s="1170"/>
      <c r="L299" s="1170"/>
      <c r="M299" s="1170"/>
      <c r="N299" s="1170"/>
      <c r="O299" s="1170"/>
      <c r="P299" s="1170"/>
      <c r="Q299" s="1170"/>
      <c r="R299" s="1170"/>
      <c r="S299" s="1170"/>
      <c r="T299" s="1170"/>
      <c r="U299" s="1170"/>
      <c r="V299" s="1170"/>
      <c r="W299" s="1170"/>
      <c r="X299" s="1170"/>
      <c r="Y299" s="1170"/>
      <c r="Z299" s="1170"/>
      <c r="AA299" s="1170"/>
      <c r="AB299" s="1170"/>
      <c r="AC299" s="1170"/>
      <c r="AD299" s="1170"/>
      <c r="AE299" s="1170"/>
      <c r="AF299" s="1170"/>
      <c r="AG299" s="1170"/>
      <c r="AH299" s="1170"/>
      <c r="AI299" s="1170"/>
      <c r="AJ299" s="1170"/>
      <c r="AK299" s="1170"/>
      <c r="AL299" s="1904" t="s">
        <v>485</v>
      </c>
      <c r="AM299" s="1904"/>
      <c r="AN299" s="1905">
        <f ca="1">IF(CokingRefineryConfig=0,(CokingRefineryPFD!U114+CokingRefineryPFD!W52)*$AN$302,IF(OR(CokingRefineryConfig=1,CokingRefineryConfig=2,CokingRefineryConfig=3),(CokingRefineryPFD!AE184+CokingRefineryPFD!AH145)*$AN$302,0))</f>
        <v>0</v>
      </c>
      <c r="AO299" s="1170"/>
      <c r="AP299" s="1170"/>
      <c r="AQ299" s="1170"/>
      <c r="AR299" s="1170"/>
      <c r="AS299" s="1170"/>
      <c r="AT299" s="1170"/>
      <c r="AU299" s="1170"/>
      <c r="AV299" s="1170"/>
      <c r="AW299" s="1170"/>
      <c r="AX299" s="1170"/>
      <c r="AY299" s="1170"/>
      <c r="AZ299" s="1170"/>
      <c r="BA299" s="1170"/>
      <c r="BB299" s="1170"/>
      <c r="BC299" s="1170"/>
      <c r="BD299" s="1170"/>
      <c r="BE299" s="1170"/>
      <c r="BF299" s="1170"/>
      <c r="BG299" s="1170"/>
      <c r="BH299" s="1170"/>
      <c r="BI299" s="1170"/>
      <c r="BJ299" s="1170"/>
      <c r="BK299" s="1170"/>
      <c r="BL299" s="1170"/>
      <c r="BM299" s="1170"/>
      <c r="BN299" s="1170"/>
      <c r="BO299" s="1170"/>
      <c r="BP299" s="1170"/>
      <c r="BQ299" s="1170"/>
      <c r="BR299" s="1170"/>
      <c r="BS299" s="1170"/>
      <c r="BT299" s="1170"/>
      <c r="BU299" s="1170"/>
      <c r="BV299" s="1170"/>
      <c r="BW299" s="1170"/>
      <c r="BX299" s="1170"/>
      <c r="BY299" s="1170"/>
      <c r="BZ299" s="1170"/>
      <c r="CA299" s="1170"/>
      <c r="CB299" s="1170"/>
      <c r="CC299" s="1170"/>
      <c r="CD299" s="1170"/>
      <c r="CE299" s="1170"/>
      <c r="CF299" s="1170"/>
      <c r="CG299" s="1170"/>
      <c r="CH299" s="1170"/>
      <c r="CI299" s="1170"/>
      <c r="CJ299" s="1170"/>
      <c r="CK299" s="1170"/>
      <c r="CL299" s="1170"/>
      <c r="CM299" s="1170"/>
      <c r="CN299" s="1170"/>
      <c r="CO299" s="1170"/>
      <c r="CP299" s="1170"/>
      <c r="CQ299" s="1170"/>
      <c r="CR299" s="1170"/>
      <c r="CS299" s="1170"/>
      <c r="CT299" s="1170"/>
      <c r="CU299" s="1170"/>
      <c r="CV299" s="1170"/>
      <c r="CW299" s="1170"/>
      <c r="CX299" s="1170"/>
      <c r="CY299" s="1160"/>
      <c r="CZ299" s="1160"/>
      <c r="DA299" s="1160"/>
      <c r="DB299" s="1186" t="str">
        <f>CN274</f>
        <v>Density</v>
      </c>
      <c r="DC299" s="1170" t="str">
        <f ca="1">CO274</f>
        <v>kg/m^3</v>
      </c>
      <c r="DD299" s="1170">
        <f ca="1">((CP274*$CP$271)+IF(CokingRefineryConfig&lt;4,(CokingRefineryPFD!AN288*CokingRefineryPFD!$AN$285),0))/$DD$296</f>
        <v>824.46394358863085</v>
      </c>
      <c r="DE299" s="1170" t="str">
        <f>CA256</f>
        <v>Catalyst Coke</v>
      </c>
      <c r="DF299" s="1170"/>
      <c r="DG299" s="1187">
        <f ca="1">CU274+IF(CokingRefineryConfig&lt;4,CokingRefineryPFD!AN301,0)</f>
        <v>0</v>
      </c>
      <c r="DH299" s="1160"/>
      <c r="DI299" s="1160"/>
      <c r="DJ299" s="1160"/>
      <c r="DK299" s="1171"/>
      <c r="DL299" s="1160"/>
      <c r="DM299" s="1160"/>
      <c r="DN299" s="1160"/>
      <c r="DO299" s="1160"/>
      <c r="DP299" s="1160"/>
      <c r="DQ299" s="1160"/>
      <c r="DR299" s="1160"/>
      <c r="DS299" s="1160"/>
      <c r="DT299" s="1160"/>
      <c r="DU299" s="1160"/>
      <c r="DV299" s="1160"/>
      <c r="DW299" s="1160"/>
      <c r="DX299" s="1160"/>
      <c r="DY299" s="1160"/>
      <c r="DZ299" s="1160"/>
      <c r="EA299" s="1160"/>
      <c r="EB299" s="1160"/>
    </row>
    <row r="300" spans="1:132" x14ac:dyDescent="0.2">
      <c r="A300" s="1160"/>
      <c r="B300" s="1160"/>
      <c r="C300" s="1160"/>
      <c r="D300" s="1160"/>
      <c r="E300" s="1170"/>
      <c r="F300" s="1170"/>
      <c r="G300" s="1170"/>
      <c r="H300" s="1170"/>
      <c r="I300" s="1170"/>
      <c r="J300" s="1170"/>
      <c r="K300" s="1170"/>
      <c r="L300" s="1170"/>
      <c r="M300" s="1170"/>
      <c r="N300" s="1170"/>
      <c r="O300" s="1170"/>
      <c r="P300" s="1170"/>
      <c r="Q300" s="1170"/>
      <c r="R300" s="1170"/>
      <c r="S300" s="1170"/>
      <c r="T300" s="1170"/>
      <c r="U300" s="1170"/>
      <c r="V300" s="1170"/>
      <c r="W300" s="1170"/>
      <c r="X300" s="1170"/>
      <c r="Y300" s="1170"/>
      <c r="Z300" s="1170"/>
      <c r="AA300" s="1170"/>
      <c r="AB300" s="1170"/>
      <c r="AC300" s="1170"/>
      <c r="AD300" s="1170"/>
      <c r="AE300" s="1170"/>
      <c r="AF300" s="1170"/>
      <c r="AG300" s="1170"/>
      <c r="AH300" s="1170"/>
      <c r="AI300" s="1170"/>
      <c r="AJ300" s="1170"/>
      <c r="AK300" s="1170"/>
      <c r="AL300" s="1904" t="s">
        <v>541</v>
      </c>
      <c r="AM300" s="1904"/>
      <c r="AN300" s="1905">
        <f ca="1">IF(CokingRefineryConfig=0,(CokingRefineryPFD!U115+CokingRefineryPFD!W53)*CokingRefineryPFD!$AA$135,IF(OR(CokingRefineryConfig=1,CokingRefineryConfig=2,CokingRefineryConfig=3),(CokingRefineryPFD!AE185+CokingRefineryPFD!AH146)*$AN$302,0))</f>
        <v>0</v>
      </c>
      <c r="AO300" s="1170"/>
      <c r="AP300" s="1170"/>
      <c r="AQ300" s="1170"/>
      <c r="AR300" s="1170"/>
      <c r="AS300" s="1170"/>
      <c r="AT300" s="1170"/>
      <c r="AU300" s="1170"/>
      <c r="AV300" s="1170"/>
      <c r="AW300" s="1170"/>
      <c r="AX300" s="1170"/>
      <c r="AY300" s="1170"/>
      <c r="AZ300" s="1170"/>
      <c r="BA300" s="1170"/>
      <c r="BB300" s="1170"/>
      <c r="BC300" s="1170"/>
      <c r="BD300" s="1170"/>
      <c r="BE300" s="1170"/>
      <c r="BF300" s="1170"/>
      <c r="BG300" s="1170"/>
      <c r="BH300" s="1170"/>
      <c r="BI300" s="1170"/>
      <c r="BJ300" s="1170"/>
      <c r="BK300" s="1170"/>
      <c r="BL300" s="1170"/>
      <c r="BM300" s="1170"/>
      <c r="BN300" s="1170"/>
      <c r="BO300" s="1170"/>
      <c r="BP300" s="1170"/>
      <c r="BQ300" s="1170"/>
      <c r="BR300" s="1170"/>
      <c r="BS300" s="1170"/>
      <c r="BT300" s="1170"/>
      <c r="BU300" s="1170"/>
      <c r="BV300" s="1170"/>
      <c r="BW300" s="1170"/>
      <c r="BX300" s="1170"/>
      <c r="BY300" s="1170"/>
      <c r="BZ300" s="1170"/>
      <c r="CA300" s="1170"/>
      <c r="CB300" s="1170"/>
      <c r="CC300" s="1170"/>
      <c r="CD300" s="1170"/>
      <c r="CE300" s="1170"/>
      <c r="CF300" s="1170"/>
      <c r="CG300" s="1170"/>
      <c r="CH300" s="1170"/>
      <c r="CI300" s="1170"/>
      <c r="CJ300" s="1170"/>
      <c r="CK300" s="1170"/>
      <c r="CL300" s="1170"/>
      <c r="CM300" s="1170"/>
      <c r="CN300" s="1170"/>
      <c r="CO300" s="1170"/>
      <c r="CP300" s="1170"/>
      <c r="CQ300" s="1170"/>
      <c r="CR300" s="1170"/>
      <c r="CS300" s="1170"/>
      <c r="CT300" s="1170"/>
      <c r="CU300" s="1170"/>
      <c r="CV300" s="1170"/>
      <c r="CW300" s="1170"/>
      <c r="CX300" s="1170"/>
      <c r="CY300" s="1160"/>
      <c r="CZ300" s="1160"/>
      <c r="DA300" s="1160"/>
      <c r="DB300" s="1186" t="str">
        <f>CN275</f>
        <v>Hydrogen</v>
      </c>
      <c r="DC300" s="1170" t="str">
        <f ca="1">CO275</f>
        <v>wt%</v>
      </c>
      <c r="DD300" s="1170">
        <f ca="1">((CP275*$CP$271)+IF(CokingRefineryConfig&lt;4,(CokingRefineryPFD!AN289*CokingRefineryPFD!$AN$285),0))/$DD$296</f>
        <v>12.849096068230512</v>
      </c>
      <c r="DE300" s="1160"/>
      <c r="DF300" s="1160"/>
      <c r="DG300" s="1191"/>
      <c r="DH300" s="1160"/>
      <c r="DI300" s="1160"/>
      <c r="DJ300" s="1170"/>
      <c r="DK300" s="1171"/>
      <c r="DL300" s="1160"/>
      <c r="DM300" s="1160"/>
      <c r="DN300" s="1160"/>
      <c r="DO300" s="1160"/>
      <c r="DP300" s="1160"/>
      <c r="DQ300" s="1160"/>
      <c r="DR300" s="1160"/>
      <c r="DS300" s="1160"/>
      <c r="DT300" s="1160"/>
      <c r="DU300" s="1160"/>
      <c r="DV300" s="1160"/>
      <c r="DW300" s="1160"/>
      <c r="DX300" s="1160"/>
      <c r="DY300" s="1160"/>
      <c r="DZ300" s="1160"/>
      <c r="EA300" s="1160"/>
      <c r="EB300" s="1160"/>
    </row>
    <row r="301" spans="1:132" x14ac:dyDescent="0.2">
      <c r="A301" s="1160"/>
      <c r="B301" s="1160"/>
      <c r="C301" s="1160"/>
      <c r="D301" s="1160"/>
      <c r="E301" s="1170"/>
      <c r="F301" s="1170"/>
      <c r="G301" s="1170"/>
      <c r="H301" s="1170"/>
      <c r="I301" s="1170"/>
      <c r="J301" s="1170"/>
      <c r="K301" s="1170"/>
      <c r="L301" s="1170"/>
      <c r="M301" s="1170"/>
      <c r="N301" s="1170"/>
      <c r="O301" s="1170"/>
      <c r="P301" s="1170"/>
      <c r="Q301" s="1170"/>
      <c r="R301" s="1170"/>
      <c r="S301" s="1170"/>
      <c r="T301" s="1170"/>
      <c r="U301" s="1170"/>
      <c r="V301" s="1170"/>
      <c r="W301" s="1170"/>
      <c r="X301" s="1170"/>
      <c r="Y301" s="1170"/>
      <c r="Z301" s="1170"/>
      <c r="AA301" s="1170"/>
      <c r="AB301" s="1170"/>
      <c r="AC301" s="1170"/>
      <c r="AD301" s="1170"/>
      <c r="AE301" s="1170"/>
      <c r="AF301" s="1170"/>
      <c r="AG301" s="1170"/>
      <c r="AH301" s="1170"/>
      <c r="AI301" s="1170"/>
      <c r="AJ301" s="1170"/>
      <c r="AK301" s="1170"/>
      <c r="AL301" s="1904" t="s">
        <v>654</v>
      </c>
      <c r="AM301" s="1904"/>
      <c r="AN301" s="1905">
        <v>0</v>
      </c>
      <c r="AO301" s="1170"/>
      <c r="AP301" s="1170"/>
      <c r="AQ301" s="1170"/>
      <c r="AR301" s="1170"/>
      <c r="AS301" s="1170"/>
      <c r="AT301" s="1170"/>
      <c r="AU301" s="1170"/>
      <c r="AV301" s="1170"/>
      <c r="AW301" s="1170"/>
      <c r="AX301" s="1170"/>
      <c r="AY301" s="1170"/>
      <c r="AZ301" s="1170"/>
      <c r="BA301" s="1170"/>
      <c r="BB301" s="1170"/>
      <c r="BC301" s="1170"/>
      <c r="BD301" s="1170"/>
      <c r="BE301" s="1170"/>
      <c r="BF301" s="1170"/>
      <c r="BG301" s="1170"/>
      <c r="BH301" s="1170"/>
      <c r="BI301" s="1170"/>
      <c r="BJ301" s="1170"/>
      <c r="BK301" s="1170"/>
      <c r="BL301" s="1170"/>
      <c r="BM301" s="1170"/>
      <c r="BN301" s="1170"/>
      <c r="BO301" s="1170"/>
      <c r="BP301" s="1170"/>
      <c r="BQ301" s="1170"/>
      <c r="BR301" s="1170"/>
      <c r="BS301" s="1170"/>
      <c r="BT301" s="1170"/>
      <c r="BU301" s="1170"/>
      <c r="BV301" s="1170"/>
      <c r="BW301" s="1170"/>
      <c r="BX301" s="1170"/>
      <c r="BY301" s="1170"/>
      <c r="BZ301" s="1170"/>
      <c r="CA301" s="1170"/>
      <c r="CB301" s="1170"/>
      <c r="CC301" s="1170"/>
      <c r="CD301" s="1170"/>
      <c r="CE301" s="1170"/>
      <c r="CF301" s="1170"/>
      <c r="CG301" s="1170"/>
      <c r="CH301" s="1170"/>
      <c r="CI301" s="1170"/>
      <c r="CJ301" s="1170"/>
      <c r="CK301" s="1170"/>
      <c r="CL301" s="1170"/>
      <c r="CM301" s="1170"/>
      <c r="CN301" s="1170"/>
      <c r="CO301" s="1170"/>
      <c r="CP301" s="1170"/>
      <c r="CQ301" s="1170"/>
      <c r="CR301" s="1170"/>
      <c r="CS301" s="1170"/>
      <c r="CT301" s="1170"/>
      <c r="CU301" s="1170"/>
      <c r="CV301" s="1170"/>
      <c r="CW301" s="1170"/>
      <c r="CX301" s="1170"/>
      <c r="CY301" s="1160"/>
      <c r="CZ301" s="1160"/>
      <c r="DA301" s="1160"/>
      <c r="DB301" s="1186" t="str">
        <f>CN276</f>
        <v>MCR</v>
      </c>
      <c r="DC301" s="1170" t="str">
        <f ca="1">CO276</f>
        <v>wt%</v>
      </c>
      <c r="DD301" s="1170">
        <f ca="1">((CP276*$CP$271)+IF(CokingRefineryConfig&lt;4,(CokingRefineryPFD!AN290*CokingRefineryPFD!$AN$285),0))/$DD$296</f>
        <v>4.4374255523499508</v>
      </c>
      <c r="DE301" s="1160"/>
      <c r="DF301" s="1160"/>
      <c r="DG301" s="1160"/>
      <c r="DH301" s="1160"/>
      <c r="DI301" s="1160"/>
      <c r="DJ301" s="1170"/>
      <c r="DK301" s="1171"/>
      <c r="DL301" s="1160"/>
      <c r="DM301" s="1160"/>
      <c r="DN301" s="1160"/>
      <c r="DO301" s="1160"/>
      <c r="DP301" s="1160"/>
      <c r="DQ301" s="1160"/>
      <c r="DR301" s="1160"/>
      <c r="DS301" s="1160"/>
      <c r="DT301" s="1160"/>
      <c r="DU301" s="1160"/>
      <c r="DV301" s="1160"/>
      <c r="DW301" s="1160"/>
      <c r="DX301" s="1160"/>
      <c r="DY301" s="1160"/>
      <c r="DZ301" s="1160"/>
      <c r="EA301" s="1160"/>
      <c r="EB301" s="1160"/>
    </row>
    <row r="302" spans="1:132" ht="13.5" thickBot="1" x14ac:dyDescent="0.25">
      <c r="A302" s="1160"/>
      <c r="B302" s="1160"/>
      <c r="C302" s="1160"/>
      <c r="D302" s="1160"/>
      <c r="E302" s="1170"/>
      <c r="F302" s="1170"/>
      <c r="G302" s="1170"/>
      <c r="H302" s="1170"/>
      <c r="I302" s="1170"/>
      <c r="J302" s="1170"/>
      <c r="K302" s="1170"/>
      <c r="L302" s="1170"/>
      <c r="M302" s="1170"/>
      <c r="N302" s="1170"/>
      <c r="O302" s="1170"/>
      <c r="P302" s="1170"/>
      <c r="Q302" s="1170"/>
      <c r="R302" s="1170"/>
      <c r="S302" s="1170"/>
      <c r="T302" s="1170"/>
      <c r="U302" s="1170"/>
      <c r="V302" s="1170"/>
      <c r="W302" s="1170"/>
      <c r="X302" s="1170"/>
      <c r="Y302" s="1170"/>
      <c r="Z302" s="1170"/>
      <c r="AA302" s="1170"/>
      <c r="AB302" s="1170"/>
      <c r="AC302" s="1170"/>
      <c r="AD302" s="1170"/>
      <c r="AE302" s="1170"/>
      <c r="AF302" s="1170"/>
      <c r="AG302" s="1170"/>
      <c r="AH302" s="1170"/>
      <c r="AI302" s="1170"/>
      <c r="AJ302" s="1170"/>
      <c r="AK302" s="1170"/>
      <c r="AL302" s="1904" t="s">
        <v>1065</v>
      </c>
      <c r="AM302" s="1904"/>
      <c r="AN302" s="1906">
        <f ca="1">IF(CokingRefineryConfig=0,IF(CokingRefineryPFD!E47=TRUE,IF(CokingRefineryPFD!E46=TRUE,AN293/(CokingRefineryPFD!AA53+CokingRefineryPFD!AA70+CokingRefineryPFD!AA87+CokingRefineryPFD!AA102+AN293),AN293/(CokingRefineryPFD!AA53+CokingRefineryPFD!AA70+CokingRefineryPFD!AA87+AN293)),0),IF(OR(CokingRefineryConfig=1,CokingRefineryConfig=2,CokingRefineryConfig=3),IF(CokingRefineryPFD!E47=TRUE,AN293/(CokingRefineryPFD!AM144+CokingRefineryPFD!AM181+AN293+AL245+DD286),0),0))</f>
        <v>0</v>
      </c>
      <c r="AO302" s="1170"/>
      <c r="AP302" s="1170"/>
      <c r="AQ302" s="1170"/>
      <c r="AR302" s="1170"/>
      <c r="AS302" s="1170"/>
      <c r="AT302" s="1170"/>
      <c r="AU302" s="1170"/>
      <c r="AV302" s="1170"/>
      <c r="AW302" s="1170"/>
      <c r="AX302" s="1170"/>
      <c r="AY302" s="1170"/>
      <c r="AZ302" s="1170"/>
      <c r="BA302" s="1170"/>
      <c r="BB302" s="1181" t="str">
        <f>CokingRefineryCalcs!J844</f>
        <v>Coke</v>
      </c>
      <c r="BC302" s="1170"/>
      <c r="BD302" s="1170"/>
      <c r="BE302" s="1170"/>
      <c r="BF302" s="1170"/>
      <c r="BG302" s="1170"/>
      <c r="BH302" s="1170"/>
      <c r="BI302" s="1170"/>
      <c r="BJ302" s="1170"/>
      <c r="BK302" s="1170"/>
      <c r="BL302" s="1170"/>
      <c r="BM302" s="1170"/>
      <c r="BN302" s="1170"/>
      <c r="BO302" s="1170"/>
      <c r="BP302" s="1170"/>
      <c r="BQ302" s="1170"/>
      <c r="BR302" s="1170"/>
      <c r="BS302" s="1170"/>
      <c r="BT302" s="1170"/>
      <c r="BU302" s="1170"/>
      <c r="BV302" s="1170"/>
      <c r="BW302" s="1170"/>
      <c r="BX302" s="1170"/>
      <c r="BY302" s="1170"/>
      <c r="BZ302" s="1170"/>
      <c r="CA302" s="1170"/>
      <c r="CB302" s="1170"/>
      <c r="CC302" s="1170"/>
      <c r="CD302" s="1170"/>
      <c r="CE302" s="1170"/>
      <c r="CF302" s="1170"/>
      <c r="CG302" s="1170"/>
      <c r="CH302" s="1170"/>
      <c r="CI302" s="1170"/>
      <c r="CJ302" s="1170"/>
      <c r="CK302" s="1170"/>
      <c r="CL302" s="1170"/>
      <c r="CM302" s="1170"/>
      <c r="CN302" s="1170"/>
      <c r="CO302" s="1170"/>
      <c r="CP302" s="1170"/>
      <c r="CQ302" s="1170"/>
      <c r="CR302" s="1170"/>
      <c r="CS302" s="1170"/>
      <c r="CT302" s="1170"/>
      <c r="CU302" s="1170"/>
      <c r="CV302" s="1170"/>
      <c r="CW302" s="1170"/>
      <c r="CX302" s="1170"/>
      <c r="CY302" s="1160"/>
      <c r="CZ302" s="1160"/>
      <c r="DA302" s="1160"/>
      <c r="DB302" s="1183" t="s">
        <v>1700</v>
      </c>
      <c r="DC302" s="1184" t="s">
        <v>447</v>
      </c>
      <c r="DD302" s="1170">
        <f ca="1">('Energy &amp; Unit Conversions'!$D$63-('Energy &amp; Unit Conversions'!$E$63*POWER((CokingRefineryPFD!DD299/'Energy &amp; Unit Conversions'!$E$54),2)))</f>
        <v>41.298809746331258</v>
      </c>
      <c r="DE302" s="1160"/>
      <c r="DF302" s="1160"/>
      <c r="DG302" s="1160"/>
      <c r="DH302" s="1160"/>
      <c r="DI302" s="1160"/>
      <c r="DJ302" s="1170"/>
      <c r="DK302" s="1171"/>
      <c r="DL302" s="1160"/>
      <c r="DM302" s="1160"/>
      <c r="DN302" s="1160"/>
      <c r="DO302" s="1160"/>
      <c r="DP302" s="1160"/>
      <c r="DQ302" s="1160"/>
      <c r="DR302" s="1160"/>
      <c r="DS302" s="1160"/>
      <c r="DT302" s="1160"/>
      <c r="DU302" s="1160"/>
      <c r="DV302" s="1160"/>
      <c r="DW302" s="1160"/>
      <c r="DX302" s="1160"/>
      <c r="DY302" s="1160"/>
      <c r="DZ302" s="1160"/>
      <c r="EA302" s="1160"/>
      <c r="EB302" s="1160"/>
    </row>
    <row r="303" spans="1:132" ht="13.5" thickBot="1" x14ac:dyDescent="0.25">
      <c r="A303" s="1160"/>
      <c r="B303" s="1160"/>
      <c r="C303" s="1160"/>
      <c r="D303" s="1160"/>
      <c r="E303" s="1170"/>
      <c r="F303" s="1170"/>
      <c r="G303" s="1170"/>
      <c r="H303" s="1170"/>
      <c r="I303" s="1170"/>
      <c r="J303" s="1170"/>
      <c r="K303" s="1170"/>
      <c r="L303" s="1170"/>
      <c r="M303" s="1170"/>
      <c r="N303" s="1170"/>
      <c r="O303" s="1170"/>
      <c r="P303" s="1170"/>
      <c r="Q303" s="1170"/>
      <c r="R303" s="1170"/>
      <c r="S303" s="1170"/>
      <c r="T303" s="1170"/>
      <c r="U303" s="1170"/>
      <c r="V303" s="1170"/>
      <c r="W303" s="1170"/>
      <c r="X303" s="1170"/>
      <c r="Y303" s="1170"/>
      <c r="Z303" s="1170"/>
      <c r="AA303" s="1170"/>
      <c r="AB303" s="1170"/>
      <c r="AC303" s="1170"/>
      <c r="AD303" s="1170"/>
      <c r="AE303" s="1170"/>
      <c r="AF303" s="1170"/>
      <c r="AG303" s="1170"/>
      <c r="AH303" s="1170"/>
      <c r="AI303" s="1170"/>
      <c r="AJ303" s="1170"/>
      <c r="AK303" s="1170"/>
      <c r="AL303" s="1904" t="s">
        <v>228</v>
      </c>
      <c r="AM303" s="1904"/>
      <c r="AN303" s="1906">
        <f ca="1">IF(CokingRefineryConfig=0,IF(CokingRefineryPFD!E47=TRUE,IF(CokingRefineryPFD!E46=TRUE,AN285/CokingRefineryPFD!U101,AN285/(CokingRefineryPFD!U101-CokingRefineryPFD!AA94)),0),IF(OR(CokingRefineryConfig=1,CokingRefineryConfig=2,CokingRefineryConfig=3),IF(CokingRefineryPFD!E47=TRUE,AN285/CokingRefineryPFD!AE169,0)))</f>
        <v>0</v>
      </c>
      <c r="AO303" s="1170"/>
      <c r="AP303" s="1170"/>
      <c r="AQ303" s="1170"/>
      <c r="AR303" s="1170"/>
      <c r="AS303" s="1170"/>
      <c r="AT303" s="1170"/>
      <c r="AU303" s="1170"/>
      <c r="AV303" s="1170"/>
      <c r="AW303" s="1170"/>
      <c r="AX303" s="1170"/>
      <c r="AY303" s="1170"/>
      <c r="AZ303" s="1170"/>
      <c r="BA303" s="1170"/>
      <c r="BB303" s="1182" t="str">
        <f>CokingRefineryCalcs!C844</f>
        <v>Property</v>
      </c>
      <c r="BC303" s="1182" t="str">
        <f>CokingRefineryCalcs!D844</f>
        <v>Units</v>
      </c>
      <c r="BD303" s="1170"/>
      <c r="BE303" s="1170"/>
      <c r="BF303" s="1170"/>
      <c r="BG303" s="1170"/>
      <c r="BH303" s="1170"/>
      <c r="BI303" s="1170"/>
      <c r="BJ303" s="1170"/>
      <c r="BK303" s="1170"/>
      <c r="BL303" s="1170"/>
      <c r="BM303" s="1170"/>
      <c r="BN303" s="1170"/>
      <c r="BO303" s="1170"/>
      <c r="BP303" s="1170"/>
      <c r="BQ303" s="1170"/>
      <c r="BR303" s="1170"/>
      <c r="BS303" s="1170"/>
      <c r="BT303" s="1170"/>
      <c r="BU303" s="1170"/>
      <c r="BV303" s="1170"/>
      <c r="BW303" s="1170"/>
      <c r="BX303" s="1170"/>
      <c r="BY303" s="1170"/>
      <c r="BZ303" s="1170"/>
      <c r="CA303" s="1170"/>
      <c r="CB303" s="1170"/>
      <c r="CC303" s="1170"/>
      <c r="CD303" s="1170"/>
      <c r="CE303" s="1170"/>
      <c r="CF303" s="1170"/>
      <c r="CG303" s="1170"/>
      <c r="CH303" s="1170"/>
      <c r="CI303" s="1170"/>
      <c r="CJ303" s="1170"/>
      <c r="CK303" s="1170"/>
      <c r="CL303" s="1170"/>
      <c r="CM303" s="1170"/>
      <c r="CN303" s="1170"/>
      <c r="CO303" s="1170"/>
      <c r="CP303" s="1170"/>
      <c r="CQ303" s="1170"/>
      <c r="CR303" s="1170"/>
      <c r="CS303" s="1170"/>
      <c r="CT303" s="1170"/>
      <c r="CU303" s="1170"/>
      <c r="CV303" s="1170"/>
      <c r="CW303" s="1170"/>
      <c r="CX303" s="1170"/>
      <c r="CY303" s="1160"/>
      <c r="CZ303" s="1160"/>
      <c r="DA303" s="1160"/>
      <c r="DB303" s="1200" t="s">
        <v>1021</v>
      </c>
      <c r="DC303" s="1199" t="s">
        <v>1022</v>
      </c>
      <c r="DD303" s="1276">
        <f>Constants!G359</f>
        <v>53.516328811645508</v>
      </c>
      <c r="DE303" s="1170"/>
      <c r="DF303" s="1170"/>
      <c r="DG303" s="1160"/>
      <c r="DH303" s="1160"/>
      <c r="DI303" s="1160"/>
      <c r="DJ303" s="1170"/>
      <c r="DK303" s="1171"/>
      <c r="DL303" s="1160"/>
      <c r="DM303" s="1160"/>
      <c r="DN303" s="1160"/>
      <c r="DO303" s="1160"/>
      <c r="DP303" s="1160"/>
      <c r="DQ303" s="1160"/>
      <c r="DR303" s="1160"/>
      <c r="DS303" s="1160"/>
      <c r="DT303" s="1160"/>
      <c r="DU303" s="1160"/>
      <c r="DV303" s="1160"/>
      <c r="DW303" s="1160"/>
      <c r="DX303" s="1160"/>
      <c r="DY303" s="1160"/>
      <c r="DZ303" s="1160"/>
      <c r="EA303" s="1160"/>
      <c r="EB303" s="1160"/>
    </row>
    <row r="304" spans="1:132" x14ac:dyDescent="0.2">
      <c r="A304" s="1160"/>
      <c r="B304" s="1160"/>
      <c r="C304" s="1160"/>
      <c r="D304" s="1160"/>
      <c r="E304" s="1170"/>
      <c r="F304" s="1170"/>
      <c r="G304" s="1170"/>
      <c r="H304" s="1170"/>
      <c r="I304" s="1170"/>
      <c r="J304" s="1170"/>
      <c r="K304" s="1170"/>
      <c r="L304" s="1170"/>
      <c r="M304" s="1170"/>
      <c r="N304" s="1170"/>
      <c r="O304" s="1170"/>
      <c r="P304" s="1170"/>
      <c r="Q304" s="1170"/>
      <c r="R304" s="1170"/>
      <c r="S304" s="1170"/>
      <c r="T304" s="1170"/>
      <c r="U304" s="1170"/>
      <c r="V304" s="1170"/>
      <c r="W304" s="1170"/>
      <c r="X304" s="1170"/>
      <c r="Y304" s="1170"/>
      <c r="Z304" s="1170"/>
      <c r="AA304" s="1170"/>
      <c r="AB304" s="1170"/>
      <c r="AC304" s="1170"/>
      <c r="AD304" s="1170"/>
      <c r="AE304" s="1170"/>
      <c r="AF304" s="1170"/>
      <c r="AG304" s="1170"/>
      <c r="AH304" s="1170"/>
      <c r="AI304" s="1170"/>
      <c r="AJ304" s="1170"/>
      <c r="AK304" s="1170"/>
      <c r="AL304" s="1170"/>
      <c r="AM304" s="1170"/>
      <c r="AN304" s="1170"/>
      <c r="AO304" s="1170"/>
      <c r="AP304" s="1170"/>
      <c r="AQ304" s="1170"/>
      <c r="AR304" s="1170"/>
      <c r="AS304" s="1170"/>
      <c r="AT304" s="1170"/>
      <c r="AU304" s="1170"/>
      <c r="AV304" s="1170"/>
      <c r="AW304" s="1170"/>
      <c r="AX304" s="1170"/>
      <c r="AY304" s="1170"/>
      <c r="AZ304" s="1170"/>
      <c r="BA304" s="1170"/>
      <c r="BB304" s="1186" t="str">
        <f>CokingRefineryCalcs!C845</f>
        <v>Vol Flow</v>
      </c>
      <c r="BC304" s="1170" t="str">
        <f ca="1">CokingRefineryCalcs!D845</f>
        <v>bpd</v>
      </c>
      <c r="BD304" s="1187">
        <f ca="1">CokingRefineryCalcs!J845</f>
        <v>9.5462955872403676E-18</v>
      </c>
      <c r="BE304" s="1170"/>
      <c r="BF304" s="1170"/>
      <c r="BG304" s="1170"/>
      <c r="BH304" s="1170"/>
      <c r="BI304" s="1170"/>
      <c r="BJ304" s="1170"/>
      <c r="BK304" s="1170"/>
      <c r="BL304" s="1170"/>
      <c r="BM304" s="1170"/>
      <c r="BN304" s="1170"/>
      <c r="BO304" s="1170"/>
      <c r="BP304" s="1170"/>
      <c r="BQ304" s="1170"/>
      <c r="BR304" s="1170"/>
      <c r="BS304" s="1170"/>
      <c r="BT304" s="1170"/>
      <c r="BU304" s="1170"/>
      <c r="BV304" s="1170"/>
      <c r="BW304" s="1170"/>
      <c r="BX304" s="1170"/>
      <c r="BY304" s="1170"/>
      <c r="BZ304" s="1170"/>
      <c r="CA304" s="1170"/>
      <c r="CB304" s="1170"/>
      <c r="CC304" s="1170"/>
      <c r="CD304" s="1170"/>
      <c r="CE304" s="1170"/>
      <c r="CF304" s="1170"/>
      <c r="CG304" s="1170"/>
      <c r="CH304" s="1170"/>
      <c r="CI304" s="1170"/>
      <c r="CJ304" s="1170"/>
      <c r="CK304" s="1170"/>
      <c r="CL304" s="1170"/>
      <c r="CM304" s="1170"/>
      <c r="CN304" s="1170"/>
      <c r="CO304" s="1170"/>
      <c r="CP304" s="1170"/>
      <c r="CQ304" s="1170"/>
      <c r="CR304" s="1170"/>
      <c r="CS304" s="1170"/>
      <c r="CT304" s="1170"/>
      <c r="CU304" s="1170"/>
      <c r="CV304" s="1170"/>
      <c r="CW304" s="1170"/>
      <c r="CX304" s="1170"/>
      <c r="CY304" s="1160"/>
      <c r="CZ304" s="1160"/>
      <c r="DA304" s="1160"/>
      <c r="DB304" s="1160"/>
      <c r="DC304" s="1160"/>
      <c r="DD304" s="1160"/>
      <c r="DE304" s="1160"/>
      <c r="DF304" s="1160"/>
      <c r="DG304" s="1160"/>
      <c r="DH304" s="1160"/>
      <c r="DI304" s="1160"/>
      <c r="DJ304" s="1170"/>
      <c r="DK304" s="1171"/>
      <c r="DL304" s="1160"/>
      <c r="DM304" s="1160"/>
      <c r="DN304" s="1160"/>
      <c r="DO304" s="1160"/>
      <c r="DP304" s="1160"/>
      <c r="DQ304" s="1160"/>
      <c r="DR304" s="1160"/>
      <c r="DS304" s="1160"/>
      <c r="DT304" s="1160"/>
      <c r="DU304" s="1160"/>
      <c r="DV304" s="1160"/>
      <c r="DW304" s="1160"/>
      <c r="DX304" s="1160"/>
      <c r="DY304" s="1160"/>
      <c r="DZ304" s="1160"/>
      <c r="EA304" s="1160"/>
      <c r="EB304" s="1160"/>
    </row>
    <row r="305" spans="1:132" x14ac:dyDescent="0.2">
      <c r="A305" s="1160"/>
      <c r="B305" s="1160"/>
      <c r="C305" s="1160"/>
      <c r="D305" s="1160"/>
      <c r="E305" s="1170"/>
      <c r="F305" s="1170"/>
      <c r="G305" s="1170"/>
      <c r="H305" s="1170"/>
      <c r="I305" s="1170"/>
      <c r="J305" s="1170"/>
      <c r="K305" s="1170"/>
      <c r="L305" s="1170"/>
      <c r="M305" s="1170"/>
      <c r="N305" s="1170"/>
      <c r="O305" s="1170"/>
      <c r="P305" s="1170"/>
      <c r="Q305" s="1170"/>
      <c r="R305" s="1170"/>
      <c r="S305" s="1170"/>
      <c r="T305" s="1170"/>
      <c r="U305" s="1170"/>
      <c r="V305" s="1170"/>
      <c r="W305" s="1170"/>
      <c r="X305" s="1170"/>
      <c r="Y305" s="1170"/>
      <c r="Z305" s="1170"/>
      <c r="AA305" s="1170"/>
      <c r="AB305" s="1170"/>
      <c r="AC305" s="1170"/>
      <c r="AD305" s="1170"/>
      <c r="AE305" s="1170"/>
      <c r="AF305" s="1170"/>
      <c r="AG305" s="1170"/>
      <c r="AH305" s="1170"/>
      <c r="AI305" s="1170"/>
      <c r="AJ305" s="1170"/>
      <c r="AK305" s="1170"/>
      <c r="AL305" s="1170"/>
      <c r="AM305" s="1170"/>
      <c r="AN305" s="1170"/>
      <c r="AO305" s="1170"/>
      <c r="AP305" s="1170"/>
      <c r="AQ305" s="1170"/>
      <c r="AR305" s="1170"/>
      <c r="AS305" s="1170"/>
      <c r="AT305" s="1170"/>
      <c r="AU305" s="1170"/>
      <c r="AV305" s="1170"/>
      <c r="AW305" s="1170"/>
      <c r="AX305" s="1170"/>
      <c r="AY305" s="1170"/>
      <c r="AZ305" s="1170"/>
      <c r="BA305" s="1170"/>
      <c r="BB305" s="1186" t="str">
        <f>CokingRefineryCalcs!C846</f>
        <v>Vol Flow</v>
      </c>
      <c r="BC305" s="1170" t="str">
        <f ca="1">CokingRefineryCalcs!D846</f>
        <v>m^3/d</v>
      </c>
      <c r="BD305" s="1187">
        <f ca="1">CokingRefineryCalcs!J846</f>
        <v>1.5177397604172604E-18</v>
      </c>
      <c r="BE305" s="1170"/>
      <c r="BF305" s="1170"/>
      <c r="BG305" s="1170"/>
      <c r="BH305" s="1170"/>
      <c r="BI305" s="1170"/>
      <c r="BJ305" s="1170"/>
      <c r="BK305" s="1170"/>
      <c r="BL305" s="1170"/>
      <c r="BM305" s="1170"/>
      <c r="BN305" s="1170"/>
      <c r="BO305" s="1170"/>
      <c r="BP305" s="1170"/>
      <c r="BQ305" s="1170"/>
      <c r="BR305" s="1170"/>
      <c r="BS305" s="1170"/>
      <c r="BT305" s="1170"/>
      <c r="BU305" s="1170"/>
      <c r="BV305" s="1170"/>
      <c r="BW305" s="1170"/>
      <c r="BX305" s="1170"/>
      <c r="BY305" s="1170"/>
      <c r="BZ305" s="1170"/>
      <c r="CA305" s="1170"/>
      <c r="CB305" s="1170"/>
      <c r="CC305" s="1170"/>
      <c r="CD305" s="1170"/>
      <c r="CE305" s="1170"/>
      <c r="CF305" s="1170"/>
      <c r="CG305" s="1170"/>
      <c r="CH305" s="1170"/>
      <c r="CI305" s="1170"/>
      <c r="CJ305" s="1170"/>
      <c r="CK305" s="1170"/>
      <c r="CL305" s="1170"/>
      <c r="CM305" s="1170"/>
      <c r="CN305" s="1170"/>
      <c r="CO305" s="1170"/>
      <c r="CP305" s="1170"/>
      <c r="CQ305" s="1170"/>
      <c r="CR305" s="1170"/>
      <c r="CS305" s="1170"/>
      <c r="CT305" s="1170"/>
      <c r="CU305" s="1170"/>
      <c r="CV305" s="1170"/>
      <c r="CW305" s="1170"/>
      <c r="CX305" s="1170"/>
      <c r="CY305" s="1160"/>
      <c r="CZ305" s="1160"/>
      <c r="DA305" s="1160"/>
      <c r="DB305" s="1160"/>
      <c r="DC305" s="1160"/>
      <c r="DD305" s="1160"/>
      <c r="DE305" s="1160"/>
      <c r="DF305" s="1160"/>
      <c r="DG305" s="1160"/>
      <c r="DH305" s="1160"/>
      <c r="DI305" s="1160"/>
      <c r="DJ305" s="1170"/>
      <c r="DK305" s="1171"/>
      <c r="DL305" s="1160"/>
      <c r="DM305" s="1160"/>
      <c r="DN305" s="1160"/>
      <c r="DO305" s="1160"/>
      <c r="DP305" s="1160"/>
      <c r="DQ305" s="1160"/>
      <c r="DR305" s="1160"/>
      <c r="DS305" s="1160"/>
      <c r="DT305" s="1160"/>
      <c r="DU305" s="1160"/>
      <c r="DV305" s="1160"/>
      <c r="DW305" s="1160"/>
      <c r="DX305" s="1160"/>
      <c r="DY305" s="1160"/>
      <c r="DZ305" s="1160"/>
      <c r="EA305" s="1160"/>
      <c r="EB305" s="1160"/>
    </row>
    <row r="306" spans="1:132" x14ac:dyDescent="0.2">
      <c r="A306" s="1160"/>
      <c r="B306" s="1160"/>
      <c r="C306" s="1160"/>
      <c r="D306" s="1160"/>
      <c r="E306" s="1170"/>
      <c r="F306" s="1170"/>
      <c r="G306" s="1170"/>
      <c r="H306" s="1170"/>
      <c r="I306" s="1170"/>
      <c r="J306" s="1170"/>
      <c r="K306" s="1170"/>
      <c r="L306" s="1170"/>
      <c r="M306" s="1170"/>
      <c r="N306" s="1170"/>
      <c r="O306" s="1170"/>
      <c r="P306" s="1170"/>
      <c r="Q306" s="1170"/>
      <c r="R306" s="1170"/>
      <c r="S306" s="1170"/>
      <c r="T306" s="1170"/>
      <c r="U306" s="1170"/>
      <c r="V306" s="1170"/>
      <c r="W306" s="1170"/>
      <c r="X306" s="1170"/>
      <c r="Y306" s="1170"/>
      <c r="Z306" s="1170"/>
      <c r="AA306" s="1170"/>
      <c r="AB306" s="1170"/>
      <c r="AC306" s="1170"/>
      <c r="AD306" s="1170"/>
      <c r="AE306" s="1170"/>
      <c r="AF306" s="1170"/>
      <c r="AG306" s="1170"/>
      <c r="AH306" s="1170"/>
      <c r="AI306" s="1170"/>
      <c r="AJ306" s="1170"/>
      <c r="AK306" s="1170"/>
      <c r="AL306" s="1170"/>
      <c r="AM306" s="1170"/>
      <c r="AN306" s="1170"/>
      <c r="AO306" s="1170"/>
      <c r="AP306" s="1170"/>
      <c r="AQ306" s="1170"/>
      <c r="AR306" s="1170"/>
      <c r="AS306" s="1170"/>
      <c r="AT306" s="1170"/>
      <c r="AU306" s="1170"/>
      <c r="AV306" s="1170"/>
      <c r="AW306" s="1170"/>
      <c r="AX306" s="1170"/>
      <c r="AY306" s="1170"/>
      <c r="AZ306" s="1170"/>
      <c r="BA306" s="1170"/>
      <c r="BB306" s="1186" t="str">
        <f>CokingRefineryCalcs!C847</f>
        <v>Mass Flow</v>
      </c>
      <c r="BC306" s="1170" t="str">
        <f>CokingRefineryCalcs!D847</f>
        <v>kg/d</v>
      </c>
      <c r="BD306" s="1187">
        <f ca="1">CokingRefineryCalcs!J847</f>
        <v>1.7317410666360942E-15</v>
      </c>
      <c r="BE306" s="1170"/>
      <c r="BF306" s="1170"/>
      <c r="BG306" s="1170"/>
      <c r="BH306" s="1170"/>
      <c r="BI306" s="1170"/>
      <c r="BJ306" s="1170"/>
      <c r="BK306" s="1170"/>
      <c r="BL306" s="1170"/>
      <c r="BM306" s="1170"/>
      <c r="BN306" s="1170"/>
      <c r="BO306" s="1170"/>
      <c r="BP306" s="1170"/>
      <c r="BQ306" s="1170"/>
      <c r="BR306" s="1170"/>
      <c r="BS306" s="1170"/>
      <c r="BT306" s="1170"/>
      <c r="BU306" s="1170"/>
      <c r="BV306" s="1170"/>
      <c r="BW306" s="1170"/>
      <c r="BX306" s="1170"/>
      <c r="BY306" s="1170"/>
      <c r="BZ306" s="1170"/>
      <c r="CA306" s="1170"/>
      <c r="CB306" s="1170"/>
      <c r="CC306" s="1170"/>
      <c r="CD306" s="1170"/>
      <c r="CE306" s="1170"/>
      <c r="CF306" s="1170"/>
      <c r="CG306" s="1170"/>
      <c r="CH306" s="1170"/>
      <c r="CI306" s="1170"/>
      <c r="CJ306" s="1170"/>
      <c r="CK306" s="1170"/>
      <c r="CL306" s="1170"/>
      <c r="CM306" s="1170"/>
      <c r="CN306" s="1170"/>
      <c r="CO306" s="1170"/>
      <c r="CP306" s="1170"/>
      <c r="CQ306" s="1170"/>
      <c r="CR306" s="1170"/>
      <c r="CS306" s="1170"/>
      <c r="CT306" s="1170"/>
      <c r="CU306" s="1170"/>
      <c r="CV306" s="1170"/>
      <c r="CW306" s="1170"/>
      <c r="CX306" s="1170"/>
      <c r="CY306" s="1160"/>
      <c r="CZ306" s="1160"/>
      <c r="DA306" s="1160"/>
      <c r="DB306" s="1160"/>
      <c r="DC306" s="1160"/>
      <c r="DD306" s="1160"/>
      <c r="DE306" s="1160"/>
      <c r="DF306" s="1160"/>
      <c r="DG306" s="1160"/>
      <c r="DH306" s="1160"/>
      <c r="DI306" s="1160"/>
      <c r="DJ306" s="1170"/>
      <c r="DK306" s="1171"/>
      <c r="DL306" s="1160"/>
      <c r="DM306" s="1160"/>
      <c r="DN306" s="1160"/>
      <c r="DO306" s="1160"/>
      <c r="DP306" s="1160"/>
      <c r="DQ306" s="1160"/>
      <c r="DR306" s="1160"/>
      <c r="DS306" s="1160"/>
      <c r="DT306" s="1160"/>
      <c r="DU306" s="1160"/>
      <c r="DV306" s="1160"/>
      <c r="DW306" s="1160"/>
      <c r="DX306" s="1160"/>
      <c r="DY306" s="1160"/>
      <c r="DZ306" s="1160"/>
      <c r="EA306" s="1160"/>
      <c r="EB306" s="1160"/>
    </row>
    <row r="307" spans="1:132" x14ac:dyDescent="0.2">
      <c r="A307" s="1160"/>
      <c r="B307" s="1160"/>
      <c r="C307" s="1160"/>
      <c r="D307" s="1160"/>
      <c r="E307" s="1170"/>
      <c r="F307" s="1170"/>
      <c r="G307" s="1170"/>
      <c r="H307" s="1170"/>
      <c r="I307" s="1170"/>
      <c r="J307" s="1170"/>
      <c r="K307" s="1170"/>
      <c r="L307" s="1170"/>
      <c r="M307" s="1170"/>
      <c r="N307" s="1170"/>
      <c r="O307" s="1170"/>
      <c r="P307" s="1170"/>
      <c r="Q307" s="1170"/>
      <c r="R307" s="1170"/>
      <c r="S307" s="1170"/>
      <c r="T307" s="1170"/>
      <c r="U307" s="1170"/>
      <c r="V307" s="1170"/>
      <c r="W307" s="1170"/>
      <c r="X307" s="1170"/>
      <c r="Y307" s="1170"/>
      <c r="Z307" s="1170"/>
      <c r="AA307" s="1170"/>
      <c r="AB307" s="1170"/>
      <c r="AC307" s="1170"/>
      <c r="AD307" s="1170"/>
      <c r="AE307" s="1170"/>
      <c r="AF307" s="1170"/>
      <c r="AG307" s="1170"/>
      <c r="AH307" s="1170"/>
      <c r="AI307" s="1170"/>
      <c r="AJ307" s="1170"/>
      <c r="AK307" s="1170"/>
      <c r="AL307" s="1170"/>
      <c r="AM307" s="1170"/>
      <c r="AN307" s="1170"/>
      <c r="AO307" s="1170"/>
      <c r="AP307" s="1170"/>
      <c r="AQ307" s="1170"/>
      <c r="AR307" s="1170"/>
      <c r="AS307" s="1170"/>
      <c r="AT307" s="1170"/>
      <c r="AU307" s="1170"/>
      <c r="AV307" s="1170"/>
      <c r="AW307" s="1170"/>
      <c r="AX307" s="1170"/>
      <c r="AY307" s="1170"/>
      <c r="AZ307" s="1170"/>
      <c r="BA307" s="1170"/>
      <c r="BB307" s="1186" t="str">
        <f>CokingRefineryCalcs!C848</f>
        <v xml:space="preserve">Sulphur </v>
      </c>
      <c r="BC307" s="1170" t="str">
        <f ca="1">CokingRefineryCalcs!D848</f>
        <v>wt%</v>
      </c>
      <c r="BD307" s="1170">
        <f ca="1">CokingRefineryCalcs!J848</f>
        <v>0</v>
      </c>
      <c r="BE307" s="1170"/>
      <c r="BF307" s="1170"/>
      <c r="BG307" s="1170"/>
      <c r="BH307" s="1170"/>
      <c r="BI307" s="1170"/>
      <c r="BJ307" s="1170"/>
      <c r="BK307" s="1170"/>
      <c r="BL307" s="1170"/>
      <c r="BM307" s="1170"/>
      <c r="BN307" s="1170"/>
      <c r="BO307" s="1170"/>
      <c r="BP307" s="1170"/>
      <c r="BQ307" s="1170"/>
      <c r="BR307" s="1170"/>
      <c r="BS307" s="1170"/>
      <c r="BT307" s="1170"/>
      <c r="BU307" s="1170"/>
      <c r="BV307" s="1170"/>
      <c r="BW307" s="1170"/>
      <c r="BX307" s="1170"/>
      <c r="BY307" s="1170"/>
      <c r="BZ307" s="1170"/>
      <c r="CA307" s="1170"/>
      <c r="CB307" s="1170"/>
      <c r="CC307" s="1170"/>
      <c r="CD307" s="1170"/>
      <c r="CE307" s="1170"/>
      <c r="CF307" s="1170"/>
      <c r="CG307" s="1170"/>
      <c r="CH307" s="1170"/>
      <c r="CI307" s="1170"/>
      <c r="CJ307" s="1170"/>
      <c r="CK307" s="1170"/>
      <c r="CL307" s="1170"/>
      <c r="CM307" s="1170"/>
      <c r="CN307" s="1170"/>
      <c r="CO307" s="1170"/>
      <c r="CP307" s="1170"/>
      <c r="CQ307" s="1170"/>
      <c r="CR307" s="1170"/>
      <c r="CS307" s="1170"/>
      <c r="CT307" s="1170"/>
      <c r="CU307" s="1170"/>
      <c r="CV307" s="1170"/>
      <c r="CW307" s="1170"/>
      <c r="CX307" s="1170"/>
      <c r="CY307" s="1160"/>
      <c r="CZ307" s="1160"/>
      <c r="DA307" s="1160"/>
      <c r="DB307" s="1160"/>
      <c r="DC307" s="1160"/>
      <c r="DD307" s="1160"/>
      <c r="DE307" s="1160"/>
      <c r="DF307" s="1160"/>
      <c r="DG307" s="1160"/>
      <c r="DH307" s="1160"/>
      <c r="DI307" s="1160"/>
      <c r="DJ307" s="1170"/>
      <c r="DK307" s="1171"/>
      <c r="DL307" s="1160"/>
      <c r="DM307" s="1160"/>
      <c r="DN307" s="1160"/>
      <c r="DO307" s="1160"/>
      <c r="DP307" s="1160"/>
      <c r="DQ307" s="1160"/>
      <c r="DR307" s="1160"/>
      <c r="DS307" s="1160"/>
      <c r="DT307" s="1160"/>
      <c r="DU307" s="1160"/>
      <c r="DV307" s="1160"/>
      <c r="DW307" s="1160"/>
      <c r="DX307" s="1160"/>
      <c r="DY307" s="1160"/>
      <c r="DZ307" s="1160"/>
      <c r="EA307" s="1160"/>
      <c r="EB307" s="1160"/>
    </row>
    <row r="308" spans="1:132" x14ac:dyDescent="0.2">
      <c r="A308" s="1160"/>
      <c r="B308" s="1160"/>
      <c r="C308" s="1160"/>
      <c r="D308" s="1160"/>
      <c r="E308" s="1170"/>
      <c r="F308" s="1170"/>
      <c r="G308" s="1170"/>
      <c r="H308" s="1170"/>
      <c r="I308" s="1170"/>
      <c r="J308" s="1170"/>
      <c r="K308" s="1170"/>
      <c r="L308" s="1170"/>
      <c r="M308" s="1170"/>
      <c r="N308" s="1170"/>
      <c r="O308" s="1170"/>
      <c r="P308" s="1170"/>
      <c r="Q308" s="1170"/>
      <c r="R308" s="1170"/>
      <c r="S308" s="1170"/>
      <c r="T308" s="1170"/>
      <c r="U308" s="1170"/>
      <c r="V308" s="1170"/>
      <c r="W308" s="1170"/>
      <c r="X308" s="1170"/>
      <c r="Y308" s="1170"/>
      <c r="Z308" s="1170"/>
      <c r="AA308" s="1170"/>
      <c r="AB308" s="1170"/>
      <c r="AC308" s="1170"/>
      <c r="AD308" s="1170"/>
      <c r="AE308" s="1170"/>
      <c r="AF308" s="1170"/>
      <c r="AG308" s="1170"/>
      <c r="AH308" s="1170"/>
      <c r="AI308" s="1170"/>
      <c r="AJ308" s="1170"/>
      <c r="AK308" s="1170"/>
      <c r="AL308" s="1170"/>
      <c r="AM308" s="1170"/>
      <c r="AN308" s="1170"/>
      <c r="AO308" s="1170"/>
      <c r="AP308" s="1170"/>
      <c r="AQ308" s="1170"/>
      <c r="AR308" s="1170"/>
      <c r="AS308" s="1170"/>
      <c r="AT308" s="1170"/>
      <c r="AU308" s="1170"/>
      <c r="AV308" s="1170"/>
      <c r="AW308" s="1170"/>
      <c r="AX308" s="1170"/>
      <c r="AY308" s="1170"/>
      <c r="AZ308" s="1170"/>
      <c r="BA308" s="1170"/>
      <c r="BB308" s="1186" t="str">
        <f>CokingRefineryCalcs!C850</f>
        <v xml:space="preserve">API gravity </v>
      </c>
      <c r="BC308" s="1170"/>
      <c r="BD308" s="1170">
        <f>CokingRefineryCalcs!J850</f>
        <v>0</v>
      </c>
      <c r="BE308" s="1170"/>
      <c r="BF308" s="1170"/>
      <c r="BG308" s="1170"/>
      <c r="BH308" s="1170"/>
      <c r="BI308" s="1170"/>
      <c r="BJ308" s="1170"/>
      <c r="BK308" s="1170"/>
      <c r="BL308" s="1170"/>
      <c r="BM308" s="1170"/>
      <c r="BN308" s="1170"/>
      <c r="BO308" s="1170"/>
      <c r="BP308" s="1170"/>
      <c r="BQ308" s="1170"/>
      <c r="BR308" s="1170"/>
      <c r="BS308" s="1170"/>
      <c r="BT308" s="1170"/>
      <c r="BU308" s="1170"/>
      <c r="BV308" s="1170"/>
      <c r="BW308" s="1170"/>
      <c r="BX308" s="1170"/>
      <c r="BY308" s="1170"/>
      <c r="BZ308" s="1170"/>
      <c r="CA308" s="1170"/>
      <c r="CB308" s="1170"/>
      <c r="CC308" s="1170"/>
      <c r="CD308" s="1170"/>
      <c r="CE308" s="1170"/>
      <c r="CF308" s="1170"/>
      <c r="CG308" s="1170"/>
      <c r="CH308" s="1170"/>
      <c r="CI308" s="1170"/>
      <c r="CJ308" s="1170"/>
      <c r="CK308" s="1170"/>
      <c r="CL308" s="1170"/>
      <c r="CM308" s="1170"/>
      <c r="CN308" s="1170"/>
      <c r="CO308" s="1170"/>
      <c r="CP308" s="1170"/>
      <c r="CQ308" s="1170"/>
      <c r="CR308" s="1170"/>
      <c r="CS308" s="1170"/>
      <c r="CT308" s="1170"/>
      <c r="CU308" s="1170"/>
      <c r="CV308" s="1170"/>
      <c r="CW308" s="1170"/>
      <c r="CX308" s="1170"/>
      <c r="CY308" s="1160"/>
      <c r="CZ308" s="1160"/>
      <c r="DA308" s="1160"/>
      <c r="DB308" s="1160"/>
      <c r="DC308" s="1160"/>
      <c r="DD308" s="1160"/>
      <c r="DE308" s="1160"/>
      <c r="DF308" s="1160"/>
      <c r="DG308" s="1160"/>
      <c r="DH308" s="1160"/>
      <c r="DI308" s="1160"/>
      <c r="DJ308" s="1170"/>
      <c r="DK308" s="1171"/>
      <c r="DL308" s="1160"/>
      <c r="DM308" s="1160"/>
      <c r="DN308" s="1160"/>
      <c r="DO308" s="1160"/>
      <c r="DP308" s="1160"/>
      <c r="DQ308" s="1160"/>
      <c r="DR308" s="1160"/>
      <c r="DS308" s="1160"/>
      <c r="DT308" s="1160"/>
      <c r="DU308" s="1160"/>
      <c r="DV308" s="1160"/>
      <c r="DW308" s="1160"/>
      <c r="DX308" s="1160"/>
      <c r="DY308" s="1160"/>
      <c r="DZ308" s="1160"/>
      <c r="EA308" s="1160"/>
      <c r="EB308" s="1160"/>
    </row>
    <row r="309" spans="1:132" x14ac:dyDescent="0.2">
      <c r="A309" s="1160"/>
      <c r="B309" s="1160"/>
      <c r="C309" s="1160"/>
      <c r="D309" s="1160"/>
      <c r="E309" s="1170"/>
      <c r="F309" s="1170"/>
      <c r="G309" s="1170"/>
      <c r="H309" s="1170"/>
      <c r="I309" s="1170"/>
      <c r="J309" s="1170"/>
      <c r="K309" s="1170"/>
      <c r="L309" s="1170"/>
      <c r="M309" s="1170"/>
      <c r="N309" s="1170"/>
      <c r="O309" s="1170"/>
      <c r="P309" s="1170"/>
      <c r="Q309" s="1170"/>
      <c r="R309" s="1170"/>
      <c r="S309" s="1170"/>
      <c r="T309" s="1170"/>
      <c r="U309" s="1170"/>
      <c r="V309" s="1170"/>
      <c r="W309" s="1170"/>
      <c r="X309" s="1170"/>
      <c r="Y309" s="1170"/>
      <c r="Z309" s="1170"/>
      <c r="AA309" s="1170"/>
      <c r="AB309" s="1170"/>
      <c r="AC309" s="1170"/>
      <c r="AD309" s="1170"/>
      <c r="AE309" s="1170"/>
      <c r="AF309" s="1170"/>
      <c r="AG309" s="1170"/>
      <c r="AH309" s="1170"/>
      <c r="AI309" s="1170"/>
      <c r="AJ309" s="1170"/>
      <c r="AK309" s="1170"/>
      <c r="AL309" s="1170"/>
      <c r="AM309" s="1170"/>
      <c r="AN309" s="1170"/>
      <c r="AO309" s="1170"/>
      <c r="AP309" s="1170"/>
      <c r="AQ309" s="1170"/>
      <c r="AR309" s="1170"/>
      <c r="AS309" s="1170"/>
      <c r="AT309" s="1170"/>
      <c r="AU309" s="1170"/>
      <c r="AV309" s="1170"/>
      <c r="AW309" s="1170"/>
      <c r="AX309" s="1170"/>
      <c r="AY309" s="1170"/>
      <c r="AZ309" s="1170"/>
      <c r="BA309" s="1170"/>
      <c r="BB309" s="1186" t="str">
        <f>CokingRefineryCalcs!C851</f>
        <v>Density</v>
      </c>
      <c r="BC309" s="1170" t="str">
        <f ca="1">CokingRefineryCalcs!D851</f>
        <v>kg/m^3</v>
      </c>
      <c r="BD309" s="1187">
        <f>CokingRefineryCalcs!J851</f>
        <v>1141</v>
      </c>
      <c r="BE309" s="1170"/>
      <c r="BF309" s="1170"/>
      <c r="BG309" s="1170"/>
      <c r="BH309" s="1170"/>
      <c r="BI309" s="1170"/>
      <c r="BJ309" s="1170"/>
      <c r="BK309" s="1170"/>
      <c r="BL309" s="1170"/>
      <c r="BM309" s="1170"/>
      <c r="BN309" s="1170"/>
      <c r="BO309" s="1170"/>
      <c r="BP309" s="1170"/>
      <c r="BQ309" s="1170"/>
      <c r="BR309" s="1170"/>
      <c r="BS309" s="1170"/>
      <c r="BT309" s="1170"/>
      <c r="BU309" s="1170"/>
      <c r="BV309" s="1170"/>
      <c r="BW309" s="1170"/>
      <c r="BX309" s="1170"/>
      <c r="BY309" s="1170"/>
      <c r="BZ309" s="1170"/>
      <c r="CA309" s="1170"/>
      <c r="CB309" s="1170"/>
      <c r="CC309" s="1170"/>
      <c r="CD309" s="1170"/>
      <c r="CE309" s="1170"/>
      <c r="CF309" s="1170"/>
      <c r="CG309" s="1170"/>
      <c r="CH309" s="1170"/>
      <c r="CI309" s="1170"/>
      <c r="CJ309" s="1170"/>
      <c r="CK309" s="1170"/>
      <c r="CL309" s="1170"/>
      <c r="CM309" s="1170"/>
      <c r="CN309" s="1170"/>
      <c r="CO309" s="1170"/>
      <c r="CP309" s="1170"/>
      <c r="CQ309" s="1170"/>
      <c r="CR309" s="1170"/>
      <c r="CS309" s="1170"/>
      <c r="CT309" s="1170"/>
      <c r="CU309" s="1170"/>
      <c r="CV309" s="1170"/>
      <c r="CW309" s="1170"/>
      <c r="CX309" s="1170"/>
      <c r="CY309" s="1160"/>
      <c r="CZ309" s="1160"/>
      <c r="DA309" s="1160"/>
      <c r="DB309" s="1160"/>
      <c r="DC309" s="1160"/>
      <c r="DD309" s="1160"/>
      <c r="DE309" s="1160"/>
      <c r="DF309" s="1160"/>
      <c r="DG309" s="1160"/>
      <c r="DH309" s="1160"/>
      <c r="DI309" s="1160"/>
      <c r="DJ309" s="1170"/>
      <c r="DK309" s="1171"/>
      <c r="DL309" s="1160"/>
      <c r="DM309" s="1160"/>
      <c r="DN309" s="1160"/>
      <c r="DO309" s="1160"/>
      <c r="DP309" s="1160"/>
      <c r="DQ309" s="1160"/>
      <c r="DR309" s="1160"/>
      <c r="DS309" s="1160"/>
      <c r="DT309" s="1160"/>
      <c r="DU309" s="1160"/>
      <c r="DV309" s="1160"/>
      <c r="DW309" s="1160"/>
      <c r="DX309" s="1160"/>
      <c r="DY309" s="1160"/>
      <c r="DZ309" s="1160"/>
      <c r="EA309" s="1160"/>
      <c r="EB309" s="1160"/>
    </row>
    <row r="310" spans="1:132" x14ac:dyDescent="0.2">
      <c r="A310" s="1160"/>
      <c r="B310" s="1160"/>
      <c r="C310" s="1160"/>
      <c r="D310" s="1160"/>
      <c r="E310" s="1170"/>
      <c r="F310" s="1170"/>
      <c r="G310" s="1170"/>
      <c r="H310" s="1170"/>
      <c r="I310" s="1170"/>
      <c r="J310" s="1170"/>
      <c r="K310" s="1170"/>
      <c r="L310" s="1170"/>
      <c r="M310" s="1170"/>
      <c r="N310" s="1170"/>
      <c r="O310" s="1170"/>
      <c r="P310" s="1170"/>
      <c r="Q310" s="1170"/>
      <c r="R310" s="1170"/>
      <c r="S310" s="1170"/>
      <c r="T310" s="1170"/>
      <c r="U310" s="1170"/>
      <c r="V310" s="1170"/>
      <c r="W310" s="1170"/>
      <c r="X310" s="1170"/>
      <c r="Y310" s="1170"/>
      <c r="Z310" s="1170"/>
      <c r="AA310" s="1170"/>
      <c r="AB310" s="1170"/>
      <c r="AC310" s="1170"/>
      <c r="AD310" s="1170"/>
      <c r="AE310" s="1170"/>
      <c r="AF310" s="1170"/>
      <c r="AG310" s="1170"/>
      <c r="AH310" s="1170"/>
      <c r="AI310" s="1170"/>
      <c r="AJ310" s="1170"/>
      <c r="AK310" s="1170"/>
      <c r="AL310" s="1170"/>
      <c r="AM310" s="1170"/>
      <c r="AN310" s="1170"/>
      <c r="AO310" s="1170"/>
      <c r="AP310" s="1170"/>
      <c r="AQ310" s="1170"/>
      <c r="AR310" s="1170"/>
      <c r="AS310" s="1170"/>
      <c r="AT310" s="1170"/>
      <c r="AU310" s="1170"/>
      <c r="AV310" s="1170"/>
      <c r="AW310" s="1170"/>
      <c r="AX310" s="1170"/>
      <c r="AY310" s="1170"/>
      <c r="AZ310" s="1170"/>
      <c r="BA310" s="1170"/>
      <c r="BB310" s="1186" t="str">
        <f>CokingRefineryCalcs!C852</f>
        <v>Hydrogen</v>
      </c>
      <c r="BC310" s="1170" t="str">
        <f ca="1">CokingRefineryCalcs!D852</f>
        <v>wt%</v>
      </c>
      <c r="BD310" s="1170">
        <f>CokingRefineryCalcs!J852</f>
        <v>5.9</v>
      </c>
      <c r="BE310" s="1170"/>
      <c r="BF310" s="1170"/>
      <c r="BG310" s="1170"/>
      <c r="BH310" s="1170"/>
      <c r="BI310" s="1170"/>
      <c r="BJ310" s="1170"/>
      <c r="BK310" s="1170"/>
      <c r="BL310" s="1170"/>
      <c r="BM310" s="1170"/>
      <c r="BN310" s="1170"/>
      <c r="BO310" s="1170"/>
      <c r="BP310" s="1170"/>
      <c r="BQ310" s="1170"/>
      <c r="BR310" s="1170"/>
      <c r="BS310" s="1170"/>
      <c r="BT310" s="1170"/>
      <c r="BU310" s="1170"/>
      <c r="BV310" s="1170"/>
      <c r="BW310" s="1170"/>
      <c r="BX310" s="1170"/>
      <c r="BY310" s="1170"/>
      <c r="BZ310" s="1170"/>
      <c r="CA310" s="1170"/>
      <c r="CB310" s="1170"/>
      <c r="CC310" s="1170"/>
      <c r="CD310" s="1170"/>
      <c r="CE310" s="1170"/>
      <c r="CF310" s="1170"/>
      <c r="CG310" s="1170"/>
      <c r="CH310" s="1170"/>
      <c r="CI310" s="1170"/>
      <c r="CJ310" s="1170"/>
      <c r="CK310" s="1170"/>
      <c r="CL310" s="1170"/>
      <c r="CM310" s="1170"/>
      <c r="CN310" s="1170"/>
      <c r="CO310" s="1170"/>
      <c r="CP310" s="1170"/>
      <c r="CQ310" s="1170"/>
      <c r="CR310" s="1170"/>
      <c r="CS310" s="1170"/>
      <c r="CT310" s="1170"/>
      <c r="CU310" s="1170"/>
      <c r="CV310" s="1170"/>
      <c r="CW310" s="1170"/>
      <c r="CX310" s="1170"/>
      <c r="CY310" s="1160"/>
      <c r="CZ310" s="1160"/>
      <c r="DA310" s="1160"/>
      <c r="DB310" s="1181" t="str">
        <f t="shared" ref="DB310:DB319" si="6">BB302</f>
        <v>Coke</v>
      </c>
      <c r="DC310" s="1170"/>
      <c r="DD310" s="1170"/>
      <c r="DE310" s="1160"/>
      <c r="DF310" s="1160"/>
      <c r="DG310" s="1170"/>
      <c r="DH310" s="1160"/>
      <c r="DI310" s="1160"/>
      <c r="DJ310" s="1170"/>
      <c r="DK310" s="1171"/>
      <c r="DL310" s="1160"/>
      <c r="DM310" s="1160"/>
      <c r="DN310" s="1160"/>
      <c r="DO310" s="1160"/>
      <c r="DP310" s="1160"/>
      <c r="DQ310" s="1160"/>
      <c r="DR310" s="1160"/>
      <c r="DS310" s="1160"/>
      <c r="DT310" s="1160"/>
      <c r="DU310" s="1160"/>
      <c r="DV310" s="1160"/>
      <c r="DW310" s="1160"/>
      <c r="DX310" s="1160"/>
      <c r="DY310" s="1160"/>
      <c r="DZ310" s="1160"/>
      <c r="EA310" s="1160"/>
      <c r="EB310" s="1160"/>
    </row>
    <row r="311" spans="1:132" x14ac:dyDescent="0.2">
      <c r="A311" s="1160"/>
      <c r="B311" s="1160"/>
      <c r="C311" s="184"/>
      <c r="D311" s="184"/>
      <c r="E311" s="184"/>
      <c r="F311" s="184"/>
      <c r="G311" s="184"/>
      <c r="H311" s="184"/>
      <c r="I311" s="184"/>
      <c r="J311" s="184"/>
      <c r="K311" s="184"/>
      <c r="L311" s="184"/>
      <c r="M311" s="1170"/>
      <c r="N311" s="1170"/>
      <c r="O311" s="1170"/>
      <c r="P311" s="1170"/>
      <c r="Q311" s="1170"/>
      <c r="R311" s="1170"/>
      <c r="S311" s="1170"/>
      <c r="T311" s="1170"/>
      <c r="U311" s="1170"/>
      <c r="V311" s="1170"/>
      <c r="W311" s="1170"/>
      <c r="X311" s="1170"/>
      <c r="Y311" s="1170"/>
      <c r="Z311" s="1170"/>
      <c r="AA311" s="1170"/>
      <c r="AB311" s="1170"/>
      <c r="AC311" s="1170"/>
      <c r="AD311" s="1170"/>
      <c r="AE311" s="1170"/>
      <c r="AF311" s="1170"/>
      <c r="AG311" s="1170"/>
      <c r="AH311" s="1170"/>
      <c r="AI311" s="1170"/>
      <c r="AJ311" s="1170"/>
      <c r="AK311" s="1170"/>
      <c r="AL311" s="1170"/>
      <c r="AM311" s="1170"/>
      <c r="AN311" s="1170"/>
      <c r="AO311" s="1170"/>
      <c r="AP311" s="1170"/>
      <c r="AQ311" s="1170"/>
      <c r="AR311" s="1170"/>
      <c r="AS311" s="1170"/>
      <c r="AT311" s="1170"/>
      <c r="AU311" s="1170"/>
      <c r="AV311" s="1170"/>
      <c r="AW311" s="1170"/>
      <c r="AX311" s="1170"/>
      <c r="AY311" s="1170"/>
      <c r="AZ311" s="1170"/>
      <c r="BA311" s="1170"/>
      <c r="BB311" s="1186" t="str">
        <f>CokingRefineryCalcs!C853</f>
        <v>MCR</v>
      </c>
      <c r="BC311" s="1170" t="str">
        <f ca="1">CokingRefineryCalcs!D853</f>
        <v>wt%</v>
      </c>
      <c r="BD311" s="1170">
        <f>CokingRefineryCalcs!J853</f>
        <v>100</v>
      </c>
      <c r="BE311" s="1170"/>
      <c r="BF311" s="1170"/>
      <c r="BG311" s="1170"/>
      <c r="BH311" s="1170"/>
      <c r="BI311" s="1170"/>
      <c r="BJ311" s="1170"/>
      <c r="BK311" s="1170"/>
      <c r="BL311" s="1170"/>
      <c r="BM311" s="1170"/>
      <c r="BN311" s="1170"/>
      <c r="BO311" s="1170"/>
      <c r="BP311" s="1170"/>
      <c r="BQ311" s="1170"/>
      <c r="BR311" s="1170"/>
      <c r="BS311" s="1170"/>
      <c r="BT311" s="1170"/>
      <c r="BU311" s="1170"/>
      <c r="BV311" s="1170"/>
      <c r="BW311" s="1170"/>
      <c r="BX311" s="1170"/>
      <c r="BY311" s="1170"/>
      <c r="BZ311" s="1170"/>
      <c r="CA311" s="1170"/>
      <c r="CB311" s="1170"/>
      <c r="CC311" s="1170"/>
      <c r="CD311" s="1170"/>
      <c r="CE311" s="1170"/>
      <c r="CF311" s="1170"/>
      <c r="CG311" s="1170"/>
      <c r="CH311" s="1170"/>
      <c r="CI311" s="1170"/>
      <c r="CJ311" s="1170"/>
      <c r="CK311" s="1170"/>
      <c r="CL311" s="1170"/>
      <c r="CM311" s="1170"/>
      <c r="CN311" s="1170"/>
      <c r="CO311" s="1170"/>
      <c r="CP311" s="1170"/>
      <c r="CQ311" s="1170"/>
      <c r="CR311" s="1170"/>
      <c r="CS311" s="1170"/>
      <c r="CT311" s="1170"/>
      <c r="CU311" s="1170"/>
      <c r="CV311" s="1170"/>
      <c r="CW311" s="1170"/>
      <c r="CX311" s="1170"/>
      <c r="CY311" s="1160"/>
      <c r="CZ311" s="1160"/>
      <c r="DA311" s="1160"/>
      <c r="DB311" s="1182" t="str">
        <f t="shared" si="6"/>
        <v>Property</v>
      </c>
      <c r="DC311" s="1182" t="str">
        <f>BC303</f>
        <v>Units</v>
      </c>
      <c r="DD311" s="1170"/>
      <c r="DE311" s="1180" t="str">
        <f>DB310</f>
        <v>Coke</v>
      </c>
      <c r="DF311" s="1180"/>
      <c r="DG311" s="1170"/>
      <c r="DH311" s="1160"/>
      <c r="DI311" s="1160"/>
      <c r="DJ311" s="1170"/>
      <c r="DK311" s="1171"/>
      <c r="DL311" s="1160"/>
      <c r="DM311" s="1160"/>
      <c r="DN311" s="1160"/>
      <c r="DO311" s="1160"/>
      <c r="DP311" s="1160"/>
      <c r="DQ311" s="1160"/>
      <c r="DR311" s="1160"/>
      <c r="DS311" s="1160"/>
      <c r="DT311" s="1160"/>
      <c r="DU311" s="1160"/>
      <c r="DV311" s="1160"/>
      <c r="DW311" s="1160"/>
      <c r="DX311" s="1160"/>
      <c r="DY311" s="1160"/>
      <c r="DZ311" s="1160"/>
      <c r="EA311" s="1160"/>
      <c r="EB311" s="1160"/>
    </row>
    <row r="312" spans="1:132" x14ac:dyDescent="0.2">
      <c r="A312" s="1160"/>
      <c r="B312" s="1160"/>
      <c r="C312" s="184"/>
      <c r="D312" s="184"/>
      <c r="E312" s="184"/>
      <c r="F312" s="184"/>
      <c r="G312" s="184"/>
      <c r="H312" s="184"/>
      <c r="I312" s="184"/>
      <c r="J312" s="184"/>
      <c r="K312" s="184"/>
      <c r="L312" s="184"/>
      <c r="M312" s="1170"/>
      <c r="N312" s="1170"/>
      <c r="O312" s="1170"/>
      <c r="P312" s="1170"/>
      <c r="Q312" s="1170"/>
      <c r="R312" s="1170"/>
      <c r="S312" s="1170"/>
      <c r="T312" s="1170"/>
      <c r="U312" s="1170"/>
      <c r="V312" s="1170"/>
      <c r="W312" s="1170"/>
      <c r="X312" s="1170"/>
      <c r="Y312" s="1170"/>
      <c r="Z312" s="1170"/>
      <c r="AA312" s="1170"/>
      <c r="AB312" s="1170"/>
      <c r="AC312" s="1170"/>
      <c r="AD312" s="1170"/>
      <c r="AE312" s="1170"/>
      <c r="AF312" s="1170"/>
      <c r="AG312" s="1170"/>
      <c r="AH312" s="1170"/>
      <c r="AI312" s="1170"/>
      <c r="AJ312" s="1170"/>
      <c r="AK312" s="1170"/>
      <c r="AL312" s="1170"/>
      <c r="AM312" s="1170"/>
      <c r="AN312" s="1170"/>
      <c r="AO312" s="1170"/>
      <c r="AP312" s="1170"/>
      <c r="AQ312" s="1170"/>
      <c r="AR312" s="1170"/>
      <c r="AS312" s="1170"/>
      <c r="AT312" s="1170"/>
      <c r="AU312" s="1170"/>
      <c r="AV312" s="1170"/>
      <c r="AW312" s="1170"/>
      <c r="AX312" s="1170"/>
      <c r="AY312" s="1170"/>
      <c r="AZ312" s="1170"/>
      <c r="BA312" s="1170"/>
      <c r="BB312" s="1200" t="s">
        <v>1056</v>
      </c>
      <c r="BC312" s="1199" t="s">
        <v>447</v>
      </c>
      <c r="BD312" s="1199">
        <f>('Energy &amp; Unit Conversions'!$D$63-('Energy &amp; Unit Conversions'!$E$63*POWER((CokingRefineryPFD!BD309/'Energy &amp; Unit Conversions'!$E$54),2)))</f>
        <v>36.361315330714504</v>
      </c>
      <c r="BE312" s="1170"/>
      <c r="BF312" s="1170"/>
      <c r="BG312" s="1170"/>
      <c r="BH312" s="1170"/>
      <c r="BI312" s="1170"/>
      <c r="BJ312" s="1170"/>
      <c r="BK312" s="1170"/>
      <c r="BL312" s="1170"/>
      <c r="BM312" s="1170"/>
      <c r="BN312" s="1170"/>
      <c r="BO312" s="1170"/>
      <c r="BP312" s="1170"/>
      <c r="BQ312" s="1170"/>
      <c r="BR312" s="1170"/>
      <c r="BS312" s="1170"/>
      <c r="BT312" s="1170"/>
      <c r="BU312" s="1170"/>
      <c r="BV312" s="1170"/>
      <c r="BW312" s="1170"/>
      <c r="BX312" s="1170"/>
      <c r="BY312" s="1170"/>
      <c r="BZ312" s="1170"/>
      <c r="CA312" s="1170"/>
      <c r="CB312" s="1170"/>
      <c r="CC312" s="1170"/>
      <c r="CD312" s="1170"/>
      <c r="CE312" s="1170"/>
      <c r="CF312" s="1170"/>
      <c r="CG312" s="1170"/>
      <c r="CH312" s="1170"/>
      <c r="CI312" s="1170"/>
      <c r="CJ312" s="1170"/>
      <c r="CK312" s="1170"/>
      <c r="CL312" s="1170"/>
      <c r="CM312" s="1170"/>
      <c r="CN312" s="1170"/>
      <c r="CO312" s="1170"/>
      <c r="CP312" s="1170"/>
      <c r="CQ312" s="1170"/>
      <c r="CR312" s="1170"/>
      <c r="CS312" s="1170"/>
      <c r="CT312" s="1170"/>
      <c r="CU312" s="1170"/>
      <c r="CV312" s="1170"/>
      <c r="CW312" s="1170"/>
      <c r="CX312" s="1170"/>
      <c r="CY312" s="1160"/>
      <c r="CZ312" s="1160"/>
      <c r="DA312" s="1160"/>
      <c r="DB312" s="1186" t="str">
        <f t="shared" si="6"/>
        <v>Vol Flow</v>
      </c>
      <c r="DC312" s="1170" t="str">
        <f ca="1">BC304</f>
        <v>bpd</v>
      </c>
      <c r="DD312" s="1170">
        <f ca="1">CokingRefineryCalcs!J845</f>
        <v>9.5462955872403676E-18</v>
      </c>
      <c r="DE312" s="1183" t="s">
        <v>226</v>
      </c>
      <c r="DF312" s="1183"/>
      <c r="DG312" s="1184" t="s">
        <v>522</v>
      </c>
      <c r="DH312" s="1160"/>
      <c r="DI312" s="1160"/>
      <c r="DJ312" s="1170"/>
      <c r="DK312" s="1171"/>
      <c r="DL312" s="1160"/>
      <c r="DM312" s="1160"/>
      <c r="DN312" s="1160"/>
      <c r="DO312" s="1160"/>
      <c r="DP312" s="1160"/>
      <c r="DQ312" s="1160"/>
      <c r="DR312" s="1160"/>
      <c r="DS312" s="1160"/>
      <c r="DT312" s="1160"/>
      <c r="DU312" s="1160"/>
      <c r="DV312" s="1160"/>
      <c r="DW312" s="1160"/>
      <c r="DX312" s="1160"/>
      <c r="DY312" s="1160"/>
      <c r="DZ312" s="1160"/>
      <c r="EA312" s="1160"/>
      <c r="EB312" s="1160"/>
    </row>
    <row r="313" spans="1:132" x14ac:dyDescent="0.2">
      <c r="A313" s="1160"/>
      <c r="B313" s="1160"/>
      <c r="C313" s="184"/>
      <c r="D313" s="184"/>
      <c r="E313" s="184"/>
      <c r="F313" s="184"/>
      <c r="G313" s="184"/>
      <c r="H313" s="184"/>
      <c r="I313" s="184"/>
      <c r="J313" s="184"/>
      <c r="K313" s="184"/>
      <c r="L313" s="184"/>
      <c r="M313" s="1170"/>
      <c r="N313" s="1170"/>
      <c r="O313" s="1170"/>
      <c r="P313" s="1170"/>
      <c r="Q313" s="1170"/>
      <c r="R313" s="1170"/>
      <c r="S313" s="1170"/>
      <c r="T313" s="1170"/>
      <c r="U313" s="1170"/>
      <c r="V313" s="1170"/>
      <c r="W313" s="1170"/>
      <c r="X313" s="1170"/>
      <c r="Y313" s="1170"/>
      <c r="Z313" s="1170"/>
      <c r="AA313" s="1170"/>
      <c r="AB313" s="1170"/>
      <c r="AC313" s="1170"/>
      <c r="AD313" s="1170"/>
      <c r="AE313" s="1170"/>
      <c r="AF313" s="1170"/>
      <c r="AG313" s="1170"/>
      <c r="AH313" s="1170"/>
      <c r="AI313" s="1170"/>
      <c r="AJ313" s="1170"/>
      <c r="AK313" s="1170"/>
      <c r="AL313" s="1170"/>
      <c r="AM313" s="1170"/>
      <c r="AN313" s="1170"/>
      <c r="AO313" s="1170"/>
      <c r="AP313" s="1170"/>
      <c r="AQ313" s="1170"/>
      <c r="AR313" s="1170"/>
      <c r="AS313" s="1170"/>
      <c r="AT313" s="1170"/>
      <c r="AU313" s="1170"/>
      <c r="AV313" s="1170"/>
      <c r="AW313" s="1170"/>
      <c r="AX313" s="1170"/>
      <c r="AY313" s="1170"/>
      <c r="AZ313" s="1170"/>
      <c r="BA313" s="1170"/>
      <c r="BB313" s="1200" t="s">
        <v>1021</v>
      </c>
      <c r="BC313" s="1199" t="s">
        <v>1022</v>
      </c>
      <c r="BD313" s="1170">
        <f>Constants!G354/1000*DD317*'Energy &amp; Unit Conversions'!G80</f>
        <v>10.43075928475</v>
      </c>
      <c r="BE313" s="1170"/>
      <c r="BF313" s="1170"/>
      <c r="BG313" s="1170"/>
      <c r="BH313" s="1170"/>
      <c r="BI313" s="1170"/>
      <c r="BJ313" s="1170"/>
      <c r="BK313" s="1170"/>
      <c r="BL313" s="1170"/>
      <c r="BM313" s="1170"/>
      <c r="BN313" s="1170"/>
      <c r="BO313" s="1170"/>
      <c r="BP313" s="1170"/>
      <c r="BQ313" s="1170"/>
      <c r="BR313" s="1170"/>
      <c r="BS313" s="1170"/>
      <c r="BT313" s="1170"/>
      <c r="BU313" s="1170"/>
      <c r="BV313" s="1170"/>
      <c r="BW313" s="1170"/>
      <c r="BX313" s="1170"/>
      <c r="BY313" s="1170"/>
      <c r="BZ313" s="1170"/>
      <c r="CA313" s="1170"/>
      <c r="CB313" s="1170"/>
      <c r="CC313" s="1170"/>
      <c r="CD313" s="1170"/>
      <c r="CE313" s="1170"/>
      <c r="CF313" s="1170"/>
      <c r="CG313" s="1170"/>
      <c r="CH313" s="1170"/>
      <c r="CI313" s="1170"/>
      <c r="CJ313" s="1170"/>
      <c r="CK313" s="1170"/>
      <c r="CL313" s="1170"/>
      <c r="CM313" s="1170"/>
      <c r="CN313" s="1170"/>
      <c r="CO313" s="1170"/>
      <c r="CP313" s="1170"/>
      <c r="CQ313" s="1170"/>
      <c r="CR313" s="1170"/>
      <c r="CS313" s="1170"/>
      <c r="CT313" s="1170"/>
      <c r="CU313" s="1170"/>
      <c r="CV313" s="1170"/>
      <c r="CW313" s="1170"/>
      <c r="CX313" s="1170"/>
      <c r="CY313" s="1160"/>
      <c r="CZ313" s="1160"/>
      <c r="DA313" s="1160"/>
      <c r="DB313" s="1186" t="str">
        <f t="shared" si="6"/>
        <v>Vol Flow</v>
      </c>
      <c r="DC313" s="1170" t="str">
        <f ca="1">BC305</f>
        <v>m^3/d</v>
      </c>
      <c r="DD313" s="1170">
        <f ca="1">CokingRefineryCalcs!J846</f>
        <v>1.5177397604172604E-18</v>
      </c>
      <c r="DE313" s="1170" t="s">
        <v>263</v>
      </c>
      <c r="DF313" s="1170"/>
      <c r="DG313" s="1187">
        <f ca="1">AU249*DG318</f>
        <v>0</v>
      </c>
      <c r="DH313" s="1160"/>
      <c r="DI313" s="1160"/>
      <c r="DJ313" s="1160"/>
      <c r="DK313" s="1171"/>
      <c r="DL313" s="1160"/>
      <c r="DM313" s="1160"/>
      <c r="DN313" s="1160"/>
      <c r="DO313" s="1160"/>
      <c r="DP313" s="1160"/>
      <c r="DQ313" s="1160"/>
      <c r="DR313" s="1160"/>
      <c r="DS313" s="1160"/>
      <c r="DT313" s="1160"/>
      <c r="DU313" s="1160"/>
      <c r="DV313" s="1160"/>
      <c r="DW313" s="1160"/>
      <c r="DX313" s="1160"/>
      <c r="DY313" s="1160"/>
      <c r="DZ313" s="1160"/>
      <c r="EA313" s="1160"/>
      <c r="EB313" s="1160"/>
    </row>
    <row r="314" spans="1:132" x14ac:dyDescent="0.2">
      <c r="A314" s="1160"/>
      <c r="B314" s="1160"/>
      <c r="C314" s="184"/>
      <c r="D314" s="184"/>
      <c r="E314" s="184"/>
      <c r="F314" s="184"/>
      <c r="G314" s="184"/>
      <c r="H314" s="184"/>
      <c r="I314" s="184"/>
      <c r="J314" s="184"/>
      <c r="K314" s="184"/>
      <c r="L314" s="184"/>
      <c r="M314" s="1170"/>
      <c r="N314" s="1170"/>
      <c r="O314" s="1170"/>
      <c r="P314" s="1170"/>
      <c r="Q314" s="1170"/>
      <c r="R314" s="1170"/>
      <c r="S314" s="1170"/>
      <c r="T314" s="1170"/>
      <c r="U314" s="1170"/>
      <c r="V314" s="1170"/>
      <c r="W314" s="1170"/>
      <c r="X314" s="1170"/>
      <c r="Y314" s="1170"/>
      <c r="Z314" s="1170"/>
      <c r="AA314" s="1170"/>
      <c r="AB314" s="1170"/>
      <c r="AC314" s="1170"/>
      <c r="AD314" s="1170"/>
      <c r="AE314" s="1170"/>
      <c r="AF314" s="1170"/>
      <c r="AG314" s="1170"/>
      <c r="AH314" s="1170"/>
      <c r="AI314" s="1170"/>
      <c r="AJ314" s="1170"/>
      <c r="AK314" s="1170"/>
      <c r="AL314" s="1170"/>
      <c r="AM314" s="1170"/>
      <c r="AN314" s="1170"/>
      <c r="AO314" s="1170"/>
      <c r="AP314" s="1170"/>
      <c r="AQ314" s="1170"/>
      <c r="AR314" s="1170"/>
      <c r="AS314" s="1170"/>
      <c r="AT314" s="1170"/>
      <c r="AU314" s="1170"/>
      <c r="AV314" s="1170"/>
      <c r="AW314" s="1170"/>
      <c r="AX314" s="1170"/>
      <c r="AY314" s="1170"/>
      <c r="AZ314" s="1170"/>
      <c r="BA314" s="1170"/>
      <c r="BB314" s="1204" t="s">
        <v>1054</v>
      </c>
      <c r="BC314" s="1204" t="str">
        <f>IF(allocationMethod=1,$C$21,IF(allocationMethod=2,$C$22,IF(allocationMethod=3,$C$23,$C$24)))</f>
        <v>Hydrogen Content Basis</v>
      </c>
      <c r="BD314" s="1204">
        <f ca="1">IF(allocationMethod=1,BD306,IF(allocationMethod=2,BD312*BD306,IF(allocationMethod=3,BD313*BD306,BD310*BD306/100)))</f>
        <v>1.0217272293152955E-16</v>
      </c>
      <c r="BE314" s="1170"/>
      <c r="BF314" s="1170"/>
      <c r="BG314" s="1170"/>
      <c r="BH314" s="1170"/>
      <c r="BI314" s="1170"/>
      <c r="BJ314" s="1170"/>
      <c r="BK314" s="1170"/>
      <c r="BL314" s="1170"/>
      <c r="BM314" s="1170"/>
      <c r="BN314" s="1170"/>
      <c r="BO314" s="1170"/>
      <c r="BP314" s="1170"/>
      <c r="BQ314" s="1170"/>
      <c r="BR314" s="1170"/>
      <c r="BS314" s="1170"/>
      <c r="BT314" s="1170"/>
      <c r="BU314" s="1170"/>
      <c r="BV314" s="1170"/>
      <c r="BW314" s="1170"/>
      <c r="BX314" s="1170"/>
      <c r="BY314" s="1170"/>
      <c r="BZ314" s="1170"/>
      <c r="CA314" s="1170"/>
      <c r="CB314" s="1170"/>
      <c r="CC314" s="1170"/>
      <c r="CD314" s="1170"/>
      <c r="CE314" s="1170"/>
      <c r="CF314" s="1170"/>
      <c r="CG314" s="1170"/>
      <c r="CH314" s="1170"/>
      <c r="CI314" s="1170"/>
      <c r="CJ314" s="1170"/>
      <c r="CK314" s="1170"/>
      <c r="CL314" s="1170"/>
      <c r="CM314" s="1170"/>
      <c r="CN314" s="1170"/>
      <c r="CO314" s="1170"/>
      <c r="CP314" s="1170"/>
      <c r="CQ314" s="1170"/>
      <c r="CR314" s="1170"/>
      <c r="CS314" s="1170"/>
      <c r="CT314" s="1170"/>
      <c r="CU314" s="1170"/>
      <c r="CV314" s="1170"/>
      <c r="CW314" s="1170"/>
      <c r="CX314" s="1170"/>
      <c r="CY314" s="1160"/>
      <c r="CZ314" s="1160"/>
      <c r="DA314" s="1160"/>
      <c r="DB314" s="1186" t="str">
        <f t="shared" si="6"/>
        <v>Mass Flow</v>
      </c>
      <c r="DC314" s="1170" t="str">
        <f>BC306</f>
        <v>kg/d</v>
      </c>
      <c r="DD314" s="1170">
        <f ca="1">BD306</f>
        <v>1.7317410666360942E-15</v>
      </c>
      <c r="DE314" s="1170" t="s">
        <v>392</v>
      </c>
      <c r="DF314" s="1170"/>
      <c r="DG314" s="1187">
        <f ca="1">(AU250+AY220)*$DG$318</f>
        <v>0</v>
      </c>
      <c r="DH314" s="1160"/>
      <c r="DI314" s="1160"/>
      <c r="DJ314" s="1160"/>
      <c r="DK314" s="1171"/>
      <c r="DL314" s="1160"/>
      <c r="DM314" s="1160"/>
      <c r="DN314" s="1160"/>
      <c r="DO314" s="1160"/>
      <c r="DP314" s="1160"/>
      <c r="DQ314" s="1160"/>
      <c r="DR314" s="1160"/>
      <c r="DS314" s="1160"/>
      <c r="DT314" s="1160"/>
      <c r="DU314" s="1160"/>
      <c r="DV314" s="1160"/>
      <c r="DW314" s="1160"/>
      <c r="DX314" s="1160"/>
      <c r="DY314" s="1160"/>
      <c r="DZ314" s="1160"/>
      <c r="EA314" s="1160"/>
      <c r="EB314" s="1160"/>
    </row>
    <row r="315" spans="1:132" x14ac:dyDescent="0.2">
      <c r="A315" s="1160"/>
      <c r="B315" s="1160"/>
      <c r="C315" s="184"/>
      <c r="D315" s="184"/>
      <c r="E315" s="184"/>
      <c r="F315" s="184"/>
      <c r="G315" s="184"/>
      <c r="H315" s="184"/>
      <c r="I315" s="184"/>
      <c r="J315" s="184"/>
      <c r="K315" s="184"/>
      <c r="L315" s="184"/>
      <c r="M315" s="1170"/>
      <c r="N315" s="1170"/>
      <c r="O315" s="1170"/>
      <c r="P315" s="1170"/>
      <c r="Q315" s="1170"/>
      <c r="R315" s="1170"/>
      <c r="S315" s="1170"/>
      <c r="T315" s="1170"/>
      <c r="U315" s="1170"/>
      <c r="V315" s="1170"/>
      <c r="W315" s="1170"/>
      <c r="X315" s="1170"/>
      <c r="Y315" s="1170"/>
      <c r="Z315" s="1170"/>
      <c r="AA315" s="1170"/>
      <c r="AB315" s="1170"/>
      <c r="AC315" s="1170"/>
      <c r="AD315" s="1170"/>
      <c r="AE315" s="1170"/>
      <c r="AF315" s="1170"/>
      <c r="AG315" s="1170"/>
      <c r="AH315" s="1170"/>
      <c r="AI315" s="1170"/>
      <c r="AJ315" s="1170"/>
      <c r="AK315" s="1170"/>
      <c r="AL315" s="1170"/>
      <c r="AM315" s="1170"/>
      <c r="AN315" s="1170"/>
      <c r="AO315" s="1170"/>
      <c r="AP315" s="1170"/>
      <c r="AQ315" s="1170"/>
      <c r="AR315" s="1170"/>
      <c r="AS315" s="1170"/>
      <c r="AT315" s="1170"/>
      <c r="AU315" s="1170"/>
      <c r="AV315" s="1170"/>
      <c r="AW315" s="1170"/>
      <c r="AX315" s="1170"/>
      <c r="AY315" s="1170"/>
      <c r="AZ315" s="1170"/>
      <c r="BA315" s="1170"/>
      <c r="BB315" s="1170"/>
      <c r="BC315" s="1170"/>
      <c r="BD315" s="1170"/>
      <c r="BE315" s="1170"/>
      <c r="BF315" s="1170"/>
      <c r="BG315" s="1170"/>
      <c r="BH315" s="1170"/>
      <c r="BI315" s="1170"/>
      <c r="BJ315" s="1170"/>
      <c r="BK315" s="1170"/>
      <c r="BL315" s="1170"/>
      <c r="BM315" s="1170"/>
      <c r="BN315" s="1170"/>
      <c r="BO315" s="1170"/>
      <c r="BP315" s="1170"/>
      <c r="BQ315" s="1170"/>
      <c r="BR315" s="1170"/>
      <c r="BS315" s="1170"/>
      <c r="BT315" s="1170"/>
      <c r="BU315" s="1170"/>
      <c r="BV315" s="1170"/>
      <c r="BW315" s="1170"/>
      <c r="BX315" s="1170"/>
      <c r="BY315" s="1170"/>
      <c r="BZ315" s="1170"/>
      <c r="CA315" s="1170"/>
      <c r="CB315" s="1170"/>
      <c r="CC315" s="1170"/>
      <c r="CD315" s="1170"/>
      <c r="CE315" s="1170"/>
      <c r="CF315" s="1170"/>
      <c r="CG315" s="1170"/>
      <c r="CH315" s="1170"/>
      <c r="CI315" s="1170"/>
      <c r="CJ315" s="1170"/>
      <c r="CK315" s="1170"/>
      <c r="CL315" s="1170"/>
      <c r="CM315" s="1170"/>
      <c r="CN315" s="1170"/>
      <c r="CO315" s="1170"/>
      <c r="CP315" s="1170"/>
      <c r="CQ315" s="1170"/>
      <c r="CR315" s="1170"/>
      <c r="CS315" s="1170"/>
      <c r="CT315" s="1170"/>
      <c r="CU315" s="1170"/>
      <c r="CV315" s="1170"/>
      <c r="CW315" s="1170"/>
      <c r="CX315" s="1170"/>
      <c r="CY315" s="1160"/>
      <c r="CZ315" s="1160"/>
      <c r="DA315" s="1160"/>
      <c r="DB315" s="1186" t="str">
        <f t="shared" si="6"/>
        <v xml:space="preserve">Sulphur </v>
      </c>
      <c r="DC315" s="1170" t="str">
        <f ca="1">BC307</f>
        <v>wt%</v>
      </c>
      <c r="DD315" s="1170">
        <f ca="1">BD307</f>
        <v>0</v>
      </c>
      <c r="DE315" s="1170" t="s">
        <v>224</v>
      </c>
      <c r="DF315" s="1170"/>
      <c r="DG315" s="1187">
        <f ca="1">(AU251+AY221)*$DG$318</f>
        <v>0</v>
      </c>
      <c r="DH315" s="1160"/>
      <c r="DI315" s="1160"/>
      <c r="DJ315" s="1160"/>
      <c r="DK315" s="1171"/>
      <c r="DL315" s="1160"/>
      <c r="DM315" s="1160"/>
      <c r="DN315" s="1160"/>
      <c r="DO315" s="1160"/>
      <c r="DP315" s="1160"/>
      <c r="DQ315" s="1160"/>
      <c r="DR315" s="1160"/>
      <c r="DS315" s="1160"/>
      <c r="DT315" s="1160"/>
      <c r="DU315" s="1160"/>
      <c r="DV315" s="1160"/>
      <c r="DW315" s="1160"/>
      <c r="DX315" s="1160"/>
      <c r="DY315" s="1160"/>
      <c r="DZ315" s="1160"/>
      <c r="EA315" s="1160"/>
      <c r="EB315" s="1160"/>
    </row>
    <row r="316" spans="1:132" x14ac:dyDescent="0.2">
      <c r="A316" s="1160"/>
      <c r="B316" s="1160"/>
      <c r="C316" s="184"/>
      <c r="D316" s="184"/>
      <c r="E316" s="184"/>
      <c r="F316" s="184"/>
      <c r="G316" s="184"/>
      <c r="H316" s="184"/>
      <c r="I316" s="184"/>
      <c r="J316" s="184"/>
      <c r="K316" s="184"/>
      <c r="L316" s="184"/>
      <c r="M316" s="1170"/>
      <c r="N316" s="1170"/>
      <c r="O316" s="1170"/>
      <c r="P316" s="1170"/>
      <c r="Q316" s="1170"/>
      <c r="R316" s="1170"/>
      <c r="S316" s="1170"/>
      <c r="T316" s="1170"/>
      <c r="U316" s="1170"/>
      <c r="V316" s="1170"/>
      <c r="W316" s="1170"/>
      <c r="X316" s="1170"/>
      <c r="Y316" s="1170"/>
      <c r="Z316" s="1170"/>
      <c r="AA316" s="1170"/>
      <c r="AB316" s="1170"/>
      <c r="AC316" s="1170"/>
      <c r="AD316" s="1170"/>
      <c r="AE316" s="1170"/>
      <c r="AF316" s="1170"/>
      <c r="AG316" s="1170"/>
      <c r="AH316" s="1170"/>
      <c r="AI316" s="1170"/>
      <c r="AJ316" s="1170"/>
      <c r="AK316" s="1170"/>
      <c r="AL316" s="1170"/>
      <c r="AM316" s="1170"/>
      <c r="AN316" s="1170"/>
      <c r="AO316" s="1170"/>
      <c r="AP316" s="1170"/>
      <c r="AQ316" s="1170"/>
      <c r="AR316" s="1170"/>
      <c r="AS316" s="1170"/>
      <c r="AT316" s="1170"/>
      <c r="AU316" s="1170"/>
      <c r="AV316" s="1170"/>
      <c r="AW316" s="1170"/>
      <c r="AX316" s="1170"/>
      <c r="AY316" s="1170"/>
      <c r="AZ316" s="1170"/>
      <c r="BA316" s="1170"/>
      <c r="BB316" s="1170"/>
      <c r="BC316" s="1170"/>
      <c r="BD316" s="1170"/>
      <c r="BE316" s="1170"/>
      <c r="BF316" s="1170"/>
      <c r="BG316" s="1170"/>
      <c r="BH316" s="1170"/>
      <c r="BI316" s="1170"/>
      <c r="BJ316" s="1170"/>
      <c r="BK316" s="1170"/>
      <c r="BL316" s="1170"/>
      <c r="BM316" s="1170"/>
      <c r="BN316" s="1170"/>
      <c r="BO316" s="1170"/>
      <c r="BP316" s="1170"/>
      <c r="BQ316" s="1170"/>
      <c r="BR316" s="1170"/>
      <c r="BS316" s="1170"/>
      <c r="BT316" s="1170"/>
      <c r="BU316" s="1170"/>
      <c r="BV316" s="1170"/>
      <c r="BW316" s="1170"/>
      <c r="BX316" s="1170"/>
      <c r="BY316" s="1170"/>
      <c r="BZ316" s="1170"/>
      <c r="CA316" s="1170"/>
      <c r="CB316" s="1170"/>
      <c r="CC316" s="1170"/>
      <c r="CD316" s="1170"/>
      <c r="CE316" s="1170"/>
      <c r="CF316" s="1170"/>
      <c r="CG316" s="1170"/>
      <c r="CH316" s="1170"/>
      <c r="CI316" s="1170"/>
      <c r="CJ316" s="1170"/>
      <c r="CK316" s="1170"/>
      <c r="CL316" s="1170"/>
      <c r="CM316" s="1170"/>
      <c r="CN316" s="1170"/>
      <c r="CO316" s="1170"/>
      <c r="CP316" s="1170"/>
      <c r="CQ316" s="1170"/>
      <c r="CR316" s="1170"/>
      <c r="CS316" s="1170"/>
      <c r="CT316" s="1170"/>
      <c r="CU316" s="1170"/>
      <c r="CV316" s="1170"/>
      <c r="CW316" s="1170"/>
      <c r="CX316" s="1170"/>
      <c r="CY316" s="1160"/>
      <c r="CZ316" s="1160"/>
      <c r="DA316" s="1160"/>
      <c r="DB316" s="1186" t="str">
        <f t="shared" si="6"/>
        <v xml:space="preserve">API gravity </v>
      </c>
      <c r="DC316" s="1170"/>
      <c r="DD316" s="1170"/>
      <c r="DE316" s="1170" t="s">
        <v>485</v>
      </c>
      <c r="DF316" s="1170"/>
      <c r="DG316" s="1187">
        <f ca="1">(AU252+AY222)*$DG$318</f>
        <v>0</v>
      </c>
      <c r="DH316" s="1160"/>
      <c r="DI316" s="1160"/>
      <c r="DJ316" s="1160"/>
      <c r="DK316" s="1171"/>
      <c r="DL316" s="1160"/>
      <c r="DM316" s="1160"/>
      <c r="DN316" s="1160"/>
      <c r="DO316" s="1160"/>
      <c r="DP316" s="1160"/>
      <c r="DQ316" s="1160"/>
      <c r="DR316" s="1160"/>
      <c r="DS316" s="1160"/>
      <c r="DT316" s="1160"/>
      <c r="DU316" s="1160"/>
      <c r="DV316" s="1160"/>
      <c r="DW316" s="1160"/>
      <c r="DX316" s="1160"/>
      <c r="DY316" s="1160"/>
      <c r="DZ316" s="1160"/>
      <c r="EA316" s="1160"/>
      <c r="EB316" s="1160"/>
    </row>
    <row r="317" spans="1:132" x14ac:dyDescent="0.2">
      <c r="A317" s="1160"/>
      <c r="B317" s="1160"/>
      <c r="C317" s="184"/>
      <c r="D317" s="184"/>
      <c r="E317" s="184"/>
      <c r="F317" s="184"/>
      <c r="G317" s="184"/>
      <c r="H317" s="184"/>
      <c r="I317" s="184"/>
      <c r="J317" s="184"/>
      <c r="K317" s="184"/>
      <c r="L317" s="184"/>
      <c r="M317" s="1170"/>
      <c r="N317" s="1170"/>
      <c r="O317" s="1170"/>
      <c r="P317" s="1170"/>
      <c r="Q317" s="1170"/>
      <c r="R317" s="1170"/>
      <c r="S317" s="1170"/>
      <c r="T317" s="1170"/>
      <c r="U317" s="1170"/>
      <c r="V317" s="1170"/>
      <c r="W317" s="1170"/>
      <c r="X317" s="1170"/>
      <c r="Y317" s="1170"/>
      <c r="Z317" s="1170"/>
      <c r="AA317" s="1170"/>
      <c r="AB317" s="1170"/>
      <c r="AC317" s="1170"/>
      <c r="AD317" s="1170"/>
      <c r="AE317" s="1170"/>
      <c r="AF317" s="1170"/>
      <c r="AG317" s="1170"/>
      <c r="AH317" s="1170"/>
      <c r="AI317" s="1170"/>
      <c r="AJ317" s="1170"/>
      <c r="AK317" s="1170"/>
      <c r="AL317" s="1170"/>
      <c r="AM317" s="1170"/>
      <c r="AN317" s="1170"/>
      <c r="AO317" s="1170"/>
      <c r="AP317" s="1170"/>
      <c r="AQ317" s="1170"/>
      <c r="AR317" s="1170"/>
      <c r="AS317" s="1170"/>
      <c r="AT317" s="1170"/>
      <c r="AU317" s="1170"/>
      <c r="AV317" s="1170"/>
      <c r="AW317" s="1170"/>
      <c r="AX317" s="1170"/>
      <c r="AY317" s="1170"/>
      <c r="AZ317" s="1170"/>
      <c r="BA317" s="1170"/>
      <c r="BB317" s="1170"/>
      <c r="BC317" s="1170"/>
      <c r="BD317" s="1170"/>
      <c r="BE317" s="1170"/>
      <c r="BF317" s="1170"/>
      <c r="BG317" s="1170"/>
      <c r="BH317" s="1170"/>
      <c r="BI317" s="1170"/>
      <c r="BJ317" s="1170"/>
      <c r="BK317" s="1170"/>
      <c r="BL317" s="1170"/>
      <c r="BM317" s="1170"/>
      <c r="BN317" s="1170"/>
      <c r="BO317" s="1170"/>
      <c r="BP317" s="1170"/>
      <c r="BQ317" s="1170"/>
      <c r="BR317" s="1170"/>
      <c r="BS317" s="1170"/>
      <c r="BT317" s="1170"/>
      <c r="BU317" s="1170"/>
      <c r="BV317" s="1170"/>
      <c r="BW317" s="1170"/>
      <c r="BX317" s="1170"/>
      <c r="BY317" s="1170"/>
      <c r="BZ317" s="1170"/>
      <c r="CA317" s="1170"/>
      <c r="CB317" s="1170"/>
      <c r="CC317" s="1170"/>
      <c r="CD317" s="1170"/>
      <c r="CE317" s="1170"/>
      <c r="CF317" s="1170"/>
      <c r="CG317" s="1170"/>
      <c r="CH317" s="1170"/>
      <c r="CI317" s="1170"/>
      <c r="CJ317" s="1170"/>
      <c r="CK317" s="1170"/>
      <c r="CL317" s="1170"/>
      <c r="CM317" s="1170"/>
      <c r="CN317" s="1170"/>
      <c r="CO317" s="1170"/>
      <c r="CP317" s="1170"/>
      <c r="CQ317" s="1170"/>
      <c r="CR317" s="1170"/>
      <c r="CS317" s="1170"/>
      <c r="CT317" s="1170"/>
      <c r="CU317" s="1170"/>
      <c r="CV317" s="1170"/>
      <c r="CW317" s="1170"/>
      <c r="CX317" s="1170"/>
      <c r="CY317" s="1160"/>
      <c r="CZ317" s="1160"/>
      <c r="DA317" s="1160"/>
      <c r="DB317" s="1186" t="str">
        <f t="shared" si="6"/>
        <v>Density</v>
      </c>
      <c r="DC317" s="1170" t="str">
        <f ca="1">BC309</f>
        <v>kg/m^3</v>
      </c>
      <c r="DD317" s="1170">
        <f>CokingRefineryCalcs!J851</f>
        <v>1141</v>
      </c>
      <c r="DE317" s="1170" t="s">
        <v>541</v>
      </c>
      <c r="DF317" s="1170"/>
      <c r="DG317" s="1187">
        <f ca="1">(AU253+AY223)*$DG$318</f>
        <v>0</v>
      </c>
      <c r="DH317" s="1160"/>
      <c r="DI317" s="1160"/>
      <c r="DJ317" s="1160"/>
      <c r="DK317" s="1171"/>
      <c r="DL317" s="1160"/>
      <c r="DM317" s="1160"/>
      <c r="DN317" s="1160"/>
      <c r="DO317" s="1160"/>
      <c r="DP317" s="1160"/>
      <c r="DQ317" s="1160"/>
      <c r="DR317" s="1160"/>
      <c r="DS317" s="1160"/>
      <c r="DT317" s="1160"/>
      <c r="DU317" s="1160"/>
      <c r="DV317" s="1160"/>
      <c r="DW317" s="1160"/>
      <c r="DX317" s="1160"/>
      <c r="DY317" s="1160"/>
      <c r="DZ317" s="1160"/>
      <c r="EA317" s="1160"/>
      <c r="EB317" s="1160"/>
    </row>
    <row r="318" spans="1:132" x14ac:dyDescent="0.2">
      <c r="A318" s="1160"/>
      <c r="B318" s="1160"/>
      <c r="C318" s="184"/>
      <c r="D318" s="184"/>
      <c r="E318" s="184"/>
      <c r="F318" s="184"/>
      <c r="G318" s="184"/>
      <c r="H318" s="184"/>
      <c r="I318" s="184"/>
      <c r="J318" s="184"/>
      <c r="K318" s="184"/>
      <c r="L318" s="184"/>
      <c r="M318" s="1170"/>
      <c r="N318" s="1170"/>
      <c r="O318" s="1170"/>
      <c r="P318" s="1170"/>
      <c r="Q318" s="1170"/>
      <c r="R318" s="1170"/>
      <c r="S318" s="1170"/>
      <c r="T318" s="1170"/>
      <c r="U318" s="1170"/>
      <c r="V318" s="1170"/>
      <c r="W318" s="1170"/>
      <c r="X318" s="1170"/>
      <c r="Y318" s="1170"/>
      <c r="Z318" s="1170"/>
      <c r="AA318" s="1170"/>
      <c r="AB318" s="1170"/>
      <c r="AC318" s="1170"/>
      <c r="AD318" s="1170"/>
      <c r="AE318" s="1170"/>
      <c r="AF318" s="1170"/>
      <c r="AG318" s="1170"/>
      <c r="AH318" s="1170"/>
      <c r="AI318" s="1170"/>
      <c r="AJ318" s="1170"/>
      <c r="AK318" s="1170"/>
      <c r="AL318" s="1170"/>
      <c r="AM318" s="1170"/>
      <c r="AN318" s="1170"/>
      <c r="AO318" s="1170"/>
      <c r="AP318" s="1170"/>
      <c r="AQ318" s="1170"/>
      <c r="AR318" s="1170"/>
      <c r="AS318" s="1170"/>
      <c r="AT318" s="1170"/>
      <c r="AU318" s="1170"/>
      <c r="AV318" s="1170"/>
      <c r="AW318" s="1170"/>
      <c r="AX318" s="1170"/>
      <c r="AY318" s="1170"/>
      <c r="AZ318" s="1170"/>
      <c r="BA318" s="1170"/>
      <c r="BB318" s="1170"/>
      <c r="BC318" s="1170"/>
      <c r="BD318" s="1170"/>
      <c r="BE318" s="1170"/>
      <c r="BF318" s="1170"/>
      <c r="BG318" s="1170"/>
      <c r="BH318" s="1170"/>
      <c r="BI318" s="1170"/>
      <c r="BJ318" s="1170"/>
      <c r="BK318" s="1170"/>
      <c r="BL318" s="1170"/>
      <c r="BM318" s="1170"/>
      <c r="BN318" s="1170"/>
      <c r="BO318" s="1170"/>
      <c r="BP318" s="1170"/>
      <c r="BQ318" s="1170"/>
      <c r="BR318" s="1170"/>
      <c r="BS318" s="1170"/>
      <c r="BT318" s="1170"/>
      <c r="BU318" s="1170"/>
      <c r="BV318" s="1170"/>
      <c r="BW318" s="1170"/>
      <c r="BX318" s="1170"/>
      <c r="BY318" s="1170"/>
      <c r="BZ318" s="1170"/>
      <c r="CA318" s="1170"/>
      <c r="CB318" s="1170"/>
      <c r="CC318" s="1170"/>
      <c r="CD318" s="1170"/>
      <c r="CE318" s="1170"/>
      <c r="CF318" s="1170"/>
      <c r="CG318" s="1170"/>
      <c r="CH318" s="1170"/>
      <c r="CI318" s="1170"/>
      <c r="CJ318" s="1170"/>
      <c r="CK318" s="1170"/>
      <c r="CL318" s="1170"/>
      <c r="CM318" s="1170"/>
      <c r="CN318" s="1170"/>
      <c r="CO318" s="1170"/>
      <c r="CP318" s="1170"/>
      <c r="CQ318" s="1170"/>
      <c r="CR318" s="1170"/>
      <c r="CS318" s="1170"/>
      <c r="CT318" s="1170"/>
      <c r="CU318" s="1170"/>
      <c r="CV318" s="1170"/>
      <c r="CW318" s="1170"/>
      <c r="CX318" s="1170"/>
      <c r="CY318" s="1160"/>
      <c r="CZ318" s="1160"/>
      <c r="DA318" s="1160"/>
      <c r="DB318" s="1186" t="str">
        <f t="shared" si="6"/>
        <v>Hydrogen</v>
      </c>
      <c r="DC318" s="1170" t="str">
        <f ca="1">BC310</f>
        <v>wt%</v>
      </c>
      <c r="DD318" s="1170">
        <f>BD310</f>
        <v>5.9</v>
      </c>
      <c r="DE318" s="1180" t="s">
        <v>1066</v>
      </c>
      <c r="DF318" s="1180"/>
      <c r="DG318" s="1170">
        <f>IF(AND(CokingRefineryPFD!E48=TRUE,CokingRefineryPFD!E50=TRUE),DG319,IF(CokingRefineryPFD!E48=TRUE,DG321,0))</f>
        <v>0</v>
      </c>
      <c r="DH318" s="1170"/>
      <c r="DI318" s="1160"/>
      <c r="DJ318" s="1160"/>
      <c r="DK318" s="1171"/>
      <c r="DL318" s="1160"/>
      <c r="DM318" s="1160"/>
      <c r="DN318" s="1160"/>
      <c r="DO318" s="1160"/>
      <c r="DP318" s="1160"/>
      <c r="DQ318" s="1160"/>
      <c r="DR318" s="1160"/>
      <c r="DS318" s="1160"/>
      <c r="DT318" s="1160"/>
      <c r="DU318" s="1160"/>
      <c r="DV318" s="1160"/>
      <c r="DW318" s="1160"/>
      <c r="DX318" s="1160"/>
      <c r="DY318" s="1160"/>
      <c r="DZ318" s="1160"/>
      <c r="EA318" s="1160"/>
      <c r="EB318" s="1160"/>
    </row>
    <row r="319" spans="1:132" x14ac:dyDescent="0.2">
      <c r="A319" s="1160"/>
      <c r="B319" s="1160"/>
      <c r="C319" s="184"/>
      <c r="D319" s="184"/>
      <c r="E319" s="184"/>
      <c r="F319" s="184"/>
      <c r="G319" s="184"/>
      <c r="H319" s="184"/>
      <c r="I319" s="184"/>
      <c r="J319" s="184"/>
      <c r="K319" s="184"/>
      <c r="L319" s="184"/>
      <c r="M319" s="1170"/>
      <c r="N319" s="1170"/>
      <c r="O319" s="1170"/>
      <c r="P319" s="1170"/>
      <c r="Q319" s="1170"/>
      <c r="R319" s="1170"/>
      <c r="S319" s="1170"/>
      <c r="T319" s="1170"/>
      <c r="U319" s="1170"/>
      <c r="V319" s="1170"/>
      <c r="W319" s="1170"/>
      <c r="X319" s="1170"/>
      <c r="Y319" s="1170"/>
      <c r="Z319" s="1170"/>
      <c r="AA319" s="1170"/>
      <c r="AB319" s="1170"/>
      <c r="AC319" s="1170"/>
      <c r="AD319" s="1170"/>
      <c r="AE319" s="1170"/>
      <c r="AF319" s="1170"/>
      <c r="AG319" s="1170"/>
      <c r="AH319" s="1170"/>
      <c r="AI319" s="1170"/>
      <c r="AJ319" s="1170"/>
      <c r="AK319" s="1170"/>
      <c r="AL319" s="1170"/>
      <c r="AM319" s="1170"/>
      <c r="AN319" s="1170"/>
      <c r="AO319" s="1170"/>
      <c r="AP319" s="1170"/>
      <c r="AQ319" s="1170"/>
      <c r="AR319" s="1170"/>
      <c r="AS319" s="1170"/>
      <c r="AT319" s="1170"/>
      <c r="AU319" s="1170"/>
      <c r="AV319" s="1170"/>
      <c r="AW319" s="1170"/>
      <c r="AX319" s="1170"/>
      <c r="AY319" s="1170"/>
      <c r="AZ319" s="1170"/>
      <c r="BA319" s="1170"/>
      <c r="BB319" s="1170"/>
      <c r="BC319" s="1170"/>
      <c r="BD319" s="1170"/>
      <c r="BE319" s="1170"/>
      <c r="BF319" s="1170"/>
      <c r="BG319" s="1170"/>
      <c r="BH319" s="1170"/>
      <c r="BI319" s="1170"/>
      <c r="BJ319" s="1170"/>
      <c r="BK319" s="1170"/>
      <c r="BL319" s="1170"/>
      <c r="BM319" s="1170"/>
      <c r="BN319" s="1170"/>
      <c r="BO319" s="1170"/>
      <c r="BP319" s="1170"/>
      <c r="BQ319" s="1170"/>
      <c r="BR319" s="1170"/>
      <c r="BS319" s="1170"/>
      <c r="BT319" s="1170"/>
      <c r="BU319" s="1170"/>
      <c r="BV319" s="1170"/>
      <c r="BW319" s="1170"/>
      <c r="BX319" s="1170"/>
      <c r="BY319" s="1170"/>
      <c r="BZ319" s="1170"/>
      <c r="CA319" s="1170"/>
      <c r="CB319" s="1170"/>
      <c r="CC319" s="1170"/>
      <c r="CD319" s="1170"/>
      <c r="CE319" s="1170"/>
      <c r="CF319" s="1170"/>
      <c r="CG319" s="1170"/>
      <c r="CH319" s="1170"/>
      <c r="CI319" s="1170"/>
      <c r="CJ319" s="1170"/>
      <c r="CK319" s="1170"/>
      <c r="CL319" s="1170"/>
      <c r="CM319" s="1170"/>
      <c r="CN319" s="1170"/>
      <c r="CO319" s="1170"/>
      <c r="CP319" s="1170"/>
      <c r="CQ319" s="1170"/>
      <c r="CR319" s="1170"/>
      <c r="CS319" s="1170"/>
      <c r="CT319" s="1170"/>
      <c r="CU319" s="1170"/>
      <c r="CV319" s="1170"/>
      <c r="CW319" s="1170"/>
      <c r="CX319" s="1170"/>
      <c r="CY319" s="1160"/>
      <c r="CZ319" s="1160"/>
      <c r="DA319" s="1160"/>
      <c r="DB319" s="1186" t="str">
        <f t="shared" si="6"/>
        <v>MCR</v>
      </c>
      <c r="DC319" s="1170" t="str">
        <f ca="1">BC311</f>
        <v>wt%</v>
      </c>
      <c r="DD319" s="1170">
        <f>BD311</f>
        <v>100</v>
      </c>
      <c r="DE319" s="1180" t="s">
        <v>1065</v>
      </c>
      <c r="DF319" s="1180"/>
      <c r="DG319" s="1170">
        <f ca="1">DD322/(AX213+BD243+BD314)</f>
        <v>0.10847852804365034</v>
      </c>
      <c r="DH319" s="1170"/>
      <c r="DI319" s="1160"/>
      <c r="DJ319" s="1160"/>
      <c r="DK319" s="1171"/>
      <c r="DL319" s="1160"/>
      <c r="DM319" s="1160"/>
      <c r="DN319" s="1160"/>
      <c r="DO319" s="1160"/>
      <c r="DP319" s="1160"/>
      <c r="DQ319" s="1160"/>
      <c r="DR319" s="1160"/>
      <c r="DS319" s="1160"/>
      <c r="DT319" s="1160"/>
      <c r="DU319" s="1160"/>
      <c r="DV319" s="1160"/>
      <c r="DW319" s="1160"/>
      <c r="DX319" s="1160"/>
      <c r="DY319" s="1160"/>
      <c r="DZ319" s="1160"/>
      <c r="EA319" s="1160"/>
      <c r="EB319" s="1160"/>
    </row>
    <row r="320" spans="1:132" x14ac:dyDescent="0.2">
      <c r="A320" s="1160"/>
      <c r="B320" s="1160"/>
      <c r="C320" s="184"/>
      <c r="D320" s="184"/>
      <c r="E320" s="184"/>
      <c r="F320" s="184"/>
      <c r="G320" s="184"/>
      <c r="H320" s="184"/>
      <c r="I320" s="184"/>
      <c r="J320" s="184"/>
      <c r="K320" s="184"/>
      <c r="L320" s="184"/>
      <c r="M320" s="1170"/>
      <c r="N320" s="1170"/>
      <c r="O320" s="1170"/>
      <c r="P320" s="1170"/>
      <c r="Q320" s="1170"/>
      <c r="R320" s="1170"/>
      <c r="S320" s="1170"/>
      <c r="T320" s="1170"/>
      <c r="U320" s="1170"/>
      <c r="V320" s="1170"/>
      <c r="W320" s="1170"/>
      <c r="X320" s="1170"/>
      <c r="Y320" s="1170"/>
      <c r="Z320" s="1170"/>
      <c r="AA320" s="1170"/>
      <c r="AB320" s="1170"/>
      <c r="AC320" s="1170"/>
      <c r="AD320" s="1170"/>
      <c r="AE320" s="1170"/>
      <c r="AF320" s="1170"/>
      <c r="AG320" s="1170"/>
      <c r="AH320" s="1170"/>
      <c r="AI320" s="1170"/>
      <c r="AJ320" s="1170"/>
      <c r="AK320" s="1170"/>
      <c r="AL320" s="1170"/>
      <c r="AM320" s="1170"/>
      <c r="AN320" s="1170"/>
      <c r="AO320" s="1170"/>
      <c r="AP320" s="1170"/>
      <c r="AQ320" s="1170"/>
      <c r="AR320" s="1170"/>
      <c r="AS320" s="1170"/>
      <c r="AT320" s="1170"/>
      <c r="AU320" s="1170"/>
      <c r="AV320" s="1170"/>
      <c r="AW320" s="1170"/>
      <c r="AX320" s="1170"/>
      <c r="AY320" s="1170"/>
      <c r="AZ320" s="1170"/>
      <c r="BA320" s="1170"/>
      <c r="BB320" s="1170"/>
      <c r="BC320" s="1170"/>
      <c r="BD320" s="1170"/>
      <c r="BE320" s="1170"/>
      <c r="BF320" s="1170"/>
      <c r="BG320" s="1170"/>
      <c r="BH320" s="1170"/>
      <c r="BI320" s="1170"/>
      <c r="BJ320" s="1170"/>
      <c r="BK320" s="1170"/>
      <c r="BL320" s="1170"/>
      <c r="BM320" s="1170"/>
      <c r="BN320" s="1170"/>
      <c r="BO320" s="1170"/>
      <c r="BP320" s="1170"/>
      <c r="BQ320" s="1170"/>
      <c r="BR320" s="1170"/>
      <c r="BS320" s="1170"/>
      <c r="BT320" s="1170"/>
      <c r="BU320" s="1170"/>
      <c r="BV320" s="1170"/>
      <c r="BW320" s="1170"/>
      <c r="BX320" s="1170"/>
      <c r="BY320" s="1170"/>
      <c r="BZ320" s="1170"/>
      <c r="CA320" s="1170"/>
      <c r="CB320" s="1170"/>
      <c r="CC320" s="1170"/>
      <c r="CD320" s="1170"/>
      <c r="CE320" s="1170"/>
      <c r="CF320" s="1170"/>
      <c r="CG320" s="1170"/>
      <c r="CH320" s="1170"/>
      <c r="CI320" s="1170"/>
      <c r="CJ320" s="1170"/>
      <c r="CK320" s="1170"/>
      <c r="CL320" s="1170"/>
      <c r="CM320" s="1170"/>
      <c r="CN320" s="1170"/>
      <c r="CO320" s="1170"/>
      <c r="CP320" s="1170"/>
      <c r="CQ320" s="1170"/>
      <c r="CR320" s="1170"/>
      <c r="CS320" s="1170"/>
      <c r="CT320" s="1170"/>
      <c r="CU320" s="1170"/>
      <c r="CV320" s="1170"/>
      <c r="CW320" s="1170"/>
      <c r="CX320" s="1170"/>
      <c r="CY320" s="1160"/>
      <c r="CZ320" s="1160"/>
      <c r="DA320" s="1170"/>
      <c r="DB320" s="1183" t="s">
        <v>1700</v>
      </c>
      <c r="DC320" s="1184" t="s">
        <v>447</v>
      </c>
      <c r="DD320" s="1170">
        <f>('Energy &amp; Unit Conversions'!$D$63-('Energy &amp; Unit Conversions'!$E$63*POWER((CokingRefineryPFD!DD317/'Energy &amp; Unit Conversions'!$E$54),2)))</f>
        <v>36.361315330714504</v>
      </c>
      <c r="DE320" s="1197" t="s">
        <v>228</v>
      </c>
      <c r="DF320" s="1197"/>
      <c r="DG320" s="1170">
        <f ca="1">DD314/AU238</f>
        <v>0.17317410666360941</v>
      </c>
      <c r="DH320" s="1160"/>
      <c r="DI320" s="1160"/>
      <c r="DJ320" s="1160"/>
      <c r="DK320" s="1171"/>
      <c r="DL320" s="1160"/>
      <c r="DM320" s="1160"/>
      <c r="DN320" s="1160"/>
      <c r="DO320" s="1160"/>
      <c r="DP320" s="1160"/>
      <c r="DQ320" s="1160"/>
      <c r="DR320" s="1160"/>
      <c r="DS320" s="1160"/>
      <c r="DT320" s="1160"/>
      <c r="DU320" s="1160"/>
      <c r="DV320" s="1160"/>
      <c r="DW320" s="1160"/>
      <c r="DX320" s="1160"/>
      <c r="DY320" s="1160"/>
      <c r="DZ320" s="1160"/>
      <c r="EA320" s="1160"/>
      <c r="EB320" s="1160"/>
    </row>
    <row r="321" spans="1:132" x14ac:dyDescent="0.2">
      <c r="A321" s="184"/>
      <c r="B321" s="184"/>
      <c r="C321" s="184"/>
      <c r="D321" s="184"/>
      <c r="E321" s="184"/>
      <c r="F321" s="184"/>
      <c r="G321" s="184"/>
      <c r="H321" s="184"/>
      <c r="I321" s="184"/>
      <c r="J321" s="184"/>
      <c r="K321" s="184"/>
      <c r="L321" s="184"/>
      <c r="M321" s="1170"/>
      <c r="N321" s="1170"/>
      <c r="O321" s="1170"/>
      <c r="P321" s="1170"/>
      <c r="Q321" s="1170"/>
      <c r="R321" s="1170"/>
      <c r="S321" s="1170"/>
      <c r="T321" s="1170"/>
      <c r="U321" s="1170"/>
      <c r="V321" s="1170"/>
      <c r="W321" s="1170"/>
      <c r="X321" s="1170"/>
      <c r="Y321" s="1170"/>
      <c r="Z321" s="1170"/>
      <c r="AA321" s="1170"/>
      <c r="AB321" s="1170"/>
      <c r="AC321" s="1170"/>
      <c r="AD321" s="1170"/>
      <c r="AE321" s="1170"/>
      <c r="AF321" s="1170"/>
      <c r="AG321" s="1170"/>
      <c r="AH321" s="1170"/>
      <c r="AI321" s="1170"/>
      <c r="AJ321" s="1170"/>
      <c r="AK321" s="1170"/>
      <c r="AL321" s="1170"/>
      <c r="AM321" s="1170"/>
      <c r="AN321" s="1170"/>
      <c r="AO321" s="1170"/>
      <c r="AP321" s="1170"/>
      <c r="AQ321" s="1170"/>
      <c r="AR321" s="1170"/>
      <c r="AS321" s="1170"/>
      <c r="AT321" s="1170"/>
      <c r="AU321" s="1170"/>
      <c r="AV321" s="1170"/>
      <c r="AW321" s="1170"/>
      <c r="AX321" s="1170"/>
      <c r="AY321" s="1170"/>
      <c r="AZ321" s="1170"/>
      <c r="BA321" s="1170"/>
      <c r="BB321" s="1170"/>
      <c r="BC321" s="1170"/>
      <c r="BD321" s="1170"/>
      <c r="BE321" s="1170"/>
      <c r="BF321" s="1170"/>
      <c r="BG321" s="1170"/>
      <c r="BH321" s="1170"/>
      <c r="BI321" s="1170"/>
      <c r="BJ321" s="1170"/>
      <c r="BK321" s="1170"/>
      <c r="BL321" s="1170"/>
      <c r="BM321" s="1170"/>
      <c r="BN321" s="1170"/>
      <c r="BO321" s="1170"/>
      <c r="BP321" s="1170"/>
      <c r="BQ321" s="1170"/>
      <c r="BR321" s="1170"/>
      <c r="BS321" s="1170"/>
      <c r="BT321" s="1170"/>
      <c r="BU321" s="1170"/>
      <c r="BV321" s="1170"/>
      <c r="BW321" s="1170"/>
      <c r="BX321" s="1170"/>
      <c r="BY321" s="1170"/>
      <c r="BZ321" s="1170"/>
      <c r="CA321" s="1170"/>
      <c r="CB321" s="1170"/>
      <c r="CC321" s="1170"/>
      <c r="CD321" s="1170"/>
      <c r="CE321" s="1170"/>
      <c r="CF321" s="1170"/>
      <c r="CG321" s="1170"/>
      <c r="CH321" s="1170"/>
      <c r="CI321" s="1170"/>
      <c r="CJ321" s="1170"/>
      <c r="CK321" s="1170"/>
      <c r="CL321" s="1170"/>
      <c r="CM321" s="1170"/>
      <c r="CN321" s="1170"/>
      <c r="CO321" s="1170"/>
      <c r="CP321" s="1170"/>
      <c r="CQ321" s="1170"/>
      <c r="CR321" s="1170"/>
      <c r="CS321" s="1170"/>
      <c r="CT321" s="1170"/>
      <c r="CU321" s="1170"/>
      <c r="CV321" s="1170"/>
      <c r="CW321" s="1170"/>
      <c r="CX321" s="1170"/>
      <c r="CY321" s="1160"/>
      <c r="CZ321" s="1160"/>
      <c r="DA321" s="1170"/>
      <c r="DB321" s="1200" t="s">
        <v>1021</v>
      </c>
      <c r="DC321" s="1199" t="s">
        <v>1022</v>
      </c>
      <c r="DD321" s="1170">
        <f>BD313</f>
        <v>10.43075928475</v>
      </c>
      <c r="DE321" s="1184" t="s">
        <v>1704</v>
      </c>
      <c r="DF321" s="1184"/>
      <c r="DG321" s="1170">
        <f ca="1">DD322/(BD243+BD314)</f>
        <v>0.10847852804365034</v>
      </c>
      <c r="DH321" s="1160"/>
      <c r="DI321" s="1160"/>
      <c r="DJ321" s="1160"/>
      <c r="DK321" s="1171"/>
      <c r="DL321" s="1160"/>
      <c r="DM321" s="1160"/>
      <c r="DN321" s="1160"/>
      <c r="DO321" s="1160"/>
      <c r="DP321" s="1160"/>
      <c r="DQ321" s="1160"/>
      <c r="DR321" s="1160"/>
      <c r="DS321" s="1160"/>
      <c r="DT321" s="1160"/>
      <c r="DU321" s="1160"/>
      <c r="DV321" s="1160"/>
      <c r="DW321" s="1160"/>
      <c r="DX321" s="1160"/>
      <c r="DY321" s="1160"/>
      <c r="DZ321" s="1160"/>
      <c r="EA321" s="1160"/>
      <c r="EB321" s="1160"/>
    </row>
    <row r="322" spans="1:132" x14ac:dyDescent="0.2">
      <c r="A322" s="184"/>
      <c r="B322" s="184"/>
      <c r="C322" s="184"/>
      <c r="D322" s="184"/>
      <c r="E322" s="184"/>
      <c r="F322" s="184"/>
      <c r="G322" s="184"/>
      <c r="H322" s="184"/>
      <c r="I322" s="184"/>
      <c r="J322" s="184"/>
      <c r="K322" s="184"/>
      <c r="L322" s="184"/>
      <c r="M322" s="1170"/>
      <c r="N322" s="1170"/>
      <c r="O322" s="1170"/>
      <c r="P322" s="1170"/>
      <c r="Q322" s="1170"/>
      <c r="R322" s="1170"/>
      <c r="S322" s="1170"/>
      <c r="T322" s="1170"/>
      <c r="U322" s="1170"/>
      <c r="V322" s="1170"/>
      <c r="W322" s="1170"/>
      <c r="X322" s="1170"/>
      <c r="Y322" s="1170"/>
      <c r="Z322" s="1170"/>
      <c r="AA322" s="1170"/>
      <c r="AB322" s="1170"/>
      <c r="AC322" s="1170"/>
      <c r="AD322" s="1170"/>
      <c r="AE322" s="1170"/>
      <c r="AF322" s="1170"/>
      <c r="AG322" s="1170"/>
      <c r="AH322" s="1170"/>
      <c r="AI322" s="1170"/>
      <c r="AJ322" s="1170"/>
      <c r="AK322" s="1170"/>
      <c r="AL322" s="1170"/>
      <c r="AM322" s="1170"/>
      <c r="AN322" s="1170"/>
      <c r="AO322" s="1170"/>
      <c r="AP322" s="1170"/>
      <c r="AQ322" s="1170"/>
      <c r="AR322" s="1170"/>
      <c r="AS322" s="1170"/>
      <c r="AT322" s="1170"/>
      <c r="AU322" s="1170"/>
      <c r="AV322" s="1170"/>
      <c r="AW322" s="1170"/>
      <c r="AX322" s="1170"/>
      <c r="AY322" s="1170"/>
      <c r="AZ322" s="1170"/>
      <c r="BA322" s="1170"/>
      <c r="BB322" s="1170"/>
      <c r="BC322" s="1170"/>
      <c r="BD322" s="1170"/>
      <c r="BE322" s="1170"/>
      <c r="BF322" s="1170"/>
      <c r="BG322" s="1170"/>
      <c r="BH322" s="1170"/>
      <c r="BI322" s="1170"/>
      <c r="BJ322" s="1170"/>
      <c r="BK322" s="1170"/>
      <c r="BL322" s="1170"/>
      <c r="BM322" s="1170"/>
      <c r="BN322" s="1170"/>
      <c r="BO322" s="1170"/>
      <c r="BP322" s="1170"/>
      <c r="BQ322" s="1170"/>
      <c r="BR322" s="1170"/>
      <c r="BS322" s="1170"/>
      <c r="BT322" s="1170"/>
      <c r="BU322" s="1170"/>
      <c r="BV322" s="1170"/>
      <c r="BW322" s="1170"/>
      <c r="BX322" s="1170"/>
      <c r="BY322" s="1170"/>
      <c r="BZ322" s="1170"/>
      <c r="CA322" s="1170"/>
      <c r="CB322" s="1170"/>
      <c r="CC322" s="1170"/>
      <c r="CD322" s="1170"/>
      <c r="CE322" s="1170"/>
      <c r="CF322" s="1170"/>
      <c r="CG322" s="1170"/>
      <c r="CH322" s="1170"/>
      <c r="CI322" s="1170"/>
      <c r="CJ322" s="1170"/>
      <c r="CK322" s="1170"/>
      <c r="CL322" s="1170"/>
      <c r="CM322" s="1170"/>
      <c r="CN322" s="1170"/>
      <c r="CO322" s="1170"/>
      <c r="CP322" s="1170"/>
      <c r="CQ322" s="1170"/>
      <c r="CR322" s="1170"/>
      <c r="CS322" s="1170"/>
      <c r="CT322" s="1170"/>
      <c r="CU322" s="1170"/>
      <c r="CV322" s="1170"/>
      <c r="CW322" s="1170"/>
      <c r="CX322" s="1170"/>
      <c r="CY322" s="1160"/>
      <c r="CZ322" s="1160"/>
      <c r="DA322" s="1170"/>
      <c r="DB322" s="1204" t="s">
        <v>1054</v>
      </c>
      <c r="DC322" s="1204" t="str">
        <f>IF(allocationMethod=1,$C$21,IF(allocationMethod=2,$C$22,IF(allocationMethod=3,$C$23,$C$24)))</f>
        <v>Hydrogen Content Basis</v>
      </c>
      <c r="DD322" s="1204">
        <f ca="1">IF(allocationMethod=1,DD314,IF(allocationMethod=2,DD320*DD314,IF(allocationMethod=3,DD321*DD314,DD318*DD314/100)))</f>
        <v>1.0217272293152955E-16</v>
      </c>
      <c r="DE322" s="1160"/>
      <c r="DF322" s="1160"/>
      <c r="DG322" s="1160"/>
      <c r="DH322" s="1160"/>
      <c r="DI322" s="1160"/>
      <c r="DJ322" s="1160"/>
      <c r="DN322" s="1160"/>
      <c r="DO322" s="1160"/>
      <c r="DP322" s="1160"/>
      <c r="DQ322" s="1160"/>
      <c r="DR322" s="1160"/>
      <c r="DS322" s="1160"/>
      <c r="DT322" s="1160"/>
      <c r="DU322" s="1160"/>
      <c r="DV322" s="1160"/>
      <c r="DW322" s="1160"/>
      <c r="DX322" s="1160"/>
      <c r="DY322" s="1160"/>
      <c r="DZ322" s="1160"/>
      <c r="EA322" s="1160"/>
      <c r="EB322" s="1160"/>
    </row>
  </sheetData>
  <mergeCells count="9">
    <mergeCell ref="D60:K61"/>
    <mergeCell ref="D62:K63"/>
    <mergeCell ref="G43:J45"/>
    <mergeCell ref="G47:J50"/>
    <mergeCell ref="C2:L3"/>
    <mergeCell ref="G8:J11"/>
    <mergeCell ref="G20:J23"/>
    <mergeCell ref="C29:D29"/>
    <mergeCell ref="G27:J30"/>
  </mergeCells>
  <phoneticPr fontId="24" type="noConversion"/>
  <conditionalFormatting sqref="E43:E51">
    <cfRule type="cellIs" dxfId="20" priority="9" operator="equal">
      <formula>TRUE</formula>
    </cfRule>
    <cfRule type="cellIs" dxfId="19" priority="10" operator="equal">
      <formula>FALSE</formula>
    </cfRule>
  </conditionalFormatting>
  <conditionalFormatting sqref="E52">
    <cfRule type="cellIs" dxfId="18" priority="7" operator="equal">
      <formula>TRUE</formula>
    </cfRule>
    <cfRule type="cellIs" dxfId="17" priority="8" operator="equal">
      <formula>FALSE</formula>
    </cfRule>
  </conditionalFormatting>
  <conditionalFormatting sqref="E53">
    <cfRule type="cellIs" dxfId="16" priority="5" operator="equal">
      <formula>TRUE</formula>
    </cfRule>
    <cfRule type="cellIs" dxfId="15" priority="6" operator="equal">
      <formula>FALSE</formula>
    </cfRule>
  </conditionalFormatting>
  <conditionalFormatting sqref="E54">
    <cfRule type="cellIs" dxfId="14" priority="3" operator="equal">
      <formula>TRUE</formula>
    </cfRule>
    <cfRule type="cellIs" dxfId="13" priority="4" operator="equal">
      <formula>FALSE</formula>
    </cfRule>
  </conditionalFormatting>
  <conditionalFormatting sqref="E55">
    <cfRule type="cellIs" dxfId="12" priority="1" operator="equal">
      <formula>TRUE</formula>
    </cfRule>
    <cfRule type="cellIs" dxfId="11" priority="2" operator="equal">
      <formula>FALSE</formula>
    </cfRule>
  </conditionalFormatting>
  <pageMargins left="0.75" right="0.75" top="1" bottom="1" header="0.5" footer="0.5"/>
  <pageSetup scale="10" orientation="portrait" r:id="rId1"/>
  <headerFooter alignWithMargins="0"/>
  <ignoredErrors>
    <ignoredError sqref="DD90 BO13:BP13 BP16 BX16 CE14:CG14 CJ149 BT231:BT232 CF216:CF218 CJ126 BD308 BY193:BY195 DN45 BL117:BL119 BT235:BT238 AA50:AA52 BT124 BT122 BD242 BT269 BN251 BN249 BT202 CC244:CC246 AA88:AA101 CE13 AA54:AA69 AA71:AA85 AA103:AA120 CC248 CG13" emptyCellReference="1"/>
    <ignoredError sqref="DD320:DD321" formula="1"/>
  </ignoredErrors>
  <drawing r:id="rId2"/>
  <legacyDrawing r:id="rId3"/>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rgb="FF0450FF"/>
  </sheetPr>
  <dimension ref="A1:AA1473"/>
  <sheetViews>
    <sheetView zoomScale="85" zoomScaleNormal="85" zoomScalePageLayoutView="70" workbookViewId="0">
      <selection activeCell="F4" sqref="F4"/>
    </sheetView>
  </sheetViews>
  <sheetFormatPr defaultColWidth="8.85546875" defaultRowHeight="12.75" customHeight="1" x14ac:dyDescent="0.2"/>
  <cols>
    <col min="1" max="1" width="4.42578125" customWidth="1"/>
    <col min="2" max="2" width="2.28515625" customWidth="1"/>
    <col min="3" max="3" width="52.7109375" customWidth="1"/>
    <col min="4" max="4" width="21.42578125" customWidth="1"/>
    <col min="5" max="5" width="20.7109375" customWidth="1"/>
    <col min="6" max="6" width="25.42578125" customWidth="1"/>
    <col min="7" max="7" width="20.28515625" customWidth="1"/>
    <col min="8" max="8" width="24.140625" customWidth="1"/>
    <col min="9" max="9" width="22.42578125" customWidth="1"/>
    <col min="10" max="10" width="34" bestFit="1" customWidth="1"/>
    <col min="11" max="12" width="20.7109375" customWidth="1"/>
    <col min="13" max="13" width="21" customWidth="1"/>
    <col min="14" max="17" width="20.7109375" customWidth="1"/>
    <col min="18" max="18" width="16.7109375" customWidth="1"/>
    <col min="19" max="19" width="32.28515625" customWidth="1"/>
    <col min="20" max="20" width="14.42578125" customWidth="1"/>
    <col min="21" max="22" width="18.42578125" customWidth="1"/>
    <col min="23" max="23" width="19.85546875" customWidth="1"/>
    <col min="24" max="24" width="11.7109375" customWidth="1"/>
    <col min="25" max="25" width="10.42578125" customWidth="1"/>
    <col min="26" max="26" width="14" customWidth="1"/>
    <col min="27" max="38" width="8.85546875" customWidth="1"/>
  </cols>
  <sheetData>
    <row r="1" spans="1:23" ht="17.100000000000001" customHeight="1" thickBot="1" x14ac:dyDescent="0.25">
      <c r="A1" s="436"/>
      <c r="B1" s="341"/>
      <c r="C1" s="436"/>
      <c r="D1" s="341"/>
      <c r="E1" s="341"/>
      <c r="F1" s="341"/>
      <c r="G1" s="341"/>
      <c r="H1" s="341"/>
      <c r="I1" s="341"/>
      <c r="J1" s="341"/>
      <c r="K1" s="341"/>
      <c r="L1" s="341"/>
      <c r="M1" s="341"/>
      <c r="N1" s="341"/>
      <c r="O1" s="341"/>
      <c r="P1" s="341"/>
      <c r="Q1" s="341"/>
      <c r="R1" s="341"/>
      <c r="S1" s="341"/>
      <c r="T1" s="341"/>
      <c r="U1" s="341"/>
      <c r="V1" s="341"/>
      <c r="W1" s="341"/>
    </row>
    <row r="2" spans="1:23" ht="17.100000000000001" customHeight="1" x14ac:dyDescent="0.2">
      <c r="A2" s="436"/>
      <c r="B2" s="343"/>
      <c r="C2" s="2432" t="s">
        <v>1301</v>
      </c>
      <c r="D2" s="2432"/>
      <c r="E2" s="2432"/>
      <c r="F2" s="2432"/>
      <c r="G2" s="344"/>
      <c r="H2" s="344"/>
      <c r="I2" s="344"/>
      <c r="J2" s="344"/>
      <c r="K2" s="344"/>
      <c r="L2" s="344"/>
      <c r="M2" s="344"/>
      <c r="N2" s="344"/>
      <c r="O2" s="344"/>
      <c r="P2" s="344"/>
      <c r="Q2" s="344"/>
      <c r="R2" s="344"/>
      <c r="S2" s="344"/>
      <c r="T2" s="344"/>
      <c r="U2" s="344"/>
      <c r="V2" s="344"/>
      <c r="W2" s="1920"/>
    </row>
    <row r="3" spans="1:23" ht="17.100000000000001" customHeight="1" x14ac:dyDescent="0.2">
      <c r="A3" s="436"/>
      <c r="B3" s="1087"/>
      <c r="C3" s="2433"/>
      <c r="D3" s="2433"/>
      <c r="E3" s="2433"/>
      <c r="F3" s="2433"/>
      <c r="G3" s="1088"/>
      <c r="H3" s="1088"/>
      <c r="I3" s="1088"/>
      <c r="J3" s="1088"/>
      <c r="K3" s="1088"/>
      <c r="L3" s="1088"/>
      <c r="M3" s="1088"/>
      <c r="N3" s="1088"/>
      <c r="O3" s="1088"/>
      <c r="P3" s="1088"/>
      <c r="Q3" s="1088"/>
      <c r="R3" s="1088"/>
      <c r="S3" s="1088"/>
      <c r="T3" s="1088"/>
      <c r="U3" s="1088"/>
      <c r="V3" s="1088"/>
      <c r="W3" s="1921"/>
    </row>
    <row r="4" spans="1:23" ht="17.100000000000001" customHeight="1" x14ac:dyDescent="0.2">
      <c r="A4" s="436"/>
      <c r="B4" s="345"/>
      <c r="C4" s="437"/>
      <c r="D4" s="1917"/>
      <c r="E4" s="1917"/>
      <c r="F4" s="1917"/>
      <c r="G4" s="1917"/>
      <c r="H4" s="1917"/>
      <c r="I4" s="1917"/>
      <c r="J4" s="1917"/>
      <c r="K4" s="1917"/>
      <c r="L4" s="1917"/>
      <c r="M4" s="1917"/>
      <c r="N4" s="1917"/>
      <c r="O4" s="1917"/>
      <c r="P4" s="1917"/>
      <c r="Q4" s="1969"/>
      <c r="R4" s="1917"/>
      <c r="S4" s="1917"/>
      <c r="T4" s="1917"/>
      <c r="U4" s="1917"/>
      <c r="V4" s="1917"/>
      <c r="W4" s="346"/>
    </row>
    <row r="5" spans="1:23" ht="26.25" x14ac:dyDescent="0.2">
      <c r="A5" s="436"/>
      <c r="B5" s="347"/>
      <c r="C5" s="438" t="s">
        <v>524</v>
      </c>
      <c r="D5" s="1917"/>
      <c r="E5" s="1917"/>
      <c r="F5" s="1917"/>
      <c r="G5" s="1917"/>
      <c r="H5" s="1917"/>
      <c r="I5" s="1917"/>
      <c r="J5" s="1917"/>
      <c r="K5" s="1917"/>
      <c r="L5" s="1917"/>
      <c r="M5" s="1917"/>
      <c r="N5" s="1917"/>
      <c r="O5" s="1917"/>
      <c r="P5" s="1917"/>
      <c r="Q5" s="1969"/>
      <c r="R5" s="1917"/>
      <c r="S5" s="1917"/>
      <c r="T5" s="1917"/>
      <c r="U5" s="1917"/>
      <c r="V5" s="1917"/>
      <c r="W5" s="346"/>
    </row>
    <row r="6" spans="1:23" ht="12.75" customHeight="1" x14ac:dyDescent="0.2">
      <c r="A6" s="436"/>
      <c r="B6" s="349"/>
      <c r="C6" s="439"/>
      <c r="D6" s="1917"/>
      <c r="E6" s="1917"/>
      <c r="F6" s="1917"/>
      <c r="G6" s="1917"/>
      <c r="H6" s="1917"/>
      <c r="I6" s="1917"/>
      <c r="J6" s="1917"/>
      <c r="K6" s="1917"/>
      <c r="L6" s="1917"/>
      <c r="M6" s="1917"/>
      <c r="N6" s="1917"/>
      <c r="O6" s="1917"/>
      <c r="P6" s="1917"/>
      <c r="Q6" s="1969"/>
      <c r="R6" s="1917"/>
      <c r="S6" s="1917"/>
      <c r="T6" s="1917"/>
      <c r="U6" s="1917"/>
      <c r="V6" s="1917"/>
      <c r="W6" s="346"/>
    </row>
    <row r="7" spans="1:23" x14ac:dyDescent="0.2">
      <c r="A7" s="436"/>
      <c r="B7" s="345"/>
      <c r="C7" s="440" t="s">
        <v>1295</v>
      </c>
      <c r="D7" s="1917"/>
      <c r="E7" s="2445"/>
      <c r="F7" s="2445"/>
      <c r="G7" s="1917"/>
      <c r="H7" s="440" t="s">
        <v>1303</v>
      </c>
      <c r="I7" s="1917"/>
      <c r="J7" s="1910"/>
      <c r="K7" s="1917"/>
      <c r="L7" s="1917"/>
      <c r="M7" s="1917"/>
      <c r="N7" s="1917"/>
      <c r="O7" s="1917"/>
      <c r="P7" s="1917"/>
      <c r="Q7" s="1969"/>
      <c r="R7" s="1917"/>
      <c r="S7" s="1917"/>
      <c r="T7" s="1917"/>
      <c r="U7" s="1917"/>
      <c r="V7" s="1917"/>
      <c r="W7" s="346"/>
    </row>
    <row r="8" spans="1:23" x14ac:dyDescent="0.2">
      <c r="A8" s="436"/>
      <c r="B8" s="345"/>
      <c r="C8" s="441" t="s">
        <v>568</v>
      </c>
      <c r="D8" s="1918" t="s">
        <v>623</v>
      </c>
      <c r="E8" s="1918" t="s">
        <v>1275</v>
      </c>
      <c r="F8" s="1919" t="s">
        <v>1276</v>
      </c>
      <c r="G8" s="1917"/>
      <c r="H8" s="476"/>
      <c r="I8" s="1918" t="s">
        <v>624</v>
      </c>
      <c r="J8" s="1919" t="s">
        <v>623</v>
      </c>
      <c r="K8" s="1917"/>
      <c r="L8" s="1917"/>
      <c r="M8" s="1917"/>
      <c r="N8" s="1917"/>
      <c r="O8" s="1917"/>
      <c r="P8" s="1917"/>
      <c r="Q8" s="1969"/>
      <c r="R8" s="1917"/>
      <c r="S8" s="1917"/>
      <c r="T8" s="1917"/>
      <c r="U8" s="1917"/>
      <c r="V8" s="1917"/>
      <c r="W8" s="346"/>
    </row>
    <row r="9" spans="1:23" x14ac:dyDescent="0.2">
      <c r="A9" s="436"/>
      <c r="B9" s="345"/>
      <c r="C9" s="442" t="str">
        <f>'Assay Inventory'!C12</f>
        <v>Vol Flow</v>
      </c>
      <c r="D9" s="1917" t="str">
        <f ca="1">'Assay Inventory'!D12</f>
        <v>bpd</v>
      </c>
      <c r="E9" s="1917">
        <f ca="1">'Assay Inventory'!E12</f>
        <v>99177.64135868111</v>
      </c>
      <c r="F9" s="337">
        <f t="shared" ref="F9:F19" ca="1" si="0">E9</f>
        <v>99177.64135868111</v>
      </c>
      <c r="G9" s="1917"/>
      <c r="H9" s="442" t="s">
        <v>625</v>
      </c>
      <c r="I9" s="913">
        <f>Constants!H12</f>
        <v>9.434715854662605E-2</v>
      </c>
      <c r="J9" s="337" t="s">
        <v>629</v>
      </c>
      <c r="K9" s="1917"/>
      <c r="L9" s="1917"/>
      <c r="M9" s="1917"/>
      <c r="N9" s="1917"/>
      <c r="O9" s="1917"/>
      <c r="P9" s="1917"/>
      <c r="Q9" s="1969"/>
      <c r="R9" s="1917"/>
      <c r="S9" s="1917"/>
      <c r="T9" s="1917"/>
      <c r="U9" s="1917"/>
      <c r="V9" s="1917"/>
      <c r="W9" s="346"/>
    </row>
    <row r="10" spans="1:23" x14ac:dyDescent="0.2">
      <c r="A10" s="436"/>
      <c r="B10" s="345"/>
      <c r="C10" s="442" t="str">
        <f>'Assay Inventory'!C13</f>
        <v>Vol Flow</v>
      </c>
      <c r="D10" s="1917" t="str">
        <f ca="1">'Assay Inventory'!D13</f>
        <v>m^3/d</v>
      </c>
      <c r="E10" s="1917">
        <f ca="1">'Assay Inventory'!E13</f>
        <v>15769.244976030297</v>
      </c>
      <c r="F10" s="337">
        <f t="shared" ca="1" si="0"/>
        <v>15769.244976030297</v>
      </c>
      <c r="G10" s="1917"/>
      <c r="H10" s="443" t="s">
        <v>626</v>
      </c>
      <c r="I10" s="334">
        <f ca="1">I9*E10</f>
        <v>1487.7834559141168</v>
      </c>
      <c r="J10" s="338" t="s">
        <v>627</v>
      </c>
      <c r="K10" s="1917"/>
      <c r="L10" s="1917"/>
      <c r="M10" s="1917"/>
      <c r="N10" s="1917"/>
      <c r="O10" s="1917"/>
      <c r="P10" s="1917"/>
      <c r="Q10" s="1969"/>
      <c r="R10" s="1917"/>
      <c r="S10" s="1917"/>
      <c r="T10" s="1917"/>
      <c r="U10" s="1917"/>
      <c r="V10" s="1917"/>
      <c r="W10" s="346"/>
    </row>
    <row r="11" spans="1:23" x14ac:dyDescent="0.2">
      <c r="A11" s="436"/>
      <c r="B11" s="345"/>
      <c r="C11" s="442" t="str">
        <f>'Assay Inventory'!C14</f>
        <v>Mass Flow</v>
      </c>
      <c r="D11" s="1917" t="str">
        <f>'Assay Inventory'!D14</f>
        <v>kg/d</v>
      </c>
      <c r="E11" s="1917">
        <f ca="1">'Assay Inventory'!E14</f>
        <v>13687328.970000003</v>
      </c>
      <c r="F11" s="337">
        <f t="shared" ca="1" si="0"/>
        <v>13687328.970000003</v>
      </c>
      <c r="G11" s="1917"/>
      <c r="H11" s="437"/>
      <c r="I11" s="1917"/>
      <c r="J11" s="1917"/>
      <c r="K11" s="1917"/>
      <c r="L11" s="1917"/>
      <c r="M11" s="1917"/>
      <c r="N11" s="1917"/>
      <c r="O11" s="1917"/>
      <c r="P11" s="1917"/>
      <c r="Q11" s="1969"/>
      <c r="R11" s="1917"/>
      <c r="S11" s="1917"/>
      <c r="T11" s="1917"/>
      <c r="U11" s="1917"/>
      <c r="V11" s="1917"/>
      <c r="W11" s="346"/>
    </row>
    <row r="12" spans="1:23" x14ac:dyDescent="0.2">
      <c r="A12" s="436"/>
      <c r="B12" s="345"/>
      <c r="C12" s="442" t="str">
        <f>'Assay Inventory'!C15</f>
        <v xml:space="preserve">Sulphur </v>
      </c>
      <c r="D12" s="1917" t="str">
        <f ca="1">'Assay Inventory'!D15</f>
        <v>wt%</v>
      </c>
      <c r="E12" s="1917">
        <f ca="1">'Assay Inventory'!E15</f>
        <v>0.16980000000000001</v>
      </c>
      <c r="F12" s="337">
        <f t="shared" ca="1" si="0"/>
        <v>0.16980000000000001</v>
      </c>
      <c r="G12" s="1917"/>
      <c r="H12" s="437"/>
      <c r="I12" s="1917"/>
      <c r="J12" s="1917"/>
      <c r="K12" s="1917"/>
      <c r="L12" s="1917"/>
      <c r="M12" s="1917"/>
      <c r="N12" s="1917"/>
      <c r="O12" s="1917"/>
      <c r="P12" s="1917"/>
      <c r="Q12" s="1969"/>
      <c r="R12" s="1917"/>
      <c r="S12" s="1917"/>
      <c r="T12" s="1917"/>
      <c r="U12" s="1917"/>
      <c r="V12" s="1917"/>
      <c r="W12" s="346"/>
    </row>
    <row r="13" spans="1:23" x14ac:dyDescent="0.2">
      <c r="A13" s="436"/>
      <c r="B13" s="345"/>
      <c r="C13" s="442" t="str">
        <f>'Assay Inventory'!C16</f>
        <v xml:space="preserve">Nitrogen </v>
      </c>
      <c r="D13" s="1917" t="str">
        <f ca="1">'Assay Inventory'!D16</f>
        <v>mass ppm</v>
      </c>
      <c r="E13" s="1917">
        <f ca="1">'Assay Inventory'!E16</f>
        <v>1040</v>
      </c>
      <c r="F13" s="337">
        <f t="shared" ca="1" si="0"/>
        <v>1040</v>
      </c>
      <c r="G13" s="1917"/>
      <c r="H13" s="437"/>
      <c r="I13" s="1917"/>
      <c r="J13" s="1917"/>
      <c r="K13" s="1917"/>
      <c r="L13" s="1917"/>
      <c r="M13" s="1917"/>
      <c r="N13" s="1917"/>
      <c r="O13" s="1917"/>
      <c r="P13" s="1917"/>
      <c r="Q13" s="1969"/>
      <c r="R13" s="1917"/>
      <c r="S13" s="1917"/>
      <c r="T13" s="1917"/>
      <c r="U13" s="1917"/>
      <c r="V13" s="1917"/>
      <c r="W13" s="346"/>
    </row>
    <row r="14" spans="1:23" x14ac:dyDescent="0.2">
      <c r="A14" s="436"/>
      <c r="B14" s="345"/>
      <c r="C14" s="442" t="str">
        <f>'Assay Inventory'!C17</f>
        <v xml:space="preserve">API gravity </v>
      </c>
      <c r="D14" s="1917" t="str">
        <f ca="1">'Assay Inventory'!D17</f>
        <v>oAPI</v>
      </c>
      <c r="E14" s="1917">
        <f ca="1">'Assay Inventory'!E17</f>
        <v>32.710282000696282</v>
      </c>
      <c r="F14" s="337">
        <f t="shared" ca="1" si="0"/>
        <v>32.710282000696282</v>
      </c>
      <c r="G14" s="1917"/>
      <c r="H14" s="437"/>
      <c r="I14" s="1917"/>
      <c r="J14" s="1917"/>
      <c r="K14" s="1917"/>
      <c r="L14" s="1917"/>
      <c r="M14" s="1917"/>
      <c r="N14" s="1917"/>
      <c r="O14" s="1917"/>
      <c r="P14" s="1917"/>
      <c r="Q14" s="1969"/>
      <c r="R14" s="1917"/>
      <c r="S14" s="1917"/>
      <c r="T14" s="1917"/>
      <c r="U14" s="1917"/>
      <c r="V14" s="1917"/>
      <c r="W14" s="346"/>
    </row>
    <row r="15" spans="1:23" x14ac:dyDescent="0.2">
      <c r="A15" s="436"/>
      <c r="B15" s="345"/>
      <c r="C15" s="442" t="str">
        <f>'Assay Inventory'!C18</f>
        <v>Density</v>
      </c>
      <c r="D15" s="1917" t="str">
        <f ca="1">'Assay Inventory'!D18</f>
        <v>kg/m^3</v>
      </c>
      <c r="E15" s="1917">
        <f ca="1">'Assay Inventory'!E18</f>
        <v>860.83830000000012</v>
      </c>
      <c r="F15" s="337">
        <f t="shared" ca="1" si="0"/>
        <v>860.83830000000012</v>
      </c>
      <c r="G15" s="1917"/>
      <c r="H15" s="437"/>
      <c r="I15" s="1917"/>
      <c r="J15" s="1917"/>
      <c r="K15" s="1917"/>
      <c r="L15" s="1917"/>
      <c r="M15" s="1917"/>
      <c r="N15" s="1917"/>
      <c r="O15" s="1917"/>
      <c r="P15" s="1917"/>
      <c r="Q15" s="1969"/>
      <c r="R15" s="1917"/>
      <c r="S15" s="1917"/>
      <c r="T15" s="1917"/>
      <c r="U15" s="1917"/>
      <c r="V15" s="1917"/>
      <c r="W15" s="346"/>
    </row>
    <row r="16" spans="1:23" x14ac:dyDescent="0.2">
      <c r="A16" s="436"/>
      <c r="B16" s="345"/>
      <c r="C16" s="442" t="str">
        <f>'Assay Inventory'!C19</f>
        <v>Hydrogen</v>
      </c>
      <c r="D16" s="1917" t="str">
        <f ca="1">'Assay Inventory'!D19</f>
        <v>wt%</v>
      </c>
      <c r="E16" s="1917">
        <f ca="1">'Assay Inventory'!E19</f>
        <v>12.931648905131908</v>
      </c>
      <c r="F16" s="337">
        <f t="shared" ca="1" si="0"/>
        <v>12.931648905131908</v>
      </c>
      <c r="G16" s="1917"/>
      <c r="H16" s="437"/>
      <c r="I16" s="1917"/>
      <c r="J16" s="1917"/>
      <c r="K16" s="1917"/>
      <c r="L16" s="1917"/>
      <c r="M16" s="1917"/>
      <c r="N16" s="1917"/>
      <c r="O16" s="1917"/>
      <c r="P16" s="1917"/>
      <c r="Q16" s="1969"/>
      <c r="R16" s="1917"/>
      <c r="S16" s="1917"/>
      <c r="T16" s="1917"/>
      <c r="U16" s="1917"/>
      <c r="V16" s="1917"/>
      <c r="W16" s="346"/>
    </row>
    <row r="17" spans="1:23" x14ac:dyDescent="0.2">
      <c r="A17" s="436"/>
      <c r="B17" s="345"/>
      <c r="C17" s="442" t="str">
        <f>'Assay Inventory'!C20</f>
        <v>MCR</v>
      </c>
      <c r="D17" s="1917" t="str">
        <f ca="1">'Assay Inventory'!D20</f>
        <v>wt%</v>
      </c>
      <c r="E17" s="1917">
        <f ca="1">'Assay Inventory'!E20</f>
        <v>1.2</v>
      </c>
      <c r="F17" s="337">
        <f t="shared" ca="1" si="0"/>
        <v>1.2</v>
      </c>
      <c r="G17" s="1917"/>
      <c r="H17" s="437"/>
      <c r="I17" s="1917"/>
      <c r="J17" s="1917"/>
      <c r="K17" s="1917"/>
      <c r="L17" s="1917"/>
      <c r="M17" s="1917"/>
      <c r="N17" s="1917"/>
      <c r="O17" s="1917"/>
      <c r="P17" s="1917"/>
      <c r="Q17" s="1969"/>
      <c r="R17" s="1917"/>
      <c r="S17" s="1917"/>
      <c r="T17" s="1917"/>
      <c r="U17" s="1917"/>
      <c r="V17" s="1917"/>
      <c r="W17" s="346"/>
    </row>
    <row r="18" spans="1:23" x14ac:dyDescent="0.2">
      <c r="A18" s="436"/>
      <c r="B18" s="345"/>
      <c r="C18" s="442" t="str">
        <f>'Assay Inventory'!C21</f>
        <v>Characterization Factor</v>
      </c>
      <c r="D18" s="1917" t="str">
        <f ca="1">'Assay Inventory'!D21</f>
        <v xml:space="preserve">Kw (Approximate) </v>
      </c>
      <c r="E18" s="1917">
        <f ca="1">'Assay Inventory'!E21</f>
        <v>11.700153491056373</v>
      </c>
      <c r="F18" s="337">
        <f t="shared" ca="1" si="0"/>
        <v>11.700153491056373</v>
      </c>
      <c r="G18" s="1917"/>
      <c r="H18" s="437"/>
      <c r="I18" s="1917"/>
      <c r="J18" s="1917"/>
      <c r="K18" s="1917"/>
      <c r="L18" s="1917"/>
      <c r="M18" s="1917"/>
      <c r="N18" s="1917"/>
      <c r="O18" s="1917"/>
      <c r="P18" s="1917"/>
      <c r="Q18" s="1969"/>
      <c r="R18" s="1917"/>
      <c r="S18" s="1917"/>
      <c r="T18" s="1917"/>
      <c r="U18" s="1917"/>
      <c r="V18" s="1917"/>
      <c r="W18" s="346"/>
    </row>
    <row r="19" spans="1:23" x14ac:dyDescent="0.2">
      <c r="A19" s="436"/>
      <c r="B19" s="345"/>
      <c r="C19" s="443" t="str">
        <f>'Assay Inventory'!C22</f>
        <v xml:space="preserve">Tb(50%) weight basis </v>
      </c>
      <c r="D19" s="334" t="str">
        <f ca="1">'Assay Inventory'!D22</f>
        <v xml:space="preserve"> [°C]</v>
      </c>
      <c r="E19" s="334">
        <f ca="1">'Assay Inventory'!E22</f>
        <v>296.18836685568135</v>
      </c>
      <c r="F19" s="338">
        <f t="shared" ca="1" si="0"/>
        <v>296.18836685568135</v>
      </c>
      <c r="G19" s="1917"/>
      <c r="H19" s="437"/>
      <c r="I19" s="1917"/>
      <c r="J19" s="1917"/>
      <c r="K19" s="1917"/>
      <c r="L19" s="1917"/>
      <c r="M19" s="1917"/>
      <c r="N19" s="1917"/>
      <c r="O19" s="1917"/>
      <c r="P19" s="1917"/>
      <c r="Q19" s="1969"/>
      <c r="R19" s="1917"/>
      <c r="S19" s="1917"/>
      <c r="T19" s="1917"/>
      <c r="U19" s="1917"/>
      <c r="V19" s="1917"/>
      <c r="W19" s="346"/>
    </row>
    <row r="20" spans="1:23" x14ac:dyDescent="0.2">
      <c r="A20" s="436"/>
      <c r="B20" s="345"/>
      <c r="C20" s="437"/>
      <c r="D20" s="1917"/>
      <c r="E20" s="1917"/>
      <c r="F20" s="1917"/>
      <c r="G20" s="1917"/>
      <c r="H20" s="437"/>
      <c r="I20" s="1917"/>
      <c r="J20" s="1917"/>
      <c r="K20" s="1917"/>
      <c r="L20" s="1917"/>
      <c r="M20" s="1917"/>
      <c r="N20" s="1917"/>
      <c r="O20" s="1917"/>
      <c r="P20" s="1917"/>
      <c r="Q20" s="1969"/>
      <c r="R20" s="1917"/>
      <c r="S20" s="1917"/>
      <c r="T20" s="1917"/>
      <c r="U20" s="1917"/>
      <c r="V20" s="1917"/>
      <c r="W20" s="346"/>
    </row>
    <row r="21" spans="1:23" ht="26.25" x14ac:dyDescent="0.2">
      <c r="A21" s="436"/>
      <c r="B21" s="347"/>
      <c r="C21" s="438" t="s">
        <v>1299</v>
      </c>
      <c r="D21" s="348"/>
      <c r="E21" s="348"/>
      <c r="F21" s="1917"/>
      <c r="G21" s="1917"/>
      <c r="H21" s="437"/>
      <c r="I21" s="1917"/>
      <c r="J21" s="1917"/>
      <c r="K21" s="1917"/>
      <c r="L21" s="1917"/>
      <c r="M21" s="1917"/>
      <c r="N21" s="1917"/>
      <c r="O21" s="1917"/>
      <c r="P21" s="1917"/>
      <c r="Q21" s="1969"/>
      <c r="R21" s="1917"/>
      <c r="S21" s="1917"/>
      <c r="T21" s="1917"/>
      <c r="U21" s="1917"/>
      <c r="V21" s="1917"/>
      <c r="W21" s="346"/>
    </row>
    <row r="22" spans="1:23" x14ac:dyDescent="0.2">
      <c r="A22" s="436"/>
      <c r="B22" s="345"/>
      <c r="C22" s="437"/>
      <c r="D22" s="1917"/>
      <c r="E22" s="1910"/>
      <c r="F22" s="1917"/>
      <c r="G22" s="1917"/>
      <c r="H22" s="437"/>
      <c r="I22" s="1917"/>
      <c r="J22" s="1917"/>
      <c r="K22" s="1917"/>
      <c r="L22" s="1917"/>
      <c r="M22" s="1917"/>
      <c r="N22" s="1917"/>
      <c r="O22" s="1917"/>
      <c r="P22" s="1917"/>
      <c r="Q22" s="1969"/>
      <c r="R22" s="1917"/>
      <c r="S22" s="1917"/>
      <c r="T22" s="1917"/>
      <c r="U22" s="1917"/>
      <c r="V22" s="1917"/>
      <c r="W22" s="346"/>
    </row>
    <row r="23" spans="1:23" x14ac:dyDescent="0.2">
      <c r="A23" s="436"/>
      <c r="B23" s="345"/>
      <c r="C23" s="440" t="s">
        <v>1295</v>
      </c>
      <c r="D23" s="1917"/>
      <c r="E23" s="1910"/>
      <c r="F23" s="1917"/>
      <c r="G23" s="1917"/>
      <c r="H23" s="440" t="s">
        <v>1303</v>
      </c>
      <c r="I23" s="1917"/>
      <c r="J23" s="1910"/>
      <c r="K23" s="1917"/>
      <c r="L23" s="1917"/>
      <c r="M23" s="1917"/>
      <c r="N23" s="1917"/>
      <c r="O23" s="1917"/>
      <c r="P23" s="1917"/>
      <c r="Q23" s="1969"/>
      <c r="R23" s="1917"/>
      <c r="S23" s="1917"/>
      <c r="T23" s="1917"/>
      <c r="U23" s="1917"/>
      <c r="V23" s="1917"/>
      <c r="W23" s="346"/>
    </row>
    <row r="24" spans="1:23" x14ac:dyDescent="0.2">
      <c r="A24" s="436"/>
      <c r="B24" s="345"/>
      <c r="C24" s="441" t="str">
        <f t="shared" ref="C24:C35" si="1">C8</f>
        <v>Property</v>
      </c>
      <c r="D24" s="1918" t="s">
        <v>623</v>
      </c>
      <c r="E24" s="1918" t="s">
        <v>1275</v>
      </c>
      <c r="F24" s="1919" t="s">
        <v>1276</v>
      </c>
      <c r="G24" s="1917"/>
      <c r="H24" s="441"/>
      <c r="I24" s="1918" t="s">
        <v>624</v>
      </c>
      <c r="J24" s="1919" t="s">
        <v>623</v>
      </c>
      <c r="K24" s="1917"/>
      <c r="L24" s="1917"/>
      <c r="M24" s="1917"/>
      <c r="N24" s="1917"/>
      <c r="O24" s="1917"/>
      <c r="P24" s="1917"/>
      <c r="Q24" s="1969"/>
      <c r="R24" s="1917"/>
      <c r="S24" s="1917"/>
      <c r="T24" s="1917"/>
      <c r="U24" s="1917"/>
      <c r="V24" s="1917"/>
      <c r="W24" s="346"/>
    </row>
    <row r="25" spans="1:23" x14ac:dyDescent="0.2">
      <c r="A25" s="436"/>
      <c r="B25" s="345"/>
      <c r="C25" s="442" t="str">
        <f t="shared" si="1"/>
        <v>Vol Flow</v>
      </c>
      <c r="D25" s="1917" t="str">
        <f ca="1">D9</f>
        <v>bpd</v>
      </c>
      <c r="E25" s="1917">
        <f ca="1">CokingRefineryCalcs!F9</f>
        <v>99177.64135868111</v>
      </c>
      <c r="F25" s="337">
        <f t="shared" ref="F25:F35" ca="1" si="2">E25</f>
        <v>99177.64135868111</v>
      </c>
      <c r="G25" s="1917"/>
      <c r="H25" s="442" t="s">
        <v>635</v>
      </c>
      <c r="I25" s="1917">
        <f ca="1">I26/('Energy &amp; Unit Conversions'!$G$82/'Energy &amp; Unit Conversions'!$G$80)</f>
        <v>43.287186724766926</v>
      </c>
      <c r="J25" s="337" t="s">
        <v>637</v>
      </c>
      <c r="K25" s="1917"/>
      <c r="L25" s="1917"/>
      <c r="M25" s="1917"/>
      <c r="N25" s="1917"/>
      <c r="O25" s="1917"/>
      <c r="P25" s="1917"/>
      <c r="Q25" s="1969"/>
      <c r="R25" s="1917"/>
      <c r="S25" s="1917"/>
      <c r="T25" s="1917"/>
      <c r="U25" s="1917"/>
      <c r="V25" s="1917"/>
      <c r="W25" s="346"/>
    </row>
    <row r="26" spans="1:23" x14ac:dyDescent="0.2">
      <c r="A26" s="436"/>
      <c r="B26" s="345"/>
      <c r="C26" s="442" t="str">
        <f t="shared" si="1"/>
        <v>Vol Flow</v>
      </c>
      <c r="D26" s="1917" t="str">
        <f ca="1">D10</f>
        <v>m^3/d</v>
      </c>
      <c r="E26" s="1917">
        <f ca="1">CokingRefineryCalcs!F10</f>
        <v>15769.244976030297</v>
      </c>
      <c r="F26" s="337">
        <f t="shared" ca="1" si="2"/>
        <v>15769.244976030297</v>
      </c>
      <c r="G26" s="1917"/>
      <c r="H26" s="442" t="s">
        <v>634</v>
      </c>
      <c r="I26" s="1917">
        <f ca="1">I28/E26</f>
        <v>7.2941166597935982</v>
      </c>
      <c r="J26" s="337" t="s">
        <v>636</v>
      </c>
      <c r="K26" s="1917"/>
      <c r="L26" s="1917"/>
      <c r="M26" s="1917"/>
      <c r="N26" s="1917"/>
      <c r="O26" s="1917"/>
      <c r="P26" s="1917"/>
      <c r="Q26" s="1969"/>
      <c r="R26" s="1917"/>
      <c r="S26" s="1917"/>
      <c r="T26" s="1917"/>
      <c r="U26" s="1917"/>
      <c r="V26" s="1917"/>
      <c r="W26" s="346"/>
    </row>
    <row r="27" spans="1:23" x14ac:dyDescent="0.2">
      <c r="A27" s="436"/>
      <c r="B27" s="345"/>
      <c r="C27" s="442" t="str">
        <f t="shared" si="1"/>
        <v>Mass Flow</v>
      </c>
      <c r="D27" s="1917" t="str">
        <f t="shared" ref="D27" si="3">D11</f>
        <v>kg/d</v>
      </c>
      <c r="E27" s="1917">
        <f ca="1">CokingRefineryCalcs!F11</f>
        <v>13687328.970000003</v>
      </c>
      <c r="F27" s="337">
        <f t="shared" ca="1" si="2"/>
        <v>13687328.970000003</v>
      </c>
      <c r="G27" s="1917"/>
      <c r="H27" s="442" t="s">
        <v>542</v>
      </c>
      <c r="I27" s="1917">
        <f ca="1">I25*E25/1000</f>
        <v>4293.121080415196</v>
      </c>
      <c r="J27" s="337" t="s">
        <v>472</v>
      </c>
      <c r="K27" s="1917"/>
      <c r="L27" s="1917"/>
      <c r="M27" s="1917"/>
      <c r="N27" s="1917"/>
      <c r="O27" s="1917"/>
      <c r="P27" s="1917"/>
      <c r="Q27" s="1969"/>
      <c r="R27" s="1917"/>
      <c r="S27" s="1917"/>
      <c r="T27" s="1917"/>
      <c r="U27" s="1917"/>
      <c r="V27" s="1917"/>
      <c r="W27" s="346"/>
    </row>
    <row r="28" spans="1:23" x14ac:dyDescent="0.2">
      <c r="A28" s="436"/>
      <c r="B28" s="345"/>
      <c r="C28" s="442" t="str">
        <f t="shared" si="1"/>
        <v xml:space="preserve">Sulphur </v>
      </c>
      <c r="D28" s="1917" t="str">
        <f t="shared" ref="D28:D35" ca="1" si="4">D12</f>
        <v>wt%</v>
      </c>
      <c r="E28" s="1917">
        <f ca="1">CokingRefineryCalcs!F12</f>
        <v>0.16980000000000001</v>
      </c>
      <c r="F28" s="337">
        <f t="shared" ca="1" si="2"/>
        <v>0.16980000000000001</v>
      </c>
      <c r="G28" s="1917"/>
      <c r="H28" s="442" t="s">
        <v>542</v>
      </c>
      <c r="I28" s="1917">
        <f ca="1">I29/('Energy &amp; Unit Conversions'!$P$25*'Energy &amp; Unit Conversions'!$G$87)</f>
        <v>115022.7124920291</v>
      </c>
      <c r="J28" s="337" t="s">
        <v>628</v>
      </c>
      <c r="K28" s="1917"/>
      <c r="L28" s="1917"/>
      <c r="M28" s="1917"/>
      <c r="N28" s="1917"/>
      <c r="O28" s="1917"/>
      <c r="P28" s="1917"/>
      <c r="Q28" s="1969"/>
      <c r="R28" s="1917"/>
      <c r="S28" s="1917"/>
      <c r="T28" s="1917"/>
      <c r="U28" s="1917"/>
      <c r="V28" s="1917"/>
      <c r="W28" s="346"/>
    </row>
    <row r="29" spans="1:23" x14ac:dyDescent="0.2">
      <c r="A29" s="436"/>
      <c r="B29" s="345"/>
      <c r="C29" s="442" t="str">
        <f t="shared" si="1"/>
        <v xml:space="preserve">Nitrogen </v>
      </c>
      <c r="D29" s="1917" t="str">
        <f t="shared" ca="1" si="4"/>
        <v>mass ppm</v>
      </c>
      <c r="E29" s="1917">
        <f ca="1">CokingRefineryCalcs!F13</f>
        <v>1040</v>
      </c>
      <c r="F29" s="337">
        <f t="shared" ca="1" si="2"/>
        <v>1040</v>
      </c>
      <c r="G29" s="1917"/>
      <c r="H29" s="443" t="s">
        <v>631</v>
      </c>
      <c r="I29" s="334">
        <f ca="1">SUM(F41:M41)*'Energy &amp; Unit Conversions'!$G$87</f>
        <v>48.758899064809235</v>
      </c>
      <c r="J29" s="338" t="s">
        <v>632</v>
      </c>
      <c r="K29" s="1917"/>
      <c r="L29" s="1917"/>
      <c r="M29" s="1917"/>
      <c r="N29" s="1917"/>
      <c r="O29" s="1917"/>
      <c r="P29" s="1917"/>
      <c r="Q29" s="1969"/>
      <c r="R29" s="1917"/>
      <c r="S29" s="1917"/>
      <c r="T29" s="1917"/>
      <c r="U29" s="1917"/>
      <c r="V29" s="1917"/>
      <c r="W29" s="346"/>
    </row>
    <row r="30" spans="1:23" x14ac:dyDescent="0.2">
      <c r="A30" s="436"/>
      <c r="B30" s="345"/>
      <c r="C30" s="442" t="str">
        <f t="shared" si="1"/>
        <v xml:space="preserve">API gravity </v>
      </c>
      <c r="D30" s="1917" t="str">
        <f t="shared" ca="1" si="4"/>
        <v>oAPI</v>
      </c>
      <c r="E30" s="1917">
        <f ca="1">CokingRefineryCalcs!F14</f>
        <v>32.710282000696282</v>
      </c>
      <c r="F30" s="337">
        <f t="shared" ca="1" si="2"/>
        <v>32.710282000696282</v>
      </c>
      <c r="G30" s="1917"/>
      <c r="H30" s="437"/>
      <c r="I30" s="1917"/>
      <c r="J30" s="1917"/>
      <c r="K30" s="1917"/>
      <c r="L30" s="1917"/>
      <c r="M30" s="1917"/>
      <c r="N30" s="1917"/>
      <c r="O30" s="1917"/>
      <c r="P30" s="1917"/>
      <c r="Q30" s="1969"/>
      <c r="R30" s="1917"/>
      <c r="S30" s="1917"/>
      <c r="T30" s="1917"/>
      <c r="U30" s="1917"/>
      <c r="V30" s="1917"/>
      <c r="W30" s="346"/>
    </row>
    <row r="31" spans="1:23" x14ac:dyDescent="0.2">
      <c r="A31" s="436"/>
      <c r="B31" s="345"/>
      <c r="C31" s="442" t="str">
        <f t="shared" si="1"/>
        <v>Density</v>
      </c>
      <c r="D31" s="1917" t="str">
        <f t="shared" ca="1" si="4"/>
        <v>kg/m^3</v>
      </c>
      <c r="E31" s="1917">
        <f ca="1">CokingRefineryCalcs!F15</f>
        <v>860.83830000000012</v>
      </c>
      <c r="F31" s="337">
        <f t="shared" ca="1" si="2"/>
        <v>860.83830000000012</v>
      </c>
      <c r="G31" s="1917"/>
      <c r="H31" s="437"/>
      <c r="I31" s="1917"/>
      <c r="J31" s="1917"/>
      <c r="K31" s="1917"/>
      <c r="L31" s="1917"/>
      <c r="M31" s="1917"/>
      <c r="N31" s="1917"/>
      <c r="O31" s="1917"/>
      <c r="P31" s="1917"/>
      <c r="Q31" s="1969"/>
      <c r="R31" s="1917"/>
      <c r="S31" s="1917"/>
      <c r="T31" s="1917"/>
      <c r="U31" s="1917"/>
      <c r="V31" s="1917"/>
      <c r="W31" s="346"/>
    </row>
    <row r="32" spans="1:23" x14ac:dyDescent="0.2">
      <c r="A32" s="436"/>
      <c r="B32" s="345"/>
      <c r="C32" s="442" t="str">
        <f t="shared" si="1"/>
        <v>Hydrogen</v>
      </c>
      <c r="D32" s="1917" t="str">
        <f t="shared" ca="1" si="4"/>
        <v>wt%</v>
      </c>
      <c r="E32" s="1917">
        <f ca="1">CokingRefineryCalcs!F16</f>
        <v>12.931648905131908</v>
      </c>
      <c r="F32" s="337">
        <f t="shared" ca="1" si="2"/>
        <v>12.931648905131908</v>
      </c>
      <c r="G32" s="1917"/>
      <c r="H32" s="437"/>
      <c r="I32" s="1917"/>
      <c r="J32" s="1917"/>
      <c r="K32" s="1917"/>
      <c r="L32" s="1917"/>
      <c r="M32" s="1917"/>
      <c r="N32" s="1917"/>
      <c r="O32" s="1917"/>
      <c r="P32" s="1917"/>
      <c r="Q32" s="1969"/>
      <c r="R32" s="1917"/>
      <c r="S32" s="1917"/>
      <c r="T32" s="1917"/>
      <c r="U32" s="1917"/>
      <c r="V32" s="1917"/>
      <c r="W32" s="346"/>
    </row>
    <row r="33" spans="1:23" x14ac:dyDescent="0.2">
      <c r="A33" s="436"/>
      <c r="B33" s="345"/>
      <c r="C33" s="442" t="str">
        <f t="shared" si="1"/>
        <v>MCR</v>
      </c>
      <c r="D33" s="1917" t="str">
        <f t="shared" ca="1" si="4"/>
        <v>wt%</v>
      </c>
      <c r="E33" s="1917">
        <f ca="1">CokingRefineryCalcs!F17</f>
        <v>1.2</v>
      </c>
      <c r="F33" s="337">
        <f t="shared" ca="1" si="2"/>
        <v>1.2</v>
      </c>
      <c r="G33" s="1917"/>
      <c r="H33" s="437"/>
      <c r="I33" s="1917"/>
      <c r="J33" s="1917"/>
      <c r="K33" s="1917"/>
      <c r="L33" s="1917"/>
      <c r="M33" s="1917"/>
      <c r="N33" s="1917"/>
      <c r="O33" s="1917"/>
      <c r="P33" s="1917"/>
      <c r="Q33" s="1969"/>
      <c r="R33" s="1917"/>
      <c r="S33" s="1917"/>
      <c r="T33" s="1917"/>
      <c r="U33" s="1917"/>
      <c r="V33" s="1917"/>
      <c r="W33" s="346"/>
    </row>
    <row r="34" spans="1:23" x14ac:dyDescent="0.2">
      <c r="A34" s="436"/>
      <c r="B34" s="345"/>
      <c r="C34" s="442" t="str">
        <f t="shared" si="1"/>
        <v>Characterization Factor</v>
      </c>
      <c r="D34" s="1917" t="str">
        <f t="shared" ca="1" si="4"/>
        <v xml:space="preserve">Kw (Approximate) </v>
      </c>
      <c r="E34" s="1917">
        <f ca="1">CokingRefineryCalcs!F18</f>
        <v>11.700153491056373</v>
      </c>
      <c r="F34" s="337">
        <f t="shared" ca="1" si="2"/>
        <v>11.700153491056373</v>
      </c>
      <c r="G34" s="1917"/>
      <c r="H34" s="1917"/>
      <c r="I34" s="1917"/>
      <c r="J34" s="1917"/>
      <c r="K34" s="1917"/>
      <c r="L34" s="1917"/>
      <c r="M34" s="1917"/>
      <c r="N34" s="1917"/>
      <c r="O34" s="1917"/>
      <c r="P34" s="1917"/>
      <c r="Q34" s="1969"/>
      <c r="R34" s="1917"/>
      <c r="S34" s="1917"/>
      <c r="T34" s="1917"/>
      <c r="U34" s="1917"/>
      <c r="V34" s="1917"/>
      <c r="W34" s="346"/>
    </row>
    <row r="35" spans="1:23" x14ac:dyDescent="0.2">
      <c r="A35" s="436"/>
      <c r="B35" s="345"/>
      <c r="C35" s="443" t="str">
        <f t="shared" si="1"/>
        <v xml:space="preserve">Tb(50%) weight basis </v>
      </c>
      <c r="D35" s="334" t="str">
        <f t="shared" ca="1" si="4"/>
        <v xml:space="preserve"> [°C]</v>
      </c>
      <c r="E35" s="334">
        <f ca="1">CokingRefineryCalcs!F19</f>
        <v>296.18836685568135</v>
      </c>
      <c r="F35" s="338">
        <f t="shared" ca="1" si="2"/>
        <v>296.18836685568135</v>
      </c>
      <c r="G35" s="1917"/>
      <c r="H35" s="1917"/>
      <c r="I35" s="1917"/>
      <c r="J35" s="1917"/>
      <c r="K35" s="1917"/>
      <c r="L35" s="1917"/>
      <c r="M35" s="1917"/>
      <c r="N35" s="1917"/>
      <c r="O35" s="1917"/>
      <c r="P35" s="1917"/>
      <c r="Q35" s="1969"/>
      <c r="R35" s="1917"/>
      <c r="S35" s="1917"/>
      <c r="T35" s="1917"/>
      <c r="U35" s="1917"/>
      <c r="V35" s="1917"/>
      <c r="W35" s="346"/>
    </row>
    <row r="36" spans="1:23" x14ac:dyDescent="0.2">
      <c r="A36" s="436"/>
      <c r="B36" s="345"/>
      <c r="C36" s="444"/>
      <c r="D36" s="1917"/>
      <c r="E36" s="1917"/>
      <c r="F36" s="1917"/>
      <c r="G36" s="1917"/>
      <c r="H36" s="1917"/>
      <c r="I36" s="1917"/>
      <c r="J36" s="1917"/>
      <c r="K36" s="1917"/>
      <c r="L36" s="1917"/>
      <c r="M36" s="1917"/>
      <c r="N36" s="1917"/>
      <c r="O36" s="1917"/>
      <c r="P36" s="1917"/>
      <c r="Q36" s="1969"/>
      <c r="R36" s="1917"/>
      <c r="S36" s="1917"/>
      <c r="T36" s="1917"/>
      <c r="U36" s="1917"/>
      <c r="V36" s="1917"/>
      <c r="W36" s="346"/>
    </row>
    <row r="37" spans="1:23" x14ac:dyDescent="0.2">
      <c r="A37" s="436"/>
      <c r="B37" s="345"/>
      <c r="C37" s="440" t="s">
        <v>955</v>
      </c>
      <c r="D37" s="350"/>
      <c r="E37" s="1917"/>
      <c r="F37" s="1917"/>
      <c r="G37" s="1917"/>
      <c r="H37" s="1917"/>
      <c r="I37" s="1917"/>
      <c r="J37" s="1917"/>
      <c r="K37" s="1917"/>
      <c r="L37" s="1917"/>
      <c r="M37" s="1917"/>
      <c r="N37" s="1917"/>
      <c r="O37" s="1917"/>
      <c r="P37" s="1917"/>
      <c r="Q37" s="1969"/>
      <c r="R37" s="1917"/>
      <c r="S37" s="1917"/>
      <c r="T37" s="1917"/>
      <c r="U37" s="1917"/>
      <c r="V37" s="1917"/>
      <c r="W37" s="346"/>
    </row>
    <row r="38" spans="1:23" ht="15.75" x14ac:dyDescent="0.2">
      <c r="A38" s="436"/>
      <c r="B38" s="345"/>
      <c r="C38" s="445" t="s">
        <v>1293</v>
      </c>
      <c r="D38" s="356" t="s">
        <v>1304</v>
      </c>
      <c r="E38" s="356" t="s">
        <v>623</v>
      </c>
      <c r="F38" s="356" t="str">
        <f ca="1">'Assay Inventory'!F11</f>
        <v>LSR</v>
      </c>
      <c r="G38" s="356" t="s">
        <v>229</v>
      </c>
      <c r="H38" s="356" t="s">
        <v>230</v>
      </c>
      <c r="I38" s="356" t="s">
        <v>1378</v>
      </c>
      <c r="J38" s="356" t="s">
        <v>574</v>
      </c>
      <c r="K38" s="356" t="s">
        <v>575</v>
      </c>
      <c r="L38" s="356" t="s">
        <v>576</v>
      </c>
      <c r="M38" s="357" t="s">
        <v>653</v>
      </c>
      <c r="N38" s="1917"/>
      <c r="O38" s="1917"/>
      <c r="P38" s="1917"/>
      <c r="Q38" s="1969"/>
      <c r="R38" s="1917"/>
      <c r="S38" s="1917"/>
      <c r="T38" s="1917"/>
      <c r="U38" s="1917"/>
      <c r="V38" s="1917"/>
      <c r="W38" s="346"/>
    </row>
    <row r="39" spans="1:23" ht="15" x14ac:dyDescent="0.2">
      <c r="A39" s="436"/>
      <c r="B39" s="345"/>
      <c r="C39" s="442" t="s">
        <v>952</v>
      </c>
      <c r="D39" s="914">
        <f>Constants!H15+273.15</f>
        <v>561.15</v>
      </c>
      <c r="E39" s="1917" t="s">
        <v>1195</v>
      </c>
      <c r="F39" s="1917">
        <f ca="1">POWER((0.03181*$D$39 + 0.00001791*POWER(F56,4.693)),2.2916)</f>
        <v>917.52505812267657</v>
      </c>
      <c r="G39" s="1917">
        <f ca="1">POWER((0.03181*$D$39 + 0.00001791*POWER(G56,4.693)),2.2916)</f>
        <v>912.56382515861469</v>
      </c>
      <c r="H39" s="1917">
        <f ca="1">POWER((0.03181*$D$39 + 0.00001791*POWER(H56,4.693)),2.2916)</f>
        <v>910.40273310398311</v>
      </c>
      <c r="I39" s="1917">
        <f ca="1">POWER((0.03181*$D$39 + 0.00001791*POWER(I56,4.693)),2.2916)</f>
        <v>912.81053339131847</v>
      </c>
      <c r="J39" s="1917">
        <f ca="1">POWER((0.03181*$D$39 + 0.00001791*POWER(J56,4.693)),2.2916)</f>
        <v>916.16908848621085</v>
      </c>
      <c r="K39" s="1917">
        <f ca="1">POWER((0.03181*$D$39 + 0.00001791*POWER(G549,4.693)),2.2916)</f>
        <v>738.35337689169171</v>
      </c>
      <c r="L39" s="1917">
        <f ca="1">POWER((0.03181*$D$39 + 0.00001791*POWER(H549,4.693)),2.2916)</f>
        <v>738.35337689169171</v>
      </c>
      <c r="M39" s="337">
        <f ca="1">POWER((0.03181*$D$39 + 0.00001791*POWER(I549,4.693)),2.2916)</f>
        <v>738.35337689169171</v>
      </c>
      <c r="N39" s="1917"/>
      <c r="O39" s="1917"/>
      <c r="P39" s="1917"/>
      <c r="Q39" s="1969"/>
      <c r="R39" s="1917"/>
      <c r="S39" s="1917"/>
      <c r="T39" s="1917"/>
      <c r="U39" s="1917"/>
      <c r="V39" s="1917"/>
      <c r="W39" s="346"/>
    </row>
    <row r="40" spans="1:23" ht="15" x14ac:dyDescent="0.2">
      <c r="A40" s="436"/>
      <c r="B40" s="345"/>
      <c r="C40" s="442" t="s">
        <v>1305</v>
      </c>
      <c r="D40" s="914">
        <f>Constants!H16+273.15</f>
        <v>672.15</v>
      </c>
      <c r="E40" s="1917" t="s">
        <v>1195</v>
      </c>
      <c r="F40" s="1917">
        <f ca="1">POWER((0.03181*$D$40 + 0.00001791*POWER(F56,4.693)),2.2916)</f>
        <v>1340.5162196118024</v>
      </c>
      <c r="G40" s="1917">
        <f ca="1">POWER((0.03181*$D$40 + 0.00001791*POWER(G56,4.693)),2.2916)</f>
        <v>1334.3716176581595</v>
      </c>
      <c r="H40" s="1917">
        <f ca="1">POWER((0.03181*$D$40 + 0.00001791*POWER(H56,4.693)),2.2916)</f>
        <v>1331.694156743627</v>
      </c>
      <c r="I40" s="1917">
        <f ca="1">POWER((0.03181*$D$40 + 0.00001791*POWER(I56,4.693)),2.2916)</f>
        <v>1334.6772393167141</v>
      </c>
      <c r="J40" s="1917">
        <f ca="1">POWER((0.03181*$D$40 + 0.00001791*POWER(J56,4.693)),2.2916)</f>
        <v>1338.8371042545709</v>
      </c>
      <c r="K40" s="1917">
        <f ca="1">POWER((0.03181*$D$40 + 0.00001791*POWER(G549,4.693)),2.2916)</f>
        <v>1116.5969952889848</v>
      </c>
      <c r="L40" s="1917">
        <f ca="1">POWER((0.03181*$D$40 + 0.00001791*POWER(H549,4.693)),2.2916)</f>
        <v>1116.5969952889848</v>
      </c>
      <c r="M40" s="337">
        <f ca="1">POWER((0.03181*$D$40 + 0.00001791*POWER(I549,4.693)),2.2916)</f>
        <v>1116.5969952889848</v>
      </c>
      <c r="N40" s="1917"/>
      <c r="O40" s="1917"/>
      <c r="P40" s="1917"/>
      <c r="Q40" s="1969"/>
      <c r="R40" s="1917"/>
      <c r="S40" s="1917"/>
      <c r="T40" s="1917"/>
      <c r="U40" s="1917"/>
      <c r="V40" s="1917"/>
      <c r="W40" s="346"/>
    </row>
    <row r="41" spans="1:23" x14ac:dyDescent="0.2">
      <c r="A41" s="436"/>
      <c r="B41" s="345"/>
      <c r="C41" s="446" t="s">
        <v>1196</v>
      </c>
      <c r="D41" s="334"/>
      <c r="E41" s="334"/>
      <c r="F41" s="334">
        <f ca="1">(F40-F39)*F49/'Energy &amp; Unit Conversions'!$E$95</f>
        <v>361425.42457865499</v>
      </c>
      <c r="G41" s="334">
        <f ca="1">(G40-G39)*G49/'Energy &amp; Unit Conversions'!$E$95</f>
        <v>909863.35272549745</v>
      </c>
      <c r="H41" s="334">
        <f ca="1">(H40-H39)*H49/'Energy &amp; Unit Conversions'!$E$95</f>
        <v>1519702.2123724562</v>
      </c>
      <c r="I41" s="334">
        <f ca="1">(I40-I39)*I49/'Energy &amp; Unit Conversions'!$E$95</f>
        <v>741528.5903143679</v>
      </c>
      <c r="J41" s="334">
        <f ca="1">(J40-J39)*J49/'Energy &amp; Unit Conversions'!$E$95</f>
        <v>680249.29920854152</v>
      </c>
      <c r="K41" s="334">
        <f ca="1">(K40-K39)*G542/'Energy &amp; Unit Conversions'!$E$95</f>
        <v>3.7824361839729306E-15</v>
      </c>
      <c r="L41" s="334">
        <f ca="1">(L40-L39)*H542/'Energy &amp; Unit Conversions'!$E$95</f>
        <v>3.7824361839729306E-15</v>
      </c>
      <c r="M41" s="338">
        <f ca="1">(M40-M39)*I542/'Energy &amp; Unit Conversions'!$E$95</f>
        <v>3.7824361839729306E-15</v>
      </c>
      <c r="N41" s="1917"/>
      <c r="O41" s="1917"/>
      <c r="P41" s="1917"/>
      <c r="Q41" s="1969"/>
      <c r="R41" s="1917"/>
      <c r="S41" s="1917"/>
      <c r="T41" s="1917"/>
      <c r="U41" s="1917"/>
      <c r="V41" s="1917"/>
      <c r="W41" s="346"/>
    </row>
    <row r="42" spans="1:23" x14ac:dyDescent="0.2">
      <c r="A42" s="436"/>
      <c r="B42" s="345"/>
      <c r="C42" s="447"/>
      <c r="D42" s="1917"/>
      <c r="E42" s="1917"/>
      <c r="F42" s="1917"/>
      <c r="G42" s="1917"/>
      <c r="H42" s="1917"/>
      <c r="I42" s="1917"/>
      <c r="J42" s="1917"/>
      <c r="K42" s="1917"/>
      <c r="L42" s="1917"/>
      <c r="M42" s="1917"/>
      <c r="N42" s="1917"/>
      <c r="O42" s="1917"/>
      <c r="P42" s="1917"/>
      <c r="Q42" s="1969"/>
      <c r="R42" s="1917"/>
      <c r="S42" s="1917"/>
      <c r="T42" s="1917"/>
      <c r="U42" s="1917"/>
      <c r="V42" s="1917"/>
      <c r="W42" s="346"/>
    </row>
    <row r="43" spans="1:23" ht="26.25" x14ac:dyDescent="0.2">
      <c r="A43" s="436"/>
      <c r="B43" s="347"/>
      <c r="C43" s="438" t="s">
        <v>1306</v>
      </c>
      <c r="D43" s="348"/>
      <c r="E43" s="1917"/>
      <c r="F43" s="1917"/>
      <c r="G43" s="1917"/>
      <c r="H43" s="1917"/>
      <c r="I43" s="1917"/>
      <c r="J43" s="1917"/>
      <c r="K43" s="1917"/>
      <c r="L43" s="1917"/>
      <c r="M43" s="1917"/>
      <c r="N43" s="1917"/>
      <c r="O43" s="1917"/>
      <c r="P43" s="1917"/>
      <c r="Q43" s="1969"/>
      <c r="R43" s="1917"/>
      <c r="S43" s="1917"/>
      <c r="T43" s="1917"/>
      <c r="U43" s="1917"/>
      <c r="V43" s="1917"/>
      <c r="W43" s="346"/>
    </row>
    <row r="44" spans="1:23" x14ac:dyDescent="0.2">
      <c r="A44" s="436"/>
      <c r="B44" s="345"/>
      <c r="C44" s="437"/>
      <c r="D44" s="1917"/>
      <c r="E44" s="1910"/>
      <c r="F44" s="1917"/>
      <c r="G44" s="1917"/>
      <c r="H44" s="1917"/>
      <c r="I44" s="1917"/>
      <c r="J44" s="1917"/>
      <c r="K44" s="1917"/>
      <c r="L44" s="1917"/>
      <c r="M44" s="1917"/>
      <c r="N44" s="1917"/>
      <c r="O44" s="329"/>
      <c r="P44" s="329"/>
      <c r="Q44" s="329"/>
      <c r="R44" s="1917"/>
      <c r="S44" s="1917"/>
      <c r="T44" s="1917"/>
      <c r="U44" s="1917"/>
      <c r="V44" s="1917"/>
      <c r="W44" s="346"/>
    </row>
    <row r="45" spans="1:23" x14ac:dyDescent="0.2">
      <c r="A45" s="436"/>
      <c r="B45" s="345"/>
      <c r="C45" s="440" t="s">
        <v>1295</v>
      </c>
      <c r="D45" s="1917"/>
      <c r="E45" s="1910"/>
      <c r="F45" s="1917"/>
      <c r="G45" s="1917"/>
      <c r="H45" s="1917"/>
      <c r="I45" s="1917"/>
      <c r="J45" s="1917"/>
      <c r="K45" s="1917"/>
      <c r="L45" s="1917"/>
      <c r="M45" s="429" t="s">
        <v>1451</v>
      </c>
      <c r="N45" s="1917"/>
      <c r="O45" s="329"/>
      <c r="P45" s="329"/>
      <c r="Q45" s="329"/>
      <c r="R45" s="1917"/>
      <c r="S45" s="1917"/>
      <c r="T45" s="1917"/>
      <c r="U45" s="1917"/>
      <c r="V45" s="1917"/>
      <c r="W45" s="346"/>
    </row>
    <row r="46" spans="1:23" x14ac:dyDescent="0.2">
      <c r="A46" s="436"/>
      <c r="B46" s="345"/>
      <c r="C46" s="441" t="str">
        <f t="shared" ref="C46:D56" si="5">C24</f>
        <v>Property</v>
      </c>
      <c r="D46" s="1918" t="str">
        <f t="shared" si="5"/>
        <v>Units</v>
      </c>
      <c r="E46" s="1918" t="s">
        <v>570</v>
      </c>
      <c r="F46" s="1918" t="str">
        <f ca="1">'Assay Inventory'!F11</f>
        <v>LSR</v>
      </c>
      <c r="G46" s="1918" t="s">
        <v>229</v>
      </c>
      <c r="H46" s="1918" t="s">
        <v>230</v>
      </c>
      <c r="I46" s="1918" t="s">
        <v>1378</v>
      </c>
      <c r="J46" s="1918" t="s">
        <v>574</v>
      </c>
      <c r="K46" s="1918" t="s">
        <v>607</v>
      </c>
      <c r="L46" s="584"/>
      <c r="M46" s="496" t="s">
        <v>969</v>
      </c>
      <c r="O46" s="329"/>
      <c r="P46" s="329"/>
      <c r="Q46" s="329"/>
      <c r="R46" s="1917"/>
      <c r="S46" s="1917"/>
      <c r="T46" s="1917"/>
      <c r="U46" s="1917"/>
      <c r="V46" s="1917"/>
      <c r="W46" s="346"/>
    </row>
    <row r="47" spans="1:23" x14ac:dyDescent="0.2">
      <c r="A47" s="436"/>
      <c r="B47" s="345"/>
      <c r="C47" s="442" t="str">
        <f t="shared" si="5"/>
        <v>Vol Flow</v>
      </c>
      <c r="D47" s="1917" t="str">
        <f ca="1">D25</f>
        <v>bpd</v>
      </c>
      <c r="E47" s="1917">
        <f ca="1">CokingRefineryCalcs!F25</f>
        <v>99177.64135868111</v>
      </c>
      <c r="F47" s="1917">
        <f ca="1">'Assay Inventory'!F12</f>
        <v>7538.9890466543711</v>
      </c>
      <c r="G47" s="1917">
        <f ca="1">D104</f>
        <v>17316.221609700751</v>
      </c>
      <c r="H47" s="1917">
        <f ca="1">D105</f>
        <v>26885.40784503843</v>
      </c>
      <c r="I47" s="1917">
        <f ca="1">D106</f>
        <v>12524.817625472946</v>
      </c>
      <c r="J47" s="1917">
        <f ca="1">D107</f>
        <v>11182.517606218385</v>
      </c>
      <c r="K47" s="1917">
        <f ca="1">D108</f>
        <v>1E-14</v>
      </c>
      <c r="L47" s="578"/>
      <c r="M47" s="429">
        <f ca="1">D109</f>
        <v>28238.054386069471</v>
      </c>
      <c r="N47" s="1917"/>
      <c r="O47" s="329"/>
      <c r="P47" s="329"/>
      <c r="Q47" s="329"/>
      <c r="R47" s="1917"/>
      <c r="S47" s="1917"/>
      <c r="T47" s="1917"/>
      <c r="U47" s="1917"/>
      <c r="V47" s="1917"/>
      <c r="W47" s="346"/>
    </row>
    <row r="48" spans="1:23" x14ac:dyDescent="0.2">
      <c r="A48" s="436"/>
      <c r="B48" s="345"/>
      <c r="C48" s="442" t="str">
        <f t="shared" si="5"/>
        <v>Vol Flow</v>
      </c>
      <c r="D48" s="1917" t="str">
        <f ca="1">D26</f>
        <v>m^3/d</v>
      </c>
      <c r="E48" s="1917">
        <f ca="1">CokingRefineryCalcs!F26</f>
        <v>15769.244976030297</v>
      </c>
      <c r="F48" s="1917">
        <f ca="1">'Assay Inventory'!F13</f>
        <v>1198.699258418045</v>
      </c>
      <c r="G48" s="1917">
        <f ca="1">'Energy &amp; Unit Conversions'!G80*G47</f>
        <v>2753.059319927976</v>
      </c>
      <c r="H48" s="1917">
        <f ca="1">'Energy &amp; Unit Conversions'!G80*H47</f>
        <v>4274.4384026814787</v>
      </c>
      <c r="I48" s="1917">
        <f ca="1">'Energy &amp; Unit Conversions'!G80*I47</f>
        <v>1991.2869372663549</v>
      </c>
      <c r="J48" s="1917">
        <f ca="1">'Energy &amp; Unit Conversions'!G80*J47</f>
        <v>1777.8782814151243</v>
      </c>
      <c r="K48" s="1917">
        <f ca="1">'Energy &amp; Unit Conversions'!G80*K47</f>
        <v>1.589873E-15</v>
      </c>
      <c r="L48" s="578"/>
      <c r="M48" s="429">
        <f ca="1">'Energy &amp; Unit Conversions'!G80*M47</f>
        <v>4489.4920240943429</v>
      </c>
      <c r="N48" s="1917"/>
      <c r="O48" s="329"/>
      <c r="P48" s="329"/>
      <c r="Q48" s="329"/>
      <c r="R48" s="1917"/>
      <c r="S48" s="1917"/>
      <c r="T48" s="1917"/>
      <c r="U48" s="1917"/>
      <c r="V48" s="1917"/>
      <c r="W48" s="346"/>
    </row>
    <row r="49" spans="1:23" x14ac:dyDescent="0.2">
      <c r="A49" s="436"/>
      <c r="B49" s="345"/>
      <c r="C49" s="442" t="str">
        <f t="shared" si="5"/>
        <v>Mass Flow</v>
      </c>
      <c r="D49" s="1917" t="str">
        <f t="shared" si="5"/>
        <v>kg/d</v>
      </c>
      <c r="E49" s="1917">
        <f ca="1">CokingRefineryCalcs!F27</f>
        <v>13687328.970000003</v>
      </c>
      <c r="F49" s="1917">
        <f ca="1">'Assay Inventory'!F14</f>
        <v>854451.48145949247</v>
      </c>
      <c r="G49" s="1917">
        <f ca="1">F104</f>
        <v>2157056.7659118799</v>
      </c>
      <c r="H49" s="1917">
        <f ca="1">F105</f>
        <v>3607246.9722819468</v>
      </c>
      <c r="I49" s="1917">
        <f ca="1">F106</f>
        <v>1757731.9563243806</v>
      </c>
      <c r="J49" s="1917">
        <f ca="1">F107</f>
        <v>1609417.4951277762</v>
      </c>
      <c r="K49" s="1917">
        <f ca="1">F108</f>
        <v>1E-14</v>
      </c>
      <c r="L49" s="578"/>
      <c r="M49" s="429">
        <f ca="1">F109</f>
        <v>3701424.2988945264</v>
      </c>
      <c r="N49" s="1917"/>
      <c r="O49" s="329"/>
      <c r="P49" s="329"/>
      <c r="Q49" s="329"/>
      <c r="R49" s="1917"/>
      <c r="S49" s="1917"/>
      <c r="T49" s="1917"/>
      <c r="U49" s="1917"/>
      <c r="V49" s="1917"/>
      <c r="W49" s="346"/>
    </row>
    <row r="50" spans="1:23" x14ac:dyDescent="0.2">
      <c r="A50" s="436"/>
      <c r="B50" s="345"/>
      <c r="C50" s="442" t="str">
        <f t="shared" si="5"/>
        <v xml:space="preserve">Sulphur </v>
      </c>
      <c r="D50" s="1917" t="str">
        <f t="shared" ref="D50:D56" ca="1" si="6">D28</f>
        <v>wt%</v>
      </c>
      <c r="E50" s="1917">
        <f ca="1">CokingRefineryCalcs!F28</f>
        <v>0.16980000000000001</v>
      </c>
      <c r="F50" s="1917">
        <f ca="1">'Assay Inventory'!F15</f>
        <v>0</v>
      </c>
      <c r="G50" s="1917">
        <f ca="1">G104</f>
        <v>0</v>
      </c>
      <c r="H50" s="1917">
        <f ca="1">G105</f>
        <v>6.4870288839055754E-2</v>
      </c>
      <c r="I50" s="1917">
        <f ca="1">G106</f>
        <v>0.15109831145852037</v>
      </c>
      <c r="J50" s="1917">
        <f ca="1">G107</f>
        <v>0.21055860465847406</v>
      </c>
      <c r="K50" s="1917">
        <f ca="1">G108</f>
        <v>1E-14</v>
      </c>
      <c r="L50" s="578"/>
      <c r="M50" s="429">
        <f ca="1">G109</f>
        <v>0.40136935229490656</v>
      </c>
      <c r="N50" s="1917"/>
      <c r="O50" s="329"/>
      <c r="P50" s="329"/>
      <c r="Q50" s="329"/>
      <c r="R50" s="1917"/>
      <c r="S50" s="1917"/>
      <c r="T50" s="1917"/>
      <c r="U50" s="1917"/>
      <c r="V50" s="1917"/>
      <c r="W50" s="346"/>
    </row>
    <row r="51" spans="1:23" x14ac:dyDescent="0.2">
      <c r="A51" s="436"/>
      <c r="B51" s="345"/>
      <c r="C51" s="442" t="str">
        <f t="shared" si="5"/>
        <v xml:space="preserve">Nitrogen </v>
      </c>
      <c r="D51" s="1917" t="str">
        <f t="shared" ca="1" si="6"/>
        <v>mass ppm</v>
      </c>
      <c r="E51" s="1917">
        <f ca="1">CokingRefineryCalcs!F29</f>
        <v>1040</v>
      </c>
      <c r="F51" s="1917">
        <f ca="1">'Assay Inventory'!F16</f>
        <v>0</v>
      </c>
      <c r="G51" s="1917">
        <f ca="1">H104</f>
        <v>0</v>
      </c>
      <c r="H51" s="1917">
        <f ca="1">H105</f>
        <v>3.6001321362723841E-11</v>
      </c>
      <c r="I51" s="1917">
        <f ca="1">H106</f>
        <v>147.76502983481029</v>
      </c>
      <c r="J51" s="1917">
        <f ca="1">H107</f>
        <v>573.33295706140962</v>
      </c>
      <c r="K51" s="1917">
        <f ca="1">H108</f>
        <v>1E-14</v>
      </c>
      <c r="L51" s="578"/>
      <c r="M51" s="429">
        <f ca="1">H109</f>
        <v>3219.120060751759</v>
      </c>
      <c r="N51" s="1917"/>
      <c r="O51" s="329"/>
      <c r="P51" s="329"/>
      <c r="Q51" s="329"/>
      <c r="R51" s="1917"/>
      <c r="S51" s="1917"/>
      <c r="T51" s="1917"/>
      <c r="U51" s="1917"/>
      <c r="V51" s="1917"/>
      <c r="W51" s="346"/>
    </row>
    <row r="52" spans="1:23" x14ac:dyDescent="0.2">
      <c r="A52" s="436"/>
      <c r="B52" s="345"/>
      <c r="C52" s="442" t="str">
        <f t="shared" si="5"/>
        <v xml:space="preserve">API gravity </v>
      </c>
      <c r="D52" s="1917" t="str">
        <f t="shared" ca="1" si="6"/>
        <v>oAPI</v>
      </c>
      <c r="E52" s="1917">
        <f ca="1">CokingRefineryCalcs!F30</f>
        <v>32.710282000696282</v>
      </c>
      <c r="F52" s="1917">
        <f ca="1">'Assay Inventory'!F17</f>
        <v>66.810065343505755</v>
      </c>
      <c r="G52" s="1917">
        <f ca="1">J104</f>
        <v>49.096959674877127</v>
      </c>
      <c r="H52" s="1917">
        <f ca="1">J105</f>
        <v>36.171645059781241</v>
      </c>
      <c r="I52" s="1917">
        <f ca="1">J106</f>
        <v>28.801518447896115</v>
      </c>
      <c r="J52" s="1917">
        <f ca="1">J107</f>
        <v>24.811073777824959</v>
      </c>
      <c r="K52" s="1917">
        <f ca="1">J108</f>
        <v>1E-14</v>
      </c>
      <c r="L52" s="578"/>
      <c r="M52" s="429">
        <f ca="1">J109</f>
        <v>40.126668577033513</v>
      </c>
      <c r="N52" s="1917"/>
      <c r="O52" s="329"/>
      <c r="P52" s="329"/>
      <c r="Q52" s="329"/>
      <c r="R52" s="1917"/>
      <c r="S52" s="1917"/>
      <c r="T52" s="1917"/>
      <c r="U52" s="1917"/>
      <c r="V52" s="1917"/>
      <c r="W52" s="346"/>
    </row>
    <row r="53" spans="1:23" x14ac:dyDescent="0.2">
      <c r="A53" s="436"/>
      <c r="B53" s="345"/>
      <c r="C53" s="442" t="str">
        <f t="shared" si="5"/>
        <v>Density</v>
      </c>
      <c r="D53" s="1917" t="str">
        <f t="shared" ca="1" si="6"/>
        <v>kg/m^3</v>
      </c>
      <c r="E53" s="1917">
        <f ca="1">CokingRefineryCalcs!F31</f>
        <v>860.83830000000012</v>
      </c>
      <c r="F53" s="1917">
        <f ca="1">'Assay Inventory'!F18</f>
        <v>712.81555858066895</v>
      </c>
      <c r="G53" s="1917">
        <f ca="1">E104</f>
        <v>783.51263639619344</v>
      </c>
      <c r="H53" s="1917">
        <f ca="1">E105</f>
        <v>843.91132412132015</v>
      </c>
      <c r="I53" s="1917">
        <f ca="1">E106</f>
        <v>882.71153866825466</v>
      </c>
      <c r="J53" s="1917">
        <f ca="1">E107</f>
        <v>905.24616445999914</v>
      </c>
      <c r="K53" s="1917">
        <f ca="1">E108</f>
        <v>0</v>
      </c>
      <c r="L53" s="578"/>
      <c r="M53" s="429">
        <f ca="1">E109</f>
        <v>824.46394358863085</v>
      </c>
      <c r="N53" s="1917"/>
      <c r="O53" s="329"/>
      <c r="P53" s="329"/>
      <c r="Q53" s="329"/>
      <c r="R53" s="1917"/>
      <c r="S53" s="1917"/>
      <c r="T53" s="1917"/>
      <c r="U53" s="1917"/>
      <c r="V53" s="1917"/>
      <c r="W53" s="346"/>
    </row>
    <row r="54" spans="1:23" x14ac:dyDescent="0.2">
      <c r="A54" s="436"/>
      <c r="B54" s="345"/>
      <c r="C54" s="442" t="str">
        <f t="shared" si="5"/>
        <v>Hydrogen</v>
      </c>
      <c r="D54" s="1917" t="str">
        <f t="shared" ca="1" si="6"/>
        <v>wt%</v>
      </c>
      <c r="E54" s="1917">
        <f ca="1">CokingRefineryCalcs!F32</f>
        <v>12.931648905131908</v>
      </c>
      <c r="F54" s="1917">
        <f ca="1">'Assay Inventory'!F19</f>
        <v>15.321692746753095</v>
      </c>
      <c r="G54" s="1917">
        <f ca="1">I104</f>
        <v>13.50174052285624</v>
      </c>
      <c r="H54" s="1917">
        <f ca="1">I105</f>
        <v>12.638480433923533</v>
      </c>
      <c r="I54" s="1917">
        <f ca="1">I106</f>
        <v>12.394831175477645</v>
      </c>
      <c r="J54" s="1917">
        <f ca="1">I107</f>
        <v>12.331915988948833</v>
      </c>
      <c r="K54" s="1917">
        <f ca="1">I108</f>
        <v>1E-14</v>
      </c>
      <c r="L54" s="578"/>
      <c r="M54" s="429">
        <f ca="1">I109</f>
        <v>12.849096068230512</v>
      </c>
      <c r="N54" s="1917"/>
      <c r="O54" s="329"/>
      <c r="P54" s="329"/>
      <c r="Q54" s="329"/>
      <c r="R54" s="1917"/>
      <c r="S54" s="1917"/>
      <c r="T54" s="1917"/>
      <c r="U54" s="1917"/>
      <c r="V54" s="1917"/>
      <c r="W54" s="346"/>
    </row>
    <row r="55" spans="1:23" x14ac:dyDescent="0.2">
      <c r="A55" s="436"/>
      <c r="B55" s="345"/>
      <c r="C55" s="442" t="str">
        <f t="shared" si="5"/>
        <v>MCR</v>
      </c>
      <c r="D55" s="1917" t="str">
        <f t="shared" ca="1" si="6"/>
        <v>wt%</v>
      </c>
      <c r="E55" s="1917">
        <f ca="1">CokingRefineryCalcs!F33</f>
        <v>1.2</v>
      </c>
      <c r="F55" s="1917" t="str">
        <f ca="1">'Assay Inventory'!F20</f>
        <v/>
      </c>
      <c r="G55" s="1917"/>
      <c r="H55" s="1917"/>
      <c r="I55" s="1917"/>
      <c r="J55" s="1917"/>
      <c r="K55" s="1917">
        <f ca="1">'Assay Inventory'!N20</f>
        <v>4.4374255523499508</v>
      </c>
      <c r="L55" s="578"/>
      <c r="N55" s="1917"/>
      <c r="O55" s="329"/>
      <c r="P55" s="329"/>
      <c r="Q55" s="329"/>
      <c r="R55" s="1917"/>
      <c r="S55" s="1917"/>
      <c r="T55" s="1917"/>
      <c r="U55" s="1917"/>
      <c r="V55" s="1917"/>
      <c r="W55" s="346"/>
    </row>
    <row r="56" spans="1:23" x14ac:dyDescent="0.2">
      <c r="A56" s="436"/>
      <c r="B56" s="345"/>
      <c r="C56" s="443" t="str">
        <f t="shared" si="5"/>
        <v>Characterization Factor</v>
      </c>
      <c r="D56" s="334" t="str">
        <f t="shared" ca="1" si="6"/>
        <v xml:space="preserve">Kw (Approximate) </v>
      </c>
      <c r="E56" s="334">
        <f ca="1">CokingRefineryCalcs!F34</f>
        <v>11.700153491056373</v>
      </c>
      <c r="F56" s="334">
        <f ca="1">'Assay Inventory'!F21</f>
        <v>11.603591066684944</v>
      </c>
      <c r="G56" s="334">
        <f ca="1">K104</f>
        <v>11.538317381501683</v>
      </c>
      <c r="H56" s="334">
        <f ca="1">K105</f>
        <v>11.509389111178722</v>
      </c>
      <c r="I56" s="334">
        <f ca="1">K106</f>
        <v>11.54160038101978</v>
      </c>
      <c r="J56" s="334">
        <f ca="1">K107</f>
        <v>11.585905176337844</v>
      </c>
      <c r="K56" s="334" t="s">
        <v>1099</v>
      </c>
      <c r="L56" s="587"/>
      <c r="M56" s="430"/>
      <c r="N56" s="1917"/>
      <c r="O56" s="1917"/>
      <c r="P56" s="1917"/>
      <c r="Q56" s="1969"/>
      <c r="R56" s="1917"/>
      <c r="S56" s="1917"/>
      <c r="T56" s="1917"/>
      <c r="U56" s="1917"/>
      <c r="V56" s="1917"/>
      <c r="W56" s="346"/>
    </row>
    <row r="57" spans="1:23" x14ac:dyDescent="0.2">
      <c r="A57" s="436"/>
      <c r="B57" s="345"/>
      <c r="C57" s="448"/>
      <c r="D57" s="1910"/>
      <c r="E57" s="1917"/>
      <c r="F57" s="1917"/>
      <c r="G57" s="1917"/>
      <c r="H57" s="1917"/>
      <c r="I57" s="1917"/>
      <c r="J57" s="1917"/>
      <c r="K57" s="1917"/>
      <c r="L57" s="1917"/>
      <c r="M57" s="1917"/>
      <c r="N57" s="1917"/>
      <c r="O57" s="1917"/>
      <c r="P57" s="1917"/>
      <c r="Q57" s="1969"/>
      <c r="R57" s="1917"/>
      <c r="S57" s="1917"/>
      <c r="T57" s="1917"/>
      <c r="U57" s="1917"/>
      <c r="V57" s="1917"/>
      <c r="W57" s="346"/>
    </row>
    <row r="58" spans="1:23" x14ac:dyDescent="0.2">
      <c r="A58" s="436"/>
      <c r="B58" s="345"/>
      <c r="C58" s="440" t="s">
        <v>1303</v>
      </c>
      <c r="D58" s="360"/>
      <c r="E58" s="1917"/>
      <c r="F58" s="1917"/>
      <c r="G58" s="1917"/>
      <c r="H58" s="1917"/>
      <c r="I58" s="1917"/>
      <c r="J58" s="1917"/>
      <c r="K58" s="1917"/>
      <c r="L58" s="1917"/>
      <c r="M58" s="1917"/>
      <c r="N58" s="1917"/>
      <c r="O58" s="1917"/>
      <c r="P58" s="1917"/>
      <c r="Q58" s="1969"/>
      <c r="R58" s="1917"/>
      <c r="S58" s="1917"/>
      <c r="T58" s="1917"/>
      <c r="U58" s="1917"/>
      <c r="V58" s="1917"/>
      <c r="W58" s="346"/>
    </row>
    <row r="59" spans="1:23" x14ac:dyDescent="0.2">
      <c r="A59" s="436"/>
      <c r="B59" s="345"/>
      <c r="C59" s="449"/>
      <c r="D59" s="1918" t="s">
        <v>624</v>
      </c>
      <c r="E59" s="1919" t="s">
        <v>623</v>
      </c>
      <c r="F59" s="1917"/>
      <c r="G59" s="1917"/>
      <c r="H59" s="1917"/>
      <c r="I59" s="1917"/>
      <c r="J59" s="1917"/>
      <c r="K59" s="1917"/>
      <c r="L59" s="1917"/>
      <c r="M59" s="1917"/>
      <c r="N59" s="1917"/>
      <c r="O59" s="1917"/>
      <c r="P59" s="1917"/>
      <c r="Q59" s="1969"/>
      <c r="R59" s="1917"/>
      <c r="S59" s="1917"/>
      <c r="T59" s="1917"/>
      <c r="U59" s="1917"/>
      <c r="V59" s="1917"/>
      <c r="W59" s="346"/>
    </row>
    <row r="60" spans="1:23" x14ac:dyDescent="0.2">
      <c r="A60" s="436"/>
      <c r="B60" s="345"/>
      <c r="C60" s="442" t="s">
        <v>494</v>
      </c>
      <c r="D60" s="361">
        <v>180000</v>
      </c>
      <c r="E60" s="337" t="s">
        <v>611</v>
      </c>
      <c r="F60" s="1917"/>
      <c r="G60" s="1917"/>
      <c r="H60" s="1917"/>
      <c r="I60" s="1917"/>
      <c r="J60" s="1917"/>
      <c r="K60" s="1917"/>
      <c r="L60" s="1917"/>
      <c r="M60" s="1917"/>
      <c r="N60" s="1917"/>
      <c r="O60" s="1917"/>
      <c r="P60" s="1917"/>
      <c r="Q60" s="1969"/>
      <c r="R60" s="1917"/>
      <c r="S60" s="1917"/>
      <c r="T60" s="1917"/>
      <c r="U60" s="1917"/>
      <c r="V60" s="1917"/>
      <c r="W60" s="346"/>
    </row>
    <row r="61" spans="1:23" x14ac:dyDescent="0.2">
      <c r="A61" s="436"/>
      <c r="B61" s="345"/>
      <c r="C61" s="442" t="s">
        <v>1379</v>
      </c>
      <c r="D61" s="913">
        <f>Constants!H21</f>
        <v>6</v>
      </c>
      <c r="E61" s="337" t="s">
        <v>496</v>
      </c>
      <c r="F61" s="1917"/>
      <c r="G61" s="362"/>
      <c r="H61" s="1917"/>
      <c r="I61" s="1917"/>
      <c r="J61" s="1917"/>
      <c r="K61" s="1917"/>
      <c r="L61" s="1917"/>
      <c r="M61" s="1917"/>
      <c r="N61" s="1917"/>
      <c r="O61" s="1917"/>
      <c r="P61" s="1917"/>
      <c r="Q61" s="1969"/>
      <c r="R61" s="1917"/>
      <c r="S61" s="1917"/>
      <c r="T61" s="1917"/>
      <c r="U61" s="1917"/>
      <c r="V61" s="1917"/>
      <c r="W61" s="346"/>
    </row>
    <row r="62" spans="1:23" x14ac:dyDescent="0.2">
      <c r="A62" s="436"/>
      <c r="B62" s="345"/>
      <c r="C62" s="442" t="s">
        <v>1379</v>
      </c>
      <c r="D62" s="1917">
        <f>D61*'Energy &amp; Unit Conversions'!G79/'Energy &amp; Unit Conversions'!G80</f>
        <v>17.11806049917195</v>
      </c>
      <c r="E62" s="337" t="s">
        <v>581</v>
      </c>
      <c r="F62" s="1917"/>
      <c r="G62" s="363"/>
      <c r="H62" s="1917"/>
      <c r="I62" s="1917"/>
      <c r="J62" s="1917"/>
      <c r="K62" s="1917"/>
      <c r="L62" s="1917"/>
      <c r="M62" s="1917"/>
      <c r="N62" s="1917"/>
      <c r="O62" s="1917"/>
      <c r="P62" s="1917"/>
      <c r="Q62" s="1969"/>
      <c r="R62" s="1917"/>
      <c r="S62" s="1917"/>
      <c r="T62" s="1917"/>
      <c r="U62" s="1917"/>
      <c r="V62" s="1917"/>
      <c r="W62" s="346"/>
    </row>
    <row r="63" spans="1:23" x14ac:dyDescent="0.2">
      <c r="A63" s="436"/>
      <c r="B63" s="345"/>
      <c r="C63" s="442" t="s">
        <v>1380</v>
      </c>
      <c r="D63" s="1917">
        <f ca="1">D62*H48</f>
        <v>73170.095177085459</v>
      </c>
      <c r="E63" s="337" t="s">
        <v>622</v>
      </c>
      <c r="F63" s="1917"/>
      <c r="G63" s="1917"/>
      <c r="H63" s="1917"/>
      <c r="I63" s="1917"/>
      <c r="J63" s="1917"/>
      <c r="K63" s="1917"/>
      <c r="L63" s="1917"/>
      <c r="M63" s="1917"/>
      <c r="N63" s="1917"/>
      <c r="O63" s="1917"/>
      <c r="P63" s="1917"/>
      <c r="Q63" s="1969"/>
      <c r="R63" s="1917"/>
      <c r="S63" s="1917"/>
      <c r="T63" s="1917"/>
      <c r="U63" s="1917"/>
      <c r="V63" s="1917"/>
      <c r="W63" s="346"/>
    </row>
    <row r="64" spans="1:23" x14ac:dyDescent="0.2">
      <c r="A64" s="436"/>
      <c r="B64" s="345"/>
      <c r="C64" s="442" t="s">
        <v>498</v>
      </c>
      <c r="D64" s="913">
        <f>Constants!H22</f>
        <v>4</v>
      </c>
      <c r="E64" s="337" t="s">
        <v>496</v>
      </c>
      <c r="F64" s="1917"/>
      <c r="G64" s="1917"/>
      <c r="H64" s="1917"/>
      <c r="I64" s="1917"/>
      <c r="J64" s="1917"/>
      <c r="K64" s="1917"/>
      <c r="L64" s="1917"/>
      <c r="M64" s="1917"/>
      <c r="N64" s="1917"/>
      <c r="O64" s="1917"/>
      <c r="P64" s="1917"/>
      <c r="Q64" s="1969"/>
      <c r="R64" s="1917"/>
      <c r="S64" s="1917"/>
      <c r="T64" s="1917"/>
      <c r="U64" s="1917"/>
      <c r="V64" s="1917"/>
      <c r="W64" s="346"/>
    </row>
    <row r="65" spans="1:23" x14ac:dyDescent="0.2">
      <c r="A65" s="436"/>
      <c r="B65" s="345"/>
      <c r="C65" s="442" t="s">
        <v>498</v>
      </c>
      <c r="D65" s="1917">
        <f>D64*'Energy &amp; Unit Conversions'!G79/'Energy &amp; Unit Conversions'!G80</f>
        <v>11.412040332781299</v>
      </c>
      <c r="E65" s="337" t="s">
        <v>581</v>
      </c>
      <c r="F65" s="1917"/>
      <c r="G65" s="1917"/>
      <c r="H65" s="1917"/>
      <c r="I65" s="1917"/>
      <c r="J65" s="1917"/>
      <c r="K65" s="1917"/>
      <c r="L65" s="1917"/>
      <c r="M65" s="1917"/>
      <c r="N65" s="1917"/>
      <c r="O65" s="1917"/>
      <c r="P65" s="1917"/>
      <c r="Q65" s="1969"/>
      <c r="R65" s="1917"/>
      <c r="S65" s="1917"/>
      <c r="T65" s="1917"/>
      <c r="U65" s="1917"/>
      <c r="V65" s="1917"/>
      <c r="W65" s="346"/>
    </row>
    <row r="66" spans="1:23" x14ac:dyDescent="0.2">
      <c r="A66" s="436"/>
      <c r="B66" s="345"/>
      <c r="C66" s="442" t="s">
        <v>499</v>
      </c>
      <c r="D66" s="1917">
        <f ca="1">D65*I48</f>
        <v>22724.646842224185</v>
      </c>
      <c r="E66" s="337" t="s">
        <v>622</v>
      </c>
      <c r="F66" s="1917"/>
      <c r="G66" s="1917"/>
      <c r="H66" s="1917"/>
      <c r="I66" s="1917"/>
      <c r="J66" s="1917"/>
      <c r="K66" s="1917"/>
      <c r="L66" s="1917"/>
      <c r="M66" s="1917"/>
      <c r="N66" s="1917"/>
      <c r="O66" s="1917"/>
      <c r="P66" s="1917"/>
      <c r="Q66" s="1969"/>
      <c r="R66" s="1917"/>
      <c r="S66" s="1917"/>
      <c r="T66" s="1917"/>
      <c r="U66" s="1917"/>
      <c r="V66" s="1917"/>
      <c r="W66" s="346"/>
    </row>
    <row r="67" spans="1:23" x14ac:dyDescent="0.2">
      <c r="A67" s="436"/>
      <c r="B67" s="345"/>
      <c r="C67" s="442" t="s">
        <v>500</v>
      </c>
      <c r="D67" s="913">
        <f>Constants!H23</f>
        <v>2</v>
      </c>
      <c r="E67" s="337" t="s">
        <v>496</v>
      </c>
      <c r="F67" s="1917"/>
      <c r="G67" s="1917"/>
      <c r="H67" s="1917"/>
      <c r="I67" s="1917"/>
      <c r="J67" s="1917"/>
      <c r="K67" s="1917"/>
      <c r="L67" s="1917"/>
      <c r="M67" s="1917"/>
      <c r="N67" s="1917"/>
      <c r="O67" s="1917"/>
      <c r="P67" s="1917"/>
      <c r="Q67" s="1969"/>
      <c r="R67" s="1917"/>
      <c r="S67" s="1917"/>
      <c r="T67" s="1917"/>
      <c r="U67" s="1917"/>
      <c r="V67" s="1917"/>
      <c r="W67" s="346"/>
    </row>
    <row r="68" spans="1:23" x14ac:dyDescent="0.2">
      <c r="A68" s="436"/>
      <c r="B68" s="345"/>
      <c r="C68" s="442" t="s">
        <v>500</v>
      </c>
      <c r="D68" s="1917">
        <f>D67*'Energy &amp; Unit Conversions'!G79/'Energy &amp; Unit Conversions'!G80</f>
        <v>5.7060201663906494</v>
      </c>
      <c r="E68" s="337" t="s">
        <v>581</v>
      </c>
      <c r="F68" s="1917"/>
      <c r="G68" s="1917"/>
      <c r="H68" s="1917"/>
      <c r="I68" s="1917"/>
      <c r="J68" s="1917"/>
      <c r="K68" s="1917"/>
      <c r="L68" s="1917"/>
      <c r="M68" s="1917"/>
      <c r="N68" s="1917"/>
      <c r="O68" s="1917"/>
      <c r="P68" s="1917"/>
      <c r="Q68" s="1969"/>
      <c r="R68" s="1917"/>
      <c r="S68" s="1917"/>
      <c r="T68" s="1917"/>
      <c r="U68" s="1917"/>
      <c r="V68" s="1917"/>
      <c r="W68" s="346"/>
    </row>
    <row r="69" spans="1:23" x14ac:dyDescent="0.2">
      <c r="A69" s="436"/>
      <c r="B69" s="345"/>
      <c r="C69" s="442" t="s">
        <v>501</v>
      </c>
      <c r="D69" s="1917">
        <f ca="1">D68*J48</f>
        <v>10144.609327142649</v>
      </c>
      <c r="E69" s="337" t="s">
        <v>622</v>
      </c>
      <c r="F69" s="1917"/>
      <c r="G69" s="1917"/>
      <c r="H69" s="1917"/>
      <c r="I69" s="1917"/>
      <c r="J69" s="1917"/>
      <c r="K69" s="1917"/>
      <c r="L69" s="1917"/>
      <c r="M69" s="1917"/>
      <c r="N69" s="1917"/>
      <c r="O69" s="1917"/>
      <c r="P69" s="1917"/>
      <c r="Q69" s="1969"/>
      <c r="R69" s="1917"/>
      <c r="S69" s="1917"/>
      <c r="T69" s="1917"/>
      <c r="U69" s="1917"/>
      <c r="V69" s="1917"/>
      <c r="W69" s="346"/>
    </row>
    <row r="70" spans="1:23" x14ac:dyDescent="0.2">
      <c r="A70" s="436"/>
      <c r="B70" s="345"/>
      <c r="C70" s="442" t="s">
        <v>1448</v>
      </c>
      <c r="D70" s="913">
        <f>Constants!H24</f>
        <v>10</v>
      </c>
      <c r="E70" s="337" t="s">
        <v>496</v>
      </c>
      <c r="F70" s="1917"/>
      <c r="G70" s="1917"/>
      <c r="H70" s="1917"/>
      <c r="I70" s="1917"/>
      <c r="J70" s="1917"/>
      <c r="K70" s="1917"/>
      <c r="L70" s="1917"/>
      <c r="M70" s="1917"/>
      <c r="N70" s="1917"/>
      <c r="O70" s="1917"/>
      <c r="P70" s="1917"/>
      <c r="Q70" s="1969"/>
      <c r="R70" s="1917"/>
      <c r="S70" s="1917"/>
      <c r="T70" s="1917"/>
      <c r="U70" s="1917"/>
      <c r="V70" s="1917"/>
      <c r="W70" s="346"/>
    </row>
    <row r="71" spans="1:23" x14ac:dyDescent="0.2">
      <c r="A71" s="436"/>
      <c r="B71" s="345"/>
      <c r="C71" s="442" t="s">
        <v>1448</v>
      </c>
      <c r="D71" s="1917">
        <f>D70*'Energy &amp; Unit Conversions'!G79/'Energy &amp; Unit Conversions'!G80</f>
        <v>28.530100831953249</v>
      </c>
      <c r="E71" s="337" t="s">
        <v>581</v>
      </c>
      <c r="F71" s="1917"/>
      <c r="G71" s="1917"/>
      <c r="H71" s="1917"/>
      <c r="I71" s="1917"/>
      <c r="J71" s="1917"/>
      <c r="K71" s="1917"/>
      <c r="L71" s="1917"/>
      <c r="M71" s="1917"/>
      <c r="N71" s="1917"/>
      <c r="O71" s="1917"/>
      <c r="P71" s="1917"/>
      <c r="Q71" s="1969"/>
      <c r="R71" s="1917"/>
      <c r="S71" s="1917"/>
      <c r="T71" s="1917"/>
      <c r="U71" s="1917"/>
      <c r="V71" s="1917"/>
      <c r="W71" s="346"/>
    </row>
    <row r="72" spans="1:23" x14ac:dyDescent="0.2">
      <c r="A72" s="436"/>
      <c r="B72" s="345"/>
      <c r="C72" s="442" t="s">
        <v>1449</v>
      </c>
      <c r="D72" s="1917">
        <f ca="1">IF(CokingRefineryConfig=0,D71*M48,D71*K48)</f>
        <v>128085.66013166148</v>
      </c>
      <c r="E72" s="337" t="s">
        <v>622</v>
      </c>
      <c r="F72" s="1917"/>
      <c r="G72" s="1917"/>
      <c r="H72" s="1917"/>
      <c r="I72" s="1917"/>
      <c r="J72" s="1917"/>
      <c r="K72" s="1917"/>
      <c r="L72" s="1917"/>
      <c r="M72" s="1917"/>
      <c r="N72" s="1917"/>
      <c r="O72" s="1917"/>
      <c r="P72" s="1917"/>
      <c r="Q72" s="1969"/>
      <c r="R72" s="1917"/>
      <c r="S72" s="1917"/>
      <c r="T72" s="1917"/>
      <c r="U72" s="1917"/>
      <c r="V72" s="1917"/>
      <c r="W72" s="346"/>
    </row>
    <row r="73" spans="1:23" x14ac:dyDescent="0.2">
      <c r="A73" s="436"/>
      <c r="B73" s="345"/>
      <c r="C73" s="450" t="s">
        <v>455</v>
      </c>
      <c r="D73" s="364">
        <f ca="1">D63+D66+D69+D72</f>
        <v>234125.01147811377</v>
      </c>
      <c r="E73" s="365" t="s">
        <v>622</v>
      </c>
      <c r="F73" s="1917"/>
      <c r="G73" s="1917"/>
      <c r="H73" s="1917"/>
      <c r="I73" s="1917"/>
      <c r="J73" s="1917"/>
      <c r="K73" s="1917"/>
      <c r="L73" s="1917"/>
      <c r="M73" s="1917"/>
      <c r="N73" s="1917"/>
      <c r="O73" s="1917"/>
      <c r="P73" s="1917"/>
      <c r="Q73" s="1969"/>
      <c r="R73" s="1917"/>
      <c r="S73" s="1917"/>
      <c r="T73" s="1917"/>
      <c r="U73" s="1917"/>
      <c r="V73" s="1917"/>
      <c r="W73" s="346"/>
    </row>
    <row r="74" spans="1:23" x14ac:dyDescent="0.2">
      <c r="A74" s="436"/>
      <c r="B74" s="345"/>
      <c r="C74" s="442" t="s">
        <v>451</v>
      </c>
      <c r="D74" s="913">
        <f>Constants!H18</f>
        <v>0.09</v>
      </c>
      <c r="E74" s="337" t="s">
        <v>665</v>
      </c>
      <c r="F74" s="1917"/>
      <c r="G74" s="1917"/>
      <c r="H74" s="1917"/>
      <c r="I74" s="1917"/>
      <c r="J74" s="1917"/>
      <c r="K74" s="1917"/>
      <c r="L74" s="1917"/>
      <c r="M74" s="1917"/>
      <c r="N74" s="1917"/>
      <c r="O74" s="1917"/>
      <c r="P74" s="1917"/>
      <c r="Q74" s="1969"/>
      <c r="R74" s="1917"/>
      <c r="S74" s="1917"/>
      <c r="T74" s="1917"/>
      <c r="U74" s="1917"/>
      <c r="V74" s="1917"/>
      <c r="W74" s="346"/>
    </row>
    <row r="75" spans="1:23" x14ac:dyDescent="0.2">
      <c r="A75" s="436"/>
      <c r="B75" s="345"/>
      <c r="C75" s="442" t="s">
        <v>451</v>
      </c>
      <c r="D75" s="1917">
        <f>D74/'Energy &amp; Unit Conversions'!G80</f>
        <v>0.56608295127975627</v>
      </c>
      <c r="E75" s="337" t="s">
        <v>629</v>
      </c>
      <c r="F75" s="1917"/>
      <c r="G75" s="1917"/>
      <c r="H75" s="1917"/>
      <c r="I75" s="1917"/>
      <c r="J75" s="1917"/>
      <c r="K75" s="1917"/>
      <c r="L75" s="1917"/>
      <c r="M75" s="1917"/>
      <c r="N75" s="1917"/>
      <c r="O75" s="1917"/>
      <c r="P75" s="1917"/>
      <c r="Q75" s="1969"/>
      <c r="R75" s="1917"/>
      <c r="S75" s="1917"/>
      <c r="T75" s="1917"/>
      <c r="U75" s="1917"/>
      <c r="V75" s="1917"/>
      <c r="W75" s="346"/>
    </row>
    <row r="76" spans="1:23" x14ac:dyDescent="0.2">
      <c r="A76" s="436"/>
      <c r="B76" s="345"/>
      <c r="C76" s="451" t="s">
        <v>452</v>
      </c>
      <c r="D76" s="336">
        <f ca="1">D75*E48</f>
        <v>8926.7007354846992</v>
      </c>
      <c r="E76" s="367" t="s">
        <v>627</v>
      </c>
      <c r="F76" s="1917"/>
      <c r="G76" s="1917"/>
      <c r="H76" s="1917"/>
      <c r="I76" s="1917"/>
      <c r="J76" s="1917"/>
      <c r="K76" s="1917"/>
      <c r="L76" s="1917"/>
      <c r="M76" s="1917"/>
      <c r="N76" s="1917"/>
      <c r="O76" s="1917"/>
      <c r="P76" s="1917"/>
      <c r="Q76" s="1969"/>
      <c r="R76" s="1917"/>
      <c r="S76" s="1917"/>
      <c r="T76" s="1917"/>
      <c r="U76" s="1917"/>
      <c r="V76" s="1917"/>
      <c r="W76" s="346"/>
    </row>
    <row r="77" spans="1:23" x14ac:dyDescent="0.2">
      <c r="A77" s="436"/>
      <c r="B77" s="345"/>
      <c r="C77" s="437"/>
      <c r="D77" s="1917"/>
      <c r="E77" s="1917"/>
      <c r="F77" s="1917"/>
      <c r="G77" s="1917"/>
      <c r="H77" s="1917"/>
      <c r="I77" s="1917"/>
      <c r="J77" s="1917"/>
      <c r="K77" s="1917"/>
      <c r="L77" s="1917"/>
      <c r="M77" s="1917"/>
      <c r="N77" s="1917"/>
      <c r="O77" s="1917"/>
      <c r="P77" s="1917"/>
      <c r="Q77" s="1969"/>
      <c r="R77" s="1917"/>
      <c r="S77" s="1917"/>
      <c r="T77" s="1917"/>
      <c r="U77" s="1917"/>
      <c r="V77" s="1917"/>
      <c r="W77" s="346"/>
    </row>
    <row r="78" spans="1:23" x14ac:dyDescent="0.2">
      <c r="A78" s="436"/>
      <c r="B78" s="345"/>
      <c r="C78" s="440" t="s">
        <v>283</v>
      </c>
      <c r="D78" s="1917"/>
      <c r="E78" s="1917"/>
      <c r="F78" s="1917"/>
      <c r="G78" s="1917"/>
      <c r="H78" s="1917"/>
      <c r="I78" s="1917"/>
      <c r="J78" s="1917"/>
      <c r="K78" s="1917"/>
      <c r="L78" s="1917"/>
      <c r="M78" s="1917"/>
      <c r="N78" s="1917"/>
      <c r="O78" s="1917"/>
      <c r="P78" s="1917"/>
      <c r="Q78" s="1969"/>
      <c r="R78" s="1917"/>
      <c r="S78" s="1917"/>
      <c r="T78" s="1917"/>
      <c r="U78" s="1917"/>
      <c r="V78" s="1917"/>
      <c r="W78" s="346"/>
    </row>
    <row r="79" spans="1:23" x14ac:dyDescent="0.2">
      <c r="A79" s="436"/>
      <c r="B79" s="345"/>
      <c r="C79" s="441"/>
      <c r="D79" s="356" t="s">
        <v>1197</v>
      </c>
      <c r="E79" s="356" t="s">
        <v>1198</v>
      </c>
      <c r="F79" s="356" t="s">
        <v>1199</v>
      </c>
      <c r="G79" s="356" t="s">
        <v>663</v>
      </c>
      <c r="H79" s="356" t="s">
        <v>784</v>
      </c>
      <c r="I79" s="356" t="s">
        <v>662</v>
      </c>
      <c r="J79" s="357" t="s">
        <v>806</v>
      </c>
      <c r="K79" s="1917"/>
      <c r="L79" s="1917"/>
      <c r="M79" s="1917"/>
      <c r="N79" s="1917"/>
      <c r="O79" s="1917"/>
      <c r="P79" s="1917"/>
      <c r="Q79" s="1969"/>
      <c r="R79" s="1917"/>
      <c r="S79" s="1917"/>
      <c r="T79" s="1917"/>
      <c r="U79" s="1917"/>
      <c r="V79" s="1917"/>
      <c r="W79" s="346"/>
    </row>
    <row r="80" spans="1:23" x14ac:dyDescent="0.2">
      <c r="A80" s="436"/>
      <c r="B80" s="345"/>
      <c r="C80" s="442" t="s">
        <v>572</v>
      </c>
      <c r="D80" s="1917">
        <f ca="1">'Assay Inventory'!G12</f>
        <v>17316.22160970941</v>
      </c>
      <c r="E80" s="1917">
        <f ca="1">'Assay Inventory'!G14</f>
        <v>2157056.7659129584</v>
      </c>
      <c r="F80" s="1917">
        <f ca="1">'Assay Inventory'!G18</f>
        <v>783.45005394033024</v>
      </c>
      <c r="G80" s="1917">
        <f ca="1">'Assay Inventory'!G15</f>
        <v>0</v>
      </c>
      <c r="H80" s="1917">
        <f ca="1">'Assay Inventory'!G16</f>
        <v>0</v>
      </c>
      <c r="I80" s="1917">
        <f ca="1">'Assay Inventory'!G19</f>
        <v>13.50174052285624</v>
      </c>
      <c r="J80" s="337">
        <f ca="1">'Assay Inventory'!G21</f>
        <v>11.538317381501681</v>
      </c>
      <c r="K80" s="1917"/>
      <c r="L80" s="1917"/>
      <c r="M80" s="1917"/>
      <c r="N80" s="1917"/>
      <c r="O80" s="1917"/>
      <c r="P80" s="1917"/>
      <c r="Q80" s="1969"/>
      <c r="R80" s="1917"/>
      <c r="S80" s="1917"/>
      <c r="T80" s="1917"/>
      <c r="U80" s="1917"/>
      <c r="V80" s="1917"/>
      <c r="W80" s="346"/>
    </row>
    <row r="81" spans="1:23" ht="27" customHeight="1" x14ac:dyDescent="0.2">
      <c r="A81" s="436"/>
      <c r="B81" s="345"/>
      <c r="C81" s="442" t="s">
        <v>530</v>
      </c>
      <c r="D81" s="1917">
        <f ca="1">'Assay Inventory'!H12</f>
        <v>26885.40784502351</v>
      </c>
      <c r="E81" s="1917">
        <f ca="1">'Assay Inventory'!H14</f>
        <v>3607246.9722799896</v>
      </c>
      <c r="F81" s="1917">
        <f ca="1">'Assay Inventory'!H18</f>
        <v>843.84391736776865</v>
      </c>
      <c r="G81" s="1917">
        <f ca="1">'Assay Inventory'!H15</f>
        <v>6.487028883905413E-2</v>
      </c>
      <c r="H81" s="1917">
        <f ca="1">'Assay Inventory'!H16</f>
        <v>0</v>
      </c>
      <c r="I81" s="1917">
        <f ca="1">'Assay Inventory'!H19</f>
        <v>12.638480433923334</v>
      </c>
      <c r="J81" s="337">
        <f ca="1">'Assay Inventory'!H21</f>
        <v>11.509389111178706</v>
      </c>
      <c r="K81" s="1917"/>
      <c r="L81" s="1917"/>
      <c r="M81" s="1917"/>
      <c r="N81" s="1917"/>
      <c r="O81" s="1917"/>
      <c r="P81" s="1917"/>
      <c r="Q81" s="1969"/>
      <c r="R81" s="1917"/>
      <c r="S81" s="1917"/>
      <c r="T81" s="1917"/>
      <c r="U81" s="1917"/>
      <c r="V81" s="1917"/>
      <c r="W81" s="346"/>
    </row>
    <row r="82" spans="1:23" x14ac:dyDescent="0.2">
      <c r="A82" s="436"/>
      <c r="B82" s="345"/>
      <c r="C82" s="442" t="s">
        <v>573</v>
      </c>
      <c r="D82" s="1917">
        <f ca="1">'Assay Inventory'!I12</f>
        <v>12524.817625479878</v>
      </c>
      <c r="E82" s="1917">
        <f ca="1">'Assay Inventory'!I14</f>
        <v>1757731.9563253336</v>
      </c>
      <c r="F82" s="1917">
        <f ca="1">'Assay Inventory'!I18</f>
        <v>882.64103277804918</v>
      </c>
      <c r="G82" s="1917">
        <f ca="1">'Assay Inventory'!I15</f>
        <v>0.1510983114584932</v>
      </c>
      <c r="H82" s="1917">
        <f ca="1">'Assay Inventory'!I16</f>
        <v>147.76502983461546</v>
      </c>
      <c r="I82" s="1917">
        <f ca="1">'Assay Inventory'!I19</f>
        <v>12.394831175477673</v>
      </c>
      <c r="J82" s="337">
        <f ca="1">'Assay Inventory'!I21</f>
        <v>11.541600381019759</v>
      </c>
      <c r="K82" s="1917"/>
      <c r="L82" s="1917"/>
      <c r="M82" s="1917"/>
      <c r="N82" s="1917"/>
      <c r="O82" s="1917"/>
      <c r="P82" s="1917"/>
      <c r="Q82" s="1969"/>
      <c r="R82" s="1917"/>
      <c r="S82" s="1917"/>
      <c r="T82" s="1917"/>
      <c r="U82" s="1917"/>
      <c r="V82" s="1917"/>
      <c r="W82" s="346"/>
    </row>
    <row r="83" spans="1:23" x14ac:dyDescent="0.2">
      <c r="A83" s="436"/>
      <c r="B83" s="345"/>
      <c r="C83" s="442" t="s">
        <v>574</v>
      </c>
      <c r="D83" s="1917">
        <f ca="1">'Assay Inventory'!J12</f>
        <v>11182.517606223304</v>
      </c>
      <c r="E83" s="1917">
        <f ca="1">'Assay Inventory'!J14</f>
        <v>1609417.4951285068</v>
      </c>
      <c r="F83" s="1917">
        <f ca="1">'Assay Inventory'!J18</f>
        <v>905.17385863429718</v>
      </c>
      <c r="G83" s="1917">
        <f ca="1">'Assay Inventory'!J15</f>
        <v>0.21055860465850654</v>
      </c>
      <c r="H83" s="1917">
        <f ca="1">'Assay Inventory'!J16</f>
        <v>573.33295706164199</v>
      </c>
      <c r="I83" s="1917">
        <f ca="1">'Assay Inventory'!J19</f>
        <v>12.331915988948797</v>
      </c>
      <c r="J83" s="337">
        <f ca="1">'Assay Inventory'!J21</f>
        <v>11.585905176337866</v>
      </c>
      <c r="K83" s="1917"/>
      <c r="L83" s="1917"/>
      <c r="M83" s="1917"/>
      <c r="N83" s="1917"/>
      <c r="O83" s="1917"/>
      <c r="P83" s="1917"/>
      <c r="Q83" s="1969"/>
      <c r="R83" s="1917"/>
      <c r="S83" s="1917"/>
      <c r="T83" s="1917"/>
      <c r="U83" s="1917"/>
      <c r="V83" s="1917"/>
      <c r="W83" s="346"/>
    </row>
    <row r="84" spans="1:23" x14ac:dyDescent="0.2">
      <c r="A84" s="436"/>
      <c r="B84" s="345"/>
      <c r="C84" s="442" t="s">
        <v>1200</v>
      </c>
      <c r="D84" s="1917">
        <f ca="1">SUM(D80:D83)</f>
        <v>67908.964686436098</v>
      </c>
      <c r="E84" s="1917">
        <f ca="1">SUM(E80:E83)</f>
        <v>9131453.1896467879</v>
      </c>
      <c r="F84" s="1917"/>
      <c r="G84" s="1917"/>
      <c r="H84" s="1917"/>
      <c r="I84" s="1917"/>
      <c r="J84" s="337"/>
      <c r="K84" s="1917"/>
      <c r="L84" s="1917"/>
      <c r="M84" s="1917"/>
      <c r="N84" s="1917"/>
      <c r="O84" s="1917"/>
      <c r="P84" s="1917"/>
      <c r="Q84" s="1969"/>
      <c r="R84" s="1917"/>
      <c r="S84" s="1917"/>
      <c r="T84" s="1917"/>
      <c r="U84" s="1917"/>
      <c r="V84" s="1917"/>
      <c r="W84" s="346"/>
    </row>
    <row r="85" spans="1:23" x14ac:dyDescent="0.2">
      <c r="A85" s="436"/>
      <c r="B85" s="345"/>
      <c r="C85" s="452"/>
      <c r="D85" s="334"/>
      <c r="E85" s="335">
        <f ca="1">E84+'Assay Inventory'!N14</f>
        <v>12832877.48854051</v>
      </c>
      <c r="F85" s="334"/>
      <c r="G85" s="334"/>
      <c r="H85" s="334"/>
      <c r="I85" s="334"/>
      <c r="J85" s="338"/>
      <c r="K85" s="1917"/>
      <c r="L85" s="1917"/>
      <c r="M85" s="1917"/>
      <c r="N85" s="1917"/>
      <c r="O85" s="1917"/>
      <c r="P85" s="1917"/>
      <c r="Q85" s="1969"/>
      <c r="R85" s="1917"/>
      <c r="S85" s="1917"/>
      <c r="T85" s="1917"/>
      <c r="U85" s="1917"/>
      <c r="V85" s="1917"/>
      <c r="W85" s="346"/>
    </row>
    <row r="86" spans="1:23" x14ac:dyDescent="0.2">
      <c r="A86" s="436"/>
      <c r="B86" s="345"/>
      <c r="C86" s="437"/>
      <c r="D86" s="1917"/>
      <c r="E86" s="1917"/>
      <c r="F86" s="1917"/>
      <c r="G86" s="1917"/>
      <c r="H86" s="1917"/>
      <c r="I86" s="1917"/>
      <c r="J86" s="1917"/>
      <c r="K86" s="1917"/>
      <c r="L86" s="1917"/>
      <c r="M86" s="1917"/>
      <c r="N86" s="1917"/>
      <c r="O86" s="1917"/>
      <c r="P86" s="1917"/>
      <c r="Q86" s="1969"/>
      <c r="R86" s="1917"/>
      <c r="S86" s="1917"/>
      <c r="T86" s="1917"/>
      <c r="U86" s="1917"/>
      <c r="V86" s="1917"/>
      <c r="W86" s="346"/>
    </row>
    <row r="87" spans="1:23" x14ac:dyDescent="0.2">
      <c r="A87" s="436"/>
      <c r="B87" s="345"/>
      <c r="C87" s="440" t="s">
        <v>284</v>
      </c>
      <c r="D87" s="1917"/>
      <c r="E87" s="1917"/>
      <c r="F87" s="1917"/>
      <c r="G87" s="1917"/>
      <c r="H87" s="1917"/>
      <c r="I87" s="1917"/>
      <c r="J87" s="1917"/>
      <c r="K87" s="1917"/>
      <c r="L87" s="1917"/>
      <c r="M87" s="1917"/>
      <c r="N87" s="1917"/>
      <c r="O87" s="1917"/>
      <c r="P87" s="1917"/>
      <c r="Q87" s="1969"/>
      <c r="R87" s="1917"/>
      <c r="S87" s="1917"/>
      <c r="T87" s="1917"/>
      <c r="U87" s="1917"/>
      <c r="V87" s="1917"/>
      <c r="W87" s="346"/>
    </row>
    <row r="88" spans="1:23" x14ac:dyDescent="0.2">
      <c r="A88" s="436"/>
      <c r="B88" s="345"/>
      <c r="C88" s="441"/>
      <c r="D88" s="368"/>
      <c r="E88" s="368"/>
      <c r="F88" s="368"/>
      <c r="G88" s="356" t="s">
        <v>292</v>
      </c>
      <c r="H88" s="356" t="s">
        <v>293</v>
      </c>
      <c r="I88" s="356" t="s">
        <v>294</v>
      </c>
      <c r="J88" s="356" t="s">
        <v>663</v>
      </c>
      <c r="K88" s="356" t="s">
        <v>784</v>
      </c>
      <c r="L88" s="356" t="s">
        <v>662</v>
      </c>
      <c r="M88" s="357" t="s">
        <v>806</v>
      </c>
      <c r="N88" s="1917"/>
      <c r="O88" s="1917"/>
      <c r="P88" s="1917"/>
      <c r="Q88" s="1969"/>
      <c r="R88" s="1917"/>
      <c r="S88" s="1917"/>
      <c r="T88" s="1917"/>
      <c r="U88" s="1917"/>
      <c r="V88" s="1917"/>
      <c r="W88" s="346"/>
    </row>
    <row r="89" spans="1:23" x14ac:dyDescent="0.2">
      <c r="A89" s="436"/>
      <c r="B89" s="345"/>
      <c r="C89" s="442" t="s">
        <v>1201</v>
      </c>
      <c r="D89" s="1917">
        <f>CokingRefineryControls!C6</f>
        <v>1E-10</v>
      </c>
      <c r="E89" s="1917" t="s">
        <v>1194</v>
      </c>
      <c r="F89" s="1911" t="s">
        <v>1202</v>
      </c>
      <c r="G89" s="1917">
        <f ca="1">D89/100*D80+D90/100*D81</f>
        <v>1.7316221609709408E-8</v>
      </c>
      <c r="H89" s="1917">
        <f ca="1">D89/100*E80+D90/100*E81</f>
        <v>2.1570567659129582E-6</v>
      </c>
      <c r="I89" s="1917">
        <f ca="1">H89/G89/'Energy &amp; Unit Conversions'!$G$80</f>
        <v>783.51263639619344</v>
      </c>
      <c r="J89" s="1917">
        <f ca="1">(D89/100*E80*G80+D90/100*E81*G81)/H89</f>
        <v>0</v>
      </c>
      <c r="K89" s="1917">
        <f ca="1">(D89/100*E80*H80+D90/100*E81*H81)/H89</f>
        <v>0</v>
      </c>
      <c r="L89" s="1917">
        <f ca="1">(D89/100*E80*I80+D90/100*E81*I81)/H89</f>
        <v>13.50174052285624</v>
      </c>
      <c r="M89" s="337">
        <f ca="1">(D89/100*E80*J80+D90/100*E81*J81)/H89</f>
        <v>11.538317381501681</v>
      </c>
      <c r="N89" s="1917"/>
      <c r="O89" s="1917"/>
      <c r="P89" s="1917"/>
      <c r="Q89" s="1969"/>
      <c r="R89" s="1917"/>
      <c r="S89" s="1917"/>
      <c r="T89" s="1917"/>
      <c r="U89" s="1917"/>
      <c r="V89" s="1917"/>
      <c r="W89" s="346"/>
    </row>
    <row r="90" spans="1:23" x14ac:dyDescent="0.2">
      <c r="A90" s="436"/>
      <c r="B90" s="345"/>
      <c r="C90" s="442" t="s">
        <v>1203</v>
      </c>
      <c r="D90" s="2169">
        <f>CokingRefineryControls!C7</f>
        <v>0</v>
      </c>
      <c r="E90" s="1917" t="s">
        <v>1194</v>
      </c>
      <c r="F90" s="1911" t="s">
        <v>1204</v>
      </c>
      <c r="G90" s="1917">
        <f ca="1">D90/100*D81+D91/100*D82</f>
        <v>1.2524817625479879E-8</v>
      </c>
      <c r="H90" s="1917">
        <f ca="1">D90/100*E81+D91/100*E82</f>
        <v>1.7577319563253335E-6</v>
      </c>
      <c r="I90" s="1917">
        <f ca="1">H90/G90/'Energy &amp; Unit Conversions'!$G$80</f>
        <v>882.71153866824466</v>
      </c>
      <c r="J90" s="1917">
        <f ca="1">(D90/100*E81*G81+D91/100*E82*G82)/H90</f>
        <v>0.1510983114584932</v>
      </c>
      <c r="K90" s="1917">
        <f ca="1">(D90/100*E81*H81+D91/100*E82*H82)/H90</f>
        <v>147.76502983461546</v>
      </c>
      <c r="L90" s="1917">
        <f ca="1">(D90/100*E81*I81+D91/100*E82*I82)/H90</f>
        <v>12.394831175477673</v>
      </c>
      <c r="M90" s="337">
        <f ca="1">(D90/100*E81*J81+D91/100*E82*J82)/H90</f>
        <v>11.541600381019759</v>
      </c>
      <c r="N90" s="1911"/>
      <c r="O90" s="1911"/>
      <c r="P90" s="1911"/>
      <c r="Q90" s="1968"/>
      <c r="R90" s="1917"/>
      <c r="S90" s="1917"/>
      <c r="T90" s="1917"/>
      <c r="U90" s="1917"/>
      <c r="V90" s="1917"/>
      <c r="W90" s="346"/>
    </row>
    <row r="91" spans="1:23" x14ac:dyDescent="0.2">
      <c r="A91" s="436"/>
      <c r="B91" s="345"/>
      <c r="C91" s="442" t="s">
        <v>1205</v>
      </c>
      <c r="D91" s="1917">
        <f>CokingRefineryControls!C8</f>
        <v>1E-10</v>
      </c>
      <c r="E91" s="1917" t="s">
        <v>1194</v>
      </c>
      <c r="F91" s="1911" t="s">
        <v>1206</v>
      </c>
      <c r="G91" s="1917">
        <f ca="1">D91/100*D82+D92/100*D83</f>
        <v>2.3707335231703182E-8</v>
      </c>
      <c r="H91" s="1917">
        <f ca="1">D91/100*E82+D92/100*E83</f>
        <v>3.3671494514538405E-6</v>
      </c>
      <c r="I91" s="1917">
        <f ca="1">H91/G91/'Energy &amp; Unit Conversions'!$G$80</f>
        <v>893.34090072868867</v>
      </c>
      <c r="J91" s="1917">
        <f ca="1">(D91/100*E82*G82+D92/100*E83*G83)/H91</f>
        <v>0.17951891990527685</v>
      </c>
      <c r="K91" s="1917">
        <f ca="1">(D91/100*E82*H82+D92/100*E83*H83)/H91</f>
        <v>351.17639524015868</v>
      </c>
      <c r="L91" s="1917">
        <f ca="1">(D91/100*E82*I82+D92/100*E83*I83)/H91</f>
        <v>12.364759210045568</v>
      </c>
      <c r="M91" s="337">
        <f ca="1">(D91/100*E82*J82+D92/100*E83*J83)/H91</f>
        <v>11.562777021299938</v>
      </c>
      <c r="N91" s="1917"/>
      <c r="O91" s="1917"/>
      <c r="P91" s="1917"/>
      <c r="Q91" s="1969"/>
      <c r="R91" s="1917"/>
      <c r="S91" s="1917"/>
      <c r="T91" s="1917"/>
      <c r="U91" s="1917"/>
      <c r="V91" s="1917"/>
      <c r="W91" s="346"/>
    </row>
    <row r="92" spans="1:23" x14ac:dyDescent="0.2">
      <c r="A92" s="436"/>
      <c r="B92" s="345"/>
      <c r="C92" s="443" t="s">
        <v>1207</v>
      </c>
      <c r="D92" s="334">
        <f>CokingRefineryControls!C9</f>
        <v>1E-10</v>
      </c>
      <c r="E92" s="334" t="s">
        <v>1194</v>
      </c>
      <c r="F92" s="335" t="s">
        <v>1450</v>
      </c>
      <c r="G92" s="334">
        <f ca="1">D92/100*D83</f>
        <v>1.1182517606223303E-8</v>
      </c>
      <c r="H92" s="334">
        <f ca="1">D92/100*E83</f>
        <v>1.6094174951285068E-6</v>
      </c>
      <c r="I92" s="334">
        <f ca="1">H92/G92/'Energy &amp; Unit Conversions'!$G$80</f>
        <v>905.24616446001198</v>
      </c>
      <c r="J92" s="334">
        <f ca="1">(D92/100*G83*E83)/H92</f>
        <v>0.21055860465850654</v>
      </c>
      <c r="K92" s="334">
        <f ca="1">(D92/100*E83*H83)/H92</f>
        <v>573.33295706164199</v>
      </c>
      <c r="L92" s="334">
        <f ca="1">(D92/100*E83*I83)/H92</f>
        <v>12.331915988948797</v>
      </c>
      <c r="M92" s="338">
        <f ca="1">(D92/100*E83*J83)/H92</f>
        <v>11.585905176337866</v>
      </c>
      <c r="N92" s="1917"/>
      <c r="O92" s="1917"/>
      <c r="P92" s="1917"/>
      <c r="Q92" s="1969"/>
      <c r="R92" s="1917"/>
      <c r="S92" s="1917"/>
      <c r="T92" s="1917"/>
      <c r="U92" s="1917"/>
      <c r="V92" s="1917"/>
      <c r="W92" s="346"/>
    </row>
    <row r="93" spans="1:23" x14ac:dyDescent="0.2">
      <c r="A93" s="436"/>
      <c r="B93" s="345"/>
      <c r="C93" s="437"/>
      <c r="D93" s="1917"/>
      <c r="E93" s="1917"/>
      <c r="F93" s="1917"/>
      <c r="G93" s="1917"/>
      <c r="H93" s="1917"/>
      <c r="I93" s="1917"/>
      <c r="J93" s="1917"/>
      <c r="K93" s="1917"/>
      <c r="L93" s="1917"/>
      <c r="M93" s="1917"/>
      <c r="N93" s="1917"/>
      <c r="O93" s="1917"/>
      <c r="P93" s="1917"/>
      <c r="Q93" s="1969"/>
      <c r="R93" s="1917"/>
      <c r="S93" s="1917"/>
      <c r="T93" s="1917"/>
      <c r="U93" s="1917"/>
      <c r="V93" s="1917"/>
      <c r="W93" s="346"/>
    </row>
    <row r="94" spans="1:23" x14ac:dyDescent="0.2">
      <c r="A94" s="436"/>
      <c r="B94" s="345"/>
      <c r="C94" s="440" t="s">
        <v>285</v>
      </c>
      <c r="D94" s="350"/>
      <c r="E94" s="1917"/>
      <c r="F94" s="1917"/>
      <c r="G94" s="1917"/>
      <c r="H94" s="1917"/>
      <c r="I94" s="1917"/>
      <c r="J94" s="1917"/>
      <c r="K94" s="1917"/>
      <c r="L94" s="1917"/>
      <c r="M94" s="1917"/>
      <c r="N94" s="1917"/>
      <c r="O94" s="1917"/>
      <c r="P94" s="1917"/>
      <c r="Q94" s="1969"/>
      <c r="R94" s="1917"/>
      <c r="S94" s="1917"/>
      <c r="T94" s="1917"/>
      <c r="U94" s="1917"/>
      <c r="V94" s="1917"/>
      <c r="W94" s="346"/>
    </row>
    <row r="95" spans="1:23" x14ac:dyDescent="0.2">
      <c r="A95" s="436"/>
      <c r="B95" s="345"/>
      <c r="C95" s="445" t="s">
        <v>1208</v>
      </c>
      <c r="D95" s="1918" t="s">
        <v>1209</v>
      </c>
      <c r="E95" s="1918" t="s">
        <v>1210</v>
      </c>
      <c r="F95" s="356" t="s">
        <v>1211</v>
      </c>
      <c r="G95" s="1918" t="s">
        <v>1212</v>
      </c>
      <c r="H95" s="1918" t="s">
        <v>1213</v>
      </c>
      <c r="I95" s="356" t="s">
        <v>1214</v>
      </c>
      <c r="J95" s="1918" t="s">
        <v>1215</v>
      </c>
      <c r="K95" s="1918" t="s">
        <v>1216</v>
      </c>
      <c r="L95" s="1918"/>
      <c r="M95" s="1919"/>
      <c r="N95" s="1917"/>
      <c r="O95" s="1917"/>
      <c r="P95" s="1917"/>
      <c r="Q95" s="1969"/>
      <c r="R95" s="1917"/>
      <c r="S95" s="1917"/>
      <c r="T95" s="1917"/>
      <c r="U95" s="1917"/>
      <c r="V95" s="1917"/>
      <c r="W95" s="346"/>
    </row>
    <row r="96" spans="1:23" x14ac:dyDescent="0.2">
      <c r="A96" s="436"/>
      <c r="B96" s="345"/>
      <c r="C96" s="453">
        <f ca="1">D89/100*D80</f>
        <v>1.7316221609709408E-8</v>
      </c>
      <c r="D96" s="1917">
        <f>CokingRefineryControls!C10</f>
        <v>50</v>
      </c>
      <c r="E96" s="1917">
        <f>100-D96</f>
        <v>50</v>
      </c>
      <c r="F96" s="1917">
        <f ca="1">D80-D89/100*D80</f>
        <v>17316.221609692093</v>
      </c>
      <c r="G96" s="1917">
        <f ca="1">D96/100*G89</f>
        <v>8.6581108048547042E-9</v>
      </c>
      <c r="H96" s="1917">
        <f ca="1">G89-G96</f>
        <v>8.6581108048547042E-9</v>
      </c>
      <c r="I96" s="1917">
        <f ca="1">E80-D89/100*E80</f>
        <v>2157056.7659108015</v>
      </c>
      <c r="J96" s="1917">
        <f ca="1">D96/100*H89</f>
        <v>1.0785283829564791E-6</v>
      </c>
      <c r="K96" s="1917">
        <f ca="1">H89-J96</f>
        <v>1.0785283829564791E-6</v>
      </c>
      <c r="L96" s="1917"/>
      <c r="M96" s="337"/>
      <c r="N96" s="1917"/>
      <c r="O96" s="1917"/>
      <c r="P96" s="1917"/>
      <c r="Q96" s="1969"/>
      <c r="R96" s="1917"/>
      <c r="S96" s="1917"/>
      <c r="T96" s="1917"/>
      <c r="U96" s="1917"/>
      <c r="V96" s="1917"/>
      <c r="W96" s="346"/>
    </row>
    <row r="97" spans="1:23" x14ac:dyDescent="0.2">
      <c r="A97" s="436"/>
      <c r="B97" s="345"/>
      <c r="C97" s="453">
        <f ca="1">2*D90/100*D81</f>
        <v>0</v>
      </c>
      <c r="D97" s="1917">
        <f>CokingRefineryControls!C11</f>
        <v>50</v>
      </c>
      <c r="E97" s="1917">
        <f>100-D97</f>
        <v>50</v>
      </c>
      <c r="F97" s="1917">
        <f ca="1">D81-D90*2/100*D81</f>
        <v>26885.40784502351</v>
      </c>
      <c r="G97" s="1917">
        <f ca="1">D97/100*G90</f>
        <v>6.2624088127399394E-9</v>
      </c>
      <c r="H97" s="1917">
        <f ca="1">G90-G97</f>
        <v>6.2624088127399394E-9</v>
      </c>
      <c r="I97" s="1917">
        <f ca="1">E81-2*D90/100*E81</f>
        <v>3607246.9722799896</v>
      </c>
      <c r="J97" s="1917">
        <f ca="1">D97/100*H90</f>
        <v>8.7886597816266675E-7</v>
      </c>
      <c r="K97" s="1917">
        <f ca="1">H90-J97</f>
        <v>8.7886597816266675E-7</v>
      </c>
      <c r="L97" s="1917"/>
      <c r="M97" s="337"/>
      <c r="N97" s="1917"/>
      <c r="O97" s="1917"/>
      <c r="P97" s="1917"/>
      <c r="Q97" s="1969"/>
      <c r="R97" s="1917"/>
      <c r="S97" s="1917"/>
      <c r="T97" s="1917"/>
      <c r="U97" s="1917"/>
      <c r="V97" s="1917"/>
      <c r="W97" s="346"/>
    </row>
    <row r="98" spans="1:23" x14ac:dyDescent="0.2">
      <c r="A98" s="436"/>
      <c r="B98" s="345"/>
      <c r="C98" s="453">
        <f ca="1">2*D91/100*D82</f>
        <v>2.5049635250959757E-8</v>
      </c>
      <c r="D98" s="1917">
        <f>CokingRefineryControls!C12</f>
        <v>50</v>
      </c>
      <c r="E98" s="1917">
        <f>100-D98</f>
        <v>50</v>
      </c>
      <c r="F98" s="1917">
        <f ca="1">D82-D91*2/100*D82</f>
        <v>12524.817625454829</v>
      </c>
      <c r="G98" s="1917">
        <f ca="1">D98/100*G91</f>
        <v>1.1853667615851591E-8</v>
      </c>
      <c r="H98" s="1917">
        <f ca="1">G91-G98</f>
        <v>1.1853667615851591E-8</v>
      </c>
      <c r="I98" s="1917">
        <f ca="1">E82-2*D91/100*E82</f>
        <v>1757731.9563218181</v>
      </c>
      <c r="J98" s="1917">
        <f ca="1">D98/100*H91</f>
        <v>1.6835747257269203E-6</v>
      </c>
      <c r="K98" s="1917">
        <f ca="1">H91-J98</f>
        <v>1.6835747257269203E-6</v>
      </c>
      <c r="L98" s="1917"/>
      <c r="M98" s="337"/>
      <c r="N98" s="1917"/>
      <c r="O98" s="1917"/>
      <c r="P98" s="1917"/>
      <c r="Q98" s="1969"/>
      <c r="R98" s="1917"/>
      <c r="S98" s="1917"/>
      <c r="T98" s="1917"/>
      <c r="U98" s="1917"/>
      <c r="V98" s="1917"/>
      <c r="W98" s="346"/>
    </row>
    <row r="99" spans="1:23" x14ac:dyDescent="0.2">
      <c r="A99" s="436"/>
      <c r="B99" s="345"/>
      <c r="C99" s="453">
        <f ca="1">2*D92/100*D83</f>
        <v>2.2365035212446607E-8</v>
      </c>
      <c r="D99" s="1917">
        <f>CokingRefineryControls!C13</f>
        <v>50</v>
      </c>
      <c r="E99" s="1917">
        <f>100-D99</f>
        <v>50</v>
      </c>
      <c r="F99" s="1917">
        <f ca="1">D83-D92*2/100*D83</f>
        <v>11182.51760620094</v>
      </c>
      <c r="G99" s="1917">
        <f ca="1">D99/100*G92</f>
        <v>5.5912588031116516E-9</v>
      </c>
      <c r="H99" s="1917">
        <f ca="1">G92-G99</f>
        <v>5.5912588031116516E-9</v>
      </c>
      <c r="I99" s="1917">
        <f ca="1">E83-2*D92/100*E83</f>
        <v>1609417.4951252879</v>
      </c>
      <c r="J99" s="1917">
        <f ca="1">D99/100*H92</f>
        <v>8.047087475642534E-7</v>
      </c>
      <c r="K99" s="1917">
        <f ca="1">H92-J99</f>
        <v>8.047087475642534E-7</v>
      </c>
      <c r="L99" s="1917"/>
      <c r="M99" s="337"/>
      <c r="N99" s="1917"/>
      <c r="O99" s="1917"/>
      <c r="P99" s="1917"/>
      <c r="Q99" s="1969"/>
      <c r="R99" s="1917"/>
      <c r="S99" s="1917"/>
      <c r="T99" s="1917"/>
      <c r="U99" s="1917"/>
      <c r="V99" s="1917"/>
      <c r="W99" s="346"/>
    </row>
    <row r="100" spans="1:23" x14ac:dyDescent="0.2">
      <c r="A100" s="436"/>
      <c r="B100" s="345"/>
      <c r="C100" s="452">
        <f ca="1">SUM(C96:C99)</f>
        <v>6.4730892073115769E-8</v>
      </c>
      <c r="D100" s="334"/>
      <c r="E100" s="334"/>
      <c r="F100" s="334">
        <f ca="1">SUM(F96:F99)</f>
        <v>67908.964686371371</v>
      </c>
      <c r="G100" s="334"/>
      <c r="H100" s="334"/>
      <c r="I100" s="334"/>
      <c r="J100" s="334"/>
      <c r="K100" s="334"/>
      <c r="L100" s="334"/>
      <c r="M100" s="338"/>
      <c r="N100" s="1917"/>
      <c r="O100" s="1917"/>
      <c r="P100" s="1917"/>
      <c r="Q100" s="1969"/>
      <c r="R100" s="1917"/>
      <c r="S100" s="1917"/>
      <c r="T100" s="1917"/>
      <c r="U100" s="1917"/>
      <c r="V100" s="1917"/>
      <c r="W100" s="346"/>
    </row>
    <row r="101" spans="1:23" x14ac:dyDescent="0.2">
      <c r="A101" s="436"/>
      <c r="B101" s="345"/>
      <c r="C101" s="437"/>
      <c r="D101" s="1917"/>
      <c r="E101" s="1917"/>
      <c r="F101" s="1917"/>
      <c r="G101" s="1917"/>
      <c r="H101" s="1917"/>
      <c r="I101" s="1917"/>
      <c r="J101" s="1917"/>
      <c r="K101" s="1917"/>
      <c r="L101" s="1917"/>
      <c r="M101" s="1917"/>
      <c r="N101" s="1917"/>
      <c r="O101" s="1917"/>
      <c r="P101" s="1917"/>
      <c r="Q101" s="1969"/>
      <c r="R101" s="1917"/>
      <c r="S101" s="1917"/>
      <c r="T101" s="1917"/>
      <c r="U101" s="1917"/>
      <c r="V101" s="1917"/>
      <c r="W101" s="346"/>
    </row>
    <row r="102" spans="1:23" x14ac:dyDescent="0.2">
      <c r="A102" s="436"/>
      <c r="B102" s="345"/>
      <c r="C102" s="440" t="s">
        <v>286</v>
      </c>
      <c r="D102" s="350"/>
      <c r="E102" s="350"/>
      <c r="F102" s="360"/>
      <c r="G102" s="1917"/>
      <c r="H102" s="1917"/>
      <c r="I102" s="1917"/>
      <c r="J102" s="1917"/>
      <c r="K102" s="1917"/>
      <c r="L102" s="1917"/>
      <c r="M102" s="1917"/>
      <c r="N102" s="1917"/>
      <c r="O102" s="1917"/>
      <c r="P102" s="1917"/>
      <c r="Q102" s="1969"/>
      <c r="R102" s="1917"/>
      <c r="S102" s="1917"/>
      <c r="T102" s="1917"/>
      <c r="U102" s="1917"/>
      <c r="V102" s="1917"/>
      <c r="W102" s="346"/>
    </row>
    <row r="103" spans="1:23" ht="25.5" x14ac:dyDescent="0.2">
      <c r="A103" s="436"/>
      <c r="B103" s="345"/>
      <c r="C103" s="463"/>
      <c r="D103" s="492" t="s">
        <v>287</v>
      </c>
      <c r="E103" s="493" t="s">
        <v>580</v>
      </c>
      <c r="F103" s="492" t="s">
        <v>288</v>
      </c>
      <c r="G103" s="493" t="s">
        <v>663</v>
      </c>
      <c r="H103" s="402" t="s">
        <v>784</v>
      </c>
      <c r="I103" s="493" t="s">
        <v>662</v>
      </c>
      <c r="J103" s="493" t="s">
        <v>567</v>
      </c>
      <c r="K103" s="493" t="s">
        <v>806</v>
      </c>
      <c r="L103" s="493" t="s">
        <v>544</v>
      </c>
      <c r="M103" s="1915"/>
      <c r="N103" s="329"/>
      <c r="O103" s="329"/>
      <c r="P103" s="329"/>
      <c r="Q103" s="329"/>
      <c r="R103" s="329"/>
      <c r="S103" s="1917"/>
      <c r="T103" s="1917"/>
      <c r="U103" s="1917"/>
      <c r="V103" s="1917"/>
      <c r="W103" s="346"/>
    </row>
    <row r="104" spans="1:23" x14ac:dyDescent="0.2">
      <c r="A104" s="436"/>
      <c r="B104" s="345"/>
      <c r="C104" s="461" t="s">
        <v>445</v>
      </c>
      <c r="D104" s="1917">
        <f ca="1">F96+G96</f>
        <v>17316.221609700751</v>
      </c>
      <c r="E104" s="1917">
        <f ca="1">F104/D104/'Energy &amp; Unit Conversions'!$G$80</f>
        <v>783.51263639619344</v>
      </c>
      <c r="F104" s="1917">
        <f ca="1">I96+J96</f>
        <v>2157056.7659118799</v>
      </c>
      <c r="G104" s="1917">
        <f ca="1">(I96*G80+J96*J89)/F104</f>
        <v>0</v>
      </c>
      <c r="H104" s="1917">
        <f ca="1">(I96*H80+J96*K89)/F104</f>
        <v>0</v>
      </c>
      <c r="I104" s="1917">
        <f ca="1">(I96*I80+J96*L89)/F104</f>
        <v>13.50174052285624</v>
      </c>
      <c r="J104" s="1917">
        <f ca="1">141.5/(E104/1000)-131.5</f>
        <v>49.096959674877127</v>
      </c>
      <c r="K104" s="1917">
        <f ca="1">(I96*J80+J96*M89)/F104</f>
        <v>11.538317381501683</v>
      </c>
      <c r="L104" s="184"/>
      <c r="M104" s="184"/>
      <c r="N104" s="329"/>
      <c r="O104" s="329"/>
      <c r="P104" s="329"/>
      <c r="Q104" s="329"/>
      <c r="R104" s="329"/>
      <c r="S104" s="1917"/>
      <c r="T104" s="1917"/>
      <c r="U104" s="1917"/>
      <c r="V104" s="1917"/>
      <c r="W104" s="346"/>
    </row>
    <row r="105" spans="1:23" x14ac:dyDescent="0.2">
      <c r="A105" s="436"/>
      <c r="B105" s="345"/>
      <c r="C105" s="461" t="s">
        <v>1217</v>
      </c>
      <c r="D105" s="1917">
        <f ca="1">F97+H96+G97</f>
        <v>26885.40784503843</v>
      </c>
      <c r="E105" s="1917">
        <f ca="1">F105/D105/'Energy &amp; Unit Conversions'!$G$80</f>
        <v>843.91132412132015</v>
      </c>
      <c r="F105" s="1917">
        <f ca="1">I97+K96+J97</f>
        <v>3607246.9722819468</v>
      </c>
      <c r="G105" s="1917">
        <f ca="1">(I97*G81+K96*J89+J97*J90)/F105</f>
        <v>6.4870288839055754E-2</v>
      </c>
      <c r="H105" s="1917">
        <f ca="1">(I97*H81+K96*K89+J97*K90)/F105</f>
        <v>3.6001321362723841E-11</v>
      </c>
      <c r="I105" s="1917">
        <f ca="1">(I97*I81+K96*L89+J97*L90)/F105</f>
        <v>12.638480433923533</v>
      </c>
      <c r="J105" s="1917">
        <f ca="1">141.5/(E105/1000)-131.5</f>
        <v>36.171645059781241</v>
      </c>
      <c r="K105" s="1917">
        <f ca="1">(I97*J81+K96*M89+J97*M90)/F105</f>
        <v>11.509389111178722</v>
      </c>
      <c r="L105" s="329"/>
      <c r="M105" s="339"/>
      <c r="N105" s="329"/>
      <c r="O105" s="329"/>
      <c r="P105" s="329"/>
      <c r="Q105" s="329"/>
      <c r="R105" s="329"/>
      <c r="S105" s="1917"/>
      <c r="T105" s="1917"/>
      <c r="U105" s="1917"/>
      <c r="V105" s="1917"/>
      <c r="W105" s="346"/>
    </row>
    <row r="106" spans="1:23" x14ac:dyDescent="0.2">
      <c r="A106" s="436"/>
      <c r="B106" s="345"/>
      <c r="C106" s="461" t="s">
        <v>446</v>
      </c>
      <c r="D106" s="1917">
        <f ca="1">F98+H97+G98</f>
        <v>12524.817625472946</v>
      </c>
      <c r="E106" s="1917">
        <f ca="1">F106/D106/'Energy &amp; Unit Conversions'!$G$80</f>
        <v>882.71153866825466</v>
      </c>
      <c r="F106" s="1917">
        <f ca="1">I98+J98+K97</f>
        <v>1757731.9563243806</v>
      </c>
      <c r="G106" s="1917">
        <f ca="1">(I98*G82+K97*J90+J98*J91)/F106</f>
        <v>0.15109831145852037</v>
      </c>
      <c r="H106" s="1917">
        <f ca="1">(I98*H82+K97*K90+J98*K91)/F106</f>
        <v>147.76502983481029</v>
      </c>
      <c r="I106" s="1917">
        <f ca="1">(I98*I82+K97*L90+J98*L91)/F106</f>
        <v>12.394831175477645</v>
      </c>
      <c r="J106" s="1917">
        <f ca="1">141.5/(E106/1000)-131.5</f>
        <v>28.801518447896115</v>
      </c>
      <c r="K106" s="1917">
        <f ca="1">(I98*J82+K97*M90+J98*M91)/F106</f>
        <v>11.54160038101978</v>
      </c>
      <c r="L106" s="1917"/>
      <c r="M106" s="339"/>
      <c r="N106" s="329"/>
      <c r="O106" s="329"/>
      <c r="P106" s="329"/>
      <c r="Q106" s="329"/>
      <c r="R106" s="329"/>
      <c r="S106" s="1917"/>
      <c r="T106" s="1917"/>
      <c r="U106" s="1917"/>
      <c r="V106" s="1917"/>
      <c r="W106" s="346"/>
    </row>
    <row r="107" spans="1:23" x14ac:dyDescent="0.2">
      <c r="A107" s="436"/>
      <c r="B107" s="345"/>
      <c r="C107" s="461" t="s">
        <v>1218</v>
      </c>
      <c r="D107" s="1917">
        <f ca="1">F99+H98+G99</f>
        <v>11182.517606218385</v>
      </c>
      <c r="E107" s="1917">
        <f ca="1">F107/D107/'Energy &amp; Unit Conversions'!$G$80</f>
        <v>905.24616445999914</v>
      </c>
      <c r="F107" s="1917">
        <f ca="1">I99+J99+K98</f>
        <v>1609417.4951277762</v>
      </c>
      <c r="G107" s="1917">
        <f ca="1">(I99*G83+K98*J91+J99*J92)/F107</f>
        <v>0.21055860465847406</v>
      </c>
      <c r="H107" s="1917">
        <f ca="1">(I99*H83+K98*K91+J99*K92)/F107</f>
        <v>573.33295706140962</v>
      </c>
      <c r="I107" s="1917">
        <f ca="1">(I99*I83+K98*L91+J99*L92)/F107</f>
        <v>12.331915988948833</v>
      </c>
      <c r="J107" s="1917">
        <f ca="1">141.5/(E107/1000)-131.5</f>
        <v>24.811073777824959</v>
      </c>
      <c r="K107" s="1917">
        <f ca="1">(I99*J83+K98*M91+J99*M92)/F107</f>
        <v>11.585905176337844</v>
      </c>
      <c r="L107" s="1917"/>
      <c r="M107" s="339"/>
      <c r="N107" s="329"/>
      <c r="O107" s="329"/>
      <c r="P107" s="329"/>
      <c r="Q107" s="329"/>
      <c r="R107" s="329"/>
      <c r="S107" s="1917"/>
      <c r="T107" s="1917"/>
      <c r="U107" s="1917"/>
      <c r="V107" s="1917"/>
      <c r="W107" s="346"/>
    </row>
    <row r="108" spans="1:23" x14ac:dyDescent="0.2">
      <c r="A108" s="436"/>
      <c r="B108" s="345"/>
      <c r="C108" s="461" t="s">
        <v>607</v>
      </c>
      <c r="D108" s="370">
        <f ca="1">IF(CokingRefineryConfig=0,0.00000000000001,'Assay Inventory'!N12+H99)</f>
        <v>1E-14</v>
      </c>
      <c r="E108" s="370">
        <f ca="1">IF(CokingRefineryConfig=0,0,F108/D108/'Energy &amp; Unit Conversions'!$G$80)</f>
        <v>0</v>
      </c>
      <c r="F108" s="370">
        <f ca="1">IF(CokingRefineryConfig=0,0.00000000000001,'Assay Inventory'!N14+K99)</f>
        <v>1E-14</v>
      </c>
      <c r="G108" s="370">
        <f ca="1">IF(CokingRefineryConfig=0,0.00000000000001,('Assay Inventory'!N14*'Assay Inventory'!N15+K99*J92)/F108)</f>
        <v>1E-14</v>
      </c>
      <c r="H108" s="370">
        <f ca="1">IF(CokingRefineryConfig=0,0.00000000000001,('Assay Inventory'!N14*'Assay Inventory'!N16+K99*K92)/F108)</f>
        <v>1E-14</v>
      </c>
      <c r="I108" s="370">
        <f ca="1">IF(CokingRefineryConfig=0,0.00000000000001,('Assay Inventory'!N14*'Assay Inventory'!N19+K99*L92)/F108)</f>
        <v>1E-14</v>
      </c>
      <c r="J108" s="370">
        <f ca="1">IF(CokingRefineryConfig=0,0.00000000000001,141.5/(E108/1000)-131.5)</f>
        <v>1E-14</v>
      </c>
      <c r="K108" s="370">
        <f ca="1">IF(CokingRefineryConfig=0,0.00000000000001,('Assay Inventory'!N14*'Assay Inventory'!N21+K99*M92)/F108)</f>
        <v>1E-14</v>
      </c>
      <c r="L108" s="370">
        <f ca="1">'Assay Inventory'!N20</f>
        <v>4.4374255523499508</v>
      </c>
      <c r="M108" s="339"/>
      <c r="N108" s="329"/>
      <c r="O108" s="329"/>
      <c r="P108" s="329"/>
      <c r="Q108" s="329"/>
      <c r="R108" s="329"/>
      <c r="S108" s="1917"/>
      <c r="T108" s="1917"/>
      <c r="U108" s="1917"/>
      <c r="V108" s="1917"/>
      <c r="W108" s="346"/>
    </row>
    <row r="109" spans="1:23" x14ac:dyDescent="0.2">
      <c r="A109" s="436"/>
      <c r="B109" s="345"/>
      <c r="C109" s="462" t="s">
        <v>1451</v>
      </c>
      <c r="D109" s="1914">
        <f ca="1">'Assay Inventory'!N12+H99-D108</f>
        <v>28238.054386069471</v>
      </c>
      <c r="E109" s="494">
        <f ca="1">IF(CokingRefineryConfig=0,(F109/D109/'Energy &amp; Unit Conversions'!$G$80),0)</f>
        <v>824.46394358863085</v>
      </c>
      <c r="F109" s="1914">
        <f ca="1">('Assay Inventory'!N14+K99)-F108</f>
        <v>3701424.2988945264</v>
      </c>
      <c r="G109" s="494">
        <f ca="1">IF(CokingRefineryConfig=0,('Assay Inventory'!N14*'Assay Inventory'!N15+K99*J92)/F109,0)</f>
        <v>0.40136935229490656</v>
      </c>
      <c r="H109" s="494">
        <f ca="1">IF(CokingRefineryConfig=0,('Assay Inventory'!N14*'Assay Inventory'!N16+K99*K92)/F109,0)</f>
        <v>3219.120060751759</v>
      </c>
      <c r="I109" s="494">
        <f ca="1">IF(CokingRefineryConfig=0,('Assay Inventory'!N14*'Assay Inventory'!N19+K99*L92)/F109,0)</f>
        <v>12.849096068230512</v>
      </c>
      <c r="J109" s="494">
        <f ca="1">IF(CokingRefineryConfig=0,141.5/(E109/1000)-131.5,0)</f>
        <v>40.126668577033513</v>
      </c>
      <c r="K109" s="494">
        <f ca="1">IF(CokingRefineryConfig=0,('Assay Inventory'!N14*'Assay Inventory'!N21+K99*M92)/F109,0)</f>
        <v>11.510907375147324</v>
      </c>
      <c r="L109" s="1914"/>
      <c r="M109" s="1916"/>
      <c r="N109" s="329"/>
      <c r="O109" s="329"/>
      <c r="P109" s="329"/>
      <c r="Q109" s="329"/>
      <c r="R109" s="329"/>
      <c r="S109" s="1917"/>
      <c r="T109" s="1917"/>
      <c r="U109" s="1917"/>
      <c r="V109" s="1917"/>
      <c r="W109" s="346"/>
    </row>
    <row r="110" spans="1:23" x14ac:dyDescent="0.2">
      <c r="A110" s="436"/>
      <c r="B110" s="345"/>
      <c r="C110" s="437"/>
      <c r="D110" s="1917"/>
      <c r="E110" s="1917"/>
      <c r="F110" s="1917"/>
      <c r="G110" s="1917"/>
      <c r="H110" s="1917"/>
      <c r="I110" s="1917"/>
      <c r="J110" s="1917"/>
      <c r="K110" s="1917"/>
      <c r="L110" s="1917"/>
      <c r="M110" s="1917"/>
      <c r="N110" s="1917"/>
      <c r="O110" s="1917"/>
      <c r="P110" s="1917"/>
      <c r="Q110" s="1969"/>
      <c r="R110" s="1917"/>
      <c r="S110" s="1917"/>
      <c r="T110" s="1917"/>
      <c r="U110" s="1917"/>
      <c r="V110" s="1917"/>
      <c r="W110" s="346"/>
    </row>
    <row r="111" spans="1:23" x14ac:dyDescent="0.2">
      <c r="A111" s="436"/>
      <c r="B111" s="345"/>
      <c r="C111" s="440" t="s">
        <v>1452</v>
      </c>
      <c r="D111" s="350"/>
      <c r="E111" s="1917"/>
      <c r="F111" s="1917"/>
      <c r="G111" s="1917"/>
      <c r="H111" s="1917"/>
      <c r="I111" s="1917"/>
      <c r="J111" s="1917"/>
      <c r="K111" s="1917"/>
      <c r="L111" s="1917"/>
      <c r="M111" s="1917"/>
      <c r="N111" s="1917"/>
      <c r="O111" s="1917"/>
      <c r="P111" s="1917"/>
      <c r="Q111" s="1969"/>
      <c r="R111" s="1917"/>
      <c r="S111" s="1917"/>
      <c r="T111" s="1917"/>
      <c r="U111" s="1917"/>
      <c r="V111" s="1917"/>
      <c r="W111" s="346"/>
    </row>
    <row r="112" spans="1:23" ht="14.25" x14ac:dyDescent="0.2">
      <c r="A112" s="436"/>
      <c r="B112" s="345"/>
      <c r="C112" s="441" t="str">
        <f t="shared" ref="C112:D122" si="7">C46</f>
        <v>Property</v>
      </c>
      <c r="D112" s="1918" t="str">
        <f t="shared" si="7"/>
        <v>Units</v>
      </c>
      <c r="E112" s="1918" t="s">
        <v>1219</v>
      </c>
      <c r="F112" s="1918" t="s">
        <v>575</v>
      </c>
      <c r="G112" s="1918" t="s">
        <v>576</v>
      </c>
      <c r="H112" s="1919" t="s">
        <v>653</v>
      </c>
      <c r="I112" s="1917"/>
      <c r="J112" s="1917"/>
      <c r="K112" s="1917"/>
      <c r="L112" s="1917"/>
      <c r="M112" s="1917"/>
      <c r="N112" s="1917"/>
      <c r="O112" s="1917"/>
      <c r="P112" s="1917"/>
      <c r="Q112" s="1969"/>
      <c r="R112" s="1917"/>
      <c r="S112" s="1917"/>
      <c r="T112" s="1917"/>
      <c r="U112" s="1917"/>
      <c r="V112" s="1917"/>
      <c r="W112" s="346"/>
    </row>
    <row r="113" spans="1:23" x14ac:dyDescent="0.2">
      <c r="A113" s="436"/>
      <c r="B113" s="345"/>
      <c r="C113" s="442" t="str">
        <f t="shared" si="7"/>
        <v>Vol Flow</v>
      </c>
      <c r="D113" s="1917" t="str">
        <f ca="1">D47</f>
        <v>bpd</v>
      </c>
      <c r="E113" s="1917">
        <f ca="1">H99</f>
        <v>5.5912588031116516E-9</v>
      </c>
      <c r="F113" s="1917">
        <f ca="1">'Assay Inventory'!K12</f>
        <v>8218.2707229657353</v>
      </c>
      <c r="G113" s="1917">
        <f ca="1">'Assay Inventory'!L12</f>
        <v>6475.5173608741952</v>
      </c>
      <c r="H113" s="337">
        <f ca="1">'Assay Inventory'!M12</f>
        <v>9035.8995417507103</v>
      </c>
      <c r="I113" s="1917"/>
      <c r="J113" s="1917"/>
      <c r="K113" s="1917"/>
      <c r="L113" s="1917"/>
      <c r="M113" s="1917"/>
      <c r="N113" s="1917"/>
      <c r="O113" s="1917"/>
      <c r="P113" s="1917"/>
      <c r="Q113" s="1969"/>
      <c r="R113" s="1917"/>
      <c r="S113" s="1917"/>
      <c r="T113" s="1917"/>
      <c r="U113" s="1917"/>
      <c r="V113" s="1917"/>
      <c r="W113" s="346"/>
    </row>
    <row r="114" spans="1:23" x14ac:dyDescent="0.2">
      <c r="A114" s="436"/>
      <c r="B114" s="345"/>
      <c r="C114" s="442" t="str">
        <f t="shared" si="7"/>
        <v>Vol Flow</v>
      </c>
      <c r="D114" s="1917" t="str">
        <f ca="1">D48</f>
        <v>m^3/d</v>
      </c>
      <c r="E114" s="1917">
        <f ca="1">E113*'Energy &amp; Unit Conversions'!G80</f>
        <v>8.889391407079531E-10</v>
      </c>
      <c r="F114" s="1917">
        <f ca="1">'Assay Inventory'!K13</f>
        <v>1306.7050449515521</v>
      </c>
      <c r="G114" s="1917">
        <f ca="1">'Assay Inventory'!L13</f>
        <v>1029.6072603789971</v>
      </c>
      <c r="H114" s="337">
        <f ca="1">'Assay Inventory'!M13</f>
        <v>1436.7080271383629</v>
      </c>
      <c r="I114" s="1917"/>
      <c r="J114" s="1917"/>
      <c r="K114" s="1917"/>
      <c r="L114" s="1917"/>
      <c r="M114" s="1917"/>
      <c r="N114" s="1917"/>
      <c r="O114" s="1917"/>
      <c r="P114" s="1917"/>
      <c r="Q114" s="1969"/>
      <c r="R114" s="1917"/>
      <c r="S114" s="1917"/>
      <c r="T114" s="1917"/>
      <c r="U114" s="1917"/>
      <c r="V114" s="1917"/>
      <c r="W114" s="346"/>
    </row>
    <row r="115" spans="1:23" ht="12.75" customHeight="1" x14ac:dyDescent="0.2">
      <c r="A115" s="436"/>
      <c r="B115" s="345"/>
      <c r="C115" s="442" t="str">
        <f t="shared" si="7"/>
        <v>Mass Flow</v>
      </c>
      <c r="D115" s="1917" t="str">
        <f t="shared" si="7"/>
        <v>kg/d</v>
      </c>
      <c r="E115" s="1917">
        <f ca="1">K99</f>
        <v>8.047087475642534E-7</v>
      </c>
      <c r="F115" s="1917">
        <f ca="1">'Assay Inventory'!K14</f>
        <v>1209891.7354650162</v>
      </c>
      <c r="G115" s="1917">
        <f ca="1">'Assay Inventory'!L14</f>
        <v>975521.165617669</v>
      </c>
      <c r="H115" s="337">
        <f ca="1">'Assay Inventory'!M14</f>
        <v>1516011.3978110366</v>
      </c>
      <c r="I115" s="1917"/>
      <c r="J115" s="317"/>
      <c r="K115" s="317"/>
      <c r="L115" s="317"/>
      <c r="M115" s="317"/>
      <c r="N115" s="317"/>
      <c r="O115" s="317"/>
      <c r="P115" s="1917"/>
      <c r="Q115" s="1969"/>
      <c r="R115" s="1917"/>
      <c r="S115" s="1917"/>
      <c r="T115" s="1917"/>
      <c r="U115" s="1917"/>
      <c r="V115" s="1917"/>
      <c r="W115" s="346"/>
    </row>
    <row r="116" spans="1:23" ht="12.75" customHeight="1" x14ac:dyDescent="0.2">
      <c r="A116" s="436"/>
      <c r="B116" s="345"/>
      <c r="C116" s="442" t="str">
        <f t="shared" si="7"/>
        <v xml:space="preserve">Sulphur </v>
      </c>
      <c r="D116" s="1917" t="str">
        <f t="shared" ref="D116:D122" ca="1" si="8">D50</f>
        <v>wt%</v>
      </c>
      <c r="E116" s="1917">
        <f ca="1">J92</f>
        <v>0.21055860465850654</v>
      </c>
      <c r="F116" s="1917">
        <f ca="1">'Assay Inventory'!K15</f>
        <v>0.27398518285937168</v>
      </c>
      <c r="G116" s="1917">
        <f ca="1">'Assay Inventory'!L15</f>
        <v>0.34883282222603118</v>
      </c>
      <c r="H116" s="337">
        <f ca="1">'Assay Inventory'!M15</f>
        <v>0.53683769453568042</v>
      </c>
      <c r="I116" s="1917"/>
      <c r="J116" s="317"/>
      <c r="K116" s="317"/>
      <c r="L116" s="317"/>
      <c r="M116" s="317"/>
      <c r="N116" s="317"/>
      <c r="O116" s="317"/>
      <c r="P116" s="1917"/>
      <c r="Q116" s="1969"/>
      <c r="R116" s="1917"/>
      <c r="S116" s="1917"/>
      <c r="T116" s="1917"/>
      <c r="U116" s="1917"/>
      <c r="V116" s="1917"/>
      <c r="W116" s="346"/>
    </row>
    <row r="117" spans="1:23" ht="12.75" customHeight="1" x14ac:dyDescent="0.2">
      <c r="A117" s="436"/>
      <c r="B117" s="345"/>
      <c r="C117" s="442" t="str">
        <f t="shared" si="7"/>
        <v xml:space="preserve">Nitrogen </v>
      </c>
      <c r="D117" s="1917" t="str">
        <f t="shared" ca="1" si="8"/>
        <v>mass ppm</v>
      </c>
      <c r="E117" s="1917">
        <f ca="1">K92</f>
        <v>573.33295706164199</v>
      </c>
      <c r="F117" s="1917">
        <f ca="1">'Assay Inventory'!K16</f>
        <v>1315.9260423987175</v>
      </c>
      <c r="G117" s="1917">
        <f ca="1">'Assay Inventory'!L16</f>
        <v>2546.2715056129705</v>
      </c>
      <c r="H117" s="337">
        <f ca="1">'Assay Inventory'!M16</f>
        <v>5170.9765737434327</v>
      </c>
      <c r="I117" s="1917"/>
      <c r="J117" s="317"/>
      <c r="K117" s="317"/>
      <c r="L117" s="317"/>
      <c r="M117" s="317"/>
      <c r="N117" s="317"/>
      <c r="O117" s="317"/>
      <c r="P117" s="1917"/>
      <c r="Q117" s="1969"/>
      <c r="R117" s="1917"/>
      <c r="S117" s="1917"/>
      <c r="T117" s="1917"/>
      <c r="U117" s="1917"/>
      <c r="V117" s="1917"/>
      <c r="W117" s="346"/>
    </row>
    <row r="118" spans="1:23" x14ac:dyDescent="0.2">
      <c r="A118" s="436"/>
      <c r="B118" s="345"/>
      <c r="C118" s="442" t="str">
        <f t="shared" si="7"/>
        <v xml:space="preserve">API gravity </v>
      </c>
      <c r="D118" s="1917" t="str">
        <f t="shared" ca="1" si="8"/>
        <v>oAPI</v>
      </c>
      <c r="E118" s="1917">
        <f ca="1">141.5/(E119/1000)-131.5</f>
        <v>24.81107377782277</v>
      </c>
      <c r="F118" s="1917">
        <f ca="1">'Assay Inventory'!K17</f>
        <v>21.169746955325756</v>
      </c>
      <c r="G118" s="1917">
        <f ca="1">'Assay Inventory'!L17</f>
        <v>17.695879132085047</v>
      </c>
      <c r="H118" s="337">
        <f ca="1">'Assay Inventory'!M17</f>
        <v>2.4639609223786181</v>
      </c>
      <c r="I118" s="1917"/>
      <c r="J118" s="1917"/>
      <c r="K118" s="1917"/>
      <c r="L118" s="1917"/>
      <c r="M118" s="1917"/>
      <c r="N118" s="1917"/>
      <c r="O118" s="1917"/>
      <c r="P118" s="1917"/>
      <c r="Q118" s="1969"/>
      <c r="R118" s="1917"/>
      <c r="S118" s="1917"/>
      <c r="T118" s="1917"/>
      <c r="U118" s="1917"/>
      <c r="V118" s="1917"/>
      <c r="W118" s="346"/>
    </row>
    <row r="119" spans="1:23" x14ac:dyDescent="0.2">
      <c r="A119" s="436"/>
      <c r="B119" s="345"/>
      <c r="C119" s="442" t="str">
        <f t="shared" si="7"/>
        <v>Density</v>
      </c>
      <c r="D119" s="1917" t="str">
        <f t="shared" ca="1" si="8"/>
        <v>kg/m^3</v>
      </c>
      <c r="E119" s="1917">
        <f ca="1">I92</f>
        <v>905.24616446001198</v>
      </c>
      <c r="F119" s="1917">
        <f ca="1">'Assay Inventory'!K18</f>
        <v>925.910357612398</v>
      </c>
      <c r="G119" s="1917">
        <f ca="1">'Assay Inventory'!L18</f>
        <v>947.46919836072334</v>
      </c>
      <c r="H119" s="337">
        <f ca="1">'Assay Inventory'!M18</f>
        <v>1055.1979728481299</v>
      </c>
      <c r="I119" s="1917"/>
      <c r="J119" s="1917"/>
      <c r="K119" s="1917"/>
      <c r="L119" s="1917"/>
      <c r="M119" s="1917"/>
      <c r="N119" s="1917"/>
      <c r="O119" s="1917"/>
      <c r="P119" s="1917"/>
      <c r="Q119" s="1969"/>
      <c r="R119" s="1917"/>
      <c r="S119" s="1917"/>
      <c r="T119" s="1917"/>
      <c r="U119" s="1917"/>
      <c r="V119" s="1917"/>
      <c r="W119" s="346"/>
    </row>
    <row r="120" spans="1:23" x14ac:dyDescent="0.2">
      <c r="A120" s="436"/>
      <c r="B120" s="345"/>
      <c r="C120" s="442" t="str">
        <f t="shared" si="7"/>
        <v>Hydrogen</v>
      </c>
      <c r="D120" s="1917" t="str">
        <f t="shared" ca="1" si="8"/>
        <v>wt%</v>
      </c>
      <c r="E120" s="1917">
        <f ca="1">L92</f>
        <v>12.331915988948797</v>
      </c>
      <c r="F120" s="1917">
        <f ca="1">'Assay Inventory'!K19</f>
        <v>12.271763653145852</v>
      </c>
      <c r="G120" s="1917">
        <f ca="1">'Assay Inventory'!L19</f>
        <v>12.125465535911589</v>
      </c>
      <c r="H120" s="337">
        <f ca="1">'Assay Inventory'!M19</f>
        <v>13.775491885583563</v>
      </c>
      <c r="I120" s="1917"/>
      <c r="J120" s="1917"/>
      <c r="K120" s="1917"/>
      <c r="L120" s="1917"/>
      <c r="M120" s="1917"/>
      <c r="N120" s="1917"/>
      <c r="O120" s="1917"/>
      <c r="P120" s="1917"/>
      <c r="Q120" s="1969"/>
      <c r="R120" s="1917"/>
      <c r="S120" s="1917"/>
      <c r="T120" s="1917"/>
      <c r="U120" s="1917"/>
      <c r="V120" s="1917"/>
      <c r="W120" s="346"/>
    </row>
    <row r="121" spans="1:23" x14ac:dyDescent="0.2">
      <c r="A121" s="436"/>
      <c r="B121" s="345"/>
      <c r="C121" s="442" t="str">
        <f t="shared" si="7"/>
        <v>MCR</v>
      </c>
      <c r="D121" s="1917" t="str">
        <f t="shared" ca="1" si="8"/>
        <v>wt%</v>
      </c>
      <c r="E121" s="1917"/>
      <c r="F121" s="1917" t="str">
        <f ca="1">'Assay Inventory'!K20</f>
        <v/>
      </c>
      <c r="G121" s="1917" t="str">
        <f ca="1">'Assay Inventory'!L20</f>
        <v/>
      </c>
      <c r="H121" s="337">
        <f ca="1">'Assay Inventory'!M20</f>
        <v>10.823381666475589</v>
      </c>
      <c r="I121" s="1917"/>
      <c r="J121" s="1917"/>
      <c r="K121" s="1917"/>
      <c r="L121" s="1917"/>
      <c r="M121" s="1917"/>
      <c r="N121" s="1917"/>
      <c r="O121" s="1917"/>
      <c r="P121" s="1917"/>
      <c r="Q121" s="1969"/>
      <c r="R121" s="1917"/>
      <c r="S121" s="1917"/>
      <c r="T121" s="1917"/>
      <c r="U121" s="1917"/>
      <c r="V121" s="1917"/>
      <c r="W121" s="346"/>
    </row>
    <row r="122" spans="1:23" x14ac:dyDescent="0.2">
      <c r="A122" s="436"/>
      <c r="B122" s="345"/>
      <c r="C122" s="443" t="str">
        <f t="shared" si="7"/>
        <v>Characterization Factor</v>
      </c>
      <c r="D122" s="334" t="str">
        <f t="shared" ca="1" si="8"/>
        <v xml:space="preserve">Kw (Approximate) </v>
      </c>
      <c r="E122" s="334">
        <f ca="1">M92</f>
        <v>11.585905176337866</v>
      </c>
      <c r="F122" s="334">
        <f ca="1">'Assay Inventory'!K21</f>
        <v>11.638857688170157</v>
      </c>
      <c r="G122" s="334">
        <f ca="1">'Assay Inventory'!L21</f>
        <v>11.689687554365658</v>
      </c>
      <c r="H122" s="338">
        <f ca="1">'Assay Inventory'!M21</f>
        <v>11.195866150132154</v>
      </c>
      <c r="I122" s="1917"/>
      <c r="J122" s="1917"/>
      <c r="K122" s="1917"/>
      <c r="L122" s="1917"/>
      <c r="M122" s="1917"/>
      <c r="N122" s="1917"/>
      <c r="O122" s="1917"/>
      <c r="P122" s="1917"/>
      <c r="Q122" s="1969"/>
      <c r="R122" s="1917"/>
      <c r="S122" s="1917"/>
      <c r="T122" s="1917"/>
      <c r="U122" s="1917"/>
      <c r="V122" s="1917"/>
      <c r="W122" s="346"/>
    </row>
    <row r="123" spans="1:23" x14ac:dyDescent="0.2">
      <c r="A123" s="436"/>
      <c r="B123" s="345"/>
      <c r="C123" s="444"/>
      <c r="D123" s="1917"/>
      <c r="E123" s="1917"/>
      <c r="F123" s="1917"/>
      <c r="G123" s="1917"/>
      <c r="H123" s="1917"/>
      <c r="I123" s="1917"/>
      <c r="J123" s="1917"/>
      <c r="K123" s="1917"/>
      <c r="L123" s="1917"/>
      <c r="M123" s="1917"/>
      <c r="N123" s="1917"/>
      <c r="O123" s="1917"/>
      <c r="P123" s="1917"/>
      <c r="Q123" s="1969"/>
      <c r="R123" s="1917"/>
      <c r="S123" s="1917"/>
      <c r="T123" s="1917"/>
      <c r="U123" s="1917"/>
      <c r="V123" s="1917"/>
      <c r="W123" s="346"/>
    </row>
    <row r="124" spans="1:23" ht="26.25" x14ac:dyDescent="0.2">
      <c r="A124" s="436"/>
      <c r="B124" s="347"/>
      <c r="C124" s="438" t="s">
        <v>532</v>
      </c>
      <c r="D124" s="348"/>
      <c r="E124" s="1917"/>
      <c r="F124" s="1917"/>
      <c r="G124" s="1917"/>
      <c r="H124" s="1917"/>
      <c r="I124" s="1917"/>
      <c r="J124" s="1917"/>
      <c r="K124" s="1917"/>
      <c r="L124" s="1917"/>
      <c r="M124" s="1917"/>
      <c r="N124" s="1917"/>
      <c r="O124" s="1917"/>
      <c r="P124" s="1917"/>
      <c r="Q124" s="1969"/>
      <c r="R124" s="1917"/>
      <c r="S124" s="1917"/>
      <c r="T124" s="1917"/>
      <c r="U124" s="1917"/>
      <c r="V124" s="1917"/>
      <c r="W124" s="346"/>
    </row>
    <row r="125" spans="1:23" x14ac:dyDescent="0.2">
      <c r="A125" s="436"/>
      <c r="B125" s="345"/>
      <c r="C125" s="437"/>
      <c r="D125" s="1917"/>
      <c r="E125" s="1917"/>
      <c r="F125" s="1917"/>
      <c r="G125" s="1917"/>
      <c r="H125" s="1917"/>
      <c r="I125" s="1917"/>
      <c r="J125" s="1917"/>
      <c r="K125" s="1917"/>
      <c r="L125" s="1917"/>
      <c r="M125" s="1917"/>
      <c r="N125" s="1917"/>
      <c r="O125" s="1917"/>
      <c r="P125" s="1917"/>
      <c r="Q125" s="1969"/>
      <c r="R125" s="1917"/>
      <c r="S125" s="1917"/>
      <c r="T125" s="1917"/>
      <c r="U125" s="1917"/>
      <c r="V125" s="1917"/>
      <c r="W125" s="346"/>
    </row>
    <row r="126" spans="1:23" x14ac:dyDescent="0.2">
      <c r="A126" s="436"/>
      <c r="B126" s="345"/>
      <c r="C126" s="440" t="s">
        <v>1309</v>
      </c>
      <c r="D126" s="1917"/>
      <c r="E126" s="1917"/>
      <c r="F126" s="1917"/>
      <c r="G126" s="1917"/>
      <c r="H126" s="1917"/>
      <c r="I126" s="1917"/>
      <c r="J126" s="1917"/>
      <c r="K126" s="1917"/>
      <c r="L126" s="1917"/>
      <c r="M126" s="1917"/>
      <c r="N126" s="1917"/>
      <c r="O126" s="1917"/>
      <c r="P126" s="1917"/>
      <c r="Q126" s="1969"/>
      <c r="R126" s="1917"/>
      <c r="S126" s="1917"/>
      <c r="T126" s="1917"/>
      <c r="U126" s="1917"/>
      <c r="V126" s="1917"/>
      <c r="W126" s="346"/>
    </row>
    <row r="127" spans="1:23" x14ac:dyDescent="0.2">
      <c r="A127" s="436"/>
      <c r="B127" s="345"/>
      <c r="C127" s="441" t="s">
        <v>568</v>
      </c>
      <c r="D127" s="1918" t="s">
        <v>623</v>
      </c>
      <c r="E127" s="356" t="str">
        <f t="shared" ref="E127:E136" ca="1" si="9">F46</f>
        <v>LSR</v>
      </c>
      <c r="F127" s="356" t="str">
        <f>CokingRefineryCalcs!G46</f>
        <v>Straight Run Naphtha</v>
      </c>
      <c r="G127" s="356" t="s">
        <v>950</v>
      </c>
      <c r="H127" s="356" t="s">
        <v>426</v>
      </c>
      <c r="I127" s="356" t="str">
        <f t="shared" ref="I127:I134" ca="1" si="10">E127</f>
        <v>LSR</v>
      </c>
      <c r="J127" s="357" t="s">
        <v>364</v>
      </c>
      <c r="K127" s="1917"/>
      <c r="L127" s="1917"/>
      <c r="M127" s="1917"/>
      <c r="N127" s="1917"/>
      <c r="O127" s="1917"/>
      <c r="P127" s="1917"/>
      <c r="Q127" s="1969"/>
      <c r="R127" s="1917"/>
      <c r="S127" s="1917"/>
      <c r="T127" s="1917"/>
      <c r="U127" s="1917"/>
      <c r="V127" s="1917"/>
      <c r="W127" s="346"/>
    </row>
    <row r="128" spans="1:23" x14ac:dyDescent="0.2">
      <c r="A128" s="436"/>
      <c r="B128" s="345"/>
      <c r="C128" s="442" t="str">
        <f t="shared" ref="C128:D136" si="11">C540</f>
        <v>Vol Flow</v>
      </c>
      <c r="D128" s="1917" t="str">
        <f ca="1">D540</f>
        <v>bpd</v>
      </c>
      <c r="E128" s="1917">
        <f t="shared" ca="1" si="9"/>
        <v>7538.9890466543711</v>
      </c>
      <c r="F128" s="1917">
        <f ca="1">CokingRefineryCalcs!G47</f>
        <v>17316.221609700751</v>
      </c>
      <c r="G128" s="1917">
        <f ca="1">E128+F128</f>
        <v>24855.210656355121</v>
      </c>
      <c r="H128" s="1917">
        <f ca="1">H129/'Energy &amp; Unit Conversions'!G80</f>
        <v>17697.585317090663</v>
      </c>
      <c r="I128" s="1917">
        <f t="shared" ca="1" si="10"/>
        <v>7538.9890466543711</v>
      </c>
      <c r="J128" s="337"/>
      <c r="K128" s="1917"/>
      <c r="L128" s="1917"/>
      <c r="M128" s="1917"/>
      <c r="N128" s="1917"/>
      <c r="O128" s="1917"/>
      <c r="P128" s="1917"/>
      <c r="Q128" s="1969"/>
      <c r="R128" s="1917"/>
      <c r="S128" s="1917"/>
      <c r="T128" s="1917"/>
      <c r="U128" s="1917"/>
      <c r="V128" s="1917"/>
      <c r="W128" s="346"/>
    </row>
    <row r="129" spans="1:23" x14ac:dyDescent="0.2">
      <c r="A129" s="436"/>
      <c r="B129" s="345"/>
      <c r="C129" s="442" t="str">
        <f t="shared" si="11"/>
        <v>Vol Flow</v>
      </c>
      <c r="D129" s="1917" t="str">
        <f ca="1">D541</f>
        <v>m^3/d</v>
      </c>
      <c r="E129" s="1917">
        <f t="shared" ca="1" si="9"/>
        <v>1198.699258418045</v>
      </c>
      <c r="F129" s="1917">
        <f ca="1">CokingRefineryCalcs!G48</f>
        <v>2753.059319927976</v>
      </c>
      <c r="G129" s="1917">
        <f ca="1">E129+F129</f>
        <v>3951.7585783460208</v>
      </c>
      <c r="H129" s="1917">
        <f ca="1">H130/H134</f>
        <v>2813.6913060838883</v>
      </c>
      <c r="I129" s="1917">
        <f t="shared" ca="1" si="10"/>
        <v>1198.699258418045</v>
      </c>
      <c r="J129" s="337"/>
      <c r="K129" s="1917"/>
      <c r="L129" s="1917"/>
      <c r="M129" s="1917"/>
      <c r="N129" s="1917"/>
      <c r="O129" s="1917"/>
      <c r="P129" s="1917"/>
      <c r="Q129" s="1969"/>
      <c r="R129" s="1917"/>
      <c r="S129" s="1917"/>
      <c r="T129" s="1917"/>
      <c r="U129" s="1917"/>
      <c r="V129" s="1917"/>
      <c r="W129" s="346"/>
    </row>
    <row r="130" spans="1:23" x14ac:dyDescent="0.2">
      <c r="A130" s="436"/>
      <c r="B130" s="345"/>
      <c r="C130" s="442" t="str">
        <f t="shared" si="11"/>
        <v>Mass Flow</v>
      </c>
      <c r="D130" s="1917" t="str">
        <f t="shared" si="11"/>
        <v>kg/d</v>
      </c>
      <c r="E130" s="1917">
        <f t="shared" ca="1" si="9"/>
        <v>854451.48145949247</v>
      </c>
      <c r="F130" s="1917">
        <f ca="1">CokingRefineryCalcs!G49</f>
        <v>2157056.7659118799</v>
      </c>
      <c r="G130" s="1917">
        <f ca="1">E130+F130</f>
        <v>3011508.2473713723</v>
      </c>
      <c r="H130" s="1922">
        <f ca="1">F130+D149-H140</f>
        <v>2190142.6865078406</v>
      </c>
      <c r="I130" s="1917">
        <f t="shared" ca="1" si="10"/>
        <v>854451.48145949247</v>
      </c>
      <c r="J130" s="337">
        <f ca="1">H140</f>
        <v>4314.1135318237602</v>
      </c>
      <c r="K130" s="1917"/>
      <c r="L130" s="1917"/>
      <c r="M130" s="1917"/>
      <c r="N130" s="1917"/>
      <c r="O130" s="1917"/>
      <c r="P130" s="1917"/>
      <c r="Q130" s="1969"/>
      <c r="R130" s="1917"/>
      <c r="S130" s="1917"/>
      <c r="T130" s="1917"/>
      <c r="U130" s="1917"/>
      <c r="V130" s="1917"/>
      <c r="W130" s="346"/>
    </row>
    <row r="131" spans="1:23" x14ac:dyDescent="0.2">
      <c r="A131" s="436"/>
      <c r="B131" s="345"/>
      <c r="C131" s="442" t="str">
        <f t="shared" si="11"/>
        <v xml:space="preserve">Sulphur </v>
      </c>
      <c r="D131" s="1917" t="str">
        <f t="shared" ref="D131:D136" ca="1" si="12">D543</f>
        <v>wt%</v>
      </c>
      <c r="E131" s="1917">
        <f t="shared" ca="1" si="9"/>
        <v>0</v>
      </c>
      <c r="F131" s="1917">
        <f ca="1">CokingRefineryCalcs!G50</f>
        <v>0</v>
      </c>
      <c r="G131" s="1917">
        <f ca="1">(E131*E130+F131*F130)/G130</f>
        <v>0</v>
      </c>
      <c r="H131" s="913">
        <v>0</v>
      </c>
      <c r="I131" s="1917">
        <f t="shared" ca="1" si="10"/>
        <v>0</v>
      </c>
      <c r="J131" s="337">
        <f ca="1">H142</f>
        <v>0</v>
      </c>
      <c r="K131" s="1917"/>
      <c r="L131" s="1917"/>
      <c r="M131" s="1917"/>
      <c r="N131" s="1917"/>
      <c r="O131" s="1917"/>
      <c r="P131" s="1917"/>
      <c r="Q131" s="1969"/>
      <c r="R131" s="1917"/>
      <c r="S131" s="1917"/>
      <c r="T131" s="1917"/>
      <c r="U131" s="1917"/>
      <c r="V131" s="1917"/>
      <c r="W131" s="346"/>
    </row>
    <row r="132" spans="1:23" x14ac:dyDescent="0.2">
      <c r="A132" s="436"/>
      <c r="B132" s="345"/>
      <c r="C132" s="442" t="str">
        <f t="shared" si="11"/>
        <v xml:space="preserve">Nitrogen </v>
      </c>
      <c r="D132" s="1917" t="str">
        <f t="shared" ca="1" si="12"/>
        <v>mass ppm</v>
      </c>
      <c r="E132" s="1917">
        <f t="shared" ca="1" si="9"/>
        <v>0</v>
      </c>
      <c r="F132" s="1917">
        <f ca="1">CokingRefineryCalcs!G51</f>
        <v>0</v>
      </c>
      <c r="G132" s="1917">
        <f ca="1">(E132*E130+F132*F130)/G130</f>
        <v>0</v>
      </c>
      <c r="H132" s="913">
        <v>0</v>
      </c>
      <c r="I132" s="1917">
        <f t="shared" ca="1" si="10"/>
        <v>0</v>
      </c>
      <c r="J132" s="337"/>
      <c r="K132" s="1917"/>
      <c r="L132" s="1917"/>
      <c r="M132" s="1917"/>
      <c r="N132" s="1917"/>
      <c r="O132" s="1917"/>
      <c r="P132" s="1917"/>
      <c r="Q132" s="1969"/>
      <c r="R132" s="1917"/>
      <c r="S132" s="1917"/>
      <c r="T132" s="1917"/>
      <c r="U132" s="1917"/>
      <c r="V132" s="1917"/>
      <c r="W132" s="346"/>
    </row>
    <row r="133" spans="1:23" x14ac:dyDescent="0.2">
      <c r="A133" s="436"/>
      <c r="B133" s="345"/>
      <c r="C133" s="442" t="str">
        <f t="shared" si="11"/>
        <v xml:space="preserve">API gravity </v>
      </c>
      <c r="D133" s="1917" t="str">
        <f t="shared" ca="1" si="12"/>
        <v>oAPI</v>
      </c>
      <c r="E133" s="1917">
        <f t="shared" ca="1" si="9"/>
        <v>66.810065343505755</v>
      </c>
      <c r="F133" s="1917">
        <f ca="1">CokingRefineryCalcs!G52</f>
        <v>49.096959674877127</v>
      </c>
      <c r="G133" s="1917">
        <f ca="1">141.5/(G134/1000)-131.5</f>
        <v>54.178999658740054</v>
      </c>
      <c r="H133" s="1917">
        <f ca="1">F133+H145</f>
        <v>50.096959674877127</v>
      </c>
      <c r="I133" s="1917">
        <f t="shared" ca="1" si="10"/>
        <v>66.810065343505755</v>
      </c>
      <c r="J133" s="337"/>
      <c r="K133" s="1917"/>
      <c r="L133" s="1917"/>
      <c r="M133" s="1917"/>
      <c r="N133" s="1917"/>
      <c r="O133" s="1917"/>
      <c r="P133" s="1917"/>
      <c r="Q133" s="1969"/>
      <c r="R133" s="1917"/>
      <c r="S133" s="1917"/>
      <c r="T133" s="1917"/>
      <c r="U133" s="1917"/>
      <c r="V133" s="1917"/>
      <c r="W133" s="346"/>
    </row>
    <row r="134" spans="1:23" x14ac:dyDescent="0.2">
      <c r="A134" s="436"/>
      <c r="B134" s="345"/>
      <c r="C134" s="442" t="str">
        <f t="shared" si="11"/>
        <v>Density</v>
      </c>
      <c r="D134" s="1917" t="str">
        <f t="shared" ca="1" si="12"/>
        <v>kg/m^3</v>
      </c>
      <c r="E134" s="1917">
        <f t="shared" ca="1" si="9"/>
        <v>712.81555858066895</v>
      </c>
      <c r="F134" s="1917">
        <f ca="1">CokingRefineryCalcs!G53</f>
        <v>783.51263639619344</v>
      </c>
      <c r="G134" s="1917">
        <f ca="1">G130/G129</f>
        <v>762.06787121894899</v>
      </c>
      <c r="H134" s="1917">
        <f ca="1">141.5/(H133+131.51)*'Energy &amp; Unit Conversions'!J93*'Energy &amp; Unit Conversions'!E93</f>
        <v>778.38769369341151</v>
      </c>
      <c r="I134" s="1917">
        <f t="shared" ca="1" si="10"/>
        <v>712.81555858066895</v>
      </c>
      <c r="J134" s="337"/>
      <c r="K134" s="1917"/>
      <c r="L134" s="1917"/>
      <c r="M134" s="1917"/>
      <c r="N134" s="1917"/>
      <c r="O134" s="1917"/>
      <c r="P134" s="1917"/>
      <c r="Q134" s="1969"/>
      <c r="R134" s="1917"/>
      <c r="S134" s="1917"/>
      <c r="T134" s="1917"/>
      <c r="U134" s="1917"/>
      <c r="V134" s="1917"/>
      <c r="W134" s="346"/>
    </row>
    <row r="135" spans="1:23" x14ac:dyDescent="0.2">
      <c r="A135" s="436"/>
      <c r="B135" s="345"/>
      <c r="C135" s="442" t="str">
        <f t="shared" si="11"/>
        <v>Hydrogen</v>
      </c>
      <c r="D135" s="1917" t="str">
        <f t="shared" ca="1" si="12"/>
        <v>wt%</v>
      </c>
      <c r="E135" s="1917">
        <f t="shared" ca="1" si="9"/>
        <v>15.321692746753095</v>
      </c>
      <c r="F135" s="1917">
        <f ca="1">CokingRefineryCalcs!G54</f>
        <v>13.50174052285624</v>
      </c>
      <c r="G135" s="1917">
        <f ca="1">(E135*E130+F135*F130)/G130</f>
        <v>14.018113298939959</v>
      </c>
      <c r="H135" s="913">
        <f ca="1">IF(F135&lt;15,15,(F130*F135/100+D141+D142+D144+D151-H140*H141/100)/(F130+D141+D142+D144+D151-F130*(F132-H132)/1000000-H140)*100)</f>
        <v>15</v>
      </c>
      <c r="I135" s="1917">
        <f ca="1">IF(E135&lt;H135,H135,E135)</f>
        <v>15.321692746753095</v>
      </c>
      <c r="J135" s="337">
        <f ca="1">H141</f>
        <v>18.364315923905643</v>
      </c>
      <c r="K135" s="1917"/>
      <c r="L135" s="1917"/>
      <c r="M135" s="1917"/>
      <c r="N135" s="1917"/>
      <c r="O135" s="1917"/>
      <c r="P135" s="1917"/>
      <c r="Q135" s="1969"/>
      <c r="R135" s="1917"/>
      <c r="S135" s="1917"/>
      <c r="T135" s="1917"/>
      <c r="U135" s="1917"/>
      <c r="V135" s="1917"/>
      <c r="W135" s="346"/>
    </row>
    <row r="136" spans="1:23" x14ac:dyDescent="0.2">
      <c r="A136" s="436"/>
      <c r="B136" s="345"/>
      <c r="C136" s="443" t="str">
        <f t="shared" si="11"/>
        <v>MCR</v>
      </c>
      <c r="D136" s="334" t="str">
        <f t="shared" ca="1" si="12"/>
        <v>wt%</v>
      </c>
      <c r="E136" s="334" t="str">
        <f t="shared" ca="1" si="9"/>
        <v/>
      </c>
      <c r="F136" s="334" t="str">
        <f ca="1">CokingRefineryCalcs!G548</f>
        <v/>
      </c>
      <c r="G136" s="334"/>
      <c r="H136" s="334"/>
      <c r="I136" s="334"/>
      <c r="J136" s="338"/>
      <c r="K136" s="1917"/>
      <c r="L136" s="1917"/>
      <c r="M136" s="1917"/>
      <c r="N136" s="1917"/>
      <c r="O136" s="1917"/>
      <c r="P136" s="1917"/>
      <c r="Q136" s="1969"/>
      <c r="R136" s="1917"/>
      <c r="S136" s="1917"/>
      <c r="T136" s="1917"/>
      <c r="U136" s="1917"/>
      <c r="V136" s="1917"/>
      <c r="W136" s="346"/>
    </row>
    <row r="137" spans="1:23" x14ac:dyDescent="0.2">
      <c r="A137" s="436"/>
      <c r="B137" s="345"/>
      <c r="C137" s="437"/>
      <c r="D137" s="1917"/>
      <c r="E137" s="1917"/>
      <c r="F137" s="1917"/>
      <c r="G137" s="1917"/>
      <c r="I137" s="1917"/>
      <c r="J137" s="1917"/>
      <c r="K137" s="1917"/>
      <c r="L137" s="1917"/>
      <c r="M137" s="1917"/>
      <c r="N137" s="1917"/>
      <c r="O137" s="1917"/>
      <c r="P137" s="1917"/>
      <c r="Q137" s="1969"/>
      <c r="R137" s="1917"/>
      <c r="S137" s="1917"/>
      <c r="T137" s="1917"/>
      <c r="U137" s="1917"/>
      <c r="V137" s="1917"/>
      <c r="W137" s="346"/>
    </row>
    <row r="138" spans="1:23" x14ac:dyDescent="0.2">
      <c r="A138" s="436"/>
      <c r="B138" s="345"/>
      <c r="C138" s="440" t="s">
        <v>1303</v>
      </c>
      <c r="D138" s="1917"/>
      <c r="E138" s="1917"/>
      <c r="F138" s="1917"/>
      <c r="G138" s="440" t="s">
        <v>1315</v>
      </c>
      <c r="H138" s="350"/>
      <c r="I138" s="1917"/>
      <c r="J138" s="1917"/>
      <c r="K138" s="1917"/>
      <c r="L138" s="1917"/>
      <c r="M138" s="1917"/>
      <c r="N138" s="1917"/>
      <c r="O138" s="1917"/>
      <c r="P138" s="1917"/>
      <c r="Q138" s="1969"/>
      <c r="R138" s="1917"/>
      <c r="S138" s="1917"/>
      <c r="T138" s="1917"/>
      <c r="U138" s="1917"/>
      <c r="V138" s="1917"/>
      <c r="W138" s="346"/>
    </row>
    <row r="139" spans="1:23" x14ac:dyDescent="0.2">
      <c r="A139" s="436"/>
      <c r="B139" s="345"/>
      <c r="C139" s="449"/>
      <c r="D139" s="1918" t="s">
        <v>624</v>
      </c>
      <c r="E139" s="1919" t="s">
        <v>623</v>
      </c>
      <c r="F139" s="1917"/>
      <c r="G139" s="441"/>
      <c r="H139" s="1918" t="s">
        <v>624</v>
      </c>
      <c r="I139" s="1919" t="s">
        <v>623</v>
      </c>
      <c r="J139" s="1917"/>
      <c r="K139" s="1917"/>
      <c r="L139" s="1917"/>
      <c r="M139" s="1917"/>
      <c r="N139" s="1917"/>
      <c r="O139" s="1917"/>
      <c r="P139" s="1917"/>
      <c r="Q139" s="1969"/>
      <c r="R139" s="1917"/>
      <c r="S139" s="1917"/>
      <c r="T139" s="1917"/>
      <c r="U139" s="1917"/>
      <c r="V139" s="1917"/>
      <c r="W139" s="346"/>
    </row>
    <row r="140" spans="1:23" x14ac:dyDescent="0.2">
      <c r="A140" s="436"/>
      <c r="B140" s="345"/>
      <c r="C140" s="442" t="s">
        <v>376</v>
      </c>
      <c r="D140" s="303">
        <f ca="1">F130*(F131-H131)/100</f>
        <v>0</v>
      </c>
      <c r="E140" s="337" t="s">
        <v>622</v>
      </c>
      <c r="F140" s="1917"/>
      <c r="G140" s="442" t="s">
        <v>363</v>
      </c>
      <c r="H140" s="1917">
        <f ca="1">D153+D154</f>
        <v>4314.1135318237602</v>
      </c>
      <c r="I140" s="337" t="s">
        <v>622</v>
      </c>
      <c r="J140" s="1917"/>
      <c r="K140" s="1917"/>
      <c r="L140" s="1917"/>
      <c r="M140" s="1917"/>
      <c r="N140" s="1917"/>
      <c r="O140" s="1917"/>
      <c r="P140" s="1917"/>
      <c r="Q140" s="1969"/>
      <c r="R140" s="1917"/>
      <c r="S140" s="1917"/>
      <c r="T140" s="1917"/>
      <c r="U140" s="1917"/>
      <c r="V140" s="1917"/>
      <c r="W140" s="1923"/>
    </row>
    <row r="141" spans="1:23" x14ac:dyDescent="0.2">
      <c r="A141" s="436"/>
      <c r="B141" s="345"/>
      <c r="C141" s="442" t="s">
        <v>380</v>
      </c>
      <c r="D141" s="303">
        <f ca="1">2/32*D140</f>
        <v>0</v>
      </c>
      <c r="E141" s="337" t="s">
        <v>622</v>
      </c>
      <c r="F141" s="1917"/>
      <c r="G141" s="442" t="s">
        <v>377</v>
      </c>
      <c r="H141" s="1917">
        <f ca="1">(D152/100*D153+2/34*D154)/H140*100</f>
        <v>18.364315923905643</v>
      </c>
      <c r="I141" s="337" t="s">
        <v>579</v>
      </c>
      <c r="J141" s="1917"/>
      <c r="K141" s="1917"/>
      <c r="L141" s="1917"/>
      <c r="M141" s="1917"/>
      <c r="N141" s="1917"/>
      <c r="O141" s="1917"/>
      <c r="P141" s="1917"/>
      <c r="Q141" s="1969"/>
      <c r="R141" s="1917"/>
      <c r="S141" s="1917"/>
      <c r="T141" s="1917"/>
      <c r="U141" s="1917"/>
      <c r="V141" s="1917"/>
      <c r="W141" s="1923"/>
    </row>
    <row r="142" spans="1:23" x14ac:dyDescent="0.2">
      <c r="A142" s="436"/>
      <c r="B142" s="345"/>
      <c r="C142" s="442" t="s">
        <v>381</v>
      </c>
      <c r="D142" s="303">
        <f ca="1">D141</f>
        <v>0</v>
      </c>
      <c r="E142" s="337" t="s">
        <v>622</v>
      </c>
      <c r="F142" s="1917"/>
      <c r="G142" s="442" t="s">
        <v>378</v>
      </c>
      <c r="H142" s="1917">
        <f ca="1">32/34*D154/H140*100</f>
        <v>0</v>
      </c>
      <c r="I142" s="337" t="s">
        <v>579</v>
      </c>
      <c r="J142" s="1917"/>
      <c r="K142" s="1917"/>
      <c r="L142" s="1917"/>
      <c r="M142" s="1917"/>
      <c r="N142" s="1917"/>
      <c r="O142" s="1917"/>
      <c r="P142" s="1917"/>
      <c r="Q142" s="1969"/>
      <c r="R142" s="1917"/>
      <c r="S142" s="1917"/>
      <c r="T142" s="1917"/>
      <c r="U142" s="1917"/>
      <c r="V142" s="1917"/>
      <c r="W142" s="1923"/>
    </row>
    <row r="143" spans="1:23" x14ac:dyDescent="0.2">
      <c r="A143" s="436"/>
      <c r="B143" s="345"/>
      <c r="C143" s="442" t="s">
        <v>1393</v>
      </c>
      <c r="D143" s="1917" t="e">
        <f ca="1">(D142+D141)*'Energy &amp; Unit Conversions'!$E$93/'Energy &amp; Unit Conversions'!$E$26*'Energy &amp; Unit Conversions'!$G$82/F129/(F131-H131)</f>
        <v>#DIV/0!</v>
      </c>
      <c r="E143" s="337" t="s">
        <v>904</v>
      </c>
      <c r="F143" s="1917"/>
      <c r="G143" s="442" t="s">
        <v>379</v>
      </c>
      <c r="H143" s="1917">
        <f ca="1">H140/(D155+F130)*100</f>
        <v>0.19652045935872423</v>
      </c>
      <c r="I143" s="337" t="s">
        <v>579</v>
      </c>
      <c r="J143" s="1917"/>
      <c r="K143" s="1917"/>
      <c r="L143" s="1917"/>
      <c r="M143" s="1917"/>
      <c r="N143" s="1917"/>
      <c r="O143" s="1917"/>
      <c r="P143" s="1917"/>
      <c r="Q143" s="1969"/>
      <c r="R143" s="1917"/>
      <c r="S143" s="1917"/>
      <c r="T143" s="1917"/>
      <c r="U143" s="1917"/>
      <c r="V143" s="1917"/>
      <c r="W143" s="1923"/>
    </row>
    <row r="144" spans="1:23" ht="15" x14ac:dyDescent="0.2">
      <c r="A144" s="436"/>
      <c r="B144" s="345"/>
      <c r="C144" s="442" t="s">
        <v>905</v>
      </c>
      <c r="D144" s="1917">
        <f ca="1">D145*F129*(F132-H132)/10000/'Energy &amp; Unit Conversions'!$G$82*'Energy &amp; Unit Conversions'!$E$26/'Energy &amp; Unit Conversions'!$E$93</f>
        <v>0</v>
      </c>
      <c r="E144" s="337" t="s">
        <v>622</v>
      </c>
      <c r="F144" s="1917"/>
      <c r="G144" s="442" t="s">
        <v>1092</v>
      </c>
      <c r="H144" s="913">
        <v>2E-3</v>
      </c>
      <c r="I144" s="337" t="s">
        <v>1091</v>
      </c>
      <c r="J144" s="1917"/>
      <c r="K144" s="2446" t="s">
        <v>1383</v>
      </c>
      <c r="L144" s="2447"/>
      <c r="M144" s="1917"/>
      <c r="N144" s="1917"/>
      <c r="O144" s="1917"/>
      <c r="P144" s="1917"/>
      <c r="Q144" s="1969"/>
      <c r="R144" s="1917"/>
      <c r="S144" s="1917"/>
      <c r="T144" s="1917"/>
      <c r="U144" s="1917"/>
      <c r="V144" s="1917"/>
      <c r="W144" s="1923"/>
    </row>
    <row r="145" spans="1:23" ht="15" x14ac:dyDescent="0.2">
      <c r="A145" s="436"/>
      <c r="B145" s="345"/>
      <c r="C145" s="442" t="s">
        <v>905</v>
      </c>
      <c r="D145" s="913">
        <v>34</v>
      </c>
      <c r="E145" s="337" t="s">
        <v>904</v>
      </c>
      <c r="F145" s="1917"/>
      <c r="G145" s="443" t="s">
        <v>733</v>
      </c>
      <c r="H145" s="920">
        <v>1</v>
      </c>
      <c r="I145" s="924"/>
      <c r="J145" s="1917"/>
      <c r="K145" s="2446" t="s">
        <v>1310</v>
      </c>
      <c r="L145" s="2447"/>
      <c r="M145" s="1917"/>
      <c r="N145" s="1917"/>
      <c r="O145" s="1917"/>
      <c r="P145" s="1917"/>
      <c r="Q145" s="1969"/>
      <c r="R145" s="1917"/>
      <c r="S145" s="1917"/>
      <c r="T145" s="1917"/>
      <c r="U145" s="1917"/>
      <c r="V145" s="1917"/>
      <c r="W145" s="1923"/>
    </row>
    <row r="146" spans="1:23" ht="15" customHeight="1" x14ac:dyDescent="0.2">
      <c r="A146" s="436"/>
      <c r="B146" s="345"/>
      <c r="C146" s="442" t="s">
        <v>1381</v>
      </c>
      <c r="D146" s="1917">
        <f ca="1">F135/100*F130</f>
        <v>291240.20746413653</v>
      </c>
      <c r="E146" s="337" t="s">
        <v>622</v>
      </c>
      <c r="F146" s="1917"/>
      <c r="G146" s="1917"/>
      <c r="H146" s="1917"/>
      <c r="I146" s="1917"/>
      <c r="J146" s="1917"/>
      <c r="K146" s="384"/>
      <c r="L146" s="384"/>
      <c r="M146" s="1917"/>
      <c r="N146" s="1917"/>
      <c r="O146" s="1917"/>
      <c r="P146" s="1917"/>
      <c r="Q146" s="1969"/>
      <c r="R146" s="1917"/>
      <c r="S146" s="1917"/>
      <c r="T146" s="1917"/>
      <c r="U146" s="1917"/>
      <c r="V146" s="1917"/>
      <c r="W146" s="1923"/>
    </row>
    <row r="147" spans="1:23" x14ac:dyDescent="0.2">
      <c r="A147" s="436"/>
      <c r="B147" s="345"/>
      <c r="C147" s="442" t="s">
        <v>1741</v>
      </c>
      <c r="D147" s="1917">
        <f ca="1">D148/(1-H135/100-H131/100)</f>
        <v>2190934.9439461408</v>
      </c>
      <c r="E147" s="337" t="s">
        <v>622</v>
      </c>
      <c r="F147" s="1917"/>
      <c r="G147" s="1917"/>
      <c r="H147" s="1917"/>
      <c r="I147" s="1917"/>
      <c r="J147" s="1917"/>
      <c r="K147" s="1917"/>
      <c r="L147" s="1917"/>
      <c r="M147" s="1917"/>
      <c r="N147" s="1917"/>
      <c r="O147" s="1917"/>
      <c r="P147" s="1917"/>
      <c r="Q147" s="1969"/>
      <c r="R147" s="1917"/>
      <c r="S147" s="1917"/>
      <c r="T147" s="1917"/>
      <c r="U147" s="1917"/>
      <c r="V147" s="1917"/>
      <c r="W147" s="346"/>
    </row>
    <row r="148" spans="1:23" ht="15" x14ac:dyDescent="0.2">
      <c r="A148" s="436"/>
      <c r="B148" s="345"/>
      <c r="C148" s="442" t="s">
        <v>1382</v>
      </c>
      <c r="D148" s="1917">
        <f ca="1">F130*(1-F135/100-F131/100-F132/1000000)-D150</f>
        <v>1862294.7023542195</v>
      </c>
      <c r="E148" s="337" t="s">
        <v>622</v>
      </c>
      <c r="F148" s="1917"/>
      <c r="G148" s="1917"/>
      <c r="H148" s="1917"/>
      <c r="I148" s="1917"/>
      <c r="J148" s="1917"/>
      <c r="K148" s="1917"/>
      <c r="L148" s="1917"/>
      <c r="M148" s="1917"/>
      <c r="N148" s="1917"/>
      <c r="O148" s="1917"/>
      <c r="P148" s="1917"/>
      <c r="Q148" s="1969"/>
      <c r="R148" s="1917"/>
      <c r="S148" s="1917"/>
      <c r="T148" s="1917"/>
      <c r="U148" s="1917"/>
      <c r="V148" s="1917"/>
      <c r="W148" s="346"/>
    </row>
    <row r="149" spans="1:23" x14ac:dyDescent="0.2">
      <c r="A149" s="436"/>
      <c r="B149" s="345"/>
      <c r="C149" s="442" t="s">
        <v>1779</v>
      </c>
      <c r="D149" s="1917">
        <f ca="1">D147*(H135/100)-D146-D141-D144</f>
        <v>37400.034127784602</v>
      </c>
      <c r="E149" s="337" t="s">
        <v>622</v>
      </c>
      <c r="F149" s="1922"/>
      <c r="G149" s="1924"/>
      <c r="H149" s="1917"/>
      <c r="I149" s="1917"/>
      <c r="J149" s="1917"/>
      <c r="K149" s="1917"/>
      <c r="L149" s="1917"/>
      <c r="M149" s="1917"/>
      <c r="N149" s="1917"/>
      <c r="O149" s="1917"/>
      <c r="P149" s="1917"/>
      <c r="Q149" s="1969"/>
      <c r="R149" s="1917"/>
      <c r="S149" s="1917"/>
      <c r="T149" s="1917"/>
      <c r="U149" s="1917"/>
      <c r="V149" s="1917"/>
      <c r="W149" s="346"/>
    </row>
    <row r="150" spans="1:23" ht="15" x14ac:dyDescent="0.2">
      <c r="A150" s="436"/>
      <c r="B150" s="345"/>
      <c r="C150" s="442" t="s">
        <v>1385</v>
      </c>
      <c r="D150" s="1917">
        <f ca="1">D153*(1-D152/100)</f>
        <v>3521.8560935236815</v>
      </c>
      <c r="E150" s="337" t="s">
        <v>622</v>
      </c>
      <c r="F150" s="573"/>
      <c r="G150" s="1924"/>
      <c r="H150" s="1917"/>
      <c r="I150" s="1917"/>
      <c r="J150" s="1917"/>
      <c r="K150" s="1917"/>
      <c r="L150" s="1917"/>
      <c r="M150" s="1917"/>
      <c r="N150" s="1917"/>
      <c r="O150" s="1917"/>
      <c r="P150" s="1917"/>
      <c r="Q150" s="1969"/>
      <c r="R150" s="1917"/>
      <c r="S150" s="1917"/>
      <c r="T150" s="1917"/>
      <c r="U150" s="1917"/>
      <c r="V150" s="1917"/>
      <c r="W150" s="346"/>
    </row>
    <row r="151" spans="1:23" ht="15" x14ac:dyDescent="0.2">
      <c r="A151" s="436"/>
      <c r="B151" s="345"/>
      <c r="C151" s="442" t="s">
        <v>1386</v>
      </c>
      <c r="D151" s="1917">
        <f ca="1">D153*(D152/100)</f>
        <v>792.257438300079</v>
      </c>
      <c r="E151" s="337" t="s">
        <v>622</v>
      </c>
      <c r="F151" s="1917"/>
      <c r="G151" s="1917"/>
      <c r="H151" s="1917"/>
      <c r="I151" s="1917"/>
      <c r="J151" s="1917"/>
      <c r="K151" s="1917"/>
      <c r="L151" s="1917"/>
      <c r="M151" s="1917"/>
      <c r="N151" s="1917"/>
      <c r="O151" s="1917"/>
      <c r="P151" s="1917"/>
      <c r="Q151" s="1969"/>
      <c r="R151" s="1917"/>
      <c r="S151" s="1917"/>
      <c r="T151" s="1917"/>
      <c r="U151" s="1917"/>
      <c r="V151" s="1917"/>
      <c r="W151" s="346"/>
    </row>
    <row r="152" spans="1:23" x14ac:dyDescent="0.2">
      <c r="A152" s="436"/>
      <c r="B152" s="345"/>
      <c r="C152" s="442" t="s">
        <v>375</v>
      </c>
      <c r="D152" s="913">
        <f>Constants!N374</f>
        <v>18.364315923905643</v>
      </c>
      <c r="E152" s="337" t="s">
        <v>579</v>
      </c>
      <c r="F152" s="1917"/>
      <c r="G152" s="1917"/>
      <c r="H152" s="1917"/>
      <c r="I152" s="1917"/>
      <c r="J152" s="1917"/>
      <c r="K152" s="1917"/>
      <c r="L152" s="1917"/>
      <c r="M152" s="1917"/>
      <c r="N152" s="1917"/>
      <c r="O152" s="1917"/>
      <c r="P152" s="1917"/>
      <c r="Q152" s="1969"/>
      <c r="R152" s="1917"/>
      <c r="S152" s="1917"/>
      <c r="T152" s="1917"/>
      <c r="U152" s="1917"/>
      <c r="V152" s="1917"/>
      <c r="W152" s="346"/>
    </row>
    <row r="153" spans="1:23" x14ac:dyDescent="0.2">
      <c r="A153" s="436"/>
      <c r="B153" s="345"/>
      <c r="C153" s="442" t="s">
        <v>385</v>
      </c>
      <c r="D153" s="1917">
        <f ca="1">F130*H144</f>
        <v>4314.1135318237602</v>
      </c>
      <c r="E153" s="337" t="s">
        <v>622</v>
      </c>
      <c r="F153" s="1917"/>
      <c r="G153" s="1917"/>
      <c r="H153" s="1917"/>
      <c r="I153" s="1917"/>
      <c r="J153" s="1942"/>
      <c r="K153" s="1917"/>
      <c r="L153" s="1917"/>
      <c r="M153" s="1917"/>
      <c r="N153" s="1917"/>
      <c r="O153" s="1917"/>
      <c r="P153" s="1917"/>
      <c r="Q153" s="1969"/>
      <c r="R153" s="1917"/>
      <c r="S153" s="1917"/>
      <c r="T153" s="1917"/>
      <c r="U153" s="1917"/>
      <c r="V153" s="1917"/>
      <c r="W153" s="346"/>
    </row>
    <row r="154" spans="1:23" x14ac:dyDescent="0.2">
      <c r="A154" s="436"/>
      <c r="B154" s="345"/>
      <c r="C154" s="442" t="s">
        <v>384</v>
      </c>
      <c r="D154" s="1917">
        <f ca="1">D140+D142</f>
        <v>0</v>
      </c>
      <c r="E154" s="337" t="s">
        <v>622</v>
      </c>
      <c r="F154" s="1917"/>
      <c r="G154" s="1917"/>
      <c r="H154" s="1917"/>
      <c r="I154" s="1917"/>
      <c r="J154" s="1917"/>
      <c r="K154" s="1917"/>
      <c r="L154" s="1917"/>
      <c r="M154" s="1917"/>
      <c r="N154" s="1917"/>
      <c r="O154" s="1917"/>
      <c r="P154" s="1917"/>
      <c r="Q154" s="1969"/>
      <c r="R154" s="1917"/>
      <c r="S154" s="1917"/>
      <c r="T154" s="1917"/>
      <c r="U154" s="1917"/>
      <c r="V154" s="1917"/>
      <c r="W154" s="346"/>
    </row>
    <row r="155" spans="1:23" x14ac:dyDescent="0.2">
      <c r="A155" s="436"/>
      <c r="B155" s="345"/>
      <c r="C155" s="451" t="s">
        <v>1780</v>
      </c>
      <c r="D155" s="333">
        <f ca="1">D141+D142+D144+D149+D151</f>
        <v>38192.291566084677</v>
      </c>
      <c r="E155" s="385" t="s">
        <v>622</v>
      </c>
      <c r="F155" s="1917"/>
      <c r="G155" s="1917"/>
      <c r="H155" s="1917"/>
      <c r="I155" s="1917"/>
      <c r="J155" s="1917"/>
      <c r="K155" s="1917"/>
      <c r="L155" s="1917"/>
      <c r="M155" s="1917"/>
      <c r="N155" s="1917"/>
      <c r="O155" s="1917"/>
      <c r="P155" s="1917"/>
      <c r="Q155" s="1969"/>
      <c r="R155" s="1917"/>
      <c r="S155" s="1917"/>
      <c r="T155" s="1917"/>
      <c r="U155" s="1917"/>
      <c r="V155" s="1917"/>
      <c r="W155" s="346"/>
    </row>
    <row r="156" spans="1:23" x14ac:dyDescent="0.2">
      <c r="A156" s="436"/>
      <c r="B156" s="345"/>
      <c r="C156" s="441" t="s">
        <v>635</v>
      </c>
      <c r="D156" s="913">
        <f ca="1">Constants!H45</f>
        <v>215.04168248129557</v>
      </c>
      <c r="E156" s="369" t="s">
        <v>637</v>
      </c>
      <c r="F156" s="1917"/>
      <c r="G156" s="1917"/>
      <c r="H156" s="1917"/>
      <c r="I156" s="1917"/>
      <c r="J156" s="1917"/>
      <c r="K156" s="1917"/>
      <c r="L156" s="1917"/>
      <c r="M156" s="1917"/>
      <c r="N156" s="1917"/>
      <c r="O156" s="1917"/>
      <c r="P156" s="1917"/>
      <c r="Q156" s="1969"/>
      <c r="R156" s="1917"/>
      <c r="S156" s="1917"/>
      <c r="T156" s="1917"/>
      <c r="U156" s="1917"/>
      <c r="V156" s="1917"/>
      <c r="W156" s="346"/>
    </row>
    <row r="157" spans="1:23" x14ac:dyDescent="0.2">
      <c r="A157" s="436"/>
      <c r="B157" s="345"/>
      <c r="C157" s="442" t="s">
        <v>634</v>
      </c>
      <c r="D157" s="1917">
        <f ca="1">D156*'Energy &amp; Unit Conversions'!G82/'Energy &amp; Unit Conversions'!G80</f>
        <v>36.23564471191235</v>
      </c>
      <c r="E157" s="337" t="s">
        <v>636</v>
      </c>
      <c r="F157" s="1917"/>
      <c r="G157" s="1917"/>
      <c r="H157" s="1917"/>
      <c r="I157" s="1917"/>
      <c r="J157" s="1917"/>
      <c r="K157" s="1917"/>
      <c r="L157" s="1917"/>
      <c r="M157" s="1917"/>
      <c r="N157" s="1917"/>
      <c r="O157" s="1917"/>
      <c r="P157" s="1917"/>
      <c r="Q157" s="1969"/>
      <c r="R157" s="1917"/>
      <c r="S157" s="1917"/>
      <c r="T157" s="1917"/>
      <c r="U157" s="1917"/>
      <c r="V157" s="1917"/>
      <c r="W157" s="346"/>
    </row>
    <row r="158" spans="1:23" x14ac:dyDescent="0.2">
      <c r="A158" s="436"/>
      <c r="B158" s="345"/>
      <c r="C158" s="442" t="s">
        <v>542</v>
      </c>
      <c r="D158" s="1917">
        <f ca="1">D156*F128/1000</f>
        <v>3723.7094291690178</v>
      </c>
      <c r="E158" s="337" t="s">
        <v>472</v>
      </c>
      <c r="F158" s="1917"/>
      <c r="G158" s="1917"/>
      <c r="H158" s="1917"/>
      <c r="I158" s="1917"/>
      <c r="J158" s="1917"/>
      <c r="K158" s="1917"/>
      <c r="L158" s="1917"/>
      <c r="M158" s="1917"/>
      <c r="N158" s="1917"/>
      <c r="O158" s="1917"/>
      <c r="P158" s="1917"/>
      <c r="Q158" s="1969"/>
      <c r="R158" s="1917"/>
      <c r="S158" s="1917"/>
      <c r="T158" s="1917"/>
      <c r="U158" s="1917"/>
      <c r="V158" s="1917"/>
      <c r="W158" s="346"/>
    </row>
    <row r="159" spans="1:23" x14ac:dyDescent="0.2">
      <c r="A159" s="436"/>
      <c r="B159" s="345"/>
      <c r="C159" s="442" t="s">
        <v>542</v>
      </c>
      <c r="D159" s="1917">
        <f ca="1">D157*F129</f>
        <v>99758.879387729176</v>
      </c>
      <c r="E159" s="337" t="s">
        <v>628</v>
      </c>
      <c r="F159" s="1917"/>
      <c r="G159" s="1917"/>
      <c r="H159" s="1917"/>
      <c r="I159" s="1917"/>
      <c r="J159" s="1917"/>
      <c r="K159" s="1917"/>
      <c r="L159" s="1917"/>
      <c r="M159" s="1917"/>
      <c r="N159" s="1917"/>
      <c r="O159" s="1917"/>
      <c r="P159" s="1917"/>
      <c r="Q159" s="1969"/>
      <c r="R159" s="1917"/>
      <c r="S159" s="1917"/>
      <c r="T159" s="1917"/>
      <c r="U159" s="1917"/>
      <c r="V159" s="1917"/>
      <c r="W159" s="346"/>
    </row>
    <row r="160" spans="1:23" x14ac:dyDescent="0.2">
      <c r="A160" s="436"/>
      <c r="B160" s="345"/>
      <c r="C160" s="443" t="s">
        <v>631</v>
      </c>
      <c r="D160" s="334">
        <f ca="1">D159*'Energy &amp; Unit Conversions'!P25*'Energy &amp; Unit Conversions'!G87</f>
        <v>42.288457866283082</v>
      </c>
      <c r="E160" s="338" t="s">
        <v>632</v>
      </c>
      <c r="F160" s="1917"/>
      <c r="G160" s="1917"/>
      <c r="H160" s="1917"/>
      <c r="I160" s="1917"/>
      <c r="J160" s="1917"/>
      <c r="K160" s="1917"/>
      <c r="L160" s="1917"/>
      <c r="M160" s="1917"/>
      <c r="N160" s="1917"/>
      <c r="O160" s="1917"/>
      <c r="P160" s="1917"/>
      <c r="Q160" s="1969"/>
      <c r="R160" s="1917"/>
      <c r="S160" s="1917"/>
      <c r="T160" s="1917"/>
      <c r="U160" s="1917"/>
      <c r="V160" s="1917"/>
      <c r="W160" s="346"/>
    </row>
    <row r="161" spans="1:23" x14ac:dyDescent="0.2">
      <c r="A161" s="436"/>
      <c r="B161" s="345"/>
      <c r="C161" s="441" t="s">
        <v>451</v>
      </c>
      <c r="D161" s="913">
        <f ca="1">Constants!H46</f>
        <v>6</v>
      </c>
      <c r="E161" s="369" t="s">
        <v>665</v>
      </c>
      <c r="F161" s="1917"/>
      <c r="G161" s="1917"/>
      <c r="H161" s="1917"/>
      <c r="I161" s="1917"/>
      <c r="J161" s="1917"/>
      <c r="K161" s="1917"/>
      <c r="L161" s="1917"/>
      <c r="M161" s="1917"/>
      <c r="N161" s="1917"/>
      <c r="O161" s="1917"/>
      <c r="P161" s="1917"/>
      <c r="Q161" s="1969"/>
      <c r="R161" s="1917"/>
      <c r="S161" s="1917"/>
      <c r="T161" s="1917"/>
      <c r="U161" s="1917"/>
      <c r="V161" s="1917"/>
      <c r="W161" s="346"/>
    </row>
    <row r="162" spans="1:23" x14ac:dyDescent="0.2">
      <c r="A162" s="436"/>
      <c r="B162" s="345"/>
      <c r="C162" s="442" t="s">
        <v>451</v>
      </c>
      <c r="D162" s="1917">
        <f ca="1">D161/'Energy &amp; Unit Conversions'!G80</f>
        <v>37.738863418650418</v>
      </c>
      <c r="E162" s="337" t="s">
        <v>629</v>
      </c>
      <c r="F162" s="1917"/>
      <c r="G162" s="1917"/>
      <c r="H162" s="1917"/>
      <c r="I162" s="1917"/>
      <c r="J162" s="1917"/>
      <c r="K162" s="1917"/>
      <c r="L162" s="1917"/>
      <c r="M162" s="1917"/>
      <c r="N162" s="1917"/>
      <c r="O162" s="1917"/>
      <c r="P162" s="1917"/>
      <c r="Q162" s="1969"/>
      <c r="R162" s="1917"/>
      <c r="S162" s="1917"/>
      <c r="T162" s="1917"/>
      <c r="U162" s="1917"/>
      <c r="V162" s="1917"/>
      <c r="W162" s="346"/>
    </row>
    <row r="163" spans="1:23" x14ac:dyDescent="0.2">
      <c r="A163" s="436"/>
      <c r="B163" s="345"/>
      <c r="C163" s="451" t="s">
        <v>452</v>
      </c>
      <c r="D163" s="336">
        <f ca="1">F129*D162</f>
        <v>103897.32965820449</v>
      </c>
      <c r="E163" s="367" t="s">
        <v>627</v>
      </c>
      <c r="F163" s="1917"/>
      <c r="G163" s="1917"/>
      <c r="H163" s="1917"/>
      <c r="I163" s="1917"/>
      <c r="J163" s="1917"/>
      <c r="K163" s="1917"/>
      <c r="L163" s="1917"/>
      <c r="M163" s="1917"/>
      <c r="N163" s="1917"/>
      <c r="O163" s="1917"/>
      <c r="P163" s="1917"/>
      <c r="Q163" s="1969"/>
      <c r="R163" s="1917"/>
      <c r="S163" s="1917"/>
      <c r="T163" s="1917"/>
      <c r="U163" s="1917"/>
      <c r="V163" s="1917"/>
      <c r="W163" s="346"/>
    </row>
    <row r="164" spans="1:23" x14ac:dyDescent="0.2">
      <c r="A164" s="436"/>
      <c r="B164" s="345"/>
      <c r="C164" s="442" t="s">
        <v>485</v>
      </c>
      <c r="D164" s="913">
        <f ca="1">Constants!H48</f>
        <v>10</v>
      </c>
      <c r="E164" s="337" t="s">
        <v>496</v>
      </c>
      <c r="F164" s="1917"/>
      <c r="G164" s="1917"/>
      <c r="H164" s="1917"/>
      <c r="I164" s="1917"/>
      <c r="J164" s="1917"/>
      <c r="K164" s="1917"/>
      <c r="L164" s="1917"/>
      <c r="M164" s="1917"/>
      <c r="N164" s="1917"/>
      <c r="O164" s="1917"/>
      <c r="P164" s="1917"/>
      <c r="Q164" s="1969"/>
      <c r="R164" s="1917"/>
      <c r="S164" s="1917"/>
      <c r="T164" s="1917"/>
      <c r="U164" s="1917"/>
      <c r="V164" s="1917"/>
      <c r="W164" s="346"/>
    </row>
    <row r="165" spans="1:23" x14ac:dyDescent="0.2">
      <c r="A165" s="436"/>
      <c r="B165" s="345"/>
      <c r="C165" s="442" t="s">
        <v>485</v>
      </c>
      <c r="D165" s="1917">
        <f ca="1">D164*'Energy &amp; Unit Conversions'!G79/'Energy &amp; Unit Conversions'!G80</f>
        <v>28.530100831953249</v>
      </c>
      <c r="E165" s="337" t="s">
        <v>581</v>
      </c>
      <c r="F165" s="1917"/>
      <c r="G165" s="1917"/>
      <c r="H165" s="1917"/>
      <c r="I165" s="1917"/>
      <c r="J165" s="1917"/>
      <c r="K165" s="1917"/>
      <c r="L165" s="1917"/>
      <c r="M165" s="1917"/>
      <c r="N165" s="1917"/>
      <c r="O165" s="1917"/>
      <c r="P165" s="1917"/>
      <c r="Q165" s="1969"/>
      <c r="R165" s="1917"/>
      <c r="S165" s="1917"/>
      <c r="T165" s="1917"/>
      <c r="U165" s="1917"/>
      <c r="V165" s="1917"/>
      <c r="W165" s="346"/>
    </row>
    <row r="166" spans="1:23" x14ac:dyDescent="0.2">
      <c r="A166" s="436"/>
      <c r="B166" s="345"/>
      <c r="C166" s="451" t="s">
        <v>485</v>
      </c>
      <c r="D166" s="336">
        <f ca="1">D165*F129</f>
        <v>78545.059993893796</v>
      </c>
      <c r="E166" s="367" t="s">
        <v>622</v>
      </c>
      <c r="F166" s="1917"/>
      <c r="G166" s="1917"/>
      <c r="H166" s="1917"/>
      <c r="I166" s="1917"/>
      <c r="J166" s="1917"/>
      <c r="K166" s="1917"/>
      <c r="L166" s="1917"/>
      <c r="M166" s="1917"/>
      <c r="N166" s="1917"/>
      <c r="O166" s="1917"/>
      <c r="P166" s="1917"/>
      <c r="Q166" s="1969"/>
      <c r="R166" s="1917"/>
      <c r="S166" s="1917"/>
      <c r="T166" s="1917"/>
      <c r="U166" s="1917"/>
      <c r="V166" s="1917"/>
      <c r="W166" s="346"/>
    </row>
    <row r="167" spans="1:23" x14ac:dyDescent="0.2">
      <c r="A167" s="436"/>
      <c r="B167" s="345"/>
      <c r="C167" s="437"/>
      <c r="D167" s="1917"/>
      <c r="E167" s="1917"/>
      <c r="F167" s="1917"/>
      <c r="G167" s="1917"/>
      <c r="H167" s="1917"/>
      <c r="I167" s="1917"/>
      <c r="J167" s="1917"/>
      <c r="K167" s="1917"/>
      <c r="L167" s="1917"/>
      <c r="M167" s="1917"/>
      <c r="N167" s="1917"/>
      <c r="O167" s="1917"/>
      <c r="P167" s="1917"/>
      <c r="Q167" s="1969"/>
      <c r="R167" s="1917"/>
      <c r="S167" s="1917"/>
      <c r="T167" s="1917"/>
      <c r="U167" s="1917"/>
      <c r="V167" s="1917"/>
      <c r="W167" s="346"/>
    </row>
    <row r="168" spans="1:23" ht="26.25" x14ac:dyDescent="0.2">
      <c r="A168" s="436"/>
      <c r="B168" s="347"/>
      <c r="C168" s="438" t="s">
        <v>172</v>
      </c>
      <c r="D168" s="411"/>
      <c r="E168" s="1917"/>
      <c r="F168" s="1917"/>
      <c r="G168" s="1917"/>
      <c r="H168" s="1917"/>
      <c r="I168" s="1917"/>
      <c r="J168" s="1917"/>
      <c r="K168" s="1917"/>
      <c r="L168" s="1917"/>
      <c r="M168" s="1917"/>
      <c r="N168" s="1917"/>
      <c r="O168" s="1917"/>
      <c r="P168" s="1917"/>
      <c r="Q168" s="1969"/>
      <c r="R168" s="1917"/>
      <c r="S168" s="1917"/>
      <c r="T168" s="1917"/>
      <c r="U168" s="1917"/>
      <c r="V168" s="1917"/>
      <c r="W168" s="346"/>
    </row>
    <row r="169" spans="1:23" x14ac:dyDescent="0.2">
      <c r="A169" s="436"/>
      <c r="B169" s="345"/>
      <c r="C169" s="437"/>
      <c r="D169" s="1917"/>
      <c r="E169" s="1910"/>
      <c r="F169" s="1917"/>
      <c r="G169" s="1917"/>
      <c r="H169" s="1917"/>
      <c r="I169" s="1917"/>
      <c r="J169" s="1917"/>
      <c r="K169" s="1917"/>
      <c r="L169" s="1917"/>
      <c r="M169" s="1917"/>
      <c r="N169" s="1917"/>
      <c r="O169" s="1917"/>
      <c r="P169" s="1917"/>
      <c r="Q169" s="1969"/>
      <c r="R169" s="1917"/>
      <c r="S169" s="1917"/>
      <c r="T169" s="1917"/>
      <c r="U169" s="1917"/>
      <c r="V169" s="1917"/>
      <c r="W169" s="346"/>
    </row>
    <row r="170" spans="1:23" x14ac:dyDescent="0.2">
      <c r="A170" s="436"/>
      <c r="B170" s="345"/>
      <c r="C170" s="440" t="s">
        <v>1309</v>
      </c>
      <c r="D170" s="1917"/>
      <c r="E170" s="1910"/>
      <c r="F170" s="1917"/>
      <c r="G170" s="1917"/>
      <c r="H170" s="1917"/>
      <c r="I170" s="1917"/>
      <c r="J170" s="1917"/>
      <c r="K170" s="1917"/>
      <c r="L170" s="1917"/>
      <c r="M170" s="1917"/>
      <c r="N170" s="1917"/>
      <c r="O170" s="1917"/>
      <c r="P170" s="1917"/>
      <c r="Q170" s="1969"/>
      <c r="R170" s="1917"/>
      <c r="S170" s="1917"/>
      <c r="T170" s="1917"/>
      <c r="U170" s="1917"/>
      <c r="V170" s="1917"/>
      <c r="W170" s="346"/>
    </row>
    <row r="171" spans="1:23" x14ac:dyDescent="0.2">
      <c r="A171" s="436"/>
      <c r="B171" s="345"/>
      <c r="C171" s="441" t="s">
        <v>568</v>
      </c>
      <c r="D171" s="1918" t="s">
        <v>623</v>
      </c>
      <c r="E171" s="356" t="str">
        <f ca="1">CokingRefineryCalcs!F46</f>
        <v>LSR</v>
      </c>
      <c r="F171" s="356" t="s">
        <v>516</v>
      </c>
      <c r="G171" s="1919" t="s">
        <v>370</v>
      </c>
      <c r="H171" s="1917"/>
      <c r="I171" s="1917"/>
      <c r="J171" s="1917"/>
      <c r="K171" s="1917"/>
      <c r="L171" s="1917"/>
      <c r="M171" s="1917"/>
      <c r="N171" s="1917"/>
      <c r="O171" s="1917"/>
      <c r="P171" s="1917"/>
      <c r="Q171" s="1969"/>
      <c r="R171" s="1917"/>
      <c r="S171" s="1917"/>
      <c r="T171" s="1917"/>
      <c r="U171" s="1917"/>
      <c r="V171" s="1917"/>
      <c r="W171" s="346"/>
    </row>
    <row r="172" spans="1:23" x14ac:dyDescent="0.2">
      <c r="A172" s="436"/>
      <c r="B172" s="345"/>
      <c r="C172" s="442" t="s">
        <v>582</v>
      </c>
      <c r="D172" s="1917" t="s">
        <v>566</v>
      </c>
      <c r="E172" s="1917">
        <f ca="1">CokingRefineryCalcs!F47</f>
        <v>7538.9890466543711</v>
      </c>
      <c r="F172" s="1917">
        <f ca="1">F173/'Energy &amp; Unit Conversions'!G80</f>
        <v>8512.9513277591104</v>
      </c>
      <c r="G172" s="337"/>
      <c r="H172" s="1917"/>
      <c r="I172" s="1917"/>
      <c r="J172" s="1917"/>
      <c r="K172" s="1917"/>
      <c r="L172" s="1917"/>
      <c r="M172" s="1917"/>
      <c r="N172" s="1917"/>
      <c r="O172" s="1917"/>
      <c r="P172" s="1917"/>
      <c r="Q172" s="1969"/>
      <c r="R172" s="1917"/>
      <c r="S172" s="1917"/>
      <c r="T172" s="1917"/>
      <c r="U172" s="1917"/>
      <c r="V172" s="1917"/>
      <c r="W172" s="346"/>
    </row>
    <row r="173" spans="1:23" x14ac:dyDescent="0.2">
      <c r="A173" s="436"/>
      <c r="B173" s="345"/>
      <c r="C173" s="442" t="s">
        <v>582</v>
      </c>
      <c r="D173" s="1917" t="s">
        <v>628</v>
      </c>
      <c r="E173" s="1917">
        <f ca="1">CokingRefineryCalcs!F48</f>
        <v>1198.699258418045</v>
      </c>
      <c r="F173" s="1917">
        <f ca="1">F174/F177</f>
        <v>1353.4511466318361</v>
      </c>
      <c r="G173" s="337"/>
      <c r="H173" s="1917"/>
      <c r="I173" s="1917"/>
      <c r="J173" s="1917"/>
      <c r="K173" s="1917"/>
      <c r="L173" s="1917"/>
      <c r="M173" s="1917"/>
      <c r="N173" s="1917"/>
      <c r="O173" s="1917"/>
      <c r="P173" s="1917"/>
      <c r="Q173" s="1969"/>
      <c r="R173" s="1917"/>
      <c r="S173" s="1917"/>
      <c r="T173" s="1917"/>
      <c r="U173" s="1917"/>
      <c r="V173" s="1917"/>
      <c r="W173" s="346"/>
    </row>
    <row r="174" spans="1:23" x14ac:dyDescent="0.2">
      <c r="A174" s="436"/>
      <c r="B174" s="345"/>
      <c r="C174" s="442" t="s">
        <v>620</v>
      </c>
      <c r="D174" s="1917" t="s">
        <v>622</v>
      </c>
      <c r="E174" s="1917">
        <f ca="1">CokingRefineryCalcs!F49</f>
        <v>854451.48145949247</v>
      </c>
      <c r="F174" s="1917">
        <f ca="1">(100-D183)*E174/100</f>
        <v>845906.96664489759</v>
      </c>
      <c r="G174" s="337">
        <f ca="1">D183/100*E174</f>
        <v>8544.5148145949242</v>
      </c>
      <c r="H174" s="1917"/>
      <c r="I174" s="1917"/>
      <c r="J174" s="1917"/>
      <c r="K174" s="1917"/>
      <c r="L174" s="1917"/>
      <c r="M174" s="1917"/>
      <c r="N174" s="1917"/>
      <c r="O174" s="1917"/>
      <c r="P174" s="1917"/>
      <c r="Q174" s="1969"/>
      <c r="R174" s="1917"/>
      <c r="S174" s="1917"/>
      <c r="T174" s="1917"/>
      <c r="U174" s="1917"/>
      <c r="V174" s="1917"/>
      <c r="W174" s="346"/>
    </row>
    <row r="175" spans="1:23" x14ac:dyDescent="0.2">
      <c r="A175" s="436"/>
      <c r="B175" s="345"/>
      <c r="C175" s="442" t="s">
        <v>578</v>
      </c>
      <c r="D175" s="1917" t="s">
        <v>579</v>
      </c>
      <c r="E175" s="1917">
        <f ca="1">CokingRefineryCalcs!F50</f>
        <v>0</v>
      </c>
      <c r="F175" s="1917">
        <v>0</v>
      </c>
      <c r="G175" s="337">
        <f ca="1">((E175*E174-F175*F174)/G174)</f>
        <v>0</v>
      </c>
      <c r="H175" s="1917"/>
      <c r="I175" s="1917"/>
      <c r="J175" s="1917"/>
      <c r="K175" s="1917"/>
      <c r="L175" s="1917"/>
      <c r="M175" s="1917"/>
      <c r="N175" s="1917"/>
      <c r="O175" s="1917"/>
      <c r="P175" s="1917"/>
      <c r="Q175" s="1969"/>
      <c r="R175" s="1917"/>
      <c r="S175" s="1917"/>
      <c r="T175" s="1917"/>
      <c r="U175" s="1917"/>
      <c r="V175" s="1917"/>
      <c r="W175" s="346"/>
    </row>
    <row r="176" spans="1:23" x14ac:dyDescent="0.2">
      <c r="A176" s="436"/>
      <c r="B176" s="345"/>
      <c r="C176" s="442" t="s">
        <v>567</v>
      </c>
      <c r="D176" s="1917"/>
      <c r="E176" s="1917">
        <f ca="1">CokingRefineryCalcs!F52</f>
        <v>66.810065343505755</v>
      </c>
      <c r="F176" s="1917">
        <f>141.5/(F177/1000)-131.5</f>
        <v>94.9</v>
      </c>
      <c r="G176" s="337"/>
      <c r="H176" s="1917"/>
      <c r="I176" s="1917"/>
      <c r="J176" s="1917"/>
      <c r="K176" s="1917"/>
      <c r="L176" s="1917"/>
      <c r="M176" s="1917"/>
      <c r="N176" s="1917"/>
      <c r="O176" s="1917"/>
      <c r="P176" s="1917"/>
      <c r="Q176" s="1969"/>
      <c r="R176" s="1917"/>
      <c r="S176" s="1917"/>
      <c r="T176" s="1917"/>
      <c r="U176" s="1917"/>
      <c r="V176" s="1917"/>
      <c r="W176" s="346"/>
    </row>
    <row r="177" spans="1:23" x14ac:dyDescent="0.2">
      <c r="A177" s="436"/>
      <c r="B177" s="345"/>
      <c r="C177" s="442" t="s">
        <v>580</v>
      </c>
      <c r="D177" s="1917" t="s">
        <v>581</v>
      </c>
      <c r="E177" s="1917">
        <f ca="1">CokingRefineryCalcs!F53</f>
        <v>712.81555858066895</v>
      </c>
      <c r="F177" s="1917">
        <v>625</v>
      </c>
      <c r="G177" s="337"/>
      <c r="H177" s="1917"/>
      <c r="I177" s="1917"/>
      <c r="J177" s="1917"/>
      <c r="K177" s="1917"/>
      <c r="L177" s="1917"/>
      <c r="M177" s="1917"/>
      <c r="N177" s="1917"/>
      <c r="O177" s="1917"/>
      <c r="P177" s="1917"/>
      <c r="Q177" s="1969"/>
      <c r="R177" s="1917"/>
      <c r="S177" s="1917"/>
      <c r="T177" s="1917"/>
      <c r="U177" s="1917"/>
      <c r="V177" s="1917"/>
      <c r="W177" s="346"/>
    </row>
    <row r="178" spans="1:23" x14ac:dyDescent="0.2">
      <c r="A178" s="436"/>
      <c r="B178" s="345"/>
      <c r="C178" s="442" t="s">
        <v>621</v>
      </c>
      <c r="D178" s="1917" t="s">
        <v>579</v>
      </c>
      <c r="E178" s="1917">
        <f ca="1">CokingRefineryCalcs!F54</f>
        <v>15.321692746753095</v>
      </c>
      <c r="F178" s="914">
        <f ca="1">IF(E178&gt;16.7,E178,16.7)</f>
        <v>16.7</v>
      </c>
      <c r="G178" s="919">
        <f>Constants!N373</f>
        <v>17.507418662350211</v>
      </c>
      <c r="H178" s="1917"/>
      <c r="I178" s="1917"/>
      <c r="J178" s="1917"/>
      <c r="K178" s="1917"/>
      <c r="L178" s="1917"/>
      <c r="M178" s="1917"/>
      <c r="N178" s="1917"/>
      <c r="O178" s="1917"/>
      <c r="P178" s="1917"/>
      <c r="Q178" s="1969"/>
      <c r="R178" s="1917"/>
      <c r="S178" s="1917"/>
      <c r="T178" s="1917"/>
      <c r="U178" s="1917"/>
      <c r="V178" s="1917"/>
      <c r="W178" s="346"/>
    </row>
    <row r="179" spans="1:23" x14ac:dyDescent="0.2">
      <c r="A179" s="436"/>
      <c r="B179" s="345"/>
      <c r="C179" s="443" t="s">
        <v>544</v>
      </c>
      <c r="D179" s="334" t="s">
        <v>579</v>
      </c>
      <c r="E179" s="334"/>
      <c r="F179" s="334"/>
      <c r="G179" s="338"/>
      <c r="H179" s="1917"/>
      <c r="I179" s="1917"/>
      <c r="J179" s="1917"/>
      <c r="K179" s="1917"/>
      <c r="L179" s="1917"/>
      <c r="M179" s="1917"/>
      <c r="N179" s="1917"/>
      <c r="O179" s="1917"/>
      <c r="P179" s="1917"/>
      <c r="Q179" s="1969"/>
      <c r="R179" s="1917"/>
      <c r="S179" s="1917"/>
      <c r="T179" s="1917"/>
      <c r="U179" s="1917"/>
      <c r="V179" s="1917"/>
      <c r="W179" s="346"/>
    </row>
    <row r="180" spans="1:23" x14ac:dyDescent="0.2">
      <c r="A180" s="436"/>
      <c r="B180" s="345"/>
      <c r="C180" s="437"/>
      <c r="D180" s="1917"/>
      <c r="E180" s="1917"/>
      <c r="F180" s="1917"/>
      <c r="G180" s="1917"/>
      <c r="H180" s="1917"/>
      <c r="I180" s="1917"/>
      <c r="J180" s="1917"/>
      <c r="K180" s="1917"/>
      <c r="L180" s="1917"/>
      <c r="M180" s="1917"/>
      <c r="N180" s="1917"/>
      <c r="O180" s="1917"/>
      <c r="P180" s="1917"/>
      <c r="Q180" s="1969"/>
      <c r="R180" s="1917"/>
      <c r="S180" s="1917"/>
      <c r="T180" s="1917"/>
      <c r="U180" s="1917"/>
      <c r="V180" s="1917"/>
      <c r="W180" s="346"/>
    </row>
    <row r="181" spans="1:23" x14ac:dyDescent="0.2">
      <c r="A181" s="436"/>
      <c r="B181" s="345"/>
      <c r="C181" s="440" t="s">
        <v>1303</v>
      </c>
      <c r="D181" s="350"/>
      <c r="E181" s="1917"/>
      <c r="F181" s="1917"/>
      <c r="G181" s="1917"/>
      <c r="H181" s="1917"/>
      <c r="I181" s="1917"/>
      <c r="J181" s="1917"/>
      <c r="K181" s="1917"/>
      <c r="L181" s="1917"/>
      <c r="M181" s="1917"/>
      <c r="N181" s="1917"/>
      <c r="O181" s="1917"/>
      <c r="P181" s="1917"/>
      <c r="Q181" s="1969"/>
      <c r="R181" s="1917"/>
      <c r="S181" s="1917"/>
      <c r="T181" s="1917"/>
      <c r="U181" s="1917"/>
      <c r="V181" s="1917"/>
      <c r="W181" s="346"/>
    </row>
    <row r="182" spans="1:23" x14ac:dyDescent="0.2">
      <c r="A182" s="436"/>
      <c r="B182" s="345"/>
      <c r="C182" s="468"/>
      <c r="D182" s="382" t="s">
        <v>242</v>
      </c>
      <c r="E182" s="383" t="s">
        <v>623</v>
      </c>
      <c r="F182" s="1917"/>
      <c r="G182" s="1917"/>
      <c r="H182" s="1917"/>
      <c r="I182" s="1917"/>
      <c r="J182" s="1917"/>
      <c r="K182" s="1917"/>
      <c r="L182" s="1917"/>
      <c r="M182" s="1917"/>
      <c r="N182" s="1917"/>
      <c r="O182" s="1917"/>
      <c r="P182" s="1917"/>
      <c r="Q182" s="1969"/>
      <c r="R182" s="1917"/>
      <c r="S182" s="1917"/>
      <c r="T182" s="1917"/>
      <c r="U182" s="1917"/>
      <c r="V182" s="1917"/>
      <c r="W182" s="346"/>
    </row>
    <row r="183" spans="1:23" x14ac:dyDescent="0.2">
      <c r="A183" s="436"/>
      <c r="B183" s="345"/>
      <c r="C183" s="461" t="s">
        <v>517</v>
      </c>
      <c r="D183" s="913">
        <f>Constants!H307</f>
        <v>1</v>
      </c>
      <c r="E183" s="339" t="s">
        <v>633</v>
      </c>
      <c r="F183" s="1917"/>
      <c r="G183" s="1917"/>
      <c r="H183" s="1917"/>
      <c r="I183" s="1917"/>
      <c r="J183" s="1917"/>
      <c r="K183" s="1917"/>
      <c r="L183" s="1917"/>
      <c r="M183" s="1917"/>
      <c r="N183" s="1917"/>
      <c r="O183" s="1917"/>
      <c r="P183" s="1917"/>
      <c r="Q183" s="1969"/>
      <c r="R183" s="1917"/>
      <c r="S183" s="1917"/>
      <c r="T183" s="1917"/>
      <c r="U183" s="1917"/>
      <c r="V183" s="1917"/>
      <c r="W183" s="346"/>
    </row>
    <row r="184" spans="1:23" x14ac:dyDescent="0.2">
      <c r="A184" s="436"/>
      <c r="B184" s="345"/>
      <c r="C184" s="461" t="s">
        <v>476</v>
      </c>
      <c r="D184" s="1917">
        <f ca="1">(G174*G178/100+F174*F178/100-E174*E178/100)</f>
        <v>11845.956751652135</v>
      </c>
      <c r="E184" s="339" t="s">
        <v>622</v>
      </c>
      <c r="F184" s="1917"/>
      <c r="G184" s="1917"/>
      <c r="H184" s="1917"/>
      <c r="I184" s="1917"/>
      <c r="J184" s="1917"/>
      <c r="K184" s="1917"/>
      <c r="L184" s="1917"/>
      <c r="M184" s="1917"/>
      <c r="N184" s="1917"/>
      <c r="O184" s="1917"/>
      <c r="P184" s="1917"/>
      <c r="Q184" s="1969"/>
      <c r="R184" s="1917"/>
      <c r="S184" s="1917"/>
      <c r="T184" s="1917"/>
      <c r="U184" s="1917"/>
      <c r="V184" s="1917"/>
      <c r="W184" s="346"/>
    </row>
    <row r="185" spans="1:23" x14ac:dyDescent="0.2">
      <c r="A185" s="436"/>
      <c r="B185" s="345"/>
      <c r="C185" s="461" t="s">
        <v>476</v>
      </c>
      <c r="D185" s="1917">
        <f ca="1">D184*'Energy &amp; Unit Conversions'!E93/'Energy &amp; Unit Conversions'!E26</f>
        <v>4919209.8894181987</v>
      </c>
      <c r="E185" s="339" t="s">
        <v>478</v>
      </c>
      <c r="F185" s="1917"/>
      <c r="G185" s="1917"/>
      <c r="H185" s="1917"/>
      <c r="I185" s="1917"/>
      <c r="J185" s="1917"/>
      <c r="K185" s="1917"/>
      <c r="L185" s="1917"/>
      <c r="M185" s="1917"/>
      <c r="N185" s="1917"/>
      <c r="O185" s="1917"/>
      <c r="P185" s="1917"/>
      <c r="Q185" s="1969"/>
      <c r="R185" s="1917"/>
      <c r="S185" s="1917"/>
      <c r="T185" s="1917"/>
      <c r="U185" s="1917"/>
      <c r="V185" s="1917"/>
      <c r="W185" s="346"/>
    </row>
    <row r="186" spans="1:23" x14ac:dyDescent="0.2">
      <c r="A186" s="436"/>
      <c r="B186" s="345"/>
      <c r="C186" s="461" t="s">
        <v>477</v>
      </c>
      <c r="D186" s="1917">
        <f ca="1">D185/E172</f>
        <v>652.50259139204218</v>
      </c>
      <c r="E186" s="339" t="s">
        <v>670</v>
      </c>
      <c r="F186" s="1917"/>
      <c r="G186" s="1917"/>
      <c r="H186" s="1917"/>
      <c r="I186" s="1917"/>
      <c r="J186" s="1917"/>
      <c r="K186" s="1917"/>
      <c r="L186" s="1917"/>
      <c r="M186" s="1917"/>
      <c r="N186" s="1917"/>
      <c r="O186" s="1917"/>
      <c r="P186" s="1917"/>
      <c r="Q186" s="1969"/>
      <c r="R186" s="1917"/>
      <c r="S186" s="1917"/>
      <c r="T186" s="1917"/>
      <c r="U186" s="1917"/>
      <c r="V186" s="1917"/>
      <c r="W186" s="346"/>
    </row>
    <row r="187" spans="1:23" x14ac:dyDescent="0.2">
      <c r="A187" s="436"/>
      <c r="B187" s="345"/>
      <c r="C187" s="461" t="s">
        <v>451</v>
      </c>
      <c r="D187" s="913">
        <f>Constants!H304</f>
        <v>1</v>
      </c>
      <c r="E187" s="339" t="s">
        <v>665</v>
      </c>
      <c r="F187" s="1917"/>
      <c r="G187" s="1917"/>
      <c r="H187" s="1917"/>
      <c r="I187" s="1917"/>
      <c r="J187" s="1917"/>
      <c r="K187" s="1917"/>
      <c r="L187" s="1917"/>
      <c r="M187" s="1917"/>
      <c r="N187" s="1917"/>
      <c r="O187" s="1917"/>
      <c r="P187" s="1917"/>
      <c r="Q187" s="1969"/>
      <c r="R187" s="1917"/>
      <c r="S187" s="1917"/>
      <c r="T187" s="1917"/>
      <c r="U187" s="1917"/>
      <c r="V187" s="1917"/>
      <c r="W187" s="346"/>
    </row>
    <row r="188" spans="1:23" x14ac:dyDescent="0.2">
      <c r="A188" s="436"/>
      <c r="B188" s="345"/>
      <c r="C188" s="461" t="s">
        <v>451</v>
      </c>
      <c r="D188" s="1917">
        <f>D187/'Energy &amp; Unit Conversions'!G80</f>
        <v>6.2898105697750699</v>
      </c>
      <c r="E188" s="339" t="s">
        <v>629</v>
      </c>
      <c r="F188" s="1917"/>
      <c r="G188" s="1917"/>
      <c r="H188" s="1917"/>
      <c r="I188" s="1917"/>
      <c r="J188" s="1917"/>
      <c r="K188" s="1917"/>
      <c r="L188" s="1917"/>
      <c r="M188" s="1917"/>
      <c r="N188" s="1917"/>
      <c r="O188" s="1917"/>
      <c r="P188" s="1917"/>
      <c r="Q188" s="1969"/>
      <c r="R188" s="1917"/>
      <c r="S188" s="1917"/>
      <c r="T188" s="1917"/>
      <c r="U188" s="1917"/>
      <c r="V188" s="1917"/>
      <c r="W188" s="346"/>
    </row>
    <row r="189" spans="1:23" ht="12" customHeight="1" x14ac:dyDescent="0.2">
      <c r="A189" s="436"/>
      <c r="B189" s="345"/>
      <c r="C189" s="483" t="s">
        <v>452</v>
      </c>
      <c r="D189" s="378">
        <f ca="1">D188*E173</f>
        <v>7539.5912655793572</v>
      </c>
      <c r="E189" s="417" t="s">
        <v>627</v>
      </c>
      <c r="F189" s="1917"/>
      <c r="G189" s="1917"/>
      <c r="H189" s="1917"/>
      <c r="I189" s="1917"/>
      <c r="J189" s="1917"/>
      <c r="K189" s="1917"/>
      <c r="L189" s="1917"/>
      <c r="M189" s="1917"/>
      <c r="N189" s="1917"/>
      <c r="O189" s="1917"/>
      <c r="P189" s="1917"/>
      <c r="Q189" s="1969"/>
      <c r="R189" s="1917"/>
      <c r="S189" s="1917"/>
      <c r="T189" s="1917"/>
      <c r="U189" s="1917"/>
      <c r="V189" s="1917"/>
      <c r="W189" s="346"/>
    </row>
    <row r="190" spans="1:23" ht="12" customHeight="1" x14ac:dyDescent="0.2">
      <c r="A190" s="436"/>
      <c r="B190" s="345"/>
      <c r="C190" s="461" t="s">
        <v>635</v>
      </c>
      <c r="D190" s="913">
        <f>Constants!H302</f>
        <v>211</v>
      </c>
      <c r="E190" s="339" t="s">
        <v>637</v>
      </c>
      <c r="F190" s="1917"/>
      <c r="G190" s="1917"/>
      <c r="H190" s="1917"/>
      <c r="I190" s="1917"/>
      <c r="J190" s="1917"/>
      <c r="K190" s="1917"/>
      <c r="L190" s="1917"/>
      <c r="M190" s="1917"/>
      <c r="N190" s="1917"/>
      <c r="O190" s="1917"/>
      <c r="P190" s="1917"/>
      <c r="Q190" s="1969"/>
      <c r="R190" s="1917"/>
      <c r="S190" s="1917"/>
      <c r="T190" s="1917"/>
      <c r="U190" s="1917"/>
      <c r="V190" s="1917"/>
      <c r="W190" s="346"/>
    </row>
    <row r="191" spans="1:23" x14ac:dyDescent="0.2">
      <c r="A191" s="436"/>
      <c r="B191" s="345"/>
      <c r="C191" s="461" t="s">
        <v>634</v>
      </c>
      <c r="D191" s="1917">
        <f>D190*'Energy &amp; Unit Conversions'!G82/'Energy &amp; Unit Conversions'!G80</f>
        <v>35.554600140735666</v>
      </c>
      <c r="E191" s="339" t="s">
        <v>636</v>
      </c>
      <c r="F191" s="1917"/>
      <c r="G191" s="1917"/>
      <c r="H191" s="420"/>
      <c r="I191" s="1917"/>
      <c r="J191" s="1917"/>
      <c r="K191" s="1917"/>
      <c r="L191" s="1917"/>
      <c r="M191" s="1917"/>
      <c r="N191" s="1917"/>
      <c r="O191" s="1917"/>
      <c r="P191" s="1917"/>
      <c r="Q191" s="1969"/>
      <c r="R191" s="1917"/>
      <c r="S191" s="1917"/>
      <c r="T191" s="1917"/>
      <c r="U191" s="1917"/>
      <c r="V191" s="1917"/>
      <c r="W191" s="346"/>
    </row>
    <row r="192" spans="1:23" x14ac:dyDescent="0.2">
      <c r="A192" s="436"/>
      <c r="B192" s="345"/>
      <c r="C192" s="469" t="s">
        <v>542</v>
      </c>
      <c r="D192" s="418">
        <f ca="1">D190*E172/1000</f>
        <v>1590.7266888440724</v>
      </c>
      <c r="E192" s="419" t="s">
        <v>472</v>
      </c>
      <c r="F192" s="1917"/>
      <c r="G192" s="1917"/>
      <c r="H192" s="1917"/>
      <c r="I192" s="1917"/>
      <c r="J192" s="1917"/>
      <c r="K192" s="1917"/>
      <c r="L192" s="1917"/>
      <c r="M192" s="1917"/>
      <c r="N192" s="1917"/>
      <c r="O192" s="1917"/>
      <c r="P192" s="1917"/>
      <c r="Q192" s="1969"/>
      <c r="R192" s="1917"/>
      <c r="S192" s="1917"/>
      <c r="T192" s="1917"/>
      <c r="U192" s="1917"/>
      <c r="V192" s="1917"/>
      <c r="W192" s="346"/>
    </row>
    <row r="193" spans="1:23" x14ac:dyDescent="0.2">
      <c r="A193" s="436"/>
      <c r="B193" s="345"/>
      <c r="C193" s="437"/>
      <c r="D193" s="1917"/>
      <c r="E193" s="1917"/>
      <c r="F193" s="1917"/>
      <c r="G193" s="1917"/>
      <c r="H193" s="1917"/>
      <c r="I193" s="1917"/>
      <c r="J193" s="1917"/>
      <c r="K193" s="1917"/>
      <c r="L193" s="1917"/>
      <c r="M193" s="1917"/>
      <c r="N193" s="1917"/>
      <c r="O193" s="1917"/>
      <c r="P193" s="1917"/>
      <c r="Q193" s="1969"/>
      <c r="R193" s="1917"/>
      <c r="S193" s="1917"/>
      <c r="T193" s="1917"/>
      <c r="U193" s="1917"/>
      <c r="V193" s="1917"/>
      <c r="W193" s="346"/>
    </row>
    <row r="194" spans="1:23" ht="26.25" x14ac:dyDescent="0.2">
      <c r="A194" s="436"/>
      <c r="B194" s="347"/>
      <c r="C194" s="438" t="s">
        <v>1384</v>
      </c>
      <c r="D194" s="411"/>
      <c r="E194" s="1917"/>
      <c r="F194" s="1917"/>
      <c r="G194" s="1917"/>
      <c r="H194" s="1917"/>
      <c r="I194" s="1917"/>
      <c r="J194" s="1917"/>
      <c r="K194" s="1917"/>
      <c r="L194" s="1917"/>
      <c r="M194" s="1917"/>
      <c r="N194" s="1917"/>
      <c r="O194" s="1917"/>
      <c r="P194" s="1917"/>
      <c r="Q194" s="1969"/>
      <c r="R194" s="1917"/>
      <c r="S194" s="1917"/>
      <c r="T194" s="1917"/>
      <c r="U194" s="1917"/>
      <c r="V194" s="1917"/>
      <c r="W194" s="346"/>
    </row>
    <row r="195" spans="1:23" x14ac:dyDescent="0.2">
      <c r="A195" s="436"/>
      <c r="B195" s="345"/>
      <c r="C195" s="437"/>
      <c r="D195" s="1917"/>
      <c r="E195" s="1910"/>
      <c r="F195" s="1917"/>
      <c r="G195" s="1917"/>
      <c r="H195" s="1917"/>
      <c r="I195" s="1917"/>
      <c r="J195" s="1917"/>
      <c r="K195" s="1917"/>
      <c r="L195" s="1917"/>
      <c r="M195" s="1917"/>
      <c r="N195" s="1917"/>
      <c r="O195" s="1917"/>
      <c r="P195" s="1917"/>
      <c r="Q195" s="1969"/>
      <c r="R195" s="1917"/>
      <c r="S195" s="1917"/>
      <c r="T195" s="1917"/>
      <c r="U195" s="1917"/>
      <c r="V195" s="1917"/>
      <c r="W195" s="346"/>
    </row>
    <row r="196" spans="1:23" x14ac:dyDescent="0.2">
      <c r="A196" s="436"/>
      <c r="B196" s="345"/>
      <c r="C196" s="440" t="s">
        <v>1309</v>
      </c>
      <c r="D196" s="1917"/>
      <c r="E196" s="1910"/>
      <c r="F196" s="1917"/>
      <c r="G196" s="1917"/>
      <c r="H196" s="1917"/>
      <c r="I196" s="1917"/>
      <c r="J196" s="1917"/>
      <c r="K196" s="1917"/>
      <c r="L196" s="1917"/>
      <c r="M196" s="1917"/>
      <c r="N196" s="1917"/>
      <c r="O196" s="1917"/>
      <c r="P196" s="1917"/>
      <c r="Q196" s="1969"/>
      <c r="R196" s="1917"/>
      <c r="S196" s="1917"/>
      <c r="T196" s="1917"/>
      <c r="U196" s="1917"/>
      <c r="V196" s="1917"/>
      <c r="W196" s="346"/>
    </row>
    <row r="197" spans="1:23" x14ac:dyDescent="0.2">
      <c r="A197" s="436"/>
      <c r="B197" s="345"/>
      <c r="C197" s="441" t="s">
        <v>568</v>
      </c>
      <c r="D197" s="1918" t="s">
        <v>623</v>
      </c>
      <c r="E197" s="356" t="str">
        <f>H127</f>
        <v>Hydrotreated Naphtha</v>
      </c>
      <c r="F197" s="356" t="s">
        <v>612</v>
      </c>
      <c r="G197" s="1918" t="s">
        <v>515</v>
      </c>
      <c r="H197" s="1918" t="s">
        <v>369</v>
      </c>
      <c r="I197" s="369"/>
      <c r="J197" s="1917"/>
      <c r="K197" s="1917"/>
      <c r="L197" s="1917"/>
      <c r="M197" s="1917"/>
      <c r="N197" s="1917"/>
      <c r="O197" s="1917"/>
      <c r="P197" s="1917"/>
      <c r="Q197" s="1969"/>
      <c r="R197" s="1917"/>
      <c r="S197" s="1917"/>
      <c r="T197" s="1917"/>
      <c r="U197" s="1917"/>
      <c r="V197" s="1917"/>
      <c r="W197" s="346"/>
    </row>
    <row r="198" spans="1:23" x14ac:dyDescent="0.2">
      <c r="A198" s="436"/>
      <c r="B198" s="345"/>
      <c r="C198" s="442" t="s">
        <v>582</v>
      </c>
      <c r="D198" s="1917" t="s">
        <v>566</v>
      </c>
      <c r="E198" s="1917">
        <f t="shared" ref="E198:G200" ca="1" si="13">IF(reformerFeedstockActive=1,E223,E223+E235)</f>
        <v>17697.585317090663</v>
      </c>
      <c r="F198" s="1917">
        <f t="shared" ca="1" si="13"/>
        <v>15693.336005246892</v>
      </c>
      <c r="G198" s="1917">
        <f t="shared" ca="1" si="13"/>
        <v>3694154.0492169661</v>
      </c>
      <c r="H198" s="1917">
        <f t="shared" ref="H198:H199" si="14">IF(reformerFeedstockActive=1,H223,H223+H235)</f>
        <v>0</v>
      </c>
      <c r="I198" s="337"/>
      <c r="J198" s="1917"/>
      <c r="K198" s="362"/>
      <c r="L198" s="1917"/>
      <c r="M198" s="1917"/>
      <c r="N198" s="1917"/>
      <c r="O198" s="1917"/>
      <c r="P198" s="1917"/>
      <c r="Q198" s="1969"/>
      <c r="R198" s="1917"/>
      <c r="S198" s="1917"/>
      <c r="T198" s="1917"/>
      <c r="U198" s="1917"/>
      <c r="V198" s="1917"/>
      <c r="W198" s="346"/>
    </row>
    <row r="199" spans="1:23" x14ac:dyDescent="0.2">
      <c r="A199" s="436"/>
      <c r="B199" s="345"/>
      <c r="C199" s="442" t="s">
        <v>582</v>
      </c>
      <c r="D199" s="1917" t="s">
        <v>628</v>
      </c>
      <c r="E199" s="1917">
        <f t="shared" ca="1" si="13"/>
        <v>2813.6913060838883</v>
      </c>
      <c r="F199" s="1917">
        <f t="shared" ca="1" si="13"/>
        <v>2495.0411194669891</v>
      </c>
      <c r="G199" s="1917">
        <f t="shared" ca="1" si="13"/>
        <v>587323.57806907257</v>
      </c>
      <c r="H199" s="1917">
        <f t="shared" si="14"/>
        <v>0</v>
      </c>
      <c r="I199" s="337"/>
      <c r="J199" s="1917"/>
      <c r="K199" s="363"/>
      <c r="L199" s="1917"/>
      <c r="M199" s="1917"/>
      <c r="N199" s="1917"/>
      <c r="O199" s="1917"/>
      <c r="P199" s="1917"/>
      <c r="Q199" s="1969"/>
      <c r="R199" s="1917"/>
      <c r="S199" s="1917"/>
      <c r="T199" s="1917"/>
      <c r="U199" s="1917"/>
      <c r="V199" s="1917"/>
      <c r="W199" s="346"/>
    </row>
    <row r="200" spans="1:23" x14ac:dyDescent="0.2">
      <c r="A200" s="436"/>
      <c r="B200" s="345"/>
      <c r="C200" s="442" t="s">
        <v>620</v>
      </c>
      <c r="D200" s="1917" t="s">
        <v>622</v>
      </c>
      <c r="E200" s="1917">
        <f t="shared" ca="1" si="13"/>
        <v>2190142.6865078406</v>
      </c>
      <c r="F200" s="1917">
        <f t="shared" ca="1" si="13"/>
        <v>1921181.6619895815</v>
      </c>
      <c r="G200" s="1917">
        <f t="shared" ca="1" si="13"/>
        <v>49946.755867475033</v>
      </c>
      <c r="H200" s="1917">
        <f ca="1">IF(reformerFeedstockActive=1,H225,H225+H237)</f>
        <v>219014.26865078407</v>
      </c>
      <c r="I200" s="337">
        <f ca="1">H200+G200+F200-E200</f>
        <v>0</v>
      </c>
      <c r="J200" s="1917"/>
      <c r="K200" s="363"/>
      <c r="L200" s="1917"/>
      <c r="M200" s="1917"/>
      <c r="N200" s="1917"/>
      <c r="O200" s="1917"/>
      <c r="P200" s="1917"/>
      <c r="Q200" s="1969"/>
      <c r="R200" s="1917"/>
      <c r="S200" s="1917"/>
      <c r="T200" s="1917"/>
      <c r="U200" s="1917"/>
      <c r="V200" s="1917"/>
      <c r="W200" s="346"/>
    </row>
    <row r="201" spans="1:23" x14ac:dyDescent="0.2">
      <c r="A201" s="436"/>
      <c r="B201" s="345"/>
      <c r="C201" s="442" t="s">
        <v>578</v>
      </c>
      <c r="D201" s="1917" t="s">
        <v>579</v>
      </c>
      <c r="E201" s="1917">
        <f>IF(reformerFeedstockActive=1,E226,(E226*E225+E238*E237)/E200*100)</f>
        <v>0</v>
      </c>
      <c r="F201" s="1917">
        <f>IF(reformerFeedstockActive=1,F226,(F226*F225+F238*F237)/F200*100)</f>
        <v>0</v>
      </c>
      <c r="G201" s="1917">
        <f>G226+G238</f>
        <v>0</v>
      </c>
      <c r="H201" s="1917">
        <f>H226+H238</f>
        <v>0</v>
      </c>
      <c r="I201" s="337"/>
      <c r="J201" s="1917"/>
      <c r="K201" s="1917"/>
      <c r="L201" s="1917"/>
      <c r="M201" s="1917"/>
      <c r="N201" s="1917"/>
      <c r="O201" s="1917"/>
      <c r="P201" s="1917"/>
      <c r="Q201" s="1969"/>
      <c r="R201" s="1917"/>
      <c r="S201" s="1917"/>
      <c r="T201" s="1917"/>
      <c r="U201" s="1917"/>
      <c r="V201" s="1917"/>
      <c r="W201" s="346"/>
    </row>
    <row r="202" spans="1:23" x14ac:dyDescent="0.2">
      <c r="A202" s="436"/>
      <c r="B202" s="345"/>
      <c r="C202" s="442" t="s">
        <v>567</v>
      </c>
      <c r="D202" s="1917"/>
      <c r="E202" s="1917">
        <f ca="1">IF(reformerFeedstockActive=1,E227,(E225/E200*E227)+(E237/E200*E239))</f>
        <v>50.096959674877127</v>
      </c>
      <c r="F202" s="1917">
        <f>141.5/(F203/1000)-131.5</f>
        <v>52.266233766233768</v>
      </c>
      <c r="G202" s="1917"/>
      <c r="H202" s="1917"/>
      <c r="I202" s="337"/>
      <c r="J202" s="1917"/>
      <c r="K202" s="1917"/>
      <c r="L202" s="1917"/>
      <c r="M202" s="1917"/>
      <c r="N202" s="1917"/>
      <c r="O202" s="1917"/>
      <c r="P202" s="1917"/>
      <c r="Q202" s="1969"/>
      <c r="R202" s="1917"/>
      <c r="S202" s="1917"/>
      <c r="T202" s="1917"/>
      <c r="U202" s="1917"/>
      <c r="V202" s="1917"/>
      <c r="W202" s="346"/>
    </row>
    <row r="203" spans="1:23" x14ac:dyDescent="0.2">
      <c r="A203" s="436"/>
      <c r="B203" s="345"/>
      <c r="C203" s="442" t="s">
        <v>580</v>
      </c>
      <c r="D203" s="1917" t="s">
        <v>581</v>
      </c>
      <c r="E203" s="1917">
        <f ca="1">IF(reformerFeedstockActive=1,E228,(E225/E200*E228)+(E237/E200*E240))</f>
        <v>778.38769369341151</v>
      </c>
      <c r="F203" s="1917">
        <f>IF(reformerFeedstockActive=1,F228,(F224*F228+F236*F240)/(F224+F236))</f>
        <v>770</v>
      </c>
      <c r="G203" s="1917"/>
      <c r="H203" s="1917"/>
      <c r="I203" s="337"/>
      <c r="J203" s="1917"/>
      <c r="K203" s="1917"/>
      <c r="L203" s="1917"/>
      <c r="M203" s="1917"/>
      <c r="N203" s="1917"/>
      <c r="O203" s="1917"/>
      <c r="P203" s="1917"/>
      <c r="Q203" s="1969"/>
      <c r="R203" s="1917"/>
      <c r="S203" s="1917"/>
      <c r="T203" s="1917"/>
      <c r="U203" s="1917"/>
      <c r="V203" s="1917"/>
      <c r="W203" s="346"/>
    </row>
    <row r="204" spans="1:23" x14ac:dyDescent="0.2">
      <c r="A204" s="436"/>
      <c r="B204" s="345"/>
      <c r="C204" s="442" t="s">
        <v>621</v>
      </c>
      <c r="D204" s="1917" t="s">
        <v>579</v>
      </c>
      <c r="E204" s="1917">
        <f ca="1">IF(reformerFeedstockActive=1,E229,(E229*E225+E241*E237)/E200)</f>
        <v>15</v>
      </c>
      <c r="F204" s="1964">
        <f>IF(reformerFeedstockActive=1,F229,(F225*F229+F237*F241)/(F225+F237))</f>
        <v>12.3</v>
      </c>
      <c r="G204" s="1917">
        <f>IF(reformerFeedstockActive=1,G229,G229+G241)</f>
        <v>100</v>
      </c>
      <c r="H204" s="1917">
        <f>IF(reformerFeedstockActive=1,H229,H229+H241)</f>
        <v>19.299794001723541</v>
      </c>
      <c r="I204" s="337"/>
      <c r="J204" s="1917"/>
      <c r="K204" s="1917"/>
      <c r="L204" s="1917"/>
      <c r="M204" s="1917"/>
      <c r="N204" s="1917"/>
      <c r="O204" s="1917"/>
      <c r="P204" s="1917"/>
      <c r="Q204" s="1969"/>
      <c r="R204" s="1917"/>
      <c r="S204" s="1917"/>
      <c r="T204" s="1917"/>
      <c r="U204" s="1917"/>
      <c r="V204" s="1917"/>
      <c r="W204" s="346"/>
    </row>
    <row r="205" spans="1:23" x14ac:dyDescent="0.2">
      <c r="A205" s="436"/>
      <c r="B205" s="345"/>
      <c r="C205" s="442" t="s">
        <v>544</v>
      </c>
      <c r="D205" s="1917" t="s">
        <v>579</v>
      </c>
      <c r="E205" s="1917" t="str">
        <f ca="1">CokingRefineryCalcs!F136</f>
        <v/>
      </c>
      <c r="F205" s="1917" t="str">
        <f ca="1">CokingRefineryCalcs!G548</f>
        <v/>
      </c>
      <c r="G205" s="1917">
        <f>IF(reformerFeedstockActive=1,G230,G230+G242)</f>
        <v>0</v>
      </c>
      <c r="H205" s="1917">
        <f>IF(reformerFeedstockActive=1,H230,H230+H242)</f>
        <v>0</v>
      </c>
      <c r="I205" s="337"/>
      <c r="J205" s="1917"/>
      <c r="K205" s="1917"/>
      <c r="L205" s="1917"/>
      <c r="M205" s="1917"/>
      <c r="N205" s="1917"/>
      <c r="O205" s="1917"/>
      <c r="P205" s="1917"/>
      <c r="Q205" s="1969"/>
      <c r="R205" s="1917"/>
      <c r="S205" s="1917"/>
      <c r="T205" s="1917"/>
      <c r="U205" s="1917"/>
      <c r="V205" s="1917"/>
      <c r="W205" s="346"/>
    </row>
    <row r="206" spans="1:23" x14ac:dyDescent="0.2">
      <c r="A206" s="436"/>
      <c r="B206" s="345"/>
      <c r="C206" s="451" t="s">
        <v>598</v>
      </c>
      <c r="D206" s="336"/>
      <c r="E206" s="336">
        <f ca="1">E200*E204/100</f>
        <v>328521.40297617612</v>
      </c>
      <c r="F206" s="336">
        <f ca="1">F200*F204/100</f>
        <v>236305.34442471855</v>
      </c>
      <c r="G206" s="336">
        <f ca="1">G200*G204/100</f>
        <v>49946.755867475033</v>
      </c>
      <c r="H206" s="336">
        <f ca="1">H200*H204/100</f>
        <v>42269.302683982707</v>
      </c>
      <c r="I206" s="367">
        <f ca="1">H206+G206+F206-E206</f>
        <v>0</v>
      </c>
      <c r="J206" s="1917"/>
      <c r="K206" s="1917"/>
      <c r="L206" s="1917"/>
      <c r="M206" s="1917"/>
      <c r="N206" s="1917"/>
      <c r="O206" s="1917"/>
      <c r="P206" s="1917"/>
      <c r="Q206" s="1969"/>
      <c r="R206" s="1917"/>
      <c r="S206" s="1917"/>
      <c r="T206" s="1917"/>
      <c r="U206" s="1917"/>
      <c r="V206" s="1917"/>
      <c r="W206" s="346"/>
    </row>
    <row r="207" spans="1:23" x14ac:dyDescent="0.2">
      <c r="A207" s="436"/>
      <c r="B207" s="345"/>
      <c r="C207" s="437"/>
      <c r="D207" s="1917"/>
      <c r="E207" s="1917"/>
      <c r="F207" s="1917"/>
      <c r="G207" s="1917"/>
      <c r="H207" s="1917"/>
      <c r="I207" s="1917"/>
      <c r="J207" s="1917"/>
      <c r="K207" s="1917"/>
      <c r="L207" s="1917"/>
      <c r="M207" s="1917"/>
      <c r="N207" s="1917"/>
      <c r="O207" s="1917"/>
      <c r="P207" s="1917"/>
      <c r="Q207" s="1969"/>
      <c r="R207" s="1917"/>
      <c r="S207" s="1917"/>
      <c r="T207" s="1917"/>
      <c r="U207" s="1917"/>
      <c r="V207" s="1917"/>
      <c r="W207" s="346"/>
    </row>
    <row r="208" spans="1:23" x14ac:dyDescent="0.2">
      <c r="A208" s="436"/>
      <c r="B208" s="345"/>
      <c r="C208" s="440" t="s">
        <v>1356</v>
      </c>
      <c r="D208" s="1917"/>
      <c r="E208" s="1917"/>
      <c r="F208" s="1917"/>
      <c r="G208" s="440" t="s">
        <v>1315</v>
      </c>
      <c r="H208" s="360"/>
      <c r="I208" s="1917"/>
      <c r="J208" s="1917"/>
      <c r="K208" s="1917"/>
      <c r="L208" s="1917"/>
      <c r="M208" s="1917"/>
      <c r="N208" s="1917"/>
      <c r="O208" s="1917"/>
      <c r="P208" s="1917"/>
      <c r="Q208" s="1969"/>
      <c r="R208" s="1917"/>
      <c r="S208" s="1917"/>
      <c r="T208" s="1917"/>
      <c r="U208" s="1917"/>
      <c r="V208" s="1917"/>
      <c r="W208" s="346"/>
    </row>
    <row r="209" spans="1:23" x14ac:dyDescent="0.2">
      <c r="A209" s="436"/>
      <c r="B209" s="345"/>
      <c r="C209" s="468"/>
      <c r="D209" s="382" t="s">
        <v>624</v>
      </c>
      <c r="E209" s="383" t="s">
        <v>623</v>
      </c>
      <c r="F209" s="1917"/>
      <c r="G209" s="441"/>
      <c r="H209" s="1918" t="s">
        <v>624</v>
      </c>
      <c r="I209" s="1919" t="s">
        <v>623</v>
      </c>
      <c r="J209" s="1917"/>
      <c r="K209" s="1917"/>
      <c r="L209" s="1917"/>
      <c r="M209" s="1917"/>
      <c r="N209" s="1917"/>
      <c r="O209" s="1917"/>
      <c r="P209" s="1917"/>
      <c r="Q209" s="1969"/>
      <c r="R209" s="1917"/>
      <c r="S209" s="1917"/>
      <c r="T209" s="1917"/>
      <c r="U209" s="1917"/>
      <c r="V209" s="1917"/>
      <c r="W209" s="346"/>
    </row>
    <row r="210" spans="1:23" x14ac:dyDescent="0.2">
      <c r="A210" s="436"/>
      <c r="B210" s="345"/>
      <c r="C210" s="461" t="s">
        <v>451</v>
      </c>
      <c r="D210" s="914">
        <f>Constants!H291</f>
        <v>3</v>
      </c>
      <c r="E210" s="339" t="s">
        <v>665</v>
      </c>
      <c r="F210" s="1917"/>
      <c r="G210" s="453" t="s">
        <v>613</v>
      </c>
      <c r="H210" s="914">
        <f>Constants!H296</f>
        <v>10</v>
      </c>
      <c r="I210" s="337" t="s">
        <v>633</v>
      </c>
      <c r="J210" s="1917"/>
      <c r="K210" s="1917"/>
      <c r="L210" s="1917"/>
      <c r="M210" s="1917"/>
      <c r="N210" s="1917"/>
      <c r="O210" s="1917"/>
      <c r="P210" s="1917"/>
      <c r="Q210" s="1969"/>
      <c r="R210" s="1917"/>
      <c r="S210" s="1917"/>
      <c r="T210" s="1917"/>
      <c r="U210" s="1917"/>
      <c r="V210" s="1917"/>
      <c r="W210" s="346"/>
    </row>
    <row r="211" spans="1:23" x14ac:dyDescent="0.2">
      <c r="A211" s="436"/>
      <c r="B211" s="345"/>
      <c r="C211" s="461" t="s">
        <v>451</v>
      </c>
      <c r="D211" s="1917">
        <f>D210/'Energy &amp; Unit Conversions'!G80</f>
        <v>18.869431709325209</v>
      </c>
      <c r="E211" s="339" t="s">
        <v>629</v>
      </c>
      <c r="F211" s="1917"/>
      <c r="G211" s="453" t="s">
        <v>614</v>
      </c>
      <c r="H211" s="1917">
        <f ca="1">H212/E200*100</f>
        <v>2.2805251993473816</v>
      </c>
      <c r="I211" s="337" t="s">
        <v>633</v>
      </c>
      <c r="J211" s="1917"/>
      <c r="K211" s="1917"/>
      <c r="L211" s="1917"/>
      <c r="M211" s="1917"/>
      <c r="N211" s="1917"/>
      <c r="O211" s="1917"/>
      <c r="P211" s="1917"/>
      <c r="Q211" s="1969"/>
      <c r="R211" s="1917"/>
      <c r="S211" s="1917"/>
      <c r="T211" s="1917"/>
      <c r="U211" s="1917"/>
      <c r="V211" s="1917"/>
      <c r="W211" s="346"/>
    </row>
    <row r="212" spans="1:23" x14ac:dyDescent="0.2">
      <c r="A212" s="436"/>
      <c r="B212" s="345"/>
      <c r="C212" s="471" t="s">
        <v>452</v>
      </c>
      <c r="D212" s="378">
        <f ca="1">D211*E199</f>
        <v>53092.755951271982</v>
      </c>
      <c r="E212" s="417" t="s">
        <v>627</v>
      </c>
      <c r="F212" s="1917"/>
      <c r="G212" s="453" t="s">
        <v>509</v>
      </c>
      <c r="H212" s="1917">
        <f ca="1">G200</f>
        <v>49946.755867475033</v>
      </c>
      <c r="I212" s="337" t="s">
        <v>622</v>
      </c>
      <c r="J212" s="1917"/>
      <c r="K212" s="1917"/>
      <c r="L212" s="1917"/>
      <c r="M212" s="1917"/>
      <c r="N212" s="1917"/>
      <c r="O212" s="1917"/>
      <c r="P212" s="1917"/>
      <c r="Q212" s="1969"/>
      <c r="R212" s="1917"/>
      <c r="S212" s="1917"/>
      <c r="T212" s="1917"/>
      <c r="U212" s="1917"/>
      <c r="V212" s="1917"/>
      <c r="W212" s="346"/>
    </row>
    <row r="213" spans="1:23" x14ac:dyDescent="0.2">
      <c r="A213" s="436"/>
      <c r="B213" s="345"/>
      <c r="C213" s="461" t="s">
        <v>635</v>
      </c>
      <c r="D213" s="914">
        <f>Constants!H289</f>
        <v>317</v>
      </c>
      <c r="E213" s="339" t="s">
        <v>637</v>
      </c>
      <c r="F213" s="1917"/>
      <c r="G213" s="453" t="s">
        <v>510</v>
      </c>
      <c r="H213" s="1917">
        <f ca="1">H212*'Energy &amp; Unit Conversions'!E93/'Energy &amp; Unit Conversions'!E26</f>
        <v>20741133.920936566</v>
      </c>
      <c r="I213" s="337" t="s">
        <v>254</v>
      </c>
      <c r="J213" s="1917"/>
      <c r="K213" s="1917"/>
      <c r="L213" s="1917"/>
      <c r="M213" s="1917"/>
      <c r="N213" s="1917"/>
      <c r="O213" s="1917"/>
      <c r="P213" s="1917"/>
      <c r="Q213" s="1969"/>
      <c r="R213" s="1917"/>
      <c r="S213" s="1917"/>
      <c r="T213" s="1917"/>
      <c r="U213" s="1917"/>
      <c r="V213" s="1917"/>
      <c r="W213" s="346"/>
    </row>
    <row r="214" spans="1:23" x14ac:dyDescent="0.2">
      <c r="A214" s="436"/>
      <c r="B214" s="345"/>
      <c r="C214" s="461" t="s">
        <v>634</v>
      </c>
      <c r="D214" s="1917">
        <f>D213*'Energy &amp; Unit Conversions'!G82/'Energy &amp; Unit Conversions'!G80</f>
        <v>53.416152818072064</v>
      </c>
      <c r="E214" s="339" t="s">
        <v>636</v>
      </c>
      <c r="F214" s="1917"/>
      <c r="G214" s="453" t="s">
        <v>510</v>
      </c>
      <c r="H214" s="1917">
        <f ca="1">H213*'Energy &amp; Unit Conversions'!G82</f>
        <v>555658.89781179628</v>
      </c>
      <c r="I214" s="337" t="s">
        <v>253</v>
      </c>
      <c r="J214" s="1917"/>
      <c r="K214" s="1917"/>
      <c r="L214" s="1917"/>
      <c r="M214" s="1917"/>
      <c r="N214" s="1917"/>
      <c r="O214" s="1917"/>
      <c r="P214" s="1917"/>
      <c r="Q214" s="1969"/>
      <c r="R214" s="1917"/>
      <c r="S214" s="1917"/>
      <c r="T214" s="1917"/>
      <c r="U214" s="1917"/>
      <c r="V214" s="1917"/>
      <c r="W214" s="346"/>
    </row>
    <row r="215" spans="1:23" x14ac:dyDescent="0.2">
      <c r="A215" s="436"/>
      <c r="B215" s="345"/>
      <c r="C215" s="461" t="s">
        <v>542</v>
      </c>
      <c r="D215" s="1917">
        <f ca="1">D213*E198/1000</f>
        <v>5610.1345455177398</v>
      </c>
      <c r="E215" s="339" t="s">
        <v>472</v>
      </c>
      <c r="F215" s="1917"/>
      <c r="G215" s="453" t="s">
        <v>512</v>
      </c>
      <c r="H215" s="1917">
        <f ca="1">H213/E198</f>
        <v>1171.9753598761708</v>
      </c>
      <c r="I215" s="337" t="s">
        <v>255</v>
      </c>
      <c r="J215" s="1917"/>
      <c r="K215" s="1917"/>
      <c r="L215" s="1917"/>
      <c r="M215" s="1917"/>
      <c r="N215" s="1917"/>
      <c r="O215" s="1917"/>
      <c r="P215" s="1917"/>
      <c r="Q215" s="1969"/>
      <c r="R215" s="1917"/>
      <c r="S215" s="1917"/>
      <c r="T215" s="1917"/>
      <c r="U215" s="1917"/>
      <c r="V215" s="1917"/>
      <c r="W215" s="346"/>
    </row>
    <row r="216" spans="1:23" x14ac:dyDescent="0.2">
      <c r="A216" s="436"/>
      <c r="B216" s="345"/>
      <c r="C216" s="471" t="s">
        <v>542</v>
      </c>
      <c r="D216" s="378">
        <f ca="1">D214*E199</f>
        <v>150296.56478865776</v>
      </c>
      <c r="E216" s="417" t="s">
        <v>628</v>
      </c>
      <c r="F216" s="1917"/>
      <c r="G216" s="452" t="s">
        <v>512</v>
      </c>
      <c r="H216" s="334">
        <f ca="1">H214/E199</f>
        <v>197.48395874498596</v>
      </c>
      <c r="I216" s="338" t="s">
        <v>256</v>
      </c>
      <c r="J216" s="1917"/>
      <c r="K216" s="1917"/>
      <c r="L216" s="1917"/>
      <c r="M216" s="1917"/>
      <c r="N216" s="1917"/>
      <c r="O216" s="1917"/>
      <c r="P216" s="1917"/>
      <c r="Q216" s="1969"/>
      <c r="R216" s="1917"/>
      <c r="S216" s="1917"/>
      <c r="T216" s="1917"/>
      <c r="U216" s="1917"/>
      <c r="V216" s="1917"/>
      <c r="W216" s="346"/>
    </row>
    <row r="217" spans="1:23" x14ac:dyDescent="0.2">
      <c r="A217" s="436"/>
      <c r="B217" s="345"/>
      <c r="C217" s="461" t="s">
        <v>631</v>
      </c>
      <c r="D217" s="1917">
        <f ca="1">D216*'Energy &amp; Unit Conversions'!P25*'Energy &amp; Unit Conversions'!G87</f>
        <v>63.711721568256053</v>
      </c>
      <c r="E217" s="339" t="s">
        <v>632</v>
      </c>
      <c r="F217" s="1917"/>
      <c r="G217" s="437"/>
      <c r="H217" s="1917"/>
      <c r="I217" s="1917"/>
      <c r="J217" s="1917"/>
      <c r="K217" s="1917"/>
      <c r="L217" s="1917"/>
      <c r="M217" s="1917"/>
      <c r="N217" s="1917"/>
      <c r="O217" s="1917"/>
      <c r="P217" s="1917"/>
      <c r="Q217" s="1969"/>
      <c r="R217" s="1917"/>
      <c r="S217" s="1917"/>
      <c r="T217" s="1917"/>
      <c r="U217" s="1917"/>
      <c r="V217" s="1917"/>
      <c r="W217" s="346"/>
    </row>
    <row r="218" spans="1:23" x14ac:dyDescent="0.2">
      <c r="A218" s="436"/>
      <c r="B218" s="345"/>
      <c r="C218" s="461" t="s">
        <v>753</v>
      </c>
      <c r="D218" s="914">
        <f>Constants!H293</f>
        <v>30</v>
      </c>
      <c r="E218" s="339" t="s">
        <v>496</v>
      </c>
      <c r="F218" s="1917"/>
      <c r="G218" s="437"/>
      <c r="H218" s="1917"/>
      <c r="I218" s="1917"/>
      <c r="J218" s="1917"/>
      <c r="K218" s="1917"/>
      <c r="L218" s="1917"/>
      <c r="M218" s="1917"/>
      <c r="N218" s="1917"/>
      <c r="O218" s="1917"/>
      <c r="P218" s="1917"/>
      <c r="Q218" s="1969"/>
      <c r="R218" s="1917"/>
      <c r="S218" s="1917"/>
      <c r="T218" s="1917"/>
      <c r="U218" s="1917"/>
      <c r="V218" s="1917"/>
      <c r="W218" s="346"/>
    </row>
    <row r="219" spans="1:23" x14ac:dyDescent="0.2">
      <c r="A219" s="436"/>
      <c r="B219" s="345"/>
      <c r="C219" s="469" t="s">
        <v>754</v>
      </c>
      <c r="D219" s="418">
        <f ca="1">D218*'Energy &amp; Unit Conversions'!G79*E198</f>
        <v>240824.69001769068</v>
      </c>
      <c r="E219" s="419" t="s">
        <v>622</v>
      </c>
      <c r="F219" s="1917"/>
      <c r="G219" s="437"/>
      <c r="H219" s="1917"/>
      <c r="I219" s="1917"/>
      <c r="J219" s="1917"/>
      <c r="K219" s="1917"/>
      <c r="L219" s="1917"/>
      <c r="M219" s="1917"/>
      <c r="N219" s="1917"/>
      <c r="O219" s="1917"/>
      <c r="P219" s="1917"/>
      <c r="Q219" s="1969"/>
      <c r="R219" s="1917"/>
      <c r="S219" s="1917"/>
      <c r="T219" s="1917"/>
      <c r="U219" s="1917"/>
      <c r="V219" s="1917"/>
      <c r="W219" s="346"/>
    </row>
    <row r="220" spans="1:23" x14ac:dyDescent="0.2">
      <c r="A220" s="436"/>
      <c r="B220" s="345"/>
      <c r="C220" s="437"/>
      <c r="D220" s="1917"/>
      <c r="E220" s="1917"/>
      <c r="F220" s="1917"/>
      <c r="G220" s="1917"/>
      <c r="H220" s="1917"/>
      <c r="I220" s="1917"/>
      <c r="J220" s="1917"/>
      <c r="K220" s="1917"/>
      <c r="L220" s="1917"/>
      <c r="M220" s="1917"/>
      <c r="N220" s="1917"/>
      <c r="O220" s="1917"/>
      <c r="P220" s="1917"/>
      <c r="Q220" s="1969"/>
      <c r="R220" s="1917"/>
      <c r="S220" s="1917"/>
      <c r="T220" s="1917"/>
      <c r="U220" s="1917"/>
      <c r="V220" s="1917"/>
      <c r="W220" s="346"/>
    </row>
    <row r="221" spans="1:23" x14ac:dyDescent="0.2">
      <c r="A221" s="436"/>
      <c r="B221" s="345"/>
      <c r="C221" s="440" t="s">
        <v>1983</v>
      </c>
      <c r="D221" s="350"/>
      <c r="E221" s="1910"/>
      <c r="F221" s="1917"/>
      <c r="G221" s="1917"/>
      <c r="H221" s="1917"/>
      <c r="I221" s="1917"/>
      <c r="J221" s="1917"/>
      <c r="K221" s="1917"/>
      <c r="L221" s="1917"/>
      <c r="M221" s="1917"/>
      <c r="N221" s="1917"/>
      <c r="O221" s="1917"/>
      <c r="P221" s="1917"/>
      <c r="Q221" s="1969"/>
      <c r="R221" s="1917"/>
      <c r="S221" s="1917"/>
      <c r="T221" s="1917"/>
      <c r="U221" s="1917"/>
      <c r="V221" s="1917"/>
      <c r="W221" s="346"/>
    </row>
    <row r="222" spans="1:23" x14ac:dyDescent="0.2">
      <c r="A222" s="436"/>
      <c r="B222" s="345"/>
      <c r="C222" s="441" t="s">
        <v>568</v>
      </c>
      <c r="D222" s="1918" t="s">
        <v>623</v>
      </c>
      <c r="E222" s="356"/>
      <c r="F222" s="356" t="s">
        <v>612</v>
      </c>
      <c r="G222" s="1918" t="s">
        <v>515</v>
      </c>
      <c r="H222" s="1919" t="s">
        <v>369</v>
      </c>
      <c r="I222" s="1917"/>
      <c r="J222" s="1917"/>
      <c r="K222" s="1917"/>
      <c r="L222" s="1917"/>
      <c r="M222" s="1917"/>
      <c r="N222" s="1917"/>
      <c r="O222" s="1917"/>
      <c r="P222" s="1917"/>
      <c r="Q222" s="1969"/>
      <c r="R222" s="1917"/>
      <c r="S222" s="1917"/>
      <c r="T222" s="1917"/>
      <c r="U222" s="1917"/>
      <c r="V222" s="1917"/>
      <c r="W222" s="346"/>
    </row>
    <row r="223" spans="1:23" x14ac:dyDescent="0.2">
      <c r="A223" s="436"/>
      <c r="B223" s="345"/>
      <c r="C223" s="442" t="s">
        <v>582</v>
      </c>
      <c r="D223" s="1917" t="s">
        <v>566</v>
      </c>
      <c r="E223" s="1917">
        <f ca="1">CokingRefineryCalcs!H128</f>
        <v>17697.585317090663</v>
      </c>
      <c r="F223" s="1917">
        <f ca="1">F224/'Energy &amp; Unit Conversions'!G80</f>
        <v>15693.336005246892</v>
      </c>
      <c r="G223" s="1917">
        <f ca="1">G224/'Energy &amp; Unit Conversions'!$G$80</f>
        <v>3694154.0492169661</v>
      </c>
      <c r="H223" s="337"/>
      <c r="I223" s="1917"/>
      <c r="J223" s="1917"/>
      <c r="K223" s="362"/>
      <c r="L223" s="1917"/>
      <c r="M223" s="1917"/>
      <c r="N223" s="1917"/>
      <c r="O223" s="1917"/>
      <c r="P223" s="1917"/>
      <c r="Q223" s="1969"/>
      <c r="R223" s="1917"/>
      <c r="S223" s="1917"/>
      <c r="T223" s="1917"/>
      <c r="U223" s="1917"/>
      <c r="V223" s="1917"/>
      <c r="W223" s="346"/>
    </row>
    <row r="224" spans="1:23" x14ac:dyDescent="0.2">
      <c r="A224" s="436"/>
      <c r="B224" s="345"/>
      <c r="C224" s="442" t="s">
        <v>582</v>
      </c>
      <c r="D224" s="1917" t="s">
        <v>628</v>
      </c>
      <c r="E224" s="1917">
        <f ca="1">CokingRefineryCalcs!H129</f>
        <v>2813.6913060838883</v>
      </c>
      <c r="F224" s="1917">
        <f ca="1">F225/F228</f>
        <v>2495.0411194669891</v>
      </c>
      <c r="G224" s="1917">
        <f ca="1">G225*'Energy &amp; Unit Conversions'!$E$93/'Energy &amp; Unit Conversions'!$E$26*'Energy &amp; Unit Conversions'!G81</f>
        <v>587323.57806907257</v>
      </c>
      <c r="H224" s="337"/>
      <c r="I224" s="1917"/>
      <c r="J224" s="1917"/>
      <c r="K224" s="363"/>
      <c r="L224" s="1917"/>
      <c r="M224" s="1917"/>
      <c r="N224" s="1917"/>
      <c r="O224" s="1917"/>
      <c r="P224" s="1917"/>
      <c r="Q224" s="1969"/>
      <c r="R224" s="1917"/>
      <c r="S224" s="1917"/>
      <c r="T224" s="1917"/>
      <c r="U224" s="1917"/>
      <c r="V224" s="1917"/>
      <c r="W224" s="346"/>
    </row>
    <row r="225" spans="1:23" x14ac:dyDescent="0.2">
      <c r="A225" s="436"/>
      <c r="B225" s="345"/>
      <c r="C225" s="442" t="s">
        <v>620</v>
      </c>
      <c r="D225" s="1917" t="s">
        <v>622</v>
      </c>
      <c r="E225" s="1917">
        <f ca="1">CokingRefineryCalcs!H130</f>
        <v>2190142.6865078406</v>
      </c>
      <c r="F225" s="1917">
        <f ca="1">((E225*(1-E229/100))-(H225*(1-H229/100)))/(1-F229/100)</f>
        <v>1921181.6619895815</v>
      </c>
      <c r="G225" s="1917">
        <f ca="1">E225-F225-H225</f>
        <v>49946.755867475033</v>
      </c>
      <c r="H225" s="337">
        <f ca="1">H210/100*E225</f>
        <v>219014.26865078407</v>
      </c>
      <c r="I225" s="1917"/>
      <c r="J225" s="1917"/>
      <c r="K225" s="363"/>
      <c r="L225" s="1917"/>
      <c r="M225" s="1917"/>
      <c r="N225" s="1917"/>
      <c r="O225" s="1917"/>
      <c r="P225" s="359"/>
      <c r="Q225" s="359"/>
      <c r="R225" s="1917"/>
      <c r="S225" s="1917"/>
      <c r="T225" s="1917"/>
      <c r="U225" s="1917"/>
      <c r="V225" s="1917"/>
      <c r="W225" s="346"/>
    </row>
    <row r="226" spans="1:23" x14ac:dyDescent="0.2">
      <c r="A226" s="436"/>
      <c r="B226" s="345"/>
      <c r="C226" s="442" t="s">
        <v>578</v>
      </c>
      <c r="D226" s="1917" t="s">
        <v>579</v>
      </c>
      <c r="E226" s="1917">
        <f>CokingRefineryCalcs!H131</f>
        <v>0</v>
      </c>
      <c r="F226" s="1917">
        <v>0</v>
      </c>
      <c r="G226" s="1917"/>
      <c r="H226" s="337"/>
      <c r="I226" s="1917"/>
      <c r="J226" s="1917"/>
      <c r="K226" s="1917"/>
      <c r="L226" s="1917"/>
      <c r="M226" s="1917"/>
      <c r="N226" s="1917"/>
      <c r="O226" s="1917"/>
      <c r="P226" s="359"/>
      <c r="Q226" s="359"/>
      <c r="R226" s="1917"/>
      <c r="S226" s="1917"/>
      <c r="T226" s="1917"/>
      <c r="U226" s="1917"/>
      <c r="V226" s="1917"/>
      <c r="W226" s="346"/>
    </row>
    <row r="227" spans="1:23" x14ac:dyDescent="0.2">
      <c r="A227" s="436"/>
      <c r="B227" s="345"/>
      <c r="C227" s="442" t="s">
        <v>567</v>
      </c>
      <c r="D227" s="1917"/>
      <c r="E227" s="1917">
        <f ca="1">CokingRefineryCalcs!H133</f>
        <v>50.096959674877127</v>
      </c>
      <c r="F227" s="1917">
        <v>0</v>
      </c>
      <c r="G227" s="1917"/>
      <c r="H227" s="337"/>
      <c r="I227" s="1917"/>
      <c r="J227" s="1917"/>
      <c r="K227" s="1917"/>
      <c r="L227" s="1917"/>
      <c r="M227" s="1917"/>
      <c r="N227" s="1917"/>
      <c r="O227" s="1917"/>
      <c r="P227" s="359"/>
      <c r="Q227" s="359"/>
      <c r="R227" s="1917"/>
      <c r="S227" s="1917"/>
      <c r="T227" s="1917"/>
      <c r="U227" s="1917"/>
      <c r="V227" s="1917"/>
      <c r="W227" s="346"/>
    </row>
    <row r="228" spans="1:23" x14ac:dyDescent="0.2">
      <c r="A228" s="436"/>
      <c r="B228" s="345"/>
      <c r="C228" s="442" t="s">
        <v>580</v>
      </c>
      <c r="D228" s="1917" t="s">
        <v>581</v>
      </c>
      <c r="E228" s="1917">
        <f ca="1">CokingRefineryCalcs!H134</f>
        <v>778.38769369341151</v>
      </c>
      <c r="F228" s="914">
        <v>770</v>
      </c>
      <c r="G228" s="914"/>
      <c r="H228" s="919">
        <v>20</v>
      </c>
      <c r="I228" s="1917"/>
      <c r="J228" s="1917"/>
      <c r="K228" s="1917"/>
      <c r="L228" s="1917"/>
      <c r="M228" s="1917"/>
      <c r="N228" s="1917"/>
      <c r="O228" s="1917"/>
      <c r="P228" s="359"/>
      <c r="Q228" s="359"/>
      <c r="R228" s="1917"/>
      <c r="S228" s="1917"/>
      <c r="T228" s="1917"/>
      <c r="U228" s="1917"/>
      <c r="V228" s="1917"/>
      <c r="W228" s="346"/>
    </row>
    <row r="229" spans="1:23" x14ac:dyDescent="0.2">
      <c r="A229" s="436"/>
      <c r="B229" s="345"/>
      <c r="C229" s="442" t="s">
        <v>621</v>
      </c>
      <c r="D229" s="1917" t="s">
        <v>579</v>
      </c>
      <c r="E229" s="1917">
        <f ca="1">CokingRefineryCalcs!H135</f>
        <v>15</v>
      </c>
      <c r="F229" s="914">
        <v>12.3</v>
      </c>
      <c r="G229" s="914">
        <v>100</v>
      </c>
      <c r="H229" s="919">
        <f>Constants!N372</f>
        <v>19.299794001723541</v>
      </c>
      <c r="I229" s="1917"/>
      <c r="J229" s="1917"/>
      <c r="K229" s="1917"/>
      <c r="L229" s="1917"/>
      <c r="M229" s="1917"/>
      <c r="N229" s="1917"/>
      <c r="O229" s="1917"/>
      <c r="P229" s="359"/>
      <c r="Q229" s="359"/>
      <c r="R229" s="1917"/>
      <c r="S229" s="1917"/>
      <c r="T229" s="1917"/>
      <c r="U229" s="1917"/>
      <c r="V229" s="1917"/>
      <c r="W229" s="346"/>
    </row>
    <row r="230" spans="1:23" x14ac:dyDescent="0.2">
      <c r="A230" s="436"/>
      <c r="B230" s="345"/>
      <c r="C230" s="442" t="s">
        <v>544</v>
      </c>
      <c r="D230" s="1917" t="s">
        <v>579</v>
      </c>
      <c r="E230" s="1917" t="str">
        <f ca="1">CokingRefineryCalcs!F136</f>
        <v/>
      </c>
      <c r="F230" s="1917"/>
      <c r="G230" s="1917"/>
      <c r="H230" s="337">
        <v>0</v>
      </c>
      <c r="I230" s="1917"/>
      <c r="J230" s="1917"/>
      <c r="K230" s="1917"/>
      <c r="L230" s="1917"/>
      <c r="M230" s="1917"/>
      <c r="N230" s="1917"/>
      <c r="O230" s="1917"/>
      <c r="P230" s="359"/>
      <c r="Q230" s="359"/>
      <c r="R230" s="1917"/>
      <c r="S230" s="1917"/>
      <c r="T230" s="1917"/>
      <c r="U230" s="1917"/>
      <c r="V230" s="1917"/>
      <c r="W230" s="346"/>
    </row>
    <row r="231" spans="1:23" x14ac:dyDescent="0.2">
      <c r="A231" s="436"/>
      <c r="B231" s="345"/>
      <c r="C231" s="452"/>
      <c r="D231" s="334"/>
      <c r="E231" s="334">
        <f ca="1">E225*E229/100</f>
        <v>328521.40297617612</v>
      </c>
      <c r="F231" s="334">
        <f ca="1">F225*F229/100</f>
        <v>236305.34442471855</v>
      </c>
      <c r="G231" s="334">
        <f ca="1">G225*G229/100</f>
        <v>49946.755867475033</v>
      </c>
      <c r="H231" s="338">
        <f ca="1">H225*H229/100</f>
        <v>42269.302683982707</v>
      </c>
      <c r="I231" s="1917"/>
      <c r="J231" s="1917"/>
      <c r="K231" s="1917"/>
      <c r="L231" s="1917"/>
      <c r="M231" s="1917"/>
      <c r="N231" s="1917"/>
      <c r="O231" s="1917"/>
      <c r="P231" s="359"/>
      <c r="Q231" s="359"/>
      <c r="R231" s="1917"/>
      <c r="S231" s="1917"/>
      <c r="T231" s="1917"/>
      <c r="U231" s="1917"/>
      <c r="V231" s="1917"/>
      <c r="W231" s="346"/>
    </row>
    <row r="232" spans="1:23" x14ac:dyDescent="0.2">
      <c r="A232" s="436"/>
      <c r="B232" s="345"/>
      <c r="C232" s="437"/>
      <c r="D232" s="1917"/>
      <c r="E232" s="1917"/>
      <c r="F232" s="1917"/>
      <c r="G232" s="1917"/>
      <c r="H232" s="1917"/>
      <c r="I232" s="1917"/>
      <c r="J232" s="1917"/>
      <c r="K232" s="1917"/>
      <c r="L232" s="1917"/>
      <c r="M232" s="1917"/>
      <c r="N232" s="1917"/>
      <c r="O232" s="1917"/>
      <c r="P232" s="1917"/>
      <c r="Q232" s="1969"/>
      <c r="R232" s="1917"/>
      <c r="S232" s="1917"/>
      <c r="T232" s="1917"/>
      <c r="U232" s="1917"/>
      <c r="V232" s="1917"/>
      <c r="W232" s="346"/>
    </row>
    <row r="233" spans="1:23" x14ac:dyDescent="0.2">
      <c r="A233" s="436"/>
      <c r="B233" s="345"/>
      <c r="C233" s="440" t="s">
        <v>770</v>
      </c>
      <c r="D233" s="350"/>
      <c r="E233" s="1917"/>
      <c r="F233" s="1917"/>
      <c r="G233" s="1917"/>
      <c r="H233" s="1917"/>
      <c r="I233" s="1917"/>
      <c r="J233" s="1917"/>
      <c r="K233" s="1917"/>
      <c r="L233" s="1917"/>
      <c r="M233" s="1917"/>
      <c r="N233" s="1917"/>
      <c r="O233" s="1917"/>
      <c r="P233" s="1917"/>
      <c r="Q233" s="1969"/>
      <c r="R233" s="1917"/>
      <c r="S233" s="1917"/>
      <c r="T233" s="1917"/>
      <c r="U233" s="1917"/>
      <c r="V233" s="1917"/>
      <c r="W233" s="346"/>
    </row>
    <row r="234" spans="1:23" x14ac:dyDescent="0.2">
      <c r="A234" s="436"/>
      <c r="B234" s="345"/>
      <c r="C234" s="441" t="s">
        <v>568</v>
      </c>
      <c r="D234" s="1918" t="s">
        <v>623</v>
      </c>
      <c r="E234" s="356"/>
      <c r="F234" s="356" t="s">
        <v>612</v>
      </c>
      <c r="G234" s="1918" t="s">
        <v>515</v>
      </c>
      <c r="H234" s="1919" t="s">
        <v>369</v>
      </c>
      <c r="I234" s="1917"/>
      <c r="J234" s="1917"/>
      <c r="K234" s="1917"/>
      <c r="L234" s="1917"/>
      <c r="M234" s="1917"/>
      <c r="N234" s="1917"/>
      <c r="O234" s="1917"/>
      <c r="P234" s="1917"/>
      <c r="Q234" s="1969"/>
      <c r="R234" s="1917"/>
      <c r="S234" s="1917"/>
      <c r="T234" s="1917"/>
      <c r="U234" s="1917"/>
      <c r="V234" s="1917"/>
      <c r="W234" s="346"/>
    </row>
    <row r="235" spans="1:23" x14ac:dyDescent="0.2">
      <c r="A235" s="436"/>
      <c r="B235" s="345"/>
      <c r="C235" s="442" t="s">
        <v>582</v>
      </c>
      <c r="D235" s="1917" t="s">
        <v>566</v>
      </c>
      <c r="E235" s="1917">
        <f ca="1">F920</f>
        <v>1.3286657539786239E-17</v>
      </c>
      <c r="F235" s="1917">
        <f ca="1">F236/'Energy &amp; Unit Conversions'!G80</f>
        <v>1.1098976833815643E-17</v>
      </c>
      <c r="G235" s="1917">
        <f ca="1">G236/'Energy &amp; Unit Conversions'!$G$80</f>
        <v>3.5594680248168192E-15</v>
      </c>
      <c r="H235" s="337"/>
      <c r="I235" s="1917"/>
      <c r="J235" s="1917"/>
      <c r="K235" s="362"/>
      <c r="L235" s="1917"/>
      <c r="M235" s="1917"/>
      <c r="N235" s="1917"/>
      <c r="O235" s="1917"/>
      <c r="P235" s="1917"/>
      <c r="Q235" s="1969"/>
      <c r="R235" s="1917"/>
      <c r="S235" s="1917"/>
      <c r="T235" s="1917"/>
      <c r="U235" s="1917"/>
      <c r="V235" s="1917"/>
      <c r="W235" s="346"/>
    </row>
    <row r="236" spans="1:23" x14ac:dyDescent="0.2">
      <c r="A236" s="436"/>
      <c r="B236" s="345"/>
      <c r="C236" s="442" t="s">
        <v>582</v>
      </c>
      <c r="D236" s="1917" t="s">
        <v>628</v>
      </c>
      <c r="E236" s="1917">
        <f ca="1">F921</f>
        <v>2.1124098082752565E-18</v>
      </c>
      <c r="F236" s="1917">
        <f ca="1">F237/F240</f>
        <v>1.7645963595708978E-18</v>
      </c>
      <c r="G236" s="1917">
        <f ca="1">G237*'Energy &amp; Unit Conversions'!$E$93/'Energy &amp; Unit Conversions'!$E$26*'Energy &amp; Unit Conversions'!G81</f>
        <v>5.6591021070195912E-16</v>
      </c>
      <c r="H236" s="337"/>
      <c r="I236" s="1917"/>
      <c r="J236" s="1917"/>
      <c r="K236" s="363"/>
      <c r="L236" s="1917"/>
      <c r="M236" s="1917"/>
      <c r="N236" s="1917"/>
      <c r="O236" s="1917"/>
      <c r="P236" s="1917"/>
      <c r="Q236" s="1969"/>
      <c r="R236" s="1917"/>
      <c r="S236" s="1917"/>
      <c r="T236" s="1917"/>
      <c r="U236" s="1917"/>
      <c r="V236" s="1917"/>
      <c r="W236" s="346"/>
    </row>
    <row r="237" spans="1:23" x14ac:dyDescent="0.2">
      <c r="A237" s="436"/>
      <c r="B237" s="345"/>
      <c r="C237" s="442" t="s">
        <v>620</v>
      </c>
      <c r="D237" s="1917" t="s">
        <v>622</v>
      </c>
      <c r="E237" s="1917">
        <f ca="1">F922</f>
        <v>1.5631832581236897E-15</v>
      </c>
      <c r="F237" s="1917">
        <f ca="1">((E237*(1-E241/100))-(H237*(1-H241/100)))/(1-F241/100)</f>
        <v>1.3587391968695913E-15</v>
      </c>
      <c r="G237" s="1917">
        <f ca="1">E237-F237-H237</f>
        <v>4.8125735441729427E-17</v>
      </c>
      <c r="H237" s="337">
        <f ca="1">H210/100*E237</f>
        <v>1.5631832581236898E-16</v>
      </c>
      <c r="I237" s="1917"/>
      <c r="J237" s="1917"/>
      <c r="K237" s="363"/>
      <c r="L237" s="1917"/>
      <c r="M237" s="1917"/>
      <c r="N237" s="1917"/>
      <c r="O237" s="1917"/>
      <c r="P237" s="1917"/>
      <c r="Q237" s="1969"/>
      <c r="R237" s="1917"/>
      <c r="S237" s="1917"/>
      <c r="T237" s="1917"/>
      <c r="U237" s="1917"/>
      <c r="V237" s="1917"/>
      <c r="W237" s="346"/>
    </row>
    <row r="238" spans="1:23" x14ac:dyDescent="0.2">
      <c r="A238" s="436"/>
      <c r="B238" s="345"/>
      <c r="C238" s="442" t="s">
        <v>578</v>
      </c>
      <c r="D238" s="1917" t="s">
        <v>579</v>
      </c>
      <c r="E238" s="1917">
        <f>F923</f>
        <v>0</v>
      </c>
      <c r="F238" s="1917">
        <v>0</v>
      </c>
      <c r="G238" s="1917"/>
      <c r="H238" s="337"/>
      <c r="I238" s="1917"/>
      <c r="J238" s="1917"/>
      <c r="K238" s="1917"/>
      <c r="L238" s="1917"/>
      <c r="M238" s="1917"/>
      <c r="N238" s="1917"/>
      <c r="O238" s="1917"/>
      <c r="P238" s="1917"/>
      <c r="Q238" s="1969"/>
      <c r="R238" s="1917"/>
      <c r="S238" s="1917"/>
      <c r="T238" s="1917"/>
      <c r="U238" s="1917"/>
      <c r="V238" s="1917"/>
      <c r="W238" s="346"/>
    </row>
    <row r="239" spans="1:23" x14ac:dyDescent="0.2">
      <c r="A239" s="436"/>
      <c r="B239" s="345"/>
      <c r="C239" s="442" t="s">
        <v>567</v>
      </c>
      <c r="D239" s="1917"/>
      <c r="E239" s="1917">
        <f>F925</f>
        <v>59.716216216216225</v>
      </c>
      <c r="F239" s="1917">
        <v>0</v>
      </c>
      <c r="G239" s="1917"/>
      <c r="H239" s="337"/>
      <c r="I239" s="1917"/>
      <c r="J239" s="1917"/>
      <c r="K239" s="1917"/>
      <c r="L239" s="1917"/>
      <c r="M239" s="1917"/>
      <c r="N239" s="1917"/>
      <c r="O239" s="1917"/>
      <c r="P239" s="1917"/>
      <c r="Q239" s="1969"/>
      <c r="R239" s="1917"/>
      <c r="S239" s="1917"/>
      <c r="T239" s="1917"/>
      <c r="U239" s="1917"/>
      <c r="V239" s="1917"/>
      <c r="W239" s="346"/>
    </row>
    <row r="240" spans="1:23" x14ac:dyDescent="0.2">
      <c r="A240" s="436"/>
      <c r="B240" s="345"/>
      <c r="C240" s="442" t="s">
        <v>580</v>
      </c>
      <c r="D240" s="1917" t="s">
        <v>581</v>
      </c>
      <c r="E240" s="1917">
        <f>F926</f>
        <v>740</v>
      </c>
      <c r="F240" s="914">
        <v>770</v>
      </c>
      <c r="G240" s="914"/>
      <c r="H240" s="919">
        <v>20</v>
      </c>
      <c r="I240" s="1917"/>
      <c r="J240" s="1917"/>
      <c r="K240" s="1917"/>
      <c r="L240" s="1917"/>
      <c r="M240" s="1917"/>
      <c r="N240" s="1917"/>
      <c r="O240" s="1917"/>
      <c r="P240" s="1917"/>
      <c r="Q240" s="1969"/>
      <c r="R240" s="1917"/>
      <c r="S240" s="1917"/>
      <c r="T240" s="1917"/>
      <c r="U240" s="1917"/>
      <c r="V240" s="1917"/>
      <c r="W240" s="346"/>
    </row>
    <row r="241" spans="1:23" x14ac:dyDescent="0.2">
      <c r="A241" s="436"/>
      <c r="B241" s="345"/>
      <c r="C241" s="442" t="s">
        <v>621</v>
      </c>
      <c r="D241" s="1917" t="s">
        <v>579</v>
      </c>
      <c r="E241" s="1917">
        <f ca="1">F927</f>
        <v>15.7</v>
      </c>
      <c r="F241" s="914">
        <v>12.3</v>
      </c>
      <c r="G241" s="914">
        <v>100</v>
      </c>
      <c r="H241" s="919">
        <f>Constants!N372</f>
        <v>19.299794001723541</v>
      </c>
      <c r="I241" s="1917"/>
      <c r="J241" s="1917"/>
      <c r="K241" s="1917"/>
      <c r="L241" s="1917"/>
      <c r="M241" s="1917"/>
      <c r="N241" s="1917"/>
      <c r="O241" s="1917"/>
      <c r="P241" s="1917"/>
      <c r="Q241" s="1969"/>
      <c r="R241" s="1917"/>
      <c r="S241" s="1917"/>
      <c r="T241" s="1917"/>
      <c r="U241" s="1917"/>
      <c r="V241" s="1917"/>
      <c r="W241" s="346"/>
    </row>
    <row r="242" spans="1:23" x14ac:dyDescent="0.2">
      <c r="A242" s="436"/>
      <c r="B242" s="345"/>
      <c r="C242" s="442" t="s">
        <v>544</v>
      </c>
      <c r="D242" s="1917" t="s">
        <v>579</v>
      </c>
      <c r="E242" s="1917" t="str">
        <f ca="1">F928</f>
        <v/>
      </c>
      <c r="F242" s="1917"/>
      <c r="G242" s="1917"/>
      <c r="H242" s="337"/>
      <c r="I242" s="1917"/>
      <c r="J242" s="1917"/>
      <c r="K242" s="1917"/>
      <c r="L242" s="1917"/>
      <c r="M242" s="1917"/>
      <c r="N242" s="1917"/>
      <c r="O242" s="1917"/>
      <c r="P242" s="1917"/>
      <c r="Q242" s="1969"/>
      <c r="R242" s="1917"/>
      <c r="S242" s="1917"/>
      <c r="T242" s="1917"/>
      <c r="U242" s="1917"/>
      <c r="V242" s="1917"/>
      <c r="W242" s="346"/>
    </row>
    <row r="243" spans="1:23" x14ac:dyDescent="0.2">
      <c r="A243" s="436"/>
      <c r="B243" s="345"/>
      <c r="C243" s="451" t="s">
        <v>598</v>
      </c>
      <c r="D243" s="336"/>
      <c r="E243" s="336">
        <f ca="1">E237*E241/100</f>
        <v>2.4541977152541929E-16</v>
      </c>
      <c r="F243" s="336">
        <f ca="1">F237*F241/100</f>
        <v>1.6712492121495975E-16</v>
      </c>
      <c r="G243" s="336">
        <f ca="1">G237*G241/100</f>
        <v>4.8125735441729427E-17</v>
      </c>
      <c r="H243" s="367">
        <f ca="1">H237*H241/100</f>
        <v>3.0169114868730246E-17</v>
      </c>
      <c r="I243" s="1917"/>
      <c r="J243" s="1917"/>
      <c r="K243" s="1917"/>
      <c r="L243" s="1917"/>
      <c r="M243" s="1917"/>
      <c r="N243" s="1917"/>
      <c r="O243" s="1917"/>
      <c r="P243" s="1917"/>
      <c r="Q243" s="1969"/>
      <c r="R243" s="1917"/>
      <c r="S243" s="1917"/>
      <c r="T243" s="1917"/>
      <c r="U243" s="1917"/>
      <c r="V243" s="1917"/>
      <c r="W243" s="346"/>
    </row>
    <row r="244" spans="1:23" x14ac:dyDescent="0.2">
      <c r="A244" s="436"/>
      <c r="B244" s="345"/>
      <c r="C244" s="437"/>
      <c r="D244" s="1917"/>
      <c r="E244" s="1917"/>
      <c r="F244" s="1917"/>
      <c r="G244" s="1917"/>
      <c r="H244" s="1917"/>
      <c r="I244" s="1917"/>
      <c r="J244" s="1917"/>
      <c r="K244" s="1917"/>
      <c r="L244" s="1917"/>
      <c r="M244" s="1917"/>
      <c r="N244" s="1917"/>
      <c r="O244" s="1917"/>
      <c r="P244" s="1917"/>
      <c r="Q244" s="1969"/>
      <c r="R244" s="1917"/>
      <c r="S244" s="1917"/>
      <c r="T244" s="1917"/>
      <c r="U244" s="1917"/>
      <c r="V244" s="1917"/>
      <c r="W244" s="346"/>
    </row>
    <row r="245" spans="1:23" x14ac:dyDescent="0.2">
      <c r="A245" s="436"/>
      <c r="B245" s="345"/>
      <c r="C245" s="440" t="s">
        <v>507</v>
      </c>
      <c r="D245" s="1917"/>
      <c r="E245" s="1917"/>
      <c r="F245" s="1917"/>
      <c r="G245" s="1917"/>
      <c r="H245" s="1917"/>
      <c r="I245" s="1917"/>
      <c r="J245" s="1917"/>
      <c r="K245" s="1917"/>
      <c r="L245" s="1917"/>
      <c r="M245" s="1917"/>
      <c r="N245" s="1917"/>
      <c r="O245" s="1917"/>
      <c r="P245" s="1917"/>
      <c r="Q245" s="1969"/>
      <c r="R245" s="1917"/>
      <c r="S245" s="1917"/>
      <c r="T245" s="1917"/>
      <c r="U245" s="1917"/>
      <c r="V245" s="1917"/>
      <c r="W245" s="346"/>
    </row>
    <row r="246" spans="1:23" x14ac:dyDescent="0.2">
      <c r="A246" s="436"/>
      <c r="B246" s="345"/>
      <c r="C246" s="441" t="s">
        <v>617</v>
      </c>
      <c r="D246" s="368"/>
      <c r="E246" s="368">
        <f ca="1">100-E204</f>
        <v>85</v>
      </c>
      <c r="F246" s="368" t="s">
        <v>633</v>
      </c>
      <c r="G246" s="368" t="s">
        <v>618</v>
      </c>
      <c r="H246" s="368"/>
      <c r="I246" s="368">
        <f>100-H204</f>
        <v>80.700205998276459</v>
      </c>
      <c r="J246" s="369" t="s">
        <v>633</v>
      </c>
      <c r="K246" s="1917"/>
      <c r="L246" s="1917"/>
      <c r="M246" s="1917"/>
      <c r="N246" s="1917"/>
      <c r="O246" s="1917"/>
      <c r="P246" s="1917"/>
      <c r="Q246" s="1969"/>
      <c r="R246" s="1917"/>
      <c r="S246" s="1917"/>
      <c r="T246" s="1917"/>
      <c r="U246" s="1917"/>
      <c r="V246" s="1917"/>
      <c r="W246" s="346"/>
    </row>
    <row r="247" spans="1:23" x14ac:dyDescent="0.2">
      <c r="A247" s="436"/>
      <c r="B247" s="345"/>
      <c r="C247" s="442" t="s">
        <v>615</v>
      </c>
      <c r="D247" s="1917"/>
      <c r="E247" s="1917">
        <f ca="1">E246/100*E200</f>
        <v>1861621.2835316644</v>
      </c>
      <c r="F247" s="1917" t="s">
        <v>622</v>
      </c>
      <c r="G247" s="1917" t="s">
        <v>616</v>
      </c>
      <c r="H247" s="1917"/>
      <c r="I247" s="1917">
        <f ca="1">I246/100*H200</f>
        <v>176744.96596680136</v>
      </c>
      <c r="J247" s="337" t="s">
        <v>622</v>
      </c>
      <c r="K247" s="1917"/>
      <c r="L247" s="1917"/>
      <c r="M247" s="1917"/>
      <c r="N247" s="1917"/>
      <c r="O247" s="1917"/>
      <c r="P247" s="1917"/>
      <c r="Q247" s="1969"/>
      <c r="R247" s="1917"/>
      <c r="S247" s="1917"/>
      <c r="T247" s="1917"/>
      <c r="U247" s="1917"/>
      <c r="V247" s="1917"/>
      <c r="W247" s="346"/>
    </row>
    <row r="248" spans="1:23" x14ac:dyDescent="0.2">
      <c r="A248" s="436"/>
      <c r="B248" s="345"/>
      <c r="C248" s="442" t="s">
        <v>619</v>
      </c>
      <c r="D248" s="1917"/>
      <c r="E248" s="1917">
        <f ca="1">E247-I247</f>
        <v>1684876.317564863</v>
      </c>
      <c r="F248" s="1917" t="s">
        <v>622</v>
      </c>
      <c r="G248" s="1917"/>
      <c r="H248" s="1917"/>
      <c r="I248" s="1917"/>
      <c r="J248" s="337"/>
      <c r="K248" s="1917"/>
      <c r="L248" s="1917"/>
      <c r="M248" s="1917"/>
      <c r="N248" s="1917"/>
      <c r="O248" s="1917"/>
      <c r="P248" s="1917"/>
      <c r="Q248" s="1969"/>
      <c r="R248" s="1917"/>
      <c r="S248" s="1917"/>
      <c r="T248" s="1917"/>
      <c r="U248" s="1917"/>
      <c r="V248" s="1917"/>
      <c r="W248" s="346"/>
    </row>
    <row r="249" spans="1:23" x14ac:dyDescent="0.2">
      <c r="A249" s="436"/>
      <c r="B249" s="345"/>
      <c r="C249" s="442" t="s">
        <v>506</v>
      </c>
      <c r="D249" s="1917"/>
      <c r="E249" s="1917">
        <f>100-F204</f>
        <v>87.7</v>
      </c>
      <c r="F249" s="1917" t="s">
        <v>633</v>
      </c>
      <c r="G249" s="1917"/>
      <c r="H249" s="1917"/>
      <c r="I249" s="1917"/>
      <c r="J249" s="337"/>
      <c r="K249" s="1917"/>
      <c r="L249" s="1917"/>
      <c r="M249" s="1917"/>
      <c r="N249" s="1917"/>
      <c r="O249" s="1917"/>
      <c r="P249" s="1917"/>
      <c r="Q249" s="1969"/>
      <c r="R249" s="1917"/>
      <c r="S249" s="1917"/>
      <c r="T249" s="1917"/>
      <c r="U249" s="1917"/>
      <c r="V249" s="1917"/>
      <c r="W249" s="346"/>
    </row>
    <row r="250" spans="1:23" x14ac:dyDescent="0.2">
      <c r="A250" s="436"/>
      <c r="B250" s="345"/>
      <c r="C250" s="443" t="s">
        <v>508</v>
      </c>
      <c r="D250" s="334"/>
      <c r="E250" s="334">
        <f ca="1">E248*100/E249</f>
        <v>1921181.6619895815</v>
      </c>
      <c r="F250" s="334" t="s">
        <v>622</v>
      </c>
      <c r="G250" s="334"/>
      <c r="H250" s="334"/>
      <c r="I250" s="334"/>
      <c r="J250" s="338"/>
      <c r="K250" s="1917"/>
      <c r="L250" s="1917"/>
      <c r="M250" s="1917"/>
      <c r="N250" s="1917"/>
      <c r="O250" s="1917"/>
      <c r="P250" s="1917"/>
      <c r="Q250" s="1969"/>
      <c r="R250" s="1917"/>
      <c r="S250" s="1917"/>
      <c r="T250" s="1917"/>
      <c r="U250" s="1917"/>
      <c r="V250" s="1917"/>
      <c r="W250" s="346"/>
    </row>
    <row r="251" spans="1:23" x14ac:dyDescent="0.2">
      <c r="A251" s="436"/>
      <c r="B251" s="345"/>
      <c r="C251" s="437"/>
      <c r="D251" s="1917"/>
      <c r="E251" s="1917"/>
      <c r="F251" s="1917"/>
      <c r="G251" s="1917"/>
      <c r="H251" s="1917"/>
      <c r="I251" s="1917"/>
      <c r="J251" s="1917"/>
      <c r="K251" s="1917"/>
      <c r="L251" s="1917"/>
      <c r="M251" s="1917"/>
      <c r="N251" s="1917"/>
      <c r="O251" s="1917"/>
      <c r="P251" s="1917"/>
      <c r="Q251" s="1969"/>
      <c r="R251" s="1917"/>
      <c r="S251" s="1917"/>
      <c r="T251" s="1917"/>
      <c r="U251" s="1917"/>
      <c r="V251" s="1917"/>
      <c r="W251" s="346"/>
    </row>
    <row r="252" spans="1:23" ht="26.25" x14ac:dyDescent="0.2">
      <c r="A252" s="436"/>
      <c r="B252" s="347"/>
      <c r="C252" s="438" t="s">
        <v>1351</v>
      </c>
      <c r="D252" s="348"/>
      <c r="E252" s="1917"/>
      <c r="F252" s="1917"/>
      <c r="G252" s="1917"/>
      <c r="H252" s="1917"/>
      <c r="I252" s="1917"/>
      <c r="J252" s="1917"/>
      <c r="K252" s="1917"/>
      <c r="L252" s="1917"/>
      <c r="M252" s="1917"/>
      <c r="N252" s="1917"/>
      <c r="O252" s="1917"/>
      <c r="P252" s="1917"/>
      <c r="Q252" s="1969"/>
      <c r="R252" s="1917"/>
      <c r="S252" s="1917"/>
      <c r="T252" s="1917"/>
      <c r="U252" s="1917"/>
      <c r="V252" s="1917"/>
      <c r="W252" s="346"/>
    </row>
    <row r="253" spans="1:23" x14ac:dyDescent="0.2">
      <c r="A253" s="436"/>
      <c r="B253" s="345"/>
      <c r="C253" s="437"/>
      <c r="D253" s="1917"/>
      <c r="E253" s="1910"/>
      <c r="F253" s="1917"/>
      <c r="G253" s="1917"/>
      <c r="H253" s="1917"/>
      <c r="I253" s="1917"/>
      <c r="J253" s="1917"/>
      <c r="K253" s="1917"/>
      <c r="L253" s="1917"/>
      <c r="M253" s="1917"/>
      <c r="N253" s="1917"/>
      <c r="O253" s="1917"/>
      <c r="P253" s="1917"/>
      <c r="Q253" s="1969"/>
      <c r="R253" s="1917"/>
      <c r="S253" s="1917"/>
      <c r="T253" s="1917"/>
      <c r="U253" s="1917"/>
      <c r="V253" s="1917"/>
      <c r="W253" s="346"/>
    </row>
    <row r="254" spans="1:23" x14ac:dyDescent="0.2">
      <c r="A254" s="436"/>
      <c r="B254" s="345"/>
      <c r="C254" s="440" t="s">
        <v>1309</v>
      </c>
      <c r="D254" s="1917"/>
      <c r="E254" s="1910"/>
      <c r="F254" s="1917"/>
      <c r="G254" s="1917"/>
      <c r="H254" s="1917"/>
      <c r="I254" s="1917"/>
      <c r="J254" s="1917"/>
      <c r="K254" s="1917"/>
      <c r="L254" s="1917"/>
      <c r="M254" s="1917"/>
      <c r="N254" s="1917"/>
      <c r="O254" s="1917"/>
      <c r="P254" s="1917"/>
      <c r="Q254" s="1969"/>
      <c r="R254" s="1917"/>
      <c r="S254" s="1917"/>
      <c r="T254" s="1917"/>
      <c r="U254" s="1917"/>
      <c r="V254" s="1917"/>
      <c r="W254" s="346"/>
    </row>
    <row r="255" spans="1:23" x14ac:dyDescent="0.2">
      <c r="A255" s="436"/>
      <c r="B255" s="345"/>
      <c r="C255" s="441" t="s">
        <v>568</v>
      </c>
      <c r="D255" s="1918" t="s">
        <v>623</v>
      </c>
      <c r="E255" s="1918" t="s">
        <v>480</v>
      </c>
      <c r="F255" s="1918" t="s">
        <v>1275</v>
      </c>
      <c r="G255" s="356" t="s">
        <v>1276</v>
      </c>
      <c r="H255" s="1919" t="s">
        <v>365</v>
      </c>
      <c r="I255" s="329"/>
      <c r="J255" s="329"/>
      <c r="K255" s="1917"/>
      <c r="L255" s="1917"/>
      <c r="M255" s="1917"/>
      <c r="N255" s="1917"/>
      <c r="O255" s="1917"/>
      <c r="P255" s="1917"/>
      <c r="Q255" s="1969"/>
      <c r="R255" s="1917"/>
      <c r="S255" s="1917"/>
      <c r="T255" s="1917"/>
      <c r="U255" s="1917"/>
      <c r="V255" s="1917"/>
      <c r="W255" s="346"/>
    </row>
    <row r="256" spans="1:23" x14ac:dyDescent="0.2">
      <c r="A256" s="436"/>
      <c r="B256" s="345"/>
      <c r="C256" s="442" t="str">
        <f t="shared" ref="C256:D264" si="15">C128</f>
        <v>Vol Flow</v>
      </c>
      <c r="D256" s="1917" t="str">
        <f ca="1">D128</f>
        <v>bpd</v>
      </c>
      <c r="E256" s="1917">
        <f ca="1">CokingRefineryCalcs!H47</f>
        <v>26885.40784503843</v>
      </c>
      <c r="F256" s="1917"/>
      <c r="G256" s="1917">
        <f ca="1">G257/'Energy &amp; Unit Conversions'!G80</f>
        <v>27711.741788300664</v>
      </c>
      <c r="H256" s="337"/>
      <c r="I256" s="329"/>
      <c r="J256" s="329"/>
      <c r="K256" s="1917"/>
      <c r="L256" s="1917"/>
      <c r="M256" s="1917"/>
      <c r="N256" s="1917"/>
      <c r="O256" s="1917"/>
      <c r="P256" s="1917"/>
      <c r="Q256" s="1969"/>
      <c r="R256" s="1917"/>
      <c r="S256" s="1917"/>
      <c r="T256" s="1917"/>
      <c r="U256" s="1917"/>
      <c r="V256" s="1917"/>
      <c r="W256" s="346"/>
    </row>
    <row r="257" spans="1:23" x14ac:dyDescent="0.2">
      <c r="A257" s="436"/>
      <c r="B257" s="345"/>
      <c r="C257" s="442" t="str">
        <f t="shared" si="15"/>
        <v>Vol Flow</v>
      </c>
      <c r="D257" s="1917" t="str">
        <f ca="1">D129</f>
        <v>m^3/d</v>
      </c>
      <c r="E257" s="1917">
        <f ca="1">CokingRefineryCalcs!H48</f>
        <v>4274.4384026814787</v>
      </c>
      <c r="F257" s="1917"/>
      <c r="G257" s="1917">
        <f ca="1">G258/G262</f>
        <v>4405.815005219094</v>
      </c>
      <c r="H257" s="337"/>
      <c r="I257" s="329"/>
      <c r="J257" s="329"/>
      <c r="K257" s="1917"/>
      <c r="L257" s="1917"/>
      <c r="M257" s="1917"/>
      <c r="N257" s="1917"/>
      <c r="O257" s="1917"/>
      <c r="P257" s="1917"/>
      <c r="Q257" s="1969"/>
      <c r="R257" s="1917"/>
      <c r="S257" s="1917"/>
      <c r="T257" s="1917"/>
      <c r="U257" s="1917"/>
      <c r="V257" s="1917"/>
      <c r="W257" s="346"/>
    </row>
    <row r="258" spans="1:23" x14ac:dyDescent="0.2">
      <c r="A258" s="436"/>
      <c r="B258" s="345"/>
      <c r="C258" s="442" t="str">
        <f t="shared" si="15"/>
        <v>Mass Flow</v>
      </c>
      <c r="D258" s="1917" t="str">
        <f t="shared" si="15"/>
        <v>kg/d</v>
      </c>
      <c r="E258" s="1917">
        <f ca="1">CokingRefineryCalcs!H49</f>
        <v>3607246.9722819468</v>
      </c>
      <c r="F258" s="1917">
        <f ca="1">D283</f>
        <v>15218.271221719764</v>
      </c>
      <c r="G258" s="1917">
        <f ca="1">D275</f>
        <v>3612768.3042796571</v>
      </c>
      <c r="H258" s="337">
        <f ca="1">D281+D282</f>
        <v>9696.9447453418234</v>
      </c>
      <c r="I258" s="329"/>
      <c r="J258" s="329"/>
      <c r="K258" s="1917"/>
      <c r="L258" s="1917"/>
      <c r="M258" s="1917"/>
      <c r="N258" s="1917"/>
      <c r="O258" s="1917"/>
      <c r="P258" s="1917"/>
      <c r="Q258" s="1969"/>
      <c r="R258" s="1917"/>
      <c r="S258" s="1917"/>
      <c r="T258" s="1917"/>
      <c r="U258" s="1917"/>
      <c r="V258" s="1917"/>
      <c r="W258" s="346"/>
    </row>
    <row r="259" spans="1:23" x14ac:dyDescent="0.2">
      <c r="A259" s="436"/>
      <c r="B259" s="345"/>
      <c r="C259" s="442" t="str">
        <f t="shared" si="15"/>
        <v xml:space="preserve">Sulphur </v>
      </c>
      <c r="D259" s="1917" t="str">
        <f t="shared" ref="D259:D264" ca="1" si="16">D131</f>
        <v>wt%</v>
      </c>
      <c r="E259" s="1917">
        <f ca="1">CokingRefineryCalcs!H50</f>
        <v>6.4870288839055754E-2</v>
      </c>
      <c r="F259" s="1917"/>
      <c r="G259" s="913">
        <v>1E-4</v>
      </c>
      <c r="H259" s="337">
        <f ca="1">32/34*D282/H258*100</f>
        <v>24.094437417594566</v>
      </c>
      <c r="I259" s="329"/>
      <c r="J259" s="329"/>
      <c r="K259" s="1917"/>
      <c r="L259" s="1917"/>
      <c r="M259" s="1917"/>
      <c r="N259" s="1917"/>
      <c r="O259" s="1917"/>
      <c r="P259" s="1917"/>
      <c r="Q259" s="1969"/>
      <c r="R259" s="1917"/>
      <c r="S259" s="1917"/>
      <c r="T259" s="1917"/>
      <c r="U259" s="1917"/>
      <c r="V259" s="1917"/>
      <c r="W259" s="346"/>
    </row>
    <row r="260" spans="1:23" x14ac:dyDescent="0.2">
      <c r="A260" s="436"/>
      <c r="B260" s="345"/>
      <c r="C260" s="442" t="str">
        <f t="shared" si="15"/>
        <v xml:space="preserve">Nitrogen </v>
      </c>
      <c r="D260" s="1917" t="str">
        <f t="shared" ca="1" si="16"/>
        <v>mass ppm</v>
      </c>
      <c r="E260" s="1917">
        <f ca="1">CokingRefineryCalcs!H51</f>
        <v>3.6001321362723841E-11</v>
      </c>
      <c r="F260" s="1917"/>
      <c r="G260" s="913">
        <v>0</v>
      </c>
      <c r="H260" s="337"/>
      <c r="I260" s="329"/>
      <c r="J260" s="329"/>
      <c r="K260" s="1917"/>
      <c r="L260" s="1917"/>
      <c r="M260" s="1917"/>
      <c r="N260" s="1917"/>
      <c r="O260" s="1917"/>
      <c r="P260" s="1917"/>
      <c r="Q260" s="1969"/>
      <c r="R260" s="1917"/>
      <c r="S260" s="1917"/>
      <c r="T260" s="1917"/>
      <c r="U260" s="1917"/>
      <c r="V260" s="1917"/>
      <c r="W260" s="346"/>
    </row>
    <row r="261" spans="1:23" x14ac:dyDescent="0.2">
      <c r="A261" s="436"/>
      <c r="B261" s="345"/>
      <c r="C261" s="442" t="str">
        <f t="shared" si="15"/>
        <v xml:space="preserve">API gravity </v>
      </c>
      <c r="D261" s="1917" t="str">
        <f t="shared" ca="1" si="16"/>
        <v>oAPI</v>
      </c>
      <c r="E261" s="1917">
        <f ca="1">CokingRefineryCalcs!H52</f>
        <v>36.171645059781241</v>
      </c>
      <c r="F261" s="1917"/>
      <c r="G261" s="1917">
        <f>141.5/(G262/1000)-131.5</f>
        <v>41.060975609756099</v>
      </c>
      <c r="H261" s="337"/>
      <c r="I261" s="329"/>
      <c r="J261" s="329"/>
      <c r="K261" s="1917"/>
      <c r="L261" s="1917"/>
      <c r="M261" s="1917"/>
      <c r="N261" s="1917"/>
      <c r="O261" s="1917"/>
      <c r="P261" s="1917"/>
      <c r="Q261" s="1969"/>
      <c r="R261" s="1917"/>
      <c r="S261" s="1917"/>
      <c r="T261" s="1917"/>
      <c r="U261" s="1917"/>
      <c r="V261" s="1917"/>
      <c r="W261" s="346"/>
    </row>
    <row r="262" spans="1:23" x14ac:dyDescent="0.2">
      <c r="A262" s="436"/>
      <c r="B262" s="345"/>
      <c r="C262" s="442" t="str">
        <f t="shared" si="15"/>
        <v>Density</v>
      </c>
      <c r="D262" s="1917" t="str">
        <f t="shared" ca="1" si="16"/>
        <v>kg/m^3</v>
      </c>
      <c r="E262" s="1917">
        <f ca="1">CokingRefineryCalcs!H53</f>
        <v>843.91132412132015</v>
      </c>
      <c r="F262" s="1917"/>
      <c r="G262" s="913">
        <v>820</v>
      </c>
      <c r="H262" s="337"/>
      <c r="I262" s="329"/>
      <c r="J262" s="329"/>
      <c r="K262" s="1917"/>
      <c r="L262" s="1917"/>
      <c r="M262" s="1917"/>
      <c r="N262" s="1917"/>
      <c r="O262" s="1917"/>
      <c r="P262" s="1917"/>
      <c r="Q262" s="1969"/>
      <c r="R262" s="1917"/>
      <c r="S262" s="1917"/>
      <c r="T262" s="1917"/>
      <c r="U262" s="1917"/>
      <c r="V262" s="1917"/>
      <c r="W262" s="346"/>
    </row>
    <row r="263" spans="1:23" x14ac:dyDescent="0.2">
      <c r="A263" s="436"/>
      <c r="B263" s="345"/>
      <c r="C263" s="442" t="str">
        <f t="shared" si="15"/>
        <v>Hydrogen</v>
      </c>
      <c r="D263" s="1917" t="str">
        <f t="shared" ca="1" si="16"/>
        <v>wt%</v>
      </c>
      <c r="E263" s="1917">
        <f ca="1">CokingRefineryCalcs!H54</f>
        <v>12.638480433923533</v>
      </c>
      <c r="F263" s="1917">
        <v>100</v>
      </c>
      <c r="G263" s="304">
        <f ca="1">IF(E263&lt;12.99999999999,12.999999999999,(E258*E263/100+D269+D270+D272+D279-H268*H269/100)/(E258+D269+D270+D272+D279-E258*(E260-G260)/1000000-H268)*100)</f>
        <v>12.999999999999</v>
      </c>
      <c r="H263" s="337">
        <f ca="1">(D280/100*D281+2/34*D282)/H258*100</f>
        <v>15.052106605583376</v>
      </c>
      <c r="I263" s="329"/>
      <c r="J263" s="329"/>
      <c r="K263" s="1917"/>
      <c r="L263" s="1917"/>
      <c r="M263" s="1917"/>
      <c r="N263" s="1917"/>
      <c r="O263" s="1917"/>
      <c r="P263" s="1917"/>
      <c r="Q263" s="1969"/>
      <c r="R263" s="1917"/>
      <c r="S263" s="1917"/>
      <c r="T263" s="1917"/>
      <c r="U263" s="1917"/>
      <c r="V263" s="1917"/>
      <c r="W263" s="346"/>
    </row>
    <row r="264" spans="1:23" x14ac:dyDescent="0.2">
      <c r="A264" s="436"/>
      <c r="B264" s="345"/>
      <c r="C264" s="443" t="str">
        <f t="shared" si="15"/>
        <v>MCR</v>
      </c>
      <c r="D264" s="334" t="str">
        <f t="shared" ca="1" si="16"/>
        <v>wt%</v>
      </c>
      <c r="E264" s="334">
        <f>CokingRefineryCalcs!H55</f>
        <v>0</v>
      </c>
      <c r="F264" s="334"/>
      <c r="H264" s="338"/>
      <c r="I264" s="1917"/>
      <c r="J264" s="1917"/>
      <c r="K264" s="1917"/>
      <c r="L264" s="1917"/>
      <c r="M264" s="1917"/>
      <c r="N264" s="1917"/>
      <c r="O264" s="1917"/>
      <c r="P264" s="1917"/>
      <c r="Q264" s="1969"/>
      <c r="R264" s="1917"/>
      <c r="S264" s="1917"/>
      <c r="T264" s="1917"/>
      <c r="U264" s="1917"/>
      <c r="V264" s="1917"/>
      <c r="W264" s="346"/>
    </row>
    <row r="265" spans="1:23" x14ac:dyDescent="0.2">
      <c r="A265" s="436"/>
      <c r="B265" s="345"/>
      <c r="C265" s="437"/>
      <c r="D265" s="1917"/>
      <c r="E265" s="1917"/>
      <c r="F265" s="1917"/>
      <c r="G265" s="1917"/>
      <c r="H265" s="1917"/>
      <c r="I265" s="1917"/>
      <c r="J265" s="1917"/>
      <c r="K265" s="1917"/>
      <c r="L265" s="1917"/>
      <c r="M265" s="1917"/>
      <c r="N265" s="1917"/>
      <c r="O265" s="1917"/>
      <c r="P265" s="1917"/>
      <c r="Q265" s="1969"/>
      <c r="R265" s="1917"/>
      <c r="S265" s="1917"/>
      <c r="T265" s="1917"/>
      <c r="U265" s="1917"/>
      <c r="V265" s="1917"/>
      <c r="W265" s="346"/>
    </row>
    <row r="266" spans="1:23" x14ac:dyDescent="0.2">
      <c r="A266" s="436"/>
      <c r="B266" s="345"/>
      <c r="C266" s="440" t="s">
        <v>1303</v>
      </c>
      <c r="D266" s="1917"/>
      <c r="E266" s="1917"/>
      <c r="F266" s="1917"/>
      <c r="G266" s="440" t="s">
        <v>1303</v>
      </c>
      <c r="H266" s="350"/>
      <c r="I266" s="1917"/>
      <c r="J266" s="1917"/>
      <c r="K266" s="1917"/>
      <c r="L266" s="1917"/>
      <c r="M266" s="1917"/>
      <c r="N266" s="1917"/>
      <c r="O266" s="1917"/>
      <c r="P266" s="1917"/>
      <c r="Q266" s="1969"/>
      <c r="R266" s="1917"/>
      <c r="S266" s="1917"/>
      <c r="T266" s="1917"/>
      <c r="U266" s="1917"/>
      <c r="V266" s="1917"/>
      <c r="W266" s="346"/>
    </row>
    <row r="267" spans="1:23" x14ac:dyDescent="0.2">
      <c r="A267" s="436"/>
      <c r="B267" s="345"/>
      <c r="C267" s="449"/>
      <c r="D267" s="1918" t="s">
        <v>624</v>
      </c>
      <c r="E267" s="1919" t="s">
        <v>623</v>
      </c>
      <c r="F267" s="1917"/>
      <c r="G267" s="449"/>
      <c r="H267" s="1918" t="s">
        <v>624</v>
      </c>
      <c r="I267" s="1919" t="s">
        <v>623</v>
      </c>
      <c r="J267" s="1917"/>
      <c r="K267" s="1917"/>
      <c r="L267" s="1917"/>
      <c r="M267" s="1917"/>
      <c r="N267" s="1917"/>
      <c r="O267" s="1917"/>
      <c r="P267" s="1917"/>
      <c r="Q267" s="1969"/>
      <c r="R267" s="1917"/>
      <c r="S267" s="1917"/>
      <c r="T267" s="1917"/>
      <c r="U267" s="1917"/>
      <c r="V267" s="1917"/>
      <c r="W267" s="346"/>
    </row>
    <row r="268" spans="1:23" x14ac:dyDescent="0.2">
      <c r="A268" s="436"/>
      <c r="B268" s="345"/>
      <c r="C268" s="442" t="s">
        <v>376</v>
      </c>
      <c r="D268" s="1917">
        <f ca="1">E258*(E259-G259)/100</f>
        <v>2336.4242830851103</v>
      </c>
      <c r="E268" s="337" t="s">
        <v>622</v>
      </c>
      <c r="F268" s="1917"/>
      <c r="G268" s="442" t="s">
        <v>363</v>
      </c>
      <c r="H268" s="1917">
        <f ca="1">D281+D282</f>
        <v>9696.9447453418234</v>
      </c>
      <c r="I268" s="337" t="s">
        <v>622</v>
      </c>
      <c r="J268" s="1917"/>
      <c r="K268" s="1917"/>
      <c r="L268" s="1917"/>
      <c r="M268" s="1917"/>
      <c r="N268" s="1917"/>
      <c r="O268" s="1917"/>
      <c r="P268" s="1917"/>
      <c r="Q268" s="1969"/>
      <c r="R268" s="1917"/>
      <c r="S268" s="1917"/>
      <c r="T268" s="1917"/>
      <c r="U268" s="1917"/>
      <c r="V268" s="1917"/>
      <c r="W268" s="346"/>
    </row>
    <row r="269" spans="1:23" x14ac:dyDescent="0.2">
      <c r="A269" s="436"/>
      <c r="B269" s="345"/>
      <c r="C269" s="442" t="s">
        <v>380</v>
      </c>
      <c r="D269" s="1917">
        <f ca="1">2/32*D268</f>
        <v>146.0265176928194</v>
      </c>
      <c r="E269" s="337" t="s">
        <v>622</v>
      </c>
      <c r="F269" s="1917"/>
      <c r="G269" s="442" t="s">
        <v>377</v>
      </c>
      <c r="H269" s="1917">
        <f ca="1">(D280/100*D281+2/34*D282)/H268*100</f>
        <v>15.052106605583376</v>
      </c>
      <c r="I269" s="337" t="s">
        <v>579</v>
      </c>
      <c r="J269" s="1917"/>
      <c r="K269" s="387"/>
      <c r="L269" s="1917"/>
      <c r="M269" s="1917"/>
      <c r="N269" s="1917"/>
      <c r="O269" s="1917"/>
      <c r="P269" s="1917"/>
      <c r="Q269" s="1969"/>
      <c r="R269" s="1917"/>
      <c r="S269" s="1917"/>
      <c r="T269" s="1917"/>
      <c r="U269" s="1917"/>
      <c r="V269" s="1917"/>
      <c r="W269" s="346"/>
    </row>
    <row r="270" spans="1:23" x14ac:dyDescent="0.2">
      <c r="A270" s="436"/>
      <c r="B270" s="345"/>
      <c r="C270" s="442" t="s">
        <v>381</v>
      </c>
      <c r="D270" s="1917">
        <f ca="1">D269</f>
        <v>146.0265176928194</v>
      </c>
      <c r="E270" s="337" t="s">
        <v>622</v>
      </c>
      <c r="F270" s="1917"/>
      <c r="G270" s="442" t="s">
        <v>378</v>
      </c>
      <c r="H270" s="1917">
        <f ca="1">32/34*D282/H268*100</f>
        <v>24.094437417594566</v>
      </c>
      <c r="I270" s="337" t="s">
        <v>579</v>
      </c>
      <c r="J270" s="1917"/>
      <c r="K270" s="1917"/>
      <c r="L270" s="1917"/>
      <c r="M270" s="1917"/>
      <c r="N270" s="1917"/>
      <c r="O270" s="1917"/>
      <c r="P270" s="1917"/>
      <c r="Q270" s="1969"/>
      <c r="R270" s="1917"/>
      <c r="S270" s="1917"/>
      <c r="T270" s="1917"/>
      <c r="U270" s="1917"/>
      <c r="V270" s="1917"/>
      <c r="W270" s="346"/>
    </row>
    <row r="271" spans="1:23" x14ac:dyDescent="0.2">
      <c r="A271" s="436"/>
      <c r="B271" s="345"/>
      <c r="C271" s="442" t="s">
        <v>1393</v>
      </c>
      <c r="D271" s="1917">
        <f ca="1">(D270+D269)*'Energy &amp; Unit Conversions'!$E$93/'Energy &amp; Unit Conversions'!$E$26*'Energy &amp; Unit Conversions'!$G$82/E257/(E259-G259)</f>
        <v>11.735668014564384</v>
      </c>
      <c r="E271" s="337" t="s">
        <v>904</v>
      </c>
      <c r="F271" s="1917"/>
      <c r="G271" s="442" t="s">
        <v>379</v>
      </c>
      <c r="H271" s="1917">
        <f ca="1">H268/(D283+E258)*100</f>
        <v>0.2676891037873117</v>
      </c>
      <c r="I271" s="337" t="s">
        <v>579</v>
      </c>
      <c r="J271" s="1917"/>
      <c r="K271" s="1917"/>
      <c r="L271" s="1917"/>
      <c r="M271" s="1917"/>
      <c r="N271" s="1917"/>
      <c r="O271" s="1917"/>
      <c r="P271" s="1917"/>
      <c r="Q271" s="1969"/>
      <c r="R271" s="1917"/>
      <c r="S271" s="1917"/>
      <c r="T271" s="1917"/>
      <c r="U271" s="1917"/>
      <c r="V271" s="1917"/>
      <c r="W271" s="346"/>
    </row>
    <row r="272" spans="1:23" ht="15" x14ac:dyDescent="0.2">
      <c r="A272" s="436"/>
      <c r="B272" s="345"/>
      <c r="C272" s="442" t="s">
        <v>905</v>
      </c>
      <c r="D272" s="1917">
        <f ca="1">D273*E257*(E260-G260)/10000/'Energy &amp; Unit Conversions'!$G$82*'Energy &amp; Unit Conversions'!$E$26/'Energy &amp; Unit Conversions'!$E$93</f>
        <v>4.7030049215889106E-11</v>
      </c>
      <c r="E272" s="337" t="s">
        <v>622</v>
      </c>
      <c r="F272" s="1917"/>
      <c r="G272" s="442" t="s">
        <v>1092</v>
      </c>
      <c r="H272" s="913">
        <v>2E-3</v>
      </c>
      <c r="I272" s="337" t="s">
        <v>1091</v>
      </c>
      <c r="J272" s="1917"/>
      <c r="K272" s="2446" t="s">
        <v>1383</v>
      </c>
      <c r="L272" s="2447"/>
      <c r="M272" s="1917"/>
      <c r="N272" s="1917"/>
      <c r="O272" s="1917"/>
      <c r="P272" s="1917"/>
      <c r="Q272" s="1969"/>
      <c r="R272" s="1917"/>
      <c r="S272" s="1917"/>
      <c r="T272" s="1917"/>
      <c r="U272" s="1917"/>
      <c r="V272" s="1917"/>
      <c r="W272" s="346"/>
    </row>
    <row r="273" spans="1:23" ht="15" customHeight="1" x14ac:dyDescent="0.2">
      <c r="A273" s="436"/>
      <c r="B273" s="345"/>
      <c r="C273" s="442" t="s">
        <v>905</v>
      </c>
      <c r="D273" s="913">
        <v>34</v>
      </c>
      <c r="E273" s="337" t="s">
        <v>904</v>
      </c>
      <c r="F273" s="1917"/>
      <c r="G273" s="443" t="s">
        <v>733</v>
      </c>
      <c r="H273" s="920">
        <v>1</v>
      </c>
      <c r="I273" s="338"/>
      <c r="J273" s="1917"/>
      <c r="K273" s="2446" t="s">
        <v>1310</v>
      </c>
      <c r="L273" s="2447"/>
      <c r="M273" s="1917"/>
      <c r="N273" s="1917"/>
      <c r="O273" s="1917"/>
      <c r="P273" s="1917"/>
      <c r="Q273" s="1969"/>
      <c r="R273" s="1917"/>
      <c r="S273" s="1917"/>
      <c r="T273" s="1917"/>
      <c r="U273" s="1917"/>
      <c r="V273" s="1917"/>
      <c r="W273" s="346"/>
    </row>
    <row r="274" spans="1:23" ht="15" x14ac:dyDescent="0.2">
      <c r="A274" s="436"/>
      <c r="B274" s="345"/>
      <c r="C274" s="442" t="s">
        <v>1311</v>
      </c>
      <c r="D274" s="1917">
        <f ca="1">E263/100*E258</f>
        <v>455901.2027951529</v>
      </c>
      <c r="E274" s="337" t="s">
        <v>622</v>
      </c>
      <c r="F274" s="1917"/>
      <c r="G274" s="1917"/>
      <c r="H274" s="1917"/>
      <c r="I274" s="1917"/>
      <c r="J274" s="1917"/>
      <c r="K274" s="1917"/>
      <c r="L274" s="1917"/>
      <c r="M274" s="1917"/>
      <c r="N274" s="1917"/>
      <c r="O274" s="1917"/>
      <c r="P274" s="1917"/>
      <c r="Q274" s="1969"/>
      <c r="R274" s="1917"/>
      <c r="S274" s="1917"/>
      <c r="T274" s="1917"/>
      <c r="U274" s="1917"/>
      <c r="V274" s="1917"/>
      <c r="W274" s="346"/>
    </row>
    <row r="275" spans="1:23" ht="15" x14ac:dyDescent="0.2">
      <c r="A275" s="436"/>
      <c r="B275" s="345"/>
      <c r="C275" s="442" t="s">
        <v>1738</v>
      </c>
      <c r="D275" s="1917">
        <f ca="1">D276/(1-G263/100-(G259/100))</f>
        <v>3612768.3042796571</v>
      </c>
      <c r="E275" s="337" t="s">
        <v>622</v>
      </c>
      <c r="F275" s="1917"/>
      <c r="G275" s="1917"/>
      <c r="H275" s="1917"/>
      <c r="I275" s="1917"/>
      <c r="J275" s="1917"/>
      <c r="K275" s="1917"/>
      <c r="L275" s="361"/>
      <c r="M275" s="1917"/>
      <c r="N275" s="1917"/>
      <c r="O275" s="1917"/>
      <c r="P275" s="1917"/>
      <c r="Q275" s="1969"/>
      <c r="R275" s="1917"/>
      <c r="S275" s="1917"/>
      <c r="T275" s="1917"/>
      <c r="U275" s="1917"/>
      <c r="V275" s="1917"/>
      <c r="W275" s="346"/>
    </row>
    <row r="276" spans="1:23" ht="15" x14ac:dyDescent="0.2">
      <c r="A276" s="436"/>
      <c r="B276" s="345"/>
      <c r="C276" s="442" t="s">
        <v>1312</v>
      </c>
      <c r="D276" s="1917">
        <f ca="1">((E258*(1-E263/100-E259/100-E260/1000000))-D278)</f>
        <v>3143104.8119550333</v>
      </c>
      <c r="E276" s="337" t="s">
        <v>622</v>
      </c>
      <c r="F276" s="1925"/>
      <c r="G276" s="1924"/>
      <c r="H276" s="1917"/>
      <c r="I276" s="1917"/>
      <c r="J276" s="1917"/>
      <c r="K276" s="1917"/>
      <c r="L276" s="1917"/>
      <c r="M276" s="1917"/>
      <c r="N276" s="1917"/>
      <c r="O276" s="1917"/>
      <c r="P276" s="1917"/>
      <c r="Q276" s="1969"/>
      <c r="R276" s="1917"/>
      <c r="S276" s="1917"/>
      <c r="T276" s="1917"/>
      <c r="U276" s="1917"/>
      <c r="V276" s="1917"/>
      <c r="W276" s="346"/>
    </row>
    <row r="277" spans="1:23" x14ac:dyDescent="0.2">
      <c r="A277" s="436"/>
      <c r="B277" s="345"/>
      <c r="C277" s="442" t="s">
        <v>1779</v>
      </c>
      <c r="D277" s="1917">
        <f ca="1">D275*(G263/100)-D269-D272-D274</f>
        <v>13612.65024347353</v>
      </c>
      <c r="E277" s="337" t="s">
        <v>622</v>
      </c>
      <c r="F277" s="1922"/>
      <c r="G277" s="1924"/>
      <c r="H277" s="1917"/>
      <c r="I277" s="1917"/>
      <c r="J277" s="1917"/>
      <c r="K277" s="1917"/>
      <c r="L277" s="1917"/>
      <c r="M277" s="1917"/>
      <c r="N277" s="1917"/>
      <c r="O277" s="1917"/>
      <c r="P277" s="1917"/>
      <c r="Q277" s="1969"/>
      <c r="R277" s="1917"/>
      <c r="S277" s="1917"/>
      <c r="T277" s="1917"/>
      <c r="U277" s="1917"/>
      <c r="V277" s="1917"/>
      <c r="W277" s="346"/>
    </row>
    <row r="278" spans="1:23" ht="15" x14ac:dyDescent="0.2">
      <c r="A278" s="436"/>
      <c r="B278" s="345"/>
      <c r="C278" s="442" t="s">
        <v>1313</v>
      </c>
      <c r="D278" s="1917">
        <f ca="1">D281*(1-D280/100)</f>
        <v>5900.9260017033466</v>
      </c>
      <c r="E278" s="337" t="s">
        <v>622</v>
      </c>
      <c r="F278" s="573"/>
      <c r="G278" s="1924"/>
      <c r="H278" s="1917"/>
      <c r="I278" s="1917"/>
      <c r="J278" s="1917"/>
      <c r="K278" s="1917"/>
      <c r="L278" s="1917"/>
      <c r="M278" s="1917"/>
      <c r="N278" s="1917"/>
      <c r="O278" s="1917"/>
      <c r="P278" s="1917"/>
      <c r="Q278" s="1969"/>
      <c r="R278" s="1917"/>
      <c r="S278" s="1917"/>
      <c r="T278" s="1917"/>
      <c r="U278" s="1917"/>
      <c r="V278" s="1917"/>
      <c r="W278" s="346"/>
    </row>
    <row r="279" spans="1:23" ht="15" x14ac:dyDescent="0.2">
      <c r="A279" s="436"/>
      <c r="B279" s="345"/>
      <c r="C279" s="442" t="s">
        <v>1314</v>
      </c>
      <c r="D279" s="1917">
        <f ca="1">D281*(D280/100)</f>
        <v>1313.5679428605472</v>
      </c>
      <c r="E279" s="337" t="s">
        <v>622</v>
      </c>
      <c r="F279" s="1917"/>
      <c r="G279" s="1917"/>
      <c r="H279" s="1917"/>
      <c r="I279" s="1917"/>
      <c r="J279" s="1917"/>
      <c r="K279" s="1917"/>
      <c r="L279" s="1917"/>
      <c r="M279" s="1917"/>
      <c r="N279" s="1917"/>
      <c r="O279" s="1917"/>
      <c r="P279" s="1917"/>
      <c r="Q279" s="1969"/>
      <c r="R279" s="1917"/>
      <c r="S279" s="1917"/>
      <c r="T279" s="1917"/>
      <c r="U279" s="1917"/>
      <c r="V279" s="1917"/>
      <c r="W279" s="346"/>
    </row>
    <row r="280" spans="1:23" x14ac:dyDescent="0.2">
      <c r="A280" s="436"/>
      <c r="B280" s="345"/>
      <c r="C280" s="442" t="s">
        <v>375</v>
      </c>
      <c r="D280" s="913">
        <f>Constants!N375</f>
        <v>18.207346945662319</v>
      </c>
      <c r="E280" s="337" t="s">
        <v>579</v>
      </c>
      <c r="F280" s="1917"/>
      <c r="G280" s="1917"/>
      <c r="H280" s="1917"/>
      <c r="I280" s="1917"/>
      <c r="J280" s="1917"/>
      <c r="K280" s="1917"/>
      <c r="L280" s="1917"/>
      <c r="M280" s="1917"/>
      <c r="N280" s="1917"/>
      <c r="O280" s="1917"/>
      <c r="P280" s="1917"/>
      <c r="Q280" s="1969"/>
      <c r="R280" s="1917"/>
      <c r="S280" s="1917"/>
      <c r="T280" s="1917"/>
      <c r="U280" s="1917"/>
      <c r="V280" s="1917"/>
      <c r="W280" s="346"/>
    </row>
    <row r="281" spans="1:23" x14ac:dyDescent="0.2">
      <c r="A281" s="436"/>
      <c r="B281" s="345"/>
      <c r="C281" s="442" t="s">
        <v>385</v>
      </c>
      <c r="D281" s="1917">
        <f ca="1">E258*H272</f>
        <v>7214.4939445638938</v>
      </c>
      <c r="E281" s="337" t="s">
        <v>622</v>
      </c>
      <c r="F281" s="1917"/>
      <c r="G281" s="1917"/>
      <c r="H281" s="1917"/>
      <c r="I281" s="1917"/>
      <c r="J281" s="1917"/>
      <c r="K281" s="1917"/>
      <c r="L281" s="1917"/>
      <c r="M281" s="1917"/>
      <c r="N281" s="1917"/>
      <c r="O281" s="1917"/>
      <c r="P281" s="1917"/>
      <c r="Q281" s="1969"/>
      <c r="R281" s="1917"/>
      <c r="S281" s="1917"/>
      <c r="T281" s="1917"/>
      <c r="U281" s="1917"/>
      <c r="V281" s="1917"/>
      <c r="W281" s="346"/>
    </row>
    <row r="282" spans="1:23" x14ac:dyDescent="0.2">
      <c r="A282" s="436"/>
      <c r="B282" s="345"/>
      <c r="C282" s="442" t="s">
        <v>384</v>
      </c>
      <c r="D282" s="1917">
        <f ca="1">D268+D270</f>
        <v>2482.4508007779295</v>
      </c>
      <c r="E282" s="337" t="s">
        <v>622</v>
      </c>
      <c r="F282" s="1917"/>
      <c r="G282" s="1917"/>
      <c r="H282" s="1917"/>
      <c r="I282" s="1917"/>
      <c r="J282" s="1917"/>
      <c r="K282" s="1917"/>
      <c r="L282" s="1917"/>
      <c r="M282" s="1917"/>
      <c r="N282" s="1917"/>
      <c r="O282" s="1917"/>
      <c r="P282" s="1917"/>
      <c r="Q282" s="1969"/>
      <c r="R282" s="1917"/>
      <c r="S282" s="1917"/>
      <c r="T282" s="1917"/>
      <c r="U282" s="1917"/>
      <c r="V282" s="1917"/>
      <c r="W282" s="346"/>
    </row>
    <row r="283" spans="1:23" x14ac:dyDescent="0.2">
      <c r="A283" s="436"/>
      <c r="B283" s="345"/>
      <c r="C283" s="451" t="s">
        <v>1780</v>
      </c>
      <c r="D283" s="333">
        <f ca="1">D269+D270+D277+D279+D272</f>
        <v>15218.271221719764</v>
      </c>
      <c r="E283" s="385" t="s">
        <v>622</v>
      </c>
      <c r="F283" s="1917"/>
      <c r="G283" s="1917"/>
      <c r="H283" s="1917"/>
      <c r="I283" s="1917"/>
      <c r="J283" s="1917"/>
      <c r="K283" s="1917"/>
      <c r="L283" s="1917"/>
      <c r="M283" s="1917"/>
      <c r="N283" s="1917"/>
      <c r="O283" s="1917"/>
      <c r="P283" s="1917"/>
      <c r="Q283" s="1969"/>
      <c r="R283" s="1917"/>
      <c r="S283" s="1917"/>
      <c r="T283" s="1917"/>
      <c r="U283" s="1917"/>
      <c r="V283" s="1917"/>
      <c r="W283" s="346"/>
    </row>
    <row r="284" spans="1:23" x14ac:dyDescent="0.2">
      <c r="A284" s="436"/>
      <c r="B284" s="345"/>
      <c r="C284" s="441" t="s">
        <v>635</v>
      </c>
      <c r="D284" s="913">
        <f ca="1">Constants!H74</f>
        <v>161.0264731376526</v>
      </c>
      <c r="E284" s="369" t="s">
        <v>637</v>
      </c>
      <c r="F284" s="1917"/>
      <c r="G284" s="1917"/>
      <c r="H284" s="1917"/>
      <c r="I284" s="1917"/>
      <c r="J284" s="1917"/>
      <c r="K284" s="1917"/>
      <c r="L284" s="1917"/>
      <c r="M284" s="1917"/>
      <c r="N284" s="1917"/>
      <c r="O284" s="1917"/>
      <c r="P284" s="1917"/>
      <c r="Q284" s="1969"/>
      <c r="R284" s="1917"/>
      <c r="S284" s="1917"/>
      <c r="T284" s="1917"/>
      <c r="U284" s="1917"/>
      <c r="V284" s="1917"/>
      <c r="W284" s="346"/>
    </row>
    <row r="285" spans="1:23" x14ac:dyDescent="0.2">
      <c r="A285" s="436"/>
      <c r="B285" s="345"/>
      <c r="C285" s="442" t="s">
        <v>634</v>
      </c>
      <c r="D285" s="1917">
        <f ca="1">D284*'Energy &amp; Unit Conversions'!G82/'Energy &amp; Unit Conversions'!G80</f>
        <v>27.133800305602612</v>
      </c>
      <c r="E285" s="337" t="s">
        <v>636</v>
      </c>
      <c r="F285" s="1917"/>
      <c r="G285" s="1917"/>
      <c r="H285" s="1917"/>
      <c r="I285" s="1917"/>
      <c r="J285" s="1917"/>
      <c r="K285" s="1917"/>
      <c r="L285" s="1917"/>
      <c r="M285" s="1917"/>
      <c r="N285" s="1917"/>
      <c r="O285" s="1917"/>
      <c r="P285" s="1917"/>
      <c r="Q285" s="1969"/>
      <c r="R285" s="1917"/>
      <c r="S285" s="1917"/>
      <c r="T285" s="1917"/>
      <c r="U285" s="1917"/>
      <c r="V285" s="1917"/>
      <c r="W285" s="346"/>
    </row>
    <row r="286" spans="1:23" x14ac:dyDescent="0.2">
      <c r="A286" s="436"/>
      <c r="B286" s="345"/>
      <c r="C286" s="442" t="s">
        <v>542</v>
      </c>
      <c r="D286" s="1917">
        <f ca="1">D284*E256/1000</f>
        <v>4329.2624041539148</v>
      </c>
      <c r="E286" s="337" t="s">
        <v>472</v>
      </c>
      <c r="F286" s="1917"/>
      <c r="G286" s="1917"/>
      <c r="H286" s="1917"/>
      <c r="I286" s="1917"/>
      <c r="J286" s="1917"/>
      <c r="K286" s="1917"/>
      <c r="L286" s="1917"/>
      <c r="M286" s="1917"/>
      <c r="N286" s="1917"/>
      <c r="O286" s="1917"/>
      <c r="P286" s="1917"/>
      <c r="Q286" s="1969"/>
      <c r="R286" s="1917"/>
      <c r="S286" s="1917"/>
      <c r="T286" s="1917"/>
      <c r="U286" s="1917"/>
      <c r="V286" s="1917"/>
      <c r="W286" s="346"/>
    </row>
    <row r="287" spans="1:23" x14ac:dyDescent="0.2">
      <c r="A287" s="436"/>
      <c r="B287" s="345"/>
      <c r="C287" s="442" t="s">
        <v>542</v>
      </c>
      <c r="D287" s="1917">
        <f ca="1">D285*E257</f>
        <v>115981.75803695824</v>
      </c>
      <c r="E287" s="337" t="s">
        <v>628</v>
      </c>
      <c r="F287" s="1917"/>
      <c r="G287" s="1917"/>
      <c r="H287" s="1917"/>
      <c r="I287" s="1917"/>
      <c r="J287" s="1917"/>
      <c r="K287" s="1917"/>
      <c r="L287" s="1917"/>
      <c r="M287" s="1917"/>
      <c r="N287" s="1917"/>
      <c r="O287" s="1917"/>
      <c r="P287" s="1917"/>
      <c r="Q287" s="1969"/>
      <c r="R287" s="1917"/>
      <c r="S287" s="1917"/>
      <c r="T287" s="1917"/>
      <c r="U287" s="1917"/>
      <c r="V287" s="1917"/>
      <c r="W287" s="346"/>
    </row>
    <row r="288" spans="1:23" x14ac:dyDescent="0.2">
      <c r="A288" s="436"/>
      <c r="B288" s="345"/>
      <c r="C288" s="443" t="s">
        <v>631</v>
      </c>
      <c r="D288" s="334">
        <f ca="1">D287*'Energy &amp; Unit Conversions'!P25*'Energy &amp; Unit Conversions'!G87</f>
        <v>49.165444901806389</v>
      </c>
      <c r="E288" s="338" t="s">
        <v>632</v>
      </c>
      <c r="F288" s="1917"/>
      <c r="G288" s="1917"/>
      <c r="H288" s="1917"/>
      <c r="I288" s="1917"/>
      <c r="J288" s="1917"/>
      <c r="K288" s="1917"/>
      <c r="L288" s="1917"/>
      <c r="M288" s="1917"/>
      <c r="N288" s="1917"/>
      <c r="O288" s="1917"/>
      <c r="P288" s="1917"/>
      <c r="Q288" s="1969"/>
      <c r="R288" s="1917"/>
      <c r="S288" s="1917"/>
      <c r="T288" s="1917"/>
      <c r="U288" s="1917"/>
      <c r="V288" s="1917"/>
      <c r="W288" s="346"/>
    </row>
    <row r="289" spans="1:23" x14ac:dyDescent="0.2">
      <c r="A289" s="436"/>
      <c r="B289" s="345"/>
      <c r="C289" s="441" t="s">
        <v>451</v>
      </c>
      <c r="D289" s="913">
        <f ca="1">Constants!H75</f>
        <v>3</v>
      </c>
      <c r="E289" s="369" t="s">
        <v>665</v>
      </c>
      <c r="F289" s="1917"/>
      <c r="G289" s="1917"/>
      <c r="H289" s="1917"/>
      <c r="I289" s="1917"/>
      <c r="J289" s="1917"/>
      <c r="K289" s="1917"/>
      <c r="L289" s="1917"/>
      <c r="M289" s="1917"/>
      <c r="N289" s="1917"/>
      <c r="O289" s="1917"/>
      <c r="P289" s="1917"/>
      <c r="Q289" s="1969"/>
      <c r="R289" s="1917"/>
      <c r="S289" s="1917"/>
      <c r="T289" s="1917"/>
      <c r="U289" s="1917"/>
      <c r="V289" s="1917"/>
      <c r="W289" s="346"/>
    </row>
    <row r="290" spans="1:23" x14ac:dyDescent="0.2">
      <c r="A290" s="436"/>
      <c r="B290" s="345"/>
      <c r="C290" s="442" t="s">
        <v>451</v>
      </c>
      <c r="D290" s="1917">
        <f ca="1">D289/'Energy &amp; Unit Conversions'!G80</f>
        <v>18.869431709325209</v>
      </c>
      <c r="E290" s="337" t="s">
        <v>629</v>
      </c>
      <c r="F290" s="1917"/>
      <c r="G290" s="1917"/>
      <c r="H290" s="1917"/>
      <c r="I290" s="1917"/>
      <c r="J290" s="1917"/>
      <c r="K290" s="1917"/>
      <c r="L290" s="1917"/>
      <c r="M290" s="1917"/>
      <c r="N290" s="1917"/>
      <c r="O290" s="1917"/>
      <c r="P290" s="1917"/>
      <c r="Q290" s="1969"/>
      <c r="R290" s="1917"/>
      <c r="S290" s="1917"/>
      <c r="T290" s="1917"/>
      <c r="U290" s="1917"/>
      <c r="V290" s="1917"/>
      <c r="W290" s="346"/>
    </row>
    <row r="291" spans="1:23" x14ac:dyDescent="0.2">
      <c r="A291" s="436"/>
      <c r="B291" s="345"/>
      <c r="C291" s="451" t="s">
        <v>452</v>
      </c>
      <c r="D291" s="336">
        <f ca="1">E257*D290</f>
        <v>80656.223535115292</v>
      </c>
      <c r="E291" s="367" t="s">
        <v>627</v>
      </c>
      <c r="F291" s="1917"/>
      <c r="G291" s="1917"/>
      <c r="H291" s="1917"/>
      <c r="I291" s="1917"/>
      <c r="J291" s="1917"/>
      <c r="K291" s="1917"/>
      <c r="L291" s="1917"/>
      <c r="M291" s="1917"/>
      <c r="N291" s="1917"/>
      <c r="O291" s="1917"/>
      <c r="P291" s="1917"/>
      <c r="Q291" s="1969"/>
      <c r="R291" s="1917"/>
      <c r="S291" s="1917"/>
      <c r="T291" s="1917"/>
      <c r="U291" s="1917"/>
      <c r="V291" s="1917"/>
      <c r="W291" s="346"/>
    </row>
    <row r="292" spans="1:23" x14ac:dyDescent="0.2">
      <c r="A292" s="436"/>
      <c r="B292" s="345"/>
      <c r="C292" s="442" t="s">
        <v>485</v>
      </c>
      <c r="D292" s="913">
        <f ca="1">Constants!H77</f>
        <v>8</v>
      </c>
      <c r="E292" s="337" t="s">
        <v>496</v>
      </c>
      <c r="F292" s="1917"/>
      <c r="G292" s="1917"/>
      <c r="H292" s="1917"/>
      <c r="I292" s="1917"/>
      <c r="J292" s="1917"/>
      <c r="K292" s="1917"/>
      <c r="L292" s="1917"/>
      <c r="M292" s="1917"/>
      <c r="N292" s="1917"/>
      <c r="O292" s="1917"/>
      <c r="P292" s="1917"/>
      <c r="Q292" s="1969"/>
      <c r="R292" s="1917"/>
      <c r="S292" s="1917"/>
      <c r="T292" s="1917"/>
      <c r="U292" s="1917"/>
      <c r="V292" s="1917"/>
      <c r="W292" s="346"/>
    </row>
    <row r="293" spans="1:23" x14ac:dyDescent="0.2">
      <c r="A293" s="436"/>
      <c r="B293" s="345"/>
      <c r="C293" s="442" t="s">
        <v>485</v>
      </c>
      <c r="D293" s="1917">
        <f ca="1">D292*'Energy &amp; Unit Conversions'!G79/'Energy &amp; Unit Conversions'!G80</f>
        <v>22.824080665562597</v>
      </c>
      <c r="E293" s="337" t="s">
        <v>581</v>
      </c>
      <c r="F293" s="1917"/>
      <c r="G293" s="1917"/>
      <c r="H293" s="1917"/>
      <c r="I293" s="1917"/>
      <c r="J293" s="1917"/>
      <c r="K293" s="1917"/>
      <c r="L293" s="1917"/>
      <c r="M293" s="1917"/>
      <c r="N293" s="1917"/>
      <c r="O293" s="1917"/>
      <c r="P293" s="1917"/>
      <c r="Q293" s="1969"/>
      <c r="R293" s="1917"/>
      <c r="S293" s="1917"/>
      <c r="T293" s="1917"/>
      <c r="U293" s="1917"/>
      <c r="V293" s="1917"/>
      <c r="W293" s="346"/>
    </row>
    <row r="294" spans="1:23" x14ac:dyDescent="0.2">
      <c r="A294" s="436"/>
      <c r="B294" s="345"/>
      <c r="C294" s="451" t="s">
        <v>485</v>
      </c>
      <c r="D294" s="336">
        <f ca="1">D293*E257</f>
        <v>97560.126902780612</v>
      </c>
      <c r="E294" s="367" t="s">
        <v>622</v>
      </c>
      <c r="F294" s="1917"/>
      <c r="G294" s="1917"/>
      <c r="H294" s="1917"/>
      <c r="I294" s="1917"/>
      <c r="J294" s="1917"/>
      <c r="K294" s="1917"/>
      <c r="L294" s="1917"/>
      <c r="M294" s="1917"/>
      <c r="N294" s="1917"/>
      <c r="O294" s="1917"/>
      <c r="P294" s="1917"/>
      <c r="Q294" s="1969"/>
      <c r="R294" s="1917"/>
      <c r="S294" s="1917"/>
      <c r="T294" s="1917"/>
      <c r="U294" s="1917"/>
      <c r="V294" s="1917"/>
      <c r="W294" s="346"/>
    </row>
    <row r="295" spans="1:23" x14ac:dyDescent="0.2">
      <c r="A295" s="436"/>
      <c r="B295" s="345"/>
      <c r="C295" s="437"/>
      <c r="D295" s="1917"/>
      <c r="E295" s="1917"/>
      <c r="F295" s="1917"/>
      <c r="G295" s="1917"/>
      <c r="H295" s="1917"/>
      <c r="I295" s="1917"/>
      <c r="J295" s="1917"/>
      <c r="K295" s="1917"/>
      <c r="L295" s="1917"/>
      <c r="M295" s="1917"/>
      <c r="N295" s="1917"/>
      <c r="O295" s="1917"/>
      <c r="P295" s="1917"/>
      <c r="Q295" s="1969"/>
      <c r="R295" s="1917"/>
      <c r="S295" s="1917"/>
      <c r="T295" s="1917"/>
      <c r="U295" s="1917"/>
      <c r="V295" s="1917"/>
      <c r="W295" s="346"/>
    </row>
    <row r="296" spans="1:23" ht="26.25" x14ac:dyDescent="0.2">
      <c r="A296" s="436"/>
      <c r="B296" s="347"/>
      <c r="C296" s="438" t="s">
        <v>720</v>
      </c>
      <c r="D296" s="348"/>
      <c r="E296" s="1917"/>
      <c r="F296" s="1917"/>
      <c r="G296" s="1917"/>
      <c r="H296" s="1917"/>
      <c r="I296" s="1917"/>
      <c r="J296" s="1917"/>
      <c r="K296" s="1917"/>
      <c r="L296" s="1917"/>
      <c r="M296" s="1917"/>
      <c r="N296" s="1917"/>
      <c r="O296" s="1917"/>
      <c r="P296" s="1917"/>
      <c r="Q296" s="1969"/>
      <c r="R296" s="1917"/>
      <c r="S296" s="1917"/>
      <c r="T296" s="1917"/>
      <c r="U296" s="1917"/>
      <c r="V296" s="1917"/>
      <c r="W296" s="346"/>
    </row>
    <row r="297" spans="1:23" x14ac:dyDescent="0.2">
      <c r="A297" s="436"/>
      <c r="B297" s="345"/>
      <c r="C297" s="437"/>
      <c r="D297" s="1917"/>
      <c r="E297" s="1917"/>
      <c r="F297" s="1917"/>
      <c r="G297" s="1917"/>
      <c r="H297" s="1917"/>
      <c r="I297" s="1917"/>
      <c r="J297" s="1917"/>
      <c r="K297" s="1917"/>
      <c r="L297" s="1917"/>
      <c r="M297" s="1917"/>
      <c r="N297" s="1917"/>
      <c r="O297" s="1917"/>
      <c r="P297" s="1917"/>
      <c r="Q297" s="1969"/>
      <c r="R297" s="1917"/>
      <c r="S297" s="1917"/>
      <c r="T297" s="1917"/>
      <c r="U297" s="1917"/>
      <c r="V297" s="1917"/>
      <c r="W297" s="346"/>
    </row>
    <row r="298" spans="1:23" x14ac:dyDescent="0.2">
      <c r="A298" s="436"/>
      <c r="B298" s="345"/>
      <c r="C298" s="440" t="s">
        <v>1309</v>
      </c>
      <c r="D298" s="1917"/>
      <c r="E298" s="1910"/>
      <c r="F298" s="1917"/>
      <c r="G298" s="1917"/>
      <c r="H298" s="350" t="s">
        <v>1303</v>
      </c>
      <c r="I298" s="360"/>
      <c r="J298" s="426"/>
      <c r="K298" s="1917"/>
      <c r="L298" s="1917"/>
      <c r="M298" s="1917"/>
      <c r="N298" s="1917"/>
      <c r="O298" s="1917"/>
      <c r="P298" s="1917"/>
      <c r="Q298" s="1969"/>
      <c r="R298" s="1917"/>
      <c r="S298" s="1917"/>
      <c r="T298" s="1917"/>
      <c r="U298" s="1917"/>
      <c r="V298" s="1917"/>
      <c r="W298" s="346"/>
    </row>
    <row r="299" spans="1:23" x14ac:dyDescent="0.2">
      <c r="A299" s="436"/>
      <c r="B299" s="345"/>
      <c r="C299" s="441" t="s">
        <v>568</v>
      </c>
      <c r="D299" s="1918" t="s">
        <v>623</v>
      </c>
      <c r="E299" s="1918" t="str">
        <f>CokingRefineryCalcs!G255</f>
        <v>Output</v>
      </c>
      <c r="F299" s="357" t="s">
        <v>521</v>
      </c>
      <c r="G299" s="1911"/>
      <c r="H299" s="353"/>
      <c r="I299" s="1918" t="s">
        <v>624</v>
      </c>
      <c r="J299" s="1919" t="s">
        <v>623</v>
      </c>
      <c r="K299" s="1917"/>
      <c r="L299" s="1917"/>
      <c r="M299" s="1917"/>
      <c r="N299" s="1917"/>
      <c r="O299" s="1917"/>
      <c r="P299" s="1917"/>
      <c r="Q299" s="1969"/>
      <c r="R299" s="1917"/>
      <c r="S299" s="1917"/>
      <c r="T299" s="1917"/>
      <c r="U299" s="1917"/>
      <c r="V299" s="1917"/>
      <c r="W299" s="346"/>
    </row>
    <row r="300" spans="1:23" x14ac:dyDescent="0.2">
      <c r="A300" s="436"/>
      <c r="B300" s="345"/>
      <c r="C300" s="442" t="s">
        <v>582</v>
      </c>
      <c r="D300" s="1917" t="s">
        <v>566</v>
      </c>
      <c r="E300" s="1917">
        <f ca="1">CokingRefineryCalcs!G256</f>
        <v>27711.741788300664</v>
      </c>
      <c r="F300" s="337">
        <f ca="1">F301/'Energy &amp; Unit Conversions'!G80</f>
        <v>28123.302309909086</v>
      </c>
      <c r="G300" s="1917"/>
      <c r="H300" s="355" t="s">
        <v>451</v>
      </c>
      <c r="I300" s="913">
        <f>Constants!H182</f>
        <v>0.1</v>
      </c>
      <c r="J300" s="337" t="s">
        <v>665</v>
      </c>
      <c r="K300" s="1917"/>
      <c r="L300" s="1917"/>
      <c r="M300" s="1917"/>
      <c r="N300" s="1917"/>
      <c r="O300" s="1917"/>
      <c r="P300" s="1917"/>
      <c r="Q300" s="1969"/>
      <c r="R300" s="1917"/>
      <c r="S300" s="1917"/>
      <c r="T300" s="1917"/>
      <c r="U300" s="1917"/>
      <c r="V300" s="1917"/>
      <c r="W300" s="346"/>
    </row>
    <row r="301" spans="1:23" x14ac:dyDescent="0.2">
      <c r="A301" s="436"/>
      <c r="B301" s="345"/>
      <c r="C301" s="442" t="s">
        <v>582</v>
      </c>
      <c r="D301" s="1917" t="s">
        <v>628</v>
      </c>
      <c r="E301" s="1917">
        <f ca="1">CokingRefineryCalcs!G257</f>
        <v>4405.815005219094</v>
      </c>
      <c r="F301" s="337">
        <f ca="1">F302/F305</f>
        <v>4471.247901336209</v>
      </c>
      <c r="G301" s="1917"/>
      <c r="H301" s="355" t="s">
        <v>451</v>
      </c>
      <c r="I301" s="1917">
        <f>I300/'Energy &amp; Unit Conversions'!G80</f>
        <v>0.62898105697750706</v>
      </c>
      <c r="J301" s="337" t="s">
        <v>629</v>
      </c>
      <c r="K301" s="1917"/>
      <c r="L301" s="1917"/>
      <c r="M301" s="1917"/>
      <c r="N301" s="1917"/>
      <c r="O301" s="1917"/>
      <c r="P301" s="1917"/>
      <c r="Q301" s="1969"/>
      <c r="R301" s="1917"/>
      <c r="S301" s="1917"/>
      <c r="T301" s="1917"/>
      <c r="U301" s="1917"/>
      <c r="V301" s="1917"/>
      <c r="W301" s="346"/>
    </row>
    <row r="302" spans="1:23" x14ac:dyDescent="0.2">
      <c r="A302" s="436"/>
      <c r="B302" s="345"/>
      <c r="C302" s="442" t="s">
        <v>620</v>
      </c>
      <c r="D302" s="1917" t="s">
        <v>622</v>
      </c>
      <c r="E302" s="1917">
        <f ca="1">CokingRefineryCalcs!G258</f>
        <v>3612768.3042796571</v>
      </c>
      <c r="F302" s="337">
        <f ca="1">E302</f>
        <v>3612768.3042796571</v>
      </c>
      <c r="G302" s="1917"/>
      <c r="H302" s="366" t="s">
        <v>452</v>
      </c>
      <c r="I302" s="333">
        <f ca="1">I301*E301</f>
        <v>2771.1741788300665</v>
      </c>
      <c r="J302" s="385" t="s">
        <v>627</v>
      </c>
      <c r="K302" s="1917"/>
      <c r="L302" s="1917"/>
      <c r="M302" s="1917"/>
      <c r="N302" s="1917"/>
      <c r="O302" s="1917"/>
      <c r="P302" s="1917"/>
      <c r="Q302" s="1969"/>
      <c r="R302" s="1917"/>
      <c r="S302" s="1917"/>
      <c r="T302" s="1917"/>
      <c r="U302" s="1917"/>
      <c r="V302" s="1917"/>
      <c r="W302" s="346"/>
    </row>
    <row r="303" spans="1:23" x14ac:dyDescent="0.2">
      <c r="A303" s="436"/>
      <c r="B303" s="345"/>
      <c r="C303" s="442" t="s">
        <v>578</v>
      </c>
      <c r="D303" s="1917" t="s">
        <v>579</v>
      </c>
      <c r="E303" s="1917">
        <f>CokingRefineryCalcs!G259</f>
        <v>1E-4</v>
      </c>
      <c r="F303" s="337">
        <f>E303</f>
        <v>1E-4</v>
      </c>
      <c r="G303" s="1917"/>
      <c r="H303" s="1917"/>
      <c r="I303" s="1917"/>
      <c r="J303" s="1917"/>
      <c r="K303" s="1917"/>
      <c r="L303" s="1917"/>
      <c r="M303" s="1917"/>
      <c r="N303" s="1917"/>
      <c r="O303" s="1917"/>
      <c r="P303" s="1917"/>
      <c r="Q303" s="1969"/>
      <c r="R303" s="1917"/>
      <c r="S303" s="1917"/>
      <c r="T303" s="1917"/>
      <c r="U303" s="1917"/>
      <c r="V303" s="1917"/>
      <c r="W303" s="346"/>
    </row>
    <row r="304" spans="1:23" x14ac:dyDescent="0.2">
      <c r="A304" s="436"/>
      <c r="B304" s="345"/>
      <c r="C304" s="442" t="s">
        <v>567</v>
      </c>
      <c r="D304" s="1917"/>
      <c r="E304" s="1917">
        <f>CokingRefineryCalcs!G261</f>
        <v>41.060975609756099</v>
      </c>
      <c r="F304" s="337">
        <f>141.5/(F305/1000)-131.5</f>
        <v>43.623762376237607</v>
      </c>
      <c r="G304" s="1917"/>
      <c r="H304" s="1917"/>
      <c r="I304" s="1917"/>
      <c r="J304" s="1917"/>
      <c r="K304" s="1917"/>
      <c r="L304" s="1917"/>
      <c r="M304" s="1917"/>
      <c r="N304" s="1917"/>
      <c r="O304" s="1917"/>
      <c r="P304" s="1917"/>
      <c r="Q304" s="1969"/>
      <c r="R304" s="1917"/>
      <c r="S304" s="1917"/>
      <c r="T304" s="1917"/>
      <c r="U304" s="1917"/>
      <c r="V304" s="1917"/>
      <c r="W304" s="346"/>
    </row>
    <row r="305" spans="1:23" x14ac:dyDescent="0.2">
      <c r="A305" s="436"/>
      <c r="B305" s="345"/>
      <c r="C305" s="442" t="s">
        <v>580</v>
      </c>
      <c r="D305" s="1917" t="s">
        <v>581</v>
      </c>
      <c r="E305" s="1917">
        <f>CokingRefineryCalcs!G262</f>
        <v>820</v>
      </c>
      <c r="F305" s="923">
        <v>808</v>
      </c>
      <c r="G305" s="1917"/>
      <c r="H305" s="1917"/>
      <c r="I305" s="1917"/>
      <c r="J305" s="1917"/>
      <c r="K305" s="1917"/>
      <c r="L305" s="1917"/>
      <c r="M305" s="1917"/>
      <c r="N305" s="1917"/>
      <c r="O305" s="1917"/>
      <c r="P305" s="1917"/>
      <c r="Q305" s="1969"/>
      <c r="R305" s="1917"/>
      <c r="S305" s="1917"/>
      <c r="T305" s="1917"/>
      <c r="U305" s="1917"/>
      <c r="V305" s="1917"/>
      <c r="W305" s="346"/>
    </row>
    <row r="306" spans="1:23" x14ac:dyDescent="0.2">
      <c r="A306" s="436"/>
      <c r="B306" s="345"/>
      <c r="C306" s="442" t="s">
        <v>621</v>
      </c>
      <c r="D306" s="1917" t="s">
        <v>579</v>
      </c>
      <c r="E306" s="1917">
        <f ca="1">CokingRefineryCalcs!G263</f>
        <v>12.999999999999</v>
      </c>
      <c r="F306" s="923">
        <v>13.8</v>
      </c>
      <c r="G306" s="1917"/>
      <c r="H306" s="1917"/>
      <c r="I306" s="1917"/>
      <c r="J306" s="1917"/>
      <c r="K306" s="1917"/>
      <c r="L306" s="1917"/>
      <c r="M306" s="1917"/>
      <c r="N306" s="1917"/>
      <c r="O306" s="1917"/>
      <c r="P306" s="1917"/>
      <c r="Q306" s="1969"/>
      <c r="R306" s="1917"/>
      <c r="S306" s="1917"/>
      <c r="T306" s="1917"/>
      <c r="U306" s="1917"/>
      <c r="V306" s="1917"/>
      <c r="W306" s="346"/>
    </row>
    <row r="307" spans="1:23" x14ac:dyDescent="0.2">
      <c r="A307" s="436"/>
      <c r="B307" s="345"/>
      <c r="C307" s="442" t="s">
        <v>544</v>
      </c>
      <c r="D307" s="1917" t="s">
        <v>579</v>
      </c>
      <c r="E307" s="1917">
        <f ca="1">TempSheet!G4</f>
        <v>12.67095046309065</v>
      </c>
      <c r="F307" s="337" t="str">
        <f ca="1">CokingRefineryCalcs!G548</f>
        <v/>
      </c>
      <c r="G307" s="1917"/>
      <c r="H307" s="1917"/>
      <c r="I307" s="1917"/>
      <c r="J307" s="1917"/>
      <c r="K307" s="1917"/>
      <c r="L307" s="1917"/>
      <c r="M307" s="1917"/>
      <c r="N307" s="1917"/>
      <c r="O307" s="1917"/>
      <c r="P307" s="1917"/>
      <c r="Q307" s="1969"/>
      <c r="R307" s="1917"/>
      <c r="S307" s="1917"/>
      <c r="T307" s="1917"/>
      <c r="U307" s="1917"/>
      <c r="V307" s="1917"/>
      <c r="W307" s="346"/>
    </row>
    <row r="308" spans="1:23" x14ac:dyDescent="0.2">
      <c r="A308" s="436"/>
      <c r="B308" s="345"/>
      <c r="C308" s="443" t="s">
        <v>621</v>
      </c>
      <c r="D308" s="334" t="s">
        <v>622</v>
      </c>
      <c r="E308" s="334">
        <f ca="1">E302*E306/100</f>
        <v>469659.87955631927</v>
      </c>
      <c r="F308" s="338">
        <f ca="1">F302*F306/100</f>
        <v>498562.02599059267</v>
      </c>
      <c r="G308" s="1917"/>
      <c r="H308" s="1917"/>
      <c r="I308" s="1917"/>
      <c r="J308" s="1917"/>
      <c r="K308" s="1917"/>
      <c r="L308" s="1917"/>
      <c r="M308" s="1917"/>
      <c r="N308" s="1917"/>
      <c r="O308" s="1917"/>
      <c r="P308" s="1917"/>
      <c r="Q308" s="1969"/>
      <c r="R308" s="1917"/>
      <c r="S308" s="1917"/>
      <c r="T308" s="1917"/>
      <c r="U308" s="1917"/>
      <c r="V308" s="1917"/>
      <c r="W308" s="346"/>
    </row>
    <row r="309" spans="1:23" x14ac:dyDescent="0.2">
      <c r="A309" s="436"/>
      <c r="B309" s="345"/>
      <c r="C309" s="437"/>
      <c r="D309" s="1917"/>
      <c r="E309" s="1917"/>
      <c r="F309" s="1917"/>
      <c r="G309" s="1917"/>
      <c r="H309" s="1917"/>
      <c r="I309" s="1917"/>
      <c r="J309" s="1917"/>
      <c r="K309" s="1917"/>
      <c r="L309" s="1917"/>
      <c r="M309" s="1917"/>
      <c r="N309" s="1917"/>
      <c r="O309" s="1917"/>
      <c r="P309" s="1917"/>
      <c r="Q309" s="1969"/>
      <c r="R309" s="1917"/>
      <c r="S309" s="1917"/>
      <c r="T309" s="1917"/>
      <c r="U309" s="1917"/>
      <c r="V309" s="1917"/>
      <c r="W309" s="346"/>
    </row>
    <row r="310" spans="1:23" ht="26.25" x14ac:dyDescent="0.2">
      <c r="A310" s="436"/>
      <c r="B310" s="347"/>
      <c r="C310" s="438" t="s">
        <v>1430</v>
      </c>
      <c r="D310" s="438"/>
      <c r="E310" s="439"/>
      <c r="F310" s="1917"/>
      <c r="G310" s="1917"/>
      <c r="H310" s="1917"/>
      <c r="I310" s="1917"/>
      <c r="J310" s="1917"/>
      <c r="K310" s="1917"/>
      <c r="L310" s="1917"/>
      <c r="M310" s="1926"/>
      <c r="N310" s="1917"/>
      <c r="O310" s="1917"/>
      <c r="P310" s="1917"/>
      <c r="Q310" s="1969"/>
      <c r="R310" s="1917"/>
      <c r="S310" s="1917"/>
      <c r="T310" s="1917"/>
      <c r="U310" s="1917"/>
      <c r="V310" s="1917"/>
      <c r="W310" s="346"/>
    </row>
    <row r="311" spans="1:23" x14ac:dyDescent="0.2">
      <c r="A311" s="436"/>
      <c r="B311" s="345"/>
      <c r="C311" s="437"/>
      <c r="D311" s="1917"/>
      <c r="E311" s="1917"/>
      <c r="F311" s="1917"/>
      <c r="G311" s="1917"/>
      <c r="H311" s="1917"/>
      <c r="I311" s="1917"/>
      <c r="J311" s="1917"/>
      <c r="K311" s="1917"/>
      <c r="L311" s="1917"/>
      <c r="M311" s="1926"/>
      <c r="N311" s="1917"/>
      <c r="O311" s="1917"/>
      <c r="P311" s="1917"/>
      <c r="Q311" s="1969"/>
      <c r="R311" s="1917"/>
      <c r="S311" s="1917"/>
      <c r="T311" s="1917"/>
      <c r="U311" s="1917"/>
      <c r="V311" s="1917"/>
      <c r="W311" s="346"/>
    </row>
    <row r="312" spans="1:23" x14ac:dyDescent="0.2">
      <c r="A312" s="436"/>
      <c r="B312" s="345"/>
      <c r="C312" s="440" t="s">
        <v>1309</v>
      </c>
      <c r="D312" s="1917"/>
      <c r="E312" s="1910"/>
      <c r="F312" s="1917"/>
      <c r="G312" s="1917"/>
      <c r="H312" s="440" t="s">
        <v>939</v>
      </c>
      <c r="I312" s="360"/>
      <c r="J312" s="360"/>
      <c r="K312" s="1917"/>
      <c r="L312" s="1917"/>
      <c r="M312" s="1926"/>
      <c r="N312" s="1917"/>
      <c r="O312" s="1917"/>
      <c r="P312" s="1917"/>
      <c r="Q312" s="1969"/>
      <c r="R312" s="1917"/>
      <c r="S312" s="1917"/>
      <c r="T312" s="1917"/>
      <c r="U312" s="1917"/>
      <c r="V312" s="1917"/>
      <c r="W312" s="346"/>
    </row>
    <row r="313" spans="1:23" x14ac:dyDescent="0.2">
      <c r="A313" s="436"/>
      <c r="B313" s="345"/>
      <c r="C313" s="467" t="s">
        <v>568</v>
      </c>
      <c r="D313" s="382" t="s">
        <v>623</v>
      </c>
      <c r="E313" s="382" t="str">
        <f>CokingRefineryCalcs!I46</f>
        <v>Straight Run Diesel</v>
      </c>
      <c r="F313" s="402" t="s">
        <v>605</v>
      </c>
      <c r="G313" s="383" t="s">
        <v>475</v>
      </c>
      <c r="H313" s="381" t="s">
        <v>945</v>
      </c>
      <c r="I313" s="382" t="s">
        <v>352</v>
      </c>
      <c r="J313" s="402" t="s">
        <v>489</v>
      </c>
      <c r="K313" s="383" t="s">
        <v>366</v>
      </c>
      <c r="L313" s="1917"/>
      <c r="M313" s="1926"/>
      <c r="N313" s="1917"/>
      <c r="O313" s="1917"/>
      <c r="P313" s="1917"/>
      <c r="Q313" s="1969"/>
      <c r="R313" s="1917"/>
      <c r="S313" s="1917"/>
      <c r="T313" s="1917"/>
      <c r="U313" s="1917"/>
      <c r="V313" s="1917"/>
      <c r="W313" s="346"/>
    </row>
    <row r="314" spans="1:23" x14ac:dyDescent="0.2">
      <c r="A314" s="436"/>
      <c r="B314" s="345"/>
      <c r="C314" s="461" t="str">
        <f t="shared" ref="C314:D322" si="17">C47</f>
        <v>Vol Flow</v>
      </c>
      <c r="D314" s="1917" t="str">
        <f ca="1">D47</f>
        <v>bpd</v>
      </c>
      <c r="E314" s="1917">
        <f ca="1">CokingRefineryCalcs!I47</f>
        <v>12524.817625472946</v>
      </c>
      <c r="F314" s="1917">
        <f ca="1">I753</f>
        <v>4.2535471520813291E-17</v>
      </c>
      <c r="G314" s="339">
        <f ca="1">SUM(E314:F314)</f>
        <v>12524.817625472946</v>
      </c>
      <c r="H314" s="340">
        <f ca="1">H315/'Energy &amp; Unit Conversions'!G80</f>
        <v>13412.605933516299</v>
      </c>
      <c r="I314" s="1917">
        <f ca="1">G470</f>
        <v>6.3917148298864941E-9</v>
      </c>
      <c r="J314" s="1917">
        <f ca="1">SUM(H314:I314)</f>
        <v>13412.605933522691</v>
      </c>
      <c r="K314" s="339"/>
      <c r="L314" s="1917"/>
      <c r="M314" s="1926"/>
      <c r="N314" s="1917"/>
      <c r="O314" s="1917"/>
      <c r="P314" s="1917"/>
      <c r="Q314" s="1969"/>
      <c r="R314" s="1917"/>
      <c r="S314" s="1917"/>
      <c r="T314" s="1917"/>
      <c r="U314" s="1917"/>
      <c r="V314" s="1917"/>
      <c r="W314" s="346"/>
    </row>
    <row r="315" spans="1:23" x14ac:dyDescent="0.2">
      <c r="A315" s="436"/>
      <c r="B315" s="345"/>
      <c r="C315" s="461" t="str">
        <f t="shared" si="17"/>
        <v>Vol Flow</v>
      </c>
      <c r="D315" s="1917" t="str">
        <f ca="1">D48</f>
        <v>m^3/d</v>
      </c>
      <c r="E315" s="1917">
        <f ca="1">CokingRefineryCalcs!I48</f>
        <v>1991.2869372663549</v>
      </c>
      <c r="F315" s="1917">
        <f ca="1">I754</f>
        <v>6.7625997713209992E-18</v>
      </c>
      <c r="G315" s="339">
        <f ca="1">SUM(E315:F315)</f>
        <v>1991.2869372663549</v>
      </c>
      <c r="H315" s="340">
        <f ca="1">H316/H320</f>
        <v>2132.4340033337357</v>
      </c>
      <c r="I315" s="1917">
        <f ca="1">G471</f>
        <v>1.0162014831736131E-9</v>
      </c>
      <c r="J315" s="1917">
        <f ca="1">SUM(H315:I315)</f>
        <v>2132.4340033347521</v>
      </c>
      <c r="K315" s="339"/>
      <c r="L315" s="1917"/>
      <c r="M315" s="1926"/>
      <c r="N315" s="1917"/>
      <c r="O315" s="1917"/>
      <c r="P315" s="1917"/>
      <c r="Q315" s="1969"/>
      <c r="R315" s="1917"/>
      <c r="S315" s="1917"/>
      <c r="T315" s="1917"/>
      <c r="U315" s="1917"/>
      <c r="V315" s="1917"/>
      <c r="W315" s="346"/>
    </row>
    <row r="316" spans="1:23" x14ac:dyDescent="0.2">
      <c r="A316" s="436"/>
      <c r="B316" s="345"/>
      <c r="C316" s="461" t="str">
        <f t="shared" si="17"/>
        <v>Mass Flow</v>
      </c>
      <c r="D316" s="1917" t="str">
        <f t="shared" si="17"/>
        <v>kg/d</v>
      </c>
      <c r="E316" s="1917">
        <f ca="1">CokingRefineryCalcs!I49</f>
        <v>1757731.9563243806</v>
      </c>
      <c r="F316" s="1917">
        <f ca="1">I755</f>
        <v>5.7482098056163516E-15</v>
      </c>
      <c r="G316" s="339">
        <f ca="1">SUM(E316:F316)</f>
        <v>1757731.9563243806</v>
      </c>
      <c r="H316" s="340">
        <f ca="1">D337</f>
        <v>1759258.0527503318</v>
      </c>
      <c r="I316" s="1917">
        <f ca="1">G472</f>
        <v>8.4345446730125368E-7</v>
      </c>
      <c r="J316" s="1917">
        <f ca="1">SUM(H316:I316)</f>
        <v>1759258.0527511754</v>
      </c>
      <c r="K316" s="339">
        <f ca="1">H326</f>
        <v>6337.361175245027</v>
      </c>
      <c r="L316" s="1917"/>
      <c r="M316" s="1926"/>
      <c r="N316" s="1917"/>
      <c r="O316" s="1917"/>
      <c r="P316" s="1917"/>
      <c r="Q316" s="1969"/>
      <c r="R316" s="1917"/>
      <c r="S316" s="1917"/>
      <c r="T316" s="1917"/>
      <c r="U316" s="1917"/>
      <c r="V316" s="1917"/>
      <c r="W316" s="346"/>
    </row>
    <row r="317" spans="1:23" x14ac:dyDescent="0.2">
      <c r="A317" s="436"/>
      <c r="B317" s="345"/>
      <c r="C317" s="461" t="str">
        <f t="shared" si="17"/>
        <v xml:space="preserve">Sulphur </v>
      </c>
      <c r="D317" s="1917" t="str">
        <f t="shared" ref="D317:D322" ca="1" si="18">D50</f>
        <v>wt%</v>
      </c>
      <c r="E317" s="1917">
        <f ca="1">CokingRefineryCalcs!I50</f>
        <v>0.15109831145852037</v>
      </c>
      <c r="F317" s="1917">
        <f ca="1">I756</f>
        <v>0</v>
      </c>
      <c r="G317" s="339">
        <f ca="1">(E316*E317+F316*F317)/G316</f>
        <v>0.15109831145852037</v>
      </c>
      <c r="H317" s="340">
        <f>D326</f>
        <v>0</v>
      </c>
      <c r="I317" s="1917">
        <f ca="1">G473</f>
        <v>4.017723721006432E-6</v>
      </c>
      <c r="J317" s="1917">
        <f ca="1">((H317*H316)+(I317*I316))/J316</f>
        <v>1.9262478381529332E-18</v>
      </c>
      <c r="K317" s="339">
        <f ca="1">H328</f>
        <v>41.908662494216578</v>
      </c>
      <c r="L317" s="1917"/>
      <c r="M317" s="1926"/>
      <c r="N317" s="1917"/>
      <c r="O317" s="1917"/>
      <c r="P317" s="1917"/>
      <c r="Q317" s="1969"/>
      <c r="R317" s="1917"/>
      <c r="S317" s="1917"/>
      <c r="T317" s="1917"/>
      <c r="U317" s="1917"/>
      <c r="V317" s="1917"/>
      <c r="W317" s="346"/>
    </row>
    <row r="318" spans="1:23" x14ac:dyDescent="0.2">
      <c r="A318" s="436"/>
      <c r="B318" s="345"/>
      <c r="C318" s="461" t="str">
        <f t="shared" si="17"/>
        <v xml:space="preserve">Nitrogen </v>
      </c>
      <c r="D318" s="1917" t="str">
        <f t="shared" ca="1" si="18"/>
        <v>mass ppm</v>
      </c>
      <c r="E318" s="1917">
        <f ca="1">CokingRefineryCalcs!I51</f>
        <v>147.76502983481029</v>
      </c>
      <c r="F318" s="1917">
        <f t="shared" ref="F318:F322" si="19">I757</f>
        <v>0</v>
      </c>
      <c r="G318" s="339">
        <f ca="1">(E316*E318+F316*F318)/G316</f>
        <v>147.76502983481029</v>
      </c>
      <c r="H318" s="340">
        <f>D328</f>
        <v>0</v>
      </c>
      <c r="I318" s="1917">
        <f t="shared" ref="I318" si="20">G474</f>
        <v>0</v>
      </c>
      <c r="J318" s="1917">
        <f ca="1">((I316*I318)+(H318*H316))/J316</f>
        <v>0</v>
      </c>
      <c r="K318" s="339"/>
      <c r="L318" s="1917"/>
      <c r="M318" s="1926"/>
      <c r="N318" s="1917"/>
      <c r="O318" s="1917"/>
      <c r="P318" s="1917"/>
      <c r="Q318" s="1969"/>
      <c r="R318" s="1917"/>
      <c r="S318" s="1917"/>
      <c r="T318" s="1917"/>
      <c r="U318" s="1917"/>
      <c r="V318" s="1917"/>
      <c r="W318" s="346"/>
    </row>
    <row r="319" spans="1:23" x14ac:dyDescent="0.2">
      <c r="A319" s="436"/>
      <c r="B319" s="345"/>
      <c r="C319" s="461" t="str">
        <f t="shared" si="17"/>
        <v xml:space="preserve">API gravity </v>
      </c>
      <c r="D319" s="1917" t="str">
        <f t="shared" ca="1" si="18"/>
        <v>oAPI</v>
      </c>
      <c r="E319" s="1917">
        <f ca="1">CokingRefineryCalcs!I52</f>
        <v>28.801518447896115</v>
      </c>
      <c r="F319" s="1917">
        <f ca="1">I758</f>
        <v>34.970588235482325</v>
      </c>
      <c r="G319" s="339">
        <f ca="1">141.5/(G320/1000)-131.5</f>
        <v>28.801518447896115</v>
      </c>
      <c r="H319" s="340">
        <f>141.5/(H320/1000)-131.5</f>
        <v>40.01515151515153</v>
      </c>
      <c r="I319" s="1917">
        <f ca="1">G475</f>
        <v>38.980465091553498</v>
      </c>
      <c r="J319" s="1917">
        <f ca="1">141.5/(J320/1000)-131.5</f>
        <v>40.015151515151047</v>
      </c>
      <c r="K319" s="339"/>
      <c r="L319" s="1917"/>
      <c r="M319" s="1926"/>
      <c r="N319" s="1917"/>
      <c r="O319" s="1917"/>
      <c r="P319" s="1917"/>
      <c r="Q319" s="1969"/>
      <c r="R319" s="1917"/>
      <c r="S319" s="1917"/>
      <c r="T319" s="1917"/>
      <c r="U319" s="1917"/>
      <c r="V319" s="1917"/>
      <c r="W319" s="346"/>
    </row>
    <row r="320" spans="1:23" x14ac:dyDescent="0.2">
      <c r="A320" s="436"/>
      <c r="B320" s="345"/>
      <c r="C320" s="461" t="str">
        <f t="shared" si="17"/>
        <v>Density</v>
      </c>
      <c r="D320" s="1917" t="str">
        <f t="shared" ca="1" si="18"/>
        <v>kg/m^3</v>
      </c>
      <c r="E320" s="1917">
        <f ca="1">CokingRefineryCalcs!I53</f>
        <v>882.71153866825466</v>
      </c>
      <c r="F320" s="1917">
        <f ca="1">I759</f>
        <v>849.99999999903912</v>
      </c>
      <c r="G320" s="339">
        <f ca="1">G316/G315</f>
        <v>882.71153866825478</v>
      </c>
      <c r="H320" s="340">
        <f>D329</f>
        <v>825</v>
      </c>
      <c r="I320" s="1917">
        <f ca="1">G476</f>
        <v>830.00712089804506</v>
      </c>
      <c r="J320" s="1917">
        <f ca="1">J316/J315</f>
        <v>825.00000000000227</v>
      </c>
      <c r="K320" s="339"/>
      <c r="L320" s="1917"/>
      <c r="M320" s="1926"/>
      <c r="N320" s="1917"/>
      <c r="O320" s="1917"/>
      <c r="P320" s="1917"/>
      <c r="Q320" s="1969"/>
      <c r="R320" s="1917"/>
      <c r="S320" s="1917"/>
      <c r="T320" s="1917"/>
      <c r="U320" s="1917"/>
      <c r="V320" s="1917"/>
      <c r="W320" s="346"/>
    </row>
    <row r="321" spans="1:23" x14ac:dyDescent="0.2">
      <c r="A321" s="436"/>
      <c r="B321" s="345"/>
      <c r="C321" s="461" t="str">
        <f t="shared" si="17"/>
        <v>Hydrogen</v>
      </c>
      <c r="D321" s="1917" t="str">
        <f t="shared" ca="1" si="18"/>
        <v>wt%</v>
      </c>
      <c r="E321" s="1917">
        <f ca="1">CokingRefineryCalcs!I54</f>
        <v>12.394831175477645</v>
      </c>
      <c r="F321" s="1917">
        <f ca="1">I760</f>
        <v>9.8000000000053564</v>
      </c>
      <c r="G321" s="339">
        <f ca="1">(E321*E316+F321*F316)/G316</f>
        <v>12.394831175477645</v>
      </c>
      <c r="H321" s="340">
        <f ca="1">D327</f>
        <v>12.8</v>
      </c>
      <c r="I321" s="1917">
        <f ca="1">G477</f>
        <v>13.386945726864488</v>
      </c>
      <c r="J321" s="1917">
        <f ca="1">((H316*H321)+(I321*I316))/J316</f>
        <v>12.800000000000281</v>
      </c>
      <c r="K321" s="339">
        <f ca="1">H327</f>
        <v>12.71927929715414</v>
      </c>
      <c r="L321" s="1917"/>
      <c r="M321" s="1926"/>
      <c r="N321" s="1917"/>
      <c r="O321" s="1917"/>
      <c r="P321" s="1917"/>
      <c r="Q321" s="1969"/>
      <c r="R321" s="1917"/>
      <c r="S321" s="1917"/>
      <c r="T321" s="1917"/>
      <c r="U321" s="1917"/>
      <c r="V321" s="1917"/>
      <c r="W321" s="346"/>
    </row>
    <row r="322" spans="1:23" x14ac:dyDescent="0.2">
      <c r="A322" s="436"/>
      <c r="B322" s="345"/>
      <c r="C322" s="462" t="str">
        <f t="shared" si="17"/>
        <v>MCR</v>
      </c>
      <c r="D322" s="1914" t="str">
        <f t="shared" ca="1" si="18"/>
        <v>wt%</v>
      </c>
      <c r="E322" s="1914">
        <f>CokingRefineryCalcs!I55</f>
        <v>0</v>
      </c>
      <c r="F322" s="1914">
        <f t="shared" si="19"/>
        <v>0</v>
      </c>
      <c r="G322" s="1916" t="str">
        <f ca="1">'Assay Inventory'!L20</f>
        <v/>
      </c>
      <c r="H322" s="407"/>
      <c r="I322" s="1914"/>
      <c r="J322" s="1914"/>
      <c r="K322" s="1916"/>
      <c r="L322" s="1917"/>
      <c r="M322" s="1926"/>
      <c r="N322" s="1917"/>
      <c r="O322" s="1917"/>
      <c r="P322" s="1917"/>
      <c r="Q322" s="1969"/>
      <c r="R322" s="1917"/>
      <c r="S322" s="1917"/>
      <c r="T322" s="1917"/>
      <c r="U322" s="1917"/>
      <c r="V322" s="1917"/>
      <c r="W322" s="346"/>
    </row>
    <row r="323" spans="1:23" x14ac:dyDescent="0.2">
      <c r="A323" s="436"/>
      <c r="B323" s="345"/>
      <c r="C323" s="437"/>
      <c r="D323" s="1917"/>
      <c r="E323" s="1917"/>
      <c r="F323" s="1917"/>
      <c r="G323" s="1917"/>
      <c r="H323" s="1917"/>
      <c r="I323" s="1917"/>
      <c r="J323" s="1917"/>
      <c r="K323" s="1917"/>
      <c r="L323" s="1917"/>
      <c r="M323" s="1926"/>
      <c r="N323" s="1917"/>
      <c r="O323" s="1917"/>
      <c r="P323" s="1917"/>
      <c r="Q323" s="1969"/>
      <c r="R323" s="1917"/>
      <c r="S323" s="1917"/>
      <c r="T323" s="1917"/>
      <c r="U323" s="1917"/>
      <c r="V323" s="1917"/>
      <c r="W323" s="346"/>
    </row>
    <row r="324" spans="1:23" x14ac:dyDescent="0.2">
      <c r="A324" s="436"/>
      <c r="B324" s="345"/>
      <c r="C324" s="440" t="s">
        <v>1303</v>
      </c>
      <c r="D324" s="1917"/>
      <c r="E324" s="1917"/>
      <c r="F324" s="1917"/>
      <c r="G324" s="350" t="s">
        <v>1315</v>
      </c>
      <c r="H324" s="360"/>
      <c r="I324" s="1917"/>
      <c r="J324" s="1917"/>
      <c r="K324" s="1917"/>
      <c r="L324" s="1917"/>
      <c r="M324" s="1926"/>
      <c r="N324" s="1917"/>
      <c r="O324" s="1917"/>
      <c r="P324" s="1917"/>
      <c r="Q324" s="1969"/>
      <c r="R324" s="1917"/>
      <c r="S324" s="1917"/>
      <c r="T324" s="1917"/>
      <c r="U324" s="1917"/>
      <c r="V324" s="1917"/>
      <c r="W324" s="346"/>
    </row>
    <row r="325" spans="1:23" x14ac:dyDescent="0.2">
      <c r="A325" s="436"/>
      <c r="B325" s="345"/>
      <c r="C325" s="468"/>
      <c r="D325" s="382" t="s">
        <v>624</v>
      </c>
      <c r="E325" s="383" t="s">
        <v>623</v>
      </c>
      <c r="F325" s="1917"/>
      <c r="G325" s="855"/>
      <c r="H325" s="1918" t="s">
        <v>624</v>
      </c>
      <c r="I325" s="1919" t="s">
        <v>623</v>
      </c>
      <c r="J325" s="1917"/>
      <c r="K325" s="1917"/>
      <c r="L325" s="1917"/>
      <c r="M325" s="359"/>
      <c r="N325" s="1917"/>
      <c r="O325" s="1917"/>
      <c r="P325" s="1917"/>
      <c r="Q325" s="1969"/>
      <c r="R325" s="1917"/>
      <c r="S325" s="1917"/>
      <c r="T325" s="1917"/>
      <c r="U325" s="1917"/>
      <c r="V325" s="1917"/>
      <c r="W325" s="346"/>
    </row>
    <row r="326" spans="1:23" x14ac:dyDescent="0.2">
      <c r="A326" s="436"/>
      <c r="B326" s="345"/>
      <c r="C326" s="461" t="s">
        <v>935</v>
      </c>
      <c r="D326" s="914">
        <v>0</v>
      </c>
      <c r="E326" s="339" t="s">
        <v>579</v>
      </c>
      <c r="F326" s="1917"/>
      <c r="G326" s="355" t="s">
        <v>363</v>
      </c>
      <c r="H326" s="1917">
        <f ca="1">D343+D344</f>
        <v>6337.361175245027</v>
      </c>
      <c r="I326" s="337" t="s">
        <v>622</v>
      </c>
      <c r="J326" s="1917"/>
      <c r="K326" s="1917"/>
      <c r="L326" s="1917"/>
      <c r="M326" s="1917"/>
      <c r="N326" s="1917"/>
      <c r="O326" s="1917"/>
      <c r="P326" s="1917"/>
      <c r="Q326" s="1969"/>
      <c r="R326" s="1917"/>
      <c r="S326" s="1917"/>
      <c r="T326" s="1917"/>
      <c r="U326" s="1917"/>
      <c r="V326" s="1917"/>
      <c r="W326" s="346"/>
    </row>
    <row r="327" spans="1:23" x14ac:dyDescent="0.2">
      <c r="A327" s="436"/>
      <c r="B327" s="345"/>
      <c r="C327" s="461" t="s">
        <v>936</v>
      </c>
      <c r="D327" s="914">
        <f ca="1">IF(G321&lt;12.8,12.8,(G316*G321/100+D332+D331+D334+D341-H326*H327/100)/(G316+D331+D332+D334+D341-G316*(G318-H318)/1000000-H326)*100)</f>
        <v>12.8</v>
      </c>
      <c r="E327" s="339" t="s">
        <v>579</v>
      </c>
      <c r="G327" s="355" t="s">
        <v>377</v>
      </c>
      <c r="H327" s="1917">
        <f ca="1">(D342/100*D343+2/34*D344)/H326*100</f>
        <v>12.71927929715414</v>
      </c>
      <c r="I327" s="337" t="s">
        <v>579</v>
      </c>
      <c r="J327" s="1917"/>
      <c r="K327" s="1917"/>
      <c r="L327" s="1917"/>
      <c r="M327" s="1917"/>
      <c r="N327" s="1917"/>
      <c r="O327" s="1917"/>
      <c r="P327" s="1917"/>
      <c r="Q327" s="1969"/>
      <c r="R327" s="1917"/>
      <c r="S327" s="1917"/>
      <c r="T327" s="1917"/>
      <c r="U327" s="1917"/>
      <c r="V327" s="1917"/>
      <c r="W327" s="346"/>
    </row>
    <row r="328" spans="1:23" x14ac:dyDescent="0.2">
      <c r="A328" s="436"/>
      <c r="B328" s="345"/>
      <c r="C328" s="461" t="s">
        <v>938</v>
      </c>
      <c r="D328" s="914">
        <v>0</v>
      </c>
      <c r="E328" s="339" t="s">
        <v>579</v>
      </c>
      <c r="F328" s="1917"/>
      <c r="G328" s="355" t="s">
        <v>378</v>
      </c>
      <c r="H328" s="1917">
        <f ca="1">32/34*D344/H326*100</f>
        <v>41.908662494216578</v>
      </c>
      <c r="I328" s="337" t="s">
        <v>579</v>
      </c>
      <c r="J328" s="1917"/>
      <c r="K328" s="1917"/>
      <c r="L328" s="1917"/>
      <c r="M328" s="1917"/>
      <c r="N328" s="1917"/>
      <c r="O328" s="1917"/>
      <c r="P328" s="1917"/>
      <c r="Q328" s="1969"/>
      <c r="R328" s="1917"/>
      <c r="S328" s="1917"/>
      <c r="T328" s="1917"/>
      <c r="U328" s="1917"/>
      <c r="V328" s="1917"/>
      <c r="W328" s="346"/>
    </row>
    <row r="329" spans="1:23" x14ac:dyDescent="0.2">
      <c r="A329" s="436"/>
      <c r="B329" s="345"/>
      <c r="C329" s="461" t="s">
        <v>937</v>
      </c>
      <c r="D329" s="914">
        <v>825</v>
      </c>
      <c r="E329" s="339" t="s">
        <v>579</v>
      </c>
      <c r="F329" s="1917"/>
      <c r="G329" s="355" t="s">
        <v>379</v>
      </c>
      <c r="H329" s="1917">
        <f ca="1">H326/(G316+D345)*100</f>
        <v>0.35888341081237174</v>
      </c>
      <c r="I329" s="337" t="s">
        <v>579</v>
      </c>
      <c r="J329" s="1917"/>
      <c r="K329" s="1917"/>
      <c r="L329" s="1917"/>
      <c r="M329" s="1917"/>
      <c r="N329" s="1917"/>
      <c r="O329" s="1917"/>
      <c r="P329" s="1917"/>
      <c r="Q329" s="1969"/>
      <c r="R329" s="1917"/>
      <c r="S329" s="1917"/>
      <c r="T329" s="1917"/>
      <c r="U329" s="1917"/>
      <c r="V329" s="1917"/>
      <c r="W329" s="346"/>
    </row>
    <row r="330" spans="1:23" x14ac:dyDescent="0.2">
      <c r="A330" s="436"/>
      <c r="B330" s="345"/>
      <c r="C330" s="461" t="s">
        <v>376</v>
      </c>
      <c r="D330" s="1917">
        <f ca="1">G316*(G317-D326)/100</f>
        <v>2655.9033059729559</v>
      </c>
      <c r="E330" s="339" t="s">
        <v>622</v>
      </c>
      <c r="F330" s="1917"/>
      <c r="G330" s="921" t="s">
        <v>1092</v>
      </c>
      <c r="H330" s="922">
        <v>2E-3</v>
      </c>
      <c r="I330" s="338" t="s">
        <v>1091</v>
      </c>
      <c r="J330" s="1917"/>
      <c r="K330" s="1917"/>
      <c r="L330" s="1917"/>
      <c r="M330" s="1917"/>
      <c r="N330" s="1917"/>
      <c r="O330" s="1917"/>
      <c r="P330" s="1917"/>
      <c r="Q330" s="1969"/>
      <c r="R330" s="1917"/>
      <c r="S330" s="1917"/>
      <c r="T330" s="1917"/>
      <c r="U330" s="1917"/>
      <c r="V330" s="1917"/>
      <c r="W330" s="346"/>
    </row>
    <row r="331" spans="1:23" x14ac:dyDescent="0.2">
      <c r="A331" s="436"/>
      <c r="B331" s="345"/>
      <c r="C331" s="461" t="s">
        <v>380</v>
      </c>
      <c r="D331" s="1917">
        <f ca="1">2/32*D330</f>
        <v>165.99395662330974</v>
      </c>
      <c r="E331" s="339" t="s">
        <v>622</v>
      </c>
      <c r="F331" s="1917"/>
      <c r="G331" s="1917"/>
      <c r="H331" s="1917"/>
      <c r="I331" s="1917"/>
      <c r="J331" s="1917"/>
      <c r="K331" s="1917"/>
      <c r="L331" s="1917"/>
      <c r="M331" s="1917"/>
      <c r="N331" s="1917"/>
      <c r="O331" s="1917"/>
      <c r="P331" s="1917"/>
      <c r="Q331" s="1969"/>
      <c r="R331" s="1917"/>
      <c r="S331" s="1917"/>
      <c r="T331" s="1917"/>
      <c r="U331" s="1917"/>
      <c r="V331" s="1917"/>
      <c r="W331" s="346"/>
    </row>
    <row r="332" spans="1:23" x14ac:dyDescent="0.2">
      <c r="A332" s="436"/>
      <c r="B332" s="345"/>
      <c r="C332" s="461" t="s">
        <v>381</v>
      </c>
      <c r="D332" s="1917">
        <f ca="1">D331</f>
        <v>165.99395662330974</v>
      </c>
      <c r="E332" s="339" t="s">
        <v>622</v>
      </c>
      <c r="F332" s="1917"/>
      <c r="G332" s="1917"/>
      <c r="H332" s="1917"/>
      <c r="I332" s="1917"/>
      <c r="J332" s="1917"/>
      <c r="K332" s="1917"/>
      <c r="L332" s="1917"/>
      <c r="M332" s="1917"/>
      <c r="N332" s="1917"/>
      <c r="O332" s="1917"/>
      <c r="P332" s="1917"/>
      <c r="Q332" s="1969"/>
      <c r="R332" s="1917"/>
      <c r="S332" s="1917"/>
      <c r="T332" s="1917"/>
      <c r="U332" s="1917"/>
      <c r="V332" s="1917"/>
      <c r="W332" s="346"/>
    </row>
    <row r="333" spans="1:23" x14ac:dyDescent="0.2">
      <c r="A333" s="436"/>
      <c r="B333" s="345"/>
      <c r="C333" s="461" t="s">
        <v>1393</v>
      </c>
      <c r="D333" s="1917">
        <f ca="1">(D332+D331)*'Energy &amp; Unit Conversions'!$E$93/'Energy &amp; Unit Conversions'!$E$26*'Energy &amp; Unit Conversions'!$G$82/G315/(G317-D326)</f>
        <v>12.275234701017848</v>
      </c>
      <c r="E333" s="339" t="s">
        <v>904</v>
      </c>
      <c r="F333" s="1917"/>
      <c r="G333" s="1917"/>
      <c r="H333" s="1917"/>
      <c r="I333" s="1917"/>
      <c r="J333" s="1917"/>
      <c r="K333" s="1917"/>
      <c r="L333" s="1917"/>
      <c r="M333" s="1917"/>
      <c r="N333" s="1917"/>
      <c r="O333" s="1917"/>
      <c r="P333" s="1917"/>
      <c r="Q333" s="1969"/>
      <c r="R333" s="1917"/>
      <c r="S333" s="1917"/>
      <c r="T333" s="1917"/>
      <c r="U333" s="1917"/>
      <c r="V333" s="1917"/>
      <c r="W333" s="346"/>
    </row>
    <row r="334" spans="1:23" x14ac:dyDescent="0.2">
      <c r="A334" s="436"/>
      <c r="B334" s="345"/>
      <c r="C334" s="461" t="s">
        <v>905</v>
      </c>
      <c r="D334" s="1917">
        <f ca="1">D335*G315*(G318-D328)/10000/'Energy &amp; Unit Conversions'!$G$82*'Energy &amp; Unit Conversions'!$E$26/'Energy &amp; Unit Conversions'!$E$93</f>
        <v>89.925619794619749</v>
      </c>
      <c r="E334" s="339" t="s">
        <v>622</v>
      </c>
      <c r="F334" s="1917"/>
      <c r="G334" s="1917"/>
      <c r="H334" s="1917"/>
      <c r="I334" s="1917"/>
      <c r="J334" s="1917"/>
      <c r="K334" s="1917"/>
      <c r="L334" s="1917"/>
      <c r="M334" s="1917"/>
      <c r="N334" s="1917"/>
      <c r="O334" s="1917"/>
      <c r="P334" s="1917"/>
      <c r="Q334" s="1969"/>
      <c r="R334" s="1917"/>
      <c r="S334" s="1917"/>
      <c r="T334" s="1917"/>
      <c r="U334" s="1917"/>
      <c r="V334" s="1917"/>
      <c r="W334" s="346"/>
    </row>
    <row r="335" spans="1:23" x14ac:dyDescent="0.2">
      <c r="A335" s="436"/>
      <c r="B335" s="345"/>
      <c r="C335" s="461" t="s">
        <v>905</v>
      </c>
      <c r="D335" s="914">
        <v>34</v>
      </c>
      <c r="E335" s="339" t="s">
        <v>904</v>
      </c>
      <c r="F335" s="1917"/>
      <c r="G335" s="1917"/>
      <c r="H335" s="1917"/>
      <c r="I335" s="1917"/>
      <c r="J335" s="1917"/>
      <c r="K335" s="1917"/>
      <c r="L335" s="1917"/>
      <c r="M335" s="1917"/>
      <c r="N335" s="1917"/>
      <c r="O335" s="1917"/>
      <c r="P335" s="1917"/>
      <c r="Q335" s="1969"/>
      <c r="R335" s="1917"/>
      <c r="S335" s="1917"/>
      <c r="T335" s="1917"/>
      <c r="U335" s="1917"/>
      <c r="V335" s="1917"/>
      <c r="W335" s="346"/>
    </row>
    <row r="336" spans="1:23" ht="15" x14ac:dyDescent="0.2">
      <c r="A336" s="436"/>
      <c r="B336" s="345"/>
      <c r="C336" s="461" t="s">
        <v>1381</v>
      </c>
      <c r="D336" s="1917">
        <f ca="1">G321/100*G316</f>
        <v>217867.90850382741</v>
      </c>
      <c r="E336" s="339" t="s">
        <v>622</v>
      </c>
      <c r="F336" s="1917"/>
      <c r="G336" s="1917"/>
      <c r="H336" s="1917"/>
      <c r="I336" s="1917"/>
      <c r="J336" s="1917"/>
      <c r="K336" s="1917"/>
      <c r="L336" s="1917"/>
      <c r="M336" s="1917"/>
      <c r="N336" s="1917"/>
      <c r="O336" s="1917"/>
      <c r="P336" s="1917"/>
      <c r="Q336" s="1969"/>
      <c r="R336" s="1917"/>
      <c r="S336" s="1917"/>
      <c r="T336" s="1917"/>
      <c r="U336" s="1917"/>
      <c r="V336" s="1917"/>
      <c r="W336" s="346"/>
    </row>
    <row r="337" spans="1:23" ht="15" x14ac:dyDescent="0.2">
      <c r="A337" s="436"/>
      <c r="B337" s="345"/>
      <c r="C337" s="461" t="s">
        <v>1739</v>
      </c>
      <c r="D337" s="1917">
        <f ca="1">D338/(1-H321/100-(H317/100))</f>
        <v>1759258.0527503318</v>
      </c>
      <c r="E337" s="339" t="s">
        <v>622</v>
      </c>
      <c r="F337" s="1917"/>
      <c r="G337" s="1917"/>
      <c r="H337" s="1917"/>
      <c r="I337" s="1917"/>
      <c r="J337" s="1917"/>
      <c r="K337" s="1917"/>
      <c r="L337" s="1917"/>
      <c r="M337" s="1917"/>
      <c r="N337" s="1917"/>
      <c r="O337" s="1917"/>
      <c r="P337" s="1917"/>
      <c r="Q337" s="1969"/>
      <c r="R337" s="1917"/>
      <c r="S337" s="1917"/>
      <c r="T337" s="1917"/>
      <c r="U337" s="1917"/>
      <c r="V337" s="1917"/>
      <c r="W337" s="346"/>
    </row>
    <row r="338" spans="1:23" ht="15" x14ac:dyDescent="0.2">
      <c r="A338" s="436"/>
      <c r="B338" s="345"/>
      <c r="C338" s="461" t="s">
        <v>1382</v>
      </c>
      <c r="D338" s="1917">
        <f ca="1">((G316*(1-G321/100-G317/100-G318/1000000))-D340)</f>
        <v>1534073.0219982893</v>
      </c>
      <c r="E338" s="339" t="s">
        <v>622</v>
      </c>
      <c r="F338" s="1917"/>
      <c r="G338" s="1917"/>
      <c r="H338" s="1917"/>
      <c r="I338" s="1917"/>
      <c r="J338" s="1917"/>
      <c r="K338" s="1917"/>
      <c r="L338" s="1917"/>
      <c r="M338" s="1917"/>
      <c r="N338" s="1917"/>
      <c r="O338" s="1917"/>
      <c r="P338" s="1917"/>
      <c r="Q338" s="1969"/>
      <c r="R338" s="1917"/>
      <c r="S338" s="1917"/>
      <c r="T338" s="1917"/>
      <c r="U338" s="1917"/>
      <c r="V338" s="1917"/>
      <c r="W338" s="346"/>
    </row>
    <row r="339" spans="1:23" x14ac:dyDescent="0.2">
      <c r="A339" s="436"/>
      <c r="B339" s="345"/>
      <c r="C339" s="461" t="s">
        <v>1779</v>
      </c>
      <c r="D339" s="1917">
        <f ca="1">D337*(D327/100)-D336-D331-D334</f>
        <v>7061.2026717971476</v>
      </c>
      <c r="E339" s="339" t="s">
        <v>622</v>
      </c>
      <c r="F339" s="1917"/>
      <c r="G339" s="1917"/>
      <c r="H339" s="1917"/>
      <c r="I339" s="1917"/>
      <c r="J339" s="1917"/>
      <c r="K339" s="1917"/>
      <c r="L339" s="1917"/>
      <c r="M339" s="1917"/>
      <c r="N339" s="1917"/>
      <c r="O339" s="1917"/>
      <c r="P339" s="1917"/>
      <c r="Q339" s="1969"/>
      <c r="R339" s="1917"/>
      <c r="S339" s="1917"/>
      <c r="T339" s="1917"/>
      <c r="U339" s="1917"/>
      <c r="V339" s="1917"/>
      <c r="W339" s="346"/>
    </row>
    <row r="340" spans="1:23" ht="15" x14ac:dyDescent="0.2">
      <c r="A340" s="436"/>
      <c r="B340" s="345"/>
      <c r="C340" s="461" t="s">
        <v>1385</v>
      </c>
      <c r="D340" s="1917">
        <f ca="1">D343*(1-D342/100)</f>
        <v>2875.3912013232462</v>
      </c>
      <c r="E340" s="339" t="s">
        <v>622</v>
      </c>
      <c r="F340" s="1917"/>
      <c r="G340" s="1917"/>
      <c r="H340" s="1917"/>
      <c r="I340" s="1917"/>
      <c r="J340" s="1917"/>
      <c r="K340" s="1917"/>
      <c r="L340" s="1917"/>
      <c r="M340" s="1917"/>
      <c r="N340" s="1917"/>
      <c r="O340" s="1917"/>
      <c r="P340" s="1917"/>
      <c r="Q340" s="1969"/>
      <c r="R340" s="1917"/>
      <c r="S340" s="1917"/>
      <c r="T340" s="1917"/>
      <c r="U340" s="1917"/>
      <c r="V340" s="1917"/>
      <c r="W340" s="346"/>
    </row>
    <row r="341" spans="1:23" ht="15" x14ac:dyDescent="0.2">
      <c r="A341" s="436"/>
      <c r="B341" s="345"/>
      <c r="C341" s="461" t="s">
        <v>1386</v>
      </c>
      <c r="D341" s="1917">
        <f ca="1">D343*(D342/100)</f>
        <v>640.07271132551534</v>
      </c>
      <c r="E341" s="339" t="s">
        <v>622</v>
      </c>
      <c r="F341" s="1917"/>
      <c r="G341" s="1917"/>
      <c r="H341" s="1917"/>
      <c r="I341" s="1917"/>
      <c r="J341" s="1917"/>
      <c r="K341" s="1917"/>
      <c r="L341" s="1917"/>
      <c r="M341" s="1917"/>
      <c r="N341" s="1917"/>
      <c r="O341" s="1917"/>
      <c r="P341" s="1917"/>
      <c r="Q341" s="1969"/>
      <c r="R341" s="1917"/>
      <c r="S341" s="1917"/>
      <c r="T341" s="1917"/>
      <c r="U341" s="1917"/>
      <c r="V341" s="1917"/>
      <c r="W341" s="346"/>
    </row>
    <row r="342" spans="1:23" x14ac:dyDescent="0.2">
      <c r="A342" s="436"/>
      <c r="B342" s="345"/>
      <c r="C342" s="461" t="s">
        <v>375</v>
      </c>
      <c r="D342" s="914">
        <f>Constants!N377</f>
        <v>18.207346945662319</v>
      </c>
      <c r="E342" s="339" t="s">
        <v>579</v>
      </c>
      <c r="F342" s="1917"/>
      <c r="G342" s="1917"/>
      <c r="H342" s="1917"/>
      <c r="I342" s="1917"/>
      <c r="J342" s="1917"/>
      <c r="K342" s="1917"/>
      <c r="L342" s="1917"/>
      <c r="M342" s="1917"/>
      <c r="N342" s="1917"/>
      <c r="O342" s="1917"/>
      <c r="P342" s="1917"/>
      <c r="Q342" s="1969"/>
      <c r="R342" s="1917"/>
      <c r="S342" s="1917"/>
      <c r="T342" s="1917"/>
      <c r="U342" s="1917"/>
      <c r="V342" s="1917"/>
      <c r="W342" s="346"/>
    </row>
    <row r="343" spans="1:23" x14ac:dyDescent="0.2">
      <c r="A343" s="436"/>
      <c r="B343" s="345"/>
      <c r="C343" s="461" t="s">
        <v>385</v>
      </c>
      <c r="D343" s="1917">
        <f ca="1">G316*H330</f>
        <v>3515.4639126487614</v>
      </c>
      <c r="E343" s="339" t="s">
        <v>622</v>
      </c>
      <c r="F343" s="1917"/>
      <c r="G343" s="1917"/>
      <c r="H343" s="1917"/>
      <c r="I343" s="1917"/>
      <c r="J343" s="1917"/>
      <c r="K343" s="1917"/>
      <c r="L343" s="1917"/>
      <c r="M343" s="1917"/>
      <c r="N343" s="1917"/>
      <c r="O343" s="1917"/>
      <c r="P343" s="1917"/>
      <c r="Q343" s="1969"/>
      <c r="R343" s="1917"/>
      <c r="S343" s="1917"/>
      <c r="T343" s="1917"/>
      <c r="U343" s="1917"/>
      <c r="V343" s="1917"/>
      <c r="W343" s="346"/>
    </row>
    <row r="344" spans="1:23" x14ac:dyDescent="0.2">
      <c r="A344" s="436"/>
      <c r="B344" s="345"/>
      <c r="C344" s="461" t="s">
        <v>384</v>
      </c>
      <c r="D344" s="1917">
        <f ca="1">D330+D332</f>
        <v>2821.8972625962656</v>
      </c>
      <c r="E344" s="339" t="s">
        <v>622</v>
      </c>
      <c r="F344" s="1917"/>
      <c r="G344" s="1917"/>
      <c r="H344" s="1917"/>
      <c r="I344" s="1917"/>
      <c r="J344" s="1917"/>
      <c r="K344" s="1917"/>
      <c r="L344" s="1917"/>
      <c r="M344" s="1917"/>
      <c r="N344" s="1917"/>
      <c r="O344" s="1917"/>
      <c r="P344" s="1917"/>
      <c r="Q344" s="1969"/>
      <c r="R344" s="1917"/>
      <c r="S344" s="1917"/>
      <c r="T344" s="1917"/>
      <c r="U344" s="1917"/>
      <c r="V344" s="1917"/>
      <c r="W344" s="346"/>
    </row>
    <row r="345" spans="1:23" x14ac:dyDescent="0.2">
      <c r="A345" s="436"/>
      <c r="B345" s="345"/>
      <c r="C345" s="469" t="s">
        <v>1780</v>
      </c>
      <c r="D345" s="408">
        <f ca="1">D331+D332+D339+D341+D334</f>
        <v>8123.1889161639019</v>
      </c>
      <c r="E345" s="409" t="s">
        <v>622</v>
      </c>
      <c r="F345" s="1917"/>
      <c r="G345" s="1917"/>
      <c r="H345" s="1917"/>
      <c r="I345" s="1917"/>
      <c r="J345" s="1917"/>
      <c r="K345" s="1917"/>
      <c r="L345" s="1917"/>
      <c r="M345" s="1917"/>
      <c r="N345" s="1917"/>
      <c r="O345" s="1917"/>
      <c r="P345" s="1917"/>
      <c r="Q345" s="1969"/>
      <c r="R345" s="1917"/>
      <c r="S345" s="1917"/>
      <c r="T345" s="1917"/>
      <c r="U345" s="1917"/>
      <c r="V345" s="1917"/>
      <c r="W345" s="346"/>
    </row>
    <row r="346" spans="1:23" x14ac:dyDescent="0.2">
      <c r="A346" s="436"/>
      <c r="B346" s="345"/>
      <c r="C346" s="467" t="s">
        <v>635</v>
      </c>
      <c r="D346" s="914">
        <f ca="1">Constants!H104</f>
        <v>161.0264731376526</v>
      </c>
      <c r="E346" s="1915" t="s">
        <v>637</v>
      </c>
      <c r="F346" s="1917"/>
      <c r="G346" s="1917"/>
      <c r="H346" s="1917"/>
      <c r="I346" s="1917"/>
      <c r="J346" s="1917"/>
      <c r="K346" s="1917"/>
      <c r="L346" s="1917"/>
      <c r="M346" s="1917"/>
      <c r="N346" s="1917"/>
      <c r="O346" s="1917"/>
      <c r="P346" s="1917"/>
      <c r="Q346" s="1969"/>
      <c r="R346" s="1917"/>
      <c r="S346" s="1917"/>
      <c r="T346" s="1917"/>
      <c r="U346" s="1917"/>
      <c r="V346" s="1917"/>
      <c r="W346" s="346"/>
    </row>
    <row r="347" spans="1:23" x14ac:dyDescent="0.2">
      <c r="A347" s="436"/>
      <c r="B347" s="345"/>
      <c r="C347" s="461" t="s">
        <v>634</v>
      </c>
      <c r="D347" s="1917">
        <f ca="1">D346*'Energy &amp; Unit Conversions'!G82/'Energy &amp; Unit Conversions'!G80</f>
        <v>27.133800305602612</v>
      </c>
      <c r="E347" s="339" t="s">
        <v>636</v>
      </c>
      <c r="F347" s="1917"/>
      <c r="G347" s="1917"/>
      <c r="H347" s="1917"/>
      <c r="I347" s="1917"/>
      <c r="J347" s="1917"/>
      <c r="K347" s="1917"/>
      <c r="L347" s="1917"/>
      <c r="M347" s="1917"/>
      <c r="N347" s="1917"/>
      <c r="O347" s="1917"/>
      <c r="P347" s="1917"/>
      <c r="Q347" s="1969"/>
      <c r="R347" s="1917"/>
      <c r="S347" s="1917"/>
      <c r="T347" s="1917"/>
      <c r="U347" s="1917"/>
      <c r="V347" s="1917"/>
      <c r="W347" s="346"/>
    </row>
    <row r="348" spans="1:23" x14ac:dyDescent="0.2">
      <c r="A348" s="436"/>
      <c r="B348" s="345"/>
      <c r="C348" s="461" t="s">
        <v>542</v>
      </c>
      <c r="D348" s="1917">
        <f ca="1">D346*G314/1000</f>
        <v>2016.8272089222171</v>
      </c>
      <c r="E348" s="339" t="s">
        <v>472</v>
      </c>
      <c r="F348" s="1917"/>
      <c r="G348" s="1917"/>
      <c r="H348" s="1917"/>
      <c r="I348" s="1917"/>
      <c r="J348" s="1917"/>
      <c r="K348" s="1917"/>
      <c r="L348" s="1917"/>
      <c r="M348" s="1917"/>
      <c r="N348" s="1917"/>
      <c r="O348" s="1917"/>
      <c r="P348" s="1917"/>
      <c r="Q348" s="1969"/>
      <c r="R348" s="1917"/>
      <c r="S348" s="1917"/>
      <c r="T348" s="1917"/>
      <c r="U348" s="1917"/>
      <c r="V348" s="1917"/>
      <c r="W348" s="346"/>
    </row>
    <row r="349" spans="1:23" x14ac:dyDescent="0.2">
      <c r="A349" s="436"/>
      <c r="B349" s="345"/>
      <c r="C349" s="461" t="s">
        <v>542</v>
      </c>
      <c r="D349" s="1917">
        <f ca="1">D347*G315</f>
        <v>54031.182106940309</v>
      </c>
      <c r="E349" s="339" t="s">
        <v>628</v>
      </c>
      <c r="F349" s="1917"/>
      <c r="G349" s="1917"/>
      <c r="H349" s="1917"/>
      <c r="I349" s="1917"/>
      <c r="J349" s="1917"/>
      <c r="K349" s="1917"/>
      <c r="L349" s="1917"/>
      <c r="M349" s="1917"/>
      <c r="N349" s="1917"/>
      <c r="O349" s="1917"/>
      <c r="P349" s="1917"/>
      <c r="Q349" s="1969"/>
      <c r="R349" s="1917"/>
      <c r="S349" s="1917"/>
      <c r="T349" s="1917"/>
      <c r="U349" s="1917"/>
      <c r="V349" s="1917"/>
      <c r="W349" s="346"/>
    </row>
    <row r="350" spans="1:23" x14ac:dyDescent="0.2">
      <c r="A350" s="436"/>
      <c r="B350" s="345"/>
      <c r="C350" s="469" t="s">
        <v>631</v>
      </c>
      <c r="D350" s="408">
        <f ca="1">D349*'Energy &amp; Unit Conversions'!P25*'Energy &amp; Unit Conversions'!G87</f>
        <v>22.9041803799158</v>
      </c>
      <c r="E350" s="409" t="s">
        <v>632</v>
      </c>
      <c r="F350" s="1917"/>
      <c r="G350" s="1917"/>
      <c r="H350" s="1917"/>
      <c r="I350" s="1917"/>
      <c r="J350" s="1917"/>
      <c r="K350" s="1917"/>
      <c r="L350" s="1917"/>
      <c r="M350" s="1917"/>
      <c r="N350" s="1917"/>
      <c r="O350" s="1917"/>
      <c r="P350" s="1917"/>
      <c r="Q350" s="1969"/>
      <c r="R350" s="1917"/>
      <c r="S350" s="1917"/>
      <c r="T350" s="1917"/>
      <c r="U350" s="1917"/>
      <c r="V350" s="1917"/>
      <c r="W350" s="346"/>
    </row>
    <row r="351" spans="1:23" x14ac:dyDescent="0.2">
      <c r="A351" s="436"/>
      <c r="B351" s="345"/>
      <c r="C351" s="467" t="s">
        <v>451</v>
      </c>
      <c r="D351" s="914">
        <f ca="1">Constants!H105</f>
        <v>3</v>
      </c>
      <c r="E351" s="1915" t="s">
        <v>665</v>
      </c>
      <c r="F351" s="1917"/>
      <c r="G351" s="1917"/>
      <c r="H351" s="1917"/>
      <c r="I351" s="1917"/>
      <c r="J351" s="1917"/>
      <c r="K351" s="1917"/>
      <c r="L351" s="1917"/>
      <c r="M351" s="1917"/>
      <c r="N351" s="1917"/>
      <c r="O351" s="1917"/>
      <c r="P351" s="1917"/>
      <c r="Q351" s="1969"/>
      <c r="R351" s="1917"/>
      <c r="S351" s="1917"/>
      <c r="T351" s="1917"/>
      <c r="U351" s="1917"/>
      <c r="V351" s="1917"/>
      <c r="W351" s="346"/>
    </row>
    <row r="352" spans="1:23" x14ac:dyDescent="0.2">
      <c r="A352" s="436"/>
      <c r="B352" s="345"/>
      <c r="C352" s="461" t="s">
        <v>451</v>
      </c>
      <c r="D352" s="1917">
        <f ca="1">D351/'Energy &amp; Unit Conversions'!G80</f>
        <v>18.869431709325209</v>
      </c>
      <c r="E352" s="339" t="s">
        <v>629</v>
      </c>
      <c r="F352" s="1917"/>
      <c r="G352" s="1917"/>
      <c r="H352" s="1917"/>
      <c r="I352" s="1917"/>
      <c r="J352" s="1917"/>
      <c r="K352" s="1917"/>
      <c r="L352" s="1917"/>
      <c r="M352" s="1917"/>
      <c r="N352" s="1917"/>
      <c r="O352" s="1917"/>
      <c r="P352" s="1917"/>
      <c r="Q352" s="1969"/>
      <c r="R352" s="1917"/>
      <c r="S352" s="1917"/>
      <c r="T352" s="1917"/>
      <c r="U352" s="1917"/>
      <c r="V352" s="1917"/>
      <c r="W352" s="346"/>
    </row>
    <row r="353" spans="1:23" x14ac:dyDescent="0.2">
      <c r="A353" s="436"/>
      <c r="B353" s="345"/>
      <c r="C353" s="469" t="s">
        <v>452</v>
      </c>
      <c r="D353" s="408">
        <f ca="1">G315*D352</f>
        <v>37574.452876418836</v>
      </c>
      <c r="E353" s="409" t="s">
        <v>627</v>
      </c>
      <c r="F353" s="1917"/>
      <c r="G353" s="1917"/>
      <c r="H353" s="1917"/>
      <c r="I353" s="1917"/>
      <c r="J353" s="1917"/>
      <c r="K353" s="1917"/>
      <c r="L353" s="1917"/>
      <c r="M353" s="1917"/>
      <c r="N353" s="1917"/>
      <c r="O353" s="1917"/>
      <c r="P353" s="1917"/>
      <c r="Q353" s="1969"/>
      <c r="R353" s="1917"/>
      <c r="S353" s="1917"/>
      <c r="T353" s="1917"/>
      <c r="U353" s="1917"/>
      <c r="V353" s="1917"/>
      <c r="W353" s="346"/>
    </row>
    <row r="354" spans="1:23" x14ac:dyDescent="0.2">
      <c r="A354" s="436"/>
      <c r="B354" s="345"/>
      <c r="C354" s="467" t="s">
        <v>485</v>
      </c>
      <c r="D354" s="914">
        <f ca="1">Constants!H107</f>
        <v>8</v>
      </c>
      <c r="E354" s="1915" t="s">
        <v>496</v>
      </c>
      <c r="F354" s="1917"/>
      <c r="G354" s="1917"/>
      <c r="H354" s="1917"/>
      <c r="I354" s="1917"/>
      <c r="J354" s="1917"/>
      <c r="K354" s="1917"/>
      <c r="L354" s="1917"/>
      <c r="M354" s="1917"/>
      <c r="N354" s="1917"/>
      <c r="O354" s="1917"/>
      <c r="P354" s="1917"/>
      <c r="Q354" s="1969"/>
      <c r="R354" s="1917"/>
      <c r="S354" s="1917"/>
      <c r="T354" s="1917"/>
      <c r="U354" s="1917"/>
      <c r="V354" s="1917"/>
      <c r="W354" s="346"/>
    </row>
    <row r="355" spans="1:23" x14ac:dyDescent="0.2">
      <c r="A355" s="436"/>
      <c r="B355" s="345"/>
      <c r="C355" s="461" t="s">
        <v>485</v>
      </c>
      <c r="D355" s="1917">
        <f ca="1">D354*'Energy &amp; Unit Conversions'!G79/'Energy &amp; Unit Conversions'!G80</f>
        <v>22.824080665562597</v>
      </c>
      <c r="E355" s="339" t="s">
        <v>581</v>
      </c>
      <c r="F355" s="1917"/>
      <c r="G355" s="1917"/>
      <c r="H355" s="1917"/>
      <c r="I355" s="1917"/>
      <c r="J355" s="1917"/>
      <c r="K355" s="1917"/>
      <c r="L355" s="1917"/>
      <c r="M355" s="1917"/>
      <c r="N355" s="1917"/>
      <c r="O355" s="1917"/>
      <c r="P355" s="1917"/>
      <c r="Q355" s="1969"/>
      <c r="R355" s="1917"/>
      <c r="S355" s="1917"/>
      <c r="T355" s="1917"/>
      <c r="U355" s="1917"/>
      <c r="V355" s="1917"/>
      <c r="W355" s="346"/>
    </row>
    <row r="356" spans="1:23" x14ac:dyDescent="0.2">
      <c r="A356" s="436"/>
      <c r="B356" s="345"/>
      <c r="C356" s="469" t="s">
        <v>485</v>
      </c>
      <c r="D356" s="408">
        <f ca="1">D355*G315</f>
        <v>45449.29368444837</v>
      </c>
      <c r="E356" s="409" t="s">
        <v>622</v>
      </c>
      <c r="F356" s="1917"/>
      <c r="G356" s="1917"/>
      <c r="H356" s="1917"/>
      <c r="I356" s="1917"/>
      <c r="J356" s="1917"/>
      <c r="K356" s="1917"/>
      <c r="L356" s="1917"/>
      <c r="M356" s="1917"/>
      <c r="N356" s="1917"/>
      <c r="O356" s="1917"/>
      <c r="P356" s="1917"/>
      <c r="Q356" s="1969"/>
      <c r="R356" s="1917"/>
      <c r="S356" s="1917"/>
      <c r="T356" s="1917"/>
      <c r="U356" s="1917"/>
      <c r="V356" s="1917"/>
      <c r="W356" s="346"/>
    </row>
    <row r="357" spans="1:23" x14ac:dyDescent="0.2">
      <c r="A357" s="436"/>
      <c r="B357" s="345"/>
      <c r="C357" s="437"/>
      <c r="D357" s="1917"/>
      <c r="E357" s="1917"/>
      <c r="F357" s="1917"/>
      <c r="G357" s="1917"/>
      <c r="H357" s="1917"/>
      <c r="I357" s="1917"/>
      <c r="J357" s="1917"/>
      <c r="K357" s="1917"/>
      <c r="L357" s="1917"/>
      <c r="M357" s="1917"/>
      <c r="N357" s="1917"/>
      <c r="O357" s="1917"/>
      <c r="P357" s="1917"/>
      <c r="Q357" s="1969"/>
      <c r="R357" s="1917"/>
      <c r="S357" s="1917"/>
      <c r="T357" s="1917"/>
      <c r="U357" s="1917"/>
      <c r="V357" s="1917"/>
      <c r="W357" s="346"/>
    </row>
    <row r="358" spans="1:23" ht="26.25" x14ac:dyDescent="0.2">
      <c r="A358" s="436"/>
      <c r="B358" s="347"/>
      <c r="C358" s="438" t="s">
        <v>534</v>
      </c>
      <c r="D358" s="348"/>
      <c r="E358" s="1917"/>
      <c r="F358" s="1917"/>
      <c r="G358" s="1917"/>
      <c r="H358" s="1917"/>
      <c r="I358" s="1917"/>
      <c r="J358" s="1917"/>
      <c r="K358" s="1917"/>
      <c r="L358" s="1917"/>
      <c r="M358" s="1917"/>
      <c r="N358" s="1917"/>
      <c r="O358" s="1917"/>
      <c r="P358" s="1917"/>
      <c r="Q358" s="1969"/>
      <c r="R358" s="1917"/>
      <c r="S358" s="1917"/>
      <c r="T358" s="1917"/>
      <c r="U358" s="1917"/>
      <c r="V358" s="1917"/>
      <c r="W358" s="346"/>
    </row>
    <row r="359" spans="1:23" x14ac:dyDescent="0.2">
      <c r="A359" s="436"/>
      <c r="B359" s="345"/>
      <c r="C359" s="437"/>
      <c r="D359" s="1917"/>
      <c r="E359" s="1917"/>
      <c r="F359" s="1917"/>
      <c r="G359" s="1917"/>
      <c r="H359" s="1917"/>
      <c r="I359" s="1917"/>
      <c r="J359" s="1917"/>
      <c r="K359" s="388"/>
      <c r="L359" s="388"/>
      <c r="M359" s="388"/>
      <c r="N359" s="388"/>
      <c r="O359" s="388"/>
      <c r="P359" s="388"/>
      <c r="Q359" s="388"/>
      <c r="R359" s="1911"/>
      <c r="S359" s="1917"/>
      <c r="T359" s="1917"/>
      <c r="U359" s="1917"/>
      <c r="V359" s="1917"/>
      <c r="W359" s="346"/>
    </row>
    <row r="360" spans="1:23" x14ac:dyDescent="0.2">
      <c r="A360" s="436"/>
      <c r="B360" s="345"/>
      <c r="C360" s="440" t="s">
        <v>1309</v>
      </c>
      <c r="D360" s="1917"/>
      <c r="E360" s="1910"/>
      <c r="F360" s="1917"/>
      <c r="G360" s="1917"/>
      <c r="H360" s="1917"/>
      <c r="I360" s="1917"/>
      <c r="J360" s="1917"/>
      <c r="K360" s="1917"/>
      <c r="L360" s="1917"/>
      <c r="M360" s="1917"/>
      <c r="N360" s="1917"/>
      <c r="O360" s="1917"/>
      <c r="P360" s="1917"/>
      <c r="Q360" s="1969"/>
      <c r="R360" s="1917"/>
      <c r="S360" s="1917"/>
      <c r="T360" s="1917"/>
      <c r="U360" s="1917"/>
      <c r="V360" s="1917"/>
      <c r="W360" s="346"/>
    </row>
    <row r="361" spans="1:23" x14ac:dyDescent="0.2">
      <c r="A361" s="436"/>
      <c r="B361" s="345"/>
      <c r="C361" s="441" t="s">
        <v>568</v>
      </c>
      <c r="D361" s="1918" t="s">
        <v>623</v>
      </c>
      <c r="E361" s="356" t="str">
        <f t="shared" ref="E361:E370" si="21">F594</f>
        <v>AGO To Gas Oil HC</v>
      </c>
      <c r="F361" s="356" t="s">
        <v>560</v>
      </c>
      <c r="G361" s="356" t="str">
        <f t="shared" ref="G361" si="22">F611</f>
        <v>LVGO To Gas Oil HC</v>
      </c>
      <c r="H361" s="356" t="str">
        <f t="shared" ref="H361" si="23">F628</f>
        <v>HVGO To Gas Oil HC</v>
      </c>
      <c r="I361" s="356" t="s">
        <v>427</v>
      </c>
      <c r="J361" s="356" t="s">
        <v>488</v>
      </c>
      <c r="K361" s="356" t="s">
        <v>942</v>
      </c>
      <c r="L361" s="356" t="s">
        <v>352</v>
      </c>
      <c r="M361" s="356" t="s">
        <v>520</v>
      </c>
      <c r="N361" s="357" t="s">
        <v>669</v>
      </c>
      <c r="O361" s="1917"/>
      <c r="P361" s="1917"/>
      <c r="Q361" s="1969"/>
      <c r="R361" s="1917"/>
      <c r="S361" s="1917"/>
      <c r="T361" s="1917"/>
      <c r="U361" s="1917"/>
      <c r="V361" s="1917"/>
      <c r="W361" s="346"/>
    </row>
    <row r="362" spans="1:23" x14ac:dyDescent="0.2">
      <c r="A362" s="436"/>
      <c r="B362" s="345"/>
      <c r="C362" s="442" t="str">
        <f t="shared" ref="C362:D371" si="24">C595</f>
        <v>Vol Flow</v>
      </c>
      <c r="D362" s="1917" t="str">
        <f ca="1">D595</f>
        <v>bpd</v>
      </c>
      <c r="E362" s="1917">
        <f t="shared" ref="E362:E369" ca="1" si="25">F595</f>
        <v>1.1182517606218385E-8</v>
      </c>
      <c r="F362" s="1917">
        <f ca="1">F906</f>
        <v>3.9275356703639501E-29</v>
      </c>
      <c r="G362" s="1917">
        <f t="shared" ref="G362:G371" ca="1" si="26">F612</f>
        <v>1E-26</v>
      </c>
      <c r="H362" s="1917">
        <f t="shared" ref="H362:H371" ca="1" si="27">F629</f>
        <v>1E-26</v>
      </c>
      <c r="I362" s="1917">
        <f ca="1">SUM(E362:H362)</f>
        <v>1.1182517606218385E-8</v>
      </c>
      <c r="J362" s="1917"/>
      <c r="K362" s="1917">
        <f ca="1">IF(Constants!H209=1,G457,SUM(H446:J446))</f>
        <v>6.6574384792262908E-9</v>
      </c>
      <c r="L362" s="1917">
        <f ca="1">IF(Constants!H209=1,(H457+I457+J457),K446*$M$445)</f>
        <v>6.3917148298896895E-9</v>
      </c>
      <c r="M362" s="1917">
        <f ca="1">IF(Constants!$H$209=1,(K457+L457),K446*(100%-$M$445))</f>
        <v>6.3915734341695177E-21</v>
      </c>
      <c r="N362" s="337">
        <f ca="1">IF(Constants!$H$209=1,F457,G446)</f>
        <v>1.3049153309122374E-8</v>
      </c>
      <c r="O362" s="1917"/>
      <c r="P362" s="1917"/>
      <c r="Q362" s="1969"/>
      <c r="R362" s="1917"/>
      <c r="S362" s="1917"/>
      <c r="T362" s="1917"/>
      <c r="U362" s="1917"/>
      <c r="V362" s="1917"/>
      <c r="W362" s="346"/>
    </row>
    <row r="363" spans="1:23" x14ac:dyDescent="0.2">
      <c r="A363" s="436"/>
      <c r="B363" s="345"/>
      <c r="C363" s="442" t="str">
        <f t="shared" si="24"/>
        <v>Vol Flow</v>
      </c>
      <c r="D363" s="1917" t="str">
        <f ca="1">D596</f>
        <v>m^3/d</v>
      </c>
      <c r="E363" s="1917">
        <f t="shared" ca="1" si="25"/>
        <v>1.7778782814151241E-9</v>
      </c>
      <c r="F363" s="1917">
        <f ca="1">F907</f>
        <v>6.244282918848544E-30</v>
      </c>
      <c r="G363" s="1917">
        <f t="shared" ca="1" si="26"/>
        <v>1.5898730000000001E-27</v>
      </c>
      <c r="H363" s="1917">
        <f t="shared" ca="1" si="27"/>
        <v>1.5898730000000001E-27</v>
      </c>
      <c r="I363" s="1917">
        <f ca="1">SUM(E363:H363)</f>
        <v>1.7778782814151241E-9</v>
      </c>
      <c r="J363" s="1917"/>
      <c r="K363" s="1917">
        <f ca="1">IF(Constants!H209=1,G458,SUM(H447:J447))</f>
        <v>1.0584481687282941E-9</v>
      </c>
      <c r="L363" s="1917">
        <f ca="1">IF(Constants!H209=1,(H458+I458+J458),K447*$M$445)</f>
        <v>1.016201483174121E-9</v>
      </c>
      <c r="M363" s="1917">
        <f ca="1">IF(Constants!$H$209=1,(K458+L458),K447*(100%-$M$445))</f>
        <v>1.0161790030503394E-21</v>
      </c>
      <c r="N363" s="337">
        <f ca="1">IF(Constants!$H$209=1,F458,G447)</f>
        <v>2.0746496519034315E-9</v>
      </c>
      <c r="O363" s="1917"/>
      <c r="P363" s="1917"/>
      <c r="Q363" s="1969"/>
      <c r="R363" s="1917"/>
      <c r="S363" s="1917"/>
      <c r="T363" s="1917"/>
      <c r="U363" s="1917"/>
      <c r="V363" s="1917"/>
      <c r="W363" s="346"/>
    </row>
    <row r="364" spans="1:23" x14ac:dyDescent="0.2">
      <c r="A364" s="436"/>
      <c r="B364" s="345"/>
      <c r="C364" s="442" t="str">
        <f t="shared" si="24"/>
        <v>Mass Flow</v>
      </c>
      <c r="D364" s="1917" t="str">
        <f t="shared" si="24"/>
        <v>kg/d</v>
      </c>
      <c r="E364" s="1917">
        <f t="shared" ca="1" si="25"/>
        <v>1.6094174951277762E-6</v>
      </c>
      <c r="F364" s="1917">
        <f ca="1">F908</f>
        <v>5.8321602462043793E-27</v>
      </c>
      <c r="G364" s="1917">
        <f t="shared" ca="1" si="26"/>
        <v>1E-26</v>
      </c>
      <c r="H364" s="1917">
        <f t="shared" ca="1" si="27"/>
        <v>1E-26</v>
      </c>
      <c r="I364" s="1917">
        <f ca="1">SUM(E364:H364)</f>
        <v>1.6094174951277762E-6</v>
      </c>
      <c r="J364" s="1917">
        <f ca="1">H375</f>
        <v>4.01525055866854E-8</v>
      </c>
      <c r="K364" s="1917">
        <f ca="1">IF(Constants!H209=1,G459,SUM(H448:J448))</f>
        <v>7.6620347850055368E-7</v>
      </c>
      <c r="L364" s="1917">
        <f ca="1">IF(Constants!H209=1,(H459+I459+J459),K448*$M$445)</f>
        <v>8.4345446730167539E-7</v>
      </c>
      <c r="M364" s="1917">
        <f ca="1">IF(Constants!$H$209=1,(K459+L459),K448*(100%-$M$445))</f>
        <v>8.4343580863885792E-19</v>
      </c>
      <c r="N364" s="337">
        <f ca="1">IF(Constants!$H$209=1,F459,G448)</f>
        <v>1.6096579458030726E-6</v>
      </c>
      <c r="O364" s="1917"/>
      <c r="P364" s="1917"/>
      <c r="Q364" s="1969"/>
      <c r="R364" s="1917"/>
      <c r="S364" s="1917"/>
      <c r="T364" s="1917"/>
      <c r="U364" s="1917"/>
      <c r="V364" s="1917"/>
      <c r="W364" s="346"/>
    </row>
    <row r="365" spans="1:23" x14ac:dyDescent="0.2">
      <c r="A365" s="436"/>
      <c r="B365" s="345"/>
      <c r="C365" s="442" t="str">
        <f t="shared" si="24"/>
        <v xml:space="preserve">Sulphur </v>
      </c>
      <c r="D365" s="1917" t="str">
        <f t="shared" ref="D365:D371" ca="1" si="28">D598</f>
        <v>wt%</v>
      </c>
      <c r="E365" s="1917">
        <f t="shared" ca="1" si="25"/>
        <v>0.21055860465847406</v>
      </c>
      <c r="F365" s="1917">
        <f ca="1">F909</f>
        <v>0</v>
      </c>
      <c r="G365" s="1917">
        <f t="shared" ca="1" si="26"/>
        <v>0</v>
      </c>
      <c r="H365" s="1917">
        <f t="shared" ca="1" si="27"/>
        <v>0</v>
      </c>
      <c r="I365" s="1917">
        <f ca="1">(E365*E364+F365*F364+G365*G364+H365*H364)/I364</f>
        <v>0.21055860465847406</v>
      </c>
      <c r="J365" s="1917">
        <f ca="1">H377</f>
        <v>8.4313001253205329</v>
      </c>
      <c r="K365" s="1917">
        <f ca="1">IF(Constants!H209=1,G460,SUMPRODUCT(H449:J449,H448:J448)/K364)</f>
        <v>0</v>
      </c>
      <c r="L365" s="1917">
        <f ca="1">IF(Constants!H209=1,SUMPRODUCT(H460:J460,H459:J459)/L364,K449)</f>
        <v>4.017723721006432E-6</v>
      </c>
      <c r="M365" s="1917">
        <f ca="1">IF(Constants!H209=1,SUMPRODUCT(K460:L460,K459:L459)/M364,K449)</f>
        <v>4.017723721006432E-6</v>
      </c>
      <c r="N365" s="337">
        <f ca="1">IF(Constants!$H$209=1,F460,G449)</f>
        <v>2.1052715141784285E-4</v>
      </c>
      <c r="O365" s="1917"/>
      <c r="P365" s="1917"/>
      <c r="Q365" s="1969"/>
      <c r="R365" s="1917"/>
      <c r="S365" s="1917"/>
      <c r="T365" s="1917"/>
      <c r="U365" s="1917"/>
      <c r="V365" s="1917"/>
      <c r="W365" s="346"/>
    </row>
    <row r="366" spans="1:23" x14ac:dyDescent="0.2">
      <c r="A366" s="436"/>
      <c r="B366" s="345"/>
      <c r="C366" s="442" t="str">
        <f t="shared" si="24"/>
        <v xml:space="preserve">Nitrogen </v>
      </c>
      <c r="D366" s="1917" t="str">
        <f t="shared" ca="1" si="28"/>
        <v>mass ppm</v>
      </c>
      <c r="E366" s="1917">
        <f t="shared" ca="1" si="25"/>
        <v>573.33295706140962</v>
      </c>
      <c r="F366" s="1917">
        <v>0</v>
      </c>
      <c r="G366" s="1917">
        <f t="shared" ca="1" si="26"/>
        <v>0</v>
      </c>
      <c r="H366" s="1917">
        <f t="shared" ca="1" si="27"/>
        <v>0</v>
      </c>
      <c r="I366" s="1917">
        <f ca="1">(E366*E364+F366*F364+G366*G364+H366*H364)/I364</f>
        <v>573.33295706140962</v>
      </c>
      <c r="J366" s="1917"/>
      <c r="K366" s="1917"/>
      <c r="L366" s="1917"/>
      <c r="M366" s="1917"/>
      <c r="N366" s="919">
        <v>0</v>
      </c>
      <c r="O366" s="1917"/>
      <c r="P366" s="1917"/>
      <c r="Q366" s="1969"/>
      <c r="R366" s="1917"/>
      <c r="S366" s="1917"/>
      <c r="T366" s="1917"/>
      <c r="U366" s="1917"/>
      <c r="V366" s="1917"/>
      <c r="W366" s="346"/>
    </row>
    <row r="367" spans="1:23" x14ac:dyDescent="0.2">
      <c r="A367" s="436"/>
      <c r="B367" s="345"/>
      <c r="C367" s="442" t="str">
        <f t="shared" si="24"/>
        <v xml:space="preserve">API gravity </v>
      </c>
      <c r="D367" s="1917" t="str">
        <f t="shared" ca="1" si="28"/>
        <v>oAPI</v>
      </c>
      <c r="E367" s="1917">
        <f t="shared" ca="1" si="25"/>
        <v>24.811073777824959</v>
      </c>
      <c r="F367" s="1917">
        <f ca="1">F911</f>
        <v>19.998929336192617</v>
      </c>
      <c r="G367" s="1917">
        <f t="shared" ca="1" si="26"/>
        <v>0</v>
      </c>
      <c r="H367" s="1917">
        <f t="shared" ca="1" si="27"/>
        <v>0</v>
      </c>
      <c r="I367" s="1917">
        <f ca="1">141.5/(I368/1000)-131.5</f>
        <v>24.81107377782493</v>
      </c>
      <c r="J367" s="1917"/>
      <c r="K367" s="1917">
        <f ca="1">141.5/(K368/1000)-131.5</f>
        <v>63.970811706769609</v>
      </c>
      <c r="L367" s="1917">
        <f ca="1">141.5/(L368/1000)-131.5</f>
        <v>38.980465091553469</v>
      </c>
      <c r="M367" s="1917">
        <f ca="1">IF(M363=0,0,141.5/(M368/1000)-131.5)</f>
        <v>38.980465091553498</v>
      </c>
      <c r="N367" s="337">
        <f ca="1">IF(Constants!$H$209=1,F462,G451)</f>
        <v>24.787724032405976</v>
      </c>
      <c r="O367" s="1917"/>
      <c r="P367" s="1917"/>
      <c r="Q367" s="1969"/>
      <c r="R367" s="1917"/>
      <c r="S367" s="1917"/>
      <c r="T367" s="1917"/>
      <c r="U367" s="1917"/>
      <c r="V367" s="1917"/>
      <c r="W367" s="346"/>
    </row>
    <row r="368" spans="1:23" x14ac:dyDescent="0.2">
      <c r="A368" s="436"/>
      <c r="B368" s="345"/>
      <c r="C368" s="442" t="str">
        <f t="shared" si="24"/>
        <v>Density</v>
      </c>
      <c r="D368" s="1917" t="str">
        <f t="shared" ca="1" si="28"/>
        <v>kg/m^3</v>
      </c>
      <c r="E368" s="1917">
        <f t="shared" ca="1" si="25"/>
        <v>905.24616445999914</v>
      </c>
      <c r="F368" s="1917">
        <f ca="1">F912</f>
        <v>933.99999999997431</v>
      </c>
      <c r="G368" s="1917">
        <f t="shared" ca="1" si="26"/>
        <v>0</v>
      </c>
      <c r="H368" s="1917">
        <f t="shared" ca="1" si="27"/>
        <v>0</v>
      </c>
      <c r="I368" s="1917">
        <f ca="1">I364/I363</f>
        <v>905.24616445999925</v>
      </c>
      <c r="J368" s="1917"/>
      <c r="K368" s="1917">
        <f ca="1">K364/K363</f>
        <v>723.89324403209366</v>
      </c>
      <c r="L368" s="1917">
        <f ca="1">L364/L363</f>
        <v>830.00712089804517</v>
      </c>
      <c r="M368" s="1917">
        <f ca="1">IF(M363=0,0,M364/M363)</f>
        <v>830.00712089804506</v>
      </c>
      <c r="N368" s="337">
        <f ca="1">IF(Constants!$H$209=1,F463,G452)</f>
        <v>905.38141031895907</v>
      </c>
      <c r="O368" s="1917"/>
      <c r="P368" s="1917"/>
      <c r="Q368" s="1969"/>
      <c r="R368" s="1917"/>
      <c r="S368" s="1917"/>
      <c r="T368" s="1917"/>
      <c r="U368" s="1917"/>
      <c r="V368" s="1917"/>
      <c r="W368" s="346"/>
    </row>
    <row r="369" spans="1:23" x14ac:dyDescent="0.2">
      <c r="A369" s="436"/>
      <c r="B369" s="345"/>
      <c r="C369" s="442" t="str">
        <f t="shared" si="24"/>
        <v>Hydrogen</v>
      </c>
      <c r="D369" s="1917" t="str">
        <f t="shared" ca="1" si="28"/>
        <v>wt%</v>
      </c>
      <c r="E369" s="1917">
        <f t="shared" ca="1" si="25"/>
        <v>12.331915988948833</v>
      </c>
      <c r="F369" s="1917">
        <f ca="1">F913</f>
        <v>11.000000000000131</v>
      </c>
      <c r="G369" s="1917">
        <f t="shared" ca="1" si="26"/>
        <v>0</v>
      </c>
      <c r="H369" s="1917">
        <f t="shared" ca="1" si="27"/>
        <v>0</v>
      </c>
      <c r="I369" s="1917">
        <f ca="1">(E364*E369+F364*F369+G364*G369+H364*H369)/I364</f>
        <v>12.331915988948833</v>
      </c>
      <c r="J369" s="1917">
        <f ca="1">H376</f>
        <v>20.738223340772556</v>
      </c>
      <c r="K369" s="1917">
        <f ca="1">IF(Constants!H209=1,G464,SUMPRODUCT(H453:J453,H448:J448)/K364)</f>
        <v>14.666871318973451</v>
      </c>
      <c r="L369" s="1917">
        <f ca="1">IF(Constants!H209=1,SUMPRODUCT(H464:J464,H459:J459)/L364,K453)</f>
        <v>13.386945726864486</v>
      </c>
      <c r="M369" s="1917">
        <f ca="1">IF(Constants!H209=1,SUMPRODUCT(K464:L464,K459:L459)/M364,K453)</f>
        <v>13.386945726864486</v>
      </c>
      <c r="N369" s="337">
        <f ca="1">IF(Constants!$H$209=1,F464,G453)</f>
        <v>13.996195315233706</v>
      </c>
      <c r="O369" s="1917"/>
      <c r="P369" s="1917"/>
      <c r="Q369" s="1969"/>
      <c r="R369" s="1917"/>
      <c r="S369" s="1917"/>
      <c r="T369" s="1917"/>
      <c r="U369" s="1917"/>
      <c r="V369" s="1917"/>
      <c r="W369" s="346"/>
    </row>
    <row r="370" spans="1:23" x14ac:dyDescent="0.2">
      <c r="A370" s="436"/>
      <c r="B370" s="345"/>
      <c r="C370" s="442" t="str">
        <f t="shared" si="24"/>
        <v>MCR</v>
      </c>
      <c r="D370" s="1917" t="str">
        <f t="shared" ca="1" si="28"/>
        <v>wt%</v>
      </c>
      <c r="E370" s="1917">
        <f t="shared" si="21"/>
        <v>0</v>
      </c>
      <c r="F370" s="1917">
        <f>F914</f>
        <v>0</v>
      </c>
      <c r="G370" s="1917" t="str">
        <f t="shared" ca="1" si="26"/>
        <v/>
      </c>
      <c r="H370" s="1917" t="str">
        <f t="shared" ca="1" si="27"/>
        <v/>
      </c>
      <c r="I370" s="1917"/>
      <c r="J370" s="1917" t="str">
        <f ca="1">CokingRefineryCalcs!G548</f>
        <v/>
      </c>
      <c r="K370" s="1917"/>
      <c r="L370" s="1917"/>
      <c r="M370" s="1917"/>
      <c r="N370" s="337"/>
      <c r="O370" s="1917"/>
      <c r="P370" s="1917"/>
      <c r="Q370" s="1969"/>
      <c r="R370" s="1917"/>
      <c r="S370" s="1917"/>
      <c r="T370" s="1917"/>
      <c r="U370" s="1917"/>
      <c r="V370" s="1917"/>
      <c r="W370" s="346"/>
    </row>
    <row r="371" spans="1:23" ht="15" x14ac:dyDescent="0.2">
      <c r="A371" s="436"/>
      <c r="B371" s="345"/>
      <c r="C371" s="443" t="str">
        <f t="shared" si="24"/>
        <v>Characterization Factor</v>
      </c>
      <c r="D371" s="334" t="str">
        <f t="shared" ca="1" si="28"/>
        <v xml:space="preserve">Kw (Approximate) </v>
      </c>
      <c r="E371" s="334">
        <f ca="1">F604</f>
        <v>11.585905176337844</v>
      </c>
      <c r="F371" s="920">
        <v>12</v>
      </c>
      <c r="G371" s="334">
        <f t="shared" ca="1" si="26"/>
        <v>0</v>
      </c>
      <c r="H371" s="334">
        <f t="shared" ca="1" si="27"/>
        <v>0</v>
      </c>
      <c r="I371" s="334">
        <f ca="1">(E364*E371+F364*F371+G364*G371+H364*H371)/I364</f>
        <v>11.585905176337844</v>
      </c>
      <c r="J371" s="334"/>
      <c r="K371" s="334"/>
      <c r="L371" s="389"/>
      <c r="M371" s="389"/>
      <c r="N371" s="390"/>
      <c r="O371" s="391"/>
      <c r="P371" s="391"/>
      <c r="Q371" s="391"/>
      <c r="R371" s="391"/>
      <c r="S371" s="1917"/>
      <c r="T371" s="1917"/>
      <c r="U371" s="1917"/>
      <c r="V371" s="1917"/>
      <c r="W371" s="346"/>
    </row>
    <row r="372" spans="1:23" x14ac:dyDescent="0.2">
      <c r="A372" s="436"/>
      <c r="B372" s="345"/>
      <c r="C372" s="437"/>
      <c r="D372" s="1917"/>
      <c r="E372" s="1917"/>
      <c r="F372" s="1917"/>
      <c r="G372" s="1917"/>
      <c r="H372" s="1917"/>
      <c r="I372" s="1917"/>
      <c r="J372" s="1917"/>
      <c r="K372" s="1917"/>
      <c r="L372" s="1917"/>
      <c r="M372" s="1917"/>
      <c r="N372" s="1917"/>
      <c r="O372" s="1917"/>
      <c r="P372" s="1917"/>
      <c r="Q372" s="1969"/>
      <c r="R372" s="1917"/>
      <c r="S372" s="1917"/>
      <c r="T372" s="1917"/>
      <c r="U372" s="1917"/>
      <c r="V372" s="1917"/>
      <c r="W372" s="346"/>
    </row>
    <row r="373" spans="1:23" x14ac:dyDescent="0.2">
      <c r="A373" s="436"/>
      <c r="B373" s="345"/>
      <c r="C373" s="440" t="s">
        <v>1303</v>
      </c>
      <c r="D373" s="1917"/>
      <c r="E373" s="1917"/>
      <c r="F373" s="1917"/>
      <c r="G373" s="440" t="s">
        <v>1315</v>
      </c>
      <c r="H373" s="1917"/>
      <c r="I373" s="1917"/>
      <c r="J373" s="1917"/>
      <c r="K373" s="1917"/>
      <c r="L373" s="1917"/>
      <c r="M373" s="1917"/>
      <c r="N373" s="1917"/>
      <c r="O373" s="1917"/>
      <c r="P373" s="1917"/>
      <c r="Q373" s="1969"/>
      <c r="R373" s="1917"/>
      <c r="S373" s="1917"/>
      <c r="T373" s="1917"/>
      <c r="U373" s="1917"/>
      <c r="V373" s="1917"/>
      <c r="W373" s="346"/>
    </row>
    <row r="374" spans="1:23" x14ac:dyDescent="0.2">
      <c r="A374" s="436"/>
      <c r="B374" s="345"/>
      <c r="C374" s="468"/>
      <c r="D374" s="382" t="s">
        <v>624</v>
      </c>
      <c r="E374" s="383" t="s">
        <v>623</v>
      </c>
      <c r="F374" s="1917"/>
      <c r="G374" s="441"/>
      <c r="H374" s="1918" t="s">
        <v>624</v>
      </c>
      <c r="I374" s="1919" t="s">
        <v>623</v>
      </c>
      <c r="J374" s="1917"/>
      <c r="K374" s="1917"/>
      <c r="L374" s="1917"/>
      <c r="M374" s="1917"/>
      <c r="N374" s="1917"/>
      <c r="O374" s="1917"/>
      <c r="P374" s="1917"/>
      <c r="Q374" s="1969"/>
      <c r="R374" s="1917"/>
      <c r="S374" s="1917"/>
      <c r="T374" s="1917"/>
      <c r="U374" s="1917"/>
      <c r="V374" s="1917"/>
      <c r="W374" s="346"/>
    </row>
    <row r="375" spans="1:23" x14ac:dyDescent="0.2">
      <c r="A375" s="436"/>
      <c r="B375" s="345"/>
      <c r="C375" s="471" t="s">
        <v>1780</v>
      </c>
      <c r="D375" s="364">
        <f ca="1">IF(Constants!H209=1,D419,J408)</f>
        <v>4.0741184345877685E-8</v>
      </c>
      <c r="E375" s="479" t="s">
        <v>622</v>
      </c>
      <c r="F375" s="1917"/>
      <c r="G375" s="442" t="s">
        <v>363</v>
      </c>
      <c r="H375" s="1917">
        <f ca="1">IF(Constants!H209=1,CokingRefineryCalcs!E459,(E448+F448))</f>
        <v>4.01525055866854E-8</v>
      </c>
      <c r="I375" s="337" t="s">
        <v>622</v>
      </c>
      <c r="J375" s="1917"/>
      <c r="K375" s="362"/>
      <c r="L375" s="1917"/>
      <c r="M375" s="1917"/>
      <c r="N375" s="1917"/>
      <c r="O375" s="1917"/>
      <c r="P375" s="1917"/>
      <c r="Q375" s="1969"/>
      <c r="R375" s="1917"/>
      <c r="S375" s="1917"/>
      <c r="T375" s="1917"/>
      <c r="U375" s="1917"/>
      <c r="V375" s="1917"/>
      <c r="W375" s="346"/>
    </row>
    <row r="376" spans="1:23" x14ac:dyDescent="0.2">
      <c r="A376" s="436"/>
      <c r="B376" s="345"/>
      <c r="C376" s="461" t="s">
        <v>635</v>
      </c>
      <c r="D376" s="913">
        <f ca="1">Constants!H193</f>
        <v>107.52653348774533</v>
      </c>
      <c r="E376" s="339" t="s">
        <v>637</v>
      </c>
      <c r="F376" s="1917"/>
      <c r="G376" s="442" t="s">
        <v>377</v>
      </c>
      <c r="H376" s="1917">
        <f ca="1">IF(Constants!H209=1,E464,(J401/H375)*100)</f>
        <v>20.738223340772556</v>
      </c>
      <c r="I376" s="337" t="s">
        <v>579</v>
      </c>
      <c r="J376" s="1917"/>
      <c r="K376" s="363"/>
      <c r="L376" s="1917"/>
      <c r="M376" s="1917"/>
      <c r="N376" s="1917"/>
      <c r="O376" s="1917"/>
      <c r="P376" s="1917"/>
      <c r="Q376" s="1969"/>
      <c r="R376" s="1917"/>
      <c r="S376" s="1917"/>
      <c r="T376" s="1917"/>
      <c r="U376" s="1917"/>
      <c r="V376" s="1917"/>
      <c r="W376" s="346"/>
    </row>
    <row r="377" spans="1:23" x14ac:dyDescent="0.2">
      <c r="A377" s="436"/>
      <c r="B377" s="345"/>
      <c r="C377" s="461" t="s">
        <v>634</v>
      </c>
      <c r="D377" s="1917">
        <f ca="1">D376*'Energy &amp; Unit Conversions'!G82/'Energy &amp; Unit Conversions'!G80</f>
        <v>18.118781529271129</v>
      </c>
      <c r="E377" s="339" t="s">
        <v>636</v>
      </c>
      <c r="F377" s="1917"/>
      <c r="G377" s="442" t="s">
        <v>378</v>
      </c>
      <c r="H377" s="1917">
        <f ca="1">IF(Constants!H209=1,E460,(J390/H375)*100)</f>
        <v>8.4313001253205329</v>
      </c>
      <c r="I377" s="337" t="s">
        <v>579</v>
      </c>
      <c r="J377" s="1917"/>
      <c r="K377" s="363"/>
      <c r="L377" s="1917"/>
      <c r="M377" s="1917"/>
      <c r="N377" s="1917"/>
      <c r="O377" s="1917"/>
      <c r="P377" s="1917"/>
      <c r="Q377" s="1969"/>
      <c r="R377" s="1917"/>
      <c r="S377" s="1917"/>
      <c r="T377" s="1917"/>
      <c r="U377" s="1917"/>
      <c r="V377" s="1917"/>
      <c r="W377" s="346"/>
    </row>
    <row r="378" spans="1:23" x14ac:dyDescent="0.2">
      <c r="A378" s="436"/>
      <c r="B378" s="345"/>
      <c r="C378" s="461" t="s">
        <v>542</v>
      </c>
      <c r="D378" s="1917">
        <f ca="1">D376*I362/1000</f>
        <v>1.2024173538623429E-9</v>
      </c>
      <c r="E378" s="339" t="s">
        <v>472</v>
      </c>
      <c r="F378" s="1917"/>
      <c r="G378" s="442" t="s">
        <v>379</v>
      </c>
      <c r="H378" s="1917">
        <f ca="1">H375/(D375+I364)*100</f>
        <v>2.433251182819141</v>
      </c>
      <c r="I378" s="337" t="s">
        <v>579</v>
      </c>
      <c r="J378" s="1917"/>
      <c r="K378" s="363"/>
      <c r="L378" s="1917"/>
      <c r="M378" s="1917"/>
      <c r="N378" s="1917"/>
      <c r="O378" s="1917"/>
      <c r="P378" s="1917"/>
      <c r="Q378" s="1969"/>
      <c r="R378" s="1917"/>
      <c r="S378" s="1917"/>
      <c r="T378" s="1917"/>
      <c r="U378" s="1917"/>
      <c r="V378" s="1917"/>
      <c r="W378" s="346"/>
    </row>
    <row r="379" spans="1:23" ht="17.25" customHeight="1" x14ac:dyDescent="0.2">
      <c r="A379" s="436"/>
      <c r="B379" s="345"/>
      <c r="C379" s="471" t="s">
        <v>542</v>
      </c>
      <c r="D379" s="364">
        <f ca="1">D377*I363</f>
        <v>3.2212988166596645E-8</v>
      </c>
      <c r="E379" s="479" t="s">
        <v>628</v>
      </c>
      <c r="F379" s="1917"/>
      <c r="G379" s="443" t="s">
        <v>1092</v>
      </c>
      <c r="H379" s="334">
        <v>2E-3</v>
      </c>
      <c r="I379" s="338" t="s">
        <v>1091</v>
      </c>
      <c r="J379" s="1917"/>
      <c r="K379" s="392"/>
      <c r="L379" s="1917"/>
      <c r="M379" s="1917"/>
      <c r="N379" s="1917"/>
      <c r="O379" s="1917"/>
      <c r="P379" s="1917"/>
      <c r="Q379" s="1969"/>
      <c r="R379" s="1917"/>
      <c r="S379" s="1917"/>
      <c r="T379" s="1917"/>
      <c r="U379" s="1917"/>
      <c r="V379" s="1917"/>
      <c r="W379" s="346"/>
    </row>
    <row r="380" spans="1:23" x14ac:dyDescent="0.2">
      <c r="A380" s="436"/>
      <c r="B380" s="345"/>
      <c r="C380" s="461" t="s">
        <v>631</v>
      </c>
      <c r="D380" s="1917">
        <f ca="1">D379*'Energy &amp; Unit Conversions'!P25*'Energy &amp; Unit Conversions'!G87</f>
        <v>1.3655301675308909E-11</v>
      </c>
      <c r="E380" s="339" t="s">
        <v>632</v>
      </c>
      <c r="F380" s="1917"/>
      <c r="G380" s="1917"/>
      <c r="H380" s="1917"/>
      <c r="I380" s="1917"/>
      <c r="J380" s="1917"/>
      <c r="K380" s="393"/>
      <c r="L380" s="1917"/>
      <c r="M380" s="1917"/>
      <c r="N380" s="1917"/>
      <c r="O380" s="1917"/>
      <c r="P380" s="1917"/>
      <c r="Q380" s="1969"/>
      <c r="R380" s="1917"/>
      <c r="S380" s="1917"/>
      <c r="T380" s="1917"/>
      <c r="U380" s="1917"/>
      <c r="V380" s="1917"/>
      <c r="W380" s="346"/>
    </row>
    <row r="381" spans="1:23" x14ac:dyDescent="0.2">
      <c r="A381" s="436"/>
      <c r="B381" s="345"/>
      <c r="C381" s="461" t="s">
        <v>451</v>
      </c>
      <c r="D381" s="913">
        <f ca="1">Constants!H204</f>
        <v>6.4</v>
      </c>
      <c r="E381" s="339" t="s">
        <v>665</v>
      </c>
      <c r="F381" s="1917"/>
      <c r="G381" s="1917"/>
      <c r="H381" s="1917"/>
      <c r="I381" s="1917"/>
      <c r="J381" s="1917"/>
      <c r="K381" s="1917"/>
      <c r="L381" s="1917"/>
      <c r="M381" s="1917"/>
      <c r="N381" s="1917"/>
      <c r="O381" s="1917"/>
      <c r="P381" s="1917"/>
      <c r="Q381" s="1969"/>
      <c r="R381" s="1917"/>
      <c r="S381" s="1917"/>
      <c r="T381" s="1917"/>
      <c r="U381" s="1917"/>
      <c r="V381" s="1917"/>
      <c r="W381" s="346"/>
    </row>
    <row r="382" spans="1:23" x14ac:dyDescent="0.2">
      <c r="A382" s="436"/>
      <c r="B382" s="345"/>
      <c r="C382" s="461" t="s">
        <v>451</v>
      </c>
      <c r="D382" s="1917">
        <f ca="1">D381/'Energy &amp; Unit Conversions'!G80</f>
        <v>40.254787646560452</v>
      </c>
      <c r="E382" s="339" t="s">
        <v>629</v>
      </c>
      <c r="F382" s="1917"/>
      <c r="G382" s="1917"/>
      <c r="H382" s="1917"/>
      <c r="I382" s="1917"/>
      <c r="J382" s="1917"/>
      <c r="K382" s="1917"/>
      <c r="L382" s="1917"/>
      <c r="M382" s="1917"/>
      <c r="N382" s="1917"/>
      <c r="O382" s="1917"/>
      <c r="P382" s="1917"/>
      <c r="Q382" s="1969"/>
      <c r="R382" s="1917"/>
      <c r="S382" s="1917"/>
      <c r="T382" s="1917"/>
      <c r="U382" s="1917"/>
      <c r="V382" s="1917"/>
      <c r="W382" s="346"/>
    </row>
    <row r="383" spans="1:23" x14ac:dyDescent="0.2">
      <c r="A383" s="436"/>
      <c r="B383" s="345"/>
      <c r="C383" s="469" t="s">
        <v>452</v>
      </c>
      <c r="D383" s="408">
        <f ca="1">I363*D382</f>
        <v>7.1568112679797666E-8</v>
      </c>
      <c r="E383" s="409" t="s">
        <v>627</v>
      </c>
      <c r="F383" s="1917"/>
      <c r="G383" s="1917"/>
      <c r="H383" s="1917"/>
      <c r="I383" s="1917"/>
      <c r="J383" s="1917"/>
      <c r="K383" s="1917"/>
      <c r="L383" s="1917"/>
      <c r="M383" s="1917"/>
      <c r="N383" s="1917"/>
      <c r="O383" s="1917"/>
      <c r="P383" s="1917"/>
      <c r="Q383" s="1969"/>
      <c r="R383" s="1917"/>
      <c r="S383" s="1917"/>
      <c r="T383" s="1917"/>
      <c r="U383" s="1917"/>
      <c r="V383" s="1917"/>
      <c r="W383" s="346"/>
    </row>
    <row r="384" spans="1:23" x14ac:dyDescent="0.2">
      <c r="A384" s="436"/>
      <c r="B384" s="345"/>
      <c r="C384" s="437"/>
      <c r="D384" s="1917"/>
      <c r="E384" s="1917"/>
      <c r="F384" s="1917"/>
      <c r="G384" s="1917"/>
      <c r="H384" s="1917"/>
      <c r="I384" s="1917"/>
      <c r="J384" s="1917"/>
      <c r="K384" s="1917"/>
      <c r="L384" s="1917"/>
      <c r="M384" s="1917"/>
      <c r="N384" s="1917"/>
      <c r="O384" s="1917"/>
      <c r="P384" s="1917"/>
      <c r="Q384" s="1969"/>
      <c r="R384" s="1917"/>
      <c r="S384" s="1917"/>
      <c r="T384" s="1917"/>
      <c r="U384" s="1917"/>
      <c r="V384" s="1917"/>
      <c r="W384" s="346"/>
    </row>
    <row r="385" spans="1:23" x14ac:dyDescent="0.2">
      <c r="A385" s="436"/>
      <c r="B385" s="345"/>
      <c r="C385" s="440" t="s">
        <v>387</v>
      </c>
      <c r="D385" s="1911"/>
      <c r="E385" s="1910"/>
      <c r="F385" s="1917"/>
      <c r="G385" s="1917"/>
      <c r="H385" s="1917"/>
      <c r="I385" s="440" t="s">
        <v>387</v>
      </c>
      <c r="J385" s="1911"/>
      <c r="K385" s="1910"/>
      <c r="L385" s="1917"/>
      <c r="M385" s="1917"/>
      <c r="N385" s="1917"/>
      <c r="O385" s="1917"/>
      <c r="P385" s="1917"/>
      <c r="Q385" s="1969"/>
      <c r="R385" s="1917"/>
      <c r="S385" s="1917"/>
      <c r="T385" s="1917"/>
      <c r="U385" s="1917"/>
      <c r="V385" s="1917"/>
      <c r="W385" s="346"/>
    </row>
    <row r="386" spans="1:23" x14ac:dyDescent="0.2">
      <c r="A386" s="436"/>
      <c r="B386" s="345"/>
      <c r="C386" s="441" t="s">
        <v>1389</v>
      </c>
      <c r="D386" s="918">
        <v>99.9</v>
      </c>
      <c r="E386" s="369" t="s">
        <v>579</v>
      </c>
      <c r="F386" s="1917"/>
      <c r="G386" s="1917"/>
      <c r="H386" s="1917"/>
      <c r="I386" s="441" t="s">
        <v>1389</v>
      </c>
      <c r="J386" s="918">
        <v>99.9</v>
      </c>
      <c r="K386" s="369" t="s">
        <v>579</v>
      </c>
      <c r="L386" s="1917"/>
      <c r="M386" s="1917"/>
      <c r="N386" s="1917"/>
      <c r="O386" s="1917"/>
      <c r="P386" s="1917"/>
      <c r="Q386" s="1969"/>
      <c r="R386" s="1917"/>
      <c r="S386" s="1917"/>
      <c r="T386" s="1917"/>
      <c r="U386" s="1917"/>
      <c r="V386" s="1917"/>
      <c r="W386" s="346"/>
    </row>
    <row r="387" spans="1:23" x14ac:dyDescent="0.2">
      <c r="A387" s="436"/>
      <c r="B387" s="345"/>
      <c r="C387" s="442" t="s">
        <v>1443</v>
      </c>
      <c r="D387" s="1917">
        <f ca="1">I364*I365/100</f>
        <v>3.3887670208704103E-9</v>
      </c>
      <c r="E387" s="337" t="s">
        <v>59</v>
      </c>
      <c r="F387" s="1917"/>
      <c r="G387" s="1917"/>
      <c r="H387" s="1917"/>
      <c r="I387" s="442" t="s">
        <v>1443</v>
      </c>
      <c r="J387" s="1917">
        <f ca="1">I364*I365/100</f>
        <v>3.3887670208704103E-9</v>
      </c>
      <c r="K387" s="337" t="s">
        <v>59</v>
      </c>
      <c r="L387" s="1917"/>
      <c r="M387" s="1917"/>
      <c r="N387" s="1917"/>
      <c r="O387" s="1917"/>
      <c r="P387" s="1917"/>
      <c r="Q387" s="1969"/>
      <c r="R387" s="1917"/>
      <c r="S387" s="1917"/>
      <c r="T387" s="1917"/>
      <c r="U387" s="1917"/>
      <c r="V387" s="1917"/>
      <c r="W387" s="346"/>
    </row>
    <row r="388" spans="1:23" x14ac:dyDescent="0.2">
      <c r="A388" s="436"/>
      <c r="B388" s="345"/>
      <c r="C388" s="442" t="s">
        <v>1444</v>
      </c>
      <c r="D388" s="1917">
        <f ca="1">D387*(D386/100)</f>
        <v>3.3853782538495402E-9</v>
      </c>
      <c r="E388" s="337" t="s">
        <v>59</v>
      </c>
      <c r="F388" s="1917"/>
      <c r="G388" s="1917"/>
      <c r="H388" s="1917"/>
      <c r="I388" s="442" t="s">
        <v>1444</v>
      </c>
      <c r="J388" s="1917">
        <f ca="1">J387*(J386/100)</f>
        <v>3.3853782538495402E-9</v>
      </c>
      <c r="K388" s="337" t="s">
        <v>59</v>
      </c>
      <c r="L388" s="1917"/>
      <c r="M388" s="1917"/>
      <c r="N388" s="1917"/>
      <c r="O388" s="1917"/>
      <c r="P388" s="1917"/>
      <c r="Q388" s="1969"/>
      <c r="R388" s="1917"/>
      <c r="S388" s="1917"/>
      <c r="T388" s="1917"/>
      <c r="U388" s="1917"/>
      <c r="V388" s="1917"/>
      <c r="W388" s="346"/>
    </row>
    <row r="389" spans="1:23" x14ac:dyDescent="0.2">
      <c r="A389" s="436"/>
      <c r="B389" s="345"/>
      <c r="C389" s="442" t="s">
        <v>1445</v>
      </c>
      <c r="D389" s="1917">
        <f ca="1">D387-D388</f>
        <v>3.3887670208701738E-12</v>
      </c>
      <c r="E389" s="337" t="s">
        <v>59</v>
      </c>
      <c r="F389" s="1917"/>
      <c r="G389" s="1917"/>
      <c r="H389" s="1917"/>
      <c r="I389" s="442" t="s">
        <v>1445</v>
      </c>
      <c r="J389" s="1917">
        <f ca="1">J387-J388</f>
        <v>3.3887670208701738E-12</v>
      </c>
      <c r="K389" s="337" t="s">
        <v>59</v>
      </c>
      <c r="L389" s="1917"/>
      <c r="M389" s="1917"/>
      <c r="N389" s="1917"/>
      <c r="O389" s="1917"/>
      <c r="P389" s="1917"/>
      <c r="Q389" s="1969"/>
      <c r="R389" s="1917"/>
      <c r="S389" s="1917"/>
      <c r="T389" s="1917"/>
      <c r="U389" s="1917"/>
      <c r="V389" s="1917"/>
      <c r="W389" s="346"/>
    </row>
    <row r="390" spans="1:23" x14ac:dyDescent="0.2">
      <c r="A390" s="436"/>
      <c r="B390" s="345"/>
      <c r="C390" s="442" t="s">
        <v>60</v>
      </c>
      <c r="D390" s="1917">
        <f ca="1">D387-D389</f>
        <v>3.3853782538495402E-9</v>
      </c>
      <c r="E390" s="337" t="s">
        <v>59</v>
      </c>
      <c r="F390" s="437"/>
      <c r="G390" s="1917"/>
      <c r="H390" s="1917"/>
      <c r="I390" s="442" t="s">
        <v>60</v>
      </c>
      <c r="J390" s="1917">
        <f ca="1">J387-J389</f>
        <v>3.3853782538495402E-9</v>
      </c>
      <c r="K390" s="337" t="s">
        <v>59</v>
      </c>
      <c r="L390" s="1917"/>
      <c r="M390" s="1917"/>
      <c r="N390" s="1917"/>
      <c r="O390" s="1917"/>
      <c r="P390" s="1917"/>
      <c r="Q390" s="1969"/>
      <c r="R390" s="1917"/>
      <c r="S390" s="1917"/>
      <c r="T390" s="1917"/>
      <c r="U390" s="1917"/>
      <c r="V390" s="1917"/>
      <c r="W390" s="346"/>
    </row>
    <row r="391" spans="1:23" x14ac:dyDescent="0.2">
      <c r="A391" s="436"/>
      <c r="B391" s="345"/>
      <c r="C391" s="442" t="s">
        <v>343</v>
      </c>
      <c r="D391" s="914">
        <v>5</v>
      </c>
      <c r="E391" s="337" t="s">
        <v>579</v>
      </c>
      <c r="F391" s="931" t="s">
        <v>743</v>
      </c>
      <c r="G391" s="930"/>
      <c r="H391" s="1917"/>
      <c r="I391" s="442" t="str">
        <f>C424</f>
        <v>C3 and Lighthers</v>
      </c>
      <c r="J391" s="394">
        <f ca="1">G424</f>
        <v>2.2713522937730968</v>
      </c>
      <c r="K391" s="337" t="s">
        <v>579</v>
      </c>
      <c r="L391" s="1917"/>
      <c r="M391" s="1917"/>
      <c r="N391" s="1917"/>
      <c r="O391" s="1917"/>
      <c r="P391" s="1917"/>
      <c r="Q391" s="1969"/>
      <c r="R391" s="1917"/>
      <c r="S391" s="1917"/>
      <c r="T391" s="1917"/>
      <c r="U391" s="1917"/>
      <c r="V391" s="1917"/>
      <c r="W391" s="346"/>
    </row>
    <row r="392" spans="1:23" x14ac:dyDescent="0.2">
      <c r="A392" s="436"/>
      <c r="B392" s="345"/>
      <c r="C392" s="442" t="s">
        <v>1518</v>
      </c>
      <c r="D392" s="913">
        <f>Constants!N376</f>
        <v>21.263257011562782</v>
      </c>
      <c r="E392" s="337" t="s">
        <v>579</v>
      </c>
      <c r="F392" s="931" t="s">
        <v>744</v>
      </c>
      <c r="G392" s="930"/>
      <c r="H392" s="1917"/>
      <c r="I392" s="442" t="s">
        <v>346</v>
      </c>
      <c r="J392" s="913">
        <f>Constants!H207</f>
        <v>22.2</v>
      </c>
      <c r="K392" s="337" t="s">
        <v>579</v>
      </c>
      <c r="L392" s="1917"/>
      <c r="M392" s="1917"/>
      <c r="N392" s="1917"/>
      <c r="O392" s="1917"/>
      <c r="P392" s="1917"/>
      <c r="Q392" s="1969"/>
      <c r="R392" s="1917"/>
      <c r="S392" s="1917"/>
      <c r="T392" s="1917"/>
      <c r="U392" s="1917"/>
      <c r="V392" s="1917"/>
      <c r="W392" s="346"/>
    </row>
    <row r="393" spans="1:23" x14ac:dyDescent="0.2">
      <c r="A393" s="436"/>
      <c r="B393" s="345"/>
      <c r="C393" s="442" t="s">
        <v>343</v>
      </c>
      <c r="D393" s="1917">
        <f ca="1">D391/100*I364</f>
        <v>8.0470874756388814E-8</v>
      </c>
      <c r="E393" s="337" t="s">
        <v>622</v>
      </c>
      <c r="F393" s="931" t="s">
        <v>745</v>
      </c>
      <c r="G393" s="930">
        <f>(D391-1)/0.09</f>
        <v>44.444444444444443</v>
      </c>
      <c r="H393" s="1917"/>
      <c r="I393" s="443" t="str">
        <f>I391</f>
        <v>C3 and Lighthers</v>
      </c>
      <c r="J393" s="334">
        <f ca="1">I364*(J391/100)</f>
        <v>3.6555541191970266E-8</v>
      </c>
      <c r="K393" s="338" t="s">
        <v>622</v>
      </c>
      <c r="L393" s="1917"/>
      <c r="M393" s="1917"/>
      <c r="N393" s="1917"/>
      <c r="O393" s="1917"/>
      <c r="P393" s="1917"/>
      <c r="Q393" s="1969"/>
      <c r="R393" s="1917"/>
      <c r="S393" s="1917"/>
      <c r="T393" s="1917"/>
      <c r="U393" s="1917"/>
      <c r="V393" s="1917"/>
      <c r="W393" s="346"/>
    </row>
    <row r="394" spans="1:23" x14ac:dyDescent="0.2">
      <c r="A394" s="436"/>
      <c r="B394" s="345"/>
      <c r="C394" s="442" t="s">
        <v>345</v>
      </c>
      <c r="D394" s="1917">
        <f ca="1">D393*I369/100</f>
        <v>9.9236006705301026E-9</v>
      </c>
      <c r="E394" s="337" t="s">
        <v>622</v>
      </c>
      <c r="F394" s="931" t="s">
        <v>746</v>
      </c>
      <c r="G394" s="930"/>
      <c r="H394" s="1917"/>
      <c r="I394" s="444"/>
      <c r="J394" s="1917"/>
      <c r="K394" s="1917"/>
      <c r="L394" s="1917"/>
      <c r="M394" s="1917"/>
      <c r="N394" s="1917"/>
      <c r="O394" s="1917"/>
      <c r="P394" s="1917"/>
      <c r="Q394" s="1969"/>
      <c r="R394" s="1917"/>
      <c r="S394" s="1917"/>
      <c r="T394" s="1917"/>
      <c r="U394" s="1917"/>
      <c r="V394" s="1917"/>
      <c r="W394" s="346"/>
    </row>
    <row r="395" spans="1:23" x14ac:dyDescent="0.2">
      <c r="A395" s="436"/>
      <c r="B395" s="345"/>
      <c r="C395" s="442" t="s">
        <v>344</v>
      </c>
      <c r="D395" s="1917">
        <f ca="1">D393*I365/100</f>
        <v>1.6943835104352053E-10</v>
      </c>
      <c r="E395" s="337" t="s">
        <v>622</v>
      </c>
      <c r="F395" s="931" t="s">
        <v>748</v>
      </c>
      <c r="G395" s="930"/>
      <c r="H395" s="1917"/>
      <c r="I395" s="441" t="s">
        <v>875</v>
      </c>
      <c r="J395" s="918">
        <f>'Process Correlations'!E22</f>
        <v>1500</v>
      </c>
      <c r="K395" s="369" t="str">
        <f>'Process Correlations'!F22</f>
        <v>scf/bbl feed</v>
      </c>
      <c r="L395" s="1917"/>
      <c r="M395" s="1917"/>
      <c r="N395" s="1917"/>
      <c r="O395" s="1917"/>
      <c r="P395" s="1917"/>
      <c r="Q395" s="1969"/>
      <c r="R395" s="1917"/>
      <c r="S395" s="1917"/>
      <c r="T395" s="1917"/>
      <c r="U395" s="1917"/>
      <c r="V395" s="1917"/>
      <c r="W395" s="346"/>
    </row>
    <row r="396" spans="1:23" x14ac:dyDescent="0.2">
      <c r="A396" s="436"/>
      <c r="B396" s="345"/>
      <c r="C396" s="442" t="s">
        <v>347</v>
      </c>
      <c r="D396" s="1917">
        <f ca="1">D393-D394-D395</f>
        <v>7.0377835734815197E-8</v>
      </c>
      <c r="E396" s="337" t="s">
        <v>622</v>
      </c>
      <c r="F396" s="931" t="s">
        <v>747</v>
      </c>
      <c r="G396" s="930"/>
      <c r="H396" s="1917"/>
      <c r="I396" s="442" t="s">
        <v>876</v>
      </c>
      <c r="J396" s="1917">
        <f ca="1">J395*('Energy &amp; Unit Conversions'!E26/'Energy &amp; Unit Conversions'!E93)*I362</f>
        <v>4.0392956261981734E-8</v>
      </c>
      <c r="K396" s="337" t="s">
        <v>622</v>
      </c>
      <c r="L396" s="1917"/>
      <c r="M396" s="1917"/>
      <c r="N396" s="1917"/>
      <c r="O396" s="1917"/>
      <c r="P396" s="1917"/>
      <c r="Q396" s="1969"/>
      <c r="R396" s="1917"/>
      <c r="S396" s="1917"/>
      <c r="T396" s="1917"/>
      <c r="U396" s="1917"/>
      <c r="V396" s="1917"/>
      <c r="W396" s="346"/>
    </row>
    <row r="397" spans="1:23" x14ac:dyDescent="0.2">
      <c r="A397" s="436"/>
      <c r="B397" s="345"/>
      <c r="C397" s="442" t="s">
        <v>349</v>
      </c>
      <c r="D397" s="1917">
        <f ca="1">D395*(34/32)</f>
        <v>1.8002824798374057E-10</v>
      </c>
      <c r="E397" s="337" t="s">
        <v>622</v>
      </c>
      <c r="F397" s="931" t="s">
        <v>749</v>
      </c>
      <c r="G397" s="930"/>
      <c r="H397" s="1917"/>
      <c r="I397" s="442" t="s">
        <v>349</v>
      </c>
      <c r="J397" s="1917">
        <f ca="1">J390*(34/32)</f>
        <v>3.5969643947151366E-9</v>
      </c>
      <c r="K397" s="337" t="s">
        <v>622</v>
      </c>
      <c r="L397" s="1917"/>
      <c r="M397" s="1917"/>
      <c r="N397" s="1917"/>
      <c r="O397" s="1917"/>
      <c r="P397" s="1917"/>
      <c r="Q397" s="1969"/>
      <c r="R397" s="1917"/>
      <c r="S397" s="1917"/>
      <c r="T397" s="1917"/>
      <c r="U397" s="1917"/>
      <c r="V397" s="1917"/>
      <c r="W397" s="346"/>
    </row>
    <row r="398" spans="1:23" x14ac:dyDescent="0.2">
      <c r="A398" s="436"/>
      <c r="B398" s="345"/>
      <c r="C398" s="442" t="s">
        <v>348</v>
      </c>
      <c r="D398" s="1917">
        <f ca="1">D396/(100-D392)*100</f>
        <v>8.9383727423358678E-8</v>
      </c>
      <c r="E398" s="337" t="s">
        <v>622</v>
      </c>
      <c r="F398" s="1917"/>
      <c r="G398" s="1917"/>
      <c r="H398" s="1917"/>
      <c r="I398" s="442" t="s">
        <v>1446</v>
      </c>
      <c r="J398" s="1917">
        <f ca="1">2/32*J390</f>
        <v>2.1158614086559626E-10</v>
      </c>
      <c r="K398" s="337" t="s">
        <v>622</v>
      </c>
      <c r="L398" s="1917"/>
      <c r="M398" s="1917"/>
      <c r="N398" s="1917"/>
      <c r="O398" s="1917"/>
      <c r="P398" s="1917"/>
      <c r="Q398" s="1969"/>
      <c r="R398" s="1917"/>
      <c r="S398" s="1917"/>
      <c r="T398" s="1917"/>
      <c r="U398" s="1917"/>
      <c r="V398" s="1917"/>
      <c r="W398" s="346"/>
    </row>
    <row r="399" spans="1:23" x14ac:dyDescent="0.2">
      <c r="A399" s="436"/>
      <c r="B399" s="345"/>
      <c r="C399" s="442" t="s">
        <v>65</v>
      </c>
      <c r="D399" s="1917">
        <f ca="1">D395/32*2</f>
        <v>1.0589896940220033E-11</v>
      </c>
      <c r="E399" s="337" t="s">
        <v>622</v>
      </c>
      <c r="F399" s="1917"/>
      <c r="G399" s="1917"/>
      <c r="H399" s="1917"/>
      <c r="I399" s="442" t="s">
        <v>1387</v>
      </c>
      <c r="J399" s="1917">
        <f ca="1">J398</f>
        <v>2.1158614086559626E-10</v>
      </c>
      <c r="K399" s="337" t="s">
        <v>622</v>
      </c>
      <c r="L399" s="1917"/>
      <c r="M399" s="1917"/>
      <c r="N399" s="1917"/>
      <c r="O399" s="1917"/>
      <c r="P399" s="1917"/>
      <c r="Q399" s="1969"/>
      <c r="R399" s="1917"/>
      <c r="S399" s="1917"/>
      <c r="T399" s="1917"/>
      <c r="U399" s="1917"/>
      <c r="V399" s="1917"/>
      <c r="W399" s="346"/>
    </row>
    <row r="400" spans="1:23" x14ac:dyDescent="0.2">
      <c r="A400" s="436"/>
      <c r="B400" s="345"/>
      <c r="C400" s="442" t="s">
        <v>66</v>
      </c>
      <c r="D400" s="1917">
        <f ca="1">D398*(D392/100)</f>
        <v>1.9005891688543481E-8</v>
      </c>
      <c r="E400" s="337" t="s">
        <v>622</v>
      </c>
      <c r="F400" s="1917"/>
      <c r="G400" s="1917"/>
      <c r="H400" s="1917"/>
      <c r="I400" s="442" t="s">
        <v>1388</v>
      </c>
      <c r="J400" s="1917">
        <f ca="1">(J399+J398)*'Energy &amp; Unit Conversions'!$E$93/'Energy &amp; Unit Conversions'!$E$26*'Energy &amp; Unit Conversions'!$G$82/I363/(I365-N365)</f>
        <v>12.588605657199755</v>
      </c>
      <c r="K400" s="337" t="s">
        <v>904</v>
      </c>
      <c r="L400" s="1917"/>
      <c r="M400" s="1917"/>
      <c r="N400" s="1917"/>
      <c r="O400" s="1917"/>
      <c r="P400" s="1917"/>
      <c r="Q400" s="1969"/>
      <c r="R400" s="1917"/>
      <c r="S400" s="1917"/>
      <c r="T400" s="1917"/>
      <c r="U400" s="1917"/>
      <c r="V400" s="1917"/>
      <c r="W400" s="346"/>
    </row>
    <row r="401" spans="1:23" x14ac:dyDescent="0.2">
      <c r="A401" s="436"/>
      <c r="B401" s="345"/>
      <c r="C401" s="442" t="s">
        <v>67</v>
      </c>
      <c r="D401" s="1917">
        <f ca="1">(D399+D400)-D394</f>
        <v>9.0928809149535966E-9</v>
      </c>
      <c r="E401" s="337" t="s">
        <v>622</v>
      </c>
      <c r="F401" s="1917"/>
      <c r="G401" s="1917"/>
      <c r="H401" s="1917"/>
      <c r="I401" s="442" t="s">
        <v>867</v>
      </c>
      <c r="J401" s="1917">
        <f ca="1">J393*(J392/100)+J398</f>
        <v>8.3269162854829956E-9</v>
      </c>
      <c r="K401" s="337" t="s">
        <v>622</v>
      </c>
      <c r="L401" s="1917"/>
      <c r="M401" s="1917"/>
      <c r="N401" s="1917"/>
      <c r="O401" s="1917"/>
      <c r="P401" s="1917"/>
      <c r="Q401" s="1969"/>
      <c r="R401" s="1917"/>
      <c r="S401" s="1917"/>
      <c r="T401" s="1917"/>
      <c r="U401" s="1917"/>
      <c r="V401" s="1917"/>
      <c r="W401" s="346"/>
    </row>
    <row r="402" spans="1:23" x14ac:dyDescent="0.2">
      <c r="A402" s="436"/>
      <c r="B402" s="345"/>
      <c r="C402" s="442" t="s">
        <v>1394</v>
      </c>
      <c r="D402" s="1917">
        <f ca="1">I364*(1-D391/100)</f>
        <v>1.5289466203713873E-6</v>
      </c>
      <c r="E402" s="337" t="s">
        <v>622</v>
      </c>
      <c r="F402" s="1917"/>
      <c r="G402" s="1917"/>
      <c r="H402" s="1917"/>
      <c r="I402" s="442" t="s">
        <v>868</v>
      </c>
      <c r="J402" s="1917">
        <f ca="1">SUM(O425:O429)</f>
        <v>2.2529087000177676E-7</v>
      </c>
      <c r="K402" s="337" t="s">
        <v>622</v>
      </c>
      <c r="L402" s="1917"/>
      <c r="M402" s="1917"/>
      <c r="N402" s="1917"/>
      <c r="O402" s="1917"/>
      <c r="P402" s="1917"/>
      <c r="Q402" s="1969"/>
      <c r="R402" s="1917"/>
      <c r="S402" s="1917"/>
      <c r="T402" s="1917"/>
      <c r="U402" s="1917"/>
      <c r="V402" s="1917"/>
      <c r="W402" s="346"/>
    </row>
    <row r="403" spans="1:23" x14ac:dyDescent="0.2">
      <c r="A403" s="436"/>
      <c r="B403" s="345"/>
      <c r="C403" s="442" t="s">
        <v>376</v>
      </c>
      <c r="D403" s="1917">
        <f ca="1">D390-D395</f>
        <v>3.2159399028060195E-9</v>
      </c>
      <c r="E403" s="337" t="s">
        <v>622</v>
      </c>
      <c r="F403" s="1917"/>
      <c r="G403" s="1917"/>
      <c r="H403" s="1917"/>
      <c r="I403" s="442" t="s">
        <v>905</v>
      </c>
      <c r="J403" s="1917">
        <f ca="1">D409*I363*(I366-N366)/10000/'Energy &amp; Unit Conversions'!$G$82*'Energy &amp; Unit Conversions'!$E$26/'Energy &amp; Unit Conversions'!$E$93</f>
        <v>3.1152066478303512E-10</v>
      </c>
      <c r="K403" s="337" t="s">
        <v>622</v>
      </c>
      <c r="L403" s="1917"/>
      <c r="M403" s="1917"/>
      <c r="N403" s="1917"/>
      <c r="O403" s="1917"/>
      <c r="P403" s="1917"/>
      <c r="Q403" s="1969"/>
      <c r="R403" s="1917"/>
      <c r="S403" s="1917"/>
      <c r="T403" s="1917"/>
      <c r="U403" s="1917"/>
      <c r="V403" s="1917"/>
      <c r="W403" s="346"/>
    </row>
    <row r="404" spans="1:23" x14ac:dyDescent="0.2">
      <c r="A404" s="436"/>
      <c r="B404" s="345"/>
      <c r="C404" s="442" t="s">
        <v>349</v>
      </c>
      <c r="D404" s="1917">
        <f ca="1">D403*(34/32)</f>
        <v>3.4169361467313958E-9</v>
      </c>
      <c r="E404" s="337" t="s">
        <v>622</v>
      </c>
      <c r="F404" s="1917"/>
      <c r="G404" s="1917"/>
      <c r="H404" s="1917"/>
      <c r="I404" s="442" t="s">
        <v>905</v>
      </c>
      <c r="J404" s="913">
        <v>34</v>
      </c>
      <c r="K404" s="337" t="s">
        <v>904</v>
      </c>
      <c r="L404" s="1917"/>
      <c r="M404" s="1917"/>
      <c r="N404" s="1917"/>
      <c r="O404" s="1917"/>
      <c r="P404" s="1917"/>
      <c r="Q404" s="1969"/>
      <c r="R404" s="1917"/>
      <c r="S404" s="1917"/>
      <c r="T404" s="1917"/>
      <c r="U404" s="1917"/>
      <c r="V404" s="1917"/>
      <c r="W404" s="346"/>
    </row>
    <row r="405" spans="1:23" x14ac:dyDescent="0.2">
      <c r="A405" s="436"/>
      <c r="B405" s="345"/>
      <c r="C405" s="442" t="s">
        <v>1446</v>
      </c>
      <c r="D405" s="1917">
        <f ca="1">2/32*D403</f>
        <v>2.0099624392537622E-10</v>
      </c>
      <c r="E405" s="337" t="s">
        <v>622</v>
      </c>
      <c r="F405" s="1917"/>
      <c r="G405" s="1917"/>
      <c r="H405" s="1917"/>
      <c r="I405" s="442" t="s">
        <v>869</v>
      </c>
      <c r="J405" s="1917">
        <f ca="1">I364*(I369/100)</f>
        <v>1.9847201341060203E-7</v>
      </c>
      <c r="K405" s="337" t="s">
        <v>622</v>
      </c>
      <c r="L405" s="1917"/>
      <c r="M405" s="1917"/>
      <c r="N405" s="1917"/>
      <c r="O405" s="1917"/>
      <c r="P405" s="1917"/>
      <c r="Q405" s="1969"/>
      <c r="R405" s="1917"/>
      <c r="S405" s="1917"/>
      <c r="T405" s="1917"/>
      <c r="U405" s="1917"/>
      <c r="V405" s="1917"/>
      <c r="W405" s="346"/>
    </row>
    <row r="406" spans="1:23" x14ac:dyDescent="0.2">
      <c r="A406" s="436"/>
      <c r="B406" s="345"/>
      <c r="C406" s="442" t="s">
        <v>1395</v>
      </c>
      <c r="D406" s="1917">
        <f ca="1">D405</f>
        <v>2.0099624392537622E-10</v>
      </c>
      <c r="E406" s="337" t="s">
        <v>622</v>
      </c>
      <c r="F406" s="1917"/>
      <c r="G406" s="1917"/>
      <c r="H406" s="1917"/>
      <c r="I406" s="442" t="s">
        <v>870</v>
      </c>
      <c r="J406" s="1917">
        <f ca="1">J399+J401+J402+J403-J405</f>
        <v>3.5668879682306358E-8</v>
      </c>
      <c r="K406" s="337" t="s">
        <v>622</v>
      </c>
      <c r="L406" s="1917"/>
      <c r="M406" s="1917"/>
      <c r="N406" s="1917"/>
      <c r="O406" s="1917"/>
      <c r="P406" s="1917"/>
      <c r="Q406" s="1969"/>
      <c r="R406" s="1917"/>
      <c r="S406" s="1917"/>
      <c r="T406" s="1917"/>
      <c r="U406" s="1917"/>
      <c r="V406" s="1917"/>
      <c r="W406" s="346"/>
    </row>
    <row r="407" spans="1:23" x14ac:dyDescent="0.2">
      <c r="A407" s="436"/>
      <c r="B407" s="345"/>
      <c r="C407" s="442" t="s">
        <v>1393</v>
      </c>
      <c r="D407" s="1917">
        <f ca="1">(D406+D405)*'Energy &amp; Unit Conversions'!$E$93/'Energy &amp; Unit Conversions'!$E$26*'Energy &amp; Unit Conversions'!$G$82/I363/(I365-N365)</f>
        <v>11.958545313996559</v>
      </c>
      <c r="E407" s="337" t="s">
        <v>904</v>
      </c>
      <c r="F407" s="1917"/>
      <c r="G407" s="1917"/>
      <c r="H407" s="1917"/>
      <c r="I407" s="442" t="s">
        <v>873</v>
      </c>
      <c r="J407" s="1917">
        <f ca="1">I362*'Energy &amp; Unit Conversions'!G79</f>
        <v>5.0723046635713242E-9</v>
      </c>
      <c r="K407" s="337" t="s">
        <v>622</v>
      </c>
      <c r="L407" s="1917"/>
      <c r="M407" s="1917"/>
      <c r="N407" s="1917"/>
      <c r="O407" s="1917"/>
      <c r="P407" s="1917"/>
      <c r="Q407" s="1969"/>
      <c r="R407" s="1917"/>
      <c r="S407" s="1917"/>
      <c r="T407" s="1917"/>
      <c r="U407" s="1917"/>
      <c r="V407" s="1917"/>
      <c r="W407" s="346"/>
    </row>
    <row r="408" spans="1:23" x14ac:dyDescent="0.2">
      <c r="A408" s="436"/>
      <c r="B408" s="345"/>
      <c r="C408" s="442" t="s">
        <v>905</v>
      </c>
      <c r="D408" s="1917">
        <f ca="1">D409*I363*(I366-N366)/10000/'Energy &amp; Unit Conversions'!$G$82*'Energy &amp; Unit Conversions'!$E$26/'Energy &amp; Unit Conversions'!$E$93</f>
        <v>3.1152066478303512E-10</v>
      </c>
      <c r="E408" s="337" t="s">
        <v>622</v>
      </c>
      <c r="F408" s="1917"/>
      <c r="G408" s="1917"/>
      <c r="H408" s="1917"/>
      <c r="I408" s="450" t="s">
        <v>871</v>
      </c>
      <c r="J408" s="364">
        <f ca="1">SUM(J406,J407)</f>
        <v>4.0741184345877685E-8</v>
      </c>
      <c r="K408" s="365" t="s">
        <v>622</v>
      </c>
      <c r="L408" s="1917"/>
      <c r="M408" s="1917"/>
      <c r="N408" s="1917"/>
      <c r="O408" s="1917"/>
      <c r="P408" s="1917"/>
      <c r="Q408" s="1969"/>
      <c r="R408" s="1917"/>
      <c r="S408" s="1917"/>
      <c r="T408" s="1917"/>
      <c r="U408" s="1917"/>
      <c r="V408" s="1917"/>
      <c r="W408" s="346"/>
    </row>
    <row r="409" spans="1:23" x14ac:dyDescent="0.2">
      <c r="A409" s="436"/>
      <c r="B409" s="345"/>
      <c r="C409" s="442" t="s">
        <v>905</v>
      </c>
      <c r="D409" s="913">
        <v>34</v>
      </c>
      <c r="E409" s="337" t="s">
        <v>904</v>
      </c>
      <c r="F409" s="1917"/>
      <c r="G409" s="1917"/>
      <c r="H409" s="1917"/>
      <c r="I409" s="443"/>
      <c r="J409" s="334">
        <f ca="1">J408*'Energy &amp; Unit Conversions'!E93/'Energy &amp; Unit Conversions'!E26/CokingRefineryCalcs!I362</f>
        <v>1512.9315151497233</v>
      </c>
      <c r="K409" s="338" t="s">
        <v>872</v>
      </c>
      <c r="L409" s="1917"/>
      <c r="M409" s="1917"/>
      <c r="N409" s="1917"/>
      <c r="O409" s="1917"/>
      <c r="P409" s="1917"/>
      <c r="Q409" s="1969"/>
      <c r="R409" s="1917"/>
      <c r="S409" s="1917"/>
      <c r="T409" s="1917"/>
      <c r="U409" s="1917"/>
      <c r="V409" s="1917"/>
      <c r="W409" s="346"/>
    </row>
    <row r="410" spans="1:23" x14ac:dyDescent="0.2">
      <c r="A410" s="436"/>
      <c r="B410" s="345"/>
      <c r="C410" s="442" t="s">
        <v>1390</v>
      </c>
      <c r="D410" s="1917">
        <f ca="1">D402-D403+D406</f>
        <v>1.5259316767125067E-6</v>
      </c>
      <c r="E410" s="337" t="s">
        <v>622</v>
      </c>
      <c r="F410" s="1917"/>
      <c r="G410" s="1917"/>
      <c r="H410" s="1917"/>
      <c r="I410" s="437"/>
      <c r="J410" s="1917"/>
      <c r="K410" s="1917"/>
      <c r="L410" s="1917"/>
      <c r="M410" s="1917"/>
      <c r="N410" s="1917"/>
      <c r="O410" s="1917"/>
      <c r="P410" s="1917"/>
      <c r="Q410" s="1969"/>
      <c r="R410" s="1917"/>
      <c r="S410" s="1917"/>
      <c r="T410" s="1917"/>
      <c r="U410" s="1917"/>
      <c r="V410" s="1917"/>
      <c r="W410" s="346"/>
    </row>
    <row r="411" spans="1:23" x14ac:dyDescent="0.2">
      <c r="A411" s="436"/>
      <c r="B411" s="345"/>
      <c r="C411" s="442" t="s">
        <v>1391</v>
      </c>
      <c r="D411" s="1917">
        <f ca="1">I364*(I369/100)-D394</f>
        <v>1.8854841274007192E-7</v>
      </c>
      <c r="E411" s="337" t="s">
        <v>622</v>
      </c>
      <c r="F411" s="1917"/>
      <c r="G411" s="1917"/>
      <c r="H411" s="1917"/>
      <c r="I411" s="1917"/>
      <c r="J411" s="1917"/>
      <c r="K411" s="1917"/>
      <c r="L411" s="1917"/>
      <c r="M411" s="1917"/>
      <c r="N411" s="1917"/>
      <c r="O411" s="1917"/>
      <c r="P411" s="1917"/>
      <c r="Q411" s="1969"/>
      <c r="R411" s="1917"/>
      <c r="S411" s="1917"/>
      <c r="T411" s="1917"/>
      <c r="U411" s="1917"/>
      <c r="V411" s="1917"/>
      <c r="W411" s="346"/>
    </row>
    <row r="412" spans="1:23" x14ac:dyDescent="0.2">
      <c r="A412" s="436"/>
      <c r="B412" s="345"/>
      <c r="C412" s="442" t="s">
        <v>1392</v>
      </c>
      <c r="D412" s="1917">
        <f ca="1">(D406+D411)/D410*100</f>
        <v>12.369453486321369</v>
      </c>
      <c r="E412" s="337" t="s">
        <v>579</v>
      </c>
      <c r="F412" s="1917"/>
      <c r="G412" s="1917"/>
      <c r="H412" s="1917"/>
      <c r="I412" s="1917"/>
      <c r="J412" s="1917"/>
      <c r="K412" s="1917"/>
      <c r="L412" s="1917"/>
      <c r="M412" s="1917"/>
      <c r="N412" s="1917"/>
      <c r="O412" s="1917"/>
      <c r="P412" s="1917"/>
      <c r="Q412" s="1969"/>
      <c r="R412" s="1917"/>
      <c r="S412" s="1917"/>
      <c r="T412" s="1917"/>
      <c r="U412" s="1917"/>
      <c r="V412" s="1917"/>
      <c r="W412" s="346"/>
    </row>
    <row r="413" spans="1:23" x14ac:dyDescent="0.2">
      <c r="A413" s="436"/>
      <c r="B413" s="345"/>
      <c r="C413" s="442" t="s">
        <v>71</v>
      </c>
      <c r="D413" s="913">
        <v>2</v>
      </c>
      <c r="E413" s="337" t="s">
        <v>579</v>
      </c>
      <c r="F413" s="1917"/>
      <c r="G413" s="1917"/>
      <c r="H413" s="1917"/>
      <c r="I413" s="1917"/>
      <c r="J413" s="1917"/>
      <c r="K413" s="1917"/>
      <c r="L413" s="1917"/>
      <c r="M413" s="1917"/>
      <c r="N413" s="1917"/>
      <c r="O413" s="1917"/>
      <c r="P413" s="1917"/>
      <c r="Q413" s="1969"/>
      <c r="R413" s="1917"/>
      <c r="S413" s="1917"/>
      <c r="T413" s="1917"/>
      <c r="U413" s="1917"/>
      <c r="V413" s="1917"/>
      <c r="W413" s="346"/>
    </row>
    <row r="414" spans="1:23" x14ac:dyDescent="0.2">
      <c r="A414" s="436"/>
      <c r="B414" s="345"/>
      <c r="C414" s="442" t="s">
        <v>767</v>
      </c>
      <c r="D414" s="1917">
        <f ca="1">I369+D413</f>
        <v>14.331915988948833</v>
      </c>
      <c r="E414" s="337" t="s">
        <v>579</v>
      </c>
      <c r="F414" s="1917"/>
      <c r="G414" s="1917"/>
      <c r="H414" s="1917"/>
      <c r="I414" s="1917"/>
      <c r="J414" s="1917"/>
      <c r="K414" s="1917"/>
      <c r="L414" s="1917"/>
      <c r="M414" s="1917"/>
      <c r="N414" s="1917"/>
      <c r="O414" s="1917"/>
      <c r="P414" s="1917"/>
      <c r="Q414" s="1969"/>
      <c r="R414" s="1917"/>
      <c r="S414" s="1917"/>
      <c r="T414" s="1917"/>
      <c r="U414" s="1917"/>
      <c r="V414" s="1917"/>
      <c r="W414" s="346"/>
    </row>
    <row r="415" spans="1:23" x14ac:dyDescent="0.2">
      <c r="A415" s="436"/>
      <c r="B415" s="345"/>
      <c r="C415" s="442" t="s">
        <v>768</v>
      </c>
      <c r="D415" s="1917">
        <f ca="1">D410*(D414-D412)/100</f>
        <v>2.9945836971197478E-8</v>
      </c>
      <c r="E415" s="337" t="s">
        <v>622</v>
      </c>
      <c r="F415" s="1917"/>
      <c r="G415" s="1917"/>
      <c r="H415" s="1917"/>
      <c r="I415" s="1917"/>
      <c r="J415" s="1917"/>
      <c r="K415" s="1917"/>
      <c r="L415" s="1917"/>
      <c r="M415" s="1917"/>
      <c r="N415" s="1917"/>
      <c r="O415" s="1917"/>
      <c r="P415" s="1917"/>
      <c r="Q415" s="1969"/>
      <c r="R415" s="1917"/>
      <c r="S415" s="1917"/>
      <c r="T415" s="1917"/>
      <c r="U415" s="1917"/>
      <c r="V415" s="1917"/>
      <c r="W415" s="346"/>
    </row>
    <row r="416" spans="1:23" x14ac:dyDescent="0.2">
      <c r="A416" s="436"/>
      <c r="B416" s="345"/>
      <c r="C416" s="442" t="s">
        <v>382</v>
      </c>
      <c r="D416" s="1917">
        <f ca="1">D415</f>
        <v>2.9945836971197478E-8</v>
      </c>
      <c r="E416" s="337" t="s">
        <v>622</v>
      </c>
      <c r="F416" s="1917"/>
      <c r="G416" s="1917"/>
      <c r="H416" s="1917"/>
      <c r="I416" s="1917"/>
      <c r="J416" s="1917"/>
      <c r="K416" s="1917"/>
      <c r="L416" s="1917"/>
      <c r="M416" s="1917"/>
      <c r="N416" s="1917"/>
      <c r="O416" s="1917"/>
      <c r="P416" s="1917"/>
      <c r="Q416" s="1969"/>
      <c r="R416" s="1917"/>
      <c r="S416" s="1917"/>
      <c r="T416" s="1917"/>
      <c r="U416" s="1917"/>
      <c r="V416" s="1917"/>
      <c r="W416" s="346"/>
    </row>
    <row r="417" spans="1:23" x14ac:dyDescent="0.2">
      <c r="A417" s="436"/>
      <c r="B417" s="345"/>
      <c r="C417" s="442" t="s">
        <v>383</v>
      </c>
      <c r="D417" s="1917">
        <f ca="1">D418*(D392/100)</f>
        <v>8.0870252410420299E-9</v>
      </c>
      <c r="E417" s="337" t="s">
        <v>622</v>
      </c>
      <c r="F417" s="1917"/>
      <c r="G417" s="1917"/>
      <c r="H417" s="1917"/>
      <c r="I417" s="1917"/>
      <c r="J417" s="1917"/>
      <c r="K417" s="1917"/>
      <c r="L417" s="1917"/>
      <c r="M417" s="1917"/>
      <c r="N417" s="1917"/>
      <c r="O417" s="1917"/>
      <c r="P417" s="1917"/>
      <c r="Q417" s="1969"/>
      <c r="R417" s="1917"/>
      <c r="S417" s="1917"/>
      <c r="T417" s="1917"/>
      <c r="U417" s="1917"/>
      <c r="V417" s="1917"/>
      <c r="W417" s="346"/>
    </row>
    <row r="418" spans="1:23" x14ac:dyDescent="0.2">
      <c r="A418" s="436"/>
      <c r="B418" s="345"/>
      <c r="C418" s="442" t="s">
        <v>385</v>
      </c>
      <c r="D418" s="1917">
        <f ca="1">D416/(100-D392)*100</f>
        <v>3.8032862212239507E-8</v>
      </c>
      <c r="E418" s="337" t="s">
        <v>622</v>
      </c>
      <c r="F418" s="1917"/>
      <c r="G418" s="1917"/>
      <c r="H418" s="1917"/>
      <c r="I418" s="1917"/>
      <c r="J418" s="1917"/>
      <c r="K418" s="1917"/>
      <c r="L418" s="1917"/>
      <c r="M418" s="1917"/>
      <c r="N418" s="1917"/>
      <c r="O418" s="1917"/>
      <c r="P418" s="1917"/>
      <c r="Q418" s="1969"/>
      <c r="R418" s="1917"/>
      <c r="S418" s="1917"/>
      <c r="T418" s="1917"/>
      <c r="U418" s="1917"/>
      <c r="V418" s="1917"/>
      <c r="W418" s="346"/>
    </row>
    <row r="419" spans="1:23" x14ac:dyDescent="0.2">
      <c r="A419" s="436"/>
      <c r="B419" s="345"/>
      <c r="C419" s="442" t="s">
        <v>880</v>
      </c>
      <c r="D419" s="1911">
        <f ca="1">D401+D405+D406+D415+D417+D408</f>
        <v>4.7839256279826894E-8</v>
      </c>
      <c r="E419" s="1912" t="s">
        <v>622</v>
      </c>
      <c r="F419" s="1917"/>
      <c r="G419" s="1917"/>
      <c r="H419" s="1917"/>
      <c r="I419" s="1917"/>
      <c r="J419" s="1917"/>
      <c r="K419" s="1917"/>
      <c r="L419" s="1917"/>
      <c r="M419" s="1917"/>
      <c r="N419" s="1917"/>
      <c r="O419" s="1917"/>
      <c r="P419" s="1917"/>
      <c r="Q419" s="1969"/>
      <c r="R419" s="1917"/>
      <c r="S419" s="1917"/>
      <c r="T419" s="1917"/>
      <c r="U419" s="1917"/>
      <c r="V419" s="1917"/>
      <c r="W419" s="346"/>
    </row>
    <row r="420" spans="1:23" x14ac:dyDescent="0.2">
      <c r="A420" s="436"/>
      <c r="B420" s="345"/>
      <c r="C420" s="443" t="s">
        <v>947</v>
      </c>
      <c r="D420" s="334">
        <f ca="1">L365-D326</f>
        <v>4.017723721006432E-6</v>
      </c>
      <c r="E420" s="338"/>
      <c r="F420" s="1917"/>
      <c r="G420" s="1917"/>
      <c r="H420" s="1917"/>
      <c r="I420" s="1917"/>
      <c r="J420" s="1917"/>
      <c r="K420" s="1917"/>
      <c r="L420" s="1917"/>
      <c r="M420" s="1917"/>
      <c r="N420" s="1917"/>
      <c r="O420" s="1917"/>
      <c r="P420" s="1917"/>
      <c r="Q420" s="1969"/>
      <c r="R420" s="1917"/>
      <c r="S420" s="1917"/>
      <c r="T420" s="1917"/>
      <c r="U420" s="1917"/>
      <c r="V420" s="1917"/>
      <c r="W420" s="346"/>
    </row>
    <row r="421" spans="1:23" x14ac:dyDescent="0.2">
      <c r="A421" s="436"/>
      <c r="B421" s="345"/>
      <c r="C421" s="437"/>
      <c r="D421" s="1917"/>
      <c r="E421" s="1917"/>
      <c r="F421" s="1917"/>
      <c r="G421" s="1917"/>
      <c r="H421" s="1917"/>
      <c r="I421" s="1917"/>
      <c r="J421" s="1917"/>
      <c r="K421" s="1917"/>
      <c r="L421" s="1917"/>
      <c r="M421" s="1917"/>
      <c r="N421" s="1917"/>
      <c r="O421" s="1917"/>
      <c r="P421" s="1917"/>
      <c r="Q421" s="1969"/>
      <c r="R421" s="1917"/>
      <c r="S421" s="1917"/>
      <c r="T421" s="1917"/>
      <c r="U421" s="1917"/>
      <c r="V421" s="1917"/>
      <c r="W421" s="346"/>
    </row>
    <row r="422" spans="1:23" ht="14.25" customHeight="1" x14ac:dyDescent="0.2">
      <c r="A422" s="436"/>
      <c r="B422" s="345"/>
      <c r="C422" s="440" t="s">
        <v>655</v>
      </c>
      <c r="D422" s="350"/>
      <c r="E422" s="358"/>
      <c r="F422" s="358"/>
      <c r="G422" s="358"/>
      <c r="H422" s="358"/>
      <c r="I422" s="358"/>
      <c r="J422" s="358"/>
      <c r="K422" s="358"/>
      <c r="L422" s="358"/>
      <c r="M422" s="358"/>
      <c r="N422" s="358"/>
      <c r="O422" s="358"/>
      <c r="P422" s="358"/>
      <c r="Q422" s="358"/>
      <c r="R422" s="358"/>
      <c r="S422" s="1917"/>
      <c r="T422" s="1917"/>
      <c r="U422" s="1917"/>
      <c r="V422" s="1917"/>
      <c r="W422" s="346"/>
    </row>
    <row r="423" spans="1:23" x14ac:dyDescent="0.2">
      <c r="A423" s="477"/>
      <c r="B423" s="396"/>
      <c r="C423" s="441"/>
      <c r="D423" s="1918" t="s">
        <v>571</v>
      </c>
      <c r="E423" s="1918" t="s">
        <v>580</v>
      </c>
      <c r="F423" s="1918" t="s">
        <v>664</v>
      </c>
      <c r="G423" s="1918" t="s">
        <v>661</v>
      </c>
      <c r="H423" s="1918"/>
      <c r="I423" s="356"/>
      <c r="J423" s="356" t="s">
        <v>61</v>
      </c>
      <c r="K423" s="356" t="s">
        <v>63</v>
      </c>
      <c r="L423" s="1918" t="s">
        <v>662</v>
      </c>
      <c r="M423" s="356"/>
      <c r="N423" s="356"/>
      <c r="O423" s="356" t="s">
        <v>70</v>
      </c>
      <c r="P423" s="1919" t="s">
        <v>666</v>
      </c>
      <c r="Q423" s="1968"/>
      <c r="R423" s="1911"/>
      <c r="S423" s="1911"/>
      <c r="T423" s="1911"/>
      <c r="U423" s="1911"/>
      <c r="V423" s="1911"/>
      <c r="W423" s="1927"/>
    </row>
    <row r="424" spans="1:23" x14ac:dyDescent="0.2">
      <c r="A424" s="436"/>
      <c r="B424" s="345"/>
      <c r="C424" s="459" t="s">
        <v>865</v>
      </c>
      <c r="D424" s="361"/>
      <c r="E424" s="1917"/>
      <c r="F424" s="1917">
        <f ca="1">I364*G424/100</f>
        <v>3.6555541191970266E-8</v>
      </c>
      <c r="G424" s="1917">
        <f ca="1">'Process Correlations'!K17</f>
        <v>2.2713522937730968</v>
      </c>
      <c r="H424" s="1917"/>
      <c r="I424" s="1917"/>
      <c r="J424" s="361"/>
      <c r="K424" s="1917">
        <f ca="1">$D$389*J424/100</f>
        <v>0</v>
      </c>
      <c r="L424" s="1917">
        <f>J392</f>
        <v>22.2</v>
      </c>
      <c r="M424" s="1917"/>
      <c r="N424" s="1917"/>
      <c r="O424" s="1917">
        <f ca="1">F424*(L424/100)</f>
        <v>8.1153301446173988E-9</v>
      </c>
      <c r="P424" s="337">
        <f t="shared" ref="P424:P429" si="29">D424*E424</f>
        <v>0</v>
      </c>
      <c r="Q424" s="1969"/>
      <c r="R424" s="1917"/>
      <c r="S424" s="1917"/>
      <c r="T424" s="1917"/>
      <c r="U424" s="1917"/>
      <c r="V424" s="1917"/>
      <c r="W424" s="346"/>
    </row>
    <row r="425" spans="1:23" ht="18" x14ac:dyDescent="0.2">
      <c r="A425" s="436"/>
      <c r="B425" s="345"/>
      <c r="C425" s="459" t="s">
        <v>866</v>
      </c>
      <c r="D425" s="1917">
        <f ca="1">'Process Correlations'!K18+'Process Correlations'!K19</f>
        <v>7.9530149043805949</v>
      </c>
      <c r="E425" s="913">
        <v>625</v>
      </c>
      <c r="F425" s="1917">
        <f ca="1">$I$363*(D425/100)*E425</f>
        <v>8.8371827939181503E-8</v>
      </c>
      <c r="G425" s="1917">
        <f ca="1">F425/$F$430*100</f>
        <v>5.3681875793942897</v>
      </c>
      <c r="H425" s="1917"/>
      <c r="I425" s="1917"/>
      <c r="J425" s="914">
        <v>0</v>
      </c>
      <c r="K425" s="1917">
        <f ca="1">$D$389*J425/100</f>
        <v>0</v>
      </c>
      <c r="L425" s="914">
        <v>17.2</v>
      </c>
      <c r="M425" s="1917"/>
      <c r="N425" s="1917"/>
      <c r="O425" s="1917">
        <f ca="1">F425*(L425/100)</f>
        <v>1.5199954405539217E-8</v>
      </c>
      <c r="P425" s="337">
        <f ca="1">D425*E425</f>
        <v>4970.6343152378722</v>
      </c>
      <c r="Q425" s="1969"/>
      <c r="R425" s="1917"/>
      <c r="S425" s="1917"/>
      <c r="T425" s="1917"/>
      <c r="U425" s="1917"/>
      <c r="V425" s="1917"/>
      <c r="W425" s="346"/>
    </row>
    <row r="426" spans="1:23" ht="18.75" x14ac:dyDescent="0.2">
      <c r="A426" s="436"/>
      <c r="B426" s="345"/>
      <c r="C426" s="459" t="s">
        <v>1220</v>
      </c>
      <c r="D426" s="1917">
        <f ca="1">'Process Correlations'!K15</f>
        <v>14.126136597478855</v>
      </c>
      <c r="E426" s="1917">
        <f ca="1">'Process Correlations'!K24</f>
        <v>663.92674547418267</v>
      </c>
      <c r="F426" s="1917">
        <f ca="1">$I$363*(D426/100)*E426</f>
        <v>1.6674222412864005E-7</v>
      </c>
      <c r="G426" s="1917">
        <f ca="1">F426/$F$430*100</f>
        <v>10.128833559309927</v>
      </c>
      <c r="H426" s="1917"/>
      <c r="I426" s="1917"/>
      <c r="J426" s="914">
        <v>0</v>
      </c>
      <c r="K426" s="1917">
        <f ca="1">$D$389*J426/100</f>
        <v>0</v>
      </c>
      <c r="L426" s="1917">
        <f ca="1">'Process Correlations'!I24</f>
        <v>16.007324225096358</v>
      </c>
      <c r="M426" s="1917"/>
      <c r="N426" s="1917"/>
      <c r="O426" s="1917">
        <f ca="1">F426*(L426/100)</f>
        <v>2.6690968436408266E-8</v>
      </c>
      <c r="P426" s="337">
        <f ca="1">D426*E426</f>
        <v>9378.7198972878796</v>
      </c>
      <c r="Q426" s="1969"/>
      <c r="R426" s="1917"/>
      <c r="S426" s="1917"/>
      <c r="T426" s="1917"/>
      <c r="U426" s="1917"/>
      <c r="V426" s="1917"/>
      <c r="W426" s="346"/>
    </row>
    <row r="427" spans="1:23" ht="17.25" x14ac:dyDescent="0.2">
      <c r="A427" s="436"/>
      <c r="B427" s="345"/>
      <c r="C427" s="459" t="s">
        <v>1221</v>
      </c>
      <c r="D427" s="1917">
        <f ca="1">'Process Correlations'!K16</f>
        <v>37.455192316425411</v>
      </c>
      <c r="E427" s="1917">
        <f ca="1">'Process Correlations'!K25</f>
        <v>767.50787507791995</v>
      </c>
      <c r="F427" s="1917">
        <f ca="1">$I$363*(D427/100)*E427</f>
        <v>5.1108942643273213E-7</v>
      </c>
      <c r="G427" s="1917">
        <f ca="1">F427/$F$430*100</f>
        <v>31.046363698894368</v>
      </c>
      <c r="H427" s="1917"/>
      <c r="I427" s="1917"/>
      <c r="J427" s="914">
        <v>0</v>
      </c>
      <c r="K427" s="1917">
        <f ca="1">$D$389*J427/100</f>
        <v>0</v>
      </c>
      <c r="L427" s="1917">
        <f ca="1">'Process Correlations'!I25</f>
        <v>13.791550313065304</v>
      </c>
      <c r="M427" s="1917"/>
      <c r="N427" s="1917"/>
      <c r="O427" s="1917">
        <f ca="1">F427*(L427/100)</f>
        <v>7.0487155391227135E-8</v>
      </c>
      <c r="P427" s="337">
        <f ca="1">D427*E427</f>
        <v>28747.155065414499</v>
      </c>
      <c r="Q427" s="1969"/>
      <c r="R427" s="1917"/>
      <c r="S427" s="1917"/>
      <c r="T427" s="1917"/>
      <c r="U427" s="1917"/>
      <c r="V427" s="1917"/>
      <c r="W427" s="346"/>
    </row>
    <row r="428" spans="1:23" ht="17.25" x14ac:dyDescent="0.2">
      <c r="A428" s="436"/>
      <c r="B428" s="345"/>
      <c r="C428" s="459" t="s">
        <v>1222</v>
      </c>
      <c r="D428" s="1917">
        <f ca="1">K446/I362*100</f>
        <v>57.158102092696637</v>
      </c>
      <c r="E428" s="1917">
        <f ca="1">'Process Correlations'!K26</f>
        <v>830.00712089804506</v>
      </c>
      <c r="F428" s="1917">
        <f ca="1">K448</f>
        <v>8.4345446730251883E-7</v>
      </c>
      <c r="G428" s="1917">
        <f ca="1">F428/$F$430*100</f>
        <v>51.236031897791079</v>
      </c>
      <c r="H428" s="1917"/>
      <c r="I428" s="1917"/>
      <c r="J428" s="914">
        <v>100</v>
      </c>
      <c r="K428" s="1917">
        <f ca="1">K430*(J428/100)</f>
        <v>3.3887670208701738E-12</v>
      </c>
      <c r="L428" s="1917">
        <f ca="1">'Process Correlations'!I26</f>
        <v>13.386945726864486</v>
      </c>
      <c r="M428" s="1917"/>
      <c r="N428" s="1917"/>
      <c r="O428" s="1917">
        <f ca="1">F428*(L428/100)</f>
        <v>1.1291279176860215E-7</v>
      </c>
      <c r="P428" s="337">
        <f ca="1">D428*E428</f>
        <v>47441.631753955662</v>
      </c>
      <c r="Q428" s="1969"/>
      <c r="R428" s="1917"/>
      <c r="S428" s="1917"/>
      <c r="T428" s="1917"/>
      <c r="U428" s="1917"/>
      <c r="V428" s="1917"/>
      <c r="W428" s="346"/>
    </row>
    <row r="429" spans="1:23" x14ac:dyDescent="0.2">
      <c r="A429" s="436"/>
      <c r="B429" s="345"/>
      <c r="C429" s="459"/>
      <c r="D429" s="361"/>
      <c r="E429" s="1917"/>
      <c r="F429" s="1917"/>
      <c r="G429" s="1917"/>
      <c r="H429" s="1917"/>
      <c r="I429" s="1917"/>
      <c r="J429" s="1917"/>
      <c r="K429" s="1917"/>
      <c r="L429" s="1917"/>
      <c r="M429" s="1917"/>
      <c r="N429" s="1917"/>
      <c r="O429" s="1917">
        <f t="shared" ref="O429" si="30">F429*(L429/100)</f>
        <v>0</v>
      </c>
      <c r="P429" s="337">
        <f t="shared" si="29"/>
        <v>0</v>
      </c>
      <c r="Q429" s="1969"/>
      <c r="R429" s="1917"/>
      <c r="S429" s="1917"/>
      <c r="T429" s="1917"/>
      <c r="U429" s="1917"/>
      <c r="V429" s="1917"/>
      <c r="W429" s="346"/>
    </row>
    <row r="430" spans="1:23" x14ac:dyDescent="0.2">
      <c r="A430" s="436"/>
      <c r="B430" s="345"/>
      <c r="C430" s="442" t="s">
        <v>598</v>
      </c>
      <c r="D430" s="1911">
        <f ca="1">SUM(D424:D429)</f>
        <v>116.69244591098149</v>
      </c>
      <c r="E430" s="1911"/>
      <c r="F430" s="1911">
        <f ca="1">SUM(F424:F429)</f>
        <v>1.6462134869950427E-6</v>
      </c>
      <c r="G430" s="1911">
        <f ca="1">SUM(G424:G429)</f>
        <v>100.05076902916275</v>
      </c>
      <c r="H430" s="1911"/>
      <c r="I430" s="1911"/>
      <c r="J430" s="1911">
        <f>I430/$I$441*100</f>
        <v>0</v>
      </c>
      <c r="K430" s="1911">
        <f ca="1">J389</f>
        <v>3.3887670208701738E-12</v>
      </c>
      <c r="L430" s="1911"/>
      <c r="M430" s="1911"/>
      <c r="N430" s="1911"/>
      <c r="O430" s="1911">
        <f ca="1">SUM(O425:O429)</f>
        <v>2.2529087000177676E-7</v>
      </c>
      <c r="P430" s="1912">
        <f ca="1">SUM(P424:P429)/100</f>
        <v>905.38141031895907</v>
      </c>
      <c r="Q430" s="1968"/>
      <c r="R430" s="1917"/>
      <c r="S430" s="1917"/>
      <c r="T430" s="1917"/>
      <c r="U430" s="1917"/>
      <c r="V430" s="1917"/>
      <c r="W430" s="346"/>
    </row>
    <row r="431" spans="1:23" x14ac:dyDescent="0.2">
      <c r="A431" s="436"/>
      <c r="B431" s="345"/>
      <c r="C431" s="452"/>
      <c r="D431" s="334"/>
      <c r="E431" s="334"/>
      <c r="F431" s="334"/>
      <c r="G431" s="334"/>
      <c r="H431" s="334"/>
      <c r="I431" s="334"/>
      <c r="J431" s="335" t="s">
        <v>668</v>
      </c>
      <c r="K431" s="334">
        <f ca="1">K430/(F430-F424)*100</f>
        <v>2.105271514178429E-4</v>
      </c>
      <c r="L431" s="334"/>
      <c r="M431" s="334"/>
      <c r="N431" s="335"/>
      <c r="O431" s="334"/>
      <c r="P431" s="338"/>
      <c r="Q431" s="1969"/>
      <c r="R431" s="1917"/>
      <c r="S431" s="1917"/>
      <c r="T431" s="1917"/>
      <c r="U431" s="1917"/>
      <c r="V431" s="1917"/>
      <c r="W431" s="346"/>
    </row>
    <row r="432" spans="1:23" x14ac:dyDescent="0.2">
      <c r="A432" s="436"/>
      <c r="B432" s="345"/>
      <c r="C432" s="437"/>
      <c r="D432" s="1917"/>
      <c r="E432" s="1917"/>
      <c r="F432" s="1917"/>
      <c r="G432" s="1917"/>
      <c r="H432" s="1917"/>
      <c r="I432" s="1917"/>
      <c r="J432" s="1911"/>
      <c r="K432" s="1917"/>
      <c r="L432" s="1917"/>
      <c r="M432" s="1917"/>
      <c r="N432" s="1911"/>
      <c r="O432" s="1917"/>
      <c r="P432" s="1917"/>
      <c r="Q432" s="1969"/>
      <c r="R432" s="1917"/>
      <c r="S432" s="1917"/>
      <c r="T432" s="1917"/>
      <c r="U432" s="1917"/>
      <c r="V432" s="1917"/>
      <c r="W432" s="346"/>
    </row>
    <row r="433" spans="1:23" x14ac:dyDescent="0.2">
      <c r="A433" s="436"/>
      <c r="B433" s="345"/>
      <c r="C433" s="440" t="s">
        <v>655</v>
      </c>
      <c r="D433" s="440"/>
      <c r="E433" s="1917"/>
      <c r="F433" s="1917"/>
      <c r="G433" s="1917"/>
      <c r="H433" s="1917"/>
      <c r="I433" s="1917"/>
      <c r="J433" s="1917"/>
      <c r="K433" s="1917"/>
      <c r="L433" s="1917"/>
      <c r="M433" s="1917"/>
      <c r="N433" s="1917"/>
      <c r="O433" s="1917"/>
      <c r="P433" s="1917"/>
      <c r="Q433" s="1969"/>
      <c r="R433" s="1917"/>
      <c r="S433" s="1917"/>
      <c r="T433" s="1917"/>
      <c r="U433" s="1917"/>
      <c r="V433" s="1917"/>
      <c r="W433" s="346"/>
    </row>
    <row r="434" spans="1:23" ht="38.25" x14ac:dyDescent="0.2">
      <c r="A434" s="477"/>
      <c r="B434" s="396"/>
      <c r="C434" s="441"/>
      <c r="D434" s="1918" t="s">
        <v>571</v>
      </c>
      <c r="E434" s="1918" t="s">
        <v>580</v>
      </c>
      <c r="F434" s="1918" t="s">
        <v>664</v>
      </c>
      <c r="G434" s="1918" t="s">
        <v>661</v>
      </c>
      <c r="H434" s="1918" t="s">
        <v>663</v>
      </c>
      <c r="I434" s="356" t="s">
        <v>73</v>
      </c>
      <c r="J434" s="356" t="s">
        <v>61</v>
      </c>
      <c r="K434" s="356" t="s">
        <v>63</v>
      </c>
      <c r="L434" s="1918" t="s">
        <v>662</v>
      </c>
      <c r="M434" s="356" t="s">
        <v>74</v>
      </c>
      <c r="N434" s="356" t="s">
        <v>69</v>
      </c>
      <c r="O434" s="356" t="s">
        <v>70</v>
      </c>
      <c r="P434" s="1919" t="s">
        <v>666</v>
      </c>
      <c r="Q434" s="1968"/>
      <c r="R434" s="1911"/>
      <c r="S434" s="1911"/>
      <c r="T434" s="1911"/>
      <c r="U434" s="1911"/>
      <c r="V434" s="1911"/>
      <c r="W434" s="1927"/>
    </row>
    <row r="435" spans="1:23" x14ac:dyDescent="0.2">
      <c r="A435" s="436"/>
      <c r="B435" s="345"/>
      <c r="C435" s="459" t="s">
        <v>490</v>
      </c>
      <c r="D435" s="914">
        <v>5</v>
      </c>
      <c r="E435" s="914">
        <v>625</v>
      </c>
      <c r="F435" s="1917">
        <f t="shared" ref="F435:F440" si="31">D435*E435</f>
        <v>3125</v>
      </c>
      <c r="G435" s="1917">
        <f t="shared" ref="G435:G440" si="32">F435/$F$441*100</f>
        <v>3.77853550009673</v>
      </c>
      <c r="H435" s="914">
        <v>0</v>
      </c>
      <c r="I435" s="1917">
        <f t="shared" ref="I435:I440" si="33">G435*H435/100</f>
        <v>0</v>
      </c>
      <c r="J435" s="1917">
        <f t="shared" ref="J435:J441" si="34">I435/$I$441*100</f>
        <v>0</v>
      </c>
      <c r="K435" s="1917">
        <f t="shared" ref="K435:K440" ca="1" si="35">$D$389*J435/100</f>
        <v>0</v>
      </c>
      <c r="L435" s="914">
        <v>14.5</v>
      </c>
      <c r="M435" s="1917">
        <f t="shared" ref="M435:M440" si="36">G435*L435/100</f>
        <v>0.54788764751402586</v>
      </c>
      <c r="N435" s="1917">
        <f t="shared" ref="N435:N440" si="37">M435/$M$441*100</f>
        <v>3.9603898955234937</v>
      </c>
      <c r="O435" s="1917">
        <f t="shared" ref="O435:O441" ca="1" si="38">N435/100*($D$411+$D$406+$D$415)</f>
        <v>8.6611844227997858E-9</v>
      </c>
      <c r="P435" s="337">
        <f t="shared" ref="P435:P440" si="39">D435*E435</f>
        <v>3125</v>
      </c>
      <c r="Q435" s="1969"/>
      <c r="R435" s="1917"/>
      <c r="S435" s="1917"/>
      <c r="T435" s="1917"/>
      <c r="U435" s="1917"/>
      <c r="V435" s="1917"/>
      <c r="W435" s="346"/>
    </row>
    <row r="436" spans="1:23" x14ac:dyDescent="0.2">
      <c r="A436" s="436"/>
      <c r="B436" s="345"/>
      <c r="C436" s="459" t="s">
        <v>656</v>
      </c>
      <c r="D436" s="914">
        <v>23</v>
      </c>
      <c r="E436" s="914">
        <v>780</v>
      </c>
      <c r="F436" s="1917">
        <f t="shared" si="31"/>
        <v>17940</v>
      </c>
      <c r="G436" s="1917">
        <f t="shared" si="32"/>
        <v>21.69181659895531</v>
      </c>
      <c r="H436" s="914">
        <v>4.3999999999999997E-2</v>
      </c>
      <c r="I436" s="1917">
        <f t="shared" si="33"/>
        <v>9.5443993035403355E-3</v>
      </c>
      <c r="J436" s="1917">
        <f t="shared" si="34"/>
        <v>3.3993353432947142</v>
      </c>
      <c r="K436" s="1917">
        <f t="shared" ca="1" si="35"/>
        <v>1.1519555504235519E-13</v>
      </c>
      <c r="L436" s="914">
        <v>14.5</v>
      </c>
      <c r="M436" s="1917">
        <f t="shared" si="36"/>
        <v>3.14531340684852</v>
      </c>
      <c r="N436" s="1917">
        <f t="shared" si="37"/>
        <v>22.735806312221278</v>
      </c>
      <c r="O436" s="1917">
        <f t="shared" ca="1" si="38"/>
        <v>4.9722127534409025E-8</v>
      </c>
      <c r="P436" s="337">
        <f t="shared" si="39"/>
        <v>17940</v>
      </c>
      <c r="Q436" s="1969"/>
      <c r="R436" s="1917"/>
      <c r="S436" s="1917"/>
      <c r="T436" s="1917"/>
      <c r="U436" s="1917"/>
      <c r="V436" s="1917"/>
      <c r="W436" s="346"/>
    </row>
    <row r="437" spans="1:23" x14ac:dyDescent="0.2">
      <c r="A437" s="436"/>
      <c r="B437" s="345"/>
      <c r="C437" s="442" t="s">
        <v>657</v>
      </c>
      <c r="D437" s="914">
        <v>55</v>
      </c>
      <c r="E437" s="914">
        <v>845</v>
      </c>
      <c r="F437" s="1917">
        <f t="shared" si="31"/>
        <v>46475</v>
      </c>
      <c r="G437" s="1917">
        <f t="shared" si="32"/>
        <v>56.194379957438578</v>
      </c>
      <c r="H437" s="914">
        <v>0.28999999999999998</v>
      </c>
      <c r="I437" s="1917">
        <f t="shared" si="33"/>
        <v>0.16296370187657186</v>
      </c>
      <c r="J437" s="1917">
        <f t="shared" si="34"/>
        <v>58.041187700276595</v>
      </c>
      <c r="K437" s="1917">
        <f t="shared" ca="1" si="35"/>
        <v>1.9668806273083288E-12</v>
      </c>
      <c r="L437" s="914">
        <v>13.7</v>
      </c>
      <c r="M437" s="1917">
        <f t="shared" si="36"/>
        <v>7.698630054169084</v>
      </c>
      <c r="N437" s="1917">
        <f t="shared" si="37"/>
        <v>55.649323021330211</v>
      </c>
      <c r="O437" s="1917">
        <f t="shared" ca="1" si="38"/>
        <v>1.2170242385389893E-7</v>
      </c>
      <c r="P437" s="337">
        <f t="shared" si="39"/>
        <v>46475</v>
      </c>
      <c r="Q437" s="1969"/>
      <c r="R437" s="1917"/>
      <c r="S437" s="1917"/>
      <c r="T437" s="1917"/>
      <c r="U437" s="1917"/>
      <c r="V437" s="1917"/>
      <c r="W437" s="346"/>
    </row>
    <row r="438" spans="1:23" x14ac:dyDescent="0.2">
      <c r="A438" s="436"/>
      <c r="B438" s="345"/>
      <c r="C438" s="442" t="s">
        <v>658</v>
      </c>
      <c r="D438" s="914">
        <v>8</v>
      </c>
      <c r="E438" s="914">
        <v>880</v>
      </c>
      <c r="F438" s="1917">
        <f t="shared" si="31"/>
        <v>7040</v>
      </c>
      <c r="G438" s="1917">
        <f t="shared" si="32"/>
        <v>8.512284774617914</v>
      </c>
      <c r="H438" s="914">
        <v>0.56000000000000005</v>
      </c>
      <c r="I438" s="1917">
        <f t="shared" si="33"/>
        <v>4.7668794737860322E-2</v>
      </c>
      <c r="J438" s="1917">
        <f t="shared" si="34"/>
        <v>16.977728358930126</v>
      </c>
      <c r="K438" s="1917">
        <f t="shared" ca="1" si="35"/>
        <v>5.7533565952034707E-13</v>
      </c>
      <c r="L438" s="914">
        <v>13.5</v>
      </c>
      <c r="M438" s="1917">
        <f t="shared" si="36"/>
        <v>1.1491584445734184</v>
      </c>
      <c r="N438" s="1917">
        <f t="shared" si="37"/>
        <v>8.3066583320397882</v>
      </c>
      <c r="O438" s="1917">
        <f t="shared" ca="1" si="38"/>
        <v>1.8166266869912095E-8</v>
      </c>
      <c r="P438" s="337">
        <f t="shared" si="39"/>
        <v>7040</v>
      </c>
      <c r="Q438" s="1969"/>
      <c r="R438" s="1917"/>
      <c r="S438" s="1917"/>
      <c r="T438" s="1917"/>
      <c r="U438" s="1917"/>
      <c r="V438" s="1917"/>
      <c r="W438" s="346"/>
    </row>
    <row r="439" spans="1:23" x14ac:dyDescent="0.2">
      <c r="A439" s="436"/>
      <c r="B439" s="345"/>
      <c r="C439" s="442" t="s">
        <v>659</v>
      </c>
      <c r="D439" s="914">
        <v>6</v>
      </c>
      <c r="E439" s="914">
        <v>897</v>
      </c>
      <c r="F439" s="1917">
        <f t="shared" si="31"/>
        <v>5382</v>
      </c>
      <c r="G439" s="1917">
        <f t="shared" si="32"/>
        <v>6.5075449796865925</v>
      </c>
      <c r="H439" s="914">
        <v>0.6</v>
      </c>
      <c r="I439" s="1917">
        <f t="shared" si="33"/>
        <v>3.9045269878119557E-2</v>
      </c>
      <c r="J439" s="1917">
        <f t="shared" si="34"/>
        <v>13.906371858932923</v>
      </c>
      <c r="K439" s="1917">
        <f t="shared" ca="1" si="35"/>
        <v>4.7125454335508945E-13</v>
      </c>
      <c r="L439" s="914">
        <v>13.3</v>
      </c>
      <c r="M439" s="1917">
        <f t="shared" si="36"/>
        <v>0.86550348229831686</v>
      </c>
      <c r="N439" s="1917">
        <f t="shared" si="37"/>
        <v>6.2562667024664069</v>
      </c>
      <c r="O439" s="1917">
        <f t="shared" ca="1" si="38"/>
        <v>1.3682157852571861E-8</v>
      </c>
      <c r="P439" s="337">
        <f>D439*E439</f>
        <v>5382</v>
      </c>
      <c r="Q439" s="1969"/>
      <c r="R439" s="1917"/>
      <c r="S439" s="1917"/>
      <c r="T439" s="1917"/>
      <c r="U439" s="1917"/>
      <c r="V439" s="1917"/>
      <c r="W439" s="346"/>
    </row>
    <row r="440" spans="1:23" x14ac:dyDescent="0.2">
      <c r="A440" s="436"/>
      <c r="B440" s="345"/>
      <c r="C440" s="442" t="s">
        <v>660</v>
      </c>
      <c r="D440" s="914">
        <v>3</v>
      </c>
      <c r="E440" s="914">
        <v>914</v>
      </c>
      <c r="F440" s="1917">
        <f t="shared" si="31"/>
        <v>2742</v>
      </c>
      <c r="G440" s="1917">
        <f t="shared" si="32"/>
        <v>3.3154381892048752</v>
      </c>
      <c r="H440" s="914">
        <v>0.65</v>
      </c>
      <c r="I440" s="1917">
        <f t="shared" si="33"/>
        <v>2.1550348229831689E-2</v>
      </c>
      <c r="J440" s="1917">
        <f t="shared" si="34"/>
        <v>7.6753767385656344</v>
      </c>
      <c r="K440" s="1917">
        <f t="shared" ca="1" si="35"/>
        <v>2.6010063564405292E-13</v>
      </c>
      <c r="L440" s="914">
        <v>12.9</v>
      </c>
      <c r="M440" s="1917">
        <f t="shared" si="36"/>
        <v>0.42769152640742886</v>
      </c>
      <c r="N440" s="1917">
        <f t="shared" si="37"/>
        <v>3.0915557364188233</v>
      </c>
      <c r="O440" s="1917">
        <f t="shared" ca="1" si="38"/>
        <v>6.7610854216030782E-9</v>
      </c>
      <c r="P440" s="337">
        <f t="shared" si="39"/>
        <v>2742</v>
      </c>
      <c r="Q440" s="1969"/>
      <c r="R440" s="1917"/>
      <c r="S440" s="1917"/>
      <c r="T440" s="1917"/>
      <c r="U440" s="1917"/>
      <c r="V440" s="1917"/>
      <c r="W440" s="346"/>
    </row>
    <row r="441" spans="1:23" x14ac:dyDescent="0.2">
      <c r="A441" s="436"/>
      <c r="B441" s="345"/>
      <c r="C441" s="442" t="s">
        <v>598</v>
      </c>
      <c r="D441" s="1911">
        <f>SUM(D435:D440)</f>
        <v>100</v>
      </c>
      <c r="E441" s="1911"/>
      <c r="F441" s="1911">
        <f>SUM(F435:F440)</f>
        <v>82704</v>
      </c>
      <c r="G441" s="1911">
        <f>SUM(G435:G440)</f>
        <v>99.999999999999986</v>
      </c>
      <c r="H441" s="1911" t="s">
        <v>742</v>
      </c>
      <c r="I441" s="1911">
        <f>SUM(I435:I440)</f>
        <v>0.28077251402592379</v>
      </c>
      <c r="J441" s="1911">
        <f t="shared" si="34"/>
        <v>100</v>
      </c>
      <c r="K441" s="1911">
        <f ca="1">SUM(K435:K440)</f>
        <v>3.3887670208701738E-12</v>
      </c>
      <c r="L441" s="1911"/>
      <c r="M441" s="1911">
        <f>SUM(M435:M440)</f>
        <v>13.834184561810794</v>
      </c>
      <c r="N441" s="1911">
        <f>SUM(N435:N440)</f>
        <v>100</v>
      </c>
      <c r="O441" s="1911">
        <f t="shared" ca="1" si="38"/>
        <v>2.1869524595519477E-7</v>
      </c>
      <c r="P441" s="1912">
        <f>SUM(P435:P440)/100</f>
        <v>827.04</v>
      </c>
      <c r="Q441" s="1968"/>
      <c r="R441" s="1917"/>
      <c r="S441" s="1917"/>
      <c r="T441" s="1917"/>
      <c r="U441" s="1917"/>
      <c r="V441" s="1917"/>
      <c r="W441" s="346"/>
    </row>
    <row r="442" spans="1:23" x14ac:dyDescent="0.2">
      <c r="A442" s="436"/>
      <c r="B442" s="345"/>
      <c r="C442" s="452"/>
      <c r="D442" s="334"/>
      <c r="E442" s="334"/>
      <c r="F442" s="334"/>
      <c r="G442" s="334"/>
      <c r="H442" s="334"/>
      <c r="I442" s="334"/>
      <c r="J442" s="335" t="s">
        <v>668</v>
      </c>
      <c r="K442" s="334">
        <f ca="1">SUM(K435:K440)/D410*100</f>
        <v>2.2207855519265396E-4</v>
      </c>
      <c r="L442" s="334"/>
      <c r="M442" s="334"/>
      <c r="N442" s="335" t="s">
        <v>667</v>
      </c>
      <c r="O442" s="334">
        <f ca="1">O441/(D410+D415-D416)*100</f>
        <v>14.331915988948833</v>
      </c>
      <c r="P442" s="338"/>
      <c r="Q442" s="1969"/>
      <c r="R442" s="1917"/>
      <c r="S442" s="1917"/>
      <c r="T442" s="1917"/>
      <c r="U442" s="1917"/>
      <c r="V442" s="1917"/>
      <c r="W442" s="346"/>
    </row>
    <row r="443" spans="1:23" x14ac:dyDescent="0.2">
      <c r="A443" s="436"/>
      <c r="B443" s="345"/>
      <c r="C443" s="437"/>
      <c r="D443" s="1917"/>
      <c r="E443" s="1917"/>
      <c r="F443" s="1917"/>
      <c r="G443" s="1917"/>
      <c r="H443" s="1917"/>
      <c r="I443" s="1917"/>
      <c r="J443" s="1917"/>
      <c r="K443" s="1917"/>
      <c r="L443" s="1917"/>
      <c r="M443" s="1917"/>
      <c r="N443" s="1917"/>
      <c r="O443" s="1917"/>
      <c r="P443" s="1917"/>
      <c r="Q443" s="1969"/>
      <c r="R443" s="1917"/>
      <c r="S443" s="1917"/>
      <c r="T443" s="1917"/>
      <c r="U443" s="1917"/>
      <c r="V443" s="1917"/>
      <c r="W443" s="346"/>
    </row>
    <row r="444" spans="1:23" x14ac:dyDescent="0.2">
      <c r="A444" s="436"/>
      <c r="B444" s="345"/>
      <c r="C444" s="1917"/>
      <c r="D444" s="1917"/>
      <c r="E444" s="388"/>
      <c r="F444" s="1917"/>
      <c r="G444" s="1917"/>
      <c r="H444" s="1917"/>
      <c r="I444" s="1917"/>
      <c r="J444" s="1917"/>
      <c r="K444" s="1917"/>
      <c r="L444" s="1917"/>
      <c r="M444" s="1917"/>
      <c r="N444" s="1917"/>
      <c r="O444" s="1917"/>
      <c r="P444" s="1917"/>
      <c r="Q444" s="1969"/>
      <c r="R444" s="1917"/>
      <c r="S444" s="1917"/>
      <c r="T444" s="1917"/>
      <c r="U444" s="1917"/>
      <c r="V444" s="1917"/>
      <c r="W444" s="346"/>
    </row>
    <row r="445" spans="1:23" ht="18.75" x14ac:dyDescent="0.2">
      <c r="A445" s="436"/>
      <c r="B445" s="345"/>
      <c r="C445" s="388" t="s">
        <v>874</v>
      </c>
      <c r="D445" s="482"/>
      <c r="E445" s="580" t="s">
        <v>865</v>
      </c>
      <c r="F445" s="581" t="s">
        <v>877</v>
      </c>
      <c r="G445" s="582" t="s">
        <v>669</v>
      </c>
      <c r="H445" s="580" t="s">
        <v>866</v>
      </c>
      <c r="I445" s="583" t="s">
        <v>1220</v>
      </c>
      <c r="J445" s="581" t="s">
        <v>1221</v>
      </c>
      <c r="K445" s="580" t="s">
        <v>1222</v>
      </c>
      <c r="L445" s="583"/>
      <c r="M445" s="963">
        <v>0.99999999999900002</v>
      </c>
      <c r="N445" s="961" t="s">
        <v>1631</v>
      </c>
      <c r="O445" s="1917"/>
      <c r="P445" s="1917"/>
      <c r="Q445" s="1969"/>
      <c r="R445" s="1917"/>
      <c r="S445" s="1917"/>
      <c r="T445" s="1917"/>
      <c r="U445" s="1917"/>
      <c r="V445" s="1917"/>
      <c r="W445" s="346"/>
    </row>
    <row r="446" spans="1:23" x14ac:dyDescent="0.2">
      <c r="A446" s="436"/>
      <c r="B446" s="345"/>
      <c r="C446" s="1911" t="str">
        <f t="shared" ref="C446:D453" si="40">C362</f>
        <v>Vol Flow</v>
      </c>
      <c r="D446" s="1911" t="str">
        <f ca="1">D362</f>
        <v>bpd</v>
      </c>
      <c r="E446" s="722"/>
      <c r="F446" s="496"/>
      <c r="G446" s="723">
        <f ca="1">G447/'Energy &amp; Unit Conversions'!G80</f>
        <v>1.3049153309122374E-8</v>
      </c>
      <c r="H446" s="722">
        <f ca="1">$I$362*(D425/100)</f>
        <v>8.8934729190753232E-10</v>
      </c>
      <c r="I446" s="495">
        <f ca="1">$I$362*(D426/100)</f>
        <v>1.5796577120915318E-9</v>
      </c>
      <c r="J446" s="496">
        <f ca="1">$I$362*(D427/100)</f>
        <v>4.188433475227227E-9</v>
      </c>
      <c r="K446" s="722">
        <f ca="1">K447/'Energy &amp; Unit Conversions'!G80</f>
        <v>6.3917148298960811E-9</v>
      </c>
      <c r="L446" s="495"/>
      <c r="M446" s="964">
        <f>100%-M445</f>
        <v>9.999778782798785E-13</v>
      </c>
      <c r="N446" s="962" t="s">
        <v>1632</v>
      </c>
      <c r="O446" s="1917"/>
      <c r="P446" s="1917"/>
      <c r="Q446" s="1969"/>
      <c r="R446" s="1917"/>
      <c r="S446" s="1917"/>
      <c r="T446" s="1917"/>
      <c r="U446" s="1917"/>
      <c r="V446" s="1917"/>
      <c r="W446" s="346"/>
    </row>
    <row r="447" spans="1:23" x14ac:dyDescent="0.2">
      <c r="A447" s="436"/>
      <c r="B447" s="345"/>
      <c r="C447" s="1917" t="str">
        <f t="shared" si="40"/>
        <v>Vol Flow</v>
      </c>
      <c r="D447" s="1917" t="str">
        <f ca="1">D363</f>
        <v>m^3/d</v>
      </c>
      <c r="E447" s="578"/>
      <c r="F447" s="429"/>
      <c r="G447" s="586">
        <f ca="1">SUM(H447:K447)</f>
        <v>2.0746496519034315E-9</v>
      </c>
      <c r="H447" s="578">
        <f ca="1">$I$363*(D425/100)</f>
        <v>1.4139492470269041E-10</v>
      </c>
      <c r="I447" s="1917">
        <f ca="1">$I$363*(D426/100)</f>
        <v>2.5114551456960995E-10</v>
      </c>
      <c r="J447" s="429">
        <f ca="1">$I$363*(D427/100)</f>
        <v>6.6590772945599376E-10</v>
      </c>
      <c r="K447" s="578">
        <f ca="1">K448/K452</f>
        <v>1.0162014831751372E-9</v>
      </c>
      <c r="L447" s="429"/>
      <c r="M447" s="1917"/>
      <c r="N447" s="1917"/>
      <c r="O447" s="1917"/>
      <c r="P447" s="1917"/>
      <c r="Q447" s="1969"/>
      <c r="R447" s="1917"/>
      <c r="S447" s="1917"/>
      <c r="T447" s="1917"/>
      <c r="U447" s="1917"/>
      <c r="V447" s="1917"/>
      <c r="W447" s="346"/>
    </row>
    <row r="448" spans="1:23" x14ac:dyDescent="0.2">
      <c r="A448" s="436"/>
      <c r="B448" s="345"/>
      <c r="C448" s="1917" t="str">
        <f t="shared" si="40"/>
        <v>Mass Flow</v>
      </c>
      <c r="D448" s="1917" t="str">
        <f t="shared" si="40"/>
        <v>kg/d</v>
      </c>
      <c r="E448" s="578">
        <f ca="1">I364*(J391/100)</f>
        <v>3.6555541191970266E-8</v>
      </c>
      <c r="F448" s="429">
        <f ca="1">J397</f>
        <v>3.5969643947151366E-9</v>
      </c>
      <c r="G448" s="586">
        <f ca="1">SUM(H448:K448)</f>
        <v>1.6096579458030726E-6</v>
      </c>
      <c r="H448" s="578">
        <f ca="1">H447*H452</f>
        <v>8.8371827939181503E-8</v>
      </c>
      <c r="I448" s="1917">
        <f ca="1">I447*I452</f>
        <v>1.6674222412864005E-7</v>
      </c>
      <c r="J448" s="429">
        <f ca="1">J447*J452</f>
        <v>5.1108942643273213E-7</v>
      </c>
      <c r="K448" s="578">
        <f ca="1">(I364+J396)-SUM(E448:F448,H448:J448)</f>
        <v>8.4345446730251883E-7</v>
      </c>
      <c r="L448" s="429"/>
      <c r="M448" s="1917"/>
      <c r="N448" s="1917"/>
      <c r="O448" s="1917"/>
      <c r="P448" s="1917"/>
      <c r="Q448" s="1969"/>
      <c r="R448" s="1917"/>
      <c r="S448" s="1917"/>
      <c r="T448" s="1917"/>
      <c r="U448" s="1917"/>
      <c r="V448" s="1917"/>
      <c r="W448" s="346"/>
    </row>
    <row r="449" spans="1:23" x14ac:dyDescent="0.2">
      <c r="A449" s="436"/>
      <c r="B449" s="345"/>
      <c r="C449" s="1917" t="str">
        <f t="shared" si="40"/>
        <v xml:space="preserve">Sulphur </v>
      </c>
      <c r="D449" s="1917" t="str">
        <f ca="1">D365</f>
        <v>wt%</v>
      </c>
      <c r="E449" s="578"/>
      <c r="F449" s="429"/>
      <c r="G449" s="586">
        <f ca="1">K428/G448*100</f>
        <v>2.1052715141784285E-4</v>
      </c>
      <c r="H449" s="578">
        <f ca="1">K425/H448</f>
        <v>0</v>
      </c>
      <c r="I449" s="1917">
        <f ca="1">K426/I448</f>
        <v>0</v>
      </c>
      <c r="J449" s="429">
        <f ca="1">K427/J448</f>
        <v>0</v>
      </c>
      <c r="K449" s="578">
        <f ca="1">K428/K448</f>
        <v>4.017723721006432E-6</v>
      </c>
      <c r="L449" s="429"/>
      <c r="M449" s="1917"/>
      <c r="N449" s="1917"/>
      <c r="O449" s="1917"/>
      <c r="P449" s="1917"/>
      <c r="Q449" s="1969"/>
      <c r="R449" s="1917"/>
      <c r="S449" s="1917"/>
      <c r="T449" s="1917"/>
      <c r="U449" s="1917"/>
      <c r="V449" s="1917"/>
      <c r="W449" s="346"/>
    </row>
    <row r="450" spans="1:23" x14ac:dyDescent="0.2">
      <c r="A450" s="436"/>
      <c r="B450" s="345"/>
      <c r="C450" s="1917" t="str">
        <f t="shared" si="40"/>
        <v xml:space="preserve">Nitrogen </v>
      </c>
      <c r="D450" s="1917" t="str">
        <f ca="1">D366</f>
        <v>mass ppm</v>
      </c>
      <c r="E450" s="578"/>
      <c r="F450" s="429"/>
      <c r="G450" s="586"/>
      <c r="H450" s="578">
        <v>0</v>
      </c>
      <c r="I450" s="1917">
        <v>0</v>
      </c>
      <c r="J450" s="429"/>
      <c r="K450" s="578"/>
      <c r="L450" s="429"/>
      <c r="M450" s="1917"/>
      <c r="N450" s="1917"/>
      <c r="O450" s="1917"/>
      <c r="P450" s="1917"/>
      <c r="Q450" s="1969"/>
      <c r="R450" s="1917"/>
      <c r="S450" s="1917"/>
      <c r="T450" s="1917"/>
      <c r="U450" s="1917"/>
      <c r="V450" s="1917"/>
      <c r="W450" s="346"/>
    </row>
    <row r="451" spans="1:23" x14ac:dyDescent="0.2">
      <c r="A451" s="436"/>
      <c r="B451" s="345"/>
      <c r="C451" s="1917" t="str">
        <f t="shared" si="40"/>
        <v xml:space="preserve">API gravity </v>
      </c>
      <c r="D451" s="1917" t="str">
        <f ca="1">D367</f>
        <v>oAPI</v>
      </c>
      <c r="E451" s="578"/>
      <c r="F451" s="429"/>
      <c r="G451" s="586">
        <f ca="1">141.5/(G452/1000)-131.5</f>
        <v>24.787724032405976</v>
      </c>
      <c r="H451" s="578">
        <f>141.5/(H452/1000)-131.5</f>
        <v>94.9</v>
      </c>
      <c r="I451" s="1917">
        <f ca="1">141.5/(I452/1000)-131.5</f>
        <v>81.625922346959214</v>
      </c>
      <c r="J451" s="429">
        <f ca="1">141.5/(J452/1000)-131.5</f>
        <v>52.86292915643952</v>
      </c>
      <c r="K451" s="578">
        <f ca="1">141.5/(K452/1000)-131.5</f>
        <v>38.980465091553498</v>
      </c>
      <c r="L451" s="429"/>
      <c r="M451" s="1917"/>
      <c r="N451" s="1917"/>
      <c r="O451" s="1917"/>
      <c r="P451" s="1917"/>
      <c r="Q451" s="1969"/>
      <c r="R451" s="1917"/>
      <c r="S451" s="1917"/>
      <c r="T451" s="1917"/>
      <c r="U451" s="1917"/>
      <c r="V451" s="1917"/>
      <c r="W451" s="346"/>
    </row>
    <row r="452" spans="1:23" x14ac:dyDescent="0.2">
      <c r="A452" s="436"/>
      <c r="B452" s="345"/>
      <c r="C452" s="1917" t="str">
        <f t="shared" si="40"/>
        <v>Density</v>
      </c>
      <c r="D452" s="1917" t="str">
        <f ca="1">D368</f>
        <v>kg/m^3</v>
      </c>
      <c r="E452" s="578"/>
      <c r="F452" s="429"/>
      <c r="G452" s="586">
        <f ca="1">P430</f>
        <v>905.38141031895907</v>
      </c>
      <c r="H452" s="578">
        <f>E425</f>
        <v>625</v>
      </c>
      <c r="I452" s="1917">
        <f ca="1">E426</f>
        <v>663.92674547418267</v>
      </c>
      <c r="J452" s="429">
        <f ca="1">E427</f>
        <v>767.50787507791995</v>
      </c>
      <c r="K452" s="578">
        <f ca="1">E428</f>
        <v>830.00712089804506</v>
      </c>
      <c r="L452" s="429"/>
      <c r="M452" s="1917"/>
      <c r="N452" s="1917"/>
      <c r="O452" s="1917"/>
      <c r="P452" s="1917"/>
      <c r="Q452" s="1969"/>
      <c r="R452" s="1917"/>
      <c r="S452" s="1917"/>
      <c r="T452" s="1917"/>
      <c r="U452" s="1917"/>
      <c r="V452" s="1917"/>
      <c r="W452" s="346"/>
    </row>
    <row r="453" spans="1:23" x14ac:dyDescent="0.2">
      <c r="A453" s="436"/>
      <c r="B453" s="345"/>
      <c r="C453" s="1917" t="str">
        <f t="shared" si="40"/>
        <v>Hydrogen</v>
      </c>
      <c r="D453" s="1917" t="str">
        <f ca="1">D369</f>
        <v>wt%</v>
      </c>
      <c r="E453" s="587">
        <f>L424</f>
        <v>22.2</v>
      </c>
      <c r="F453" s="430"/>
      <c r="G453" s="588">
        <f ca="1">O430/G448*100</f>
        <v>13.996195315233706</v>
      </c>
      <c r="H453" s="587">
        <f>L425</f>
        <v>17.2</v>
      </c>
      <c r="I453" s="841">
        <f ca="1">L426</f>
        <v>16.007324225096358</v>
      </c>
      <c r="J453" s="430">
        <f ca="1">L427</f>
        <v>13.791550313065304</v>
      </c>
      <c r="K453" s="587">
        <f ca="1">L428</f>
        <v>13.386945726864486</v>
      </c>
      <c r="L453" s="430"/>
      <c r="M453" s="1917"/>
      <c r="N453" s="1917"/>
      <c r="O453" s="1917"/>
      <c r="P453" s="1917"/>
      <c r="Q453" s="1969"/>
      <c r="R453" s="1917"/>
      <c r="S453" s="1917"/>
      <c r="T453" s="1917"/>
      <c r="U453" s="1917"/>
      <c r="V453" s="1917"/>
      <c r="W453" s="346"/>
    </row>
    <row r="454" spans="1:23" x14ac:dyDescent="0.2">
      <c r="A454" s="436"/>
      <c r="B454" s="345"/>
      <c r="C454" s="1917"/>
      <c r="D454" s="1917"/>
      <c r="E454" s="1917"/>
      <c r="F454" s="1917"/>
      <c r="G454" s="1917"/>
      <c r="H454" s="1917"/>
      <c r="I454" s="1917"/>
      <c r="J454" s="1917"/>
      <c r="K454" s="1917"/>
      <c r="L454" s="1917"/>
      <c r="M454" s="1917"/>
      <c r="N454" s="1917"/>
      <c r="O454" s="1917"/>
      <c r="P454" s="1917"/>
      <c r="Q454" s="1969"/>
      <c r="R454" s="1917"/>
      <c r="S454" s="1917"/>
      <c r="T454" s="1917"/>
      <c r="U454" s="1917"/>
      <c r="V454" s="1917"/>
      <c r="W454" s="346"/>
    </row>
    <row r="455" spans="1:23" x14ac:dyDescent="0.2">
      <c r="A455" s="436"/>
      <c r="B455" s="345"/>
      <c r="C455" s="1917"/>
      <c r="D455" s="1917"/>
      <c r="E455" s="1917"/>
      <c r="F455" s="1917"/>
      <c r="G455" s="1917"/>
      <c r="H455" s="1917"/>
      <c r="I455" s="1917"/>
      <c r="J455" s="1917"/>
      <c r="K455" s="1917"/>
      <c r="L455" s="1917"/>
      <c r="M455" s="1917"/>
      <c r="N455" s="1917"/>
      <c r="O455" s="1917"/>
      <c r="P455" s="1917"/>
      <c r="Q455" s="1969"/>
      <c r="R455" s="1917"/>
      <c r="S455" s="1917"/>
      <c r="T455" s="1917"/>
      <c r="U455" s="1917"/>
      <c r="V455" s="1917"/>
      <c r="W455" s="346"/>
    </row>
    <row r="456" spans="1:23" x14ac:dyDescent="0.2">
      <c r="A456" s="436"/>
      <c r="B456" s="345"/>
      <c r="C456" s="1917"/>
      <c r="D456" s="1917"/>
      <c r="E456" s="582" t="s">
        <v>488</v>
      </c>
      <c r="F456" s="582" t="s">
        <v>669</v>
      </c>
      <c r="G456" s="581" t="s">
        <v>493</v>
      </c>
      <c r="H456" s="580" t="s">
        <v>486</v>
      </c>
      <c r="I456" s="583" t="s">
        <v>487</v>
      </c>
      <c r="J456" s="581" t="s">
        <v>658</v>
      </c>
      <c r="K456" s="580" t="s">
        <v>659</v>
      </c>
      <c r="L456" s="581" t="s">
        <v>660</v>
      </c>
      <c r="M456" s="1917"/>
      <c r="N456" s="1917"/>
      <c r="O456" s="1917"/>
      <c r="P456" s="1917"/>
      <c r="Q456" s="1969"/>
      <c r="R456" s="1917"/>
      <c r="S456" s="1917"/>
      <c r="T456" s="1917"/>
      <c r="U456" s="1917"/>
      <c r="V456" s="1917"/>
      <c r="W456" s="346"/>
    </row>
    <row r="457" spans="1:23" x14ac:dyDescent="0.2">
      <c r="A457" s="436"/>
      <c r="B457" s="345"/>
      <c r="C457" s="1911" t="str">
        <f t="shared" ref="C457:D464" si="41">C362</f>
        <v>Vol Flow</v>
      </c>
      <c r="D457" s="1911" t="str">
        <f ca="1">D362</f>
        <v>bpd</v>
      </c>
      <c r="E457" s="723"/>
      <c r="F457" s="723">
        <f ca="1">F458/'Energy &amp; Unit Conversions'!G80</f>
        <v>1.160502658751804E-8</v>
      </c>
      <c r="G457" s="723">
        <f ca="1">D435/100*F457</f>
        <v>5.8025132937590202E-10</v>
      </c>
      <c r="H457" s="722">
        <f ca="1">D436/100*F457</f>
        <v>2.6691561151291494E-9</v>
      </c>
      <c r="I457" s="495">
        <f ca="1">D437/100*F457</f>
        <v>6.3827646231349226E-9</v>
      </c>
      <c r="J457" s="496">
        <f ca="1">D438/100*F457</f>
        <v>9.2840212700144329E-10</v>
      </c>
      <c r="K457" s="722">
        <f ca="1">D439/100*F457</f>
        <v>6.9630159525108244E-10</v>
      </c>
      <c r="L457" s="496">
        <f ca="1">D440/100*F457</f>
        <v>3.4815079762554122E-10</v>
      </c>
      <c r="M457" s="1911"/>
      <c r="N457" s="1911"/>
      <c r="O457" s="1917"/>
      <c r="P457" s="1917"/>
      <c r="Q457" s="1969"/>
      <c r="R457" s="1917"/>
      <c r="S457" s="1917"/>
      <c r="T457" s="1917"/>
      <c r="U457" s="1917"/>
      <c r="V457" s="1917"/>
      <c r="W457" s="346"/>
    </row>
    <row r="458" spans="1:23" x14ac:dyDescent="0.2">
      <c r="A458" s="436"/>
      <c r="B458" s="345"/>
      <c r="C458" s="1917" t="str">
        <f t="shared" si="41"/>
        <v>Vol Flow</v>
      </c>
      <c r="D458" s="1917" t="str">
        <f ca="1">D363</f>
        <v>m^3/d</v>
      </c>
      <c r="E458" s="586"/>
      <c r="F458" s="586">
        <f ca="1">F459/F463</f>
        <v>1.845051843577707E-9</v>
      </c>
      <c r="G458" s="586">
        <f ca="1">G457*'Energy &amp; Unit Conversions'!$G$80</f>
        <v>9.2252592178885344E-11</v>
      </c>
      <c r="H458" s="578">
        <f ca="1">H457*'Energy &amp; Unit Conversions'!$G$80</f>
        <v>4.243619240228726E-10</v>
      </c>
      <c r="I458" s="1917">
        <f ca="1">I457*'Energy &amp; Unit Conversions'!$G$80</f>
        <v>1.014778513967739E-9</v>
      </c>
      <c r="J458" s="429">
        <f ca="1">J457*'Energy &amp; Unit Conversions'!$G$80</f>
        <v>1.4760414748621657E-10</v>
      </c>
      <c r="K458" s="578">
        <f ca="1">K457*'Energy &amp; Unit Conversions'!$G$80</f>
        <v>1.1070311061466242E-10</v>
      </c>
      <c r="L458" s="429">
        <f ca="1">L457*'Energy &amp; Unit Conversions'!$G$80</f>
        <v>5.5351555307331209E-11</v>
      </c>
      <c r="M458" s="1917"/>
      <c r="N458" s="1917"/>
      <c r="O458" s="1917"/>
      <c r="P458" s="1917"/>
      <c r="Q458" s="1969"/>
      <c r="R458" s="1917"/>
      <c r="S458" s="1917"/>
      <c r="T458" s="1917"/>
      <c r="U458" s="1917"/>
      <c r="V458" s="1917"/>
      <c r="W458" s="346"/>
    </row>
    <row r="459" spans="1:23" x14ac:dyDescent="0.2">
      <c r="A459" s="436"/>
      <c r="B459" s="345"/>
      <c r="C459" s="1917" t="str">
        <f t="shared" si="41"/>
        <v>Mass Flow</v>
      </c>
      <c r="D459" s="1917" t="str">
        <f t="shared" si="41"/>
        <v>kg/d</v>
      </c>
      <c r="E459" s="586">
        <f ca="1">D397+D398+D404+D418</f>
        <v>1.3101355403031333E-7</v>
      </c>
      <c r="F459" s="586">
        <f ca="1">D410+D415-D416</f>
        <v>1.5259316767125067E-6</v>
      </c>
      <c r="G459" s="586">
        <f t="shared" ref="G459:L459" ca="1" si="42">G458*G463</f>
        <v>5.7657870111803337E-8</v>
      </c>
      <c r="H459" s="578">
        <f t="shared" ca="1" si="42"/>
        <v>3.3100230073784062E-7</v>
      </c>
      <c r="I459" s="1917">
        <f t="shared" ca="1" si="42"/>
        <v>8.5748784430273942E-7</v>
      </c>
      <c r="J459" s="429">
        <f t="shared" ca="1" si="42"/>
        <v>1.2989164978787059E-7</v>
      </c>
      <c r="K459" s="578">
        <f t="shared" ca="1" si="42"/>
        <v>9.9300690221352193E-8</v>
      </c>
      <c r="L459" s="429">
        <f t="shared" ca="1" si="42"/>
        <v>5.0591321550900726E-8</v>
      </c>
      <c r="M459" s="1917"/>
      <c r="N459" s="1917"/>
      <c r="O459" s="1917"/>
      <c r="P459" s="1917"/>
      <c r="Q459" s="1969"/>
      <c r="R459" s="1917"/>
      <c r="S459" s="1917"/>
      <c r="T459" s="1917"/>
      <c r="U459" s="1917"/>
      <c r="V459" s="1917"/>
      <c r="W459" s="346"/>
    </row>
    <row r="460" spans="1:23" x14ac:dyDescent="0.2">
      <c r="A460" s="436"/>
      <c r="B460" s="345"/>
      <c r="C460" s="1917" t="str">
        <f t="shared" si="41"/>
        <v xml:space="preserve">Sulphur </v>
      </c>
      <c r="D460" s="1917" t="str">
        <f ca="1">D365</f>
        <v>wt%</v>
      </c>
      <c r="E460" s="586">
        <f ca="1">(D395+D403)/E459*100</f>
        <v>2.5839908541571557</v>
      </c>
      <c r="F460" s="586">
        <f ca="1">K442</f>
        <v>2.2207855519265396E-4</v>
      </c>
      <c r="G460" s="586">
        <f ca="1">K435/G459*100</f>
        <v>0</v>
      </c>
      <c r="H460" s="578">
        <f ca="1">K436*100/H459</f>
        <v>3.4802040585691278E-5</v>
      </c>
      <c r="I460" s="1917">
        <f ca="1">K437/I459*100</f>
        <v>2.2937708567841972E-4</v>
      </c>
      <c r="J460" s="429">
        <f ca="1">K438/J459*100</f>
        <v>4.4293506199970711E-4</v>
      </c>
      <c r="K460" s="578">
        <f ca="1">K439/K459*100</f>
        <v>4.7457328071397198E-4</v>
      </c>
      <c r="L460" s="429">
        <f ca="1">K440/L459*100</f>
        <v>5.1412105410680289E-4</v>
      </c>
      <c r="M460" s="1917"/>
      <c r="N460" s="1917"/>
      <c r="O460" s="1917"/>
      <c r="P460" s="1917"/>
      <c r="Q460" s="1969"/>
      <c r="R460" s="1917"/>
      <c r="S460" s="1917"/>
      <c r="T460" s="1917"/>
      <c r="U460" s="1917"/>
      <c r="V460" s="1917"/>
      <c r="W460" s="346"/>
    </row>
    <row r="461" spans="1:23" x14ac:dyDescent="0.2">
      <c r="A461" s="436"/>
      <c r="B461" s="345"/>
      <c r="C461" s="1917" t="str">
        <f t="shared" si="41"/>
        <v xml:space="preserve">Nitrogen </v>
      </c>
      <c r="D461" s="1917" t="str">
        <f ca="1">D366</f>
        <v>mass ppm</v>
      </c>
      <c r="E461" s="586"/>
      <c r="F461" s="586"/>
      <c r="G461" s="586"/>
      <c r="H461" s="578"/>
      <c r="I461" s="1917"/>
      <c r="J461" s="429"/>
      <c r="K461" s="578"/>
      <c r="L461" s="429"/>
      <c r="M461" s="1917"/>
      <c r="N461" s="1917"/>
      <c r="O461" s="1917"/>
      <c r="P461" s="1917"/>
      <c r="Q461" s="1969"/>
      <c r="R461" s="1917"/>
      <c r="S461" s="1917"/>
      <c r="T461" s="1917"/>
      <c r="U461" s="1917"/>
      <c r="V461" s="1917"/>
      <c r="W461" s="346"/>
    </row>
    <row r="462" spans="1:23" x14ac:dyDescent="0.2">
      <c r="A462" s="436"/>
      <c r="B462" s="345"/>
      <c r="C462" s="1917" t="str">
        <f t="shared" si="41"/>
        <v xml:space="preserve">API gravity </v>
      </c>
      <c r="D462" s="1917" t="str">
        <f ca="1">D367</f>
        <v>oAPI</v>
      </c>
      <c r="E462" s="586"/>
      <c r="F462" s="586">
        <f>141.5/(F463/1000)-131.5</f>
        <v>39.592087444379956</v>
      </c>
      <c r="G462" s="586">
        <f t="shared" ref="G462:L462" si="43">141.5/(G463/1000)-131.5</f>
        <v>94.9</v>
      </c>
      <c r="H462" s="578">
        <f>141.5/(H463/1000)-131.5</f>
        <v>49.910256410256409</v>
      </c>
      <c r="I462" s="1917">
        <f t="shared" si="43"/>
        <v>35.955621301775153</v>
      </c>
      <c r="J462" s="429">
        <f t="shared" si="43"/>
        <v>29.295454545454533</v>
      </c>
      <c r="K462" s="578">
        <f t="shared" si="43"/>
        <v>26.24804905239688</v>
      </c>
      <c r="L462" s="429">
        <f t="shared" si="43"/>
        <v>23.31400437636762</v>
      </c>
      <c r="M462" s="1917"/>
      <c r="N462" s="1917"/>
      <c r="O462" s="1917"/>
      <c r="P462" s="1917"/>
      <c r="Q462" s="1969"/>
      <c r="R462" s="1917"/>
      <c r="S462" s="1917"/>
      <c r="T462" s="1917"/>
      <c r="U462" s="1917"/>
      <c r="V462" s="1917"/>
      <c r="W462" s="346"/>
    </row>
    <row r="463" spans="1:23" x14ac:dyDescent="0.2">
      <c r="A463" s="436"/>
      <c r="B463" s="345"/>
      <c r="C463" s="1917" t="str">
        <f t="shared" si="41"/>
        <v>Density</v>
      </c>
      <c r="D463" s="1917" t="str">
        <f ca="1">D368</f>
        <v>kg/m^3</v>
      </c>
      <c r="E463" s="586"/>
      <c r="F463" s="586">
        <f>P441</f>
        <v>827.04</v>
      </c>
      <c r="G463" s="586">
        <f>E435</f>
        <v>625</v>
      </c>
      <c r="H463" s="578">
        <f>E436</f>
        <v>780</v>
      </c>
      <c r="I463" s="1917">
        <f>E437</f>
        <v>845</v>
      </c>
      <c r="J463" s="429">
        <f>E438</f>
        <v>880</v>
      </c>
      <c r="K463" s="578">
        <f>E439</f>
        <v>897</v>
      </c>
      <c r="L463" s="429">
        <f>E440</f>
        <v>914</v>
      </c>
      <c r="M463" s="1917"/>
      <c r="N463" s="1917"/>
      <c r="O463" s="1917"/>
      <c r="P463" s="1917"/>
      <c r="Q463" s="1969"/>
      <c r="R463" s="1917"/>
      <c r="S463" s="1917"/>
      <c r="T463" s="1917"/>
      <c r="U463" s="1917"/>
      <c r="V463" s="1917"/>
      <c r="W463" s="346"/>
    </row>
    <row r="464" spans="1:23" x14ac:dyDescent="0.2">
      <c r="A464" s="436"/>
      <c r="B464" s="345"/>
      <c r="C464" s="1917" t="str">
        <f t="shared" si="41"/>
        <v>Hydrogen</v>
      </c>
      <c r="D464" s="1917" t="str">
        <f ca="1">D369</f>
        <v>wt%</v>
      </c>
      <c r="E464" s="588">
        <f ca="1">(D394+D401+D405+D417)*100/E459</f>
        <v>20.840975784943222</v>
      </c>
      <c r="F464" s="588">
        <f ca="1">O442</f>
        <v>14.331915988948833</v>
      </c>
      <c r="G464" s="588">
        <f ca="1">O435/G459*100</f>
        <v>15.021686382110611</v>
      </c>
      <c r="H464" s="587">
        <f ca="1">O436/H459*100</f>
        <v>15.021686382110614</v>
      </c>
      <c r="I464" s="841">
        <f ca="1">O437/I459*100</f>
        <v>14.192903685166575</v>
      </c>
      <c r="J464" s="430">
        <f ca="1">O438/J459*100</f>
        <v>13.985708010930567</v>
      </c>
      <c r="K464" s="587">
        <f ca="1">O439/K459*100</f>
        <v>13.778512336694559</v>
      </c>
      <c r="L464" s="430">
        <f ca="1">O440/L459*100</f>
        <v>13.364120988222542</v>
      </c>
      <c r="M464" s="1917"/>
      <c r="N464" s="1917"/>
      <c r="O464" s="1917"/>
      <c r="P464" s="1917"/>
      <c r="Q464" s="1969"/>
      <c r="R464" s="1917"/>
      <c r="S464" s="1917"/>
      <c r="T464" s="1917"/>
      <c r="U464" s="1917"/>
      <c r="V464" s="1917"/>
      <c r="W464" s="346"/>
    </row>
    <row r="465" spans="1:23" x14ac:dyDescent="0.2">
      <c r="A465" s="436"/>
      <c r="B465" s="345"/>
      <c r="C465" s="437"/>
      <c r="D465" s="1917"/>
      <c r="E465" s="1917"/>
      <c r="F465" s="1917"/>
      <c r="G465" s="1917"/>
      <c r="H465" s="1917"/>
      <c r="I465" s="1917"/>
      <c r="J465" s="1917"/>
      <c r="K465" s="1917"/>
      <c r="L465" s="1917"/>
      <c r="M465" s="1917"/>
      <c r="N465" s="1917"/>
      <c r="O465" s="1917"/>
      <c r="P465" s="1917"/>
      <c r="Q465" s="1969"/>
      <c r="R465" s="1917"/>
      <c r="S465" s="1917"/>
      <c r="T465" s="1917"/>
      <c r="U465" s="1917"/>
      <c r="V465" s="1917"/>
      <c r="W465" s="346"/>
    </row>
    <row r="466" spans="1:23" ht="26.25" x14ac:dyDescent="0.2">
      <c r="A466" s="436"/>
      <c r="B466" s="347"/>
      <c r="C466" s="438" t="s">
        <v>535</v>
      </c>
      <c r="D466" s="348"/>
      <c r="E466" s="348"/>
      <c r="F466" s="1917"/>
      <c r="G466" s="1917"/>
      <c r="H466" s="1917"/>
      <c r="I466" s="1917"/>
      <c r="J466" s="1917"/>
      <c r="K466" s="1917"/>
      <c r="L466" s="1917"/>
      <c r="M466" s="1917"/>
      <c r="N466" s="1917"/>
      <c r="O466" s="1917"/>
      <c r="P466" s="1917"/>
      <c r="Q466" s="1969"/>
      <c r="R466" s="1917"/>
      <c r="S466" s="1917"/>
      <c r="T466" s="1917"/>
      <c r="U466" s="1917"/>
      <c r="V466" s="1917"/>
      <c r="W466" s="346"/>
    </row>
    <row r="467" spans="1:23" x14ac:dyDescent="0.2">
      <c r="A467" s="436"/>
      <c r="B467" s="345"/>
      <c r="C467" s="437"/>
      <c r="D467" s="1917"/>
      <c r="E467" s="1917"/>
      <c r="F467" s="1917"/>
      <c r="G467" s="1917"/>
      <c r="H467" s="1917"/>
      <c r="I467" s="1917"/>
      <c r="J467" s="1917"/>
      <c r="K467" s="1917"/>
      <c r="L467" s="1917"/>
      <c r="M467" s="1917"/>
      <c r="N467" s="1917"/>
      <c r="O467" s="1917"/>
      <c r="P467" s="1917"/>
      <c r="Q467" s="1969"/>
      <c r="R467" s="1917"/>
      <c r="S467" s="1917"/>
      <c r="T467" s="1917"/>
      <c r="U467" s="1917"/>
      <c r="V467" s="1917"/>
      <c r="W467" s="346"/>
    </row>
    <row r="468" spans="1:23" x14ac:dyDescent="0.2">
      <c r="A468" s="436"/>
      <c r="B468" s="345"/>
      <c r="C468" s="440" t="s">
        <v>1309</v>
      </c>
      <c r="D468" s="1917"/>
      <c r="E468" s="1910"/>
      <c r="F468" s="1917"/>
      <c r="G468" s="1917"/>
      <c r="H468" s="1917"/>
      <c r="I468" s="1917"/>
      <c r="J468" s="1917"/>
      <c r="K468" s="1917"/>
      <c r="L468" s="1917"/>
      <c r="M468" s="1917"/>
      <c r="N468" s="1917"/>
      <c r="O468" s="1917"/>
      <c r="P468" s="1917"/>
      <c r="Q468" s="1969"/>
      <c r="R468" s="1917"/>
      <c r="S468" s="1917"/>
      <c r="T468" s="1917"/>
      <c r="U468" s="1917"/>
      <c r="V468" s="1917"/>
      <c r="W468" s="346"/>
    </row>
    <row r="469" spans="1:23" x14ac:dyDescent="0.2">
      <c r="A469" s="436"/>
      <c r="B469" s="345"/>
      <c r="C469" s="441" t="s">
        <v>568</v>
      </c>
      <c r="D469" s="1918" t="s">
        <v>623</v>
      </c>
      <c r="E469" s="356" t="str">
        <f>N361</f>
        <v>HC Product Liquids</v>
      </c>
      <c r="F469" s="356" t="str">
        <f>K361</f>
        <v xml:space="preserve">HC Gasoline </v>
      </c>
      <c r="G469" s="356" t="str">
        <f>L361</f>
        <v>HC Diesel</v>
      </c>
      <c r="H469" s="357" t="str">
        <f>M361</f>
        <v>Fuel Oil</v>
      </c>
      <c r="I469" s="1917"/>
      <c r="J469" s="1917"/>
      <c r="K469" s="1917"/>
      <c r="L469" s="1917"/>
      <c r="M469" s="1917"/>
      <c r="N469" s="1917"/>
      <c r="O469" s="1917"/>
      <c r="P469" s="1917"/>
      <c r="Q469" s="1969"/>
      <c r="R469" s="1917"/>
      <c r="S469" s="1917"/>
      <c r="T469" s="1917"/>
      <c r="U469" s="1917"/>
      <c r="V469" s="1917"/>
      <c r="W469" s="346"/>
    </row>
    <row r="470" spans="1:23" x14ac:dyDescent="0.2">
      <c r="A470" s="436"/>
      <c r="B470" s="345"/>
      <c r="C470" s="442" t="s">
        <v>582</v>
      </c>
      <c r="D470" s="1917" t="s">
        <v>566</v>
      </c>
      <c r="E470" s="358">
        <f ca="1">N362</f>
        <v>1.3049153309122374E-8</v>
      </c>
      <c r="F470" s="358">
        <f ca="1">K362</f>
        <v>6.6574384792262908E-9</v>
      </c>
      <c r="G470" s="358">
        <f ca="1">D511</f>
        <v>6.3917148298864941E-9</v>
      </c>
      <c r="H470" s="337">
        <f ca="1">D512</f>
        <v>9.5874308491111665E-21</v>
      </c>
      <c r="I470" s="1911"/>
      <c r="J470" s="1917"/>
      <c r="K470" s="1917"/>
      <c r="L470" s="1917"/>
      <c r="M470" s="1917"/>
      <c r="N470" s="1917"/>
      <c r="O470" s="1917"/>
      <c r="P470" s="1917"/>
      <c r="Q470" s="1969"/>
      <c r="R470" s="1917"/>
      <c r="S470" s="1917"/>
      <c r="T470" s="1917"/>
      <c r="U470" s="1917"/>
      <c r="V470" s="1917"/>
      <c r="W470" s="346"/>
    </row>
    <row r="471" spans="1:23" x14ac:dyDescent="0.2">
      <c r="A471" s="436"/>
      <c r="B471" s="345"/>
      <c r="C471" s="442" t="s">
        <v>582</v>
      </c>
      <c r="D471" s="1917" t="s">
        <v>628</v>
      </c>
      <c r="E471" s="358">
        <f ca="1">N363</f>
        <v>2.0746496519034315E-9</v>
      </c>
      <c r="F471" s="358">
        <f ca="1">K363</f>
        <v>1.0584481687282941E-9</v>
      </c>
      <c r="G471" s="358">
        <f ca="1">G470*'Energy &amp; Unit Conversions'!G80</f>
        <v>1.0162014831736131E-9</v>
      </c>
      <c r="H471" s="371">
        <f ca="1">H470*'Energy &amp; Unit Conversions'!G80</f>
        <v>1.5242797446368918E-21</v>
      </c>
      <c r="I471" s="1911"/>
      <c r="J471" s="1917"/>
      <c r="K471" s="1917"/>
      <c r="L471" s="1917"/>
      <c r="M471" s="1917"/>
      <c r="N471" s="1917"/>
      <c r="O471" s="1917"/>
      <c r="P471" s="1917"/>
      <c r="Q471" s="1969"/>
      <c r="R471" s="1917"/>
      <c r="S471" s="1917"/>
      <c r="T471" s="1917"/>
      <c r="U471" s="1917"/>
      <c r="V471" s="1917"/>
      <c r="W471" s="346"/>
    </row>
    <row r="472" spans="1:23" x14ac:dyDescent="0.2">
      <c r="A472" s="436"/>
      <c r="B472" s="345"/>
      <c r="C472" s="442" t="s">
        <v>620</v>
      </c>
      <c r="D472" s="1917" t="s">
        <v>622</v>
      </c>
      <c r="E472" s="358">
        <f ca="1">N364</f>
        <v>1.6096579458030726E-6</v>
      </c>
      <c r="F472" s="358">
        <f ca="1">K364</f>
        <v>7.6620347850055368E-7</v>
      </c>
      <c r="G472" s="358">
        <f ca="1">E511</f>
        <v>8.4345446730125368E-7</v>
      </c>
      <c r="H472" s="337">
        <f ca="1">E512</f>
        <v>1.2651630422892739E-18</v>
      </c>
      <c r="I472" s="1911"/>
      <c r="J472" s="1917"/>
      <c r="K472" s="1917"/>
      <c r="L472" s="1917"/>
      <c r="M472" s="1917"/>
      <c r="N472" s="1917"/>
      <c r="O472" s="1917"/>
      <c r="P472" s="1917"/>
      <c r="Q472" s="1969"/>
      <c r="R472" s="1917"/>
      <c r="S472" s="1917"/>
      <c r="T472" s="1917"/>
      <c r="U472" s="1917"/>
      <c r="V472" s="1917"/>
      <c r="W472" s="346"/>
    </row>
    <row r="473" spans="1:23" x14ac:dyDescent="0.2">
      <c r="A473" s="436"/>
      <c r="B473" s="345"/>
      <c r="C473" s="442" t="s">
        <v>578</v>
      </c>
      <c r="D473" s="1917" t="s">
        <v>579</v>
      </c>
      <c r="E473" s="358">
        <f ca="1">N365</f>
        <v>2.1052715141784285E-4</v>
      </c>
      <c r="F473" s="358">
        <f ca="1">K365</f>
        <v>0</v>
      </c>
      <c r="G473" s="358">
        <f ca="1">G511</f>
        <v>4.017723721006432E-6</v>
      </c>
      <c r="H473" s="337">
        <f ca="1">G512</f>
        <v>4.017723721006432E-6</v>
      </c>
      <c r="I473" s="1911"/>
      <c r="J473" s="1917"/>
      <c r="K473" s="1917"/>
      <c r="L473" s="1917"/>
      <c r="M473" s="1917"/>
      <c r="N473" s="1917"/>
      <c r="O473" s="1917"/>
      <c r="P473" s="1917"/>
      <c r="Q473" s="1969"/>
      <c r="R473" s="1917"/>
      <c r="S473" s="1917"/>
      <c r="T473" s="1917"/>
      <c r="U473" s="1917"/>
      <c r="V473" s="1917"/>
      <c r="W473" s="346"/>
    </row>
    <row r="474" spans="1:23" x14ac:dyDescent="0.2">
      <c r="A474" s="436"/>
      <c r="B474" s="345"/>
      <c r="C474" s="442" t="s">
        <v>888</v>
      </c>
      <c r="D474" s="1917"/>
      <c r="E474" s="358"/>
      <c r="F474" s="358"/>
      <c r="G474" s="358"/>
      <c r="H474" s="371"/>
      <c r="I474" s="1911"/>
      <c r="J474" s="1917"/>
      <c r="K474" s="1917"/>
      <c r="L474" s="1917"/>
      <c r="M474" s="1917"/>
      <c r="N474" s="1917"/>
      <c r="O474" s="1917"/>
      <c r="P474" s="1917"/>
      <c r="Q474" s="1969"/>
      <c r="R474" s="1917"/>
      <c r="S474" s="1917"/>
      <c r="T474" s="1917"/>
      <c r="U474" s="1917"/>
      <c r="V474" s="1917"/>
      <c r="W474" s="346"/>
    </row>
    <row r="475" spans="1:23" x14ac:dyDescent="0.2">
      <c r="A475" s="436"/>
      <c r="B475" s="345"/>
      <c r="C475" s="442" t="s">
        <v>567</v>
      </c>
      <c r="D475" s="1917"/>
      <c r="E475" s="358">
        <f ca="1">N367</f>
        <v>24.787724032405976</v>
      </c>
      <c r="F475" s="358">
        <f ca="1">K367</f>
        <v>63.970811706769609</v>
      </c>
      <c r="G475" s="358">
        <f ca="1">I511</f>
        <v>38.980465091553498</v>
      </c>
      <c r="H475" s="371">
        <f ca="1">I512</f>
        <v>38.980465091553498</v>
      </c>
      <c r="I475" s="1911"/>
      <c r="J475" s="1917"/>
      <c r="K475" s="1917"/>
      <c r="L475" s="1917"/>
      <c r="M475" s="1917"/>
      <c r="N475" s="1917"/>
      <c r="O475" s="1917"/>
      <c r="P475" s="1917"/>
      <c r="Q475" s="1969"/>
      <c r="R475" s="1917"/>
      <c r="S475" s="1917"/>
      <c r="T475" s="1917"/>
      <c r="U475" s="1917"/>
      <c r="V475" s="1917"/>
      <c r="W475" s="346"/>
    </row>
    <row r="476" spans="1:23" x14ac:dyDescent="0.2">
      <c r="A476" s="436"/>
      <c r="B476" s="345"/>
      <c r="C476" s="442" t="s">
        <v>580</v>
      </c>
      <c r="D476" s="1917" t="s">
        <v>581</v>
      </c>
      <c r="E476" s="358">
        <f ca="1">N368</f>
        <v>905.38141031895907</v>
      </c>
      <c r="F476" s="358">
        <f ca="1">K368</f>
        <v>723.89324403209366</v>
      </c>
      <c r="G476" s="358">
        <f ca="1">F511</f>
        <v>830.00712089804506</v>
      </c>
      <c r="H476" s="371">
        <f ca="1">F512</f>
        <v>830.00712089804506</v>
      </c>
      <c r="I476" s="1911"/>
      <c r="J476" s="1917"/>
      <c r="K476" s="1917"/>
      <c r="L476" s="1917"/>
      <c r="M476" s="1917"/>
      <c r="N476" s="1917"/>
      <c r="O476" s="1917"/>
      <c r="P476" s="1917"/>
      <c r="Q476" s="1969"/>
      <c r="R476" s="1917"/>
      <c r="S476" s="1917"/>
      <c r="T476" s="1917"/>
      <c r="U476" s="1917"/>
      <c r="V476" s="1917"/>
      <c r="W476" s="346"/>
    </row>
    <row r="477" spans="1:23" x14ac:dyDescent="0.2">
      <c r="A477" s="436"/>
      <c r="B477" s="345"/>
      <c r="C477" s="442" t="s">
        <v>621</v>
      </c>
      <c r="D477" s="1917" t="s">
        <v>579</v>
      </c>
      <c r="E477" s="358">
        <f ca="1">N369</f>
        <v>13.996195315233706</v>
      </c>
      <c r="F477" s="358">
        <f ca="1">K369</f>
        <v>14.666871318973451</v>
      </c>
      <c r="G477" s="358">
        <f ca="1">H511</f>
        <v>13.386945726864488</v>
      </c>
      <c r="H477" s="371">
        <f ca="1">H512</f>
        <v>13.386945726864486</v>
      </c>
      <c r="I477" s="1911"/>
      <c r="J477" s="1917"/>
      <c r="K477" s="1917"/>
      <c r="L477" s="1917"/>
      <c r="M477" s="1917"/>
      <c r="N477" s="1917"/>
      <c r="O477" s="1917"/>
      <c r="P477" s="1917"/>
      <c r="Q477" s="1969"/>
      <c r="R477" s="1917"/>
      <c r="S477" s="1917"/>
      <c r="T477" s="1917"/>
      <c r="U477" s="1917"/>
      <c r="V477" s="1917"/>
      <c r="W477" s="346"/>
    </row>
    <row r="478" spans="1:23" x14ac:dyDescent="0.2">
      <c r="A478" s="436"/>
      <c r="B478" s="345"/>
      <c r="C478" s="443" t="s">
        <v>544</v>
      </c>
      <c r="D478" s="334" t="s">
        <v>579</v>
      </c>
      <c r="E478" s="397">
        <f>N370</f>
        <v>0</v>
      </c>
      <c r="F478" s="397">
        <f>K370</f>
        <v>0</v>
      </c>
      <c r="G478" s="397">
        <f>L370</f>
        <v>0</v>
      </c>
      <c r="H478" s="398">
        <f>M370</f>
        <v>0</v>
      </c>
      <c r="I478" s="1911"/>
      <c r="J478" s="1917"/>
      <c r="K478" s="1917"/>
      <c r="L478" s="1917"/>
      <c r="M478" s="1917"/>
      <c r="N478" s="1917"/>
      <c r="O478" s="1917"/>
      <c r="P478" s="1917"/>
      <c r="Q478" s="1969"/>
      <c r="R478" s="1917"/>
      <c r="S478" s="1917"/>
      <c r="T478" s="1917"/>
      <c r="U478" s="1917"/>
      <c r="V478" s="1917"/>
      <c r="W478" s="346"/>
    </row>
    <row r="479" spans="1:23" x14ac:dyDescent="0.2">
      <c r="A479" s="436"/>
      <c r="B479" s="345"/>
      <c r="C479" s="437"/>
      <c r="D479" s="1917"/>
      <c r="E479" s="1917"/>
      <c r="F479" s="1917"/>
      <c r="G479" s="1917"/>
      <c r="H479" s="1917"/>
      <c r="I479" s="1911"/>
      <c r="J479" s="1917"/>
      <c r="K479" s="1917"/>
      <c r="L479" s="1917"/>
      <c r="M479" s="1917"/>
      <c r="N479" s="1917"/>
      <c r="O479" s="1917"/>
      <c r="P479" s="1917"/>
      <c r="Q479" s="1969"/>
      <c r="R479" s="1917"/>
      <c r="S479" s="1917"/>
      <c r="T479" s="1917"/>
      <c r="U479" s="1917"/>
      <c r="V479" s="1917"/>
      <c r="W479" s="346"/>
    </row>
    <row r="480" spans="1:23" x14ac:dyDescent="0.2">
      <c r="A480" s="436"/>
      <c r="B480" s="345"/>
      <c r="C480" s="440" t="s">
        <v>1303</v>
      </c>
      <c r="D480" s="360"/>
      <c r="E480" s="1917"/>
      <c r="F480" s="1917"/>
      <c r="G480" s="1917"/>
      <c r="H480" s="1917"/>
      <c r="I480" s="1911"/>
      <c r="J480" s="1917"/>
      <c r="K480" s="1917"/>
      <c r="L480" s="1917"/>
      <c r="M480" s="1917"/>
      <c r="N480" s="1917"/>
      <c r="O480" s="1917"/>
      <c r="P480" s="1917"/>
      <c r="Q480" s="1969"/>
      <c r="R480" s="1917"/>
      <c r="S480" s="1917"/>
      <c r="T480" s="1917"/>
      <c r="U480" s="1917"/>
      <c r="V480" s="1917"/>
      <c r="W480" s="346"/>
    </row>
    <row r="481" spans="1:23" x14ac:dyDescent="0.2">
      <c r="A481" s="436"/>
      <c r="B481" s="345"/>
      <c r="C481" s="460"/>
      <c r="D481" s="382" t="s">
        <v>624</v>
      </c>
      <c r="E481" s="383" t="s">
        <v>623</v>
      </c>
      <c r="F481" s="1917"/>
      <c r="G481" s="1917"/>
      <c r="H481" s="1917"/>
      <c r="I481" s="1911"/>
      <c r="J481" s="1917"/>
      <c r="K481" s="1917"/>
      <c r="L481" s="1917"/>
      <c r="M481" s="1917"/>
      <c r="N481" s="1917"/>
      <c r="O481" s="1917"/>
      <c r="P481" s="1917"/>
      <c r="Q481" s="1969"/>
      <c r="R481" s="1917"/>
      <c r="S481" s="1917"/>
      <c r="T481" s="1917"/>
      <c r="U481" s="1917"/>
      <c r="V481" s="1917"/>
      <c r="W481" s="346"/>
    </row>
    <row r="482" spans="1:23" x14ac:dyDescent="0.2">
      <c r="A482" s="436"/>
      <c r="B482" s="345"/>
      <c r="C482" s="461" t="s">
        <v>494</v>
      </c>
      <c r="D482" s="1917">
        <v>180000</v>
      </c>
      <c r="E482" s="339" t="s">
        <v>611</v>
      </c>
      <c r="F482" s="1917"/>
      <c r="G482" s="1917"/>
      <c r="H482" s="1917"/>
      <c r="I482" s="1911"/>
      <c r="J482" s="1917"/>
      <c r="K482" s="1917"/>
      <c r="L482" s="1917"/>
      <c r="M482" s="1917"/>
      <c r="N482" s="1917"/>
      <c r="O482" s="1917"/>
      <c r="P482" s="1917"/>
      <c r="Q482" s="1969"/>
      <c r="R482" s="1917"/>
      <c r="S482" s="1917"/>
      <c r="T482" s="1917"/>
      <c r="U482" s="1917"/>
      <c r="V482" s="1917"/>
      <c r="W482" s="346"/>
    </row>
    <row r="483" spans="1:23" x14ac:dyDescent="0.2">
      <c r="A483" s="436"/>
      <c r="B483" s="345"/>
      <c r="C483" s="461" t="s">
        <v>882</v>
      </c>
      <c r="D483" s="1917">
        <v>150</v>
      </c>
      <c r="E483" s="339" t="s">
        <v>630</v>
      </c>
      <c r="F483" s="1917"/>
      <c r="G483" s="1917"/>
      <c r="H483" s="1917"/>
      <c r="I483" s="1917"/>
      <c r="J483" s="1917"/>
      <c r="K483" s="1917"/>
      <c r="L483" s="1917"/>
      <c r="M483" s="1917"/>
      <c r="N483" s="1917"/>
      <c r="O483" s="1917"/>
      <c r="P483" s="1917"/>
      <c r="Q483" s="1969"/>
      <c r="R483" s="1917"/>
      <c r="S483" s="1917"/>
      <c r="T483" s="1917"/>
      <c r="U483" s="1917"/>
      <c r="V483" s="1917"/>
      <c r="W483" s="346"/>
    </row>
    <row r="484" spans="1:23" x14ac:dyDescent="0.2">
      <c r="A484" s="436"/>
      <c r="B484" s="345"/>
      <c r="C484" s="471" t="s">
        <v>883</v>
      </c>
      <c r="D484" s="364">
        <f ca="1">D483*G471*'Energy &amp; Unit Conversions'!G87</f>
        <v>1.7642386860653005E-12</v>
      </c>
      <c r="E484" s="479" t="s">
        <v>632</v>
      </c>
      <c r="F484" s="1917"/>
      <c r="G484" s="1917"/>
      <c r="H484" s="1917"/>
      <c r="I484" s="1917"/>
      <c r="J484" s="1917"/>
      <c r="K484" s="1917"/>
      <c r="L484" s="1917"/>
      <c r="M484" s="1917"/>
      <c r="N484" s="1917"/>
      <c r="O484" s="1917"/>
      <c r="P484" s="1917"/>
      <c r="Q484" s="1969"/>
      <c r="R484" s="1917"/>
      <c r="S484" s="1917"/>
      <c r="T484" s="1917"/>
      <c r="U484" s="1917"/>
      <c r="V484" s="1917"/>
      <c r="W484" s="346"/>
    </row>
    <row r="485" spans="1:23" x14ac:dyDescent="0.2">
      <c r="A485" s="436"/>
      <c r="B485" s="345"/>
      <c r="C485" s="461" t="s">
        <v>884</v>
      </c>
      <c r="D485" s="913">
        <f ca="1">Constants!H198</f>
        <v>50</v>
      </c>
      <c r="E485" s="339" t="s">
        <v>496</v>
      </c>
      <c r="F485" s="1917"/>
      <c r="G485" s="1917"/>
      <c r="H485" s="1917"/>
      <c r="I485" s="1917"/>
      <c r="J485" s="1917"/>
      <c r="K485" s="1917"/>
      <c r="L485" s="1917"/>
      <c r="M485" s="1917"/>
      <c r="N485" s="1917"/>
      <c r="O485" s="1917"/>
      <c r="P485" s="1917"/>
      <c r="Q485" s="1969"/>
      <c r="R485" s="1917"/>
      <c r="S485" s="1917"/>
      <c r="T485" s="1917"/>
      <c r="U485" s="1917"/>
      <c r="V485" s="1917"/>
      <c r="W485" s="346"/>
    </row>
    <row r="486" spans="1:23" x14ac:dyDescent="0.2">
      <c r="A486" s="436"/>
      <c r="B486" s="345"/>
      <c r="C486" s="461" t="s">
        <v>884</v>
      </c>
      <c r="D486" s="1917">
        <f ca="1">D485*'Energy &amp; Unit Conversions'!G79/'Energy &amp; Unit Conversions'!G80</f>
        <v>142.65050415976623</v>
      </c>
      <c r="E486" s="339" t="s">
        <v>581</v>
      </c>
      <c r="F486" s="1917"/>
      <c r="G486" s="1917"/>
      <c r="H486" s="1917"/>
      <c r="I486" s="1917"/>
      <c r="J486" s="1917"/>
      <c r="K486" s="1917"/>
      <c r="L486" s="1917"/>
      <c r="M486" s="1917"/>
      <c r="N486" s="1917"/>
      <c r="O486" s="1917"/>
      <c r="P486" s="1917"/>
      <c r="Q486" s="1969"/>
      <c r="R486" s="1917"/>
      <c r="S486" s="1917"/>
      <c r="T486" s="1917"/>
      <c r="U486" s="1917"/>
      <c r="V486" s="1917"/>
      <c r="W486" s="346"/>
    </row>
    <row r="487" spans="1:23" x14ac:dyDescent="0.2">
      <c r="A487" s="436"/>
      <c r="B487" s="345"/>
      <c r="C487" s="471" t="s">
        <v>885</v>
      </c>
      <c r="D487" s="364">
        <f ca="1">IF(Constants!H209=Constants!H210,D486*H471,CokingRefineryCalcs!D486*CokingRefineryCalcs!E471)</f>
        <v>2.95949818798908E-7</v>
      </c>
      <c r="E487" s="479" t="s">
        <v>622</v>
      </c>
      <c r="F487" s="1917"/>
      <c r="G487" s="1917"/>
      <c r="H487" s="1917"/>
      <c r="I487" s="1917"/>
      <c r="J487" s="1917"/>
      <c r="K487" s="1917"/>
      <c r="L487" s="1917"/>
      <c r="M487" s="1917"/>
      <c r="N487" s="1917"/>
      <c r="O487" s="1917"/>
      <c r="P487" s="1917"/>
      <c r="Q487" s="1969"/>
      <c r="R487" s="1917"/>
      <c r="S487" s="1917"/>
      <c r="T487" s="1917"/>
      <c r="U487" s="1917"/>
      <c r="V487" s="1917"/>
      <c r="W487" s="346"/>
    </row>
    <row r="488" spans="1:23" x14ac:dyDescent="0.2">
      <c r="A488" s="436"/>
      <c r="B488" s="345"/>
      <c r="C488" s="461" t="s">
        <v>451</v>
      </c>
      <c r="D488" s="913">
        <f ca="1">Constants!H205</f>
        <v>1.6</v>
      </c>
      <c r="E488" s="339" t="s">
        <v>665</v>
      </c>
      <c r="F488" s="1917"/>
      <c r="G488" s="1917"/>
      <c r="H488" s="1917"/>
      <c r="I488" s="1917"/>
      <c r="J488" s="1917"/>
      <c r="K488" s="1917"/>
      <c r="L488" s="1917"/>
      <c r="M488" s="1917"/>
      <c r="N488" s="1917"/>
      <c r="O488" s="1917"/>
      <c r="P488" s="1917"/>
      <c r="Q488" s="1969"/>
      <c r="R488" s="1917"/>
      <c r="S488" s="1917"/>
      <c r="T488" s="1917"/>
      <c r="U488" s="1917"/>
      <c r="V488" s="1917"/>
      <c r="W488" s="346"/>
    </row>
    <row r="489" spans="1:23" x14ac:dyDescent="0.2">
      <c r="A489" s="436"/>
      <c r="B489" s="345"/>
      <c r="C489" s="461" t="s">
        <v>451</v>
      </c>
      <c r="D489" s="1917">
        <f ca="1">D488/'Energy &amp; Unit Conversions'!G80</f>
        <v>10.063696911640113</v>
      </c>
      <c r="E489" s="339" t="s">
        <v>629</v>
      </c>
      <c r="F489" s="1917"/>
      <c r="G489" s="1917"/>
      <c r="H489" s="1917"/>
      <c r="I489" s="1917"/>
      <c r="J489" s="1917"/>
      <c r="K489" s="1917"/>
      <c r="L489" s="1917"/>
      <c r="M489" s="1917"/>
      <c r="N489" s="1917"/>
      <c r="O489" s="1917"/>
      <c r="P489" s="1917"/>
      <c r="Q489" s="1969"/>
      <c r="R489" s="1917"/>
      <c r="S489" s="1917"/>
      <c r="T489" s="1917"/>
      <c r="U489" s="1917"/>
      <c r="V489" s="1917"/>
      <c r="W489" s="346"/>
    </row>
    <row r="490" spans="1:23" x14ac:dyDescent="0.2">
      <c r="A490" s="436"/>
      <c r="B490" s="345"/>
      <c r="C490" s="469" t="s">
        <v>452</v>
      </c>
      <c r="D490" s="408">
        <f ca="1">E471*D489</f>
        <v>2.08786452945958E-8</v>
      </c>
      <c r="E490" s="409" t="s">
        <v>627</v>
      </c>
      <c r="F490" s="1917"/>
      <c r="G490" s="1917"/>
      <c r="H490" s="1917"/>
      <c r="I490" s="1917"/>
      <c r="J490" s="1917"/>
      <c r="K490" s="1917"/>
      <c r="L490" s="1917"/>
      <c r="M490" s="1917"/>
      <c r="N490" s="1917"/>
      <c r="O490" s="1917"/>
      <c r="P490" s="1917"/>
      <c r="Q490" s="1969"/>
      <c r="R490" s="1917"/>
      <c r="S490" s="1917"/>
      <c r="T490" s="1917"/>
      <c r="U490" s="1917"/>
      <c r="V490" s="1917"/>
      <c r="W490" s="346"/>
    </row>
    <row r="491" spans="1:23" x14ac:dyDescent="0.2">
      <c r="A491" s="436"/>
      <c r="B491" s="345"/>
      <c r="C491" s="437"/>
      <c r="D491" s="1917"/>
      <c r="E491" s="1917"/>
      <c r="F491" s="1917"/>
      <c r="G491" s="1917"/>
      <c r="H491" s="1917"/>
      <c r="I491" s="1917"/>
      <c r="J491" s="1917"/>
      <c r="K491" s="1917"/>
      <c r="L491" s="1917"/>
      <c r="M491" s="1917"/>
      <c r="N491" s="1917"/>
      <c r="O491" s="1917"/>
      <c r="P491" s="1917"/>
      <c r="Q491" s="1969"/>
      <c r="R491" s="1917"/>
      <c r="S491" s="1917"/>
      <c r="T491" s="1917"/>
      <c r="U491" s="1917"/>
      <c r="V491" s="1917"/>
      <c r="W491" s="346"/>
    </row>
    <row r="492" spans="1:23" x14ac:dyDescent="0.2">
      <c r="A492" s="436"/>
      <c r="B492" s="345"/>
      <c r="C492" s="440" t="s">
        <v>1526</v>
      </c>
      <c r="D492" s="1917"/>
      <c r="E492" s="1917"/>
      <c r="F492" s="1917"/>
      <c r="G492" s="1917"/>
      <c r="H492" s="1917"/>
      <c r="I492" s="1917"/>
      <c r="J492" s="1917"/>
      <c r="K492" s="1917"/>
      <c r="L492" s="1917"/>
      <c r="M492" s="1917"/>
      <c r="N492" s="1917"/>
      <c r="O492" s="1917"/>
      <c r="P492" s="1917"/>
      <c r="Q492" s="1969"/>
      <c r="R492" s="1917"/>
      <c r="S492" s="1917"/>
      <c r="T492" s="1917"/>
      <c r="U492" s="1917"/>
      <c r="V492" s="1917"/>
      <c r="W492" s="346"/>
    </row>
    <row r="493" spans="1:23" x14ac:dyDescent="0.2">
      <c r="A493" s="436"/>
      <c r="B493" s="345"/>
      <c r="C493" s="463"/>
      <c r="D493" s="402" t="s">
        <v>1197</v>
      </c>
      <c r="E493" s="402" t="s">
        <v>1198</v>
      </c>
      <c r="F493" s="402" t="s">
        <v>1199</v>
      </c>
      <c r="G493" s="402" t="s">
        <v>663</v>
      </c>
      <c r="H493" s="403" t="s">
        <v>662</v>
      </c>
      <c r="I493" s="1917"/>
      <c r="J493" s="1917"/>
      <c r="K493" s="1917"/>
      <c r="L493" s="1911"/>
      <c r="M493" s="1911"/>
      <c r="N493" s="1911"/>
      <c r="O493" s="1911"/>
      <c r="P493" s="1917"/>
      <c r="Q493" s="1969"/>
      <c r="R493" s="1917"/>
      <c r="S493" s="1917"/>
      <c r="T493" s="1917"/>
      <c r="U493" s="1917"/>
      <c r="V493" s="1917"/>
      <c r="W493" s="346"/>
    </row>
    <row r="494" spans="1:23" x14ac:dyDescent="0.2">
      <c r="A494" s="436"/>
      <c r="B494" s="345"/>
      <c r="C494" s="461" t="str">
        <f>G469</f>
        <v>HC Diesel</v>
      </c>
      <c r="D494" s="1917">
        <f ca="1">L362</f>
        <v>6.3917148298896895E-9</v>
      </c>
      <c r="E494" s="1917">
        <f ca="1">L364</f>
        <v>8.4345446730167539E-7</v>
      </c>
      <c r="F494" s="1917">
        <f ca="1">E494/D494/'Energy &amp; Unit Conversions'!G80</f>
        <v>830.00712089804506</v>
      </c>
      <c r="G494" s="1917">
        <f ca="1">L365</f>
        <v>4.017723721006432E-6</v>
      </c>
      <c r="H494" s="339">
        <f ca="1">L369</f>
        <v>13.386945726864486</v>
      </c>
      <c r="I494" s="1917"/>
      <c r="J494" s="1917"/>
      <c r="K494" s="1917"/>
      <c r="L494" s="1917"/>
      <c r="M494" s="1917"/>
      <c r="N494" s="1917"/>
      <c r="O494" s="1917"/>
      <c r="P494" s="1917"/>
      <c r="Q494" s="1969"/>
      <c r="R494" s="1917"/>
      <c r="S494" s="1917"/>
      <c r="T494" s="1917"/>
      <c r="U494" s="1917"/>
      <c r="V494" s="1917"/>
      <c r="W494" s="346"/>
    </row>
    <row r="495" spans="1:23" x14ac:dyDescent="0.2">
      <c r="A495" s="436"/>
      <c r="B495" s="345"/>
      <c r="C495" s="461" t="str">
        <f>H469</f>
        <v>Fuel Oil</v>
      </c>
      <c r="D495" s="1917">
        <f ca="1">M362</f>
        <v>6.3915734341695177E-21</v>
      </c>
      <c r="E495" s="1917">
        <f ca="1">M364</f>
        <v>8.4343580863885792E-19</v>
      </c>
      <c r="F495" s="1917">
        <f ca="1">IF(E495=0,0,E495/D495/'Energy &amp; Unit Conversions'!G80)</f>
        <v>830.00712089804506</v>
      </c>
      <c r="G495" s="1917">
        <f ca="1">M365</f>
        <v>4.017723721006432E-6</v>
      </c>
      <c r="H495" s="339">
        <f ca="1">M369</f>
        <v>13.386945726864486</v>
      </c>
      <c r="I495" s="1917"/>
      <c r="J495" s="1917"/>
      <c r="K495" s="1917"/>
      <c r="L495" s="1917"/>
      <c r="M495" s="1917"/>
      <c r="N495" s="1917"/>
      <c r="O495" s="1917"/>
      <c r="P495" s="1917"/>
      <c r="Q495" s="1969"/>
      <c r="R495" s="1917"/>
      <c r="S495" s="1917"/>
      <c r="T495" s="1917"/>
      <c r="U495" s="1917"/>
      <c r="V495" s="1917"/>
      <c r="W495" s="346"/>
    </row>
    <row r="496" spans="1:23" x14ac:dyDescent="0.2">
      <c r="A496" s="436"/>
      <c r="B496" s="345"/>
      <c r="C496" s="462" t="s">
        <v>1200</v>
      </c>
      <c r="D496" s="400">
        <f ca="1">SUM(D494:D495)</f>
        <v>6.3917148298960811E-9</v>
      </c>
      <c r="E496" s="400">
        <f ca="1">SUM(E494:E495)</f>
        <v>8.4345446730251883E-7</v>
      </c>
      <c r="F496" s="400"/>
      <c r="G496" s="400"/>
      <c r="H496" s="401"/>
      <c r="I496" s="1917"/>
      <c r="J496" s="1917"/>
      <c r="K496" s="1917"/>
      <c r="L496" s="1917"/>
      <c r="M496" s="1917"/>
      <c r="N496" s="1917"/>
      <c r="O496" s="1917"/>
      <c r="P496" s="1917"/>
      <c r="Q496" s="1969"/>
      <c r="R496" s="1917"/>
      <c r="S496" s="1917"/>
      <c r="T496" s="1917"/>
      <c r="U496" s="1917"/>
      <c r="V496" s="1917"/>
      <c r="W496" s="346"/>
    </row>
    <row r="497" spans="1:23" x14ac:dyDescent="0.2">
      <c r="A497" s="436"/>
      <c r="B497" s="345"/>
      <c r="C497" s="437"/>
      <c r="D497" s="1917"/>
      <c r="E497" s="1917"/>
      <c r="F497" s="1917"/>
      <c r="G497" s="1917"/>
      <c r="H497" s="1917"/>
      <c r="I497" s="1917"/>
      <c r="J497" s="1917"/>
      <c r="K497" s="1917"/>
      <c r="L497" s="1917"/>
      <c r="M497" s="1917"/>
      <c r="N497" s="1917"/>
      <c r="O497" s="1917"/>
      <c r="P497" s="1917"/>
      <c r="Q497" s="1969"/>
      <c r="R497" s="1917"/>
      <c r="S497" s="1917"/>
      <c r="T497" s="1917"/>
      <c r="U497" s="1917"/>
      <c r="V497" s="1917"/>
      <c r="W497" s="346"/>
    </row>
    <row r="498" spans="1:23" x14ac:dyDescent="0.2">
      <c r="A498" s="436"/>
      <c r="B498" s="345"/>
      <c r="C498" s="440" t="s">
        <v>284</v>
      </c>
      <c r="D498" s="1917"/>
      <c r="E498" s="1917"/>
      <c r="F498" s="1917"/>
      <c r="G498" s="1917"/>
      <c r="H498" s="1917"/>
      <c r="I498" s="1917"/>
      <c r="J498" s="1917"/>
      <c r="K498" s="1917"/>
      <c r="L498" s="1917"/>
      <c r="M498" s="1917"/>
      <c r="N498" s="1917"/>
      <c r="O498" s="1917"/>
      <c r="P498" s="1917"/>
      <c r="Q498" s="1969"/>
      <c r="R498" s="1917"/>
      <c r="S498" s="1917"/>
      <c r="T498" s="1917"/>
      <c r="U498" s="1917"/>
      <c r="V498" s="1917"/>
      <c r="W498" s="346"/>
    </row>
    <row r="499" spans="1:23" x14ac:dyDescent="0.2">
      <c r="A499" s="436"/>
      <c r="B499" s="345"/>
      <c r="C499" s="463"/>
      <c r="D499" s="1913"/>
      <c r="E499" s="1913"/>
      <c r="F499" s="1913"/>
      <c r="G499" s="404" t="s">
        <v>292</v>
      </c>
      <c r="H499" s="404" t="s">
        <v>293</v>
      </c>
      <c r="I499" s="402" t="s">
        <v>294</v>
      </c>
      <c r="J499" s="405" t="s">
        <v>663</v>
      </c>
      <c r="K499" s="406" t="s">
        <v>662</v>
      </c>
      <c r="L499" s="1917"/>
      <c r="M499" s="1917"/>
      <c r="N499" s="1917"/>
      <c r="O499" s="1917"/>
      <c r="P499" s="1917"/>
      <c r="Q499" s="1969"/>
      <c r="R499" s="1917"/>
      <c r="S499" s="1917"/>
      <c r="T499" s="1917"/>
      <c r="U499" s="1917"/>
      <c r="V499" s="1917"/>
      <c r="W499" s="346"/>
    </row>
    <row r="500" spans="1:23" x14ac:dyDescent="0.2">
      <c r="A500" s="436"/>
      <c r="B500" s="345"/>
      <c r="C500" s="461" t="str">
        <f>C494</f>
        <v>HC Diesel</v>
      </c>
      <c r="D500" s="1917">
        <f>CokingRefineryControls!C19</f>
        <v>1E-10</v>
      </c>
      <c r="E500" s="1917" t="s">
        <v>1194</v>
      </c>
      <c r="F500" s="1911" t="s">
        <v>881</v>
      </c>
      <c r="G500" s="1917">
        <f ca="1">D500/100*D494+D501/100*D495</f>
        <v>6.3917148298960808E-21</v>
      </c>
      <c r="H500" s="1917">
        <f ca="1">D500/100*E494+D501/100*E495</f>
        <v>8.4345446730251883E-19</v>
      </c>
      <c r="I500" s="1917">
        <f ca="1">H500/G500/'Energy &amp; Unit Conversions'!G80</f>
        <v>830.00712089804506</v>
      </c>
      <c r="J500" s="1917">
        <f ca="1">(D500/100*E494*G494+D501/100*E495*G495)/H500</f>
        <v>4.017723721006432E-6</v>
      </c>
      <c r="K500" s="339">
        <f ca="1">(D500/100*E494*H494+D501/100*E495*H495)/H500</f>
        <v>13.386945726864486</v>
      </c>
      <c r="L500" s="1917"/>
      <c r="M500" s="1917"/>
      <c r="N500" s="1917"/>
      <c r="O500" s="1917"/>
      <c r="P500" s="1917"/>
      <c r="Q500" s="1969"/>
      <c r="R500" s="1917"/>
      <c r="S500" s="1917"/>
      <c r="T500" s="1917"/>
      <c r="U500" s="1917"/>
      <c r="V500" s="1917"/>
      <c r="W500" s="346"/>
    </row>
    <row r="501" spans="1:23" x14ac:dyDescent="0.2">
      <c r="A501" s="436"/>
      <c r="B501" s="345"/>
      <c r="C501" s="462" t="str">
        <f>C495</f>
        <v>Fuel Oil</v>
      </c>
      <c r="D501" s="1914">
        <f>CokingRefineryControls!C20</f>
        <v>1E-10</v>
      </c>
      <c r="E501" s="1914" t="s">
        <v>1194</v>
      </c>
      <c r="F501" s="400"/>
      <c r="G501" s="1914">
        <f ca="1">SUM(G500:G500)</f>
        <v>6.3917148298960808E-21</v>
      </c>
      <c r="H501" s="1914"/>
      <c r="I501" s="1914"/>
      <c r="J501" s="1914"/>
      <c r="K501" s="1916"/>
      <c r="L501" s="1917"/>
      <c r="M501" s="1917"/>
      <c r="N501" s="1917"/>
      <c r="O501" s="1917"/>
      <c r="P501" s="1917"/>
      <c r="Q501" s="1969"/>
      <c r="R501" s="1917"/>
      <c r="S501" s="1917"/>
      <c r="T501" s="1917"/>
      <c r="U501" s="1917"/>
      <c r="V501" s="1917"/>
      <c r="W501" s="346"/>
    </row>
    <row r="502" spans="1:23" x14ac:dyDescent="0.2">
      <c r="A502" s="436"/>
      <c r="B502" s="345"/>
      <c r="C502" s="437"/>
      <c r="D502" s="1917"/>
      <c r="E502" s="1917"/>
      <c r="F502" s="1917"/>
      <c r="G502" s="1917"/>
      <c r="H502" s="1917"/>
      <c r="I502" s="1917"/>
      <c r="J502" s="1917"/>
      <c r="K502" s="1917"/>
      <c r="L502" s="1917"/>
      <c r="M502" s="1917"/>
      <c r="N502" s="1917"/>
      <c r="O502" s="1917"/>
      <c r="P502" s="1917"/>
      <c r="Q502" s="1969"/>
      <c r="R502" s="1917"/>
      <c r="S502" s="1917"/>
      <c r="T502" s="1917"/>
      <c r="U502" s="1917"/>
      <c r="V502" s="1917"/>
      <c r="W502" s="346"/>
    </row>
    <row r="503" spans="1:23" x14ac:dyDescent="0.2">
      <c r="A503" s="436"/>
      <c r="B503" s="345"/>
      <c r="C503" s="440" t="s">
        <v>296</v>
      </c>
      <c r="D503" s="1917"/>
      <c r="E503" s="1917"/>
      <c r="F503" s="1917"/>
      <c r="G503" s="1917"/>
      <c r="H503" s="1917"/>
      <c r="I503" s="1917"/>
      <c r="J503" s="1917"/>
      <c r="K503" s="1917"/>
      <c r="L503" s="1917"/>
      <c r="M503" s="1917"/>
      <c r="N503" s="1917"/>
      <c r="O503" s="1917"/>
      <c r="P503" s="1917"/>
      <c r="Q503" s="1969"/>
      <c r="R503" s="1917"/>
      <c r="S503" s="1917"/>
      <c r="T503" s="1917"/>
      <c r="U503" s="1917"/>
      <c r="V503" s="1917"/>
      <c r="W503" s="346"/>
    </row>
    <row r="504" spans="1:23" x14ac:dyDescent="0.2">
      <c r="A504" s="436"/>
      <c r="B504" s="345"/>
      <c r="C504" s="464" t="s">
        <v>1208</v>
      </c>
      <c r="D504" s="382" t="s">
        <v>1209</v>
      </c>
      <c r="E504" s="382" t="s">
        <v>1210</v>
      </c>
      <c r="F504" s="402" t="s">
        <v>1211</v>
      </c>
      <c r="G504" s="382" t="s">
        <v>1212</v>
      </c>
      <c r="H504" s="382" t="s">
        <v>1213</v>
      </c>
      <c r="I504" s="402" t="s">
        <v>1214</v>
      </c>
      <c r="J504" s="382" t="s">
        <v>1215</v>
      </c>
      <c r="K504" s="383" t="s">
        <v>1216</v>
      </c>
      <c r="L504" s="1917"/>
      <c r="M504" s="1917"/>
      <c r="N504" s="1917"/>
      <c r="O504" s="1917"/>
      <c r="P504" s="1917"/>
      <c r="Q504" s="1969"/>
      <c r="R504" s="1917"/>
      <c r="S504" s="1917"/>
      <c r="T504" s="1917"/>
      <c r="U504" s="1917"/>
      <c r="V504" s="1917"/>
      <c r="W504" s="346"/>
    </row>
    <row r="505" spans="1:23" x14ac:dyDescent="0.2">
      <c r="A505" s="436"/>
      <c r="B505" s="345"/>
      <c r="C505" s="465">
        <f ca="1">D500/100*D494</f>
        <v>6.3917148298896891E-21</v>
      </c>
      <c r="D505" s="1917">
        <f>CokingRefineryControls!C21</f>
        <v>50</v>
      </c>
      <c r="E505" s="1917">
        <f>100-D505</f>
        <v>50</v>
      </c>
      <c r="F505" s="1917">
        <f ca="1">D494-D500/100*D494</f>
        <v>6.3917148298832979E-9</v>
      </c>
      <c r="G505" s="1917">
        <f ca="1">D505/100*G500</f>
        <v>3.1958574149480404E-21</v>
      </c>
      <c r="H505" s="1917">
        <f ca="1">G500-G505</f>
        <v>3.1958574149480404E-21</v>
      </c>
      <c r="I505" s="1917">
        <f ca="1">E494-D500/100*E494</f>
        <v>8.4345446730083196E-7</v>
      </c>
      <c r="J505" s="1917">
        <f ca="1">D505/100*H500</f>
        <v>4.2172723365125941E-19</v>
      </c>
      <c r="K505" s="339">
        <f ca="1">H500-J505</f>
        <v>4.2172723365125941E-19</v>
      </c>
      <c r="L505" s="1917"/>
      <c r="M505" s="1917"/>
      <c r="N505" s="1917"/>
      <c r="O505" s="1917"/>
      <c r="P505" s="1917"/>
      <c r="Q505" s="1969"/>
      <c r="R505" s="1917"/>
      <c r="S505" s="1917"/>
      <c r="T505" s="1917"/>
      <c r="U505" s="1917"/>
      <c r="V505" s="1917"/>
      <c r="W505" s="346"/>
    </row>
    <row r="506" spans="1:23" x14ac:dyDescent="0.2">
      <c r="A506" s="436"/>
      <c r="B506" s="345"/>
      <c r="C506" s="465">
        <f ca="1">D501/100*D495</f>
        <v>6.3915734341695176E-33</v>
      </c>
      <c r="D506" s="1917"/>
      <c r="E506" s="1917"/>
      <c r="F506" s="1917">
        <f ca="1">D495-D501/100*D495</f>
        <v>6.3915734341631261E-21</v>
      </c>
      <c r="G506" s="1917"/>
      <c r="H506" s="1917"/>
      <c r="I506" s="1917">
        <f ca="1">E495-D501/100*E495</f>
        <v>8.4343580863801446E-19</v>
      </c>
      <c r="J506" s="1917"/>
      <c r="K506" s="339"/>
      <c r="L506" s="1917"/>
      <c r="M506" s="1917"/>
      <c r="N506" s="1917"/>
      <c r="O506" s="1917"/>
      <c r="P506" s="1917"/>
      <c r="Q506" s="1969"/>
      <c r="R506" s="1917"/>
      <c r="S506" s="1917"/>
      <c r="T506" s="1917"/>
      <c r="U506" s="1917"/>
      <c r="V506" s="1917"/>
      <c r="W506" s="346"/>
    </row>
    <row r="507" spans="1:23" x14ac:dyDescent="0.2">
      <c r="A507" s="436"/>
      <c r="B507" s="345"/>
      <c r="C507" s="466">
        <f ca="1">SUM(C505:C506)</f>
        <v>6.3917148298960808E-21</v>
      </c>
      <c r="D507" s="1914"/>
      <c r="E507" s="1914"/>
      <c r="F507" s="1914">
        <f ca="1">SUM(F505:F506)</f>
        <v>6.3917148298896895E-9</v>
      </c>
      <c r="G507" s="1914"/>
      <c r="H507" s="1914"/>
      <c r="I507" s="1914"/>
      <c r="J507" s="1914"/>
      <c r="K507" s="1916"/>
      <c r="L507" s="1917"/>
      <c r="M507" s="1917"/>
      <c r="N507" s="1917"/>
      <c r="O507" s="1917"/>
      <c r="P507" s="1917"/>
      <c r="Q507" s="1969"/>
      <c r="R507" s="1917"/>
      <c r="S507" s="1917"/>
      <c r="T507" s="1917"/>
      <c r="U507" s="1917"/>
      <c r="V507" s="1917"/>
      <c r="W507" s="346"/>
    </row>
    <row r="508" spans="1:23" x14ac:dyDescent="0.2">
      <c r="A508" s="436"/>
      <c r="B508" s="345"/>
      <c r="C508" s="437"/>
      <c r="D508" s="1917"/>
      <c r="E508" s="1917"/>
      <c r="F508" s="1917"/>
      <c r="G508" s="1917"/>
      <c r="H508" s="1917"/>
      <c r="I508" s="1917"/>
      <c r="J508" s="1917"/>
      <c r="K508" s="1917"/>
      <c r="L508" s="1917"/>
      <c r="M508" s="1926"/>
      <c r="N508" s="1926"/>
      <c r="O508" s="1926"/>
      <c r="P508" s="1926"/>
      <c r="Q508" s="1926"/>
      <c r="R508" s="1917"/>
      <c r="S508" s="1917"/>
      <c r="T508" s="1917"/>
      <c r="U508" s="1917"/>
      <c r="V508" s="1917"/>
      <c r="W508" s="346"/>
    </row>
    <row r="509" spans="1:23" x14ac:dyDescent="0.2">
      <c r="A509" s="436"/>
      <c r="B509" s="345"/>
      <c r="C509" s="440" t="s">
        <v>1526</v>
      </c>
      <c r="D509" s="1917"/>
      <c r="E509" s="1917"/>
      <c r="F509" s="1917"/>
      <c r="G509" s="1917"/>
      <c r="H509" s="1917"/>
      <c r="I509" s="1917"/>
      <c r="J509" s="1917"/>
      <c r="K509" s="1917"/>
      <c r="L509" s="1917"/>
      <c r="M509" s="1926"/>
      <c r="N509" s="1926"/>
      <c r="O509" s="1926"/>
      <c r="P509" s="1926"/>
      <c r="Q509" s="1926"/>
      <c r="R509" s="1917"/>
      <c r="S509" s="1917"/>
      <c r="T509" s="1917"/>
      <c r="U509" s="1917"/>
      <c r="V509" s="1917"/>
      <c r="W509" s="346"/>
    </row>
    <row r="510" spans="1:23" x14ac:dyDescent="0.2">
      <c r="A510" s="436"/>
      <c r="B510" s="345"/>
      <c r="C510" s="463"/>
      <c r="D510" s="404" t="s">
        <v>292</v>
      </c>
      <c r="E510" s="404" t="s">
        <v>293</v>
      </c>
      <c r="F510" s="402" t="s">
        <v>294</v>
      </c>
      <c r="G510" s="405" t="s">
        <v>663</v>
      </c>
      <c r="H510" s="405" t="s">
        <v>662</v>
      </c>
      <c r="I510" s="382" t="s">
        <v>567</v>
      </c>
      <c r="J510" s="383" t="s">
        <v>544</v>
      </c>
      <c r="K510" s="1917"/>
      <c r="L510" s="1917"/>
      <c r="M510" s="1926"/>
      <c r="N510" s="1926"/>
      <c r="O510" s="1926"/>
      <c r="P510" s="1926"/>
      <c r="Q510" s="1926"/>
      <c r="R510" s="1917"/>
      <c r="S510" s="1917"/>
      <c r="T510" s="1917"/>
      <c r="U510" s="1917"/>
      <c r="V510" s="1917"/>
      <c r="W510" s="346"/>
    </row>
    <row r="511" spans="1:23" x14ac:dyDescent="0.2">
      <c r="A511" s="436"/>
      <c r="B511" s="345"/>
      <c r="C511" s="461" t="str">
        <f>C500</f>
        <v>HC Diesel</v>
      </c>
      <c r="D511" s="1917">
        <f ca="1">F505+G505</f>
        <v>6.3917148298864941E-9</v>
      </c>
      <c r="E511" s="1917">
        <f ca="1">I505+J505</f>
        <v>8.4345446730125368E-7</v>
      </c>
      <c r="F511" s="1917">
        <f ca="1">E511/D511/'Energy &amp; Unit Conversions'!G80</f>
        <v>830.00712089804506</v>
      </c>
      <c r="G511" s="1917">
        <f ca="1">(I505*G494+J505*J500)/E511</f>
        <v>4.017723721006432E-6</v>
      </c>
      <c r="H511" s="1917">
        <f ca="1">(I505*H494+J505*K500)/E511</f>
        <v>13.386945726864488</v>
      </c>
      <c r="I511" s="1917">
        <f ca="1">141.5/(F511/1000)-131.5</f>
        <v>38.980465091553498</v>
      </c>
      <c r="J511" s="339"/>
      <c r="K511" s="1917"/>
      <c r="L511" s="1917"/>
      <c r="M511" s="1926"/>
      <c r="N511" s="1926"/>
      <c r="O511" s="1926"/>
      <c r="P511" s="1926"/>
      <c r="Q511" s="1926"/>
      <c r="R511" s="1917"/>
      <c r="S511" s="1917"/>
      <c r="T511" s="1917"/>
      <c r="U511" s="1917"/>
      <c r="V511" s="1917"/>
      <c r="W511" s="346"/>
    </row>
    <row r="512" spans="1:23" x14ac:dyDescent="0.2">
      <c r="A512" s="436"/>
      <c r="B512" s="345"/>
      <c r="C512" s="461" t="str">
        <f>C501</f>
        <v>Fuel Oil</v>
      </c>
      <c r="D512" s="1917">
        <f ca="1">F506+H505</f>
        <v>9.5874308491111665E-21</v>
      </c>
      <c r="E512" s="1917">
        <f ca="1">I506+K505</f>
        <v>1.2651630422892739E-18</v>
      </c>
      <c r="F512" s="1917">
        <f ca="1">E512/D512/'Energy &amp; Unit Conversions'!G80</f>
        <v>830.00712089804506</v>
      </c>
      <c r="G512" s="1917">
        <f ca="1">(I506*G495+K505*J500)/E512</f>
        <v>4.017723721006432E-6</v>
      </c>
      <c r="H512" s="1917">
        <f ca="1">(I506*H495+K505*K500)/E512</f>
        <v>13.386945726864486</v>
      </c>
      <c r="I512" s="1917">
        <f ca="1">141.5/(F512/1000)-131.5</f>
        <v>38.980465091553498</v>
      </c>
      <c r="J512" s="339"/>
      <c r="K512" s="1917"/>
      <c r="L512" s="1917"/>
      <c r="M512" s="1926"/>
      <c r="N512" s="1926"/>
      <c r="O512" s="1926"/>
      <c r="P512" s="1926"/>
      <c r="Q512" s="1926"/>
      <c r="R512" s="1917"/>
      <c r="S512" s="1917"/>
      <c r="T512" s="1917"/>
      <c r="U512" s="1917"/>
      <c r="V512" s="1917"/>
      <c r="W512" s="346"/>
    </row>
    <row r="513" spans="1:23" x14ac:dyDescent="0.2">
      <c r="A513" s="436"/>
      <c r="B513" s="345"/>
      <c r="C513" s="466"/>
      <c r="D513" s="1914">
        <f ca="1">SUM(D511:D512)</f>
        <v>6.3917148298960811E-9</v>
      </c>
      <c r="E513" s="1914">
        <f ca="1">SUM(E511:E512)</f>
        <v>8.4345446730251883E-7</v>
      </c>
      <c r="F513" s="1914"/>
      <c r="G513" s="1914"/>
      <c r="H513" s="1914"/>
      <c r="I513" s="1914"/>
      <c r="J513" s="1916"/>
      <c r="K513" s="1917"/>
      <c r="L513" s="1917"/>
      <c r="M513" s="1926"/>
      <c r="N513" s="1926"/>
      <c r="O513" s="1926"/>
      <c r="P513" s="1926"/>
      <c r="Q513" s="1926"/>
      <c r="R513" s="1917"/>
      <c r="S513" s="1917"/>
      <c r="T513" s="1917"/>
      <c r="U513" s="1917"/>
      <c r="V513" s="1917"/>
      <c r="W513" s="346"/>
    </row>
    <row r="514" spans="1:23" x14ac:dyDescent="0.2">
      <c r="A514" s="436"/>
      <c r="B514" s="345"/>
      <c r="C514" s="437"/>
      <c r="D514" s="1917"/>
      <c r="E514" s="1917"/>
      <c r="F514" s="1917"/>
      <c r="G514" s="1917"/>
      <c r="H514" s="1917"/>
      <c r="I514" s="1917"/>
      <c r="J514" s="1917"/>
      <c r="K514" s="1917"/>
      <c r="L514" s="1917"/>
      <c r="M514" s="1926"/>
      <c r="N514" s="1926"/>
      <c r="O514" s="1926"/>
      <c r="P514" s="1926"/>
      <c r="Q514" s="1926"/>
      <c r="R514" s="1917"/>
      <c r="S514" s="1917"/>
      <c r="T514" s="1917"/>
      <c r="U514" s="1917"/>
      <c r="V514" s="1917"/>
      <c r="W514" s="346"/>
    </row>
    <row r="515" spans="1:23" ht="26.25" customHeight="1" x14ac:dyDescent="0.2">
      <c r="A515" s="436"/>
      <c r="B515" s="347"/>
      <c r="C515" s="438" t="s">
        <v>1360</v>
      </c>
      <c r="D515" s="348"/>
      <c r="E515" s="1917"/>
      <c r="F515" s="2448" t="s">
        <v>1399</v>
      </c>
      <c r="G515" s="2449"/>
      <c r="H515" s="2449"/>
      <c r="I515" s="317"/>
      <c r="J515" s="1917"/>
      <c r="K515" s="1917"/>
      <c r="L515" s="1917"/>
      <c r="M515" s="1917"/>
      <c r="N515" s="1917"/>
      <c r="O515" s="1917"/>
      <c r="P515" s="1917"/>
      <c r="Q515" s="1969"/>
      <c r="R515" s="1917"/>
      <c r="S515" s="1917"/>
      <c r="T515" s="1917"/>
      <c r="U515" s="1917"/>
      <c r="V515" s="1917"/>
      <c r="W515" s="346"/>
    </row>
    <row r="516" spans="1:23" x14ac:dyDescent="0.2">
      <c r="A516" s="436"/>
      <c r="B516" s="345"/>
      <c r="C516" s="437"/>
      <c r="D516" s="1917"/>
      <c r="E516" s="1917"/>
      <c r="F516" s="1917"/>
      <c r="G516" s="1917"/>
      <c r="H516" s="1917"/>
      <c r="I516" s="1917"/>
      <c r="J516" s="1917"/>
      <c r="K516" s="1917"/>
      <c r="L516" s="1917"/>
      <c r="M516" s="1917"/>
      <c r="N516" s="1917"/>
      <c r="O516" s="1917"/>
      <c r="P516" s="1917"/>
      <c r="Q516" s="1969"/>
      <c r="R516" s="1917"/>
      <c r="S516" s="1917"/>
      <c r="T516" s="1917"/>
      <c r="U516" s="1917"/>
      <c r="V516" s="1917"/>
      <c r="W516" s="346"/>
    </row>
    <row r="517" spans="1:23" x14ac:dyDescent="0.2">
      <c r="A517" s="436"/>
      <c r="B517" s="345"/>
      <c r="C517" s="440" t="s">
        <v>1295</v>
      </c>
      <c r="D517" s="1917"/>
      <c r="E517" s="1910"/>
      <c r="F517" s="1917"/>
      <c r="G517" s="1917"/>
      <c r="H517" s="440" t="s">
        <v>1303</v>
      </c>
      <c r="I517" s="1917"/>
      <c r="J517" s="1917"/>
      <c r="K517" s="1917"/>
      <c r="L517" s="1917"/>
      <c r="M517" s="1917"/>
      <c r="N517" s="1917"/>
      <c r="O517" s="1917"/>
      <c r="P517" s="1917"/>
      <c r="Q517" s="1969"/>
      <c r="R517" s="1917"/>
      <c r="S517" s="1917"/>
      <c r="T517" s="1917"/>
      <c r="U517" s="1917"/>
      <c r="V517" s="1917"/>
      <c r="W517" s="346"/>
    </row>
    <row r="518" spans="1:23" x14ac:dyDescent="0.2">
      <c r="A518" s="436"/>
      <c r="B518" s="345"/>
      <c r="C518" s="441" t="str">
        <f t="shared" ref="C518:D528" si="44">C46</f>
        <v>Property</v>
      </c>
      <c r="D518" s="1918" t="str">
        <f t="shared" si="44"/>
        <v>Units</v>
      </c>
      <c r="E518" s="1918" t="s">
        <v>1275</v>
      </c>
      <c r="F518" s="1919" t="s">
        <v>1276</v>
      </c>
      <c r="G518" s="1917"/>
      <c r="H518" s="441"/>
      <c r="I518" s="1918" t="s">
        <v>624</v>
      </c>
      <c r="J518" s="1919" t="s">
        <v>623</v>
      </c>
      <c r="K518" s="1917"/>
      <c r="L518" s="1917"/>
      <c r="M518" s="1917"/>
      <c r="N518" s="1917"/>
      <c r="O518" s="1917"/>
      <c r="P518" s="1917"/>
      <c r="Q518" s="1969"/>
      <c r="R518" s="1917"/>
      <c r="S518" s="1917"/>
      <c r="T518" s="1917"/>
      <c r="U518" s="1917"/>
      <c r="V518" s="1917"/>
      <c r="W518" s="346"/>
    </row>
    <row r="519" spans="1:23" x14ac:dyDescent="0.2">
      <c r="A519" s="436"/>
      <c r="B519" s="345"/>
      <c r="C519" s="442" t="str">
        <f t="shared" si="44"/>
        <v>Vol Flow</v>
      </c>
      <c r="D519" s="1917" t="str">
        <f ca="1">D47</f>
        <v>bpd</v>
      </c>
      <c r="E519" s="1917">
        <f ca="1">CokingRefineryCalcs!K47</f>
        <v>1E-14</v>
      </c>
      <c r="F519" s="337">
        <f t="shared" ref="F519:F527" ca="1" si="45">E519</f>
        <v>1E-14</v>
      </c>
      <c r="G519" s="1917"/>
      <c r="H519" s="442" t="s">
        <v>635</v>
      </c>
      <c r="I519" s="1917">
        <f ca="1">I520/('Energy &amp; Unit Conversions'!$G$82/'Energy &amp; Unit Conversions'!$G$80)</f>
        <v>0.67426103874170251</v>
      </c>
      <c r="J519" s="337" t="s">
        <v>637</v>
      </c>
      <c r="K519" s="1917"/>
      <c r="L519" s="1917"/>
      <c r="M519" s="1917"/>
      <c r="N519" s="1917"/>
      <c r="O519" s="1917"/>
      <c r="P519" s="1917"/>
      <c r="Q519" s="1969"/>
      <c r="R519" s="1917"/>
      <c r="S519" s="1917"/>
      <c r="T519" s="1917"/>
      <c r="U519" s="1917"/>
      <c r="V519" s="1917"/>
      <c r="W519" s="346"/>
    </row>
    <row r="520" spans="1:23" x14ac:dyDescent="0.2">
      <c r="A520" s="436"/>
      <c r="B520" s="345"/>
      <c r="C520" s="442" t="str">
        <f t="shared" si="44"/>
        <v>Vol Flow</v>
      </c>
      <c r="D520" s="1917" t="str">
        <f ca="1">D48</f>
        <v>m^3/d</v>
      </c>
      <c r="E520" s="1917">
        <f ca="1">CokingRefineryCalcs!K48</f>
        <v>1.589873E-15</v>
      </c>
      <c r="F520" s="337">
        <f t="shared" ca="1" si="45"/>
        <v>1.589873E-15</v>
      </c>
      <c r="G520" s="1917"/>
      <c r="H520" s="442" t="s">
        <v>634</v>
      </c>
      <c r="I520" s="1917">
        <f ca="1">I522/E520</f>
        <v>0.11361650058264602</v>
      </c>
      <c r="J520" s="337" t="s">
        <v>636</v>
      </c>
      <c r="K520" s="1917"/>
      <c r="L520" s="1917"/>
      <c r="M520" s="1917"/>
      <c r="N520" s="1917"/>
      <c r="O520" s="1917"/>
      <c r="P520" s="1917"/>
      <c r="Q520" s="1969"/>
      <c r="R520" s="1917"/>
      <c r="S520" s="1917"/>
      <c r="T520" s="1917"/>
      <c r="U520" s="1917"/>
      <c r="V520" s="1917"/>
      <c r="W520" s="346"/>
    </row>
    <row r="521" spans="1:23" x14ac:dyDescent="0.2">
      <c r="A521" s="436"/>
      <c r="B521" s="345"/>
      <c r="C521" s="442" t="str">
        <f t="shared" si="44"/>
        <v>Mass Flow</v>
      </c>
      <c r="D521" s="1917" t="str">
        <f t="shared" si="44"/>
        <v>kg/d</v>
      </c>
      <c r="E521" s="1917">
        <f ca="1">CokingRefineryCalcs!K49</f>
        <v>1E-14</v>
      </c>
      <c r="F521" s="337">
        <f t="shared" ca="1" si="45"/>
        <v>1E-14</v>
      </c>
      <c r="G521" s="1917"/>
      <c r="H521" s="442" t="s">
        <v>542</v>
      </c>
      <c r="I521" s="1917">
        <f ca="1">I519*E519/1000</f>
        <v>6.742610387417025E-18</v>
      </c>
      <c r="J521" s="337" t="s">
        <v>472</v>
      </c>
      <c r="K521" s="1917"/>
      <c r="L521" s="1917"/>
      <c r="M521" s="1917"/>
      <c r="N521" s="1917"/>
      <c r="O521" s="1917"/>
      <c r="P521" s="1917"/>
      <c r="Q521" s="1969"/>
      <c r="R521" s="1917"/>
      <c r="S521" s="1917"/>
      <c r="T521" s="1917"/>
      <c r="U521" s="1917"/>
      <c r="V521" s="1917"/>
      <c r="W521" s="346"/>
    </row>
    <row r="522" spans="1:23" x14ac:dyDescent="0.2">
      <c r="A522" s="436"/>
      <c r="B522" s="345"/>
      <c r="C522" s="442" t="str">
        <f t="shared" si="44"/>
        <v xml:space="preserve">Sulphur </v>
      </c>
      <c r="D522" s="1917" t="str">
        <f t="shared" ref="D522:D528" ca="1" si="46">D50</f>
        <v>wt%</v>
      </c>
      <c r="E522" s="1917">
        <f ca="1">CokingRefineryCalcs!K50</f>
        <v>1E-14</v>
      </c>
      <c r="F522" s="337">
        <f t="shared" ca="1" si="45"/>
        <v>1E-14</v>
      </c>
      <c r="G522" s="1917"/>
      <c r="H522" s="442" t="s">
        <v>542</v>
      </c>
      <c r="I522" s="1917">
        <f ca="1">I523/('Energy &amp; Unit Conversions'!$P$25*'Energy &amp; Unit Conversions'!$G$87)</f>
        <v>1.8063580663083318E-16</v>
      </c>
      <c r="J522" s="337" t="s">
        <v>628</v>
      </c>
      <c r="K522" s="1917"/>
      <c r="L522" s="1917"/>
      <c r="M522" s="1917"/>
      <c r="N522" s="1917"/>
      <c r="O522" s="1917"/>
      <c r="P522" s="1917"/>
      <c r="Q522" s="1969"/>
      <c r="R522" s="1917"/>
      <c r="S522" s="1917"/>
      <c r="T522" s="1917"/>
      <c r="U522" s="1917"/>
      <c r="V522" s="1917"/>
      <c r="W522" s="346"/>
    </row>
    <row r="523" spans="1:23" x14ac:dyDescent="0.2">
      <c r="A523" s="436"/>
      <c r="B523" s="345"/>
      <c r="C523" s="442" t="str">
        <f t="shared" si="44"/>
        <v xml:space="preserve">Nitrogen </v>
      </c>
      <c r="D523" s="1917" t="str">
        <f t="shared" ca="1" si="46"/>
        <v>mass ppm</v>
      </c>
      <c r="E523" s="1917">
        <f ca="1">CokingRefineryCalcs!K51</f>
        <v>1E-14</v>
      </c>
      <c r="F523" s="337">
        <f t="shared" ca="1" si="45"/>
        <v>1E-14</v>
      </c>
      <c r="G523" s="1917"/>
      <c r="H523" s="443" t="s">
        <v>631</v>
      </c>
      <c r="I523" s="334">
        <f ca="1">SUM(F534:H534)*'Energy &amp; Unit Conversions'!$G$87</f>
        <v>7.6572729612975761E-20</v>
      </c>
      <c r="J523" s="338" t="s">
        <v>632</v>
      </c>
      <c r="K523" s="1917"/>
      <c r="L523" s="1917"/>
      <c r="M523" s="1917"/>
      <c r="N523" s="1917"/>
      <c r="O523" s="1917"/>
      <c r="P523" s="1917"/>
      <c r="Q523" s="1969"/>
      <c r="R523" s="1917"/>
      <c r="S523" s="1917"/>
      <c r="T523" s="1917"/>
      <c r="U523" s="1917"/>
      <c r="V523" s="1917"/>
      <c r="W523" s="346"/>
    </row>
    <row r="524" spans="1:23" x14ac:dyDescent="0.2">
      <c r="A524" s="436"/>
      <c r="B524" s="345"/>
      <c r="C524" s="442" t="str">
        <f t="shared" si="44"/>
        <v xml:space="preserve">API gravity </v>
      </c>
      <c r="D524" s="1917" t="str">
        <f t="shared" ca="1" si="46"/>
        <v>oAPI</v>
      </c>
      <c r="E524" s="1917">
        <f ca="1">CokingRefineryCalcs!K52</f>
        <v>1E-14</v>
      </c>
      <c r="F524" s="337">
        <f t="shared" ca="1" si="45"/>
        <v>1E-14</v>
      </c>
      <c r="G524" s="1917"/>
      <c r="H524" s="1917"/>
      <c r="I524" s="1917"/>
      <c r="J524" s="1917"/>
      <c r="K524" s="1917"/>
      <c r="L524" s="1917"/>
      <c r="M524" s="1917"/>
      <c r="N524" s="1917"/>
      <c r="O524" s="1917"/>
      <c r="P524" s="1917"/>
      <c r="Q524" s="1969"/>
      <c r="R524" s="1917"/>
      <c r="S524" s="1917"/>
      <c r="T524" s="1917"/>
      <c r="U524" s="1917"/>
      <c r="V524" s="1917"/>
      <c r="W524" s="346"/>
    </row>
    <row r="525" spans="1:23" x14ac:dyDescent="0.2">
      <c r="A525" s="436"/>
      <c r="B525" s="345"/>
      <c r="C525" s="442" t="str">
        <f t="shared" si="44"/>
        <v>Density</v>
      </c>
      <c r="D525" s="1917" t="str">
        <f t="shared" ca="1" si="46"/>
        <v>kg/m^3</v>
      </c>
      <c r="E525" s="1917">
        <f ca="1">CokingRefineryCalcs!K53</f>
        <v>0</v>
      </c>
      <c r="F525" s="337">
        <f t="shared" ca="1" si="45"/>
        <v>0</v>
      </c>
      <c r="G525" s="1917"/>
      <c r="H525" s="1917"/>
      <c r="I525" s="1917"/>
      <c r="J525" s="1917"/>
      <c r="K525" s="1917"/>
      <c r="L525" s="1917"/>
      <c r="M525" s="1917"/>
      <c r="N525" s="1917"/>
      <c r="O525" s="1917"/>
      <c r="P525" s="1917"/>
      <c r="Q525" s="1969"/>
      <c r="R525" s="1917"/>
      <c r="S525" s="1917"/>
      <c r="T525" s="1917"/>
      <c r="U525" s="1917"/>
      <c r="V525" s="1917"/>
      <c r="W525" s="346"/>
    </row>
    <row r="526" spans="1:23" x14ac:dyDescent="0.2">
      <c r="A526" s="436"/>
      <c r="B526" s="345"/>
      <c r="C526" s="442" t="str">
        <f t="shared" si="44"/>
        <v>Hydrogen</v>
      </c>
      <c r="D526" s="1917" t="str">
        <f t="shared" ca="1" si="46"/>
        <v>wt%</v>
      </c>
      <c r="E526" s="1917">
        <f ca="1">CokingRefineryCalcs!K54</f>
        <v>1E-14</v>
      </c>
      <c r="F526" s="337">
        <f t="shared" ca="1" si="45"/>
        <v>1E-14</v>
      </c>
      <c r="G526" s="1917"/>
      <c r="H526" s="1917"/>
      <c r="I526" s="1917"/>
      <c r="J526" s="1917"/>
      <c r="K526" s="1917"/>
      <c r="L526" s="1917"/>
      <c r="M526" s="1917"/>
      <c r="N526" s="1917"/>
      <c r="O526" s="1917"/>
      <c r="P526" s="1917"/>
      <c r="Q526" s="1969"/>
      <c r="R526" s="1917"/>
      <c r="S526" s="1917"/>
      <c r="T526" s="1917"/>
      <c r="U526" s="1917"/>
      <c r="V526" s="1917"/>
      <c r="W526" s="346"/>
    </row>
    <row r="527" spans="1:23" x14ac:dyDescent="0.2">
      <c r="A527" s="436"/>
      <c r="B527" s="345"/>
      <c r="C527" s="442" t="str">
        <f t="shared" si="44"/>
        <v>MCR</v>
      </c>
      <c r="D527" s="1917" t="str">
        <f t="shared" ca="1" si="46"/>
        <v>wt%</v>
      </c>
      <c r="E527" s="1917">
        <f ca="1">CokingRefineryCalcs!K55</f>
        <v>4.4374255523499508</v>
      </c>
      <c r="F527" s="337">
        <f t="shared" ca="1" si="45"/>
        <v>4.4374255523499508</v>
      </c>
      <c r="G527" s="1917"/>
      <c r="H527" s="1917"/>
      <c r="I527" s="1917"/>
      <c r="J527" s="1917"/>
      <c r="K527" s="1917"/>
      <c r="L527" s="1917"/>
      <c r="M527" s="1917"/>
      <c r="N527" s="1917"/>
      <c r="O527" s="1917"/>
      <c r="P527" s="1917"/>
      <c r="Q527" s="1969"/>
      <c r="R527" s="1917"/>
      <c r="S527" s="1917"/>
      <c r="T527" s="1917"/>
      <c r="U527" s="1917"/>
      <c r="V527" s="1917"/>
      <c r="W527" s="346"/>
    </row>
    <row r="528" spans="1:23" x14ac:dyDescent="0.2">
      <c r="A528" s="436"/>
      <c r="B528" s="345"/>
      <c r="C528" s="443" t="str">
        <f t="shared" si="44"/>
        <v>Characterization Factor</v>
      </c>
      <c r="D528" s="334" t="str">
        <f t="shared" ca="1" si="46"/>
        <v xml:space="preserve">Kw (Approximate) </v>
      </c>
      <c r="E528" s="334" t="str">
        <f>CokingRefineryCalcs!K56</f>
        <v>n.a.</v>
      </c>
      <c r="F528" s="338" t="str">
        <f t="shared" ref="F528" si="47">E528</f>
        <v>n.a.</v>
      </c>
      <c r="G528" s="1917"/>
      <c r="H528" s="1917"/>
      <c r="I528" s="1917"/>
      <c r="J528" s="1917"/>
      <c r="K528" s="1917"/>
      <c r="L528" s="1917"/>
      <c r="M528" s="1917"/>
      <c r="N528" s="1917"/>
      <c r="O528" s="1917"/>
      <c r="P528" s="1917"/>
      <c r="Q528" s="1969"/>
      <c r="R528" s="1917"/>
      <c r="S528" s="1917"/>
      <c r="T528" s="1917"/>
      <c r="U528" s="1917"/>
      <c r="V528" s="1917"/>
      <c r="W528" s="346"/>
    </row>
    <row r="529" spans="1:23" x14ac:dyDescent="0.2">
      <c r="A529" s="436"/>
      <c r="B529" s="345"/>
      <c r="C529" s="444"/>
      <c r="D529" s="1917"/>
      <c r="E529" s="1917"/>
      <c r="F529" s="1917"/>
      <c r="G529" s="1917"/>
      <c r="H529" s="1917"/>
      <c r="I529" s="1917"/>
      <c r="J529" s="1917"/>
      <c r="K529" s="1917"/>
      <c r="L529" s="1917"/>
      <c r="M529" s="1917"/>
      <c r="N529" s="1917"/>
      <c r="O529" s="1917"/>
      <c r="P529" s="1917"/>
      <c r="Q529" s="1969"/>
      <c r="R529" s="1917"/>
      <c r="S529" s="1917"/>
      <c r="T529" s="1917"/>
      <c r="U529" s="1917"/>
      <c r="V529" s="1917"/>
      <c r="W529" s="346"/>
    </row>
    <row r="530" spans="1:23" x14ac:dyDescent="0.2">
      <c r="A530" s="436"/>
      <c r="B530" s="345"/>
      <c r="C530" s="2434" t="s">
        <v>955</v>
      </c>
      <c r="D530" s="2434"/>
      <c r="E530" s="1917"/>
      <c r="F530" s="1917"/>
      <c r="G530" s="1917"/>
      <c r="H530" s="1917"/>
      <c r="I530" s="1917"/>
      <c r="J530" s="1917"/>
      <c r="K530" s="1917"/>
      <c r="L530" s="1917"/>
      <c r="M530" s="1917"/>
      <c r="N530" s="1917"/>
      <c r="O530" s="1917"/>
      <c r="P530" s="1917"/>
      <c r="Q530" s="1969"/>
      <c r="R530" s="1917"/>
      <c r="S530" s="1917"/>
      <c r="T530" s="1917"/>
      <c r="U530" s="1917"/>
      <c r="V530" s="1917"/>
      <c r="W530" s="346"/>
    </row>
    <row r="531" spans="1:23" ht="15.75" x14ac:dyDescent="0.2">
      <c r="A531" s="436"/>
      <c r="B531" s="345"/>
      <c r="C531" s="445" t="s">
        <v>1293</v>
      </c>
      <c r="D531" s="356" t="s">
        <v>1304</v>
      </c>
      <c r="E531" s="356"/>
      <c r="F531" s="356" t="s">
        <v>575</v>
      </c>
      <c r="G531" s="356" t="s">
        <v>576</v>
      </c>
      <c r="H531" s="357" t="s">
        <v>653</v>
      </c>
      <c r="I531" s="1917"/>
      <c r="J531" s="1917"/>
      <c r="K531" s="1917"/>
      <c r="L531" s="1917"/>
      <c r="M531" s="1917"/>
      <c r="N531" s="1917"/>
      <c r="O531" s="1917"/>
      <c r="P531" s="1917"/>
      <c r="Q531" s="1969"/>
      <c r="R531" s="1917"/>
      <c r="S531" s="1917"/>
      <c r="T531" s="1917"/>
      <c r="U531" s="1917"/>
      <c r="V531" s="1917"/>
      <c r="W531" s="346"/>
    </row>
    <row r="532" spans="1:23" ht="15" x14ac:dyDescent="0.2">
      <c r="A532" s="436"/>
      <c r="B532" s="345"/>
      <c r="C532" s="453" t="s">
        <v>952</v>
      </c>
      <c r="D532" s="914">
        <f>Constants!H30+273.15</f>
        <v>672.15</v>
      </c>
      <c r="E532" s="1917" t="s">
        <v>1195</v>
      </c>
      <c r="F532" s="1917">
        <f ca="1">POWER((0.03181*$D$532 + 0.00001791*POWER(G549,4.693)),2.2916)</f>
        <v>1116.5969952889848</v>
      </c>
      <c r="G532" s="1917">
        <f ca="1">POWER((0.03181*$D$532 + 0.00001791*POWER(H549,4.693)),2.2916)</f>
        <v>1116.5969952889848</v>
      </c>
      <c r="H532" s="337">
        <f ca="1">POWER((0.03181*$D$532 + 0.00001791*POWER(I549,4.693)),2.2916)</f>
        <v>1116.5969952889848</v>
      </c>
      <c r="I532" s="1917"/>
      <c r="J532" s="1917"/>
      <c r="K532" s="1917"/>
      <c r="L532" s="1917"/>
      <c r="M532" s="1917"/>
      <c r="N532" s="1917"/>
      <c r="O532" s="1917"/>
      <c r="P532" s="1917"/>
      <c r="Q532" s="1969"/>
      <c r="R532" s="1917"/>
      <c r="S532" s="1917"/>
      <c r="T532" s="1917"/>
      <c r="U532" s="1917"/>
      <c r="V532" s="1917"/>
      <c r="W532" s="346"/>
    </row>
    <row r="533" spans="1:23" ht="15" x14ac:dyDescent="0.2">
      <c r="A533" s="436"/>
      <c r="B533" s="345"/>
      <c r="C533" s="453" t="s">
        <v>954</v>
      </c>
      <c r="D533" s="914">
        <f>Constants!H31+273.15</f>
        <v>727.15</v>
      </c>
      <c r="E533" s="1917" t="s">
        <v>1195</v>
      </c>
      <c r="F533" s="1917">
        <f ca="1">POWER((0.03181*$D$533+ 0.00001791*POWER(G549,4.693)),2.2916)</f>
        <v>1337.126456574355</v>
      </c>
      <c r="G533" s="1917">
        <f ca="1">POWER((0.03181*$D$533+ 0.00001791*POWER(H549,4.693)),2.2916)</f>
        <v>1337.126456574355</v>
      </c>
      <c r="H533" s="337">
        <f ca="1">POWER((0.03181*$D$533+ 0.00001791*POWER(I549,4.693)),2.2916)</f>
        <v>1337.126456574355</v>
      </c>
      <c r="I533" s="1917"/>
      <c r="J533" s="1917"/>
      <c r="K533" s="1917"/>
      <c r="L533" s="1917"/>
      <c r="M533" s="1917"/>
      <c r="N533" s="1917"/>
      <c r="O533" s="1917"/>
      <c r="P533" s="1917"/>
      <c r="Q533" s="1969"/>
      <c r="R533" s="1917"/>
      <c r="S533" s="1917"/>
      <c r="T533" s="1917"/>
      <c r="U533" s="1917"/>
      <c r="V533" s="1917"/>
      <c r="W533" s="346"/>
    </row>
    <row r="534" spans="1:23" x14ac:dyDescent="0.2">
      <c r="A534" s="436"/>
      <c r="B534" s="345"/>
      <c r="C534" s="455" t="s">
        <v>1196</v>
      </c>
      <c r="D534" s="334"/>
      <c r="E534" s="334"/>
      <c r="F534" s="334">
        <f ca="1">(F533-F532)*G542/'Energy &amp; Unit Conversions'!$E$95</f>
        <v>2.2052946128537019E-15</v>
      </c>
      <c r="G534" s="334">
        <f ca="1">(G533-G532)*H542/'Energy &amp; Unit Conversions'!$E$95</f>
        <v>2.2052946128537019E-15</v>
      </c>
      <c r="H534" s="338">
        <f ca="1">(H533-H532)*I542/'Energy &amp; Unit Conversions'!$E$95</f>
        <v>2.2052946128537019E-15</v>
      </c>
      <c r="I534" s="1917"/>
      <c r="J534" s="1917"/>
      <c r="K534" s="1917"/>
      <c r="L534" s="1917"/>
      <c r="M534" s="1917"/>
      <c r="N534" s="1917"/>
      <c r="O534" s="1917"/>
      <c r="P534" s="1917"/>
      <c r="Q534" s="1969"/>
      <c r="R534" s="1917"/>
      <c r="S534" s="1917"/>
      <c r="T534" s="1917"/>
      <c r="U534" s="1917"/>
      <c r="V534" s="1917"/>
      <c r="W534" s="346"/>
    </row>
    <row r="535" spans="1:23" x14ac:dyDescent="0.2">
      <c r="A535" s="436"/>
      <c r="B535" s="345"/>
      <c r="C535" s="437"/>
      <c r="D535" s="1917"/>
      <c r="E535" s="1917"/>
      <c r="F535" s="1917"/>
      <c r="G535" s="1917"/>
      <c r="H535" s="1917"/>
      <c r="I535" s="1917"/>
      <c r="J535" s="1917"/>
      <c r="K535" s="1917"/>
      <c r="L535" s="1917"/>
      <c r="M535" s="1917"/>
      <c r="N535" s="1917"/>
      <c r="O535" s="1917"/>
      <c r="P535" s="1917"/>
      <c r="Q535" s="1969"/>
      <c r="R535" s="1917"/>
      <c r="S535" s="1917"/>
      <c r="T535" s="1917"/>
      <c r="U535" s="1917"/>
      <c r="V535" s="1917"/>
      <c r="W535" s="346"/>
    </row>
    <row r="536" spans="1:23" ht="26.25" x14ac:dyDescent="0.2">
      <c r="A536" s="436"/>
      <c r="B536" s="347"/>
      <c r="C536" s="438" t="s">
        <v>1307</v>
      </c>
      <c r="D536" s="1917"/>
      <c r="E536" s="1917"/>
      <c r="F536" s="1917"/>
      <c r="G536" s="1917"/>
      <c r="H536" s="1917"/>
      <c r="I536" s="1917"/>
      <c r="J536" s="1917"/>
      <c r="K536" s="1917"/>
      <c r="L536" s="1917"/>
      <c r="M536" s="1917"/>
      <c r="N536" s="1917"/>
      <c r="O536" s="1917"/>
      <c r="P536" s="1917"/>
      <c r="Q536" s="1969"/>
      <c r="R536" s="1917"/>
      <c r="S536" s="1917"/>
      <c r="T536" s="1917"/>
      <c r="U536" s="1917"/>
      <c r="V536" s="1917"/>
      <c r="W536" s="346"/>
    </row>
    <row r="537" spans="1:23" x14ac:dyDescent="0.2">
      <c r="A537" s="436"/>
      <c r="B537" s="345"/>
      <c r="C537" s="437"/>
      <c r="D537" s="1917"/>
      <c r="E537" s="1917"/>
      <c r="F537" s="1917"/>
      <c r="G537" s="1917"/>
      <c r="H537" s="1917"/>
      <c r="I537" s="1917"/>
      <c r="J537" s="1917"/>
      <c r="K537" s="1917"/>
      <c r="L537" s="1917"/>
      <c r="M537" s="1917"/>
      <c r="N537" s="1917"/>
      <c r="O537" s="1917"/>
      <c r="P537" s="1917"/>
      <c r="Q537" s="1969"/>
      <c r="R537" s="1917"/>
      <c r="S537" s="1917"/>
      <c r="T537" s="1917"/>
      <c r="U537" s="1917"/>
      <c r="V537" s="1917"/>
      <c r="W537" s="346"/>
    </row>
    <row r="538" spans="1:23" x14ac:dyDescent="0.2">
      <c r="A538" s="436"/>
      <c r="B538" s="345"/>
      <c r="C538" s="440" t="s">
        <v>1295</v>
      </c>
      <c r="D538" s="1917"/>
      <c r="E538" s="1917"/>
      <c r="F538" s="1917"/>
      <c r="G538" s="1917"/>
      <c r="H538" s="1917"/>
      <c r="I538" s="1917"/>
      <c r="J538" s="1917"/>
      <c r="K538" s="1917"/>
      <c r="L538" s="1917"/>
      <c r="M538" s="1917"/>
      <c r="N538" s="1917"/>
      <c r="O538" s="1917"/>
      <c r="P538" s="1917"/>
      <c r="Q538" s="1969"/>
      <c r="R538" s="1917"/>
      <c r="S538" s="1917"/>
      <c r="T538" s="1917"/>
      <c r="U538" s="1917"/>
      <c r="V538" s="1917"/>
      <c r="W538" s="346"/>
    </row>
    <row r="539" spans="1:23" x14ac:dyDescent="0.2">
      <c r="A539" s="436"/>
      <c r="B539" s="345"/>
      <c r="C539" s="441" t="str">
        <f t="shared" ref="C539:D549" si="48">C518</f>
        <v>Property</v>
      </c>
      <c r="D539" s="1918" t="str">
        <f t="shared" si="48"/>
        <v>Units</v>
      </c>
      <c r="E539" s="1918" t="s">
        <v>1275</v>
      </c>
      <c r="F539" s="1918" t="s">
        <v>1636</v>
      </c>
      <c r="G539" s="1918" t="s">
        <v>575</v>
      </c>
      <c r="H539" s="1918" t="s">
        <v>576</v>
      </c>
      <c r="I539" s="1918" t="s">
        <v>1475</v>
      </c>
      <c r="J539" s="1919" t="s">
        <v>1460</v>
      </c>
      <c r="K539" s="1974"/>
      <c r="L539" s="1917"/>
      <c r="M539" s="1917"/>
      <c r="N539" s="1917"/>
      <c r="O539" s="1917"/>
      <c r="P539" s="1917"/>
      <c r="Q539" s="1969"/>
      <c r="R539" s="1917"/>
      <c r="S539" s="1917"/>
      <c r="T539" s="1917"/>
      <c r="U539" s="1917"/>
      <c r="V539" s="1917"/>
      <c r="W539" s="346"/>
    </row>
    <row r="540" spans="1:23" x14ac:dyDescent="0.2">
      <c r="A540" s="436"/>
      <c r="B540" s="345"/>
      <c r="C540" s="442" t="str">
        <f t="shared" si="48"/>
        <v>Vol Flow</v>
      </c>
      <c r="D540" s="1917" t="str">
        <f ca="1">D519</f>
        <v>bpd</v>
      </c>
      <c r="E540" s="1917">
        <f ca="1">CokingRefineryCalcs!F519</f>
        <v>1E-14</v>
      </c>
      <c r="F540" s="1917">
        <v>0</v>
      </c>
      <c r="G540" s="1917">
        <f ca="1">D583</f>
        <v>1E-14</v>
      </c>
      <c r="H540" s="1917">
        <f ca="1">D584</f>
        <v>1E-14</v>
      </c>
      <c r="I540" s="1917">
        <f ca="1">D585</f>
        <v>1E-14</v>
      </c>
      <c r="J540" s="337">
        <f ca="1">D586</f>
        <v>1E-14</v>
      </c>
      <c r="K540" s="1917"/>
      <c r="L540" s="1917"/>
      <c r="M540" s="1917"/>
      <c r="N540" s="1917"/>
      <c r="O540" s="1917"/>
      <c r="P540" s="1917"/>
      <c r="Q540" s="1969"/>
      <c r="R540" s="1917"/>
      <c r="S540" s="1917"/>
      <c r="T540" s="1917"/>
      <c r="U540" s="1917"/>
      <c r="V540" s="1917"/>
      <c r="W540" s="346"/>
    </row>
    <row r="541" spans="1:23" x14ac:dyDescent="0.2">
      <c r="A541" s="436"/>
      <c r="B541" s="345"/>
      <c r="C541" s="442" t="str">
        <f t="shared" si="48"/>
        <v>Vol Flow</v>
      </c>
      <c r="D541" s="1917" t="str">
        <f ca="1">D520</f>
        <v>m^3/d</v>
      </c>
      <c r="E541" s="1917">
        <f ca="1">CokingRefineryCalcs!F520</f>
        <v>1.589873E-15</v>
      </c>
      <c r="F541" s="1917"/>
      <c r="G541" s="1917">
        <f ca="1">G540*'Energy &amp; Unit Conversions'!G80</f>
        <v>1.589873E-15</v>
      </c>
      <c r="H541" s="1917">
        <f ca="1">H540*'Energy &amp; Unit Conversions'!G80</f>
        <v>1.589873E-15</v>
      </c>
      <c r="I541" s="1917">
        <f ca="1">I540*'Energy &amp; Unit Conversions'!G80</f>
        <v>1.589873E-15</v>
      </c>
      <c r="J541" s="337">
        <f ca="1">J540*'Energy &amp; Unit Conversions'!G80</f>
        <v>1.589873E-15</v>
      </c>
      <c r="K541" s="1917"/>
      <c r="L541" s="1917"/>
      <c r="M541" s="1917"/>
      <c r="N541" s="1917"/>
      <c r="O541" s="1917"/>
      <c r="P541" s="1917"/>
      <c r="Q541" s="1969"/>
      <c r="R541" s="1917"/>
      <c r="S541" s="1917"/>
      <c r="T541" s="1917"/>
      <c r="U541" s="1917"/>
      <c r="V541" s="1917"/>
      <c r="W541" s="346"/>
    </row>
    <row r="542" spans="1:23" x14ac:dyDescent="0.2">
      <c r="A542" s="436"/>
      <c r="B542" s="345"/>
      <c r="C542" s="442" t="str">
        <f t="shared" si="48"/>
        <v>Mass Flow</v>
      </c>
      <c r="D542" s="1917" t="str">
        <f t="shared" si="48"/>
        <v>kg/d</v>
      </c>
      <c r="E542" s="1917">
        <f ca="1">CokingRefineryCalcs!F521</f>
        <v>1E-14</v>
      </c>
      <c r="F542" s="1917"/>
      <c r="G542" s="1917">
        <f ca="1">E583</f>
        <v>1E-14</v>
      </c>
      <c r="H542" s="1917">
        <f ca="1">E584</f>
        <v>1E-14</v>
      </c>
      <c r="I542" s="1917">
        <f ca="1">E585</f>
        <v>1E-14</v>
      </c>
      <c r="J542" s="337">
        <f ca="1">E586</f>
        <v>1E-14</v>
      </c>
      <c r="K542" s="1917"/>
      <c r="L542" s="1917"/>
      <c r="M542" s="1917"/>
      <c r="N542" s="1917"/>
      <c r="O542" s="1917"/>
      <c r="P542" s="1917"/>
      <c r="Q542" s="1969"/>
      <c r="R542" s="1917"/>
      <c r="S542" s="1917"/>
      <c r="T542" s="1917"/>
      <c r="U542" s="1917"/>
      <c r="V542" s="1917"/>
      <c r="W542" s="346"/>
    </row>
    <row r="543" spans="1:23" x14ac:dyDescent="0.2">
      <c r="A543" s="436"/>
      <c r="B543" s="345"/>
      <c r="C543" s="442" t="str">
        <f t="shared" si="48"/>
        <v xml:space="preserve">Sulphur </v>
      </c>
      <c r="D543" s="1917" t="str">
        <f t="shared" ref="D543:D549" ca="1" si="49">D522</f>
        <v>wt%</v>
      </c>
      <c r="E543" s="1917">
        <f ca="1">CokingRefineryCalcs!F522</f>
        <v>1E-14</v>
      </c>
      <c r="F543" s="1917"/>
      <c r="G543" s="1917">
        <f ca="1">G583</f>
        <v>0</v>
      </c>
      <c r="H543" s="1917">
        <f ca="1">G584</f>
        <v>0</v>
      </c>
      <c r="I543" s="1917">
        <f ca="1">G585</f>
        <v>0</v>
      </c>
      <c r="J543" s="337">
        <f ca="1">G586</f>
        <v>0</v>
      </c>
      <c r="K543" s="1917"/>
      <c r="L543" s="1917"/>
      <c r="M543" s="1917"/>
      <c r="N543" s="1917"/>
      <c r="O543" s="1917"/>
      <c r="P543" s="1917"/>
      <c r="Q543" s="1969"/>
      <c r="R543" s="1917"/>
      <c r="S543" s="1917"/>
      <c r="T543" s="1917"/>
      <c r="U543" s="1917"/>
      <c r="V543" s="1917"/>
      <c r="W543" s="346"/>
    </row>
    <row r="544" spans="1:23" x14ac:dyDescent="0.2">
      <c r="A544" s="436"/>
      <c r="B544" s="345"/>
      <c r="C544" s="442" t="str">
        <f t="shared" si="48"/>
        <v xml:space="preserve">Nitrogen </v>
      </c>
      <c r="D544" s="1917" t="str">
        <f t="shared" ca="1" si="49"/>
        <v>mass ppm</v>
      </c>
      <c r="E544" s="1917">
        <f ca="1">CokingRefineryCalcs!F523</f>
        <v>1E-14</v>
      </c>
      <c r="F544" s="1917"/>
      <c r="G544" s="1917">
        <f ca="1">H583</f>
        <v>0</v>
      </c>
      <c r="H544" s="1917">
        <f ca="1">H584</f>
        <v>0</v>
      </c>
      <c r="I544" s="1917">
        <f ca="1">H585</f>
        <v>0</v>
      </c>
      <c r="J544" s="337">
        <f ca="1">H586</f>
        <v>0</v>
      </c>
      <c r="K544" s="1917"/>
      <c r="L544" s="1917"/>
      <c r="M544" s="1917"/>
      <c r="N544" s="1917"/>
      <c r="O544" s="1917"/>
      <c r="P544" s="1917"/>
      <c r="Q544" s="1969"/>
      <c r="R544" s="1917"/>
      <c r="S544" s="1917"/>
      <c r="T544" s="1917"/>
      <c r="U544" s="1917"/>
      <c r="V544" s="1917"/>
      <c r="W544" s="346"/>
    </row>
    <row r="545" spans="1:23" x14ac:dyDescent="0.2">
      <c r="A545" s="436"/>
      <c r="B545" s="345"/>
      <c r="C545" s="442" t="str">
        <f t="shared" si="48"/>
        <v xml:space="preserve">API gravity </v>
      </c>
      <c r="D545" s="1917" t="str">
        <f t="shared" ca="1" si="49"/>
        <v>oAPI</v>
      </c>
      <c r="E545" s="1917">
        <f ca="1">CokingRefineryCalcs!F524</f>
        <v>1E-14</v>
      </c>
      <c r="F545" s="1917"/>
      <c r="G545" s="1917">
        <f ca="1">J583</f>
        <v>0</v>
      </c>
      <c r="H545" s="1917">
        <f ca="1">J584</f>
        <v>0</v>
      </c>
      <c r="I545" s="1917">
        <f ca="1">J585</f>
        <v>0</v>
      </c>
      <c r="J545" s="337">
        <f ca="1">J586</f>
        <v>0</v>
      </c>
      <c r="K545" s="1917"/>
      <c r="L545" s="1917"/>
      <c r="M545" s="1917"/>
      <c r="N545" s="1917"/>
      <c r="O545" s="1917"/>
      <c r="P545" s="1917"/>
      <c r="Q545" s="1969"/>
      <c r="R545" s="1917"/>
      <c r="S545" s="1917"/>
      <c r="T545" s="1917"/>
      <c r="U545" s="1917"/>
      <c r="V545" s="1917"/>
      <c r="W545" s="346"/>
    </row>
    <row r="546" spans="1:23" x14ac:dyDescent="0.2">
      <c r="A546" s="436"/>
      <c r="B546" s="345"/>
      <c r="C546" s="442" t="str">
        <f t="shared" si="48"/>
        <v>Density</v>
      </c>
      <c r="D546" s="1917" t="str">
        <f t="shared" ca="1" si="49"/>
        <v>kg/m^3</v>
      </c>
      <c r="E546" s="1917">
        <f ca="1">CokingRefineryCalcs!F525</f>
        <v>0</v>
      </c>
      <c r="F546" s="1917"/>
      <c r="G546" s="1917">
        <f ca="1">F583</f>
        <v>0</v>
      </c>
      <c r="H546" s="1917">
        <f ca="1">F584</f>
        <v>0</v>
      </c>
      <c r="I546" s="1917">
        <f ca="1">F585</f>
        <v>0</v>
      </c>
      <c r="J546" s="337">
        <f ca="1">F586</f>
        <v>0</v>
      </c>
      <c r="K546" s="1917"/>
      <c r="L546" s="1917"/>
      <c r="M546" s="1917"/>
      <c r="N546" s="1917"/>
      <c r="O546" s="1917"/>
      <c r="P546" s="1917"/>
      <c r="Q546" s="1969"/>
      <c r="R546" s="1917"/>
      <c r="S546" s="1917"/>
      <c r="T546" s="1917"/>
      <c r="U546" s="1917"/>
      <c r="V546" s="1917"/>
      <c r="W546" s="346"/>
    </row>
    <row r="547" spans="1:23" x14ac:dyDescent="0.2">
      <c r="A547" s="436"/>
      <c r="B547" s="345"/>
      <c r="C547" s="442" t="str">
        <f t="shared" si="48"/>
        <v>Hydrogen</v>
      </c>
      <c r="D547" s="1917" t="str">
        <f t="shared" ca="1" si="49"/>
        <v>wt%</v>
      </c>
      <c r="E547" s="1917">
        <f ca="1">CokingRefineryCalcs!F526</f>
        <v>1E-14</v>
      </c>
      <c r="F547" s="1917"/>
      <c r="G547" s="1917">
        <f ca="1">I583</f>
        <v>0</v>
      </c>
      <c r="H547" s="1917">
        <f ca="1">I584</f>
        <v>0</v>
      </c>
      <c r="I547" s="1917">
        <f ca="1">I585</f>
        <v>0</v>
      </c>
      <c r="J547" s="337">
        <f ca="1">I586</f>
        <v>0</v>
      </c>
      <c r="K547" s="1917"/>
      <c r="L547" s="1917"/>
      <c r="M547" s="1917"/>
      <c r="N547" s="1917"/>
      <c r="O547" s="1917"/>
      <c r="P547" s="1917"/>
      <c r="Q547" s="1969"/>
      <c r="R547" s="1917"/>
      <c r="S547" s="1917"/>
      <c r="T547" s="1917"/>
      <c r="U547" s="1917"/>
      <c r="V547" s="1917"/>
      <c r="W547" s="346"/>
    </row>
    <row r="548" spans="1:23" x14ac:dyDescent="0.2">
      <c r="A548" s="436"/>
      <c r="B548" s="345"/>
      <c r="C548" s="442" t="str">
        <f t="shared" si="48"/>
        <v>MCR</v>
      </c>
      <c r="D548" s="1917" t="str">
        <f t="shared" ca="1" si="49"/>
        <v>wt%</v>
      </c>
      <c r="E548" s="1917">
        <f ca="1">CokingRefineryCalcs!F527</f>
        <v>4.4374255523499508</v>
      </c>
      <c r="F548" s="1917"/>
      <c r="G548" s="1917" t="str">
        <f ca="1">'Assay Inventory'!K20</f>
        <v/>
      </c>
      <c r="H548" s="1917" t="str">
        <f ca="1">'Assay Inventory'!L20</f>
        <v/>
      </c>
      <c r="I548" s="1917">
        <f ca="1">'Assay Inventory'!M20</f>
        <v>10.823381666475589</v>
      </c>
      <c r="J548" s="337"/>
      <c r="K548" s="1917"/>
      <c r="L548" s="1917"/>
      <c r="M548" s="1917"/>
      <c r="N548" s="1917"/>
      <c r="O548" s="1917"/>
      <c r="P548" s="1917"/>
      <c r="Q548" s="1969"/>
      <c r="R548" s="1917"/>
      <c r="S548" s="1917"/>
      <c r="T548" s="1917"/>
      <c r="U548" s="1917"/>
      <c r="V548" s="1917"/>
      <c r="W548" s="346"/>
    </row>
    <row r="549" spans="1:23" x14ac:dyDescent="0.2">
      <c r="A549" s="436"/>
      <c r="B549" s="345"/>
      <c r="C549" s="443" t="str">
        <f t="shared" si="48"/>
        <v>Characterization Factor</v>
      </c>
      <c r="D549" s="334" t="str">
        <f t="shared" ca="1" si="49"/>
        <v xml:space="preserve">Kw (Approximate) </v>
      </c>
      <c r="E549" s="334" t="str">
        <f>CokingRefineryCalcs!F528</f>
        <v>n.a.</v>
      </c>
      <c r="F549" s="334"/>
      <c r="G549" s="334">
        <f ca="1">K583</f>
        <v>0</v>
      </c>
      <c r="H549" s="334">
        <f ca="1">K584</f>
        <v>0</v>
      </c>
      <c r="I549" s="334">
        <f ca="1">K585</f>
        <v>0</v>
      </c>
      <c r="J549" s="338"/>
      <c r="K549" s="1917"/>
      <c r="L549" s="1917"/>
      <c r="M549" s="1917"/>
      <c r="N549" s="1917"/>
      <c r="O549" s="1917"/>
      <c r="P549" s="1917"/>
      <c r="Q549" s="1969"/>
      <c r="R549" s="1917"/>
      <c r="S549" s="1917"/>
      <c r="T549" s="1917"/>
      <c r="U549" s="1917"/>
      <c r="V549" s="1917"/>
      <c r="W549" s="346"/>
    </row>
    <row r="550" spans="1:23" x14ac:dyDescent="0.2">
      <c r="A550" s="436"/>
      <c r="B550" s="345"/>
      <c r="C550" s="444"/>
      <c r="D550" s="1917"/>
      <c r="E550" s="1917"/>
      <c r="F550" s="1917"/>
      <c r="G550" s="1917"/>
      <c r="H550" s="1917"/>
      <c r="I550" s="1917"/>
      <c r="J550" s="1917"/>
      <c r="K550" s="1917"/>
      <c r="L550" s="1917"/>
      <c r="M550" s="1917"/>
      <c r="N550" s="1917"/>
      <c r="O550" s="1917"/>
      <c r="P550" s="1917"/>
      <c r="Q550" s="1969"/>
      <c r="R550" s="1917"/>
      <c r="S550" s="1917"/>
      <c r="T550" s="1917"/>
      <c r="U550" s="1917"/>
      <c r="V550" s="1917"/>
      <c r="W550" s="346"/>
    </row>
    <row r="551" spans="1:23" x14ac:dyDescent="0.2">
      <c r="A551" s="436"/>
      <c r="B551" s="345"/>
      <c r="C551" s="440" t="s">
        <v>1303</v>
      </c>
      <c r="D551" s="1917"/>
      <c r="E551" s="1917"/>
      <c r="F551" s="1917"/>
      <c r="G551" s="1917"/>
      <c r="H551" s="1917"/>
      <c r="I551" s="1917"/>
      <c r="J551" s="1917"/>
      <c r="K551" s="1917"/>
      <c r="L551" s="1917"/>
      <c r="M551" s="1917"/>
      <c r="N551" s="1917"/>
      <c r="O551" s="1917"/>
      <c r="P551" s="1917"/>
      <c r="Q551" s="1969"/>
      <c r="R551" s="1917"/>
      <c r="S551" s="1917"/>
      <c r="T551" s="1917"/>
      <c r="U551" s="1917"/>
      <c r="V551" s="1917"/>
      <c r="W551" s="346"/>
    </row>
    <row r="552" spans="1:23" x14ac:dyDescent="0.2">
      <c r="A552" s="436"/>
      <c r="B552" s="345"/>
      <c r="C552" s="454"/>
      <c r="D552" s="1918" t="s">
        <v>624</v>
      </c>
      <c r="E552" s="1919" t="s">
        <v>623</v>
      </c>
      <c r="F552" s="1917"/>
      <c r="G552" s="1917"/>
      <c r="H552" s="1917"/>
      <c r="I552" s="1917"/>
      <c r="J552" s="1917"/>
      <c r="K552" s="1917"/>
      <c r="L552" s="1917"/>
      <c r="M552" s="1917"/>
      <c r="N552" s="1917"/>
      <c r="O552" s="1917"/>
      <c r="P552" s="1917"/>
      <c r="Q552" s="1969"/>
      <c r="R552" s="1917"/>
      <c r="S552" s="1917"/>
      <c r="T552" s="1917"/>
      <c r="U552" s="1917"/>
      <c r="V552" s="1917"/>
      <c r="W552" s="346"/>
    </row>
    <row r="553" spans="1:23" x14ac:dyDescent="0.2">
      <c r="A553" s="436"/>
      <c r="B553" s="345"/>
      <c r="C553" s="442" t="s">
        <v>1453</v>
      </c>
      <c r="D553" s="913">
        <f>Constants!H36</f>
        <v>15</v>
      </c>
      <c r="E553" s="337" t="s">
        <v>496</v>
      </c>
      <c r="F553" s="1917"/>
      <c r="G553" s="1917"/>
      <c r="H553" s="1917"/>
      <c r="I553" s="1917"/>
      <c r="J553" s="1917"/>
      <c r="K553" s="1917"/>
      <c r="L553" s="1917"/>
      <c r="M553" s="1917"/>
      <c r="N553" s="1917"/>
      <c r="O553" s="1917"/>
      <c r="P553" s="1917"/>
      <c r="Q553" s="1969"/>
      <c r="R553" s="1917"/>
      <c r="S553" s="1917"/>
      <c r="T553" s="1917"/>
      <c r="U553" s="1917"/>
      <c r="V553" s="1917"/>
      <c r="W553" s="346"/>
    </row>
    <row r="554" spans="1:23" x14ac:dyDescent="0.2">
      <c r="A554" s="436"/>
      <c r="B554" s="345"/>
      <c r="C554" s="442" t="s">
        <v>1453</v>
      </c>
      <c r="D554" s="1917">
        <f>D553*'Energy &amp; Unit Conversions'!G79/'Energy &amp; Unit Conversions'!G80</f>
        <v>42.795151247929866</v>
      </c>
      <c r="E554" s="337" t="s">
        <v>581</v>
      </c>
      <c r="F554" s="1917"/>
      <c r="G554" s="1917"/>
      <c r="H554" s="1917"/>
      <c r="I554" s="1917"/>
      <c r="J554" s="1917"/>
      <c r="K554" s="1917"/>
      <c r="L554" s="1917"/>
      <c r="M554" s="1917"/>
      <c r="N554" s="1917"/>
      <c r="O554" s="1917"/>
      <c r="P554" s="1917"/>
      <c r="Q554" s="1969"/>
      <c r="R554" s="1917"/>
      <c r="S554" s="1917"/>
      <c r="T554" s="1917"/>
      <c r="U554" s="1917"/>
      <c r="V554" s="1917"/>
      <c r="W554" s="346"/>
    </row>
    <row r="555" spans="1:23" x14ac:dyDescent="0.2">
      <c r="A555" s="436"/>
      <c r="B555" s="345"/>
      <c r="C555" s="442" t="s">
        <v>1454</v>
      </c>
      <c r="D555" s="1917">
        <f ca="1">D554*I541</f>
        <v>6.8038855500000001E-14</v>
      </c>
      <c r="E555" s="337" t="s">
        <v>622</v>
      </c>
      <c r="F555" s="1917"/>
      <c r="G555" s="1917"/>
      <c r="H555" s="1917"/>
      <c r="I555" s="1917"/>
      <c r="J555" s="1917"/>
      <c r="K555" s="1917"/>
      <c r="L555" s="1917"/>
      <c r="M555" s="1917"/>
      <c r="N555" s="1917"/>
      <c r="O555" s="1917"/>
      <c r="P555" s="1917"/>
      <c r="Q555" s="1969"/>
      <c r="R555" s="1917"/>
      <c r="S555" s="1917"/>
      <c r="T555" s="1917"/>
      <c r="U555" s="1917"/>
      <c r="V555" s="1917"/>
      <c r="W555" s="346"/>
    </row>
    <row r="556" spans="1:23" x14ac:dyDescent="0.2">
      <c r="A556" s="436"/>
      <c r="B556" s="345"/>
      <c r="C556" s="442" t="s">
        <v>451</v>
      </c>
      <c r="D556" s="913">
        <f>Constants!H33</f>
        <v>0.3</v>
      </c>
      <c r="E556" s="337" t="s">
        <v>665</v>
      </c>
      <c r="F556" s="1917"/>
      <c r="G556" s="1917"/>
      <c r="H556" s="1917"/>
      <c r="I556" s="1917"/>
      <c r="J556" s="1917"/>
      <c r="K556" s="1917"/>
      <c r="L556" s="1917"/>
      <c r="M556" s="1917"/>
      <c r="N556" s="1917"/>
      <c r="O556" s="1917"/>
      <c r="P556" s="1917"/>
      <c r="Q556" s="1969"/>
      <c r="R556" s="1917"/>
      <c r="S556" s="1917"/>
      <c r="T556" s="1917"/>
      <c r="U556" s="1917"/>
      <c r="V556" s="1917"/>
      <c r="W556" s="346"/>
    </row>
    <row r="557" spans="1:23" x14ac:dyDescent="0.2">
      <c r="A557" s="436"/>
      <c r="B557" s="345"/>
      <c r="C557" s="442" t="s">
        <v>451</v>
      </c>
      <c r="D557" s="1917">
        <f>D556/'Energy &amp; Unit Conversions'!G80</f>
        <v>1.8869431709325211</v>
      </c>
      <c r="E557" s="337" t="s">
        <v>629</v>
      </c>
      <c r="F557" s="1917"/>
      <c r="G557" s="1917"/>
      <c r="H557" s="1917"/>
      <c r="I557" s="1917"/>
      <c r="J557" s="1917"/>
      <c r="K557" s="1917"/>
      <c r="L557" s="1917"/>
      <c r="M557" s="1917"/>
      <c r="N557" s="1917"/>
      <c r="O557" s="1917"/>
      <c r="P557" s="1917"/>
      <c r="Q557" s="1969"/>
      <c r="R557" s="1917"/>
      <c r="S557" s="1917"/>
      <c r="T557" s="1917"/>
      <c r="U557" s="1917"/>
      <c r="V557" s="1917"/>
      <c r="W557" s="346"/>
    </row>
    <row r="558" spans="1:23" x14ac:dyDescent="0.2">
      <c r="A558" s="436"/>
      <c r="B558" s="345"/>
      <c r="C558" s="443" t="s">
        <v>452</v>
      </c>
      <c r="D558" s="334">
        <f ca="1">E541*D557</f>
        <v>3.0000000000000002E-15</v>
      </c>
      <c r="E558" s="338" t="s">
        <v>627</v>
      </c>
      <c r="F558" s="1917"/>
      <c r="G558" s="1917"/>
      <c r="H558" s="1917"/>
      <c r="I558" s="1917"/>
      <c r="J558" s="1917"/>
      <c r="K558" s="1917"/>
      <c r="L558" s="1917"/>
      <c r="M558" s="1917"/>
      <c r="N558" s="1917"/>
      <c r="O558" s="1917"/>
      <c r="P558" s="1917"/>
      <c r="Q558" s="1969"/>
      <c r="R558" s="1917"/>
      <c r="S558" s="1917"/>
      <c r="T558" s="1917"/>
      <c r="U558" s="1917"/>
      <c r="V558" s="1917"/>
      <c r="W558" s="346"/>
    </row>
    <row r="559" spans="1:23" x14ac:dyDescent="0.2">
      <c r="A559" s="436"/>
      <c r="B559" s="345"/>
      <c r="C559" s="437"/>
      <c r="D559" s="1917"/>
      <c r="E559" s="1917"/>
      <c r="F559" s="1917"/>
      <c r="G559" s="1917"/>
      <c r="H559" s="1917"/>
      <c r="I559" s="1917"/>
      <c r="J559" s="1917"/>
      <c r="K559" s="1917"/>
      <c r="L559" s="1917"/>
      <c r="M559" s="1917"/>
      <c r="N559" s="1917"/>
      <c r="O559" s="1917"/>
      <c r="P559" s="1917"/>
      <c r="Q559" s="1969"/>
      <c r="R559" s="1917"/>
      <c r="S559" s="1917"/>
      <c r="T559" s="1917"/>
      <c r="U559" s="1917"/>
      <c r="V559" s="1917"/>
      <c r="W559" s="346"/>
    </row>
    <row r="560" spans="1:23" x14ac:dyDescent="0.2">
      <c r="A560" s="436"/>
      <c r="B560" s="345"/>
      <c r="C560" s="440" t="s">
        <v>295</v>
      </c>
      <c r="D560" s="1917"/>
      <c r="E560" s="1917"/>
      <c r="F560" s="1917"/>
      <c r="G560" s="1917"/>
      <c r="H560" s="1917"/>
      <c r="I560" s="1917"/>
      <c r="J560" s="1917"/>
      <c r="K560" s="1917"/>
      <c r="L560" s="1917"/>
      <c r="M560" s="1917"/>
      <c r="N560" s="1917"/>
      <c r="O560" s="1917"/>
      <c r="P560" s="1917"/>
      <c r="Q560" s="1969"/>
      <c r="R560" s="1917"/>
      <c r="S560" s="1917"/>
      <c r="T560" s="1917"/>
      <c r="U560" s="1917"/>
      <c r="V560" s="1917"/>
      <c r="W560" s="346"/>
    </row>
    <row r="561" spans="1:23" x14ac:dyDescent="0.2">
      <c r="A561" s="436"/>
      <c r="B561" s="345"/>
      <c r="C561" s="454"/>
      <c r="D561" s="356" t="s">
        <v>1197</v>
      </c>
      <c r="E561" s="356" t="s">
        <v>1198</v>
      </c>
      <c r="F561" s="356" t="s">
        <v>1199</v>
      </c>
      <c r="G561" s="356" t="s">
        <v>663</v>
      </c>
      <c r="H561" s="356" t="s">
        <v>784</v>
      </c>
      <c r="I561" s="356" t="s">
        <v>662</v>
      </c>
      <c r="J561" s="357" t="s">
        <v>806</v>
      </c>
      <c r="K561" s="1917"/>
      <c r="L561" s="1917"/>
      <c r="M561" s="1917"/>
      <c r="N561" s="1917"/>
      <c r="O561" s="1917"/>
      <c r="P561" s="1917"/>
      <c r="Q561" s="1969"/>
      <c r="R561" s="1917"/>
      <c r="S561" s="1917"/>
      <c r="T561" s="1917"/>
      <c r="U561" s="1917"/>
      <c r="V561" s="1917"/>
      <c r="W561" s="346"/>
    </row>
    <row r="562" spans="1:23" x14ac:dyDescent="0.2">
      <c r="A562" s="436"/>
      <c r="B562" s="345"/>
      <c r="C562" s="442" t="s">
        <v>408</v>
      </c>
      <c r="D562" s="1917">
        <f ca="1">E113</f>
        <v>5.5912588031116516E-9</v>
      </c>
      <c r="E562" s="1917">
        <f ca="1">E115</f>
        <v>8.047087475642534E-7</v>
      </c>
      <c r="F562" s="358">
        <f ca="1">E119</f>
        <v>905.24616446001198</v>
      </c>
      <c r="G562" s="358">
        <f ca="1">E116</f>
        <v>0.21055860465850654</v>
      </c>
      <c r="H562" s="358">
        <f ca="1">E117</f>
        <v>573.33295706164199</v>
      </c>
      <c r="I562" s="358">
        <f ca="1">E120</f>
        <v>12.331915988948797</v>
      </c>
      <c r="J562" s="371">
        <f ca="1">E122</f>
        <v>11.585905176337866</v>
      </c>
      <c r="K562" s="1917"/>
      <c r="L562" s="1917"/>
      <c r="M562" s="1917"/>
      <c r="N562" s="1917"/>
      <c r="O562" s="1917"/>
      <c r="P562" s="1917"/>
      <c r="Q562" s="1969"/>
      <c r="R562" s="1917"/>
      <c r="S562" s="1917"/>
      <c r="T562" s="1917"/>
      <c r="U562" s="1917"/>
      <c r="V562" s="1917"/>
      <c r="W562" s="346"/>
    </row>
    <row r="563" spans="1:23" x14ac:dyDescent="0.2">
      <c r="A563" s="436"/>
      <c r="B563" s="345"/>
      <c r="C563" s="442" t="s">
        <v>575</v>
      </c>
      <c r="D563" s="1917">
        <f ca="1">F113</f>
        <v>8218.2707229657353</v>
      </c>
      <c r="E563" s="1917">
        <f ca="1">F115</f>
        <v>1209891.7354650162</v>
      </c>
      <c r="F563" s="1917">
        <f ca="1">F119</f>
        <v>925.910357612398</v>
      </c>
      <c r="G563" s="1917">
        <f ca="1">F116</f>
        <v>0.27398518285937168</v>
      </c>
      <c r="H563" s="1917">
        <f ca="1">F117</f>
        <v>1315.9260423987175</v>
      </c>
      <c r="I563" s="358">
        <f ca="1">F120</f>
        <v>12.271763653145852</v>
      </c>
      <c r="J563" s="371">
        <f ca="1">F122</f>
        <v>11.638857688170157</v>
      </c>
      <c r="K563" s="1917"/>
      <c r="L563" s="1917"/>
      <c r="M563" s="1917"/>
      <c r="N563" s="1917"/>
      <c r="O563" s="1917"/>
      <c r="P563" s="1917"/>
      <c r="Q563" s="1969"/>
      <c r="R563" s="1917"/>
      <c r="S563" s="1917"/>
      <c r="T563" s="1917"/>
      <c r="U563" s="1917"/>
      <c r="V563" s="1917"/>
      <c r="W563" s="346"/>
    </row>
    <row r="564" spans="1:23" x14ac:dyDescent="0.2">
      <c r="A564" s="436"/>
      <c r="B564" s="345"/>
      <c r="C564" s="442" t="s">
        <v>576</v>
      </c>
      <c r="D564" s="1917">
        <f ca="1">G113</f>
        <v>6475.5173608741952</v>
      </c>
      <c r="E564" s="1917">
        <f ca="1">G115</f>
        <v>975521.165617669</v>
      </c>
      <c r="F564" s="1917">
        <f ca="1">G119</f>
        <v>947.46919836072334</v>
      </c>
      <c r="G564" s="1917">
        <f ca="1">G116</f>
        <v>0.34883282222603118</v>
      </c>
      <c r="H564" s="1917">
        <f ca="1">G117</f>
        <v>2546.2715056129705</v>
      </c>
      <c r="I564" s="358">
        <f ca="1">G120</f>
        <v>12.125465535911589</v>
      </c>
      <c r="J564" s="371">
        <f ca="1">G122</f>
        <v>11.689687554365658</v>
      </c>
      <c r="K564" s="1917"/>
      <c r="L564" s="1917"/>
      <c r="M564" s="1917"/>
      <c r="N564" s="1917"/>
      <c r="O564" s="1917"/>
      <c r="P564" s="1917"/>
      <c r="Q564" s="1969"/>
      <c r="R564" s="1917"/>
      <c r="S564" s="1917"/>
      <c r="T564" s="1917"/>
      <c r="U564" s="1917"/>
      <c r="V564" s="1917"/>
      <c r="W564" s="346"/>
    </row>
    <row r="565" spans="1:23" x14ac:dyDescent="0.2">
      <c r="A565" s="436"/>
      <c r="B565" s="345"/>
      <c r="C565" s="442" t="s">
        <v>653</v>
      </c>
      <c r="D565" s="1917">
        <f ca="1">H113</f>
        <v>9035.8995417507103</v>
      </c>
      <c r="E565" s="1917">
        <f ca="1">H115</f>
        <v>1516011.3978110366</v>
      </c>
      <c r="F565" s="1917">
        <f ca="1">H119</f>
        <v>1055.1979728481299</v>
      </c>
      <c r="G565" s="1917">
        <f ca="1">H116</f>
        <v>0.53683769453568042</v>
      </c>
      <c r="H565" s="1917">
        <f ca="1">H117</f>
        <v>5170.9765737434327</v>
      </c>
      <c r="I565" s="358">
        <f ca="1">H120</f>
        <v>13.775491885583563</v>
      </c>
      <c r="J565" s="371">
        <f ca="1">H122</f>
        <v>11.195866150132154</v>
      </c>
      <c r="K565" s="1917"/>
      <c r="L565" s="1917"/>
      <c r="M565" s="1917"/>
      <c r="N565" s="1917"/>
      <c r="O565" s="1917"/>
      <c r="P565" s="1917"/>
      <c r="Q565" s="1969"/>
      <c r="R565" s="1917"/>
      <c r="S565" s="1917"/>
      <c r="T565" s="1917"/>
      <c r="U565" s="1917"/>
      <c r="V565" s="1917"/>
      <c r="W565" s="346"/>
    </row>
    <row r="566" spans="1:23" x14ac:dyDescent="0.2">
      <c r="A566" s="436"/>
      <c r="B566" s="345"/>
      <c r="C566" s="443" t="s">
        <v>1200</v>
      </c>
      <c r="D566" s="334">
        <f ca="1">SUM(D562:D565)</f>
        <v>23729.687625596234</v>
      </c>
      <c r="E566" s="334">
        <f ca="1">SUM(E562:E565)</f>
        <v>3701424.2988945264</v>
      </c>
      <c r="F566" s="334"/>
      <c r="G566" s="334"/>
      <c r="H566" s="334"/>
      <c r="I566" s="334"/>
      <c r="J566" s="338"/>
      <c r="K566" s="1917"/>
      <c r="L566" s="1911"/>
      <c r="M566" s="1911"/>
      <c r="N566" s="1911"/>
      <c r="O566" s="1911"/>
      <c r="P566" s="1917"/>
      <c r="Q566" s="1969"/>
      <c r="R566" s="1917"/>
      <c r="S566" s="1917"/>
      <c r="T566" s="1917"/>
      <c r="U566" s="1917"/>
      <c r="V566" s="1917"/>
      <c r="W566" s="346"/>
    </row>
    <row r="567" spans="1:23" x14ac:dyDescent="0.2">
      <c r="A567" s="436"/>
      <c r="B567" s="345"/>
      <c r="C567" s="437"/>
      <c r="D567" s="1917"/>
      <c r="E567" s="1917"/>
      <c r="F567" s="1917"/>
      <c r="G567" s="1917"/>
      <c r="H567" s="1917"/>
      <c r="I567" s="1917"/>
      <c r="J567" s="1917"/>
      <c r="K567" s="1917"/>
      <c r="L567" s="1917"/>
      <c r="M567" s="1917"/>
      <c r="N567" s="1917"/>
      <c r="O567" s="1917"/>
      <c r="P567" s="1917"/>
      <c r="Q567" s="1969"/>
      <c r="R567" s="1917"/>
      <c r="S567" s="1917"/>
      <c r="T567" s="1917"/>
      <c r="U567" s="1917"/>
      <c r="V567" s="1917"/>
      <c r="W567" s="346"/>
    </row>
    <row r="568" spans="1:23" x14ac:dyDescent="0.2">
      <c r="A568" s="436"/>
      <c r="B568" s="345"/>
      <c r="C568" s="440" t="s">
        <v>460</v>
      </c>
      <c r="D568" s="1917"/>
      <c r="E568" s="1917"/>
      <c r="F568" s="1917"/>
      <c r="G568" s="1917"/>
      <c r="H568" s="1917"/>
      <c r="I568" s="1917"/>
      <c r="J568" s="1917"/>
      <c r="K568" s="1917"/>
      <c r="L568" s="1917"/>
      <c r="M568" s="1917"/>
      <c r="N568" s="1917"/>
      <c r="O568" s="1917"/>
      <c r="P568" s="1917"/>
      <c r="Q568" s="1969"/>
      <c r="R568" s="1917"/>
      <c r="S568" s="1917"/>
      <c r="T568" s="1917"/>
      <c r="U568" s="1917"/>
      <c r="V568" s="1917"/>
      <c r="W568" s="346"/>
    </row>
    <row r="569" spans="1:23" x14ac:dyDescent="0.2">
      <c r="A569" s="436"/>
      <c r="B569" s="345"/>
      <c r="C569" s="454"/>
      <c r="D569" s="368"/>
      <c r="E569" s="368"/>
      <c r="F569" s="368"/>
      <c r="G569" s="372" t="s">
        <v>292</v>
      </c>
      <c r="H569" s="372" t="s">
        <v>293</v>
      </c>
      <c r="I569" s="356" t="s">
        <v>294</v>
      </c>
      <c r="J569" s="373" t="s">
        <v>663</v>
      </c>
      <c r="K569" s="356" t="s">
        <v>784</v>
      </c>
      <c r="L569" s="373" t="s">
        <v>662</v>
      </c>
      <c r="M569" s="374" t="s">
        <v>806</v>
      </c>
      <c r="N569" s="1911"/>
      <c r="O569" s="1911"/>
      <c r="P569" s="1917"/>
      <c r="Q569" s="1969"/>
      <c r="R569" s="1917"/>
      <c r="S569" s="1917"/>
      <c r="T569" s="1917"/>
      <c r="U569" s="1917"/>
      <c r="V569" s="1917"/>
      <c r="W569" s="346"/>
    </row>
    <row r="570" spans="1:23" x14ac:dyDescent="0.2">
      <c r="A570" s="436"/>
      <c r="B570" s="345"/>
      <c r="C570" s="453" t="s">
        <v>465</v>
      </c>
      <c r="D570" s="1917">
        <f>CokingRefineryControls!C14</f>
        <v>1E-10</v>
      </c>
      <c r="E570" s="1917" t="s">
        <v>1194</v>
      </c>
      <c r="F570" s="1911" t="s">
        <v>467</v>
      </c>
      <c r="G570" s="1917">
        <f ca="1">D570/100*D563+D571/100*D564</f>
        <v>1.4693788083839931E-8</v>
      </c>
      <c r="H570" s="1917">
        <f ca="1">D570/100*E563+D571/100*E564</f>
        <v>2.1854129010826852E-6</v>
      </c>
      <c r="I570" s="1917">
        <f ca="1">H570/G570/'Energy &amp; Unit Conversions'!$G$80</f>
        <v>935.48600851744914</v>
      </c>
      <c r="J570" s="1917">
        <f ca="1">(D570/100*E563*G563+D571/100*E564*G564)/H570</f>
        <v>0.30739555412720931</v>
      </c>
      <c r="K570" s="1917">
        <f ca="1">(D570/100*E563*H563+D571/100*E564*H564)/H570</f>
        <v>1865.125710705136</v>
      </c>
      <c r="L570" s="1917">
        <f ca="1">(D570/100*E563*I563+D571/100*E564*I564)/H570</f>
        <v>12.20645933020471</v>
      </c>
      <c r="M570" s="337">
        <f ca="1">(D570/100*E563*J563+D571/100*E564*J564)/H570</f>
        <v>11.66154704371238</v>
      </c>
      <c r="N570" s="1917"/>
      <c r="O570" s="1917"/>
      <c r="P570" s="1917"/>
      <c r="Q570" s="1969"/>
      <c r="R570" s="1917"/>
      <c r="S570" s="1917"/>
      <c r="T570" s="1917"/>
      <c r="U570" s="1917"/>
      <c r="V570" s="1917"/>
      <c r="W570" s="346"/>
    </row>
    <row r="571" spans="1:23" x14ac:dyDescent="0.2">
      <c r="A571" s="436"/>
      <c r="B571" s="345"/>
      <c r="C571" s="453" t="s">
        <v>466</v>
      </c>
      <c r="D571" s="1917">
        <f>CokingRefineryControls!C15</f>
        <v>1E-10</v>
      </c>
      <c r="E571" s="1917" t="s">
        <v>1194</v>
      </c>
      <c r="F571" s="1911" t="s">
        <v>1455</v>
      </c>
      <c r="G571" s="1917">
        <f ca="1">D571/100*D564+D572/100*D565</f>
        <v>6.4755173608741953E-9</v>
      </c>
      <c r="H571" s="1917">
        <f ca="1">D571/100*E564+D572/100*E565</f>
        <v>9.7552116561766895E-7</v>
      </c>
      <c r="I571" s="1917">
        <f ca="1">H571/G571/'Energy &amp; Unit Conversions'!$G$80</f>
        <v>947.54488276330903</v>
      </c>
      <c r="J571" s="1917">
        <f ca="1">(D571/100*E564*G564+D572/100*E565*G565)/H571</f>
        <v>0.34883282222603118</v>
      </c>
      <c r="K571" s="1917">
        <f ca="1">(D571/100*E564*H564+D572/100*E565*H565)/H571</f>
        <v>2546.2715056129705</v>
      </c>
      <c r="L571" s="1917">
        <f ca="1">(D571/100*E564*I564+D572/100*E565*I565)/H571</f>
        <v>12.125465535911589</v>
      </c>
      <c r="M571" s="337">
        <f ca="1">(D571/100*E564*J564+D572/100*E565*J565)/H571</f>
        <v>11.689687554365658</v>
      </c>
      <c r="N571" s="1917"/>
      <c r="O571" s="1917"/>
      <c r="P571" s="1917"/>
      <c r="Q571" s="1969"/>
      <c r="R571" s="1917"/>
      <c r="S571" s="1917"/>
      <c r="T571" s="1917"/>
      <c r="U571" s="1917"/>
      <c r="V571" s="1917"/>
      <c r="W571" s="346"/>
    </row>
    <row r="572" spans="1:23" x14ac:dyDescent="0.2">
      <c r="A572" s="436"/>
      <c r="B572" s="345"/>
      <c r="C572" s="452" t="s">
        <v>1456</v>
      </c>
      <c r="D572" s="334">
        <v>0</v>
      </c>
      <c r="E572" s="334" t="s">
        <v>1194</v>
      </c>
      <c r="F572" s="335"/>
      <c r="G572" s="334">
        <f ca="1">SUM(G570:G571)</f>
        <v>2.1169305444714125E-8</v>
      </c>
      <c r="H572" s="334"/>
      <c r="I572" s="334"/>
      <c r="J572" s="334"/>
      <c r="K572" s="334"/>
      <c r="L572" s="334"/>
      <c r="M572" s="338"/>
      <c r="N572" s="1917"/>
      <c r="O572" s="1917"/>
      <c r="P572" s="1917"/>
      <c r="Q572" s="1969"/>
      <c r="R572" s="1917"/>
      <c r="S572" s="1917"/>
      <c r="T572" s="1917"/>
      <c r="U572" s="1917"/>
      <c r="V572" s="1917"/>
      <c r="W572" s="346"/>
    </row>
    <row r="573" spans="1:23" x14ac:dyDescent="0.2">
      <c r="A573" s="436"/>
      <c r="B573" s="345"/>
      <c r="C573" s="437"/>
      <c r="D573" s="1917"/>
      <c r="E573" s="1917"/>
      <c r="F573" s="1917"/>
      <c r="G573" s="1917"/>
      <c r="H573" s="1917"/>
      <c r="I573" s="1917"/>
      <c r="J573" s="1917"/>
      <c r="K573" s="1917"/>
      <c r="L573" s="1917"/>
      <c r="M573" s="1917"/>
      <c r="N573" s="1917"/>
      <c r="O573" s="1917"/>
      <c r="P573" s="1917"/>
      <c r="Q573" s="1969"/>
      <c r="R573" s="1917"/>
      <c r="S573" s="1917"/>
      <c r="T573" s="1917"/>
      <c r="U573" s="1917"/>
      <c r="V573" s="1917"/>
      <c r="W573" s="346"/>
    </row>
    <row r="574" spans="1:23" x14ac:dyDescent="0.2">
      <c r="A574" s="436"/>
      <c r="B574" s="345"/>
      <c r="C574" s="440" t="s">
        <v>296</v>
      </c>
      <c r="D574" s="360"/>
      <c r="E574" s="1917"/>
      <c r="F574" s="1917"/>
      <c r="G574" s="1917"/>
      <c r="H574" s="1917"/>
      <c r="I574" s="1917"/>
      <c r="J574" s="1917"/>
      <c r="K574" s="1917"/>
      <c r="L574" s="1917"/>
      <c r="M574" s="1917"/>
      <c r="N574" s="1917"/>
      <c r="O574" s="1917"/>
      <c r="P574" s="1917"/>
      <c r="Q574" s="1969"/>
      <c r="R574" s="1917"/>
      <c r="S574" s="1917"/>
      <c r="T574" s="1917"/>
      <c r="U574" s="1917"/>
      <c r="V574" s="1917"/>
      <c r="W574" s="346"/>
    </row>
    <row r="575" spans="1:23" x14ac:dyDescent="0.2">
      <c r="A575" s="436"/>
      <c r="B575" s="345"/>
      <c r="C575" s="445" t="s">
        <v>1208</v>
      </c>
      <c r="D575" s="368" t="s">
        <v>1209</v>
      </c>
      <c r="E575" s="368" t="s">
        <v>1210</v>
      </c>
      <c r="F575" s="356" t="s">
        <v>1211</v>
      </c>
      <c r="G575" s="368" t="s">
        <v>1212</v>
      </c>
      <c r="H575" s="368" t="s">
        <v>1213</v>
      </c>
      <c r="I575" s="356" t="s">
        <v>1214</v>
      </c>
      <c r="J575" s="368" t="s">
        <v>1215</v>
      </c>
      <c r="K575" s="369" t="s">
        <v>1216</v>
      </c>
      <c r="L575" s="1917"/>
      <c r="M575" s="1917"/>
      <c r="N575" s="1917"/>
      <c r="O575" s="1917"/>
      <c r="P575" s="1917"/>
      <c r="Q575" s="1969"/>
      <c r="R575" s="1917"/>
      <c r="S575" s="1917"/>
      <c r="T575" s="1917"/>
      <c r="U575" s="1917"/>
      <c r="V575" s="1917"/>
      <c r="W575" s="346"/>
    </row>
    <row r="576" spans="1:23" x14ac:dyDescent="0.2">
      <c r="A576" s="436"/>
      <c r="B576" s="345"/>
      <c r="C576" s="453">
        <f ca="1">D570/100*D563</f>
        <v>8.2182707229657348E-9</v>
      </c>
      <c r="D576" s="1917">
        <f>CokingRefineryControls!C17</f>
        <v>50</v>
      </c>
      <c r="E576" s="1917">
        <f>100-D576</f>
        <v>50</v>
      </c>
      <c r="F576" s="1917">
        <f ca="1">D563-D570/100*D563</f>
        <v>8218.2707229575171</v>
      </c>
      <c r="G576" s="1917">
        <f ca="1">D576/100*G570</f>
        <v>7.3468940419199655E-9</v>
      </c>
      <c r="H576" s="1917">
        <f ca="1">G570-G576</f>
        <v>7.3468940419199655E-9</v>
      </c>
      <c r="I576" s="1917">
        <f ca="1">E563-D570/100*E563</f>
        <v>1209891.7354638064</v>
      </c>
      <c r="J576" s="1917">
        <f ca="1">D576/100*H570</f>
        <v>1.0927064505413426E-6</v>
      </c>
      <c r="K576" s="337">
        <f ca="1">H570-J576</f>
        <v>1.0927064505413426E-6</v>
      </c>
      <c r="L576" s="1917"/>
      <c r="M576" s="1917"/>
      <c r="N576" s="1917"/>
      <c r="O576" s="1917"/>
      <c r="P576" s="1917"/>
      <c r="Q576" s="1969"/>
      <c r="R576" s="1917"/>
      <c r="S576" s="1917"/>
      <c r="T576" s="1917"/>
      <c r="U576" s="1917"/>
      <c r="V576" s="1917"/>
      <c r="W576" s="346"/>
    </row>
    <row r="577" spans="1:23" x14ac:dyDescent="0.2">
      <c r="A577" s="436"/>
      <c r="B577" s="345"/>
      <c r="C577" s="453">
        <f ca="1">2*D571/100*D564</f>
        <v>1.2951034721748391E-8</v>
      </c>
      <c r="D577" s="1917">
        <f>CokingRefineryControls!C18</f>
        <v>50</v>
      </c>
      <c r="E577" s="1917">
        <f>100-D577</f>
        <v>50</v>
      </c>
      <c r="F577" s="1917">
        <f ca="1">D564-D571*2/100*D564</f>
        <v>6475.517360861244</v>
      </c>
      <c r="G577" s="1917">
        <f ca="1">D577/100*G571</f>
        <v>3.2377586804370976E-9</v>
      </c>
      <c r="H577" s="1917">
        <f ca="1">G571-G577</f>
        <v>3.2377586804370976E-9</v>
      </c>
      <c r="I577" s="1917">
        <f ca="1">E564-2*D571/100*E564</f>
        <v>975521.165615718</v>
      </c>
      <c r="J577" s="1917">
        <f ca="1">D577/100*H571</f>
        <v>4.8776058280883448E-7</v>
      </c>
      <c r="K577" s="337">
        <f ca="1">H571-J577</f>
        <v>4.8776058280883448E-7</v>
      </c>
      <c r="L577" s="1917"/>
      <c r="M577" s="1917"/>
      <c r="N577" s="1917"/>
      <c r="O577" s="1917"/>
      <c r="P577" s="1917"/>
      <c r="Q577" s="1969"/>
      <c r="R577" s="1917"/>
      <c r="S577" s="1917"/>
      <c r="T577" s="1917"/>
      <c r="U577" s="1917"/>
      <c r="V577" s="1917"/>
      <c r="W577" s="346"/>
    </row>
    <row r="578" spans="1:23" x14ac:dyDescent="0.2">
      <c r="A578" s="436"/>
      <c r="B578" s="345"/>
      <c r="C578" s="453">
        <f ca="1">2*D572/100*D565</f>
        <v>0</v>
      </c>
      <c r="D578" s="1917"/>
      <c r="E578" s="1917"/>
      <c r="F578" s="1917">
        <f ca="1">D565-D572/100*D565</f>
        <v>9035.8995417507103</v>
      </c>
      <c r="G578" s="1917"/>
      <c r="H578" s="1917"/>
      <c r="I578" s="1917">
        <f ca="1">E565-D572/100*E565</f>
        <v>1516011.3978110366</v>
      </c>
      <c r="J578" s="1917"/>
      <c r="K578" s="337"/>
      <c r="L578" s="1917"/>
      <c r="M578" s="1917"/>
      <c r="N578" s="1917"/>
      <c r="O578" s="1917"/>
      <c r="P578" s="1917"/>
      <c r="Q578" s="1969"/>
      <c r="R578" s="1917"/>
      <c r="S578" s="1917"/>
      <c r="T578" s="1917"/>
      <c r="U578" s="1917"/>
      <c r="V578" s="1917"/>
      <c r="W578" s="346"/>
    </row>
    <row r="579" spans="1:23" x14ac:dyDescent="0.2">
      <c r="A579" s="436"/>
      <c r="B579" s="345"/>
      <c r="C579" s="452">
        <f ca="1">SUM(C576:C578)</f>
        <v>2.1169305444714125E-8</v>
      </c>
      <c r="D579" s="334"/>
      <c r="E579" s="334"/>
      <c r="F579" s="334">
        <f ca="1">SUM(F576:F578)</f>
        <v>23729.687625569473</v>
      </c>
      <c r="G579" s="334"/>
      <c r="H579" s="334"/>
      <c r="I579" s="334"/>
      <c r="J579" s="334"/>
      <c r="K579" s="338"/>
      <c r="L579" s="1917"/>
      <c r="M579" s="1917"/>
      <c r="N579" s="1917"/>
      <c r="O579" s="1917"/>
      <c r="P579" s="1917"/>
      <c r="Q579" s="1969"/>
      <c r="R579" s="1917"/>
      <c r="S579" s="1917"/>
      <c r="T579" s="1917"/>
      <c r="U579" s="1917"/>
      <c r="V579" s="1917"/>
      <c r="W579" s="346"/>
    </row>
    <row r="580" spans="1:23" x14ac:dyDescent="0.2">
      <c r="A580" s="436"/>
      <c r="B580" s="345"/>
      <c r="C580" s="437"/>
      <c r="D580" s="1917"/>
      <c r="E580" s="1917"/>
      <c r="F580" s="1917"/>
      <c r="G580" s="1917"/>
      <c r="H580" s="1917"/>
      <c r="I580" s="1917"/>
      <c r="J580" s="1917"/>
      <c r="K580" s="1917"/>
      <c r="L580" s="1917"/>
      <c r="M580" s="1917"/>
      <c r="N580" s="1917"/>
      <c r="O580" s="1917"/>
      <c r="P580" s="1917"/>
      <c r="Q580" s="1969"/>
      <c r="R580" s="1917"/>
      <c r="S580" s="329"/>
      <c r="T580" s="329"/>
      <c r="U580" s="329"/>
      <c r="V580" s="329"/>
      <c r="W580" s="1626"/>
    </row>
    <row r="581" spans="1:23" x14ac:dyDescent="0.2">
      <c r="A581" s="436"/>
      <c r="B581" s="345"/>
      <c r="C581" s="440" t="s">
        <v>286</v>
      </c>
      <c r="D581" s="350"/>
      <c r="E581" s="360"/>
      <c r="F581" s="1917"/>
      <c r="G581" s="1917"/>
      <c r="H581" s="1917"/>
      <c r="I581" s="1917"/>
      <c r="J581" s="1917"/>
      <c r="K581" s="1917"/>
      <c r="L581" s="1917"/>
      <c r="M581" s="1917"/>
      <c r="N581" s="1917"/>
      <c r="O581" s="1917"/>
      <c r="P581" s="1917"/>
      <c r="Q581" s="1969"/>
      <c r="R581" s="1917"/>
      <c r="S581" s="329"/>
      <c r="T581" s="329"/>
      <c r="U581" s="329"/>
      <c r="V581" s="329"/>
      <c r="W581" s="1626"/>
    </row>
    <row r="582" spans="1:23" ht="15" x14ac:dyDescent="0.2">
      <c r="A582" s="436"/>
      <c r="B582" s="345"/>
      <c r="C582" s="454"/>
      <c r="D582" s="372" t="s">
        <v>292</v>
      </c>
      <c r="E582" s="372" t="s">
        <v>293</v>
      </c>
      <c r="F582" s="356" t="s">
        <v>294</v>
      </c>
      <c r="G582" s="373" t="s">
        <v>663</v>
      </c>
      <c r="H582" s="356" t="s">
        <v>784</v>
      </c>
      <c r="I582" s="373" t="s">
        <v>662</v>
      </c>
      <c r="J582" s="373" t="s">
        <v>567</v>
      </c>
      <c r="K582" s="373" t="s">
        <v>806</v>
      </c>
      <c r="L582" s="373" t="s">
        <v>544</v>
      </c>
      <c r="M582" s="374"/>
      <c r="N582" s="1917"/>
      <c r="O582" s="2443" t="s">
        <v>1308</v>
      </c>
      <c r="P582" s="2444"/>
      <c r="Q582" s="1967"/>
      <c r="R582" s="1917"/>
      <c r="S582" s="329"/>
      <c r="T582" s="329"/>
      <c r="U582" s="329"/>
      <c r="V582" s="329"/>
      <c r="W582" s="1626"/>
    </row>
    <row r="583" spans="1:23" ht="15" x14ac:dyDescent="0.2">
      <c r="A583" s="436"/>
      <c r="B583" s="345"/>
      <c r="C583" s="456" t="s">
        <v>409</v>
      </c>
      <c r="D583" s="1917">
        <f ca="1">IF(CokingRefineryConfig=0,0.00000000000001,F576+G576+D562)</f>
        <v>1E-14</v>
      </c>
      <c r="E583" s="1917">
        <f ca="1">IF(CokingRefineryConfig=0,0.00000000000001,I576+J576+E562)</f>
        <v>1E-14</v>
      </c>
      <c r="F583" s="1917">
        <f ca="1">IF(CokingRefineryConfig=0,0,E583/D583/'Energy &amp; Unit Conversions'!$G$80)</f>
        <v>0</v>
      </c>
      <c r="G583" s="1917">
        <f ca="1">IF(CokingRefineryConfig=0,0,(I576*G563+J576*J570+E562*G562)/E583)</f>
        <v>0</v>
      </c>
      <c r="H583" s="1917">
        <f ca="1">IF(CokingRefineryConfig=0,0,(I576*H563+J576*K570+E562*H562)/E583)</f>
        <v>0</v>
      </c>
      <c r="I583" s="1917">
        <f ca="1">IF(CokingRefineryConfig=0,0,(I576*I563+J576*L570+E562*I562)/E583)</f>
        <v>0</v>
      </c>
      <c r="J583" s="1917">
        <f ca="1">IF(CokingRefineryConfig=0,0,141.5/(F583/1000)-131.5)</f>
        <v>0</v>
      </c>
      <c r="K583" s="1917">
        <f ca="1">IF(CokingRefineryConfig=0,0,(I576*J563+J576*M570+E562*J562)/E583)</f>
        <v>0</v>
      </c>
      <c r="L583" s="375"/>
      <c r="M583" s="337"/>
      <c r="N583" s="1917"/>
      <c r="O583" s="2443"/>
      <c r="P583" s="2444"/>
      <c r="Q583" s="1967"/>
      <c r="R583" s="1917"/>
      <c r="S583" s="329"/>
      <c r="T583" s="329"/>
      <c r="U583" s="329"/>
      <c r="V583" s="329"/>
      <c r="W583" s="1626"/>
    </row>
    <row r="584" spans="1:23" ht="15" x14ac:dyDescent="0.2">
      <c r="A584" s="436"/>
      <c r="B584" s="345"/>
      <c r="C584" s="456" t="s">
        <v>468</v>
      </c>
      <c r="D584" s="1917">
        <f ca="1">IF(CokingRefineryConfig=0,0.00000000000001,F577+H576+G577)</f>
        <v>1E-14</v>
      </c>
      <c r="E584" s="1917">
        <f ca="1">IF(CokingRefineryConfig=0,0.00000000000001,I577+K576+J577)</f>
        <v>1E-14</v>
      </c>
      <c r="F584" s="1917">
        <f ca="1">IF(CokingRefineryConfig=0,0,E584/D584/'Energy &amp; Unit Conversions'!$G$80)</f>
        <v>0</v>
      </c>
      <c r="G584" s="1917">
        <f ca="1">IF(CokingRefineryConfig=0,0,(I577*G564+K576*J570+J577*J571)/E584)</f>
        <v>0</v>
      </c>
      <c r="H584" s="1917">
        <f ca="1">IF(CokingRefineryConfig=0,0,(I577*H564+K576*K570+J577*K571)/E584)</f>
        <v>0</v>
      </c>
      <c r="I584" s="1917">
        <f ca="1">IF(CokingRefineryConfig=0,0,(I577*I564+K576*L570+J577*L571)/E584)</f>
        <v>0</v>
      </c>
      <c r="J584" s="1917">
        <f ca="1">IF(CokingRefineryConfig=0,0,141.5/(F584/1000)-131.5)</f>
        <v>0</v>
      </c>
      <c r="K584" s="1917">
        <f ca="1">IF(CokingRefineryConfig=0,0,(I577*J564+K576*M570+J577*M571)/E584)</f>
        <v>0</v>
      </c>
      <c r="L584" s="1917"/>
      <c r="M584" s="337"/>
      <c r="N584" s="1917"/>
      <c r="O584" s="2443"/>
      <c r="P584" s="2444"/>
      <c r="Q584" s="1967"/>
      <c r="R584" s="1917"/>
      <c r="S584" s="329"/>
      <c r="T584" s="329"/>
      <c r="U584" s="329"/>
      <c r="V584" s="329"/>
      <c r="W584" s="1626"/>
    </row>
    <row r="585" spans="1:23" x14ac:dyDescent="0.2">
      <c r="A585" s="436"/>
      <c r="B585" s="345"/>
      <c r="C585" s="456" t="s">
        <v>1457</v>
      </c>
      <c r="D585" s="1917">
        <f ca="1">IF((OR(CokingRefineryConfig=0, CokingRefineryConfig=1,CokingRefineryConfig=2,CokingRefineryConfig=3)),0.00000000000001,(F578+H577)-D1468)</f>
        <v>1E-14</v>
      </c>
      <c r="E585" s="1917">
        <f ca="1">IF((OR(CokingRefineryConfig=0, CokingRefineryConfig=1,CokingRefineryConfig=2,CokingRefineryConfig=3)),0.00000000000001,(I578+K577)-D1466)</f>
        <v>1E-14</v>
      </c>
      <c r="F585" s="1917">
        <f ca="1">IF((OR(CokingRefineryConfig=0, CokingRefineryConfig=1,CokingRefineryConfig=2,CokingRefineryConfig=3)),0,E585/D585/'Energy &amp; Unit Conversions'!$G$80)</f>
        <v>0</v>
      </c>
      <c r="G585" s="1917">
        <f ca="1">IF((OR(CokingRefineryConfig=0, CokingRefineryConfig=1,CokingRefineryConfig=2,CokingRefineryConfig=3)),0,(I578*G565+K577*J571)/E585)</f>
        <v>0</v>
      </c>
      <c r="H585" s="1917">
        <f ca="1">IF((OR(CokingRefineryConfig=0, CokingRefineryConfig=1,CokingRefineryConfig=2,CokingRefineryConfig=3)),0,(I578*H565+K577*K571)/E585)</f>
        <v>0</v>
      </c>
      <c r="I585" s="1917">
        <f ca="1">IF((OR(CokingRefineryConfig=0, CokingRefineryConfig=1,CokingRefineryConfig=2,CokingRefineryConfig=3)),0,(I578*I565+K577*L571-D1466*H120)/E585)</f>
        <v>0</v>
      </c>
      <c r="J585" s="1917">
        <f ca="1">IF((OR(CokingRefineryConfig=0, CokingRefineryConfig=1,CokingRefineryConfig=2,CokingRefineryConfig=3)),0,141.5/(F585/1000)-131.5)</f>
        <v>0</v>
      </c>
      <c r="K585" s="1917">
        <f ca="1">IF((OR(CokingRefineryConfig=0, CokingRefineryConfig=1,CokingRefineryConfig=2,CokingRefineryConfig=3)),0,((I578-D1466)*J565+K577*M571)/E585)</f>
        <v>0</v>
      </c>
      <c r="L585" s="1917">
        <f ca="1">IF((OR(CokingRefineryConfig=0, CokingRefineryConfig=1,CokingRefineryConfig=2,CokingRefineryConfig=3)),0,'Assay Inventory'!M20)</f>
        <v>0</v>
      </c>
      <c r="M585" s="337"/>
      <c r="N585" s="1917"/>
      <c r="O585" s="1917"/>
      <c r="P585" s="1917"/>
      <c r="Q585" s="1969"/>
      <c r="R585" s="1917"/>
      <c r="S585" s="329"/>
      <c r="T585" s="329"/>
      <c r="U585" s="329"/>
      <c r="V585" s="329"/>
      <c r="W585" s="1626"/>
    </row>
    <row r="586" spans="1:23" x14ac:dyDescent="0.2">
      <c r="A586" s="436"/>
      <c r="B586" s="345"/>
      <c r="C586" s="457" t="s">
        <v>1458</v>
      </c>
      <c r="D586" s="334">
        <f ca="1">IF(CokingRefineryConfig=0,0.00000000000001,(F578+H577-D1468)-D585)</f>
        <v>1E-14</v>
      </c>
      <c r="E586" s="334">
        <f ca="1">IF(CokingRefineryConfig=0,0.00000000000001,(I578+K577-D1466)-E585)</f>
        <v>1E-14</v>
      </c>
      <c r="F586" s="334">
        <f ca="1">IF((OR(CokingRefineryConfig=1,CokingRefineryConfig=2,CokingRefineryConfig=3)),E586/D586/'Energy &amp; Unit Conversions'!$G$80,0)</f>
        <v>0</v>
      </c>
      <c r="G586" s="334">
        <f ca="1">IF((OR(CokingRefineryConfig=1,CokingRefineryConfig=2,CokingRefineryConfig=3)),(I578*G565+K577*J571)/E586,0)</f>
        <v>0</v>
      </c>
      <c r="H586" s="334">
        <f ca="1">IF((OR(CokingRefineryConfig=1,CokingRefineryConfig=2,CokingRefineryConfig=3)),(I578*H565+K577*K571)/E586,0)</f>
        <v>0</v>
      </c>
      <c r="I586" s="334">
        <f ca="1">IF((OR(CokingRefineryConfig=1,CokingRefineryConfig=2,CokingRefineryConfig=3)),(I578*I565+K577*L571)/E586,0)</f>
        <v>0</v>
      </c>
      <c r="J586" s="334">
        <f ca="1">IF((OR(CokingRefineryConfig=1,CokingRefineryConfig=2,CokingRefineryConfig=3)),141.5/(F586/1000)-131.5,0)</f>
        <v>0</v>
      </c>
      <c r="K586" s="334">
        <f ca="1">IF((OR(CokingRefineryConfig=1,CokingRefineryConfig=2,CokingRefineryConfig=3)),(I578*J565+K577*M571)/E586,0)</f>
        <v>0</v>
      </c>
      <c r="L586" s="334"/>
      <c r="M586" s="338"/>
      <c r="N586" s="1917"/>
      <c r="O586" s="1917"/>
      <c r="P586" s="1917"/>
      <c r="Q586" s="1969"/>
      <c r="R586" s="1917"/>
      <c r="S586" s="329"/>
      <c r="T586" s="329"/>
      <c r="U586" s="329"/>
      <c r="V586" s="329"/>
      <c r="W586" s="1626"/>
    </row>
    <row r="587" spans="1:23" x14ac:dyDescent="0.2">
      <c r="A587" s="436"/>
      <c r="B587" s="345"/>
      <c r="C587" s="437"/>
      <c r="D587" s="1917"/>
      <c r="E587" s="1917"/>
      <c r="F587" s="1917"/>
      <c r="G587" s="1917"/>
      <c r="H587" s="1917"/>
      <c r="I587" s="1917"/>
      <c r="J587" s="1917"/>
      <c r="K587" s="1917"/>
      <c r="L587" s="1917"/>
      <c r="M587" s="1917"/>
      <c r="N587" s="1917"/>
      <c r="O587" s="1917"/>
      <c r="P587" s="1917"/>
      <c r="Q587" s="1969"/>
      <c r="R587" s="1917"/>
      <c r="S587" s="329"/>
      <c r="T587" s="329"/>
      <c r="U587" s="329"/>
      <c r="V587" s="329"/>
      <c r="W587" s="1626"/>
    </row>
    <row r="588" spans="1:23" x14ac:dyDescent="0.2">
      <c r="A588" s="436"/>
      <c r="B588" s="345"/>
      <c r="C588" s="440" t="s">
        <v>1459</v>
      </c>
      <c r="D588" s="350"/>
      <c r="E588" s="360"/>
      <c r="F588" s="1917"/>
      <c r="G588" s="1917"/>
      <c r="H588" s="1917"/>
      <c r="I588" s="1917"/>
      <c r="J588" s="1917"/>
      <c r="K588" s="1917"/>
      <c r="L588" s="1917"/>
      <c r="M588" s="1917"/>
      <c r="N588" s="1917"/>
      <c r="O588" s="1917"/>
      <c r="P588" s="1917"/>
      <c r="Q588" s="1969"/>
      <c r="R588" s="1917"/>
      <c r="S588" s="329"/>
      <c r="T588" s="329"/>
      <c r="U588" s="329"/>
      <c r="V588" s="329"/>
      <c r="W588" s="1626"/>
    </row>
    <row r="589" spans="1:23" x14ac:dyDescent="0.2">
      <c r="A589" s="436"/>
      <c r="B589" s="345"/>
      <c r="C589" s="458" t="s">
        <v>469</v>
      </c>
      <c r="D589" s="376"/>
      <c r="E589" s="376"/>
      <c r="F589" s="376"/>
      <c r="G589" s="377"/>
      <c r="H589" s="1917"/>
      <c r="I589" s="1917"/>
      <c r="J589" s="1917"/>
      <c r="K589" s="1917"/>
      <c r="L589" s="1917"/>
      <c r="M589" s="1917"/>
      <c r="N589" s="1917"/>
      <c r="O589" s="1917"/>
      <c r="P589" s="1917"/>
      <c r="Q589" s="1969"/>
      <c r="R589" s="1917"/>
      <c r="S589" s="329"/>
      <c r="T589" s="329"/>
      <c r="U589" s="329"/>
      <c r="V589" s="329"/>
      <c r="W589" s="1626"/>
    </row>
    <row r="590" spans="1:23" x14ac:dyDescent="0.2">
      <c r="A590" s="436"/>
      <c r="B590" s="345"/>
      <c r="C590" s="442" t="s">
        <v>624</v>
      </c>
      <c r="D590" s="1917"/>
      <c r="E590" s="1917"/>
      <c r="F590" s="1917"/>
      <c r="G590" s="337"/>
      <c r="H590" s="2190"/>
      <c r="I590" s="1917"/>
      <c r="J590" s="1917"/>
      <c r="K590" s="1917"/>
      <c r="L590" s="1917"/>
      <c r="M590" s="1917"/>
      <c r="N590" s="1917"/>
      <c r="O590" s="1917"/>
      <c r="P590" s="1917"/>
      <c r="Q590" s="1969"/>
      <c r="R590" s="1917"/>
      <c r="S590" s="329"/>
      <c r="T590" s="329"/>
      <c r="U590" s="329"/>
      <c r="V590" s="329"/>
      <c r="W590" s="1626"/>
    </row>
    <row r="591" spans="1:23" x14ac:dyDescent="0.2">
      <c r="A591" s="436"/>
      <c r="B591" s="345"/>
      <c r="C591" s="453" t="s">
        <v>395</v>
      </c>
      <c r="D591" s="1917">
        <f ca="1">IF(OR(CokingRefineryConfig=3,CokingRefineryConfig=6),CokingRefineryControls!C30,CokingRefineryControls!C34)</f>
        <v>1E-10</v>
      </c>
      <c r="E591" s="1917" t="s">
        <v>633</v>
      </c>
      <c r="F591" s="1917"/>
      <c r="G591" s="337"/>
      <c r="H591" s="2190"/>
      <c r="I591" s="1917"/>
      <c r="J591" s="1917"/>
      <c r="K591" s="1917"/>
      <c r="L591" s="1917"/>
      <c r="M591" s="1917"/>
      <c r="N591" s="1917"/>
      <c r="O591" s="1917"/>
      <c r="P591" s="1917"/>
      <c r="Q591" s="1969"/>
      <c r="R591" s="1917"/>
      <c r="S591" s="1917"/>
      <c r="T591" s="1917"/>
      <c r="U591" s="1917"/>
      <c r="V591" s="1917"/>
      <c r="W591" s="346"/>
    </row>
    <row r="592" spans="1:23" x14ac:dyDescent="0.2">
      <c r="A592" s="436"/>
      <c r="B592" s="345"/>
      <c r="C592" s="453" t="s">
        <v>396</v>
      </c>
      <c r="D592" s="1917">
        <f ca="1">100-D591</f>
        <v>99.999999999899998</v>
      </c>
      <c r="E592" s="1917" t="s">
        <v>633</v>
      </c>
      <c r="F592" s="1917"/>
      <c r="G592" s="337"/>
      <c r="H592" s="2190"/>
      <c r="I592" s="1917"/>
      <c r="J592" s="1917"/>
      <c r="K592" s="1917"/>
      <c r="L592" s="1917"/>
      <c r="M592" s="1917"/>
      <c r="N592" s="1917"/>
      <c r="O592" s="1917"/>
      <c r="P592" s="1917"/>
      <c r="Q592" s="1969"/>
      <c r="R592" s="1917"/>
      <c r="S592" s="1917"/>
      <c r="T592" s="1917"/>
      <c r="U592" s="1917"/>
      <c r="V592" s="1917"/>
      <c r="W592" s="346"/>
    </row>
    <row r="593" spans="1:23" x14ac:dyDescent="0.2">
      <c r="A593" s="436"/>
      <c r="B593" s="345"/>
      <c r="C593" s="453"/>
      <c r="D593" s="1917"/>
      <c r="E593" s="1917"/>
      <c r="F593" s="1917"/>
      <c r="G593" s="337"/>
      <c r="H593" s="2190"/>
      <c r="I593" s="1917"/>
      <c r="J593" s="1917"/>
      <c r="K593" s="1917"/>
      <c r="L593" s="1917"/>
      <c r="M593" s="1917"/>
      <c r="N593" s="1917"/>
      <c r="O593" s="1917"/>
      <c r="P593" s="1917"/>
      <c r="Q593" s="1969"/>
      <c r="R593" s="1917"/>
      <c r="S593" s="1917"/>
      <c r="T593" s="1917"/>
      <c r="U593" s="1917"/>
      <c r="V593" s="1917"/>
      <c r="W593" s="346"/>
    </row>
    <row r="594" spans="1:23" x14ac:dyDescent="0.2">
      <c r="A594" s="436"/>
      <c r="B594" s="345"/>
      <c r="C594" s="442" t="str">
        <f t="shared" ref="C594:D604" si="50">C539</f>
        <v>Property</v>
      </c>
      <c r="D594" s="1911" t="str">
        <f t="shared" si="50"/>
        <v>Units</v>
      </c>
      <c r="E594" s="1911" t="s">
        <v>563</v>
      </c>
      <c r="F594" s="1911" t="s">
        <v>470</v>
      </c>
      <c r="G594" s="1912" t="s">
        <v>471</v>
      </c>
      <c r="H594" s="1917"/>
      <c r="I594" s="1917"/>
      <c r="J594" s="1917"/>
      <c r="K594" s="1917"/>
      <c r="L594" s="1917"/>
      <c r="M594" s="1917"/>
      <c r="N594" s="1917"/>
      <c r="O594" s="1917"/>
      <c r="P594" s="1917"/>
      <c r="Q594" s="1969"/>
      <c r="R594" s="1917"/>
      <c r="S594" s="1917"/>
      <c r="T594" s="1917"/>
      <c r="U594" s="1917"/>
      <c r="V594" s="1917"/>
      <c r="W594" s="346"/>
    </row>
    <row r="595" spans="1:23" x14ac:dyDescent="0.2">
      <c r="A595" s="436"/>
      <c r="B595" s="345"/>
      <c r="C595" s="442" t="str">
        <f t="shared" si="50"/>
        <v>Vol Flow</v>
      </c>
      <c r="D595" s="1917" t="str">
        <f ca="1">D540</f>
        <v>bpd</v>
      </c>
      <c r="E595" s="1917">
        <f t="shared" ref="E595:E602" ca="1" si="51">J47</f>
        <v>11182.517606218385</v>
      </c>
      <c r="F595" s="1917">
        <f ca="1">D591/100*E595</f>
        <v>1.1182517606218385E-8</v>
      </c>
      <c r="G595" s="481">
        <f ca="1">IF(CokingRefineryConfig=0,0,D592/100*E595)</f>
        <v>0</v>
      </c>
      <c r="H595" s="1917"/>
      <c r="I595" s="1917"/>
      <c r="J595" s="1917"/>
      <c r="K595" s="1917"/>
      <c r="L595" s="1917"/>
      <c r="M595" s="1917"/>
      <c r="N595" s="1917"/>
      <c r="O595" s="1917"/>
      <c r="P595" s="1917"/>
      <c r="Q595" s="1969"/>
      <c r="R595" s="1917"/>
      <c r="S595" s="1917"/>
      <c r="T595" s="1917"/>
      <c r="U595" s="1917"/>
      <c r="V595" s="1917"/>
      <c r="W595" s="346"/>
    </row>
    <row r="596" spans="1:23" x14ac:dyDescent="0.2">
      <c r="A596" s="436"/>
      <c r="B596" s="345"/>
      <c r="C596" s="442" t="str">
        <f t="shared" si="50"/>
        <v>Vol Flow</v>
      </c>
      <c r="D596" s="1917" t="str">
        <f ca="1">D541</f>
        <v>m^3/d</v>
      </c>
      <c r="E596" s="1917">
        <f t="shared" ca="1" si="51"/>
        <v>1777.8782814151243</v>
      </c>
      <c r="F596" s="1917">
        <f ca="1">F595*'Energy &amp; Unit Conversions'!G80</f>
        <v>1.7778782814151241E-9</v>
      </c>
      <c r="G596" s="481">
        <f ca="1">G595*'Energy &amp; Unit Conversions'!G80</f>
        <v>0</v>
      </c>
      <c r="H596" s="1917"/>
      <c r="I596" s="1917"/>
      <c r="J596" s="1917"/>
      <c r="K596" s="1917"/>
      <c r="L596" s="1917"/>
      <c r="M596" s="1917"/>
      <c r="N596" s="1917"/>
      <c r="O596" s="1917"/>
      <c r="P596" s="1917"/>
      <c r="Q596" s="1969"/>
      <c r="R596" s="1917"/>
      <c r="S596" s="1917"/>
      <c r="T596" s="1917"/>
      <c r="U596" s="1917"/>
      <c r="V596" s="1917"/>
      <c r="W596" s="346"/>
    </row>
    <row r="597" spans="1:23" x14ac:dyDescent="0.2">
      <c r="A597" s="436"/>
      <c r="B597" s="345"/>
      <c r="C597" s="442" t="str">
        <f t="shared" si="50"/>
        <v>Mass Flow</v>
      </c>
      <c r="D597" s="1917" t="str">
        <f t="shared" si="50"/>
        <v>kg/d</v>
      </c>
      <c r="E597" s="1917">
        <f t="shared" ca="1" si="51"/>
        <v>1609417.4951277762</v>
      </c>
      <c r="F597" s="1917">
        <f ca="1">D591/100*E597</f>
        <v>1.6094174951277762E-6</v>
      </c>
      <c r="G597" s="481">
        <f ca="1">IF(CokingRefineryConfig=0,0,D592/100*E597)</f>
        <v>0</v>
      </c>
      <c r="H597" s="1917"/>
      <c r="I597" s="1917"/>
      <c r="J597" s="1917"/>
      <c r="K597" s="1917"/>
      <c r="L597" s="1917"/>
      <c r="M597" s="1917"/>
      <c r="N597" s="1917"/>
      <c r="O597" s="1917"/>
      <c r="P597" s="1917"/>
      <c r="Q597" s="1969"/>
      <c r="R597" s="1917"/>
      <c r="S597" s="1917"/>
      <c r="T597" s="1917"/>
      <c r="U597" s="1917"/>
      <c r="V597" s="1917"/>
      <c r="W597" s="346"/>
    </row>
    <row r="598" spans="1:23" x14ac:dyDescent="0.2">
      <c r="A598" s="436"/>
      <c r="B598" s="345"/>
      <c r="C598" s="442" t="str">
        <f t="shared" si="50"/>
        <v xml:space="preserve">Sulphur </v>
      </c>
      <c r="D598" s="1917" t="str">
        <f t="shared" ref="D598:D604" ca="1" si="52">D543</f>
        <v>wt%</v>
      </c>
      <c r="E598" s="1917">
        <f t="shared" ca="1" si="51"/>
        <v>0.21055860465847406</v>
      </c>
      <c r="F598" s="1917">
        <f ca="1">E598</f>
        <v>0.21055860465847406</v>
      </c>
      <c r="G598" s="481">
        <f t="shared" ref="G598:G604" ca="1" si="53">IF(CokingRefineryConfig=0,0,E598)</f>
        <v>0</v>
      </c>
      <c r="H598" s="1917"/>
      <c r="I598" s="1917"/>
      <c r="J598" s="1917"/>
      <c r="K598" s="1917"/>
      <c r="L598" s="1917"/>
      <c r="M598" s="1917"/>
      <c r="N598" s="1917"/>
      <c r="O598" s="1917"/>
      <c r="P598" s="1917"/>
      <c r="Q598" s="1969"/>
      <c r="R598" s="1917"/>
      <c r="S598" s="1917"/>
      <c r="T598" s="1917"/>
      <c r="U598" s="1917"/>
      <c r="V598" s="1917"/>
      <c r="W598" s="346"/>
    </row>
    <row r="599" spans="1:23" x14ac:dyDescent="0.2">
      <c r="A599" s="436"/>
      <c r="B599" s="345"/>
      <c r="C599" s="442" t="str">
        <f t="shared" si="50"/>
        <v xml:space="preserve">Nitrogen </v>
      </c>
      <c r="D599" s="1917" t="str">
        <f t="shared" ca="1" si="52"/>
        <v>mass ppm</v>
      </c>
      <c r="E599" s="1917">
        <f t="shared" ca="1" si="51"/>
        <v>573.33295706140962</v>
      </c>
      <c r="F599" s="1917">
        <f ca="1">E599</f>
        <v>573.33295706140962</v>
      </c>
      <c r="G599" s="481">
        <f t="shared" ca="1" si="53"/>
        <v>0</v>
      </c>
      <c r="H599" s="1917"/>
      <c r="I599" s="1917"/>
      <c r="J599" s="1917"/>
      <c r="K599" s="1917"/>
      <c r="L599" s="1917"/>
      <c r="M599" s="1917"/>
      <c r="N599" s="1917"/>
      <c r="O599" s="1917"/>
      <c r="P599" s="1917"/>
      <c r="Q599" s="1969"/>
      <c r="R599" s="1917"/>
      <c r="S599" s="1917"/>
      <c r="T599" s="1917"/>
      <c r="U599" s="1917"/>
      <c r="V599" s="1917"/>
      <c r="W599" s="346"/>
    </row>
    <row r="600" spans="1:23" x14ac:dyDescent="0.2">
      <c r="A600" s="436"/>
      <c r="B600" s="345"/>
      <c r="C600" s="442" t="str">
        <f t="shared" si="50"/>
        <v xml:space="preserve">API gravity </v>
      </c>
      <c r="D600" s="1917" t="str">
        <f t="shared" ca="1" si="52"/>
        <v>oAPI</v>
      </c>
      <c r="E600" s="1917">
        <f t="shared" ca="1" si="51"/>
        <v>24.811073777824959</v>
      </c>
      <c r="F600" s="1917">
        <f ca="1">E600</f>
        <v>24.811073777824959</v>
      </c>
      <c r="G600" s="481">
        <f t="shared" ca="1" si="53"/>
        <v>0</v>
      </c>
      <c r="H600" s="1917"/>
      <c r="I600" s="1917"/>
      <c r="J600" s="1917"/>
      <c r="K600" s="1917"/>
      <c r="L600" s="1917"/>
      <c r="M600" s="1917"/>
      <c r="N600" s="1917"/>
      <c r="O600" s="1917"/>
      <c r="P600" s="1917"/>
      <c r="Q600" s="1969"/>
      <c r="R600" s="1917"/>
      <c r="S600" s="1917"/>
      <c r="T600" s="1917"/>
      <c r="U600" s="1917"/>
      <c r="V600" s="1917"/>
      <c r="W600" s="346"/>
    </row>
    <row r="601" spans="1:23" x14ac:dyDescent="0.2">
      <c r="A601" s="436"/>
      <c r="B601" s="345"/>
      <c r="C601" s="442" t="str">
        <f t="shared" si="50"/>
        <v>Density</v>
      </c>
      <c r="D601" s="1917" t="str">
        <f t="shared" ca="1" si="52"/>
        <v>kg/m^3</v>
      </c>
      <c r="E601" s="1917">
        <f t="shared" ca="1" si="51"/>
        <v>905.24616445999914</v>
      </c>
      <c r="F601" s="1917">
        <f ca="1">E601</f>
        <v>905.24616445999914</v>
      </c>
      <c r="G601" s="481">
        <f t="shared" ca="1" si="53"/>
        <v>0</v>
      </c>
      <c r="H601" s="1917"/>
      <c r="I601" s="1917"/>
      <c r="J601" s="1917"/>
      <c r="K601" s="1917"/>
      <c r="L601" s="1917"/>
      <c r="M601" s="1917"/>
      <c r="N601" s="1917"/>
      <c r="O601" s="1917"/>
      <c r="P601" s="1917"/>
      <c r="Q601" s="1969"/>
      <c r="R601" s="1917"/>
      <c r="S601" s="1917"/>
      <c r="T601" s="1917"/>
      <c r="U601" s="1917"/>
      <c r="V601" s="1917"/>
      <c r="W601" s="346"/>
    </row>
    <row r="602" spans="1:23" x14ac:dyDescent="0.2">
      <c r="A602" s="436"/>
      <c r="B602" s="345"/>
      <c r="C602" s="442" t="str">
        <f t="shared" si="50"/>
        <v>Hydrogen</v>
      </c>
      <c r="D602" s="1917" t="str">
        <f t="shared" ca="1" si="52"/>
        <v>wt%</v>
      </c>
      <c r="E602" s="1917">
        <f t="shared" ca="1" si="51"/>
        <v>12.331915988948833</v>
      </c>
      <c r="F602" s="1917">
        <f ca="1">E602</f>
        <v>12.331915988948833</v>
      </c>
      <c r="G602" s="481">
        <f t="shared" ca="1" si="53"/>
        <v>0</v>
      </c>
      <c r="H602" s="1917"/>
      <c r="I602" s="1917"/>
      <c r="J602" s="1917"/>
      <c r="K602" s="1917"/>
      <c r="L602" s="1917"/>
      <c r="M602" s="1917"/>
      <c r="N602" s="1917"/>
      <c r="O602" s="1917"/>
      <c r="P602" s="1917"/>
      <c r="Q602" s="1969"/>
      <c r="R602" s="1917"/>
      <c r="S602" s="1917"/>
      <c r="T602" s="1917"/>
      <c r="U602" s="1917"/>
      <c r="V602" s="1917"/>
      <c r="W602" s="346"/>
    </row>
    <row r="603" spans="1:23" x14ac:dyDescent="0.2">
      <c r="A603" s="436"/>
      <c r="B603" s="345"/>
      <c r="C603" s="442" t="str">
        <f t="shared" si="50"/>
        <v>MCR</v>
      </c>
      <c r="D603" s="1917" t="str">
        <f t="shared" ca="1" si="52"/>
        <v>wt%</v>
      </c>
      <c r="E603" s="1917">
        <f t="shared" ref="E603" si="54">J55</f>
        <v>0</v>
      </c>
      <c r="F603" s="1917">
        <f t="shared" ref="F603" si="55">E603</f>
        <v>0</v>
      </c>
      <c r="G603" s="481">
        <f t="shared" ca="1" si="53"/>
        <v>0</v>
      </c>
      <c r="H603" s="1917"/>
      <c r="I603" s="1917"/>
      <c r="J603" s="1917"/>
      <c r="K603" s="1917"/>
      <c r="L603" s="1917"/>
      <c r="M603" s="1917"/>
      <c r="N603" s="1917"/>
      <c r="O603" s="1917"/>
      <c r="P603" s="1917"/>
      <c r="Q603" s="1969"/>
      <c r="R603" s="1917"/>
      <c r="S603" s="1917"/>
      <c r="T603" s="1917"/>
      <c r="U603" s="1917"/>
      <c r="V603" s="1917"/>
      <c r="W603" s="346"/>
    </row>
    <row r="604" spans="1:23" x14ac:dyDescent="0.2">
      <c r="A604" s="436"/>
      <c r="B604" s="345"/>
      <c r="C604" s="442" t="str">
        <f t="shared" si="50"/>
        <v>Characterization Factor</v>
      </c>
      <c r="D604" s="1917" t="str">
        <f t="shared" ca="1" si="52"/>
        <v xml:space="preserve">Kw (Approximate) </v>
      </c>
      <c r="E604" s="1917">
        <f ca="1">J56</f>
        <v>11.585905176337844</v>
      </c>
      <c r="F604" s="1917">
        <f ca="1">E604</f>
        <v>11.585905176337844</v>
      </c>
      <c r="G604" s="481">
        <f t="shared" ca="1" si="53"/>
        <v>0</v>
      </c>
      <c r="H604" s="1917"/>
      <c r="I604" s="1917"/>
      <c r="J604" s="1917"/>
      <c r="K604" s="1917"/>
      <c r="L604" s="1917"/>
      <c r="M604" s="1917"/>
      <c r="N604" s="1917"/>
      <c r="O604" s="1917"/>
      <c r="P604" s="1917"/>
      <c r="Q604" s="1969"/>
      <c r="R604" s="1917"/>
      <c r="S604" s="1917"/>
      <c r="T604" s="1917"/>
      <c r="U604" s="1917"/>
      <c r="V604" s="1917"/>
      <c r="W604" s="346"/>
    </row>
    <row r="605" spans="1:23" x14ac:dyDescent="0.2">
      <c r="A605" s="436"/>
      <c r="B605" s="345"/>
      <c r="C605" s="442"/>
      <c r="D605" s="1917"/>
      <c r="E605" s="1917"/>
      <c r="F605" s="1917"/>
      <c r="G605" s="337"/>
      <c r="H605" s="1917"/>
      <c r="I605" s="1917"/>
      <c r="J605" s="1917"/>
      <c r="K605" s="1917"/>
      <c r="L605" s="1917"/>
      <c r="M605" s="1917"/>
      <c r="N605" s="1917"/>
      <c r="O605" s="1917"/>
      <c r="P605" s="1917"/>
      <c r="Q605" s="1969"/>
      <c r="R605" s="1917"/>
      <c r="S605" s="1917"/>
      <c r="T605" s="1917"/>
      <c r="U605" s="1917"/>
      <c r="V605" s="1917"/>
      <c r="W605" s="346"/>
    </row>
    <row r="606" spans="1:23" x14ac:dyDescent="0.2">
      <c r="A606" s="436"/>
      <c r="B606" s="345"/>
      <c r="C606" s="450" t="s">
        <v>397</v>
      </c>
      <c r="D606" s="378"/>
      <c r="E606" s="378"/>
      <c r="F606" s="378"/>
      <c r="G606" s="379"/>
      <c r="H606" s="1917"/>
      <c r="I606" s="1917"/>
      <c r="J606" s="1917"/>
      <c r="K606" s="1917"/>
      <c r="L606" s="1917"/>
      <c r="M606" s="1917"/>
      <c r="N606" s="1917"/>
      <c r="O606" s="1917"/>
      <c r="P606" s="1917"/>
      <c r="Q606" s="1969"/>
      <c r="R606" s="1917"/>
      <c r="S606" s="1917"/>
      <c r="T606" s="1917"/>
      <c r="U606" s="1917"/>
      <c r="V606" s="1917"/>
      <c r="W606" s="346"/>
    </row>
    <row r="607" spans="1:23" x14ac:dyDescent="0.2">
      <c r="A607" s="436"/>
      <c r="B607" s="345"/>
      <c r="C607" s="442" t="s">
        <v>624</v>
      </c>
      <c r="D607" s="1917"/>
      <c r="E607" s="1917"/>
      <c r="F607" s="1917"/>
      <c r="G607" s="337"/>
      <c r="H607" s="1917"/>
      <c r="I607" s="1917"/>
      <c r="J607" s="1917"/>
      <c r="K607" s="1917"/>
      <c r="L607" s="1917"/>
      <c r="M607" s="1917"/>
      <c r="N607" s="1917"/>
      <c r="O607" s="1917"/>
      <c r="P607" s="1917"/>
      <c r="Q607" s="1969"/>
      <c r="R607" s="1917"/>
      <c r="S607" s="1917"/>
      <c r="T607" s="1917"/>
      <c r="U607" s="1917"/>
      <c r="V607" s="1917"/>
      <c r="W607" s="346"/>
    </row>
    <row r="608" spans="1:23" x14ac:dyDescent="0.2">
      <c r="A608" s="436"/>
      <c r="B608" s="345"/>
      <c r="C608" s="453" t="s">
        <v>410</v>
      </c>
      <c r="D608" s="1917">
        <f ca="1">IF(OR(CokingRefineryConfig=3,CokingRefineryConfig=6),CokingRefineryControls!C31,CokingRefineryControls!C35)</f>
        <v>1E-10</v>
      </c>
      <c r="E608" s="1917" t="s">
        <v>633</v>
      </c>
      <c r="F608" s="1917"/>
      <c r="G608" s="337"/>
      <c r="H608" s="1917"/>
      <c r="I608" s="1917"/>
      <c r="J608" s="1917"/>
      <c r="K608" s="1917"/>
      <c r="L608" s="1917"/>
      <c r="M608" s="1917"/>
      <c r="N608" s="1917"/>
      <c r="O608" s="1917"/>
      <c r="P608" s="1917"/>
      <c r="Q608" s="1969"/>
      <c r="R608" s="1917"/>
      <c r="S608" s="1917"/>
      <c r="T608" s="1917"/>
      <c r="U608" s="1917"/>
      <c r="V608" s="1917"/>
      <c r="W608" s="346"/>
    </row>
    <row r="609" spans="1:23" x14ac:dyDescent="0.2">
      <c r="A609" s="436"/>
      <c r="B609" s="345"/>
      <c r="C609" s="453" t="s">
        <v>411</v>
      </c>
      <c r="D609" s="1917">
        <f ca="1">100-D608</f>
        <v>99.999999999899998</v>
      </c>
      <c r="E609" s="1917" t="s">
        <v>633</v>
      </c>
      <c r="F609" s="1917"/>
      <c r="G609" s="337"/>
      <c r="H609" s="1917"/>
      <c r="I609" s="1917"/>
      <c r="J609" s="1917"/>
      <c r="K609" s="1917"/>
      <c r="L609" s="1917"/>
      <c r="M609" s="1917"/>
      <c r="N609" s="1917"/>
      <c r="O609" s="1917"/>
      <c r="P609" s="1917"/>
      <c r="Q609" s="1969"/>
      <c r="R609" s="1917"/>
      <c r="S609" s="1917"/>
      <c r="T609" s="1917"/>
      <c r="U609" s="1917"/>
      <c r="V609" s="1917"/>
      <c r="W609" s="346"/>
    </row>
    <row r="610" spans="1:23" x14ac:dyDescent="0.2">
      <c r="A610" s="436"/>
      <c r="B610" s="345"/>
      <c r="C610" s="453"/>
      <c r="D610" s="1917"/>
      <c r="E610" s="1917"/>
      <c r="F610" s="1917"/>
      <c r="G610" s="337"/>
      <c r="H610" s="1917"/>
      <c r="I610" s="1917"/>
      <c r="J610" s="1917"/>
      <c r="K610" s="1917"/>
      <c r="L610" s="1917"/>
      <c r="M610" s="1917"/>
      <c r="N610" s="1917"/>
      <c r="O610" s="1917"/>
      <c r="P610" s="1917"/>
      <c r="Q610" s="1969"/>
      <c r="R610" s="1917"/>
      <c r="S610" s="1917"/>
      <c r="T610" s="1917"/>
      <c r="U610" s="1917"/>
      <c r="V610" s="1917"/>
      <c r="W610" s="346"/>
    </row>
    <row r="611" spans="1:23" x14ac:dyDescent="0.2">
      <c r="A611" s="436"/>
      <c r="B611" s="345"/>
      <c r="C611" s="442" t="s">
        <v>568</v>
      </c>
      <c r="D611" s="1911" t="s">
        <v>623</v>
      </c>
      <c r="E611" s="1911" t="s">
        <v>564</v>
      </c>
      <c r="F611" s="1911" t="s">
        <v>398</v>
      </c>
      <c r="G611" s="1912" t="s">
        <v>399</v>
      </c>
      <c r="H611" s="1917"/>
      <c r="I611" s="1917"/>
      <c r="J611" s="1917"/>
      <c r="K611" s="1917"/>
      <c r="L611" s="1917"/>
      <c r="M611" s="1917"/>
      <c r="N611" s="1917"/>
      <c r="O611" s="1917"/>
      <c r="P611" s="1917"/>
      <c r="Q611" s="1969"/>
      <c r="R611" s="1917"/>
      <c r="S611" s="1917"/>
      <c r="T611" s="1917"/>
      <c r="U611" s="1917"/>
      <c r="V611" s="1917"/>
      <c r="W611" s="346"/>
    </row>
    <row r="612" spans="1:23" x14ac:dyDescent="0.2">
      <c r="A612" s="436"/>
      <c r="B612" s="345"/>
      <c r="C612" s="442" t="str">
        <f t="shared" ref="C612:D621" si="56">C595</f>
        <v>Vol Flow</v>
      </c>
      <c r="D612" s="1917" t="str">
        <f ca="1">D595</f>
        <v>bpd</v>
      </c>
      <c r="E612" s="1917">
        <f t="shared" ref="E612:E621" ca="1" si="57">G540</f>
        <v>1E-14</v>
      </c>
      <c r="F612" s="1917">
        <f ca="1">D608/100*E612</f>
        <v>1E-26</v>
      </c>
      <c r="G612" s="337">
        <f ca="1">D609/100*E612</f>
        <v>9.9999999999900004E-15</v>
      </c>
      <c r="H612" s="1917"/>
      <c r="I612" s="1917"/>
      <c r="J612" s="1917"/>
      <c r="K612" s="1917"/>
      <c r="L612" s="1917"/>
      <c r="M612" s="1917"/>
      <c r="N612" s="1917"/>
      <c r="O612" s="1917"/>
      <c r="P612" s="1917"/>
      <c r="Q612" s="1969"/>
      <c r="R612" s="1917"/>
      <c r="S612" s="1917"/>
      <c r="T612" s="1917"/>
      <c r="U612" s="1917"/>
      <c r="V612" s="1917"/>
      <c r="W612" s="346"/>
    </row>
    <row r="613" spans="1:23" x14ac:dyDescent="0.2">
      <c r="A613" s="436"/>
      <c r="B613" s="345"/>
      <c r="C613" s="442" t="str">
        <f t="shared" si="56"/>
        <v>Vol Flow</v>
      </c>
      <c r="D613" s="1917" t="str">
        <f ca="1">D596</f>
        <v>m^3/d</v>
      </c>
      <c r="E613" s="1917">
        <f t="shared" ca="1" si="57"/>
        <v>1.589873E-15</v>
      </c>
      <c r="F613" s="1917">
        <f ca="1">F612*'Energy &amp; Unit Conversions'!G80</f>
        <v>1.5898730000000001E-27</v>
      </c>
      <c r="G613" s="337">
        <f ca="1">G612*'Energy &amp; Unit Conversions'!G80</f>
        <v>1.5898729999984102E-15</v>
      </c>
      <c r="H613" s="1917"/>
      <c r="I613" s="1917"/>
      <c r="J613" s="1917"/>
      <c r="K613" s="1917"/>
      <c r="L613" s="1917"/>
      <c r="M613" s="1917"/>
      <c r="N613" s="1917"/>
      <c r="O613" s="1917"/>
      <c r="P613" s="1917"/>
      <c r="Q613" s="1969"/>
      <c r="R613" s="1917"/>
      <c r="S613" s="1917"/>
      <c r="T613" s="1917"/>
      <c r="U613" s="1917"/>
      <c r="V613" s="1917"/>
      <c r="W613" s="346"/>
    </row>
    <row r="614" spans="1:23" x14ac:dyDescent="0.2">
      <c r="A614" s="436"/>
      <c r="B614" s="345"/>
      <c r="C614" s="442" t="str">
        <f t="shared" si="56"/>
        <v>Mass Flow</v>
      </c>
      <c r="D614" s="1917" t="str">
        <f t="shared" si="56"/>
        <v>kg/d</v>
      </c>
      <c r="E614" s="1917">
        <f t="shared" ca="1" si="57"/>
        <v>1E-14</v>
      </c>
      <c r="F614" s="1917">
        <f ca="1">D608/100*E614</f>
        <v>1E-26</v>
      </c>
      <c r="G614" s="337">
        <f ca="1">D609/100*E614</f>
        <v>9.9999999999900004E-15</v>
      </c>
      <c r="H614" s="1917"/>
      <c r="I614" s="1917"/>
      <c r="J614" s="1917"/>
      <c r="K614" s="1917"/>
      <c r="L614" s="1917"/>
      <c r="M614" s="1917"/>
      <c r="N614" s="1917"/>
      <c r="O614" s="1917"/>
      <c r="P614" s="1917"/>
      <c r="Q614" s="1969"/>
      <c r="R614" s="1917"/>
      <c r="S614" s="1917"/>
      <c r="T614" s="1917"/>
      <c r="U614" s="1917"/>
      <c r="V614" s="1917"/>
      <c r="W614" s="346"/>
    </row>
    <row r="615" spans="1:23" x14ac:dyDescent="0.2">
      <c r="A615" s="436"/>
      <c r="B615" s="345"/>
      <c r="C615" s="442" t="str">
        <f t="shared" si="56"/>
        <v xml:space="preserve">Sulphur </v>
      </c>
      <c r="D615" s="1917" t="str">
        <f t="shared" ref="D615:D621" ca="1" si="58">D598</f>
        <v>wt%</v>
      </c>
      <c r="E615" s="1917">
        <f t="shared" ca="1" si="57"/>
        <v>0</v>
      </c>
      <c r="F615" s="1917">
        <f t="shared" ref="F615:F621" ca="1" si="59">E615</f>
        <v>0</v>
      </c>
      <c r="G615" s="337">
        <f t="shared" ref="G615:G621" ca="1" si="60">E615</f>
        <v>0</v>
      </c>
      <c r="H615" s="1917"/>
      <c r="I615" s="1917"/>
      <c r="J615" s="1917"/>
      <c r="K615" s="1917"/>
      <c r="L615" s="1917"/>
      <c r="M615" s="1917"/>
      <c r="N615" s="1917"/>
      <c r="O615" s="1917"/>
      <c r="P615" s="1917"/>
      <c r="Q615" s="1969"/>
      <c r="R615" s="1917"/>
      <c r="S615" s="1917"/>
      <c r="T615" s="1917"/>
      <c r="U615" s="1917"/>
      <c r="V615" s="1917"/>
      <c r="W615" s="346"/>
    </row>
    <row r="616" spans="1:23" x14ac:dyDescent="0.2">
      <c r="A616" s="436"/>
      <c r="B616" s="345"/>
      <c r="C616" s="442" t="str">
        <f t="shared" si="56"/>
        <v xml:space="preserve">Nitrogen </v>
      </c>
      <c r="D616" s="1917" t="str">
        <f t="shared" ca="1" si="58"/>
        <v>mass ppm</v>
      </c>
      <c r="E616" s="1917">
        <f t="shared" ca="1" si="57"/>
        <v>0</v>
      </c>
      <c r="F616" s="1917">
        <f t="shared" ca="1" si="59"/>
        <v>0</v>
      </c>
      <c r="G616" s="337">
        <f t="shared" ca="1" si="60"/>
        <v>0</v>
      </c>
      <c r="H616" s="1917"/>
      <c r="I616" s="1917"/>
      <c r="J616" s="1917"/>
      <c r="K616" s="1917"/>
      <c r="L616" s="1917"/>
      <c r="M616" s="1917"/>
      <c r="N616" s="1917"/>
      <c r="O616" s="1917"/>
      <c r="P616" s="1917"/>
      <c r="Q616" s="1969"/>
      <c r="R616" s="1917"/>
      <c r="S616" s="1917"/>
      <c r="T616" s="1917"/>
      <c r="U616" s="1917"/>
      <c r="V616" s="1917"/>
      <c r="W616" s="346"/>
    </row>
    <row r="617" spans="1:23" x14ac:dyDescent="0.2">
      <c r="A617" s="436"/>
      <c r="B617" s="345"/>
      <c r="C617" s="442" t="str">
        <f t="shared" si="56"/>
        <v xml:space="preserve">API gravity </v>
      </c>
      <c r="D617" s="1917" t="str">
        <f t="shared" ca="1" si="58"/>
        <v>oAPI</v>
      </c>
      <c r="E617" s="1917">
        <f t="shared" ca="1" si="57"/>
        <v>0</v>
      </c>
      <c r="F617" s="1917">
        <f t="shared" ca="1" si="59"/>
        <v>0</v>
      </c>
      <c r="G617" s="337">
        <f t="shared" ca="1" si="60"/>
        <v>0</v>
      </c>
      <c r="H617" s="1917"/>
      <c r="I617" s="1917"/>
      <c r="J617" s="1917"/>
      <c r="K617" s="1917"/>
      <c r="L617" s="1917"/>
      <c r="M617" s="1917"/>
      <c r="N617" s="1917"/>
      <c r="O617" s="1917"/>
      <c r="P617" s="1917"/>
      <c r="Q617" s="1969"/>
      <c r="R617" s="1917"/>
      <c r="S617" s="1917"/>
      <c r="T617" s="1917"/>
      <c r="U617" s="1917"/>
      <c r="V617" s="1917"/>
      <c r="W617" s="346"/>
    </row>
    <row r="618" spans="1:23" x14ac:dyDescent="0.2">
      <c r="A618" s="436"/>
      <c r="B618" s="345"/>
      <c r="C618" s="442" t="str">
        <f t="shared" si="56"/>
        <v>Density</v>
      </c>
      <c r="D618" s="1917" t="str">
        <f t="shared" ca="1" si="58"/>
        <v>kg/m^3</v>
      </c>
      <c r="E618" s="1917">
        <f t="shared" ca="1" si="57"/>
        <v>0</v>
      </c>
      <c r="F618" s="1917">
        <f t="shared" ca="1" si="59"/>
        <v>0</v>
      </c>
      <c r="G618" s="337">
        <f t="shared" ca="1" si="60"/>
        <v>0</v>
      </c>
      <c r="H618" s="1917"/>
      <c r="I618" s="1917"/>
      <c r="J618" s="1917"/>
      <c r="K618" s="1917"/>
      <c r="L618" s="1917"/>
      <c r="M618" s="1917"/>
      <c r="N618" s="1917"/>
      <c r="O618" s="1917"/>
      <c r="P618" s="1917"/>
      <c r="Q618" s="1969"/>
      <c r="R618" s="1917"/>
      <c r="S618" s="1917"/>
      <c r="T618" s="1917"/>
      <c r="U618" s="1917"/>
      <c r="V618" s="1917"/>
      <c r="W618" s="346"/>
    </row>
    <row r="619" spans="1:23" x14ac:dyDescent="0.2">
      <c r="A619" s="436"/>
      <c r="B619" s="345"/>
      <c r="C619" s="442" t="str">
        <f t="shared" si="56"/>
        <v>Hydrogen</v>
      </c>
      <c r="D619" s="1917" t="str">
        <f t="shared" ca="1" si="58"/>
        <v>wt%</v>
      </c>
      <c r="E619" s="1917">
        <f t="shared" ca="1" si="57"/>
        <v>0</v>
      </c>
      <c r="F619" s="1917">
        <f t="shared" ca="1" si="59"/>
        <v>0</v>
      </c>
      <c r="G619" s="337">
        <f t="shared" ca="1" si="60"/>
        <v>0</v>
      </c>
      <c r="H619" s="1917"/>
      <c r="I619" s="1917"/>
      <c r="J619" s="1917"/>
      <c r="K619" s="1917"/>
      <c r="L619" s="1917"/>
      <c r="M619" s="1917"/>
      <c r="N619" s="1917"/>
      <c r="O619" s="1917"/>
      <c r="P619" s="1917"/>
      <c r="Q619" s="1969"/>
      <c r="R619" s="1917"/>
      <c r="S619" s="1917"/>
      <c r="T619" s="1917"/>
      <c r="U619" s="1917"/>
      <c r="V619" s="1917"/>
      <c r="W619" s="346"/>
    </row>
    <row r="620" spans="1:23" x14ac:dyDescent="0.2">
      <c r="A620" s="436"/>
      <c r="B620" s="345"/>
      <c r="C620" s="442" t="str">
        <f t="shared" si="56"/>
        <v>MCR</v>
      </c>
      <c r="D620" s="1917" t="str">
        <f t="shared" ca="1" si="58"/>
        <v>wt%</v>
      </c>
      <c r="E620" s="1917" t="str">
        <f t="shared" ca="1" si="57"/>
        <v/>
      </c>
      <c r="F620" s="1917" t="str">
        <f t="shared" ca="1" si="59"/>
        <v/>
      </c>
      <c r="G620" s="337" t="str">
        <f t="shared" ca="1" si="60"/>
        <v/>
      </c>
      <c r="H620" s="1917"/>
      <c r="I620" s="1917"/>
      <c r="J620" s="1917"/>
      <c r="K620" s="1917"/>
      <c r="L620" s="1917"/>
      <c r="M620" s="1917"/>
      <c r="N620" s="1917"/>
      <c r="O620" s="1917"/>
      <c r="P620" s="1917"/>
      <c r="Q620" s="1969"/>
      <c r="R620" s="1917"/>
      <c r="S620" s="1917"/>
      <c r="T620" s="1917"/>
      <c r="U620" s="1917"/>
      <c r="V620" s="1917"/>
      <c r="W620" s="346"/>
    </row>
    <row r="621" spans="1:23" x14ac:dyDescent="0.2">
      <c r="A621" s="436"/>
      <c r="B621" s="345"/>
      <c r="C621" s="442" t="str">
        <f t="shared" si="56"/>
        <v>Characterization Factor</v>
      </c>
      <c r="D621" s="1917" t="str">
        <f t="shared" ca="1" si="58"/>
        <v xml:space="preserve">Kw (Approximate) </v>
      </c>
      <c r="E621" s="1917">
        <f t="shared" ca="1" si="57"/>
        <v>0</v>
      </c>
      <c r="F621" s="1917">
        <f t="shared" ca="1" si="59"/>
        <v>0</v>
      </c>
      <c r="G621" s="337">
        <f t="shared" ca="1" si="60"/>
        <v>0</v>
      </c>
      <c r="H621" s="1917"/>
      <c r="I621" s="1917"/>
      <c r="J621" s="1917"/>
      <c r="K621" s="1917"/>
      <c r="L621" s="1917"/>
      <c r="M621" s="1917"/>
      <c r="N621" s="1917"/>
      <c r="O621" s="1917"/>
      <c r="P621" s="1917"/>
      <c r="Q621" s="1969"/>
      <c r="R621" s="1917"/>
      <c r="S621" s="1917"/>
      <c r="T621" s="1917"/>
      <c r="U621" s="1917"/>
      <c r="V621" s="1917"/>
      <c r="W621" s="346"/>
    </row>
    <row r="622" spans="1:23" x14ac:dyDescent="0.2">
      <c r="A622" s="436"/>
      <c r="B622" s="345"/>
      <c r="C622" s="453"/>
      <c r="D622" s="1917"/>
      <c r="E622" s="1917"/>
      <c r="F622" s="1917"/>
      <c r="G622" s="337"/>
      <c r="H622" s="1917"/>
      <c r="I622" s="1917"/>
      <c r="J622" s="1917"/>
      <c r="K622" s="1917"/>
      <c r="L622" s="1917"/>
      <c r="M622" s="1917"/>
      <c r="N622" s="1917"/>
      <c r="O622" s="1917"/>
      <c r="P622" s="1917"/>
      <c r="Q622" s="1969"/>
      <c r="R622" s="1917"/>
      <c r="S622" s="1917"/>
      <c r="T622" s="1917"/>
      <c r="U622" s="1917"/>
      <c r="V622" s="1917"/>
      <c r="W622" s="346"/>
    </row>
    <row r="623" spans="1:23" x14ac:dyDescent="0.2">
      <c r="A623" s="436"/>
      <c r="B623" s="345"/>
      <c r="C623" s="450" t="s">
        <v>400</v>
      </c>
      <c r="D623" s="378"/>
      <c r="E623" s="378"/>
      <c r="F623" s="378"/>
      <c r="G623" s="379"/>
      <c r="H623" s="1917"/>
      <c r="I623" s="1917"/>
      <c r="J623" s="1917"/>
      <c r="K623" s="1917"/>
      <c r="L623" s="1917"/>
      <c r="M623" s="1917"/>
      <c r="N623" s="1917"/>
      <c r="O623" s="1917"/>
      <c r="P623" s="1917"/>
      <c r="Q623" s="1969"/>
      <c r="R623" s="1917"/>
      <c r="S623" s="1917"/>
      <c r="T623" s="1917"/>
      <c r="U623" s="1917"/>
      <c r="V623" s="1917"/>
      <c r="W623" s="346"/>
    </row>
    <row r="624" spans="1:23" x14ac:dyDescent="0.2">
      <c r="A624" s="436"/>
      <c r="B624" s="345"/>
      <c r="C624" s="442" t="s">
        <v>624</v>
      </c>
      <c r="D624" s="1917"/>
      <c r="E624" s="1917"/>
      <c r="F624" s="1917"/>
      <c r="G624" s="337"/>
      <c r="H624" s="1917"/>
      <c r="I624" s="1917"/>
      <c r="J624" s="1917"/>
      <c r="K624" s="1917"/>
      <c r="L624" s="1917"/>
      <c r="M624" s="1917"/>
      <c r="N624" s="1917"/>
      <c r="O624" s="1917"/>
      <c r="P624" s="1917"/>
      <c r="Q624" s="1969"/>
      <c r="R624" s="1917"/>
      <c r="S624" s="1917"/>
      <c r="T624" s="1917"/>
      <c r="U624" s="1917"/>
      <c r="V624" s="1917"/>
      <c r="W624" s="346"/>
    </row>
    <row r="625" spans="1:23" x14ac:dyDescent="0.2">
      <c r="A625" s="436"/>
      <c r="B625" s="345"/>
      <c r="C625" s="453" t="s">
        <v>412</v>
      </c>
      <c r="D625" s="1917">
        <f ca="1">IF(OR(CokingRefineryConfig=3,CokingRefineryConfig=6),CokingRefineryControls!C32,CokingRefineryControls!C36)</f>
        <v>1E-10</v>
      </c>
      <c r="E625" s="1917" t="s">
        <v>633</v>
      </c>
      <c r="F625" s="1917"/>
      <c r="G625" s="337"/>
      <c r="H625" s="1917"/>
      <c r="I625" s="1917"/>
      <c r="J625" s="1917"/>
      <c r="K625" s="1917"/>
      <c r="L625" s="1917"/>
      <c r="M625" s="1917"/>
      <c r="N625" s="1917"/>
      <c r="O625" s="1917"/>
      <c r="P625" s="1917"/>
      <c r="Q625" s="1969"/>
      <c r="R625" s="1917"/>
      <c r="S625" s="1917"/>
      <c r="T625" s="1917"/>
      <c r="U625" s="1917"/>
      <c r="V625" s="1917"/>
      <c r="W625" s="346"/>
    </row>
    <row r="626" spans="1:23" x14ac:dyDescent="0.2">
      <c r="A626" s="436"/>
      <c r="B626" s="345"/>
      <c r="C626" s="453" t="s">
        <v>413</v>
      </c>
      <c r="D626" s="1917">
        <f ca="1">100-D625</f>
        <v>99.999999999899998</v>
      </c>
      <c r="E626" s="1917" t="s">
        <v>633</v>
      </c>
      <c r="F626" s="1917"/>
      <c r="G626" s="337"/>
      <c r="H626" s="1917"/>
      <c r="I626" s="1917"/>
      <c r="J626" s="1917"/>
      <c r="K626" s="1917"/>
      <c r="L626" s="1917"/>
      <c r="M626" s="1917"/>
      <c r="N626" s="1917"/>
      <c r="O626" s="1917"/>
      <c r="P626" s="1917"/>
      <c r="Q626" s="1969"/>
      <c r="R626" s="1917"/>
      <c r="S626" s="1917"/>
      <c r="T626" s="1917"/>
      <c r="U626" s="1917"/>
      <c r="V626" s="1917"/>
      <c r="W626" s="346"/>
    </row>
    <row r="627" spans="1:23" x14ac:dyDescent="0.2">
      <c r="A627" s="436"/>
      <c r="B627" s="345"/>
      <c r="C627" s="453"/>
      <c r="D627" s="1917"/>
      <c r="E627" s="1917"/>
      <c r="F627" s="1917"/>
      <c r="G627" s="337"/>
      <c r="H627" s="1917"/>
      <c r="I627" s="1917"/>
      <c r="J627" s="1917"/>
      <c r="K627" s="1917"/>
      <c r="L627" s="1917"/>
      <c r="M627" s="1917"/>
      <c r="N627" s="1917"/>
      <c r="O627" s="1917"/>
      <c r="P627" s="1917"/>
      <c r="Q627" s="1969"/>
      <c r="R627" s="1917"/>
      <c r="S627" s="1917"/>
      <c r="T627" s="1917"/>
      <c r="U627" s="1917"/>
      <c r="V627" s="1917"/>
      <c r="W627" s="346"/>
    </row>
    <row r="628" spans="1:23" x14ac:dyDescent="0.2">
      <c r="A628" s="436"/>
      <c r="B628" s="345"/>
      <c r="C628" s="442" t="s">
        <v>568</v>
      </c>
      <c r="D628" s="1911" t="s">
        <v>623</v>
      </c>
      <c r="E628" s="1911" t="s">
        <v>401</v>
      </c>
      <c r="F628" s="1911" t="s">
        <v>402</v>
      </c>
      <c r="G628" s="1912" t="s">
        <v>403</v>
      </c>
      <c r="H628" s="1917"/>
      <c r="I628" s="1917"/>
      <c r="J628" s="1917"/>
      <c r="K628" s="1917"/>
      <c r="L628" s="1917"/>
      <c r="M628" s="1917"/>
      <c r="N628" s="1917"/>
      <c r="O628" s="1917"/>
      <c r="P628" s="1917"/>
      <c r="Q628" s="1969"/>
      <c r="R628" s="1917"/>
      <c r="S628" s="1917"/>
      <c r="T628" s="1917"/>
      <c r="U628" s="1917"/>
      <c r="V628" s="1917"/>
      <c r="W628" s="346"/>
    </row>
    <row r="629" spans="1:23" x14ac:dyDescent="0.2">
      <c r="A629" s="436"/>
      <c r="B629" s="345"/>
      <c r="C629" s="442" t="str">
        <f t="shared" ref="C629:D638" si="61">C612</f>
        <v>Vol Flow</v>
      </c>
      <c r="D629" s="1917" t="str">
        <f ca="1">D612</f>
        <v>bpd</v>
      </c>
      <c r="E629" s="1917">
        <f t="shared" ref="E629:E638" ca="1" si="62">H540</f>
        <v>1E-14</v>
      </c>
      <c r="F629" s="1917">
        <f ca="1">D625/100*E629</f>
        <v>1E-26</v>
      </c>
      <c r="G629" s="337">
        <f ca="1">D626/100*E629</f>
        <v>9.9999999999900004E-15</v>
      </c>
      <c r="H629" s="1917"/>
      <c r="I629" s="1917"/>
      <c r="J629" s="1917"/>
      <c r="K629" s="1917"/>
      <c r="L629" s="1917"/>
      <c r="M629" s="1917"/>
      <c r="N629" s="1917"/>
      <c r="O629" s="1917"/>
      <c r="P629" s="1917"/>
      <c r="Q629" s="1969"/>
      <c r="R629" s="1917"/>
      <c r="S629" s="1917"/>
      <c r="T629" s="1917"/>
      <c r="U629" s="1917"/>
      <c r="V629" s="1917"/>
      <c r="W629" s="346"/>
    </row>
    <row r="630" spans="1:23" x14ac:dyDescent="0.2">
      <c r="A630" s="436"/>
      <c r="B630" s="345"/>
      <c r="C630" s="442" t="str">
        <f t="shared" si="61"/>
        <v>Vol Flow</v>
      </c>
      <c r="D630" s="1917" t="str">
        <f ca="1">D613</f>
        <v>m^3/d</v>
      </c>
      <c r="E630" s="1917">
        <f t="shared" ca="1" si="62"/>
        <v>1.589873E-15</v>
      </c>
      <c r="F630" s="1917">
        <f ca="1">F629*'Energy &amp; Unit Conversions'!G80</f>
        <v>1.5898730000000001E-27</v>
      </c>
      <c r="G630" s="337">
        <f ca="1">G629*'Energy &amp; Unit Conversions'!G80</f>
        <v>1.5898729999984102E-15</v>
      </c>
      <c r="H630" s="1917"/>
      <c r="I630" s="1917"/>
      <c r="J630" s="1917"/>
      <c r="K630" s="1917"/>
      <c r="L630" s="1917"/>
      <c r="M630" s="1917"/>
      <c r="N630" s="1917"/>
      <c r="O630" s="1917"/>
      <c r="P630" s="1917"/>
      <c r="Q630" s="1969"/>
      <c r="R630" s="1917"/>
      <c r="S630" s="1917"/>
      <c r="T630" s="1917"/>
      <c r="U630" s="1917"/>
      <c r="V630" s="1917"/>
      <c r="W630" s="346"/>
    </row>
    <row r="631" spans="1:23" x14ac:dyDescent="0.2">
      <c r="A631" s="436"/>
      <c r="B631" s="345"/>
      <c r="C631" s="442" t="str">
        <f t="shared" si="61"/>
        <v>Mass Flow</v>
      </c>
      <c r="D631" s="1917" t="str">
        <f t="shared" si="61"/>
        <v>kg/d</v>
      </c>
      <c r="E631" s="1917">
        <f t="shared" ca="1" si="62"/>
        <v>1E-14</v>
      </c>
      <c r="F631" s="1917">
        <f ca="1">D625/100*E631</f>
        <v>1E-26</v>
      </c>
      <c r="G631" s="337">
        <f ca="1">D626/100*E631</f>
        <v>9.9999999999900004E-15</v>
      </c>
      <c r="H631" s="1917"/>
      <c r="I631" s="1917"/>
      <c r="J631" s="1917"/>
      <c r="K631" s="1917"/>
      <c r="L631" s="1917"/>
      <c r="M631" s="1917"/>
      <c r="N631" s="1917"/>
      <c r="O631" s="1917"/>
      <c r="P631" s="1917"/>
      <c r="Q631" s="1969"/>
      <c r="R631" s="1917"/>
      <c r="S631" s="1917"/>
      <c r="T631" s="1917"/>
      <c r="U631" s="1917"/>
      <c r="V631" s="1917"/>
      <c r="W631" s="346"/>
    </row>
    <row r="632" spans="1:23" x14ac:dyDescent="0.2">
      <c r="A632" s="436"/>
      <c r="B632" s="345"/>
      <c r="C632" s="442" t="str">
        <f t="shared" si="61"/>
        <v xml:space="preserve">Sulphur </v>
      </c>
      <c r="D632" s="1917" t="str">
        <f t="shared" ref="D632:D638" ca="1" si="63">D615</f>
        <v>wt%</v>
      </c>
      <c r="E632" s="1917">
        <f t="shared" ca="1" si="62"/>
        <v>0</v>
      </c>
      <c r="F632" s="1917">
        <f t="shared" ref="F632:F638" ca="1" si="64">E632</f>
        <v>0</v>
      </c>
      <c r="G632" s="337">
        <f t="shared" ref="G632:G638" ca="1" si="65">E632</f>
        <v>0</v>
      </c>
      <c r="H632" s="1917"/>
      <c r="I632" s="1917"/>
      <c r="J632" s="1917"/>
      <c r="K632" s="1917"/>
      <c r="L632" s="1917"/>
      <c r="M632" s="1917"/>
      <c r="N632" s="1917"/>
      <c r="O632" s="1917"/>
      <c r="P632" s="1917"/>
      <c r="Q632" s="1969"/>
      <c r="R632" s="1917"/>
      <c r="S632" s="1917"/>
      <c r="T632" s="1917"/>
      <c r="U632" s="1917"/>
      <c r="V632" s="1917"/>
      <c r="W632" s="346"/>
    </row>
    <row r="633" spans="1:23" x14ac:dyDescent="0.2">
      <c r="A633" s="436"/>
      <c r="B633" s="345"/>
      <c r="C633" s="442" t="str">
        <f t="shared" si="61"/>
        <v xml:space="preserve">Nitrogen </v>
      </c>
      <c r="D633" s="1917" t="str">
        <f t="shared" ca="1" si="63"/>
        <v>mass ppm</v>
      </c>
      <c r="E633" s="1917">
        <f t="shared" ca="1" si="62"/>
        <v>0</v>
      </c>
      <c r="F633" s="1917">
        <f t="shared" ca="1" si="64"/>
        <v>0</v>
      </c>
      <c r="G633" s="337">
        <f t="shared" ca="1" si="65"/>
        <v>0</v>
      </c>
      <c r="H633" s="1917"/>
      <c r="I633" s="1917"/>
      <c r="J633" s="1917"/>
      <c r="K633" s="1917"/>
      <c r="L633" s="1917"/>
      <c r="M633" s="1917"/>
      <c r="N633" s="1917"/>
      <c r="O633" s="1917"/>
      <c r="P633" s="1917"/>
      <c r="Q633" s="1969"/>
      <c r="R633" s="1917"/>
      <c r="S633" s="1917"/>
      <c r="T633" s="1917"/>
      <c r="U633" s="1917"/>
      <c r="V633" s="1917"/>
      <c r="W633" s="346"/>
    </row>
    <row r="634" spans="1:23" x14ac:dyDescent="0.2">
      <c r="A634" s="436"/>
      <c r="B634" s="345"/>
      <c r="C634" s="442" t="str">
        <f t="shared" si="61"/>
        <v xml:space="preserve">API gravity </v>
      </c>
      <c r="D634" s="1917" t="str">
        <f t="shared" ca="1" si="63"/>
        <v>oAPI</v>
      </c>
      <c r="E634" s="1917">
        <f t="shared" ca="1" si="62"/>
        <v>0</v>
      </c>
      <c r="F634" s="1917">
        <f t="shared" ca="1" si="64"/>
        <v>0</v>
      </c>
      <c r="G634" s="337">
        <f t="shared" ca="1" si="65"/>
        <v>0</v>
      </c>
      <c r="H634" s="1917"/>
      <c r="I634" s="1917"/>
      <c r="J634" s="1917"/>
      <c r="K634" s="1917"/>
      <c r="L634" s="1917"/>
      <c r="M634" s="1917"/>
      <c r="N634" s="1917"/>
      <c r="O634" s="1917"/>
      <c r="P634" s="1917"/>
      <c r="Q634" s="1969"/>
      <c r="R634" s="1917"/>
      <c r="S634" s="1917"/>
      <c r="T634" s="1917"/>
      <c r="U634" s="1917"/>
      <c r="V634" s="1917"/>
      <c r="W634" s="346"/>
    </row>
    <row r="635" spans="1:23" x14ac:dyDescent="0.2">
      <c r="A635" s="436"/>
      <c r="B635" s="345"/>
      <c r="C635" s="442" t="str">
        <f t="shared" si="61"/>
        <v>Density</v>
      </c>
      <c r="D635" s="1917" t="str">
        <f t="shared" ca="1" si="63"/>
        <v>kg/m^3</v>
      </c>
      <c r="E635" s="1917">
        <f t="shared" ca="1" si="62"/>
        <v>0</v>
      </c>
      <c r="F635" s="1917">
        <f t="shared" ca="1" si="64"/>
        <v>0</v>
      </c>
      <c r="G635" s="337">
        <f t="shared" ca="1" si="65"/>
        <v>0</v>
      </c>
      <c r="H635" s="1917"/>
      <c r="I635" s="1917"/>
      <c r="J635" s="1917"/>
      <c r="K635" s="1917"/>
      <c r="L635" s="1917"/>
      <c r="M635" s="1917"/>
      <c r="N635" s="1917"/>
      <c r="O635" s="1917"/>
      <c r="P635" s="1917"/>
      <c r="Q635" s="1969"/>
      <c r="R635" s="1917"/>
      <c r="S635" s="1917"/>
      <c r="T635" s="1917"/>
      <c r="U635" s="1917"/>
      <c r="V635" s="1917"/>
      <c r="W635" s="346"/>
    </row>
    <row r="636" spans="1:23" x14ac:dyDescent="0.2">
      <c r="A636" s="436"/>
      <c r="B636" s="345"/>
      <c r="C636" s="442" t="str">
        <f t="shared" si="61"/>
        <v>Hydrogen</v>
      </c>
      <c r="D636" s="1917" t="str">
        <f t="shared" ca="1" si="63"/>
        <v>wt%</v>
      </c>
      <c r="E636" s="1917">
        <f t="shared" ca="1" si="62"/>
        <v>0</v>
      </c>
      <c r="F636" s="1917">
        <f t="shared" ca="1" si="64"/>
        <v>0</v>
      </c>
      <c r="G636" s="337">
        <f t="shared" ca="1" si="65"/>
        <v>0</v>
      </c>
      <c r="H636" s="1917"/>
      <c r="I636" s="1917"/>
      <c r="J636" s="1917"/>
      <c r="K636" s="1917"/>
      <c r="L636" s="1917"/>
      <c r="M636" s="1917"/>
      <c r="N636" s="1917"/>
      <c r="O636" s="1917"/>
      <c r="P636" s="1917"/>
      <c r="Q636" s="1969"/>
      <c r="R636" s="1917"/>
      <c r="S636" s="1917"/>
      <c r="T636" s="1917"/>
      <c r="U636" s="1917"/>
      <c r="V636" s="1917"/>
      <c r="W636" s="346"/>
    </row>
    <row r="637" spans="1:23" x14ac:dyDescent="0.2">
      <c r="A637" s="436"/>
      <c r="B637" s="345"/>
      <c r="C637" s="442" t="str">
        <f t="shared" si="61"/>
        <v>MCR</v>
      </c>
      <c r="D637" s="1917" t="str">
        <f t="shared" ca="1" si="63"/>
        <v>wt%</v>
      </c>
      <c r="E637" s="1917" t="str">
        <f t="shared" ca="1" si="62"/>
        <v/>
      </c>
      <c r="F637" s="1917" t="str">
        <f t="shared" ca="1" si="64"/>
        <v/>
      </c>
      <c r="G637" s="337" t="str">
        <f t="shared" ca="1" si="65"/>
        <v/>
      </c>
      <c r="H637" s="1917"/>
      <c r="I637" s="1917"/>
      <c r="J637" s="1917"/>
      <c r="K637" s="1917"/>
      <c r="L637" s="1917"/>
      <c r="M637" s="1917"/>
      <c r="N637" s="1917"/>
      <c r="O637" s="1917"/>
      <c r="P637" s="1917"/>
      <c r="Q637" s="1969"/>
      <c r="R637" s="1917"/>
      <c r="S637" s="1917"/>
      <c r="T637" s="1917"/>
      <c r="U637" s="1917"/>
      <c r="V637" s="1917"/>
      <c r="W637" s="346"/>
    </row>
    <row r="638" spans="1:23" x14ac:dyDescent="0.2">
      <c r="A638" s="436"/>
      <c r="B638" s="345"/>
      <c r="C638" s="443" t="str">
        <f t="shared" si="61"/>
        <v>Characterization Factor</v>
      </c>
      <c r="D638" s="334" t="str">
        <f t="shared" ca="1" si="63"/>
        <v xml:space="preserve">Kw (Approximate) </v>
      </c>
      <c r="E638" s="334">
        <f t="shared" ca="1" si="62"/>
        <v>0</v>
      </c>
      <c r="F638" s="334">
        <f t="shared" ca="1" si="64"/>
        <v>0</v>
      </c>
      <c r="G638" s="338">
        <f t="shared" ca="1" si="65"/>
        <v>0</v>
      </c>
      <c r="H638" s="1917"/>
      <c r="I638" s="1917"/>
      <c r="J638" s="1917"/>
      <c r="K638" s="1917"/>
      <c r="L638" s="1917"/>
      <c r="M638" s="1917"/>
      <c r="N638" s="1917"/>
      <c r="O638" s="1917"/>
      <c r="P638" s="1917"/>
      <c r="Q638" s="1969"/>
      <c r="R638" s="1917"/>
      <c r="S638" s="1917"/>
      <c r="T638" s="1917"/>
      <c r="U638" s="1917"/>
      <c r="V638" s="1917"/>
      <c r="W638" s="346"/>
    </row>
    <row r="639" spans="1:23" x14ac:dyDescent="0.2">
      <c r="A639" s="436"/>
      <c r="B639" s="345"/>
      <c r="C639" s="437"/>
      <c r="D639" s="1917"/>
      <c r="E639" s="1917"/>
      <c r="F639" s="1917"/>
      <c r="G639" s="1917"/>
      <c r="H639" s="426"/>
      <c r="I639" s="426"/>
      <c r="J639" s="1917"/>
      <c r="K639" s="1917"/>
      <c r="L639" s="1917"/>
      <c r="M639" s="1917"/>
      <c r="N639" s="1917"/>
      <c r="O639" s="1917"/>
      <c r="P639" s="1917"/>
      <c r="Q639" s="1969"/>
      <c r="R639" s="1917"/>
      <c r="S639" s="1917"/>
      <c r="T639" s="1917"/>
      <c r="U639" s="1917"/>
      <c r="V639" s="1917"/>
      <c r="W639" s="346"/>
    </row>
    <row r="640" spans="1:23" ht="26.25" x14ac:dyDescent="0.2">
      <c r="A640" s="436"/>
      <c r="B640" s="347"/>
      <c r="C640" s="438" t="s">
        <v>1422</v>
      </c>
      <c r="D640" s="411"/>
      <c r="E640" s="411"/>
      <c r="F640" s="1917"/>
      <c r="G640" s="1917"/>
      <c r="H640" s="1917"/>
      <c r="I640" s="1917"/>
      <c r="J640" s="1917"/>
      <c r="K640" s="1917"/>
      <c r="L640" s="1917"/>
      <c r="M640" s="1917"/>
      <c r="N640" s="1917"/>
      <c r="O640" s="1917"/>
      <c r="P640" s="1917"/>
      <c r="Q640" s="1969"/>
      <c r="R640" s="1917"/>
      <c r="S640" s="1917"/>
      <c r="T640" s="1917"/>
      <c r="U640" s="1917"/>
      <c r="V640" s="1917"/>
      <c r="W640" s="346"/>
    </row>
    <row r="641" spans="1:23" ht="11.25" customHeight="1" x14ac:dyDescent="0.2">
      <c r="A641" s="436"/>
      <c r="B641" s="349"/>
      <c r="C641" s="439"/>
      <c r="D641" s="1917"/>
      <c r="E641" s="1917"/>
      <c r="F641" s="1917"/>
      <c r="G641" s="1917"/>
      <c r="H641" s="1917"/>
      <c r="I641" s="1917"/>
      <c r="J641" s="1917"/>
      <c r="K641" s="1917"/>
      <c r="L641" s="1917"/>
      <c r="M641" s="1917"/>
      <c r="N641" s="1917"/>
      <c r="O641" s="1917"/>
      <c r="P641" s="1917"/>
      <c r="Q641" s="1969"/>
      <c r="R641" s="1917"/>
      <c r="S641" s="1917"/>
      <c r="T641" s="1917"/>
      <c r="U641" s="1917"/>
      <c r="V641" s="1917"/>
      <c r="W641" s="346"/>
    </row>
    <row r="642" spans="1:23" ht="11.25" customHeight="1" x14ac:dyDescent="0.2">
      <c r="A642" s="436"/>
      <c r="B642" s="349"/>
      <c r="C642" s="440" t="s">
        <v>1309</v>
      </c>
      <c r="D642" s="1917"/>
      <c r="E642" s="1917"/>
      <c r="F642" s="1917"/>
      <c r="G642" s="1917"/>
      <c r="H642" s="1917"/>
      <c r="I642" s="1917"/>
      <c r="J642" s="1917"/>
      <c r="K642" s="1917"/>
      <c r="L642" s="1917"/>
      <c r="M642" s="1917"/>
      <c r="N642" s="1917"/>
      <c r="O642" s="1917"/>
      <c r="P642" s="1917"/>
      <c r="Q642" s="1969"/>
      <c r="R642" s="1917"/>
      <c r="S642" s="1917"/>
      <c r="T642" s="1917"/>
      <c r="U642" s="1917"/>
      <c r="V642" s="1917"/>
      <c r="W642" s="346"/>
    </row>
    <row r="643" spans="1:23" x14ac:dyDescent="0.2">
      <c r="A643" s="436"/>
      <c r="B643" s="345"/>
      <c r="C643" s="441" t="s">
        <v>568</v>
      </c>
      <c r="D643" s="1918" t="s">
        <v>623</v>
      </c>
      <c r="E643" s="1918" t="s">
        <v>417</v>
      </c>
      <c r="F643" s="1918" t="s">
        <v>564</v>
      </c>
      <c r="G643" s="1918" t="s">
        <v>401</v>
      </c>
      <c r="H643" s="356" t="s">
        <v>565</v>
      </c>
      <c r="I643" s="1918" t="s">
        <v>425</v>
      </c>
      <c r="J643" s="356" t="s">
        <v>479</v>
      </c>
      <c r="K643" s="1919" t="s">
        <v>368</v>
      </c>
      <c r="L643" s="1917"/>
      <c r="M643" s="359"/>
      <c r="N643" s="1917"/>
      <c r="O643" s="1917"/>
      <c r="P643" s="1917"/>
      <c r="Q643" s="1969"/>
      <c r="R643" s="1917"/>
      <c r="S643" s="1917"/>
      <c r="T643" s="1917"/>
      <c r="U643" s="1917"/>
      <c r="V643" s="1917"/>
      <c r="W643" s="346"/>
    </row>
    <row r="644" spans="1:23" x14ac:dyDescent="0.2">
      <c r="A644" s="436"/>
      <c r="B644" s="345"/>
      <c r="C644" s="442" t="str">
        <f t="shared" ref="C644:D653" si="66">C595</f>
        <v>Vol Flow</v>
      </c>
      <c r="D644" s="1917" t="str">
        <f ca="1">D595</f>
        <v>bpd</v>
      </c>
      <c r="E644" s="1917">
        <f t="shared" ref="E644:E651" ca="1" si="67">G595</f>
        <v>0</v>
      </c>
      <c r="F644" s="1917">
        <f t="shared" ref="F644:F653" ca="1" si="68">G612</f>
        <v>9.9999999999900004E-15</v>
      </c>
      <c r="G644" s="1917">
        <f t="shared" ref="G644:G653" ca="1" si="69">G629</f>
        <v>9.9999999999900004E-15</v>
      </c>
      <c r="H644" s="1917">
        <f t="shared" ref="H644:H651" ca="1" si="70">G906</f>
        <v>3.927535670360022E-17</v>
      </c>
      <c r="I644" s="1917">
        <f ca="1">SUM(E644:H644)</f>
        <v>2.00392753566836E-14</v>
      </c>
      <c r="J644" s="1952">
        <f ca="1">J645/'Energy &amp; Unit Conversions'!G80</f>
        <v>1.9865467468475886E-16</v>
      </c>
      <c r="K644" s="337"/>
      <c r="L644" s="1917"/>
      <c r="M644" s="359"/>
      <c r="N644" s="1917"/>
      <c r="O644" s="1917"/>
      <c r="P644" s="1917"/>
      <c r="Q644" s="1969"/>
      <c r="R644" s="1917"/>
      <c r="S644" s="1917"/>
      <c r="T644" s="1917"/>
      <c r="U644" s="1917"/>
      <c r="V644" s="1917"/>
      <c r="W644" s="346"/>
    </row>
    <row r="645" spans="1:23" x14ac:dyDescent="0.2">
      <c r="A645" s="436"/>
      <c r="B645" s="345"/>
      <c r="C645" s="442" t="str">
        <f t="shared" si="66"/>
        <v>Vol Flow</v>
      </c>
      <c r="D645" s="1917" t="str">
        <f ca="1">D596</f>
        <v>m^3/d</v>
      </c>
      <c r="E645" s="1917">
        <f t="shared" ca="1" si="67"/>
        <v>0</v>
      </c>
      <c r="F645" s="1917">
        <f t="shared" ca="1" si="68"/>
        <v>1.5898729999984102E-15</v>
      </c>
      <c r="G645" s="1917">
        <f t="shared" ca="1" si="69"/>
        <v>1.5898729999984102E-15</v>
      </c>
      <c r="H645" s="1917">
        <f t="shared" ca="1" si="70"/>
        <v>6.2442829188422996E-18</v>
      </c>
      <c r="I645" s="1917">
        <f ca="1">SUM(E645:H645)</f>
        <v>3.1859902829156629E-15</v>
      </c>
      <c r="J645" s="1917">
        <f ca="1">J646/J650</f>
        <v>3.1583570360508162E-17</v>
      </c>
      <c r="K645" s="337"/>
      <c r="L645" s="1917"/>
      <c r="M645" s="359"/>
      <c r="N645" s="1917"/>
      <c r="O645" s="1917"/>
      <c r="P645" s="1917"/>
      <c r="Q645" s="1969"/>
      <c r="R645" s="1917"/>
      <c r="S645" s="1917"/>
      <c r="T645" s="1917"/>
      <c r="U645" s="1917"/>
      <c r="V645" s="1917"/>
      <c r="W645" s="346"/>
    </row>
    <row r="646" spans="1:23" x14ac:dyDescent="0.2">
      <c r="A646" s="436"/>
      <c r="B646" s="345"/>
      <c r="C646" s="442" t="str">
        <f t="shared" si="66"/>
        <v>Mass Flow</v>
      </c>
      <c r="D646" s="1917" t="str">
        <f t="shared" si="66"/>
        <v>kg/d</v>
      </c>
      <c r="E646" s="1917">
        <f t="shared" ca="1" si="67"/>
        <v>0</v>
      </c>
      <c r="F646" s="1917">
        <f t="shared" ca="1" si="68"/>
        <v>9.9999999999900004E-15</v>
      </c>
      <c r="G646" s="1917">
        <f t="shared" ca="1" si="69"/>
        <v>9.9999999999900004E-15</v>
      </c>
      <c r="H646" s="1917">
        <f t="shared" ca="1" si="70"/>
        <v>5.8321602461985476E-15</v>
      </c>
      <c r="I646" s="1917">
        <f ca="1">SUM(E646:H646)</f>
        <v>2.5832160246178549E-14</v>
      </c>
      <c r="J646" s="1917">
        <f ca="1">D682</f>
        <v>2.8741049028062426E-14</v>
      </c>
      <c r="K646" s="337">
        <f ca="1">H657</f>
        <v>5.1664320492357097E-17</v>
      </c>
      <c r="L646" s="1917"/>
      <c r="M646" s="359"/>
      <c r="N646" s="1917"/>
      <c r="O646" s="1917"/>
      <c r="P646" s="1917"/>
      <c r="Q646" s="1969"/>
      <c r="R646" s="1917"/>
      <c r="S646" s="1917"/>
      <c r="T646" s="1917"/>
      <c r="U646" s="1917"/>
      <c r="V646" s="1917"/>
      <c r="W646" s="346"/>
    </row>
    <row r="647" spans="1:23" x14ac:dyDescent="0.2">
      <c r="A647" s="436"/>
      <c r="B647" s="345"/>
      <c r="C647" s="442" t="str">
        <f t="shared" si="66"/>
        <v xml:space="preserve">Sulphur </v>
      </c>
      <c r="D647" s="1917" t="str">
        <f t="shared" ref="D647:D653" ca="1" si="71">D598</f>
        <v>wt%</v>
      </c>
      <c r="E647" s="1917">
        <f t="shared" ca="1" si="67"/>
        <v>0</v>
      </c>
      <c r="F647" s="1917">
        <f t="shared" ca="1" si="68"/>
        <v>0</v>
      </c>
      <c r="G647" s="1917">
        <f t="shared" ca="1" si="69"/>
        <v>0</v>
      </c>
      <c r="H647" s="1917">
        <f t="shared" ca="1" si="70"/>
        <v>0</v>
      </c>
      <c r="I647" s="1917">
        <f ca="1">(E646*E647+F646*F647+G646*G647+H646*H647)/I646</f>
        <v>0</v>
      </c>
      <c r="J647" s="1917">
        <f ca="1">D674/J646*100</f>
        <v>0</v>
      </c>
      <c r="K647" s="337">
        <f ca="1">H659</f>
        <v>0</v>
      </c>
      <c r="L647" s="1917"/>
      <c r="M647" s="359"/>
      <c r="N647" s="1917"/>
      <c r="O647" s="1917"/>
      <c r="P647" s="1917"/>
      <c r="Q647" s="1969"/>
      <c r="R647" s="1917"/>
      <c r="S647" s="1917"/>
      <c r="T647" s="1917"/>
      <c r="U647" s="1917"/>
      <c r="V647" s="1917"/>
      <c r="W647" s="346"/>
    </row>
    <row r="648" spans="1:23" x14ac:dyDescent="0.2">
      <c r="A648" s="436"/>
      <c r="B648" s="345"/>
      <c r="C648" s="442" t="str">
        <f t="shared" si="66"/>
        <v xml:space="preserve">Nitrogen </v>
      </c>
      <c r="D648" s="1917" t="str">
        <f t="shared" ca="1" si="71"/>
        <v>mass ppm</v>
      </c>
      <c r="E648" s="1917">
        <f t="shared" ca="1" si="67"/>
        <v>0</v>
      </c>
      <c r="F648" s="1917">
        <f t="shared" ca="1" si="68"/>
        <v>0</v>
      </c>
      <c r="G648" s="1917">
        <f t="shared" ca="1" si="69"/>
        <v>0</v>
      </c>
      <c r="H648" s="1917">
        <f t="shared" ca="1" si="70"/>
        <v>0</v>
      </c>
      <c r="I648" s="1917">
        <f ca="1">(E646*E648+F646*F648+G646*G648+H646*H648)/I646</f>
        <v>0</v>
      </c>
      <c r="J648" s="914">
        <f>IF(CokingRefineryPFD!E37=1,0,I648)</f>
        <v>0</v>
      </c>
      <c r="K648" s="919">
        <v>0</v>
      </c>
      <c r="L648" s="1917"/>
      <c r="M648" s="359"/>
      <c r="N648" s="1917"/>
      <c r="O648" s="1917"/>
      <c r="P648" s="1917"/>
      <c r="Q648" s="1969"/>
      <c r="R648" s="1917"/>
      <c r="S648" s="1917"/>
      <c r="T648" s="1917"/>
      <c r="U648" s="1917"/>
      <c r="V648" s="1917"/>
      <c r="W648" s="346"/>
    </row>
    <row r="649" spans="1:23" x14ac:dyDescent="0.2">
      <c r="A649" s="436"/>
      <c r="B649" s="345"/>
      <c r="C649" s="442" t="str">
        <f t="shared" si="66"/>
        <v xml:space="preserve">API gravity </v>
      </c>
      <c r="D649" s="1917" t="str">
        <f t="shared" ca="1" si="71"/>
        <v>oAPI</v>
      </c>
      <c r="E649" s="1917">
        <f t="shared" ca="1" si="67"/>
        <v>0</v>
      </c>
      <c r="F649" s="1917">
        <f t="shared" ca="1" si="68"/>
        <v>0</v>
      </c>
      <c r="G649" s="1917">
        <f t="shared" ca="1" si="69"/>
        <v>0</v>
      </c>
      <c r="H649" s="1917">
        <f t="shared" ca="1" si="70"/>
        <v>19.998929336192617</v>
      </c>
      <c r="I649" s="1917">
        <f ca="1">141.5/(I650/1000)-131.5</f>
        <v>17320.297323038729</v>
      </c>
      <c r="J649" s="1917">
        <f>141.5/(J650/1000)-131.5</f>
        <v>23.994505494505489</v>
      </c>
      <c r="K649" s="337"/>
      <c r="L649" s="1917"/>
      <c r="M649" s="359"/>
      <c r="N649" s="1917"/>
      <c r="O649" s="1917"/>
      <c r="P649" s="1917"/>
      <c r="Q649" s="1969"/>
      <c r="R649" s="1917"/>
      <c r="S649" s="1917"/>
      <c r="T649" s="1917"/>
      <c r="U649" s="1917"/>
      <c r="V649" s="1917"/>
      <c r="W649" s="346"/>
    </row>
    <row r="650" spans="1:23" x14ac:dyDescent="0.2">
      <c r="A650" s="436"/>
      <c r="B650" s="345"/>
      <c r="C650" s="442" t="str">
        <f t="shared" si="66"/>
        <v>Density</v>
      </c>
      <c r="D650" s="1917" t="str">
        <f t="shared" ca="1" si="71"/>
        <v>kg/m^3</v>
      </c>
      <c r="E650" s="1917">
        <f t="shared" ca="1" si="67"/>
        <v>0</v>
      </c>
      <c r="F650" s="1917">
        <f t="shared" ca="1" si="68"/>
        <v>0</v>
      </c>
      <c r="G650" s="1917">
        <f t="shared" ca="1" si="69"/>
        <v>0</v>
      </c>
      <c r="H650" s="1917">
        <f t="shared" ca="1" si="70"/>
        <v>933.99999999997431</v>
      </c>
      <c r="I650" s="1917">
        <f ca="1">I646/I645</f>
        <v>8.1080474051346503</v>
      </c>
      <c r="J650" s="1917">
        <f>IF(CokingRefineryPFD!E37=1,910,I650)</f>
        <v>910</v>
      </c>
      <c r="K650" s="337"/>
      <c r="L650" s="1917"/>
      <c r="M650" s="1917"/>
      <c r="N650" s="1917"/>
      <c r="O650" s="1917"/>
      <c r="P650" s="1917"/>
      <c r="Q650" s="1969"/>
      <c r="R650" s="1917"/>
      <c r="S650" s="1917"/>
      <c r="T650" s="1917"/>
      <c r="U650" s="1917"/>
      <c r="V650" s="1917"/>
      <c r="W650" s="346"/>
    </row>
    <row r="651" spans="1:23" x14ac:dyDescent="0.2">
      <c r="A651" s="436"/>
      <c r="B651" s="345"/>
      <c r="C651" s="442" t="str">
        <f t="shared" si="66"/>
        <v>Hydrogen</v>
      </c>
      <c r="D651" s="1917" t="str">
        <f t="shared" ca="1" si="71"/>
        <v>wt%</v>
      </c>
      <c r="E651" s="1917">
        <f t="shared" ca="1" si="67"/>
        <v>0</v>
      </c>
      <c r="F651" s="1917">
        <f t="shared" ca="1" si="68"/>
        <v>0</v>
      </c>
      <c r="G651" s="1917">
        <f t="shared" ca="1" si="69"/>
        <v>0</v>
      </c>
      <c r="H651" s="1917">
        <f t="shared" ca="1" si="70"/>
        <v>11.000000000000131</v>
      </c>
      <c r="I651" s="1917">
        <f ca="1">(E651*E646+F651*F646+G651*G646+H651*H646)/I646</f>
        <v>2.483484234256998</v>
      </c>
      <c r="J651" s="914">
        <f ca="1">IF(CokingRefineryPFD!E37=1,IF(I651&lt;12.5,12.5,(I646*I651/100+D677+D676+D679+D686-H657*H658/100)/(I646+D676+D677+D679+D686-I646*(I648-J648)/1000000-H657)*100),I651)</f>
        <v>12.5</v>
      </c>
      <c r="K651" s="337">
        <f ca="1">H658</f>
        <v>18.309736506983477</v>
      </c>
      <c r="L651" s="1917"/>
      <c r="M651" s="1917"/>
      <c r="N651" s="1917"/>
      <c r="O651" s="1917"/>
      <c r="P651" s="1917"/>
      <c r="Q651" s="1969"/>
      <c r="R651" s="1917"/>
      <c r="S651" s="1917"/>
      <c r="T651" s="1917"/>
      <c r="U651" s="1917"/>
      <c r="V651" s="1917"/>
      <c r="W651" s="346"/>
    </row>
    <row r="652" spans="1:23" x14ac:dyDescent="0.2">
      <c r="A652" s="436"/>
      <c r="B652" s="345"/>
      <c r="C652" s="442" t="str">
        <f t="shared" si="66"/>
        <v>MCR</v>
      </c>
      <c r="D652" s="1917" t="str">
        <f t="shared" ca="1" si="71"/>
        <v>wt%</v>
      </c>
      <c r="E652" s="1917"/>
      <c r="F652" s="1917" t="str">
        <f t="shared" ca="1" si="68"/>
        <v/>
      </c>
      <c r="G652" s="1917" t="str">
        <f t="shared" ca="1" si="69"/>
        <v/>
      </c>
      <c r="H652" s="1917"/>
      <c r="I652" s="1917"/>
      <c r="J652" s="1917">
        <v>0</v>
      </c>
      <c r="K652" s="337"/>
      <c r="L652" s="1917"/>
      <c r="M652" s="1917"/>
      <c r="N652" s="1917"/>
      <c r="O652" s="1917"/>
      <c r="P652" s="1917"/>
      <c r="Q652" s="1969"/>
      <c r="R652" s="1917"/>
      <c r="S652" s="1917"/>
      <c r="T652" s="1917"/>
      <c r="U652" s="1917"/>
      <c r="V652" s="1917"/>
      <c r="W652" s="346"/>
    </row>
    <row r="653" spans="1:23" x14ac:dyDescent="0.2">
      <c r="A653" s="436"/>
      <c r="B653" s="345"/>
      <c r="C653" s="443" t="str">
        <f t="shared" si="66"/>
        <v>Characterization Factor</v>
      </c>
      <c r="D653" s="334" t="str">
        <f t="shared" ca="1" si="71"/>
        <v xml:space="preserve">Kw (Approximate) </v>
      </c>
      <c r="E653" s="334">
        <f ca="1">G604</f>
        <v>0</v>
      </c>
      <c r="F653" s="334">
        <f t="shared" ca="1" si="68"/>
        <v>0</v>
      </c>
      <c r="G653" s="334">
        <f t="shared" ca="1" si="69"/>
        <v>0</v>
      </c>
      <c r="H653" s="334"/>
      <c r="I653" s="334">
        <f ca="1">(E653*E646+F653*F646+G653*G646+H653*H646)/I646</f>
        <v>0</v>
      </c>
      <c r="J653" s="334"/>
      <c r="K653" s="338"/>
      <c r="L653" s="1917"/>
      <c r="M653" s="1917"/>
      <c r="N653" s="1917"/>
      <c r="O653" s="1917"/>
      <c r="P653" s="1917"/>
      <c r="Q653" s="1969"/>
      <c r="R653" s="1917"/>
      <c r="S653" s="1917"/>
      <c r="T653" s="1917"/>
      <c r="U653" s="1917"/>
      <c r="V653" s="1917"/>
      <c r="W653" s="346"/>
    </row>
    <row r="654" spans="1:23" ht="12" customHeight="1" x14ac:dyDescent="0.2">
      <c r="A654" s="436"/>
      <c r="B654" s="345"/>
      <c r="C654" s="444"/>
      <c r="D654" s="1917"/>
      <c r="E654" s="1917"/>
      <c r="F654" s="1917"/>
      <c r="G654" s="1917"/>
      <c r="H654" s="1917"/>
      <c r="I654" s="1917"/>
      <c r="J654" s="1917"/>
      <c r="K654" s="1917"/>
      <c r="L654" s="1917"/>
      <c r="M654" s="1917"/>
      <c r="N654" s="1917"/>
      <c r="O654" s="1917"/>
      <c r="P654" s="1917"/>
      <c r="Q654" s="1969"/>
      <c r="R654" s="1917"/>
      <c r="S654" s="1917"/>
      <c r="T654" s="1917"/>
      <c r="U654" s="1917"/>
      <c r="V654" s="1917"/>
      <c r="W654" s="346"/>
    </row>
    <row r="655" spans="1:23" x14ac:dyDescent="0.2">
      <c r="A655" s="436"/>
      <c r="B655" s="345"/>
      <c r="C655" s="440" t="s">
        <v>1303</v>
      </c>
      <c r="D655" s="360"/>
      <c r="E655" s="1917"/>
      <c r="F655" s="1917"/>
      <c r="G655" s="440" t="s">
        <v>1315</v>
      </c>
      <c r="H655" s="360"/>
      <c r="I655" s="1917"/>
      <c r="J655" s="1917"/>
      <c r="K655" s="1917"/>
      <c r="L655" s="1917"/>
      <c r="M655" s="1917"/>
      <c r="N655" s="1917"/>
      <c r="O655" s="1917"/>
      <c r="P655" s="1917"/>
      <c r="Q655" s="1969"/>
      <c r="R655" s="1917"/>
      <c r="S655" s="1917"/>
      <c r="T655" s="1917"/>
      <c r="U655" s="1917"/>
      <c r="V655" s="1917"/>
      <c r="W655" s="346"/>
    </row>
    <row r="656" spans="1:23" x14ac:dyDescent="0.2">
      <c r="A656" s="436"/>
      <c r="B656" s="345"/>
      <c r="C656" s="468"/>
      <c r="D656" s="382" t="s">
        <v>624</v>
      </c>
      <c r="E656" s="383" t="s">
        <v>623</v>
      </c>
      <c r="F656" s="1917"/>
      <c r="G656" s="449"/>
      <c r="H656" s="1918" t="s">
        <v>624</v>
      </c>
      <c r="I656" s="1919" t="s">
        <v>623</v>
      </c>
      <c r="K656" s="1917"/>
      <c r="L656" s="1917"/>
      <c r="M656" s="1917"/>
      <c r="N656" s="1917"/>
      <c r="O656" s="1917"/>
      <c r="P656" s="1917"/>
      <c r="Q656" s="1969"/>
      <c r="R656" s="1917"/>
      <c r="S656" s="1917"/>
      <c r="T656" s="1917"/>
      <c r="U656" s="1917"/>
      <c r="V656" s="1917"/>
      <c r="W656" s="346"/>
    </row>
    <row r="657" spans="1:23" x14ac:dyDescent="0.2">
      <c r="A657" s="436"/>
      <c r="B657" s="345"/>
      <c r="C657" s="484" t="s">
        <v>1780</v>
      </c>
      <c r="D657" s="485">
        <f ca="1">IF(OR(CokingRefineryConfig=0,CokingRefineryConfig=2,CokingRefineryConfig=5),0, D676+D677+D684+D686+D679)</f>
        <v>0</v>
      </c>
      <c r="E657" s="486" t="s">
        <v>622</v>
      </c>
      <c r="F657" s="1917"/>
      <c r="G657" s="442" t="s">
        <v>363</v>
      </c>
      <c r="H657" s="1917">
        <f ca="1">D688+D689</f>
        <v>5.1664320492357097E-17</v>
      </c>
      <c r="I657" s="337" t="s">
        <v>622</v>
      </c>
      <c r="J657" s="1917"/>
      <c r="K657" s="1917"/>
      <c r="L657" s="1917"/>
      <c r="M657" s="1917"/>
      <c r="N657" s="1917"/>
      <c r="O657" s="1917"/>
      <c r="P657" s="1917"/>
      <c r="Q657" s="1969"/>
      <c r="R657" s="1917"/>
      <c r="S657" s="1917"/>
      <c r="T657" s="1917"/>
      <c r="U657" s="1917"/>
      <c r="V657" s="1917"/>
      <c r="W657" s="346"/>
    </row>
    <row r="658" spans="1:23" x14ac:dyDescent="0.2">
      <c r="A658" s="436"/>
      <c r="B658" s="345"/>
      <c r="C658" s="461" t="s">
        <v>635</v>
      </c>
      <c r="D658" s="913">
        <f ca="1">IF(CokingRefineryPFD!E37=1,Constants!H135,0)</f>
        <v>107.01126379400964</v>
      </c>
      <c r="E658" s="339" t="s">
        <v>637</v>
      </c>
      <c r="F658" s="1917"/>
      <c r="G658" s="442" t="s">
        <v>377</v>
      </c>
      <c r="H658" s="1917">
        <f ca="1">(D687/100*D688+2/34*D689)/H657*100</f>
        <v>18.309736506983477</v>
      </c>
      <c r="I658" s="337" t="s">
        <v>579</v>
      </c>
      <c r="J658" s="1917"/>
      <c r="K658" s="1917"/>
      <c r="L658" s="1917"/>
      <c r="M658" s="1917"/>
      <c r="N658" s="1917"/>
      <c r="O658" s="1917"/>
      <c r="P658" s="1917"/>
      <c r="Q658" s="1969"/>
      <c r="R658" s="1917"/>
      <c r="S658" s="1917"/>
      <c r="T658" s="1917"/>
      <c r="U658" s="1917"/>
      <c r="V658" s="1917"/>
      <c r="W658" s="346"/>
    </row>
    <row r="659" spans="1:23" x14ac:dyDescent="0.2">
      <c r="A659" s="436"/>
      <c r="B659" s="345"/>
      <c r="C659" s="461" t="s">
        <v>634</v>
      </c>
      <c r="D659" s="1917">
        <f ca="1">D658*'Energy &amp; Unit Conversions'!G82/'Energy &amp; Unit Conversions'!G80</f>
        <v>18.031955899292875</v>
      </c>
      <c r="E659" s="339" t="s">
        <v>636</v>
      </c>
      <c r="F659" s="1917"/>
      <c r="G659" s="442" t="s">
        <v>378</v>
      </c>
      <c r="H659" s="1917">
        <f ca="1">32/34*D689/H657*100</f>
        <v>0</v>
      </c>
      <c r="I659" s="337" t="s">
        <v>579</v>
      </c>
      <c r="J659" s="1917"/>
      <c r="K659" s="1917"/>
      <c r="L659" s="1917"/>
      <c r="M659" s="1917"/>
      <c r="N659" s="1917"/>
      <c r="O659" s="1917"/>
      <c r="P659" s="1917"/>
      <c r="Q659" s="1969"/>
      <c r="R659" s="1917"/>
      <c r="S659" s="1917"/>
      <c r="T659" s="1917"/>
      <c r="U659" s="1917"/>
      <c r="V659" s="1917"/>
      <c r="W659" s="346"/>
    </row>
    <row r="660" spans="1:23" x14ac:dyDescent="0.2">
      <c r="A660" s="436"/>
      <c r="B660" s="345"/>
      <c r="C660" s="461" t="s">
        <v>542</v>
      </c>
      <c r="D660" s="1917">
        <f ca="1">D658*I644/1000</f>
        <v>2.1444281814348654E-15</v>
      </c>
      <c r="E660" s="339" t="s">
        <v>472</v>
      </c>
      <c r="F660" s="1917"/>
      <c r="G660" s="442" t="s">
        <v>379</v>
      </c>
      <c r="H660" s="1917">
        <f ca="1">H657/(D657+I646)*100</f>
        <v>0.2</v>
      </c>
      <c r="I660" s="337" t="s">
        <v>579</v>
      </c>
      <c r="J660" s="1917"/>
      <c r="K660" s="1917"/>
      <c r="L660" s="1917"/>
      <c r="M660" s="1917"/>
      <c r="N660" s="1917"/>
      <c r="O660" s="1917"/>
      <c r="P660" s="1917"/>
      <c r="Q660" s="1969"/>
      <c r="R660" s="1917"/>
      <c r="S660" s="1917"/>
      <c r="T660" s="1917"/>
      <c r="U660" s="1917"/>
      <c r="V660" s="1917"/>
      <c r="W660" s="346"/>
    </row>
    <row r="661" spans="1:23" x14ac:dyDescent="0.2">
      <c r="A661" s="436"/>
      <c r="B661" s="345"/>
      <c r="C661" s="471" t="s">
        <v>542</v>
      </c>
      <c r="D661" s="364">
        <f ca="1">D659*I645</f>
        <v>5.7449636277110857E-14</v>
      </c>
      <c r="E661" s="479" t="s">
        <v>628</v>
      </c>
      <c r="F661" s="1917"/>
      <c r="G661" s="443" t="s">
        <v>1092</v>
      </c>
      <c r="H661" s="917">
        <f>IF(CokingRefineryPFD!E37=1,0.002,1E-88)</f>
        <v>2E-3</v>
      </c>
      <c r="I661" s="338" t="s">
        <v>1091</v>
      </c>
      <c r="J661" s="1917"/>
      <c r="K661" s="1917"/>
      <c r="L661" s="1917"/>
      <c r="M661" s="1917"/>
      <c r="N661" s="1917"/>
      <c r="O661" s="1917"/>
      <c r="P661" s="1917"/>
      <c r="Q661" s="1969"/>
      <c r="R661" s="1917"/>
      <c r="S661" s="1917"/>
      <c r="T661" s="1917"/>
      <c r="U661" s="1917"/>
      <c r="V661" s="1917"/>
      <c r="W661" s="346"/>
    </row>
    <row r="662" spans="1:23" x14ac:dyDescent="0.2">
      <c r="A662" s="436"/>
      <c r="B662" s="345"/>
      <c r="C662" s="461" t="s">
        <v>631</v>
      </c>
      <c r="D662" s="1917">
        <f ca="1">D661*'Energy &amp; Unit Conversions'!P25*'Energy &amp; Unit Conversions'!G87</f>
        <v>2.4353286023747427E-17</v>
      </c>
      <c r="E662" s="339" t="s">
        <v>632</v>
      </c>
      <c r="F662" s="1917"/>
      <c r="G662" s="1911"/>
      <c r="H662" s="1917"/>
      <c r="I662" s="1917"/>
      <c r="J662" s="1917"/>
      <c r="K662" s="1917"/>
      <c r="L662" s="1917"/>
      <c r="M662" s="1917"/>
      <c r="N662" s="1917"/>
      <c r="O662" s="1917"/>
      <c r="P662" s="1917"/>
      <c r="Q662" s="1969"/>
      <c r="R662" s="1917"/>
      <c r="S662" s="1917"/>
      <c r="T662" s="1917"/>
      <c r="U662" s="1917"/>
      <c r="V662" s="1917"/>
      <c r="W662" s="346"/>
    </row>
    <row r="663" spans="1:23" x14ac:dyDescent="0.2">
      <c r="A663" s="436"/>
      <c r="B663" s="345"/>
      <c r="C663" s="461" t="s">
        <v>451</v>
      </c>
      <c r="D663" s="913">
        <f ca="1">IF(CokingRefineryPFD!E37=1,Constants!H136,0)</f>
        <v>2</v>
      </c>
      <c r="E663" s="339" t="s">
        <v>665</v>
      </c>
      <c r="F663" s="1922"/>
      <c r="G663" s="1917"/>
      <c r="H663" s="1917"/>
      <c r="I663" s="1917"/>
      <c r="J663" s="1917"/>
      <c r="K663" s="1917"/>
      <c r="L663" s="1917"/>
      <c r="M663" s="1917"/>
      <c r="N663" s="1917"/>
      <c r="O663" s="1917"/>
      <c r="P663" s="1917"/>
      <c r="Q663" s="1969"/>
      <c r="R663" s="1917"/>
      <c r="S663" s="1917"/>
      <c r="T663" s="1917"/>
      <c r="U663" s="1917"/>
      <c r="V663" s="1917"/>
      <c r="W663" s="346"/>
    </row>
    <row r="664" spans="1:23" x14ac:dyDescent="0.2">
      <c r="A664" s="436"/>
      <c r="B664" s="345"/>
      <c r="C664" s="461" t="s">
        <v>451</v>
      </c>
      <c r="D664" s="1917">
        <f ca="1">D663/'Energy &amp; Unit Conversions'!G80</f>
        <v>12.57962113955014</v>
      </c>
      <c r="E664" s="339" t="s">
        <v>629</v>
      </c>
      <c r="F664" s="1922"/>
      <c r="G664" s="1917"/>
      <c r="H664" s="1917"/>
      <c r="I664" s="1917"/>
      <c r="J664" s="1917"/>
      <c r="K664" s="1917"/>
      <c r="L664" s="1917"/>
      <c r="M664" s="1917"/>
      <c r="N664" s="1917"/>
      <c r="O664" s="1917"/>
      <c r="P664" s="1917"/>
      <c r="Q664" s="1969"/>
      <c r="R664" s="1917"/>
      <c r="S664" s="1917"/>
      <c r="T664" s="1917"/>
      <c r="U664" s="1917"/>
      <c r="V664" s="1917"/>
      <c r="W664" s="346"/>
    </row>
    <row r="665" spans="1:23" x14ac:dyDescent="0.2">
      <c r="A665" s="436"/>
      <c r="B665" s="345"/>
      <c r="C665" s="471" t="s">
        <v>452</v>
      </c>
      <c r="D665" s="364">
        <f ca="1">D664*I645</f>
        <v>4.0078550713367201E-14</v>
      </c>
      <c r="E665" s="479" t="s">
        <v>627</v>
      </c>
      <c r="F665" s="1917"/>
      <c r="G665" s="1917"/>
      <c r="H665" s="1917"/>
      <c r="I665" s="1917"/>
      <c r="J665" s="1917"/>
      <c r="K665" s="1917"/>
      <c r="L665" s="1917"/>
      <c r="M665" s="1917"/>
      <c r="N665" s="1917"/>
      <c r="O665" s="1917"/>
      <c r="P665" s="1917"/>
      <c r="Q665" s="1969"/>
      <c r="R665" s="1917"/>
      <c r="S665" s="1917"/>
      <c r="T665" s="1917"/>
      <c r="U665" s="1917"/>
      <c r="V665" s="1917"/>
      <c r="W665" s="346"/>
    </row>
    <row r="666" spans="1:23" x14ac:dyDescent="0.2">
      <c r="A666" s="436"/>
      <c r="B666" s="345"/>
      <c r="C666" s="461" t="s">
        <v>485</v>
      </c>
      <c r="D666" s="913">
        <f ca="1">IF(CokingRefineryPFD!E37=1,Constants!H138,0)</f>
        <v>6</v>
      </c>
      <c r="E666" s="339" t="s">
        <v>496</v>
      </c>
      <c r="F666" s="1917"/>
      <c r="G666" s="1917"/>
      <c r="H666" s="1917"/>
      <c r="I666" s="1917"/>
      <c r="J666" s="1917"/>
      <c r="K666" s="1917"/>
      <c r="L666" s="1917"/>
      <c r="M666" s="1917"/>
      <c r="N666" s="1917"/>
      <c r="O666" s="1917"/>
      <c r="P666" s="1917"/>
      <c r="Q666" s="1969"/>
      <c r="R666" s="1917"/>
      <c r="S666" s="1917"/>
      <c r="T666" s="1917"/>
      <c r="U666" s="1917"/>
      <c r="V666" s="1917"/>
      <c r="W666" s="346"/>
    </row>
    <row r="667" spans="1:23" x14ac:dyDescent="0.2">
      <c r="A667" s="436"/>
      <c r="B667" s="345"/>
      <c r="C667" s="461" t="s">
        <v>485</v>
      </c>
      <c r="D667" s="1917">
        <f ca="1">D666*'Energy &amp; Unit Conversions'!G79/'Energy &amp; Unit Conversions'!G80</f>
        <v>17.11806049917195</v>
      </c>
      <c r="E667" s="339" t="s">
        <v>581</v>
      </c>
      <c r="F667" s="1917"/>
      <c r="G667" s="1917"/>
      <c r="H667" s="1917"/>
      <c r="I667" s="1917"/>
      <c r="J667" s="1917"/>
      <c r="K667" s="1917"/>
      <c r="L667" s="1917"/>
      <c r="M667" s="1917"/>
      <c r="N667" s="1917"/>
      <c r="O667" s="1917"/>
      <c r="P667" s="1917"/>
      <c r="Q667" s="1969"/>
      <c r="R667" s="1917"/>
      <c r="S667" s="1917"/>
      <c r="T667" s="1917"/>
      <c r="U667" s="1917"/>
      <c r="V667" s="1917"/>
      <c r="W667" s="346"/>
    </row>
    <row r="668" spans="1:23" x14ac:dyDescent="0.2">
      <c r="A668" s="436"/>
      <c r="B668" s="345"/>
      <c r="C668" s="469" t="s">
        <v>485</v>
      </c>
      <c r="D668" s="408">
        <f ca="1">D667*I645</f>
        <v>5.4537974412724275E-14</v>
      </c>
      <c r="E668" s="409" t="s">
        <v>622</v>
      </c>
      <c r="F668" s="1917"/>
      <c r="G668" s="1917"/>
      <c r="H668" s="1917"/>
      <c r="I668" s="1917"/>
      <c r="J668" s="1917"/>
      <c r="K668" s="1917"/>
      <c r="L668" s="1917"/>
      <c r="M668" s="1917"/>
      <c r="N668" s="1917"/>
      <c r="O668" s="1917"/>
      <c r="P668" s="1917"/>
      <c r="Q668" s="1969"/>
      <c r="R668" s="1917"/>
      <c r="S668" s="1917"/>
      <c r="T668" s="1917"/>
      <c r="U668" s="1917"/>
      <c r="V668" s="1917"/>
      <c r="W668" s="346"/>
    </row>
    <row r="669" spans="1:23" x14ac:dyDescent="0.2">
      <c r="A669" s="436"/>
      <c r="B669" s="345"/>
      <c r="C669" s="437"/>
      <c r="D669" s="1917"/>
      <c r="E669" s="1917"/>
      <c r="F669" s="1917"/>
      <c r="G669" s="1917"/>
      <c r="H669" s="1917"/>
      <c r="I669" s="1917"/>
      <c r="J669" s="1917"/>
      <c r="K669" s="1917"/>
      <c r="L669" s="1917"/>
      <c r="M669" s="1917"/>
      <c r="N669" s="1917"/>
      <c r="O669" s="1917"/>
      <c r="P669" s="1917"/>
      <c r="Q669" s="1969"/>
      <c r="R669" s="1917"/>
      <c r="S669" s="1917"/>
      <c r="T669" s="1917"/>
      <c r="U669" s="1917"/>
      <c r="V669" s="1917"/>
      <c r="W669" s="346"/>
    </row>
    <row r="670" spans="1:23" x14ac:dyDescent="0.2">
      <c r="A670" s="436"/>
      <c r="B670" s="345"/>
      <c r="C670" s="440" t="s">
        <v>387</v>
      </c>
      <c r="D670" s="1911"/>
      <c r="E670" s="1910"/>
      <c r="F670" s="1917"/>
      <c r="G670" s="1917"/>
      <c r="H670" s="1917"/>
      <c r="J670" s="1917"/>
      <c r="K670" s="1917"/>
      <c r="L670" s="1917"/>
      <c r="M670" s="1917"/>
      <c r="N670" s="1917"/>
      <c r="O670" s="1917"/>
      <c r="P670" s="1917"/>
      <c r="Q670" s="1969"/>
      <c r="R670" s="1917"/>
      <c r="S670" s="1917"/>
      <c r="T670" s="1917"/>
      <c r="U670" s="1917"/>
      <c r="V670" s="1917"/>
      <c r="W670" s="346"/>
    </row>
    <row r="671" spans="1:23" x14ac:dyDescent="0.2">
      <c r="A671" s="436"/>
      <c r="B671" s="345"/>
      <c r="C671" s="441" t="s">
        <v>1389</v>
      </c>
      <c r="D671" s="916">
        <f>IF(CokingRefineryPFD!E37=1,0.999,0)</f>
        <v>0.999</v>
      </c>
      <c r="E671" s="369" t="s">
        <v>579</v>
      </c>
      <c r="F671" s="1917"/>
      <c r="G671" s="1917"/>
      <c r="H671" s="1917"/>
      <c r="I671" s="1917"/>
      <c r="J671" s="1917"/>
      <c r="K671" s="1917"/>
      <c r="L671" s="1917"/>
      <c r="M671" s="1917"/>
      <c r="N671" s="1917"/>
      <c r="O671" s="1917"/>
      <c r="P671" s="1917"/>
      <c r="Q671" s="1969"/>
      <c r="R671" s="1917"/>
      <c r="S671" s="1917"/>
      <c r="T671" s="1917"/>
      <c r="U671" s="1917"/>
      <c r="V671" s="1917"/>
      <c r="W671" s="346"/>
    </row>
    <row r="672" spans="1:23" x14ac:dyDescent="0.2">
      <c r="A672" s="436"/>
      <c r="B672" s="345"/>
      <c r="C672" s="442" t="s">
        <v>1443</v>
      </c>
      <c r="D672" s="1917">
        <f ca="1">I646*I647/100</f>
        <v>0</v>
      </c>
      <c r="E672" s="337" t="s">
        <v>59</v>
      </c>
      <c r="F672" s="1917"/>
      <c r="G672" s="1917"/>
      <c r="H672" s="1917"/>
      <c r="I672" s="1917"/>
      <c r="J672" s="1917"/>
      <c r="K672" s="1917"/>
      <c r="L672" s="1917"/>
      <c r="M672" s="1917"/>
      <c r="N672" s="1917"/>
      <c r="O672" s="1917"/>
      <c r="P672" s="1917"/>
      <c r="Q672" s="1969"/>
      <c r="R672" s="1917"/>
      <c r="S672" s="1917"/>
      <c r="T672" s="1917"/>
      <c r="U672" s="1917"/>
      <c r="V672" s="1917"/>
      <c r="W672" s="346"/>
    </row>
    <row r="673" spans="1:23" x14ac:dyDescent="0.2">
      <c r="A673" s="436"/>
      <c r="B673" s="345"/>
      <c r="C673" s="442" t="s">
        <v>1444</v>
      </c>
      <c r="D673" s="1917">
        <f ca="1">D672*D671</f>
        <v>0</v>
      </c>
      <c r="E673" s="337" t="s">
        <v>59</v>
      </c>
      <c r="F673" s="1917"/>
      <c r="G673" s="1917"/>
      <c r="H673" s="1917"/>
      <c r="I673" s="1917"/>
      <c r="J673" s="1917"/>
      <c r="K673" s="1917"/>
      <c r="L673" s="1917"/>
      <c r="M673" s="1917"/>
      <c r="N673" s="1917"/>
      <c r="O673" s="1917"/>
      <c r="P673" s="1917"/>
      <c r="Q673" s="1969"/>
      <c r="R673" s="1917"/>
      <c r="S673" s="1917"/>
      <c r="T673" s="1917"/>
      <c r="U673" s="1917"/>
      <c r="V673" s="1917"/>
      <c r="W673" s="346"/>
    </row>
    <row r="674" spans="1:23" x14ac:dyDescent="0.2">
      <c r="A674" s="436"/>
      <c r="B674" s="345"/>
      <c r="C674" s="442" t="s">
        <v>1447</v>
      </c>
      <c r="D674" s="1917">
        <f ca="1">D672-D673</f>
        <v>0</v>
      </c>
      <c r="E674" s="337" t="s">
        <v>59</v>
      </c>
      <c r="F674" s="1917"/>
      <c r="G674" s="1917"/>
      <c r="H674" s="1917"/>
      <c r="I674" s="1917"/>
      <c r="J674" s="1917"/>
      <c r="K674" s="1917"/>
      <c r="L674" s="1917"/>
      <c r="M674" s="1917"/>
      <c r="N674" s="1917"/>
      <c r="O674" s="1917"/>
      <c r="P674" s="1917"/>
      <c r="Q674" s="1969"/>
      <c r="R674" s="1917"/>
      <c r="S674" s="1917"/>
      <c r="T674" s="1917"/>
      <c r="U674" s="1917"/>
      <c r="V674" s="1917"/>
      <c r="W674" s="346"/>
    </row>
    <row r="675" spans="1:23" x14ac:dyDescent="0.2">
      <c r="A675" s="436"/>
      <c r="B675" s="345"/>
      <c r="C675" s="442" t="s">
        <v>60</v>
      </c>
      <c r="D675" s="1917">
        <f ca="1">D672-D674</f>
        <v>0</v>
      </c>
      <c r="E675" s="337" t="s">
        <v>59</v>
      </c>
      <c r="F675" s="1917"/>
      <c r="G675" s="1917"/>
      <c r="H675" s="1917"/>
      <c r="I675" s="1917"/>
      <c r="J675" s="1917"/>
      <c r="K675" s="1917"/>
      <c r="L675" s="1917"/>
      <c r="M675" s="1917"/>
      <c r="N675" s="1917"/>
      <c r="O675" s="1917"/>
      <c r="P675" s="1917"/>
      <c r="Q675" s="1969"/>
      <c r="R675" s="1917"/>
      <c r="S675" s="1917"/>
      <c r="T675" s="1917"/>
      <c r="U675" s="1917"/>
      <c r="V675" s="1917"/>
      <c r="W675" s="346"/>
    </row>
    <row r="676" spans="1:23" x14ac:dyDescent="0.2">
      <c r="A676" s="436"/>
      <c r="B676" s="345"/>
      <c r="C676" s="442" t="s">
        <v>1395</v>
      </c>
      <c r="D676" s="1917">
        <f ca="1">2/32*D675</f>
        <v>0</v>
      </c>
      <c r="E676" s="337" t="s">
        <v>622</v>
      </c>
      <c r="F676" s="1917"/>
      <c r="G676" s="1917"/>
      <c r="H676" s="1917"/>
      <c r="I676" s="1917"/>
      <c r="J676" s="1917"/>
      <c r="K676" s="1917"/>
      <c r="L676" s="1917"/>
      <c r="M676" s="1917"/>
      <c r="N676" s="1917"/>
      <c r="O676" s="1917"/>
      <c r="P676" s="1917"/>
      <c r="Q676" s="1969"/>
      <c r="R676" s="1917"/>
      <c r="S676" s="1917"/>
      <c r="T676" s="1917"/>
      <c r="U676" s="1917"/>
      <c r="V676" s="1917"/>
      <c r="W676" s="346"/>
    </row>
    <row r="677" spans="1:23" x14ac:dyDescent="0.2">
      <c r="A677" s="436"/>
      <c r="B677" s="345"/>
      <c r="C677" s="442" t="s">
        <v>1446</v>
      </c>
      <c r="D677" s="1917">
        <f ca="1">D676</f>
        <v>0</v>
      </c>
      <c r="E677" s="337" t="s">
        <v>622</v>
      </c>
      <c r="F677" s="1917"/>
      <c r="G677" s="1917"/>
      <c r="H677" s="1917"/>
      <c r="I677" s="1917"/>
      <c r="J677" s="1917"/>
      <c r="K677" s="1917"/>
      <c r="L677" s="1917"/>
      <c r="M677" s="1917"/>
      <c r="N677" s="1917"/>
      <c r="O677" s="1917"/>
      <c r="P677" s="1917"/>
      <c r="Q677" s="1969"/>
      <c r="R677" s="1917"/>
      <c r="S677" s="1917"/>
      <c r="T677" s="1917"/>
      <c r="U677" s="1917"/>
      <c r="V677" s="1917"/>
      <c r="W677" s="346"/>
    </row>
    <row r="678" spans="1:23" x14ac:dyDescent="0.2">
      <c r="A678" s="436"/>
      <c r="B678" s="345"/>
      <c r="C678" s="442" t="s">
        <v>1393</v>
      </c>
      <c r="D678" s="1953" t="e">
        <f ca="1">IF(OR(I645&lt;&gt;0,(I647-J647)&lt;&gt;0),((D677+D676)*'Energy &amp; Unit Conversions'!$E$93/'Energy &amp; Unit Conversions'!$E$26*'Energy &amp; Unit Conversions'!$G$82/I645/(I647-J647)),0)</f>
        <v>#DIV/0!</v>
      </c>
      <c r="E678" s="337" t="s">
        <v>904</v>
      </c>
      <c r="F678" s="1917"/>
      <c r="G678" s="1917"/>
      <c r="H678" s="1917"/>
      <c r="I678" s="1917"/>
      <c r="J678" s="1917"/>
      <c r="K678" s="1917"/>
      <c r="L678" s="1917"/>
      <c r="M678" s="1917"/>
      <c r="N678" s="1917"/>
      <c r="O678" s="1917"/>
      <c r="P678" s="1917"/>
      <c r="Q678" s="1969"/>
      <c r="R678" s="1917"/>
      <c r="S678" s="1917"/>
      <c r="T678" s="1917"/>
      <c r="U678" s="1917"/>
      <c r="V678" s="1917"/>
      <c r="W678" s="346"/>
    </row>
    <row r="679" spans="1:23" x14ac:dyDescent="0.2">
      <c r="A679" s="436"/>
      <c r="B679" s="345"/>
      <c r="C679" s="442" t="s">
        <v>905</v>
      </c>
      <c r="D679" s="1953">
        <f ca="1">D680*I645*(I648-J648)/10000/'Energy &amp; Unit Conversions'!$G$82*'Energy &amp; Unit Conversions'!$E$26/'Energy &amp; Unit Conversions'!$E$93</f>
        <v>0</v>
      </c>
      <c r="E679" s="337" t="s">
        <v>622</v>
      </c>
      <c r="F679" s="1917"/>
      <c r="G679" s="1917"/>
      <c r="H679" s="1917"/>
      <c r="I679" s="1917"/>
      <c r="J679" s="1917"/>
      <c r="K679" s="1917"/>
      <c r="L679" s="1917"/>
      <c r="M679" s="1917"/>
      <c r="N679" s="1917"/>
      <c r="O679" s="1917"/>
      <c r="P679" s="1917"/>
      <c r="Q679" s="1969"/>
      <c r="R679" s="1917"/>
      <c r="S679" s="1917"/>
      <c r="T679" s="1917"/>
      <c r="U679" s="1917"/>
      <c r="V679" s="1917"/>
      <c r="W679" s="346"/>
    </row>
    <row r="680" spans="1:23" x14ac:dyDescent="0.2">
      <c r="A680" s="436"/>
      <c r="B680" s="345"/>
      <c r="C680" s="442" t="s">
        <v>905</v>
      </c>
      <c r="D680" s="914">
        <f>IF(CokingRefineryPFD!E37=1,59,0)</f>
        <v>59</v>
      </c>
      <c r="E680" s="337" t="s">
        <v>904</v>
      </c>
      <c r="F680" s="1917"/>
      <c r="G680" s="1917"/>
      <c r="H680" s="1917"/>
      <c r="I680" s="1917"/>
      <c r="J680" s="1917"/>
      <c r="K680" s="1917"/>
      <c r="L680" s="1917"/>
      <c r="M680" s="1917"/>
      <c r="N680" s="1917"/>
      <c r="O680" s="1917"/>
      <c r="P680" s="1917"/>
      <c r="Q680" s="1969"/>
      <c r="R680" s="1917"/>
      <c r="S680" s="1917"/>
      <c r="T680" s="1917"/>
      <c r="U680" s="1917"/>
      <c r="V680" s="1917"/>
      <c r="W680" s="346"/>
    </row>
    <row r="681" spans="1:23" ht="15" x14ac:dyDescent="0.2">
      <c r="A681" s="436"/>
      <c r="B681" s="345"/>
      <c r="C681" s="442" t="s">
        <v>1381</v>
      </c>
      <c r="D681" s="1917">
        <f ca="1">I651/100*I646</f>
        <v>6.4153762708184801E-16</v>
      </c>
      <c r="E681" s="337" t="s">
        <v>622</v>
      </c>
      <c r="F681" s="1917"/>
      <c r="G681" s="1917"/>
      <c r="H681" s="1917"/>
      <c r="I681" s="1917"/>
      <c r="J681" s="1917"/>
      <c r="K681" s="1917"/>
      <c r="L681" s="1917"/>
      <c r="M681" s="1917"/>
      <c r="N681" s="1917"/>
      <c r="O681" s="1917"/>
      <c r="P681" s="1917"/>
      <c r="Q681" s="1969"/>
      <c r="R681" s="1917"/>
      <c r="S681" s="1917"/>
      <c r="T681" s="1917"/>
      <c r="U681" s="1917"/>
      <c r="V681" s="1917"/>
      <c r="W681" s="346"/>
    </row>
    <row r="682" spans="1:23" x14ac:dyDescent="0.2">
      <c r="A682" s="436"/>
      <c r="B682" s="345"/>
      <c r="C682" s="442" t="s">
        <v>1741</v>
      </c>
      <c r="D682" s="1917">
        <f ca="1">IF(CokingRefineryPFD!E37=1,D683/(1-(J651/100)),I646)</f>
        <v>2.8741049028062426E-14</v>
      </c>
      <c r="E682" s="337" t="s">
        <v>622</v>
      </c>
      <c r="F682" s="1917"/>
      <c r="G682" s="1917"/>
      <c r="H682" s="1917"/>
      <c r="I682" s="1917"/>
      <c r="J682" s="1917"/>
      <c r="K682" s="1917"/>
      <c r="L682" s="1917"/>
      <c r="M682" s="1917"/>
      <c r="N682" s="1917"/>
      <c r="O682" s="1917"/>
      <c r="P682" s="1917"/>
      <c r="Q682" s="1969"/>
      <c r="R682" s="1917"/>
      <c r="S682" s="1917"/>
      <c r="T682" s="1917"/>
      <c r="U682" s="1917"/>
      <c r="V682" s="1917"/>
      <c r="W682" s="346"/>
    </row>
    <row r="683" spans="1:23" ht="15" x14ac:dyDescent="0.2">
      <c r="A683" s="436"/>
      <c r="B683" s="345"/>
      <c r="C683" s="442" t="s">
        <v>1382</v>
      </c>
      <c r="D683" s="1917">
        <f ca="1">(I646*(1-I651/100-I647/100-I648/1000000)-D685)</f>
        <v>2.5148417899554621E-14</v>
      </c>
      <c r="E683" s="337" t="s">
        <v>622</v>
      </c>
      <c r="F683" s="1917"/>
      <c r="G683" s="1917"/>
      <c r="H683" s="1917"/>
      <c r="I683" s="1917"/>
      <c r="J683" s="1917"/>
      <c r="K683" s="1917"/>
      <c r="L683" s="1917"/>
      <c r="M683" s="1917"/>
      <c r="N683" s="1917"/>
      <c r="O683" s="1917"/>
      <c r="P683" s="1917"/>
      <c r="Q683" s="1969"/>
      <c r="R683" s="1917"/>
      <c r="S683" s="1917"/>
      <c r="T683" s="1917"/>
      <c r="U683" s="1917"/>
      <c r="V683" s="1917"/>
      <c r="W683" s="346"/>
    </row>
    <row r="684" spans="1:23" x14ac:dyDescent="0.2">
      <c r="A684" s="436"/>
      <c r="B684" s="345"/>
      <c r="C684" s="442" t="s">
        <v>1779</v>
      </c>
      <c r="D684" s="1917">
        <f ca="1">D682*(J651/100)-D681-D676-D679</f>
        <v>2.9510935014259554E-15</v>
      </c>
      <c r="E684" s="337" t="s">
        <v>622</v>
      </c>
      <c r="F684" s="1917"/>
      <c r="G684" s="1917"/>
      <c r="H684" s="1917"/>
      <c r="I684" s="1917"/>
      <c r="J684" s="1917"/>
      <c r="K684" s="1917"/>
      <c r="L684" s="1917"/>
      <c r="M684" s="1917"/>
      <c r="N684" s="1917"/>
      <c r="O684" s="1917"/>
      <c r="P684" s="1917"/>
      <c r="Q684" s="1969"/>
      <c r="R684" s="1917"/>
      <c r="S684" s="1917"/>
      <c r="T684" s="1917"/>
      <c r="U684" s="1917"/>
      <c r="V684" s="1917"/>
      <c r="W684" s="346"/>
    </row>
    <row r="685" spans="1:23" ht="15" x14ac:dyDescent="0.2">
      <c r="A685" s="436"/>
      <c r="B685" s="345"/>
      <c r="C685" s="442" t="s">
        <v>1385</v>
      </c>
      <c r="D685" s="1917">
        <f ca="1">D688*(1-D687/100)</f>
        <v>4.2204719542083046E-17</v>
      </c>
      <c r="E685" s="337" t="s">
        <v>622</v>
      </c>
      <c r="F685" s="1917"/>
      <c r="G685" s="1917"/>
      <c r="H685" s="1917"/>
      <c r="I685" s="1917"/>
      <c r="J685" s="1917"/>
      <c r="K685" s="1917"/>
      <c r="L685" s="1917"/>
      <c r="M685" s="1917"/>
      <c r="N685" s="1917"/>
      <c r="O685" s="1917"/>
      <c r="P685" s="1917"/>
      <c r="Q685" s="1969"/>
      <c r="R685" s="1917"/>
      <c r="S685" s="1917"/>
      <c r="T685" s="1917"/>
      <c r="U685" s="1917"/>
      <c r="V685" s="1917"/>
      <c r="W685" s="346"/>
    </row>
    <row r="686" spans="1:23" ht="15" x14ac:dyDescent="0.2">
      <c r="A686" s="436"/>
      <c r="B686" s="345"/>
      <c r="C686" s="442" t="s">
        <v>1386</v>
      </c>
      <c r="D686" s="1917">
        <f ca="1">D688*(D687/100)</f>
        <v>9.4596009502740523E-18</v>
      </c>
      <c r="E686" s="337" t="s">
        <v>622</v>
      </c>
      <c r="F686" s="1917"/>
      <c r="G686" s="1917"/>
      <c r="H686" s="1917"/>
      <c r="I686" s="1917"/>
      <c r="J686" s="1917"/>
      <c r="K686" s="1917"/>
      <c r="L686" s="1917"/>
      <c r="M686" s="1917"/>
      <c r="N686" s="1917"/>
      <c r="O686" s="1917"/>
      <c r="P686" s="1917"/>
      <c r="Q686" s="1969"/>
      <c r="R686" s="1917"/>
      <c r="S686" s="1917"/>
      <c r="T686" s="1917"/>
      <c r="U686" s="1917"/>
      <c r="V686" s="1917"/>
      <c r="W686" s="346"/>
    </row>
    <row r="687" spans="1:23" x14ac:dyDescent="0.2">
      <c r="A687" s="436"/>
      <c r="B687" s="345"/>
      <c r="C687" s="442" t="s">
        <v>375</v>
      </c>
      <c r="D687" s="914">
        <f>Constants!N380</f>
        <v>18.309736506983477</v>
      </c>
      <c r="E687" s="337" t="s">
        <v>579</v>
      </c>
      <c r="F687" s="1917"/>
      <c r="G687" s="1917"/>
      <c r="H687" s="1917"/>
      <c r="I687" s="1917"/>
      <c r="J687" s="1917"/>
      <c r="K687" s="1917"/>
      <c r="L687" s="1917"/>
      <c r="M687" s="1917"/>
      <c r="N687" s="1917"/>
      <c r="O687" s="1917"/>
      <c r="P687" s="1917"/>
      <c r="Q687" s="1969"/>
      <c r="R687" s="1917"/>
      <c r="S687" s="1917"/>
      <c r="T687" s="1917"/>
      <c r="U687" s="1917"/>
      <c r="V687" s="1917"/>
      <c r="W687" s="346"/>
    </row>
    <row r="688" spans="1:23" x14ac:dyDescent="0.2">
      <c r="A688" s="436"/>
      <c r="B688" s="345"/>
      <c r="C688" s="442" t="s">
        <v>385</v>
      </c>
      <c r="D688" s="1917">
        <f ca="1">H661*I646</f>
        <v>5.1664320492357097E-17</v>
      </c>
      <c r="E688" s="337" t="s">
        <v>622</v>
      </c>
      <c r="F688" s="1917"/>
      <c r="G688" s="1917"/>
      <c r="H688" s="1917"/>
      <c r="I688" s="1917"/>
      <c r="J688" s="1917"/>
      <c r="K688" s="1917"/>
      <c r="L688" s="1917"/>
      <c r="M688" s="1917"/>
      <c r="N688" s="1917"/>
      <c r="O688" s="1917"/>
      <c r="P688" s="1917"/>
      <c r="Q688" s="1969"/>
      <c r="R688" s="1917"/>
      <c r="S688" s="1917"/>
      <c r="T688" s="1917"/>
      <c r="U688" s="1917"/>
      <c r="V688" s="1917"/>
      <c r="W688" s="346"/>
    </row>
    <row r="689" spans="1:23" x14ac:dyDescent="0.2">
      <c r="A689" s="436"/>
      <c r="B689" s="345"/>
      <c r="C689" s="442" t="s">
        <v>384</v>
      </c>
      <c r="D689" s="1917">
        <f ca="1">D675+D677</f>
        <v>0</v>
      </c>
      <c r="E689" s="337" t="s">
        <v>622</v>
      </c>
      <c r="F689" s="1917"/>
      <c r="G689" s="1917"/>
      <c r="H689" s="1917"/>
      <c r="I689" s="1917"/>
      <c r="J689" s="1917"/>
      <c r="K689" s="1917"/>
      <c r="L689" s="1917"/>
      <c r="M689" s="1917"/>
      <c r="N689" s="1917"/>
      <c r="O689" s="1917"/>
      <c r="P689" s="1917"/>
      <c r="Q689" s="1969"/>
      <c r="R689" s="1917"/>
      <c r="S689" s="1917"/>
      <c r="T689" s="1917"/>
      <c r="U689" s="1917"/>
      <c r="V689" s="1917"/>
      <c r="W689" s="346"/>
    </row>
    <row r="690" spans="1:23" x14ac:dyDescent="0.2">
      <c r="A690" s="436"/>
      <c r="B690" s="345"/>
      <c r="C690" s="443" t="s">
        <v>948</v>
      </c>
      <c r="D690" s="334">
        <f ca="1">J647-D326/10000</f>
        <v>0</v>
      </c>
      <c r="E690" s="338"/>
      <c r="F690" s="1917"/>
      <c r="G690" s="1917"/>
      <c r="H690" s="1917"/>
      <c r="I690" s="1917"/>
      <c r="J690" s="1917"/>
      <c r="K690" s="1917"/>
      <c r="L690" s="1917"/>
      <c r="M690" s="1917"/>
      <c r="N690" s="1917"/>
      <c r="O690" s="1917"/>
      <c r="P690" s="1917"/>
      <c r="Q690" s="1969"/>
      <c r="R690" s="1917"/>
      <c r="S690" s="1917"/>
      <c r="T690" s="1917"/>
      <c r="U690" s="1917"/>
      <c r="V690" s="1917"/>
      <c r="W690" s="346"/>
    </row>
    <row r="691" spans="1:23" x14ac:dyDescent="0.2">
      <c r="A691" s="436"/>
      <c r="B691" s="345"/>
      <c r="C691" s="437"/>
      <c r="D691" s="1917"/>
      <c r="E691" s="1917"/>
      <c r="F691" s="1917"/>
      <c r="G691" s="1917"/>
      <c r="H691" s="1917"/>
      <c r="I691" s="1917"/>
      <c r="J691" s="1917"/>
      <c r="K691" s="1917"/>
      <c r="L691" s="1917"/>
      <c r="M691" s="1917"/>
      <c r="N691" s="1917"/>
      <c r="O691" s="1917"/>
      <c r="P691" s="1917"/>
      <c r="Q691" s="1969"/>
      <c r="R691" s="1917"/>
      <c r="S691" s="1917"/>
      <c r="T691" s="1917"/>
      <c r="U691" s="1917"/>
      <c r="V691" s="1917"/>
      <c r="W691" s="346"/>
    </row>
    <row r="692" spans="1:23" x14ac:dyDescent="0.2">
      <c r="A692" s="436"/>
      <c r="B692" s="345"/>
      <c r="C692" s="437"/>
      <c r="D692" s="1917"/>
      <c r="E692" s="1917"/>
      <c r="F692" s="1917"/>
      <c r="G692" s="1917"/>
      <c r="H692" s="1917"/>
      <c r="I692" s="1917"/>
      <c r="J692" s="1917"/>
      <c r="K692" s="1917"/>
      <c r="L692" s="1917"/>
      <c r="M692" s="1917"/>
      <c r="N692" s="1917"/>
      <c r="O692" s="1917"/>
      <c r="P692" s="1917"/>
      <c r="Q692" s="1969"/>
      <c r="R692" s="1917"/>
      <c r="S692" s="1917"/>
      <c r="T692" s="1917"/>
      <c r="U692" s="1917"/>
      <c r="V692" s="1917"/>
      <c r="W692" s="346"/>
    </row>
    <row r="693" spans="1:23" ht="26.25" x14ac:dyDescent="0.2">
      <c r="A693" s="436"/>
      <c r="B693" s="347"/>
      <c r="C693" s="438" t="s">
        <v>1423</v>
      </c>
      <c r="D693" s="411"/>
      <c r="E693" s="1917"/>
      <c r="F693" s="1917"/>
      <c r="G693" s="1917"/>
      <c r="H693" s="1917"/>
      <c r="I693" s="1917"/>
      <c r="J693" s="1917"/>
      <c r="K693" s="1917"/>
      <c r="L693" s="1917"/>
      <c r="M693" s="1917"/>
      <c r="N693" s="1917"/>
      <c r="O693" s="1917"/>
      <c r="P693" s="1917"/>
      <c r="Q693" s="1969"/>
      <c r="R693" s="1917"/>
      <c r="S693" s="1917"/>
      <c r="T693" s="1917"/>
      <c r="U693" s="1917"/>
      <c r="V693" s="1917"/>
      <c r="W693" s="346"/>
    </row>
    <row r="694" spans="1:23" x14ac:dyDescent="0.2">
      <c r="A694" s="436"/>
      <c r="B694" s="345"/>
      <c r="C694" s="437"/>
      <c r="D694" s="1917"/>
      <c r="E694" s="482"/>
      <c r="F694" s="1910"/>
      <c r="G694" s="1910"/>
      <c r="H694" s="1910"/>
      <c r="I694" s="1917"/>
      <c r="J694" s="1917"/>
      <c r="K694" s="1917"/>
      <c r="L694" s="1917"/>
      <c r="M694" s="1917"/>
      <c r="N694" s="1917"/>
      <c r="O694" s="1917"/>
      <c r="P694" s="1917"/>
      <c r="Q694" s="1969"/>
      <c r="R694" s="1917"/>
      <c r="S694" s="1917"/>
      <c r="T694" s="1917"/>
      <c r="U694" s="1917"/>
      <c r="V694" s="1917"/>
      <c r="W694" s="346"/>
    </row>
    <row r="695" spans="1:23" x14ac:dyDescent="0.2">
      <c r="A695" s="436"/>
      <c r="B695" s="345"/>
      <c r="C695" s="440" t="s">
        <v>1309</v>
      </c>
      <c r="D695" s="1917"/>
      <c r="E695" s="1910"/>
      <c r="F695" s="1910"/>
      <c r="G695" s="1910"/>
      <c r="H695" s="1910"/>
      <c r="I695" s="1917"/>
      <c r="J695" s="1917"/>
      <c r="K695" s="1917"/>
      <c r="L695" s="1917"/>
      <c r="M695" s="1917"/>
      <c r="N695" s="1917"/>
      <c r="O695" s="1917"/>
      <c r="P695" s="1917"/>
      <c r="Q695" s="1969"/>
      <c r="R695" s="1917"/>
      <c r="S695" s="1917"/>
      <c r="T695" s="1917"/>
      <c r="U695" s="1917"/>
      <c r="V695" s="1917"/>
      <c r="W695" s="346"/>
    </row>
    <row r="696" spans="1:23" x14ac:dyDescent="0.2">
      <c r="A696" s="436"/>
      <c r="B696" s="345"/>
      <c r="C696" s="470" t="s">
        <v>568</v>
      </c>
      <c r="D696" s="354" t="s">
        <v>623</v>
      </c>
      <c r="E696" s="356" t="s">
        <v>479</v>
      </c>
      <c r="F696" s="1918" t="s">
        <v>373</v>
      </c>
      <c r="G696" s="1918" t="s">
        <v>492</v>
      </c>
      <c r="H696" s="1918" t="s">
        <v>482</v>
      </c>
      <c r="I696" s="356" t="s">
        <v>605</v>
      </c>
      <c r="J696" s="356" t="s">
        <v>639</v>
      </c>
      <c r="K696" s="356" t="s">
        <v>603</v>
      </c>
      <c r="L696" s="1919" t="s">
        <v>604</v>
      </c>
      <c r="M696" s="1917"/>
      <c r="N696" s="1917"/>
      <c r="O696" s="362"/>
      <c r="P696" s="1917"/>
      <c r="Q696" s="1969"/>
      <c r="R696" s="1917"/>
      <c r="S696" s="1917"/>
      <c r="T696" s="1917"/>
      <c r="U696" s="1917"/>
      <c r="V696" s="1917"/>
      <c r="W696" s="346"/>
    </row>
    <row r="697" spans="1:23" x14ac:dyDescent="0.2">
      <c r="A697" s="436"/>
      <c r="B697" s="345"/>
      <c r="C697" s="442" t="str">
        <f t="shared" ref="C697:D705" si="72">C644</f>
        <v>Vol Flow</v>
      </c>
      <c r="D697" s="1917" t="str">
        <f ca="1">D644</f>
        <v>bpd</v>
      </c>
      <c r="E697" s="1917">
        <f ca="1">CokingRefineryCalcs!J644</f>
        <v>1.9865467468475886E-16</v>
      </c>
      <c r="F697" s="1917"/>
      <c r="G697" s="1917">
        <f ca="1">G747</f>
        <v>1.4462060317050446E-17</v>
      </c>
      <c r="H697" s="1917">
        <f ca="1">J747</f>
        <v>1.2581015309596246E-16</v>
      </c>
      <c r="I697" s="1917">
        <f ca="1">M747</f>
        <v>4.2535471520736606E-17</v>
      </c>
      <c r="J697" s="1917">
        <f ca="1">P747</f>
        <v>2.7563827832002086E-17</v>
      </c>
      <c r="K697" s="1917">
        <f ca="1">SUM(G697:J697)</f>
        <v>2.1037151276575161E-16</v>
      </c>
      <c r="L697" s="337"/>
      <c r="M697" s="1917"/>
      <c r="N697" s="1917"/>
      <c r="O697" s="363"/>
      <c r="P697" s="1917"/>
      <c r="Q697" s="1969"/>
      <c r="R697" s="1917"/>
      <c r="S697" s="1917"/>
      <c r="T697" s="1917"/>
      <c r="U697" s="1917"/>
      <c r="V697" s="1917"/>
      <c r="W697" s="346"/>
    </row>
    <row r="698" spans="1:23" x14ac:dyDescent="0.2">
      <c r="A698" s="436"/>
      <c r="B698" s="345"/>
      <c r="C698" s="442" t="str">
        <f t="shared" si="72"/>
        <v>Vol Flow</v>
      </c>
      <c r="D698" s="1917" t="str">
        <f ca="1">D645</f>
        <v>m^3/d</v>
      </c>
      <c r="E698" s="1917">
        <f ca="1">CokingRefineryCalcs!J645</f>
        <v>3.1583570360508162E-17</v>
      </c>
      <c r="F698" s="1917"/>
      <c r="G698" s="1917">
        <f ca="1">G746</f>
        <v>2.2992839222449942E-18</v>
      </c>
      <c r="H698" s="1917">
        <f ca="1">J746</f>
        <v>2.0002216553313715E-17</v>
      </c>
      <c r="I698" s="1917">
        <f ca="1">M746</f>
        <v>6.7625997713088066E-18</v>
      </c>
      <c r="J698" s="1917">
        <f ca="1">P746</f>
        <v>4.3822985646748654E-18</v>
      </c>
      <c r="K698" s="1917">
        <f ca="1">SUM(G698:J698)</f>
        <v>3.3446398811542381E-17</v>
      </c>
      <c r="L698" s="337"/>
      <c r="M698" s="1917"/>
      <c r="N698" s="1917"/>
      <c r="O698" s="363"/>
      <c r="P698" s="1917"/>
      <c r="Q698" s="1969"/>
      <c r="R698" s="1917"/>
      <c r="S698" s="1917"/>
      <c r="T698" s="1917"/>
      <c r="U698" s="1917"/>
      <c r="V698" s="1917"/>
      <c r="W698" s="346"/>
    </row>
    <row r="699" spans="1:23" x14ac:dyDescent="0.2">
      <c r="A699" s="436"/>
      <c r="B699" s="345"/>
      <c r="C699" s="442" t="str">
        <f t="shared" si="72"/>
        <v>Mass Flow</v>
      </c>
      <c r="D699" s="1917" t="str">
        <f t="shared" si="72"/>
        <v>kg/d</v>
      </c>
      <c r="E699" s="1917">
        <f ca="1">CokingRefineryCalcs!J646</f>
        <v>2.8741049028062426E-14</v>
      </c>
      <c r="F699" s="1917">
        <f ca="1">D744</f>
        <v>9.4845461792606004E-16</v>
      </c>
      <c r="G699" s="1917">
        <f ca="1">G744</f>
        <v>1.4370524514031214E-15</v>
      </c>
      <c r="H699" s="1917">
        <f ca="1">J744</f>
        <v>1.4801640249452149E-14</v>
      </c>
      <c r="I699" s="1917">
        <f ca="1">M744</f>
        <v>5.7482098056124854E-15</v>
      </c>
      <c r="J699" s="1917">
        <f ca="1">P744</f>
        <v>4.4261215503216138E-15</v>
      </c>
      <c r="K699" s="1917">
        <f ca="1">SUM(G699:J699)</f>
        <v>2.641302405678937E-14</v>
      </c>
      <c r="L699" s="337">
        <f ca="1">D747</f>
        <v>1.3795703533469966E-15</v>
      </c>
      <c r="M699" s="1917"/>
      <c r="N699" s="1917"/>
      <c r="O699" s="363"/>
      <c r="P699" s="1917"/>
      <c r="Q699" s="1969"/>
      <c r="R699" s="1917"/>
      <c r="S699" s="1917"/>
      <c r="T699" s="1917"/>
      <c r="U699" s="1917"/>
      <c r="V699" s="1917"/>
      <c r="W699" s="346"/>
    </row>
    <row r="700" spans="1:23" x14ac:dyDescent="0.2">
      <c r="A700" s="436"/>
      <c r="B700" s="345"/>
      <c r="C700" s="442" t="str">
        <f t="shared" si="72"/>
        <v xml:space="preserve">Sulphur </v>
      </c>
      <c r="D700" s="1917" t="str">
        <f t="shared" ref="D700:D705" ca="1" si="73">D647</f>
        <v>wt%</v>
      </c>
      <c r="E700" s="1917">
        <f ca="1">CokingRefineryCalcs!J647</f>
        <v>0</v>
      </c>
      <c r="F700" s="1917">
        <f ca="1">IF(Constants!$H$236=1,O732,K719)</f>
        <v>0</v>
      </c>
      <c r="G700" s="1917">
        <f ca="1">IF(Constants!$H$236=1,O733,K720)</f>
        <v>0</v>
      </c>
      <c r="H700" s="1917">
        <f ca="1">IF(Constants!$H$236=1,O734,K721)</f>
        <v>0</v>
      </c>
      <c r="I700" s="1917">
        <f ca="1">IF(Constants!$H$236=1,O735,K722)</f>
        <v>0</v>
      </c>
      <c r="J700" s="1917">
        <f ca="1">IF(Constants!$H$236=1,O736,K723)</f>
        <v>0</v>
      </c>
      <c r="K700" s="1917">
        <f ca="1">SUMPRODUCT(G699:J699,G700:J700)/K699</f>
        <v>0</v>
      </c>
      <c r="L700" s="337">
        <f ca="1">IF(Constants!$H$236=1,O737,K724)</f>
        <v>0</v>
      </c>
      <c r="M700" s="1917"/>
      <c r="N700" s="1917"/>
      <c r="O700" s="363"/>
      <c r="P700" s="1917"/>
      <c r="Q700" s="1969"/>
      <c r="R700" s="1917"/>
      <c r="S700" s="1917"/>
      <c r="T700" s="1917"/>
      <c r="U700" s="1917"/>
      <c r="V700" s="1917"/>
      <c r="W700" s="346"/>
    </row>
    <row r="701" spans="1:23" x14ac:dyDescent="0.2">
      <c r="A701" s="436"/>
      <c r="B701" s="345"/>
      <c r="C701" s="442" t="str">
        <f t="shared" si="72"/>
        <v xml:space="preserve">Nitrogen </v>
      </c>
      <c r="D701" s="1917" t="str">
        <f t="shared" ca="1" si="73"/>
        <v>mass ppm</v>
      </c>
      <c r="E701" s="1917">
        <f>CokingRefineryCalcs!J648</f>
        <v>0</v>
      </c>
      <c r="F701" s="1917"/>
      <c r="G701" s="1917"/>
      <c r="H701" s="1917"/>
      <c r="I701" s="1917"/>
      <c r="J701" s="1917"/>
      <c r="K701" s="1917"/>
      <c r="L701" s="337"/>
      <c r="M701" s="1917"/>
      <c r="N701" s="1917"/>
      <c r="O701" s="363"/>
      <c r="P701" s="1917"/>
      <c r="Q701" s="1969"/>
      <c r="R701" s="1917"/>
      <c r="S701" s="1917"/>
      <c r="T701" s="1917"/>
      <c r="U701" s="1917"/>
      <c r="V701" s="1917"/>
      <c r="W701" s="346"/>
    </row>
    <row r="702" spans="1:23" x14ac:dyDescent="0.2">
      <c r="A702" s="436"/>
      <c r="B702" s="345"/>
      <c r="C702" s="442" t="str">
        <f t="shared" si="72"/>
        <v xml:space="preserve">API gravity </v>
      </c>
      <c r="D702" s="1917" t="str">
        <f t="shared" ca="1" si="73"/>
        <v>oAPI</v>
      </c>
      <c r="E702" s="1917">
        <f>CokingRefineryCalcs!J649</f>
        <v>23.994505494505489</v>
      </c>
      <c r="F702" s="1917"/>
      <c r="G702" s="1917">
        <f>141.5/(G703/1000)-131.5</f>
        <v>94.9</v>
      </c>
      <c r="H702" s="1917">
        <f>141.5/(H703/1000)-131.5</f>
        <v>59.716216216216225</v>
      </c>
      <c r="I702" s="1917">
        <f>141.5/(I703/1000)-131.5</f>
        <v>34.970588235294116</v>
      </c>
      <c r="J702" s="1917">
        <f>141.5/(J703/1000)-131.5</f>
        <v>8.5990099009900973</v>
      </c>
      <c r="K702" s="1917">
        <f ca="1">141.5/(K703/1000)-131.5</f>
        <v>47.679234519219449</v>
      </c>
      <c r="L702" s="337"/>
      <c r="M702" s="1917"/>
      <c r="N702" s="1917"/>
      <c r="O702" s="363"/>
      <c r="P702" s="1917"/>
      <c r="Q702" s="1969"/>
      <c r="R702" s="1917"/>
      <c r="S702" s="1917"/>
      <c r="T702" s="1917"/>
      <c r="U702" s="1917"/>
      <c r="V702" s="1917"/>
      <c r="W702" s="346"/>
    </row>
    <row r="703" spans="1:23" x14ac:dyDescent="0.2">
      <c r="A703" s="436"/>
      <c r="B703" s="345"/>
      <c r="C703" s="442" t="str">
        <f t="shared" si="72"/>
        <v>Density</v>
      </c>
      <c r="D703" s="1917" t="str">
        <f t="shared" ca="1" si="73"/>
        <v>kg/m^3</v>
      </c>
      <c r="E703" s="1917">
        <f>CokingRefineryCalcs!J650</f>
        <v>910</v>
      </c>
      <c r="F703" s="1917"/>
      <c r="G703" s="1917">
        <f>G745</f>
        <v>625</v>
      </c>
      <c r="H703" s="1917">
        <f>J745</f>
        <v>740</v>
      </c>
      <c r="I703" s="1917">
        <f>M745</f>
        <v>850</v>
      </c>
      <c r="J703" s="1917">
        <f>P745</f>
        <v>1010</v>
      </c>
      <c r="K703" s="1917">
        <f ca="1">K699/K698</f>
        <v>789.71204659780028</v>
      </c>
      <c r="L703" s="337"/>
      <c r="M703" s="1917"/>
      <c r="N703" s="1917"/>
      <c r="O703" s="363"/>
      <c r="P703" s="1917"/>
      <c r="Q703" s="1969"/>
      <c r="R703" s="1917"/>
      <c r="S703" s="1917"/>
      <c r="T703" s="1917"/>
      <c r="U703" s="1917"/>
      <c r="V703" s="1917"/>
      <c r="W703" s="346"/>
    </row>
    <row r="704" spans="1:23" x14ac:dyDescent="0.2">
      <c r="A704" s="436"/>
      <c r="B704" s="345"/>
      <c r="C704" s="442" t="str">
        <f t="shared" si="72"/>
        <v>Hydrogen</v>
      </c>
      <c r="D704" s="1917" t="str">
        <f t="shared" ca="1" si="73"/>
        <v>wt%</v>
      </c>
      <c r="E704" s="1917">
        <f ca="1">CokingRefineryCalcs!J651</f>
        <v>12.5</v>
      </c>
      <c r="F704" s="1917">
        <f ca="1">IF(Constants!$H$236=1,U732,P719)</f>
        <v>22.796969696969693</v>
      </c>
      <c r="G704" s="1917">
        <f ca="1">IF(Constants!$H$236=1,U733,P720)</f>
        <v>16.100000000000001</v>
      </c>
      <c r="H704" s="1917">
        <f ca="1">IF(Constants!$H$236=1,U734,P721)</f>
        <v>14.500000000000002</v>
      </c>
      <c r="I704" s="1917">
        <f ca="1">IF(Constants!$H$236=1,U735,P722)</f>
        <v>9.7999999999999989</v>
      </c>
      <c r="J704" s="1917">
        <f ca="1">IF(Constants!$H$236=1,U736,P723)</f>
        <v>8</v>
      </c>
      <c r="K704" s="1917">
        <f ca="1">(G699*G704+H699*H704+I699*I704+J699*J704)/K699</f>
        <v>12.474972796517955</v>
      </c>
      <c r="L704" s="337">
        <f ca="1">IF(Constants!$H$236=1,U737,P724)</f>
        <v>5.8999999999999995</v>
      </c>
      <c r="M704" s="1917"/>
      <c r="N704" s="1917"/>
      <c r="O704" s="1917"/>
      <c r="P704" s="1917"/>
      <c r="Q704" s="1969"/>
      <c r="R704" s="1917"/>
      <c r="S704" s="1917"/>
      <c r="T704" s="1917"/>
      <c r="U704" s="1917"/>
      <c r="V704" s="1917"/>
      <c r="W704" s="346"/>
    </row>
    <row r="705" spans="1:23" x14ac:dyDescent="0.2">
      <c r="A705" s="436"/>
      <c r="B705" s="345"/>
      <c r="C705" s="443" t="str">
        <f t="shared" si="72"/>
        <v>MCR</v>
      </c>
      <c r="D705" s="334" t="str">
        <f t="shared" ca="1" si="73"/>
        <v>wt%</v>
      </c>
      <c r="E705" s="334"/>
      <c r="F705" s="334"/>
      <c r="G705" s="334"/>
      <c r="H705" s="334"/>
      <c r="I705" s="334"/>
      <c r="J705" s="334"/>
      <c r="K705" s="334"/>
      <c r="L705" s="338">
        <v>100</v>
      </c>
      <c r="M705" s="1917"/>
      <c r="N705" s="1917"/>
      <c r="O705" s="1917"/>
      <c r="P705" s="1917"/>
      <c r="Q705" s="1969"/>
      <c r="R705" s="1917"/>
      <c r="S705" s="1917"/>
      <c r="T705" s="1917"/>
      <c r="U705" s="1917"/>
      <c r="V705" s="1917"/>
      <c r="W705" s="346"/>
    </row>
    <row r="706" spans="1:23" x14ac:dyDescent="0.2">
      <c r="A706" s="436"/>
      <c r="B706" s="345"/>
      <c r="C706" s="444"/>
      <c r="D706" s="1917"/>
      <c r="E706" s="1917"/>
      <c r="F706" s="1917"/>
      <c r="G706" s="1917"/>
      <c r="H706" s="1917"/>
      <c r="I706" s="1917"/>
      <c r="J706" s="1917"/>
      <c r="K706" s="1917"/>
      <c r="L706" s="1917"/>
      <c r="M706" s="1917"/>
      <c r="N706" s="1917"/>
      <c r="O706" s="1917"/>
      <c r="P706" s="1917"/>
      <c r="Q706" s="1969"/>
      <c r="R706" s="1917"/>
      <c r="S706" s="1917"/>
      <c r="T706" s="1917"/>
      <c r="U706" s="1917"/>
      <c r="V706" s="1917"/>
      <c r="W706" s="346"/>
    </row>
    <row r="707" spans="1:23" x14ac:dyDescent="0.2">
      <c r="A707" s="436"/>
      <c r="B707" s="345"/>
      <c r="C707" s="440" t="s">
        <v>1303</v>
      </c>
      <c r="D707" s="350"/>
      <c r="E707" s="1917"/>
      <c r="F707" s="1917"/>
      <c r="G707" s="440" t="s">
        <v>1315</v>
      </c>
      <c r="H707" s="350"/>
      <c r="I707" s="1917"/>
      <c r="J707" s="1917"/>
      <c r="K707" s="1917"/>
      <c r="L707" s="1917"/>
      <c r="M707" s="1917"/>
      <c r="N707" s="1917"/>
      <c r="O707" s="1917"/>
      <c r="P707" s="1917"/>
      <c r="Q707" s="1969"/>
      <c r="R707" s="1917"/>
      <c r="S707" s="1917"/>
      <c r="T707" s="1917"/>
      <c r="U707" s="1917"/>
      <c r="V707" s="1917"/>
      <c r="W707" s="346"/>
    </row>
    <row r="708" spans="1:23" x14ac:dyDescent="0.2">
      <c r="A708" s="436"/>
      <c r="B708" s="345"/>
      <c r="C708" s="449"/>
      <c r="D708" s="1918" t="s">
        <v>624</v>
      </c>
      <c r="E708" s="1919" t="s">
        <v>623</v>
      </c>
      <c r="F708" s="1917"/>
      <c r="G708" s="449"/>
      <c r="H708" s="1918" t="s">
        <v>624</v>
      </c>
      <c r="I708" s="1919" t="s">
        <v>623</v>
      </c>
      <c r="J708" s="1917"/>
      <c r="K708" s="1917"/>
      <c r="L708" s="1917"/>
      <c r="M708" s="1917"/>
      <c r="N708" s="1917"/>
      <c r="O708" s="1917"/>
      <c r="P708" s="1917"/>
      <c r="Q708" s="1969"/>
      <c r="R708" s="1917"/>
      <c r="S708" s="1917"/>
      <c r="T708" s="1917"/>
      <c r="U708" s="1917"/>
      <c r="V708" s="1917"/>
      <c r="W708" s="346"/>
    </row>
    <row r="709" spans="1:23" x14ac:dyDescent="0.2">
      <c r="A709" s="436"/>
      <c r="B709" s="345"/>
      <c r="C709" s="442" t="s">
        <v>451</v>
      </c>
      <c r="D709" s="914">
        <f>Constants!F233</f>
        <v>0.7</v>
      </c>
      <c r="E709" s="337" t="s">
        <v>665</v>
      </c>
      <c r="F709" s="1917"/>
      <c r="G709" s="442" t="s">
        <v>590</v>
      </c>
      <c r="H709" s="1917">
        <f>D746</f>
        <v>4.8</v>
      </c>
      <c r="I709" s="337" t="s">
        <v>602</v>
      </c>
      <c r="J709" s="1917"/>
      <c r="K709" s="1917"/>
      <c r="L709" s="1917"/>
      <c r="M709" s="1917"/>
      <c r="N709" s="1917"/>
      <c r="O709" s="1917"/>
      <c r="P709" s="1917"/>
      <c r="Q709" s="1969"/>
      <c r="R709" s="1917"/>
      <c r="S709" s="1917"/>
      <c r="T709" s="1917"/>
      <c r="U709" s="1917"/>
      <c r="V709" s="1917"/>
      <c r="W709" s="346"/>
    </row>
    <row r="710" spans="1:23" x14ac:dyDescent="0.2">
      <c r="A710" s="436"/>
      <c r="B710" s="345"/>
      <c r="C710" s="442" t="s">
        <v>451</v>
      </c>
      <c r="D710" s="1917">
        <f>D709/'Energy &amp; Unit Conversions'!G80</f>
        <v>4.4028673988425489</v>
      </c>
      <c r="E710" s="337" t="s">
        <v>629</v>
      </c>
      <c r="F710" s="1917"/>
      <c r="G710" s="442" t="s">
        <v>552</v>
      </c>
      <c r="H710" s="1917">
        <f ca="1">D747</f>
        <v>1.3795703533469966E-15</v>
      </c>
      <c r="I710" s="337" t="s">
        <v>622</v>
      </c>
      <c r="J710" s="1917"/>
      <c r="K710" s="1917"/>
      <c r="L710" s="1917"/>
      <c r="M710" s="1917"/>
      <c r="N710" s="1917"/>
      <c r="O710" s="1917"/>
      <c r="P710" s="1917"/>
      <c r="Q710" s="1969"/>
      <c r="R710" s="1917"/>
      <c r="S710" s="1917"/>
      <c r="T710" s="1917"/>
      <c r="U710" s="1917"/>
      <c r="V710" s="1917"/>
      <c r="W710" s="346"/>
    </row>
    <row r="711" spans="1:23" ht="12" customHeight="1" x14ac:dyDescent="0.2">
      <c r="A711" s="436"/>
      <c r="B711" s="345"/>
      <c r="C711" s="450" t="s">
        <v>452</v>
      </c>
      <c r="D711" s="364">
        <f ca="1">D710*E698</f>
        <v>1.390582722793312E-16</v>
      </c>
      <c r="E711" s="365" t="s">
        <v>627</v>
      </c>
      <c r="F711" s="1917"/>
      <c r="G711" s="442" t="s">
        <v>989</v>
      </c>
      <c r="H711" s="1917">
        <f ca="1">D747*'Emission Factors'!H156</f>
        <v>4.0704650942312667E-14</v>
      </c>
      <c r="I711" s="337" t="s">
        <v>522</v>
      </c>
      <c r="J711" s="1917"/>
      <c r="K711" s="1917"/>
      <c r="L711" s="1917"/>
      <c r="M711" s="1917"/>
      <c r="N711" s="1917"/>
      <c r="O711" s="1917"/>
      <c r="P711" s="1917"/>
      <c r="Q711" s="1969"/>
      <c r="R711" s="1917"/>
      <c r="S711" s="1917"/>
      <c r="T711" s="1917"/>
      <c r="U711" s="1917"/>
      <c r="V711" s="1917"/>
      <c r="W711" s="346"/>
    </row>
    <row r="712" spans="1:23" x14ac:dyDescent="0.2">
      <c r="A712" s="436"/>
      <c r="B712" s="345"/>
      <c r="C712" s="442" t="s">
        <v>635</v>
      </c>
      <c r="D712" s="914">
        <f>Constants!H229</f>
        <v>107.01126379400964</v>
      </c>
      <c r="E712" s="337" t="s">
        <v>637</v>
      </c>
      <c r="F712" s="1917"/>
      <c r="G712" s="443" t="s">
        <v>989</v>
      </c>
      <c r="H712" s="334">
        <f ca="1">H711*'Energy &amp; Unit Conversions'!G87</f>
        <v>4.7111864516565584E-19</v>
      </c>
      <c r="I712" s="338" t="s">
        <v>632</v>
      </c>
      <c r="J712" s="1917"/>
      <c r="K712" s="1917"/>
      <c r="L712" s="1917"/>
      <c r="M712" s="1917"/>
      <c r="N712" s="1917"/>
      <c r="O712" s="1917"/>
      <c r="P712" s="1917"/>
      <c r="Q712" s="1969"/>
      <c r="R712" s="1917"/>
      <c r="S712" s="1917"/>
      <c r="T712" s="1917"/>
      <c r="U712" s="1917"/>
      <c r="V712" s="1917"/>
      <c r="W712" s="346"/>
    </row>
    <row r="713" spans="1:23" x14ac:dyDescent="0.2">
      <c r="A713" s="436"/>
      <c r="B713" s="345"/>
      <c r="C713" s="442" t="s">
        <v>634</v>
      </c>
      <c r="D713" s="1917">
        <f>D712*'Energy &amp; Unit Conversions'!G82/'Energy &amp; Unit Conversions'!G80</f>
        <v>18.031955899292875</v>
      </c>
      <c r="E713" s="337" t="s">
        <v>636</v>
      </c>
      <c r="F713" s="1917"/>
      <c r="G713" s="1917"/>
      <c r="H713" s="1917"/>
      <c r="I713" s="1917"/>
      <c r="J713" s="1917"/>
      <c r="K713" s="1917"/>
      <c r="L713" s="1917"/>
      <c r="M713" s="1917"/>
      <c r="N713" s="1917"/>
      <c r="O713" s="1917"/>
      <c r="P713" s="1917"/>
      <c r="Q713" s="1969"/>
      <c r="R713" s="1917"/>
      <c r="S713" s="1917"/>
      <c r="T713" s="1917"/>
      <c r="U713" s="1917"/>
      <c r="V713" s="1917"/>
      <c r="W713" s="346"/>
    </row>
    <row r="714" spans="1:23" x14ac:dyDescent="0.2">
      <c r="A714" s="436"/>
      <c r="B714" s="345"/>
      <c r="C714" s="451" t="s">
        <v>542</v>
      </c>
      <c r="D714" s="336">
        <f ca="1">D712*E697/1000</f>
        <v>2.1258287796603898E-17</v>
      </c>
      <c r="E714" s="367" t="s">
        <v>472</v>
      </c>
      <c r="F714" s="1917"/>
      <c r="G714" s="1917"/>
      <c r="H714" s="1917"/>
      <c r="I714" s="1917"/>
      <c r="J714" s="1917"/>
      <c r="K714" s="1917"/>
      <c r="L714" s="1917"/>
      <c r="M714" s="1917"/>
      <c r="N714" s="1917"/>
      <c r="O714" s="1917"/>
      <c r="P714" s="1917"/>
      <c r="Q714" s="1969"/>
      <c r="R714" s="1917"/>
      <c r="S714" s="1917"/>
      <c r="T714" s="1917"/>
      <c r="U714" s="1917"/>
      <c r="V714" s="1917"/>
      <c r="W714" s="346"/>
    </row>
    <row r="715" spans="1:23" x14ac:dyDescent="0.2">
      <c r="A715" s="436"/>
      <c r="B715" s="345"/>
      <c r="C715" s="437"/>
      <c r="D715" s="1917"/>
      <c r="E715" s="1917"/>
      <c r="F715" s="1917"/>
      <c r="G715" s="1917"/>
      <c r="H715" s="1917"/>
      <c r="I715" s="1917"/>
      <c r="J715" s="1917"/>
      <c r="K715" s="1917"/>
      <c r="L715" s="1917"/>
      <c r="M715" s="1917"/>
      <c r="N715" s="1917"/>
      <c r="O715" s="1917"/>
      <c r="P715" s="1917"/>
      <c r="Q715" s="1969"/>
      <c r="R715" s="1917"/>
      <c r="S715" s="1917"/>
      <c r="T715" s="1917"/>
      <c r="U715" s="1917"/>
      <c r="V715" s="1917"/>
      <c r="W715" s="346"/>
    </row>
    <row r="716" spans="1:23" ht="15" x14ac:dyDescent="0.2">
      <c r="A716" s="436"/>
      <c r="B716" s="345"/>
      <c r="C716" s="440" t="s">
        <v>889</v>
      </c>
      <c r="D716" s="1917"/>
      <c r="E716" s="1909" t="s">
        <v>1400</v>
      </c>
      <c r="F716" s="286"/>
      <c r="G716" s="286"/>
      <c r="H716" s="286"/>
      <c r="I716" s="286"/>
      <c r="J716" s="286"/>
      <c r="K716" s="286"/>
      <c r="L716" s="286"/>
      <c r="M716" s="286"/>
      <c r="N716" s="286"/>
      <c r="O716" s="286"/>
      <c r="P716" s="286"/>
      <c r="Q716" s="286"/>
      <c r="R716" s="1917"/>
      <c r="S716" s="1917"/>
      <c r="T716" s="1917"/>
      <c r="U716" s="1917"/>
      <c r="V716" s="1917"/>
      <c r="W716" s="346"/>
    </row>
    <row r="717" spans="1:23" x14ac:dyDescent="0.2">
      <c r="A717" s="436"/>
      <c r="B717" s="345"/>
      <c r="C717" s="464" t="s">
        <v>594</v>
      </c>
      <c r="D717" s="1913"/>
      <c r="E717" s="1913"/>
      <c r="F717" s="1913"/>
      <c r="G717" s="1913"/>
      <c r="H717" s="1913"/>
      <c r="I717" s="1913"/>
      <c r="J717" s="1913"/>
      <c r="K717" s="1913"/>
      <c r="L717" s="2156"/>
      <c r="M717" s="427"/>
      <c r="N717" s="427"/>
      <c r="O717" s="427"/>
      <c r="P717" s="428"/>
      <c r="Q717" s="1969"/>
      <c r="R717" s="1917"/>
      <c r="S717" s="1917"/>
      <c r="T717" s="1917"/>
      <c r="U717" s="1917"/>
      <c r="V717" s="1917"/>
      <c r="W717" s="346"/>
    </row>
    <row r="718" spans="1:23" ht="38.25" x14ac:dyDescent="0.2">
      <c r="A718" s="436"/>
      <c r="B718" s="345"/>
      <c r="C718" s="465"/>
      <c r="D718" s="1911" t="s">
        <v>593</v>
      </c>
      <c r="E718" s="1911" t="s">
        <v>580</v>
      </c>
      <c r="F718" s="1911" t="s">
        <v>595</v>
      </c>
      <c r="G718" s="1911" t="s">
        <v>600</v>
      </c>
      <c r="H718" s="1911" t="s">
        <v>599</v>
      </c>
      <c r="I718" s="1911" t="s">
        <v>601</v>
      </c>
      <c r="J718" s="1911" t="s">
        <v>596</v>
      </c>
      <c r="K718" s="388" t="s">
        <v>892</v>
      </c>
      <c r="L718" s="388" t="s">
        <v>896</v>
      </c>
      <c r="M718" s="358" t="s">
        <v>893</v>
      </c>
      <c r="N718" s="358" t="s">
        <v>894</v>
      </c>
      <c r="O718" s="358" t="s">
        <v>895</v>
      </c>
      <c r="P718" s="2160" t="s">
        <v>896</v>
      </c>
      <c r="Q718" s="1969"/>
      <c r="R718" s="1917"/>
      <c r="S718" s="1917"/>
      <c r="T718" s="1917"/>
      <c r="U718" s="1917"/>
      <c r="V718" s="1917"/>
      <c r="W718" s="346"/>
    </row>
    <row r="719" spans="1:23" x14ac:dyDescent="0.2">
      <c r="A719" s="436"/>
      <c r="B719" s="345"/>
      <c r="C719" s="487" t="str">
        <f>'Process Correlations'!H116</f>
        <v>Fuel Gas</v>
      </c>
      <c r="D719" s="1917">
        <f ca="1">('Process Correlations'!J116/'Process Correlations'!$J$123)*100</f>
        <v>5.3115236927283327</v>
      </c>
      <c r="E719" s="1917" t="s">
        <v>597</v>
      </c>
      <c r="F719" s="1917"/>
      <c r="G719" s="1917"/>
      <c r="H719" s="1917"/>
      <c r="I719" s="1917"/>
      <c r="J719" s="1911" t="s">
        <v>741</v>
      </c>
      <c r="K719" s="1917">
        <f ca="1">$E$700*$E$699*('Process Correlations'!M116/100)/'Process Correlations'!J116</f>
        <v>0</v>
      </c>
      <c r="L719" s="2157">
        <f ca="1">IF(CokingRefineryPFD!E37=1,($E$704*100-D720*L720-D721*L721-D722*L722-D723*L723-D724*L724)/D719,22.2)</f>
        <v>6.2958524293342704</v>
      </c>
      <c r="M719" s="2157">
        <f ca="1">D719*L719/100</f>
        <v>0.33440569344330207</v>
      </c>
      <c r="N719" s="2157">
        <f ca="1">M719/$M$725*100</f>
        <v>2.675245547546417</v>
      </c>
      <c r="O719" s="2157">
        <f t="shared" ref="O719:O725" ca="1" si="74">$E$699*($E$704/100)*N719/100</f>
        <v>9.6111704305171597E-17</v>
      </c>
      <c r="P719" s="429">
        <f ca="1">O719/$D$744*100</f>
        <v>10.133505861918247</v>
      </c>
      <c r="Q719" s="1969"/>
      <c r="R719" s="1917"/>
      <c r="S719" s="1917"/>
      <c r="T719" s="1917"/>
      <c r="U719" s="1917"/>
      <c r="V719" s="1917"/>
      <c r="W719" s="346"/>
    </row>
    <row r="720" spans="1:23" x14ac:dyDescent="0.2">
      <c r="A720" s="436"/>
      <c r="B720" s="345"/>
      <c r="C720" s="487" t="str">
        <f>'Process Correlations'!H117</f>
        <v>LPG (C3 &amp; C4)</v>
      </c>
      <c r="D720" s="1917">
        <f ca="1">('Process Correlations'!J117/'Process Correlations'!$J$123)*100</f>
        <v>15.838155635704318</v>
      </c>
      <c r="E720" s="1917">
        <f ca="1">'Process Correlations'!L117</f>
        <v>540.90861195366881</v>
      </c>
      <c r="F720" s="1917">
        <f ca="1">D720/E720</f>
        <v>2.9280649791282903E-2</v>
      </c>
      <c r="G720" s="1917">
        <f ca="1">F720/$F$726*100</f>
        <v>24.322747648529088</v>
      </c>
      <c r="H720" s="1917"/>
      <c r="I720" s="1917"/>
      <c r="J720" s="1917">
        <f ca="1">$I$726*G720</f>
        <v>26.645391310067446</v>
      </c>
      <c r="K720" s="1917">
        <f ca="1">$E$700*$E$699*('Process Correlations'!M117/100)/'Process Correlations'!J117</f>
        <v>0</v>
      </c>
      <c r="L720" s="2159">
        <v>16.100000000000001</v>
      </c>
      <c r="M720" s="2157">
        <f ca="1">D720*L720/100</f>
        <v>2.5499430573483952</v>
      </c>
      <c r="N720" s="2157">
        <f t="shared" ref="N720:N725" ca="1" si="75">M720/$M$725*100</f>
        <v>20.399544458787165</v>
      </c>
      <c r="O720" s="2157">
        <f t="shared" ca="1" si="74"/>
        <v>7.3288038430017646E-16</v>
      </c>
      <c r="P720" s="429">
        <f ca="1">O720/$G$744*100</f>
        <v>50.998861146967926</v>
      </c>
      <c r="Q720" s="1969"/>
      <c r="R720" s="1917"/>
      <c r="S720" s="1917"/>
      <c r="T720" s="1917"/>
      <c r="U720" s="1917"/>
      <c r="V720" s="1917"/>
      <c r="W720" s="346"/>
    </row>
    <row r="721" spans="1:23" x14ac:dyDescent="0.2">
      <c r="A721" s="436"/>
      <c r="B721" s="345"/>
      <c r="C721" s="487" t="str">
        <f>'Process Correlations'!H118</f>
        <v>Gasoline</v>
      </c>
      <c r="D721" s="1917">
        <f ca="1">('Process Correlations'!J118/'Process Correlations'!$J$123)*100</f>
        <v>47.507320196267933</v>
      </c>
      <c r="E721" s="1917">
        <f>'Process Correlations'!L118</f>
        <v>746.61086593081541</v>
      </c>
      <c r="F721" s="1917">
        <f ca="1">D721/E721</f>
        <v>6.3630630578942304E-2</v>
      </c>
      <c r="G721" s="1917">
        <f ca="1">F721/$F$726*100</f>
        <v>52.856469419922057</v>
      </c>
      <c r="H721" s="1917"/>
      <c r="I721" s="1917"/>
      <c r="J721" s="1917">
        <f ca="1">$I$726*G721</f>
        <v>57.903873826837497</v>
      </c>
      <c r="K721" s="1917">
        <f ca="1">$E$700*$E$699*('Process Correlations'!M118/100)/'Process Correlations'!J118</f>
        <v>0</v>
      </c>
      <c r="L721" s="2159">
        <v>14.5</v>
      </c>
      <c r="M721" s="2157">
        <f t="shared" ref="M721:M724" ca="1" si="76">D721*L721/100</f>
        <v>6.8885614284588508</v>
      </c>
      <c r="N721" s="2157">
        <f t="shared" ca="1" si="75"/>
        <v>55.108491427670813</v>
      </c>
      <c r="O721" s="2157">
        <f t="shared" ca="1" si="74"/>
        <v>1.9798448174815562E-15</v>
      </c>
      <c r="P721" s="429">
        <f ca="1">O721/$J$744*100</f>
        <v>13.375847433900685</v>
      </c>
      <c r="Q721" s="1969"/>
      <c r="R721" s="1917"/>
      <c r="S721" s="1917"/>
      <c r="T721" s="1917"/>
      <c r="U721" s="1917"/>
      <c r="V721" s="1917"/>
      <c r="W721" s="346"/>
    </row>
    <row r="722" spans="1:23" x14ac:dyDescent="0.2">
      <c r="A722" s="436"/>
      <c r="B722" s="345"/>
      <c r="C722" s="487" t="str">
        <f>'Process Correlations'!H121</f>
        <v>LGO</v>
      </c>
      <c r="D722" s="1917">
        <f ca="1">('Process Correlations'!J121/'Process Correlations'!$J$123)*100</f>
        <v>18.643425457878038</v>
      </c>
      <c r="E722" s="1917">
        <f ca="1">'Process Correlations'!L121</f>
        <v>906.49893615879921</v>
      </c>
      <c r="F722" s="1917">
        <f ca="1">D722/E722</f>
        <v>2.0566406329033032E-2</v>
      </c>
      <c r="G722" s="1917">
        <f ca="1">F722/$F$726*100</f>
        <v>17.084030400414989</v>
      </c>
      <c r="H722" s="1917"/>
      <c r="I722" s="1917"/>
      <c r="J722" s="1917">
        <f ca="1">$I$726*G722</f>
        <v>18.715429759420061</v>
      </c>
      <c r="K722" s="1917">
        <f ca="1">$E$700*$E$699*('Process Correlations'!M121/100)/'Process Correlations'!J121</f>
        <v>0</v>
      </c>
      <c r="L722" s="2159">
        <v>9.8000000000000007</v>
      </c>
      <c r="M722" s="2157">
        <f t="shared" ca="1" si="76"/>
        <v>1.827055694872048</v>
      </c>
      <c r="N722" s="2157">
        <f t="shared" ca="1" si="75"/>
        <v>14.616445558976384</v>
      </c>
      <c r="O722" s="2157">
        <f t="shared" ca="1" si="74"/>
        <v>5.2511497303318197E-16</v>
      </c>
      <c r="P722" s="429">
        <f ca="1">O722/$M$744*100</f>
        <v>9.1352784743602395</v>
      </c>
      <c r="Q722" s="1969"/>
      <c r="R722" s="1917"/>
      <c r="S722" s="1917"/>
      <c r="T722" s="1917"/>
      <c r="U722" s="1917"/>
      <c r="V722" s="1917"/>
      <c r="W722" s="346"/>
    </row>
    <row r="723" spans="1:23" x14ac:dyDescent="0.2">
      <c r="A723" s="436"/>
      <c r="B723" s="345"/>
      <c r="C723" s="487" t="str">
        <f>'Process Correlations'!H120</f>
        <v>HGO</v>
      </c>
      <c r="D723" s="1917">
        <f ca="1">('Process Correlations'!J120/'Process Correlations'!$J$123)*100</f>
        <v>7.1790095166448316</v>
      </c>
      <c r="E723" s="1917">
        <f>'Process Correlations'!L120</f>
        <v>1039.5139858511532</v>
      </c>
      <c r="F723" s="1917">
        <f ca="1">D723/E723</f>
        <v>6.9061211434944423E-3</v>
      </c>
      <c r="G723" s="1917">
        <f ca="1">F723/$F$726*100</f>
        <v>5.7367525311338641</v>
      </c>
      <c r="H723" s="1917"/>
      <c r="I723" s="1917"/>
      <c r="J723" s="1917">
        <f ca="1">$I$726*G723</f>
        <v>6.2845702405799422</v>
      </c>
      <c r="K723" s="1917">
        <f ca="1">$E$700*$E$699*('Process Correlations'!M120/100)/'Process Correlations'!J120</f>
        <v>0</v>
      </c>
      <c r="L723" s="2159">
        <v>8</v>
      </c>
      <c r="M723" s="2157">
        <f t="shared" ca="1" si="76"/>
        <v>0.57432076133158649</v>
      </c>
      <c r="N723" s="2157">
        <f t="shared" ca="1" si="75"/>
        <v>4.5945660906526928</v>
      </c>
      <c r="O723" s="2157">
        <f t="shared" ca="1" si="74"/>
        <v>1.6506581159265271E-16</v>
      </c>
      <c r="P723" s="429">
        <f ca="1">O723/$P$744*100</f>
        <v>3.7293555930622508</v>
      </c>
      <c r="Q723" s="1969"/>
      <c r="R723" s="1917"/>
      <c r="S723" s="1917"/>
      <c r="T723" s="1917"/>
      <c r="U723" s="1917"/>
      <c r="V723" s="1917"/>
      <c r="W723" s="346"/>
    </row>
    <row r="724" spans="1:23" x14ac:dyDescent="0.2">
      <c r="A724" s="436"/>
      <c r="B724" s="345"/>
      <c r="C724" s="487" t="str">
        <f>'Process Correlations'!H122</f>
        <v>Coke</v>
      </c>
      <c r="D724" s="1917">
        <f ca="1">('Process Correlations'!J122/'Process Correlations'!$J$123)*100</f>
        <v>5.5205655007765522</v>
      </c>
      <c r="E724" s="1917" t="s">
        <v>597</v>
      </c>
      <c r="F724" s="1917"/>
      <c r="G724" s="1917"/>
      <c r="H724" s="1917"/>
      <c r="I724" s="1917"/>
      <c r="J724" s="1917"/>
      <c r="K724" s="1917">
        <f ca="1">$E$700*$E$699*('Process Correlations'!M122/100)/'Process Correlations'!J122</f>
        <v>0</v>
      </c>
      <c r="L724" s="2159">
        <v>5.9</v>
      </c>
      <c r="M724" s="2157">
        <f t="shared" ca="1" si="76"/>
        <v>0.32571336454581662</v>
      </c>
      <c r="N724" s="2157">
        <f t="shared" ca="1" si="75"/>
        <v>2.6057069163665334</v>
      </c>
      <c r="O724" s="2157">
        <f t="shared" ca="1" si="74"/>
        <v>9.3613437795064871E-17</v>
      </c>
      <c r="P724" s="429">
        <f ca="1">O724/$D$747*100</f>
        <v>6.7856950947045132</v>
      </c>
      <c r="Q724" s="1969"/>
      <c r="R724" s="1917"/>
      <c r="S724" s="1917"/>
      <c r="T724" s="1917"/>
      <c r="U724" s="1917"/>
      <c r="V724" s="1917"/>
      <c r="W724" s="346"/>
    </row>
    <row r="725" spans="1:23" x14ac:dyDescent="0.2">
      <c r="A725" s="436"/>
      <c r="B725" s="345"/>
      <c r="C725" s="488"/>
      <c r="D725" s="1917"/>
      <c r="E725" s="1917"/>
      <c r="F725" s="1917"/>
      <c r="G725" s="1917"/>
      <c r="H725" s="1917"/>
      <c r="I725" s="1917"/>
      <c r="J725" s="1917"/>
      <c r="K725" s="1917"/>
      <c r="L725" s="2157"/>
      <c r="M725" s="2157">
        <f ca="1">SUM(M719:M724)</f>
        <v>12.499999999999998</v>
      </c>
      <c r="N725" s="2157">
        <f t="shared" ca="1" si="75"/>
        <v>100</v>
      </c>
      <c r="O725" s="2157">
        <f t="shared" ca="1" si="74"/>
        <v>3.5926311285078033E-15</v>
      </c>
      <c r="P725" s="429"/>
      <c r="Q725" s="1969"/>
      <c r="R725" s="1917"/>
      <c r="S725" s="1917"/>
      <c r="T725" s="1917"/>
      <c r="U725" s="1917"/>
      <c r="V725" s="1917"/>
      <c r="W725" s="346"/>
    </row>
    <row r="726" spans="1:23" x14ac:dyDescent="0.2">
      <c r="A726" s="436"/>
      <c r="B726" s="345"/>
      <c r="C726" s="462" t="s">
        <v>598</v>
      </c>
      <c r="D726" s="1914">
        <f ca="1">SUM(D719:D724)</f>
        <v>100</v>
      </c>
      <c r="E726" s="1914"/>
      <c r="F726" s="1914">
        <f ca="1">SUM(F720:F723)</f>
        <v>0.12038380784275268</v>
      </c>
      <c r="G726" s="1914">
        <f ca="1">SUM(G720:G723)</f>
        <v>100</v>
      </c>
      <c r="H726" s="1914">
        <f>100/E703</f>
        <v>0.10989010989010989</v>
      </c>
      <c r="I726" s="1914">
        <f ca="1">F726/H726</f>
        <v>1.0954926513690495</v>
      </c>
      <c r="J726" s="1914">
        <f ca="1">SUM(J720:J723)</f>
        <v>109.54926513690495</v>
      </c>
      <c r="K726" s="1914"/>
      <c r="L726" s="400"/>
      <c r="M726" s="841"/>
      <c r="N726" s="841"/>
      <c r="O726" s="841"/>
      <c r="P726" s="430"/>
      <c r="Q726" s="1969"/>
      <c r="R726" s="1917"/>
      <c r="S726" s="1917"/>
      <c r="T726" s="1917"/>
      <c r="U726" s="1917"/>
      <c r="V726" s="1917"/>
      <c r="W726" s="346"/>
    </row>
    <row r="727" spans="1:23" x14ac:dyDescent="0.2">
      <c r="A727" s="436"/>
      <c r="B727" s="345"/>
      <c r="C727" s="444"/>
      <c r="D727" s="1917"/>
      <c r="E727" s="1917"/>
      <c r="F727" s="1917"/>
      <c r="G727" s="1917"/>
      <c r="H727" s="1917"/>
      <c r="I727" s="1917"/>
      <c r="J727" s="1917"/>
      <c r="K727" s="1917"/>
      <c r="L727" s="1911"/>
      <c r="M727" s="1917"/>
      <c r="N727" s="1917"/>
      <c r="O727" s="1917"/>
      <c r="P727" s="1917"/>
      <c r="Q727" s="1969"/>
      <c r="R727" s="1917"/>
      <c r="S727" s="1917"/>
      <c r="T727" s="1917"/>
      <c r="U727" s="1917"/>
      <c r="V727" s="1917"/>
      <c r="W727" s="346"/>
    </row>
    <row r="728" spans="1:23" x14ac:dyDescent="0.2">
      <c r="A728" s="436"/>
      <c r="B728" s="345"/>
      <c r="C728" s="440" t="s">
        <v>889</v>
      </c>
      <c r="D728" s="1917"/>
      <c r="E728" s="1917"/>
      <c r="F728" s="1917"/>
      <c r="G728" s="1917"/>
      <c r="H728" s="1917"/>
      <c r="I728" s="1917"/>
      <c r="J728" s="1917"/>
      <c r="K728" s="1917"/>
      <c r="L728" s="1917"/>
      <c r="M728" s="363"/>
      <c r="N728" s="1917"/>
      <c r="O728" s="1917"/>
      <c r="P728" s="1917"/>
      <c r="Q728" s="1969"/>
      <c r="R728" s="1917"/>
      <c r="S728" s="1917"/>
      <c r="T728" s="1917"/>
      <c r="U728" s="1917"/>
      <c r="V728" s="1917"/>
      <c r="W728" s="346"/>
    </row>
    <row r="729" spans="1:23" ht="21" x14ac:dyDescent="0.2">
      <c r="A729" s="436"/>
      <c r="B729" s="345"/>
      <c r="C729" s="441" t="s">
        <v>1125</v>
      </c>
      <c r="D729" s="368"/>
      <c r="E729" s="368"/>
      <c r="F729" s="368"/>
      <c r="G729" s="368"/>
      <c r="H729" s="368"/>
      <c r="I729" s="368"/>
      <c r="J729" s="368"/>
      <c r="K729" s="368"/>
      <c r="L729" s="368"/>
      <c r="M729" s="368"/>
      <c r="N729" s="368"/>
      <c r="O729" s="368"/>
      <c r="P729" s="416"/>
      <c r="Q729" s="416"/>
      <c r="R729" s="368"/>
      <c r="S729" s="368"/>
      <c r="T729" s="368"/>
      <c r="U729" s="369"/>
      <c r="V729" s="1917"/>
      <c r="W729" s="1928"/>
    </row>
    <row r="730" spans="1:23" x14ac:dyDescent="0.2">
      <c r="A730" s="436"/>
      <c r="B730" s="345"/>
      <c r="C730" s="459" t="s">
        <v>594</v>
      </c>
      <c r="D730" s="1917"/>
      <c r="E730" s="1917"/>
      <c r="F730" s="1917"/>
      <c r="G730" s="1917"/>
      <c r="H730" s="1917"/>
      <c r="I730" s="1917"/>
      <c r="J730" s="1917"/>
      <c r="K730" s="1917"/>
      <c r="L730" s="1917"/>
      <c r="M730" s="1917"/>
      <c r="N730" s="1917"/>
      <c r="O730" s="1917"/>
      <c r="P730" s="1917"/>
      <c r="Q730" s="1969"/>
      <c r="R730" s="1917"/>
      <c r="S730" s="1917"/>
      <c r="T730" s="1917"/>
      <c r="U730" s="337"/>
      <c r="V730" s="1917"/>
      <c r="W730" s="346"/>
    </row>
    <row r="731" spans="1:23" ht="51" x14ac:dyDescent="0.2">
      <c r="A731" s="436"/>
      <c r="B731" s="345"/>
      <c r="C731" s="453"/>
      <c r="D731" s="1911" t="s">
        <v>593</v>
      </c>
      <c r="E731" s="1911" t="s">
        <v>580</v>
      </c>
      <c r="F731" s="1911" t="s">
        <v>595</v>
      </c>
      <c r="G731" s="1911" t="s">
        <v>600</v>
      </c>
      <c r="H731" s="1911" t="s">
        <v>599</v>
      </c>
      <c r="I731" s="1911" t="s">
        <v>601</v>
      </c>
      <c r="J731" s="1911" t="s">
        <v>596</v>
      </c>
      <c r="K731" s="1911" t="s">
        <v>578</v>
      </c>
      <c r="L731" s="358" t="s">
        <v>73</v>
      </c>
      <c r="M731" s="358" t="s">
        <v>61</v>
      </c>
      <c r="N731" s="358" t="s">
        <v>63</v>
      </c>
      <c r="O731" s="388" t="s">
        <v>892</v>
      </c>
      <c r="P731" s="1911" t="s">
        <v>621</v>
      </c>
      <c r="Q731" s="1968"/>
      <c r="R731" s="358" t="s">
        <v>893</v>
      </c>
      <c r="S731" s="358" t="s">
        <v>894</v>
      </c>
      <c r="T731" s="358" t="s">
        <v>895</v>
      </c>
      <c r="U731" s="415" t="s">
        <v>896</v>
      </c>
      <c r="V731" s="1917"/>
      <c r="W731" s="346"/>
    </row>
    <row r="732" spans="1:23" x14ac:dyDescent="0.2">
      <c r="A732" s="436"/>
      <c r="B732" s="345"/>
      <c r="C732" s="442" t="s">
        <v>591</v>
      </c>
      <c r="D732" s="914">
        <v>3.3</v>
      </c>
      <c r="E732" s="914" t="s">
        <v>597</v>
      </c>
      <c r="F732" s="1917"/>
      <c r="G732" s="1917"/>
      <c r="H732" s="1917"/>
      <c r="I732" s="1917"/>
      <c r="J732" s="1917" t="s">
        <v>741</v>
      </c>
      <c r="K732" s="914">
        <v>5.7</v>
      </c>
      <c r="L732" s="1917">
        <f t="shared" ref="L732:L737" si="77">D732*K732/100</f>
        <v>0.18809999999999999</v>
      </c>
      <c r="M732" s="1917">
        <f t="shared" ref="M732:M737" si="78">L732/$L$738*100</f>
        <v>18.823176223356349</v>
      </c>
      <c r="N732" s="1917">
        <f t="shared" ref="N732:N738" ca="1" si="79">$E$699*($E$700/100)*M732/100</f>
        <v>0</v>
      </c>
      <c r="O732" s="1917">
        <f ca="1">N732/D744*100</f>
        <v>0</v>
      </c>
      <c r="P732" s="2157">
        <f ca="1">IF(CokingRefineryPFD!E37=1,($E$704*100-D733*P733-D734*P734-D735*P735-D736*P736-D737*P737)/D732,22.2)</f>
        <v>22.796969696969693</v>
      </c>
      <c r="Q732" s="1969"/>
      <c r="R732" s="1917">
        <f ca="1">D732*P732/100</f>
        <v>0.75229999999999986</v>
      </c>
      <c r="S732" s="1917">
        <f t="shared" ref="S732:S737" ca="1" si="80">R732/$R$738*100</f>
        <v>6.0183999999999989</v>
      </c>
      <c r="T732" s="1917">
        <f t="shared" ref="T732:T737" ca="1" si="81">$E$699*($E$704/100)*S732/100</f>
        <v>2.1621891183811359E-16</v>
      </c>
      <c r="U732" s="337">
        <f ca="1">T732/D744*100</f>
        <v>22.796969696969693</v>
      </c>
      <c r="V732" s="1917"/>
      <c r="W732" s="1929"/>
    </row>
    <row r="733" spans="1:23" x14ac:dyDescent="0.2">
      <c r="A733" s="436"/>
      <c r="B733" s="345"/>
      <c r="C733" s="442" t="s">
        <v>491</v>
      </c>
      <c r="D733" s="914">
        <v>5</v>
      </c>
      <c r="E733" s="914">
        <v>625</v>
      </c>
      <c r="F733" s="1917">
        <f>D733/E733</f>
        <v>8.0000000000000002E-3</v>
      </c>
      <c r="G733" s="1917">
        <f>F733/$F$739*100</f>
        <v>6.8745335938872723</v>
      </c>
      <c r="H733" s="1917"/>
      <c r="I733" s="1917"/>
      <c r="J733" s="1917">
        <f>$I$739*G733</f>
        <v>7.2799999999999994</v>
      </c>
      <c r="K733" s="914">
        <v>0</v>
      </c>
      <c r="L733" s="1917">
        <f t="shared" si="77"/>
        <v>0</v>
      </c>
      <c r="M733" s="1917">
        <f t="shared" si="78"/>
        <v>0</v>
      </c>
      <c r="N733" s="1917">
        <f t="shared" ca="1" si="79"/>
        <v>0</v>
      </c>
      <c r="O733" s="1917">
        <f ca="1">N733/G744*100</f>
        <v>0</v>
      </c>
      <c r="P733" s="914">
        <v>16.100000000000001</v>
      </c>
      <c r="Q733" s="913"/>
      <c r="R733" s="1917">
        <f t="shared" ref="R733:R737" si="82">D733*P733/100</f>
        <v>0.80500000000000005</v>
      </c>
      <c r="S733" s="1917">
        <f t="shared" ca="1" si="80"/>
        <v>6.4399999999999995</v>
      </c>
      <c r="T733" s="1917">
        <f t="shared" ca="1" si="81"/>
        <v>2.3136544467590254E-16</v>
      </c>
      <c r="U733" s="337">
        <f ca="1">T733/G744*100</f>
        <v>16.100000000000001</v>
      </c>
      <c r="V733" s="1917"/>
      <c r="W733" s="1929"/>
    </row>
    <row r="734" spans="1:23" x14ac:dyDescent="0.2">
      <c r="A734" s="436"/>
      <c r="B734" s="345"/>
      <c r="C734" s="442" t="s">
        <v>592</v>
      </c>
      <c r="D734" s="914">
        <v>51.5</v>
      </c>
      <c r="E734" s="914">
        <v>740</v>
      </c>
      <c r="F734" s="1917">
        <f>D734/E734</f>
        <v>6.9594594594594592E-2</v>
      </c>
      <c r="G734" s="1917">
        <f>F734/$F$739*100</f>
        <v>59.803797311688257</v>
      </c>
      <c r="H734" s="1917"/>
      <c r="I734" s="1917"/>
      <c r="J734" s="1917">
        <f>$I$739*G734</f>
        <v>63.331081081081066</v>
      </c>
      <c r="K734" s="914">
        <v>0.2</v>
      </c>
      <c r="L734" s="1917">
        <f t="shared" si="77"/>
        <v>0.10300000000000001</v>
      </c>
      <c r="M734" s="1917">
        <f t="shared" si="78"/>
        <v>10.307215050535374</v>
      </c>
      <c r="N734" s="1917">
        <f t="shared" ca="1" si="79"/>
        <v>0</v>
      </c>
      <c r="O734" s="1917">
        <f ca="1">N734/J744*100</f>
        <v>0</v>
      </c>
      <c r="P734" s="914">
        <v>14.5</v>
      </c>
      <c r="Q734" s="913"/>
      <c r="R734" s="1917">
        <f t="shared" si="82"/>
        <v>7.4675000000000002</v>
      </c>
      <c r="S734" s="1917">
        <f t="shared" ca="1" si="80"/>
        <v>59.74</v>
      </c>
      <c r="T734" s="1917">
        <f t="shared" ca="1" si="81"/>
        <v>2.1462378361705618E-15</v>
      </c>
      <c r="U734" s="337">
        <f ca="1">T734/J744*100</f>
        <v>14.500000000000002</v>
      </c>
      <c r="V734" s="1917"/>
      <c r="W734" s="1929"/>
    </row>
    <row r="735" spans="1:23" x14ac:dyDescent="0.2">
      <c r="A735" s="436"/>
      <c r="B735" s="345"/>
      <c r="C735" s="442" t="s">
        <v>638</v>
      </c>
      <c r="D735" s="914">
        <v>20</v>
      </c>
      <c r="E735" s="914">
        <v>850</v>
      </c>
      <c r="F735" s="1917">
        <f>D735/E735</f>
        <v>2.3529411764705882E-2</v>
      </c>
      <c r="G735" s="1917">
        <f>F735/$F$739*100</f>
        <v>20.219216452609622</v>
      </c>
      <c r="H735" s="1917"/>
      <c r="I735" s="1917"/>
      <c r="J735" s="1917">
        <f>$I$739*G735</f>
        <v>21.411764705882348</v>
      </c>
      <c r="K735" s="914">
        <v>1.1000000000000001</v>
      </c>
      <c r="L735" s="1917">
        <f t="shared" si="77"/>
        <v>0.22</v>
      </c>
      <c r="M735" s="1917">
        <f t="shared" si="78"/>
        <v>22.015410787551286</v>
      </c>
      <c r="N735" s="1917">
        <f t="shared" ca="1" si="79"/>
        <v>0</v>
      </c>
      <c r="O735" s="1917">
        <f ca="1">N735/M744*100</f>
        <v>0</v>
      </c>
      <c r="P735" s="914">
        <v>9.8000000000000007</v>
      </c>
      <c r="Q735" s="913"/>
      <c r="R735" s="1917">
        <f t="shared" si="82"/>
        <v>1.96</v>
      </c>
      <c r="S735" s="1917">
        <f t="shared" ca="1" si="80"/>
        <v>15.68</v>
      </c>
      <c r="T735" s="1917">
        <f t="shared" ca="1" si="81"/>
        <v>5.6332456095002353E-16</v>
      </c>
      <c r="U735" s="337">
        <f ca="1">T735/M744*100</f>
        <v>9.7999999999999989</v>
      </c>
      <c r="V735" s="1917"/>
      <c r="W735" s="1929"/>
    </row>
    <row r="736" spans="1:23" x14ac:dyDescent="0.2">
      <c r="A736" s="436"/>
      <c r="B736" s="345"/>
      <c r="C736" s="442" t="s">
        <v>704</v>
      </c>
      <c r="D736" s="914">
        <v>15.4</v>
      </c>
      <c r="E736" s="914">
        <v>1010</v>
      </c>
      <c r="F736" s="1917">
        <f>D736/E736</f>
        <v>1.5247524752475247E-2</v>
      </c>
      <c r="G736" s="1917">
        <f>F736/$F$739*100</f>
        <v>13.10245264181485</v>
      </c>
      <c r="H736" s="1917"/>
      <c r="I736" s="1917"/>
      <c r="J736" s="1917">
        <f>$I$739*G736</f>
        <v>13.875247524752474</v>
      </c>
      <c r="K736" s="914">
        <v>1.3</v>
      </c>
      <c r="L736" s="1917">
        <f t="shared" si="77"/>
        <v>0.20019999999999999</v>
      </c>
      <c r="M736" s="1917">
        <f t="shared" si="78"/>
        <v>20.034023816671667</v>
      </c>
      <c r="N736" s="1917">
        <f t="shared" ca="1" si="79"/>
        <v>0</v>
      </c>
      <c r="O736" s="1917">
        <f ca="1">N736/P744*100</f>
        <v>0</v>
      </c>
      <c r="P736" s="914">
        <v>8</v>
      </c>
      <c r="Q736" s="913"/>
      <c r="R736" s="1917">
        <f t="shared" si="82"/>
        <v>1.232</v>
      </c>
      <c r="S736" s="1917">
        <f t="shared" ca="1" si="80"/>
        <v>9.8559999999999999</v>
      </c>
      <c r="T736" s="1917">
        <f t="shared" ca="1" si="81"/>
        <v>3.5408972402572912E-16</v>
      </c>
      <c r="U736" s="337">
        <f ca="1">T736/P744*100</f>
        <v>8</v>
      </c>
      <c r="V736" s="1917"/>
      <c r="W736" s="1929"/>
    </row>
    <row r="737" spans="1:23" x14ac:dyDescent="0.2">
      <c r="A737" s="436"/>
      <c r="B737" s="345"/>
      <c r="C737" s="442" t="s">
        <v>654</v>
      </c>
      <c r="D737" s="914">
        <v>4.8</v>
      </c>
      <c r="E737" s="914" t="s">
        <v>597</v>
      </c>
      <c r="F737" s="1917"/>
      <c r="G737" s="1917"/>
      <c r="H737" s="1917"/>
      <c r="I737" s="1917"/>
      <c r="J737" s="1917"/>
      <c r="K737" s="914">
        <v>6</v>
      </c>
      <c r="L737" s="1917">
        <f t="shared" si="77"/>
        <v>0.28799999999999998</v>
      </c>
      <c r="M737" s="1917">
        <f t="shared" si="78"/>
        <v>28.820174121885316</v>
      </c>
      <c r="N737" s="1917">
        <f t="shared" ca="1" si="79"/>
        <v>0</v>
      </c>
      <c r="O737" s="1917">
        <f ca="1">N737/D747*100</f>
        <v>0</v>
      </c>
      <c r="P737" s="914">
        <v>5.9</v>
      </c>
      <c r="Q737" s="913"/>
      <c r="R737" s="1917">
        <f t="shared" si="82"/>
        <v>0.28320000000000001</v>
      </c>
      <c r="S737" s="1917">
        <f t="shared" ca="1" si="80"/>
        <v>2.2656000000000001</v>
      </c>
      <c r="T737" s="1917">
        <f t="shared" ca="1" si="81"/>
        <v>8.1394650847472793E-17</v>
      </c>
      <c r="U737" s="337">
        <f ca="1">T737/D747*100</f>
        <v>5.8999999999999995</v>
      </c>
      <c r="V737" s="1917"/>
      <c r="W737" s="1929"/>
    </row>
    <row r="738" spans="1:23" x14ac:dyDescent="0.2">
      <c r="A738" s="436"/>
      <c r="B738" s="345"/>
      <c r="C738" s="453"/>
      <c r="D738" s="1917"/>
      <c r="E738" s="1917"/>
      <c r="F738" s="1917"/>
      <c r="G738" s="1917"/>
      <c r="H738" s="1917"/>
      <c r="I738" s="1917"/>
      <c r="J738" s="1917"/>
      <c r="K738" s="1917"/>
      <c r="L738" s="1917">
        <f>SUM(L732:L737)</f>
        <v>0.99930000000000008</v>
      </c>
      <c r="M738" s="1917">
        <f>L738/L738*100</f>
        <v>100</v>
      </c>
      <c r="N738" s="1917">
        <f t="shared" ca="1" si="79"/>
        <v>0</v>
      </c>
      <c r="O738" s="1917"/>
      <c r="P738" s="1917"/>
      <c r="Q738" s="1969"/>
      <c r="R738" s="1917">
        <f ca="1">SUM(R732:R737)</f>
        <v>12.5</v>
      </c>
      <c r="S738" s="1917">
        <f ca="1">R738/R738*100</f>
        <v>100</v>
      </c>
      <c r="T738" s="1917">
        <f ca="1">$E$699*($E$700/100)*S738/100</f>
        <v>0</v>
      </c>
      <c r="U738" s="337"/>
      <c r="V738" s="1917"/>
      <c r="W738" s="346"/>
    </row>
    <row r="739" spans="1:23" x14ac:dyDescent="0.2">
      <c r="A739" s="436"/>
      <c r="B739" s="345"/>
      <c r="C739" s="443" t="s">
        <v>598</v>
      </c>
      <c r="D739" s="335">
        <f>SUM(D732:D737)</f>
        <v>100</v>
      </c>
      <c r="E739" s="335"/>
      <c r="F739" s="335">
        <f>SUM(F733:F736)</f>
        <v>0.11637153111177571</v>
      </c>
      <c r="G739" s="335">
        <f>SUM(G733:G736)</f>
        <v>100.00000000000001</v>
      </c>
      <c r="H739" s="335">
        <f>100/E703</f>
        <v>0.10989010989010989</v>
      </c>
      <c r="I739" s="335">
        <f>F739/H739</f>
        <v>1.0589809331171589</v>
      </c>
      <c r="J739" s="335">
        <f>SUM(J733:J736)</f>
        <v>105.89809331171588</v>
      </c>
      <c r="K739" s="335"/>
      <c r="L739" s="335"/>
      <c r="M739" s="335" t="s">
        <v>668</v>
      </c>
      <c r="N739" s="335"/>
      <c r="O739" s="335"/>
      <c r="P739" s="335"/>
      <c r="Q739" s="335"/>
      <c r="R739" s="335"/>
      <c r="S739" s="335" t="s">
        <v>901</v>
      </c>
      <c r="T739" s="335"/>
      <c r="U739" s="413"/>
      <c r="V739" s="1917"/>
      <c r="W739" s="346"/>
    </row>
    <row r="740" spans="1:23" x14ac:dyDescent="0.2">
      <c r="A740" s="436"/>
      <c r="B740" s="345"/>
      <c r="C740" s="437"/>
      <c r="D740" s="1917"/>
      <c r="E740" s="1917"/>
      <c r="F740" s="1917"/>
      <c r="G740" s="1917"/>
      <c r="H740" s="1917"/>
      <c r="I740" s="1917"/>
      <c r="J740" s="1917"/>
      <c r="K740" s="1917"/>
      <c r="L740" s="1917"/>
      <c r="M740" s="1917"/>
      <c r="N740" s="1917"/>
      <c r="O740" s="1917"/>
      <c r="P740" s="1917"/>
      <c r="Q740" s="1969"/>
      <c r="R740" s="1917"/>
      <c r="S740" s="1917"/>
      <c r="T740" s="1917"/>
      <c r="U740" s="1917"/>
      <c r="V740" s="1917"/>
      <c r="W740" s="346"/>
    </row>
    <row r="741" spans="1:23" x14ac:dyDescent="0.2">
      <c r="A741" s="436"/>
      <c r="B741" s="345"/>
      <c r="C741" s="440" t="s">
        <v>250</v>
      </c>
      <c r="D741" s="1917"/>
      <c r="E741" s="1917"/>
      <c r="F741" s="1917"/>
      <c r="G741" s="1917"/>
      <c r="H741" s="1917"/>
      <c r="I741" s="1917"/>
      <c r="J741" s="1917"/>
      <c r="K741" s="1917"/>
      <c r="L741" s="1917"/>
      <c r="M741" s="1917"/>
      <c r="N741" s="1917"/>
      <c r="O741" s="1917"/>
      <c r="P741" s="1917"/>
      <c r="Q741" s="1969"/>
      <c r="R741" s="1917"/>
      <c r="S741" s="1917"/>
      <c r="T741" s="1917"/>
      <c r="U741" s="1917"/>
      <c r="V741" s="1917"/>
      <c r="W741" s="346"/>
    </row>
    <row r="742" spans="1:23" x14ac:dyDescent="0.2">
      <c r="A742" s="436"/>
      <c r="B742" s="345"/>
      <c r="C742" s="441" t="s">
        <v>624</v>
      </c>
      <c r="D742" s="368"/>
      <c r="E742" s="1918" t="s">
        <v>623</v>
      </c>
      <c r="F742" s="368"/>
      <c r="G742" s="368"/>
      <c r="H742" s="368"/>
      <c r="I742" s="368"/>
      <c r="J742" s="368"/>
      <c r="K742" s="368"/>
      <c r="L742" s="368"/>
      <c r="M742" s="368"/>
      <c r="N742" s="368"/>
      <c r="O742" s="368"/>
      <c r="P742" s="368"/>
      <c r="Q742" s="368"/>
      <c r="R742" s="368"/>
      <c r="S742" s="368" t="s">
        <v>374</v>
      </c>
      <c r="T742" s="368">
        <f ca="1">D744+G744+J744+M744+P744+D747</f>
        <v>2.8741049028062426E-14</v>
      </c>
      <c r="U742" s="369" t="s">
        <v>622</v>
      </c>
      <c r="V742" s="1917"/>
      <c r="W742" s="346"/>
    </row>
    <row r="743" spans="1:23" x14ac:dyDescent="0.2">
      <c r="A743" s="436"/>
      <c r="B743" s="345"/>
      <c r="C743" s="442" t="s">
        <v>640</v>
      </c>
      <c r="D743" s="1917">
        <f>IF(Constants!$H$236=1,D732,D719)</f>
        <v>3.3</v>
      </c>
      <c r="E743" s="1917" t="s">
        <v>579</v>
      </c>
      <c r="F743" s="1911" t="s">
        <v>641</v>
      </c>
      <c r="G743" s="1917">
        <f>IF(Constants!$H$236=1,D733,D720)</f>
        <v>5</v>
      </c>
      <c r="H743" s="1917" t="s">
        <v>579</v>
      </c>
      <c r="I743" s="1911" t="s">
        <v>645</v>
      </c>
      <c r="J743" s="1917">
        <f>IF(Constants!$H$236=1,D734,D721)</f>
        <v>51.5</v>
      </c>
      <c r="K743" s="1917" t="s">
        <v>579</v>
      </c>
      <c r="L743" s="1911" t="s">
        <v>649</v>
      </c>
      <c r="M743" s="1917">
        <f>IF(Constants!$H$236=1,D735,D722)</f>
        <v>20</v>
      </c>
      <c r="N743" s="1917" t="s">
        <v>579</v>
      </c>
      <c r="O743" s="1911" t="s">
        <v>586</v>
      </c>
      <c r="P743" s="1917">
        <f>IF(Constants!$H$236=1,D736,D723)</f>
        <v>15.4</v>
      </c>
      <c r="Q743" s="1969"/>
      <c r="R743" s="1917" t="s">
        <v>579</v>
      </c>
      <c r="S743" s="1917"/>
      <c r="T743" s="1917"/>
      <c r="U743" s="337"/>
      <c r="V743" s="1917"/>
      <c r="W743" s="346"/>
    </row>
    <row r="744" spans="1:23" x14ac:dyDescent="0.2">
      <c r="A744" s="436"/>
      <c r="B744" s="345"/>
      <c r="C744" s="442" t="s">
        <v>550</v>
      </c>
      <c r="D744" s="1917">
        <f ca="1">D743/100*E699</f>
        <v>9.4845461792606004E-16</v>
      </c>
      <c r="E744" s="1917" t="s">
        <v>622</v>
      </c>
      <c r="F744" s="1917" t="s">
        <v>642</v>
      </c>
      <c r="G744" s="1917">
        <f ca="1">G743/100*E699</f>
        <v>1.4370524514031214E-15</v>
      </c>
      <c r="H744" s="1917" t="s">
        <v>622</v>
      </c>
      <c r="I744" s="1917" t="s">
        <v>646</v>
      </c>
      <c r="J744" s="1917">
        <f ca="1">J743/100*E699</f>
        <v>1.4801640249452149E-14</v>
      </c>
      <c r="K744" s="1917" t="s">
        <v>622</v>
      </c>
      <c r="L744" s="1917" t="s">
        <v>650</v>
      </c>
      <c r="M744" s="1917">
        <f ca="1">M743/100*E699</f>
        <v>5.7482098056124854E-15</v>
      </c>
      <c r="N744" s="1917" t="s">
        <v>622</v>
      </c>
      <c r="O744" s="1917" t="s">
        <v>587</v>
      </c>
      <c r="P744" s="1917">
        <f ca="1">E699*P743/100</f>
        <v>4.4261215503216138E-15</v>
      </c>
      <c r="Q744" s="1969"/>
      <c r="R744" s="1917" t="s">
        <v>622</v>
      </c>
      <c r="S744" s="1917" t="s">
        <v>556</v>
      </c>
      <c r="T744" s="1917">
        <f ca="1">G744+J744+M744+P744</f>
        <v>2.641302405678937E-14</v>
      </c>
      <c r="U744" s="337" t="s">
        <v>622</v>
      </c>
      <c r="V744" s="1917"/>
      <c r="W744" s="346"/>
    </row>
    <row r="745" spans="1:23" x14ac:dyDescent="0.2">
      <c r="A745" s="436"/>
      <c r="B745" s="345"/>
      <c r="C745" s="442"/>
      <c r="D745" s="1917"/>
      <c r="E745" s="1917"/>
      <c r="F745" s="1917" t="s">
        <v>643</v>
      </c>
      <c r="G745" s="1917">
        <f>IF(Constants!$H$236=1,E733,E720)</f>
        <v>625</v>
      </c>
      <c r="H745" s="1917" t="s">
        <v>581</v>
      </c>
      <c r="I745" s="1917" t="s">
        <v>647</v>
      </c>
      <c r="J745" s="1917">
        <f>IF(Constants!$H$236=1,E734,E721)</f>
        <v>740</v>
      </c>
      <c r="K745" s="1917" t="s">
        <v>581</v>
      </c>
      <c r="L745" s="1917" t="s">
        <v>651</v>
      </c>
      <c r="M745" s="1917">
        <f>IF(Constants!$H$236=1,E735,E722)</f>
        <v>850</v>
      </c>
      <c r="N745" s="1917" t="s">
        <v>581</v>
      </c>
      <c r="O745" s="1917" t="s">
        <v>588</v>
      </c>
      <c r="P745" s="1917">
        <f>IF(Constants!$H$236=1,E736,E723)</f>
        <v>1010</v>
      </c>
      <c r="Q745" s="1969"/>
      <c r="R745" s="1917" t="s">
        <v>581</v>
      </c>
      <c r="S745" s="1917" t="s">
        <v>557</v>
      </c>
      <c r="T745" s="1917">
        <f ca="1">T744/T746</f>
        <v>789.71204659780028</v>
      </c>
      <c r="U745" s="337" t="s">
        <v>581</v>
      </c>
      <c r="V745" s="1917"/>
      <c r="W745" s="346"/>
    </row>
    <row r="746" spans="1:23" x14ac:dyDescent="0.2">
      <c r="A746" s="436"/>
      <c r="B746" s="345"/>
      <c r="C746" s="442" t="s">
        <v>590</v>
      </c>
      <c r="D746" s="1917">
        <f>IF(Constants!H236=1,D737,D724)</f>
        <v>4.8</v>
      </c>
      <c r="E746" s="1917" t="s">
        <v>602</v>
      </c>
      <c r="F746" s="1917" t="s">
        <v>644</v>
      </c>
      <c r="G746" s="1917">
        <f ca="1">G744/G745</f>
        <v>2.2992839222449942E-18</v>
      </c>
      <c r="H746" s="1917" t="s">
        <v>628</v>
      </c>
      <c r="I746" s="1917" t="s">
        <v>648</v>
      </c>
      <c r="J746" s="1917">
        <f ca="1">J744/J745</f>
        <v>2.0002216553313715E-17</v>
      </c>
      <c r="K746" s="1917" t="s">
        <v>628</v>
      </c>
      <c r="L746" s="1917" t="s">
        <v>652</v>
      </c>
      <c r="M746" s="1917">
        <f ca="1">M744/M745</f>
        <v>6.7625997713088066E-18</v>
      </c>
      <c r="N746" s="1917" t="s">
        <v>628</v>
      </c>
      <c r="O746" s="1917" t="s">
        <v>589</v>
      </c>
      <c r="P746" s="1917">
        <f ca="1">P744/P745</f>
        <v>4.3822985646748654E-18</v>
      </c>
      <c r="Q746" s="1969"/>
      <c r="R746" s="1917" t="s">
        <v>628</v>
      </c>
      <c r="S746" s="1917" t="s">
        <v>555</v>
      </c>
      <c r="T746" s="1917">
        <f ca="1">G746+J746+M746+P746</f>
        <v>3.3446398811542381E-17</v>
      </c>
      <c r="U746" s="337" t="s">
        <v>628</v>
      </c>
      <c r="V746" s="1917"/>
      <c r="W746" s="346"/>
    </row>
    <row r="747" spans="1:23" x14ac:dyDescent="0.2">
      <c r="A747" s="436"/>
      <c r="B747" s="345"/>
      <c r="C747" s="443" t="s">
        <v>552</v>
      </c>
      <c r="D747" s="334">
        <f ca="1">D746/100*E699</f>
        <v>1.3795703533469966E-15</v>
      </c>
      <c r="E747" s="334" t="s">
        <v>622</v>
      </c>
      <c r="F747" s="334" t="s">
        <v>644</v>
      </c>
      <c r="G747" s="334">
        <f ca="1">G746/'Energy &amp; Unit Conversions'!G80</f>
        <v>1.4462060317050446E-17</v>
      </c>
      <c r="H747" s="334" t="s">
        <v>566</v>
      </c>
      <c r="I747" s="334" t="s">
        <v>648</v>
      </c>
      <c r="J747" s="334">
        <f ca="1">J746/'Energy &amp; Unit Conversions'!G80</f>
        <v>1.2581015309596246E-16</v>
      </c>
      <c r="K747" s="334" t="s">
        <v>566</v>
      </c>
      <c r="L747" s="334" t="s">
        <v>652</v>
      </c>
      <c r="M747" s="334">
        <f ca="1">M746/'Energy &amp; Unit Conversions'!G80</f>
        <v>4.2535471520736606E-17</v>
      </c>
      <c r="N747" s="334" t="s">
        <v>566</v>
      </c>
      <c r="O747" s="334" t="s">
        <v>589</v>
      </c>
      <c r="P747" s="334">
        <f ca="1">P746/'Energy &amp; Unit Conversions'!G80</f>
        <v>2.7563827832002086E-17</v>
      </c>
      <c r="Q747" s="334"/>
      <c r="R747" s="334" t="s">
        <v>566</v>
      </c>
      <c r="S747" s="334" t="s">
        <v>555</v>
      </c>
      <c r="T747" s="334">
        <f ca="1">T746/'Energy &amp; Unit Conversions'!G80</f>
        <v>2.1037151276575161E-16</v>
      </c>
      <c r="U747" s="338" t="s">
        <v>566</v>
      </c>
      <c r="V747" s="1917"/>
      <c r="W747" s="346"/>
    </row>
    <row r="748" spans="1:23" x14ac:dyDescent="0.2">
      <c r="A748" s="436"/>
      <c r="B748" s="345"/>
      <c r="C748" s="437"/>
      <c r="D748" s="1917"/>
      <c r="E748" s="1917"/>
      <c r="F748" s="1917"/>
      <c r="G748" s="1917"/>
      <c r="H748" s="1917"/>
      <c r="I748" s="1917"/>
      <c r="J748" s="1917"/>
      <c r="K748" s="1917"/>
      <c r="L748" s="1917"/>
      <c r="M748" s="1917"/>
      <c r="N748" s="1917"/>
      <c r="O748" s="1917"/>
      <c r="P748" s="1917"/>
      <c r="Q748" s="1969"/>
      <c r="R748" s="1917"/>
      <c r="S748" s="1917"/>
      <c r="T748" s="1917"/>
      <c r="U748" s="1917"/>
      <c r="V748" s="1917"/>
      <c r="W748" s="346"/>
    </row>
    <row r="749" spans="1:23" ht="26.25" x14ac:dyDescent="0.2">
      <c r="A749" s="436"/>
      <c r="B749" s="347"/>
      <c r="C749" s="438" t="s">
        <v>1517</v>
      </c>
      <c r="D749" s="411"/>
      <c r="E749" s="411"/>
      <c r="F749" s="1917"/>
      <c r="G749" s="1917"/>
      <c r="H749" s="1917"/>
      <c r="I749" s="1917"/>
      <c r="J749" s="1917"/>
      <c r="K749" s="1917"/>
      <c r="L749" s="1917"/>
      <c r="M749" s="1917"/>
      <c r="N749" s="1917"/>
      <c r="O749" s="1917"/>
      <c r="P749" s="1917"/>
      <c r="Q749" s="1969"/>
      <c r="R749" s="1917"/>
      <c r="S749" s="1917"/>
      <c r="T749" s="1917"/>
      <c r="U749" s="1917"/>
      <c r="V749" s="1917"/>
      <c r="W749" s="346"/>
    </row>
    <row r="750" spans="1:23" x14ac:dyDescent="0.2">
      <c r="A750" s="436"/>
      <c r="B750" s="345"/>
      <c r="C750" s="437"/>
      <c r="D750" s="1917"/>
      <c r="E750" s="1910"/>
      <c r="F750" s="1917"/>
      <c r="G750" s="1917"/>
      <c r="H750" s="1917"/>
      <c r="I750" s="1917"/>
      <c r="J750" s="1917"/>
      <c r="K750" s="1917"/>
      <c r="L750" s="1917"/>
      <c r="M750" s="1917"/>
      <c r="N750" s="1917"/>
      <c r="O750" s="1917"/>
      <c r="P750" s="1917"/>
      <c r="Q750" s="1969"/>
      <c r="R750" s="1917"/>
      <c r="S750" s="1917"/>
      <c r="T750" s="1917"/>
      <c r="U750" s="1917"/>
      <c r="V750" s="1917"/>
      <c r="W750" s="346"/>
    </row>
    <row r="751" spans="1:23" x14ac:dyDescent="0.2">
      <c r="A751" s="436"/>
      <c r="B751" s="345"/>
      <c r="C751" s="440" t="s">
        <v>1309</v>
      </c>
      <c r="D751" s="1917"/>
      <c r="E751" s="1910"/>
      <c r="F751" s="1917"/>
      <c r="G751" s="1917"/>
      <c r="H751" s="1917"/>
      <c r="I751" s="1917"/>
      <c r="J751" s="1917"/>
      <c r="K751" s="1917"/>
      <c r="L751" s="1917"/>
      <c r="M751" s="1917"/>
      <c r="N751" s="1917"/>
      <c r="O751" s="1917"/>
      <c r="P751" s="1917"/>
      <c r="Q751" s="1969"/>
      <c r="R751" s="1917"/>
      <c r="S751" s="1917"/>
      <c r="T751" s="1917"/>
      <c r="U751" s="1917"/>
      <c r="V751" s="1917"/>
      <c r="W751" s="346"/>
    </row>
    <row r="752" spans="1:23" x14ac:dyDescent="0.2">
      <c r="A752" s="436"/>
      <c r="B752" s="345"/>
      <c r="C752" s="441" t="s">
        <v>568</v>
      </c>
      <c r="D752" s="1918" t="s">
        <v>623</v>
      </c>
      <c r="E752" s="356" t="str">
        <f>CokingRefineryCalcs!K696</f>
        <v>Total FCC Liquids</v>
      </c>
      <c r="F752" s="1918" t="str">
        <f>CokingRefineryCalcs!F696</f>
        <v>FCC Fuel Gas</v>
      </c>
      <c r="G752" s="1918" t="str">
        <f>CokingRefineryCalcs!G696</f>
        <v>FCC C4</v>
      </c>
      <c r="H752" s="1918" t="str">
        <f>CokingRefineryCalcs!H696</f>
        <v>FCC Gasoline</v>
      </c>
      <c r="I752" s="1918" t="str">
        <f>CokingRefineryCalcs!I696</f>
        <v>FCC LCO</v>
      </c>
      <c r="J752" s="1919" t="str">
        <f>CokingRefineryCalcs!J696</f>
        <v>Slurry Oil</v>
      </c>
      <c r="K752" s="1917"/>
      <c r="L752" s="1917"/>
      <c r="M752" s="1917"/>
      <c r="N752" s="1917"/>
      <c r="O752" s="1917"/>
      <c r="P752" s="1917"/>
      <c r="Q752" s="1969"/>
      <c r="R752" s="1917"/>
      <c r="S752" s="1917"/>
      <c r="T752" s="1917"/>
      <c r="U752" s="1917"/>
      <c r="V752" s="1917"/>
      <c r="W752" s="346"/>
    </row>
    <row r="753" spans="1:23" x14ac:dyDescent="0.2">
      <c r="A753" s="436"/>
      <c r="B753" s="345"/>
      <c r="C753" s="442" t="str">
        <f t="shared" ref="C753:D761" si="83">C697</f>
        <v>Vol Flow</v>
      </c>
      <c r="D753" s="1917" t="str">
        <f ca="1">D697</f>
        <v>bpd</v>
      </c>
      <c r="E753" s="1917">
        <f ca="1">CokingRefineryCalcs!K697</f>
        <v>2.1037151276575161E-16</v>
      </c>
      <c r="F753" s="1917">
        <f>CokingRefineryCalcs!F697</f>
        <v>0</v>
      </c>
      <c r="G753" s="1917">
        <f ca="1">CokingRefineryCalcs!G697</f>
        <v>1.4462060317050446E-17</v>
      </c>
      <c r="H753" s="1917">
        <f ca="1">D796</f>
        <v>1.2581015309592083E-16</v>
      </c>
      <c r="I753" s="1917">
        <f ca="1">D797</f>
        <v>4.2535471520813291E-17</v>
      </c>
      <c r="J753" s="337">
        <f ca="1">D798</f>
        <v>2.7563827832009571E-17</v>
      </c>
      <c r="K753" s="1917"/>
      <c r="L753" s="1917"/>
      <c r="M753" s="388"/>
      <c r="N753" s="360"/>
      <c r="O753" s="360"/>
      <c r="P753" s="1917"/>
      <c r="Q753" s="1969"/>
      <c r="R753" s="1917"/>
      <c r="S753" s="360"/>
      <c r="T753" s="1917"/>
      <c r="U753" s="360"/>
      <c r="V753" s="1917"/>
      <c r="W753" s="346"/>
    </row>
    <row r="754" spans="1:23" x14ac:dyDescent="0.2">
      <c r="A754" s="436"/>
      <c r="B754" s="345"/>
      <c r="C754" s="442" t="str">
        <f t="shared" si="83"/>
        <v>Vol Flow</v>
      </c>
      <c r="D754" s="1917" t="str">
        <f ca="1">D698</f>
        <v>m^3/d</v>
      </c>
      <c r="E754" s="1917">
        <f ca="1">CokingRefineryCalcs!K698</f>
        <v>3.3446398811542381E-17</v>
      </c>
      <c r="F754" s="1917">
        <f>CokingRefineryCalcs!F698</f>
        <v>0</v>
      </c>
      <c r="G754" s="1917">
        <f ca="1">CokingRefineryCalcs!G698</f>
        <v>2.2992839222449942E-18</v>
      </c>
      <c r="H754" s="1917">
        <f ca="1">H753*'Energy &amp; Unit Conversions'!G80</f>
        <v>2.0002216553307093E-17</v>
      </c>
      <c r="I754" s="1917">
        <f ca="1">I753*'Energy &amp; Unit Conversions'!G80</f>
        <v>6.7625997713209992E-18</v>
      </c>
      <c r="J754" s="337">
        <f ca="1">J753*'Energy &amp; Unit Conversions'!G80</f>
        <v>4.3822985646760549E-18</v>
      </c>
      <c r="K754" s="1917"/>
      <c r="L754" s="1917"/>
      <c r="M754" s="388"/>
      <c r="N754" s="360"/>
      <c r="O754" s="360"/>
      <c r="P754" s="1917"/>
      <c r="Q754" s="1969"/>
      <c r="R754" s="1917"/>
      <c r="S754" s="360"/>
      <c r="T754" s="1917"/>
      <c r="U754" s="360"/>
      <c r="V754" s="1917"/>
      <c r="W754" s="346"/>
    </row>
    <row r="755" spans="1:23" x14ac:dyDescent="0.2">
      <c r="A755" s="436"/>
      <c r="B755" s="345"/>
      <c r="C755" s="442" t="str">
        <f t="shared" si="83"/>
        <v>Mass Flow</v>
      </c>
      <c r="D755" s="1917" t="str">
        <f t="shared" si="83"/>
        <v>kg/d</v>
      </c>
      <c r="E755" s="1917">
        <f ca="1">CokingRefineryCalcs!K699</f>
        <v>2.641302405678937E-14</v>
      </c>
      <c r="F755" s="1917">
        <f ca="1">CokingRefineryCalcs!F699</f>
        <v>9.4845461792606004E-16</v>
      </c>
      <c r="G755" s="1917">
        <f ca="1">CokingRefineryCalcs!G699</f>
        <v>1.4370524514031214E-15</v>
      </c>
      <c r="H755" s="1917">
        <f ca="1">E796</f>
        <v>1.4801640249447621E-14</v>
      </c>
      <c r="I755" s="1917">
        <f ca="1">E797</f>
        <v>5.7482098056163516E-15</v>
      </c>
      <c r="J755" s="337">
        <f ca="1">E798</f>
        <v>4.4261215503222749E-15</v>
      </c>
      <c r="K755" s="1917"/>
      <c r="L755" s="1917"/>
      <c r="M755" s="1911"/>
      <c r="N755" s="360"/>
      <c r="O755" s="360"/>
      <c r="P755" s="1917"/>
      <c r="Q755" s="1969"/>
      <c r="R755" s="1917"/>
      <c r="S755" s="360"/>
      <c r="T755" s="1917"/>
      <c r="U755" s="360"/>
      <c r="V755" s="1917"/>
      <c r="W755" s="346"/>
    </row>
    <row r="756" spans="1:23" x14ac:dyDescent="0.2">
      <c r="A756" s="436"/>
      <c r="B756" s="345"/>
      <c r="C756" s="442" t="str">
        <f t="shared" si="83"/>
        <v xml:space="preserve">Sulphur </v>
      </c>
      <c r="D756" s="1917" t="str">
        <f t="shared" ref="D756:D761" ca="1" si="84">D700</f>
        <v>wt%</v>
      </c>
      <c r="E756" s="1917">
        <f ca="1">CokingRefineryCalcs!K700</f>
        <v>0</v>
      </c>
      <c r="F756" s="1917">
        <f ca="1">CokingRefineryCalcs!F700</f>
        <v>0</v>
      </c>
      <c r="G756" s="1917">
        <f ca="1">CokingRefineryCalcs!G700</f>
        <v>0</v>
      </c>
      <c r="H756" s="1917">
        <f ca="1">G796</f>
        <v>0</v>
      </c>
      <c r="I756" s="1917">
        <f ca="1">G797</f>
        <v>0</v>
      </c>
      <c r="J756" s="337">
        <f ca="1">G798</f>
        <v>0</v>
      </c>
      <c r="K756" s="1917"/>
      <c r="L756" s="1917"/>
      <c r="M756" s="1911"/>
      <c r="N756" s="360"/>
      <c r="O756" s="360"/>
      <c r="P756" s="1917"/>
      <c r="Q756" s="1969"/>
      <c r="R756" s="1917"/>
      <c r="S756" s="360"/>
      <c r="T756" s="1917"/>
      <c r="U756" s="360"/>
      <c r="V756" s="1917"/>
      <c r="W756" s="346"/>
    </row>
    <row r="757" spans="1:23" x14ac:dyDescent="0.2">
      <c r="A757" s="436"/>
      <c r="B757" s="345"/>
      <c r="C757" s="442" t="str">
        <f t="shared" si="83"/>
        <v xml:space="preserve">Nitrogen </v>
      </c>
      <c r="D757" s="1917" t="str">
        <f t="shared" ca="1" si="84"/>
        <v>mass ppm</v>
      </c>
      <c r="E757" s="1917">
        <f>CokingRefineryCalcs!K701</f>
        <v>0</v>
      </c>
      <c r="F757" s="1917"/>
      <c r="G757" s="1917"/>
      <c r="H757" s="1917"/>
      <c r="I757" s="1917"/>
      <c r="J757" s="337"/>
      <c r="K757" s="1917"/>
      <c r="L757" s="1917"/>
      <c r="M757" s="1911"/>
      <c r="N757" s="360"/>
      <c r="O757" s="360"/>
      <c r="P757" s="1917"/>
      <c r="Q757" s="1969"/>
      <c r="R757" s="1917"/>
      <c r="S757" s="360"/>
      <c r="T757" s="1917"/>
      <c r="U757" s="360"/>
      <c r="V757" s="1917"/>
      <c r="W757" s="346"/>
    </row>
    <row r="758" spans="1:23" x14ac:dyDescent="0.2">
      <c r="A758" s="436"/>
      <c r="B758" s="345"/>
      <c r="C758" s="442" t="str">
        <f t="shared" si="83"/>
        <v xml:space="preserve">API gravity </v>
      </c>
      <c r="D758" s="1917" t="str">
        <f t="shared" ca="1" si="84"/>
        <v>oAPI</v>
      </c>
      <c r="E758" s="1917">
        <f ca="1">CokingRefineryCalcs!K702</f>
        <v>47.679234519219449</v>
      </c>
      <c r="F758" s="1917">
        <f>CokingRefineryCalcs!F702</f>
        <v>0</v>
      </c>
      <c r="G758" s="1917">
        <f>CokingRefineryCalcs!G702</f>
        <v>94.9</v>
      </c>
      <c r="H758" s="1917">
        <f ca="1">141.5/(H759/1000)-131.5</f>
        <v>59.716216216211393</v>
      </c>
      <c r="I758" s="1917">
        <f ca="1">141.5/(I759/1000)-131.5</f>
        <v>34.970588235482325</v>
      </c>
      <c r="J758" s="337">
        <f ca="1">141.5/(J759/1000)-131.5</f>
        <v>8.5990099010072356</v>
      </c>
      <c r="K758" s="1917"/>
      <c r="L758" s="1917"/>
      <c r="M758" s="1911"/>
      <c r="N758" s="360"/>
      <c r="O758" s="360"/>
      <c r="P758" s="1917"/>
      <c r="Q758" s="1969"/>
      <c r="R758" s="1917"/>
      <c r="S758" s="360"/>
      <c r="T758" s="1917"/>
      <c r="U758" s="360"/>
      <c r="V758" s="1917"/>
      <c r="W758" s="346"/>
    </row>
    <row r="759" spans="1:23" x14ac:dyDescent="0.2">
      <c r="A759" s="436"/>
      <c r="B759" s="345"/>
      <c r="C759" s="442" t="str">
        <f t="shared" si="83"/>
        <v>Density</v>
      </c>
      <c r="D759" s="1917" t="str">
        <f t="shared" ca="1" si="84"/>
        <v>kg/m^3</v>
      </c>
      <c r="E759" s="1917">
        <f ca="1">CokingRefineryCalcs!K703</f>
        <v>789.71204659780028</v>
      </c>
      <c r="F759" s="1917">
        <f>CokingRefineryCalcs!F703</f>
        <v>0</v>
      </c>
      <c r="G759" s="1917">
        <f>CokingRefineryCalcs!G703</f>
        <v>625</v>
      </c>
      <c r="H759" s="1917">
        <f ca="1">F796</f>
        <v>740.00000000001864</v>
      </c>
      <c r="I759" s="1917">
        <f ca="1">F797</f>
        <v>849.99999999903912</v>
      </c>
      <c r="J759" s="337">
        <f ca="1">F798</f>
        <v>1009.9999999998765</v>
      </c>
      <c r="K759" s="1917"/>
      <c r="L759" s="1917"/>
      <c r="M759" s="1911"/>
      <c r="N759" s="360"/>
      <c r="O759" s="360"/>
      <c r="P759" s="1917"/>
      <c r="Q759" s="1969"/>
      <c r="R759" s="1917"/>
      <c r="S759" s="360"/>
      <c r="T759" s="1917"/>
      <c r="U759" s="360"/>
      <c r="V759" s="1917"/>
      <c r="W759" s="346"/>
    </row>
    <row r="760" spans="1:23" x14ac:dyDescent="0.2">
      <c r="A760" s="436"/>
      <c r="B760" s="345"/>
      <c r="C760" s="442" t="str">
        <f t="shared" si="83"/>
        <v>Hydrogen</v>
      </c>
      <c r="D760" s="1917" t="str">
        <f t="shared" ca="1" si="84"/>
        <v>wt%</v>
      </c>
      <c r="E760" s="1917">
        <f ca="1">CokingRefineryCalcs!K704</f>
        <v>12.474972796517955</v>
      </c>
      <c r="F760" s="1917">
        <f ca="1">CokingRefineryCalcs!F704</f>
        <v>22.796969696969693</v>
      </c>
      <c r="G760" s="1917">
        <f ca="1">CokingRefineryCalcs!G704</f>
        <v>16.100000000000001</v>
      </c>
      <c r="H760" s="1917">
        <f ca="1">H796</f>
        <v>14.499999999999089</v>
      </c>
      <c r="I760" s="1917">
        <f ca="1">H797</f>
        <v>9.8000000000053564</v>
      </c>
      <c r="J760" s="337">
        <f ca="1">H798</f>
        <v>8.0000000000011688</v>
      </c>
      <c r="K760" s="1917"/>
      <c r="L760" s="1917"/>
      <c r="M760" s="1911"/>
      <c r="N760" s="1917"/>
      <c r="O760" s="1917"/>
      <c r="P760" s="1917"/>
      <c r="Q760" s="1969"/>
      <c r="R760" s="1917"/>
      <c r="S760" s="1917"/>
      <c r="T760" s="1917"/>
      <c r="U760" s="1917"/>
      <c r="V760" s="1917"/>
      <c r="W760" s="346"/>
    </row>
    <row r="761" spans="1:23" x14ac:dyDescent="0.2">
      <c r="A761" s="436"/>
      <c r="B761" s="345"/>
      <c r="C761" s="443" t="str">
        <f t="shared" si="83"/>
        <v>MCR</v>
      </c>
      <c r="D761" s="334" t="str">
        <f t="shared" ca="1" si="84"/>
        <v>wt%</v>
      </c>
      <c r="E761" s="334">
        <f>CokingRefineryCalcs!K705</f>
        <v>0</v>
      </c>
      <c r="F761" s="334">
        <f>CokingRefineryCalcs!F705</f>
        <v>0</v>
      </c>
      <c r="G761" s="334">
        <f>CokingRefineryCalcs!G705</f>
        <v>0</v>
      </c>
      <c r="H761" s="334">
        <f>CokingRefineryCalcs!H705</f>
        <v>0</v>
      </c>
      <c r="I761" s="334">
        <f>CokingRefineryCalcs!I705</f>
        <v>0</v>
      </c>
      <c r="J761" s="338">
        <f>CokingRefineryCalcs!J705</f>
        <v>0</v>
      </c>
      <c r="K761" s="1917"/>
      <c r="L761" s="1917"/>
      <c r="M761" s="1917"/>
      <c r="N761" s="1917"/>
      <c r="O761" s="1917"/>
      <c r="P761" s="1917"/>
      <c r="Q761" s="1969"/>
      <c r="R761" s="1917"/>
      <c r="S761" s="1917"/>
      <c r="T761" s="1917"/>
      <c r="U761" s="1917"/>
      <c r="V761" s="1917"/>
      <c r="W761" s="346"/>
    </row>
    <row r="762" spans="1:23" x14ac:dyDescent="0.2">
      <c r="A762" s="436"/>
      <c r="B762" s="345"/>
      <c r="C762" s="437"/>
      <c r="D762" s="1917"/>
      <c r="E762" s="358"/>
      <c r="F762" s="1917"/>
      <c r="G762" s="1917"/>
      <c r="H762" s="1917"/>
      <c r="I762" s="1917"/>
      <c r="J762" s="1917"/>
      <c r="K762" s="1917"/>
      <c r="L762" s="1917"/>
      <c r="M762" s="1917"/>
      <c r="N762" s="1917"/>
      <c r="O762" s="1917"/>
      <c r="P762" s="1917"/>
      <c r="Q762" s="1969"/>
      <c r="R762" s="1917"/>
      <c r="S762" s="1917"/>
      <c r="T762" s="1917"/>
      <c r="U762" s="1917"/>
      <c r="V762" s="1917"/>
      <c r="W762" s="346"/>
    </row>
    <row r="763" spans="1:23" x14ac:dyDescent="0.2">
      <c r="A763" s="436"/>
      <c r="B763" s="345"/>
      <c r="C763" s="440" t="s">
        <v>1303</v>
      </c>
      <c r="D763" s="1917"/>
      <c r="E763" s="1917"/>
      <c r="F763" s="1917"/>
      <c r="G763" s="1917"/>
      <c r="H763" s="1917"/>
      <c r="I763" s="1917"/>
      <c r="J763" s="1917"/>
      <c r="K763" s="1917"/>
      <c r="L763" s="1917"/>
      <c r="M763" s="1917"/>
      <c r="N763" s="1917"/>
      <c r="O763" s="1917"/>
      <c r="P763" s="1917"/>
      <c r="Q763" s="1969"/>
      <c r="R763" s="1917"/>
      <c r="S763" s="1917"/>
      <c r="T763" s="1917"/>
      <c r="U763" s="1917"/>
      <c r="V763" s="1917"/>
      <c r="W763" s="346"/>
    </row>
    <row r="764" spans="1:23" x14ac:dyDescent="0.2">
      <c r="A764" s="436"/>
      <c r="B764" s="345"/>
      <c r="C764" s="467" t="s">
        <v>494</v>
      </c>
      <c r="D764" s="1913">
        <v>180000</v>
      </c>
      <c r="E764" s="1915" t="s">
        <v>611</v>
      </c>
      <c r="F764" s="1917"/>
      <c r="G764" s="1917"/>
      <c r="H764" s="1917"/>
      <c r="I764" s="1917"/>
      <c r="J764" s="1917"/>
      <c r="K764" s="1917"/>
      <c r="L764" s="1917"/>
      <c r="M764" s="1917"/>
      <c r="N764" s="1917"/>
      <c r="O764" s="1917"/>
      <c r="P764" s="1917"/>
      <c r="Q764" s="1969"/>
      <c r="R764" s="1917"/>
      <c r="S764" s="1917"/>
      <c r="T764" s="1917"/>
      <c r="U764" s="1917"/>
      <c r="V764" s="1917"/>
      <c r="W764" s="346"/>
    </row>
    <row r="765" spans="1:23" x14ac:dyDescent="0.2">
      <c r="A765" s="436"/>
      <c r="B765" s="345"/>
      <c r="C765" s="461" t="s">
        <v>673</v>
      </c>
      <c r="D765" s="1917">
        <v>150</v>
      </c>
      <c r="E765" s="339" t="s">
        <v>630</v>
      </c>
      <c r="F765" s="1917"/>
      <c r="G765" s="1917"/>
      <c r="H765" s="1917"/>
      <c r="I765" s="1917"/>
      <c r="J765" s="1917"/>
      <c r="K765" s="1917"/>
      <c r="L765" s="1917"/>
      <c r="M765" s="1917"/>
      <c r="N765" s="1917"/>
      <c r="O765" s="1917"/>
      <c r="P765" s="1917"/>
      <c r="Q765" s="1969"/>
      <c r="R765" s="1917"/>
      <c r="S765" s="1917"/>
      <c r="T765" s="1917"/>
      <c r="U765" s="1917"/>
      <c r="V765" s="1917"/>
      <c r="W765" s="346"/>
    </row>
    <row r="766" spans="1:23" x14ac:dyDescent="0.2">
      <c r="A766" s="436"/>
      <c r="B766" s="345"/>
      <c r="C766" s="461" t="s">
        <v>526</v>
      </c>
      <c r="D766" s="1917">
        <f ca="1">D765*H754*'Energy &amp; Unit Conversions'!G87</f>
        <v>3.4726070405047035E-20</v>
      </c>
      <c r="E766" s="339" t="s">
        <v>632</v>
      </c>
      <c r="F766" s="1917"/>
      <c r="G766" s="1917"/>
      <c r="H766" s="1917"/>
      <c r="I766" s="1917"/>
      <c r="J766" s="1917"/>
      <c r="K766" s="1917"/>
      <c r="L766" s="1917"/>
      <c r="M766" s="1917"/>
      <c r="N766" s="1917"/>
      <c r="O766" s="1917"/>
      <c r="P766" s="1917"/>
      <c r="Q766" s="1969"/>
      <c r="R766" s="1917"/>
      <c r="S766" s="1917"/>
      <c r="T766" s="1917"/>
      <c r="U766" s="1917"/>
      <c r="V766" s="1917"/>
      <c r="W766" s="346"/>
    </row>
    <row r="767" spans="1:23" x14ac:dyDescent="0.2">
      <c r="A767" s="436"/>
      <c r="B767" s="345"/>
      <c r="C767" s="461" t="s">
        <v>674</v>
      </c>
      <c r="D767" s="914">
        <f>Constants!H230</f>
        <v>0.97</v>
      </c>
      <c r="E767" s="339" t="s">
        <v>496</v>
      </c>
      <c r="F767" s="1917"/>
      <c r="G767" s="1917"/>
      <c r="H767" s="1917"/>
      <c r="I767" s="1917"/>
      <c r="J767" s="1917"/>
      <c r="K767" s="1917"/>
      <c r="L767" s="1917"/>
      <c r="M767" s="1917"/>
      <c r="N767" s="1917"/>
      <c r="O767" s="1917"/>
      <c r="P767" s="1917"/>
      <c r="Q767" s="1969"/>
      <c r="R767" s="1917"/>
      <c r="S767" s="1917"/>
      <c r="T767" s="1917"/>
      <c r="U767" s="1917"/>
      <c r="V767" s="1917"/>
      <c r="W767" s="346"/>
    </row>
    <row r="768" spans="1:23" x14ac:dyDescent="0.2">
      <c r="A768" s="436"/>
      <c r="B768" s="345"/>
      <c r="C768" s="461" t="s">
        <v>674</v>
      </c>
      <c r="D768" s="1917">
        <f>D767*'Energy &amp; Unit Conversions'!G79/'Energy &amp; Unit Conversions'!G80</f>
        <v>2.7674197806994649</v>
      </c>
      <c r="E768" s="339" t="s">
        <v>581</v>
      </c>
      <c r="F768" s="1917"/>
      <c r="G768" s="1917"/>
      <c r="H768" s="1917"/>
      <c r="I768" s="1917"/>
      <c r="J768" s="1917"/>
      <c r="K768" s="1917"/>
      <c r="L768" s="1917"/>
      <c r="M768" s="1917"/>
      <c r="N768" s="1917"/>
      <c r="O768" s="1917"/>
      <c r="P768" s="1917"/>
      <c r="Q768" s="1969"/>
      <c r="R768" s="1917"/>
      <c r="S768" s="1917"/>
      <c r="T768" s="1917"/>
      <c r="U768" s="1917"/>
      <c r="V768" s="1917"/>
      <c r="W768" s="346"/>
    </row>
    <row r="769" spans="1:23" x14ac:dyDescent="0.2">
      <c r="A769" s="436"/>
      <c r="B769" s="345"/>
      <c r="C769" s="471" t="s">
        <v>675</v>
      </c>
      <c r="D769" s="364">
        <f ca="1">D768*E754</f>
        <v>9.2560225664225458E-17</v>
      </c>
      <c r="E769" s="479" t="s">
        <v>622</v>
      </c>
      <c r="F769" s="1917"/>
      <c r="G769" s="1917"/>
      <c r="H769" s="1917"/>
      <c r="I769" s="1917"/>
      <c r="J769" s="1917"/>
      <c r="K769" s="1917"/>
      <c r="L769" s="1917"/>
      <c r="M769" s="1917"/>
      <c r="N769" s="1917"/>
      <c r="O769" s="1917"/>
      <c r="P769" s="1917"/>
      <c r="Q769" s="1969"/>
      <c r="R769" s="1917"/>
      <c r="S769" s="1917"/>
      <c r="T769" s="1917"/>
      <c r="U769" s="1917"/>
      <c r="V769" s="1917"/>
      <c r="W769" s="346"/>
    </row>
    <row r="770" spans="1:23" x14ac:dyDescent="0.2">
      <c r="A770" s="436"/>
      <c r="B770" s="345"/>
      <c r="C770" s="461" t="s">
        <v>451</v>
      </c>
      <c r="D770" s="914">
        <f>Constants!H234</f>
        <v>0.45000000000000007</v>
      </c>
      <c r="E770" s="339" t="s">
        <v>665</v>
      </c>
      <c r="F770" s="1917"/>
      <c r="G770" s="1917"/>
      <c r="H770" s="1917"/>
      <c r="I770" s="1917"/>
      <c r="J770" s="1917"/>
      <c r="K770" s="1917"/>
      <c r="L770" s="1917"/>
      <c r="M770" s="1917"/>
      <c r="N770" s="1917"/>
      <c r="O770" s="1917"/>
      <c r="P770" s="1917"/>
      <c r="Q770" s="1969"/>
      <c r="R770" s="1917"/>
      <c r="S770" s="1917"/>
      <c r="T770" s="1917"/>
      <c r="U770" s="1917"/>
      <c r="V770" s="1917"/>
      <c r="W770" s="346"/>
    </row>
    <row r="771" spans="1:23" x14ac:dyDescent="0.2">
      <c r="A771" s="436"/>
      <c r="B771" s="345"/>
      <c r="C771" s="461" t="s">
        <v>451</v>
      </c>
      <c r="D771" s="1917">
        <f>D770/'Energy &amp; Unit Conversions'!G80</f>
        <v>2.830414756398782</v>
      </c>
      <c r="E771" s="339" t="s">
        <v>629</v>
      </c>
      <c r="F771" s="1917"/>
      <c r="G771" s="1917"/>
      <c r="H771" s="1917"/>
      <c r="I771" s="1917"/>
      <c r="J771" s="1917"/>
      <c r="K771" s="1917"/>
      <c r="L771" s="1917"/>
      <c r="M771" s="1917"/>
      <c r="N771" s="1917"/>
      <c r="O771" s="1917"/>
      <c r="P771" s="1917"/>
      <c r="Q771" s="1969"/>
      <c r="R771" s="1917"/>
      <c r="S771" s="1917"/>
      <c r="T771" s="1917"/>
      <c r="U771" s="1917"/>
      <c r="V771" s="1917"/>
      <c r="W771" s="346"/>
    </row>
    <row r="772" spans="1:23" x14ac:dyDescent="0.2">
      <c r="A772" s="436"/>
      <c r="B772" s="345"/>
      <c r="C772" s="469" t="s">
        <v>452</v>
      </c>
      <c r="D772" s="408">
        <f ca="1">D771*E754</f>
        <v>9.4667180744588239E-17</v>
      </c>
      <c r="E772" s="409" t="s">
        <v>627</v>
      </c>
      <c r="F772" s="1917"/>
      <c r="G772" s="1917"/>
      <c r="H772" s="1917"/>
      <c r="I772" s="1917"/>
      <c r="J772" s="1917"/>
      <c r="K772" s="1917"/>
      <c r="L772" s="1917"/>
      <c r="M772" s="1917"/>
      <c r="N772" s="1917"/>
      <c r="O772" s="1917"/>
      <c r="P772" s="1917"/>
      <c r="Q772" s="1969"/>
      <c r="R772" s="1917"/>
      <c r="S772" s="1917"/>
      <c r="T772" s="1917"/>
      <c r="U772" s="1917"/>
      <c r="V772" s="1917"/>
      <c r="W772" s="346"/>
    </row>
    <row r="773" spans="1:23" x14ac:dyDescent="0.2">
      <c r="A773" s="436"/>
      <c r="B773" s="345"/>
      <c r="C773" s="437"/>
      <c r="D773" s="1917"/>
      <c r="E773" s="1917"/>
      <c r="F773" s="1917"/>
      <c r="G773" s="1917"/>
      <c r="H773" s="1917"/>
      <c r="I773" s="1917"/>
      <c r="J773" s="1917"/>
      <c r="K773" s="1917"/>
      <c r="L773" s="1917"/>
      <c r="M773" s="1917"/>
      <c r="N773" s="1917"/>
      <c r="O773" s="1917"/>
      <c r="P773" s="1917"/>
      <c r="Q773" s="1969"/>
      <c r="R773" s="1917"/>
      <c r="S773" s="1917"/>
      <c r="T773" s="1917"/>
      <c r="U773" s="1917"/>
      <c r="V773" s="1917"/>
      <c r="W773" s="346"/>
    </row>
    <row r="774" spans="1:23" x14ac:dyDescent="0.2">
      <c r="A774" s="436"/>
      <c r="B774" s="345"/>
      <c r="C774" s="440" t="s">
        <v>251</v>
      </c>
      <c r="D774" s="350"/>
      <c r="E774" s="1917"/>
      <c r="F774" s="1917"/>
      <c r="G774" s="1917"/>
      <c r="H774" s="1917"/>
      <c r="I774" s="1917"/>
      <c r="J774" s="1917"/>
      <c r="K774" s="1917"/>
      <c r="L774" s="1917"/>
      <c r="M774" s="1917"/>
      <c r="N774" s="1917"/>
      <c r="O774" s="1917"/>
      <c r="P774" s="1917"/>
      <c r="Q774" s="1969"/>
      <c r="R774" s="1917"/>
      <c r="S774" s="1917"/>
      <c r="T774" s="1917"/>
      <c r="U774" s="1917"/>
      <c r="V774" s="1917"/>
      <c r="W774" s="346"/>
    </row>
    <row r="775" spans="1:23" x14ac:dyDescent="0.2">
      <c r="A775" s="436"/>
      <c r="B775" s="345"/>
      <c r="C775" s="454"/>
      <c r="D775" s="356" t="s">
        <v>1197</v>
      </c>
      <c r="E775" s="356" t="s">
        <v>1198</v>
      </c>
      <c r="F775" s="356" t="s">
        <v>1199</v>
      </c>
      <c r="G775" s="356" t="s">
        <v>663</v>
      </c>
      <c r="H775" s="357" t="s">
        <v>662</v>
      </c>
      <c r="I775" s="1917"/>
      <c r="J775" s="1917"/>
      <c r="K775" s="1917"/>
      <c r="L775" s="1911"/>
      <c r="M775" s="1911"/>
      <c r="N775" s="1911"/>
      <c r="O775" s="1911"/>
      <c r="P775" s="1917"/>
      <c r="Q775" s="1969"/>
      <c r="R775" s="1917"/>
      <c r="S775" s="1917"/>
      <c r="T775" s="1917"/>
      <c r="U775" s="1917"/>
      <c r="V775" s="1917"/>
      <c r="W775" s="346"/>
    </row>
    <row r="776" spans="1:23" x14ac:dyDescent="0.2">
      <c r="A776" s="436"/>
      <c r="B776" s="345"/>
      <c r="C776" s="442" t="s">
        <v>482</v>
      </c>
      <c r="D776" s="1917">
        <f ca="1">H697</f>
        <v>1.2581015309596246E-16</v>
      </c>
      <c r="E776" s="1917">
        <f ca="1">H699</f>
        <v>1.4801640249452149E-14</v>
      </c>
      <c r="F776" s="1917">
        <f ca="1">E776/D776/'Energy &amp; Unit Conversions'!G80</f>
        <v>740</v>
      </c>
      <c r="G776" s="1917">
        <f ca="1">H700</f>
        <v>0</v>
      </c>
      <c r="H776" s="337">
        <f ca="1">H704</f>
        <v>14.500000000000002</v>
      </c>
      <c r="I776" s="1917"/>
      <c r="J776" s="1917"/>
      <c r="K776" s="1917"/>
      <c r="L776" s="1917"/>
      <c r="M776" s="1917"/>
      <c r="N776" s="1917"/>
      <c r="O776" s="1917"/>
      <c r="P776" s="1917"/>
      <c r="Q776" s="1969"/>
      <c r="R776" s="1917"/>
      <c r="S776" s="1917"/>
      <c r="T776" s="1917"/>
      <c r="U776" s="1917"/>
      <c r="V776" s="1917"/>
      <c r="W776" s="346"/>
    </row>
    <row r="777" spans="1:23" x14ac:dyDescent="0.2">
      <c r="A777" s="436"/>
      <c r="B777" s="345"/>
      <c r="C777" s="442" t="s">
        <v>418</v>
      </c>
      <c r="D777" s="1917">
        <f ca="1">I697</f>
        <v>4.2535471520736606E-17</v>
      </c>
      <c r="E777" s="1917">
        <f ca="1">I699</f>
        <v>5.7482098056124854E-15</v>
      </c>
      <c r="F777" s="1917">
        <f ca="1">E777/D777/'Energy &amp; Unit Conversions'!G80</f>
        <v>849.99999999999989</v>
      </c>
      <c r="G777" s="1917">
        <f ca="1">I700</f>
        <v>0</v>
      </c>
      <c r="H777" s="337">
        <f ca="1">I704</f>
        <v>9.7999999999999989</v>
      </c>
      <c r="I777" s="1917"/>
      <c r="J777" s="1917"/>
      <c r="K777" s="1917"/>
      <c r="L777" s="1917"/>
      <c r="M777" s="1917"/>
      <c r="N777" s="1917"/>
      <c r="O777" s="1917"/>
      <c r="P777" s="1917"/>
      <c r="Q777" s="1969"/>
      <c r="R777" s="1917"/>
      <c r="S777" s="1917"/>
      <c r="T777" s="1917"/>
      <c r="U777" s="1917"/>
      <c r="V777" s="1917"/>
      <c r="W777" s="346"/>
    </row>
    <row r="778" spans="1:23" x14ac:dyDescent="0.2">
      <c r="A778" s="436"/>
      <c r="B778" s="345"/>
      <c r="C778" s="442" t="s">
        <v>421</v>
      </c>
      <c r="D778" s="1917">
        <f ca="1">J697</f>
        <v>2.7563827832002086E-17</v>
      </c>
      <c r="E778" s="1917">
        <f ca="1">J699</f>
        <v>4.4261215503216138E-15</v>
      </c>
      <c r="F778" s="1917">
        <f ca="1">E778/D778/'Energy &amp; Unit Conversions'!G80</f>
        <v>1009.9999999999999</v>
      </c>
      <c r="G778" s="1917">
        <f ca="1">J700</f>
        <v>0</v>
      </c>
      <c r="H778" s="337">
        <f ca="1">J704</f>
        <v>8</v>
      </c>
      <c r="I778" s="1917"/>
      <c r="J778" s="1917"/>
      <c r="K778" s="1917"/>
      <c r="L778" s="1917"/>
      <c r="M778" s="1917"/>
      <c r="N778" s="1917"/>
      <c r="O778" s="1917"/>
      <c r="P778" s="1917"/>
      <c r="Q778" s="1969"/>
      <c r="R778" s="1917"/>
      <c r="S778" s="1917"/>
      <c r="T778" s="1917"/>
      <c r="U778" s="1917"/>
      <c r="V778" s="1917"/>
      <c r="W778" s="346"/>
    </row>
    <row r="779" spans="1:23" x14ac:dyDescent="0.2">
      <c r="A779" s="436"/>
      <c r="B779" s="345"/>
      <c r="C779" s="451" t="s">
        <v>1200</v>
      </c>
      <c r="D779" s="336">
        <f ca="1">SUM(D776:D778)</f>
        <v>1.9590945244870115E-16</v>
      </c>
      <c r="E779" s="336">
        <f ca="1">SUM(E776:E778)</f>
        <v>2.4975971605386248E-14</v>
      </c>
      <c r="F779" s="336"/>
      <c r="G779" s="336"/>
      <c r="H779" s="367"/>
      <c r="I779" s="1917"/>
      <c r="J779" s="1917"/>
      <c r="K779" s="1917"/>
      <c r="L779" s="1917"/>
      <c r="M779" s="1917"/>
      <c r="N779" s="1917"/>
      <c r="O779" s="1917"/>
      <c r="P779" s="1917"/>
      <c r="Q779" s="1969"/>
      <c r="R779" s="1917"/>
      <c r="S779" s="1917"/>
      <c r="T779" s="1917"/>
      <c r="U779" s="1917"/>
      <c r="V779" s="1917"/>
      <c r="W779" s="346"/>
    </row>
    <row r="780" spans="1:23" x14ac:dyDescent="0.2">
      <c r="A780" s="436"/>
      <c r="B780" s="345"/>
      <c r="C780" s="437"/>
      <c r="D780" s="1917"/>
      <c r="E780" s="1917"/>
      <c r="F780" s="1917"/>
      <c r="G780" s="1917"/>
      <c r="H780" s="1917"/>
      <c r="I780" s="1917"/>
      <c r="J780" s="1917"/>
      <c r="K780" s="1917"/>
      <c r="L780" s="1917"/>
      <c r="M780" s="1917"/>
      <c r="N780" s="1917"/>
      <c r="O780" s="1917"/>
      <c r="P780" s="1917"/>
      <c r="Q780" s="1969"/>
      <c r="R780" s="1917"/>
      <c r="S780" s="1917"/>
      <c r="T780" s="1917"/>
      <c r="U780" s="1917"/>
      <c r="V780" s="1917"/>
      <c r="W780" s="346"/>
    </row>
    <row r="781" spans="1:23" x14ac:dyDescent="0.2">
      <c r="A781" s="436"/>
      <c r="B781" s="345"/>
      <c r="C781" s="440" t="s">
        <v>1355</v>
      </c>
      <c r="D781" s="350"/>
      <c r="E781" s="1917"/>
      <c r="F781" s="1917"/>
      <c r="G781" s="1917"/>
      <c r="H781" s="1917"/>
      <c r="I781" s="1917"/>
      <c r="J781" s="1917"/>
      <c r="K781" s="1917"/>
      <c r="L781" s="1917"/>
      <c r="M781" s="1917"/>
      <c r="N781" s="1917"/>
      <c r="O781" s="1917"/>
      <c r="P781" s="1917"/>
      <c r="Q781" s="1969"/>
      <c r="R781" s="1917"/>
      <c r="S781" s="1917"/>
      <c r="T781" s="1917"/>
      <c r="U781" s="1917"/>
      <c r="V781" s="1917"/>
      <c r="W781" s="346"/>
    </row>
    <row r="782" spans="1:23" x14ac:dyDescent="0.2">
      <c r="A782" s="436"/>
      <c r="B782" s="345"/>
      <c r="C782" s="463"/>
      <c r="D782" s="1913"/>
      <c r="E782" s="1913"/>
      <c r="F782" s="1913"/>
      <c r="G782" s="404" t="s">
        <v>292</v>
      </c>
      <c r="H782" s="404" t="s">
        <v>293</v>
      </c>
      <c r="I782" s="402" t="s">
        <v>294</v>
      </c>
      <c r="J782" s="405" t="s">
        <v>663</v>
      </c>
      <c r="K782" s="406" t="s">
        <v>662</v>
      </c>
      <c r="L782" s="1917"/>
      <c r="M782" s="1917"/>
      <c r="N782" s="1917"/>
      <c r="O782" s="1917"/>
      <c r="P782" s="1917"/>
      <c r="Q782" s="1969"/>
      <c r="R782" s="1917"/>
      <c r="S782" s="1917"/>
      <c r="T782" s="1917"/>
      <c r="U782" s="1917"/>
      <c r="V782" s="1917"/>
      <c r="W782" s="346"/>
    </row>
    <row r="783" spans="1:23" x14ac:dyDescent="0.2">
      <c r="A783" s="436"/>
      <c r="B783" s="345"/>
      <c r="C783" s="461" t="s">
        <v>482</v>
      </c>
      <c r="D783" s="1917">
        <f>CokingRefineryControls!C25</f>
        <v>1E-10</v>
      </c>
      <c r="E783" s="1917" t="s">
        <v>1194</v>
      </c>
      <c r="F783" s="1911" t="s">
        <v>419</v>
      </c>
      <c r="G783" s="1917">
        <f ca="1">D783/100*D776+D784/100*D777</f>
        <v>1.6834562461669907E-28</v>
      </c>
      <c r="H783" s="1917">
        <f ca="1">D783/100*E776+D784/100*E777</f>
        <v>2.0549850055064635E-26</v>
      </c>
      <c r="I783" s="1917">
        <f ca="1">H783/G783/'Energy &amp; Unit Conversions'!G80</f>
        <v>767.79342723004697</v>
      </c>
      <c r="J783" s="1917">
        <f ca="1">(D783/100*E776*G776+D784/100*E777*G777)/H783</f>
        <v>0</v>
      </c>
      <c r="K783" s="339">
        <f ca="1">(D783/100*E776*H776+D784/100*E777*H777)/H783</f>
        <v>13.185314685314687</v>
      </c>
      <c r="L783" s="1917"/>
      <c r="M783" s="1917"/>
      <c r="N783" s="1917"/>
      <c r="O783" s="1917"/>
      <c r="P783" s="1917"/>
      <c r="Q783" s="1969"/>
      <c r="R783" s="1917"/>
      <c r="S783" s="1917"/>
      <c r="T783" s="1917"/>
      <c r="U783" s="1917"/>
      <c r="V783" s="1917"/>
      <c r="W783" s="346"/>
    </row>
    <row r="784" spans="1:23" x14ac:dyDescent="0.2">
      <c r="A784" s="436"/>
      <c r="B784" s="345"/>
      <c r="C784" s="461" t="s">
        <v>418</v>
      </c>
      <c r="D784" s="1917">
        <f>CokingRefineryControls!C26</f>
        <v>1E-10</v>
      </c>
      <c r="E784" s="1917" t="s">
        <v>1194</v>
      </c>
      <c r="F784" s="1911" t="s">
        <v>422</v>
      </c>
      <c r="G784" s="1917">
        <f ca="1">D784/100*D777+D785/100*D778</f>
        <v>7.0099299352738683E-29</v>
      </c>
      <c r="H784" s="1917">
        <f ca="1">D784/100*E777+D785/100*E778</f>
        <v>1.01743313559341E-26</v>
      </c>
      <c r="I784" s="1917">
        <f ca="1">H784/G784/'Energy &amp; Unit Conversions'!G80</f>
        <v>912.91378792430169</v>
      </c>
      <c r="J784" s="1917">
        <f ca="1">(D784/100*E777*G777+D785/100*E778*G778)/H784</f>
        <v>0</v>
      </c>
      <c r="K784" s="339">
        <f ca="1">(D784/100*E777*H777+D785/100*E778*H778)/H784</f>
        <v>9.0169491525423719</v>
      </c>
      <c r="L784" s="1917"/>
      <c r="M784" s="1917"/>
      <c r="N784" s="1917"/>
      <c r="O784" s="1917"/>
      <c r="P784" s="1917"/>
      <c r="Q784" s="1969"/>
      <c r="R784" s="1917"/>
      <c r="S784" s="1917"/>
      <c r="T784" s="1917"/>
      <c r="U784" s="1917"/>
      <c r="V784" s="1917"/>
      <c r="W784" s="346"/>
    </row>
    <row r="785" spans="1:23" x14ac:dyDescent="0.2">
      <c r="A785" s="436"/>
      <c r="B785" s="345"/>
      <c r="C785" s="462" t="s">
        <v>421</v>
      </c>
      <c r="D785" s="1914">
        <f>CokingRefineryControls!C27</f>
        <v>1E-10</v>
      </c>
      <c r="E785" s="1914" t="s">
        <v>1194</v>
      </c>
      <c r="F785" s="400"/>
      <c r="G785" s="1914">
        <f ca="1">SUM(G783:G783)</f>
        <v>1.6834562461669907E-28</v>
      </c>
      <c r="H785" s="1914"/>
      <c r="I785" s="1914"/>
      <c r="J785" s="1914"/>
      <c r="K785" s="1916"/>
      <c r="L785" s="1917"/>
      <c r="M785" s="1917"/>
      <c r="N785" s="1917"/>
      <c r="O785" s="1917"/>
      <c r="P785" s="1917"/>
      <c r="Q785" s="1969"/>
      <c r="R785" s="1917"/>
      <c r="S785" s="1917"/>
      <c r="T785" s="1917"/>
      <c r="U785" s="1917"/>
      <c r="V785" s="1917"/>
      <c r="W785" s="346"/>
    </row>
    <row r="786" spans="1:23" x14ac:dyDescent="0.2">
      <c r="A786" s="436"/>
      <c r="B786" s="345"/>
      <c r="C786" s="444"/>
      <c r="D786" s="1917"/>
      <c r="E786" s="1917"/>
      <c r="F786" s="1911"/>
      <c r="G786" s="1917"/>
      <c r="H786" s="1917"/>
      <c r="I786" s="1917"/>
      <c r="J786" s="1917"/>
      <c r="K786" s="1917"/>
      <c r="L786" s="1917"/>
      <c r="M786" s="1917"/>
      <c r="N786" s="1917"/>
      <c r="O786" s="1917"/>
      <c r="P786" s="1917"/>
      <c r="Q786" s="1969"/>
      <c r="R786" s="1917"/>
      <c r="S786" s="1917"/>
      <c r="T786" s="1917"/>
      <c r="U786" s="1917"/>
      <c r="V786" s="1917"/>
      <c r="W786" s="346"/>
    </row>
    <row r="787" spans="1:23" x14ac:dyDescent="0.2">
      <c r="A787" s="436"/>
      <c r="B787" s="345"/>
      <c r="C787" s="440" t="s">
        <v>296</v>
      </c>
      <c r="D787" s="350"/>
      <c r="E787" s="1917"/>
      <c r="F787" s="1911"/>
      <c r="G787" s="1917"/>
      <c r="H787" s="1917"/>
      <c r="I787" s="1917"/>
      <c r="J787" s="1917"/>
      <c r="K787" s="1917"/>
      <c r="L787" s="1917"/>
      <c r="M787" s="1917"/>
      <c r="N787" s="1917"/>
      <c r="O787" s="1917"/>
      <c r="P787" s="1917"/>
      <c r="Q787" s="1969"/>
      <c r="R787" s="1917"/>
      <c r="S787" s="1917"/>
      <c r="T787" s="1917"/>
      <c r="U787" s="1917"/>
      <c r="V787" s="1917"/>
      <c r="W787" s="346"/>
    </row>
    <row r="788" spans="1:23" x14ac:dyDescent="0.2">
      <c r="A788" s="477"/>
      <c r="B788" s="396"/>
      <c r="C788" s="445" t="s">
        <v>1208</v>
      </c>
      <c r="D788" s="1918" t="s">
        <v>1209</v>
      </c>
      <c r="E788" s="1918" t="s">
        <v>1210</v>
      </c>
      <c r="F788" s="356" t="s">
        <v>1211</v>
      </c>
      <c r="G788" s="1918" t="s">
        <v>1212</v>
      </c>
      <c r="H788" s="1918" t="s">
        <v>1213</v>
      </c>
      <c r="I788" s="356" t="s">
        <v>1214</v>
      </c>
      <c r="J788" s="1918" t="s">
        <v>1215</v>
      </c>
      <c r="K788" s="1919" t="s">
        <v>1216</v>
      </c>
      <c r="L788" s="1911"/>
      <c r="M788" s="1911"/>
      <c r="N788" s="1911"/>
      <c r="O788" s="1911"/>
      <c r="P788" s="1911"/>
      <c r="Q788" s="1968"/>
      <c r="R788" s="1911"/>
      <c r="S788" s="1911"/>
      <c r="T788" s="1911"/>
      <c r="U788" s="1911"/>
      <c r="V788" s="1911"/>
      <c r="W788" s="1927"/>
    </row>
    <row r="789" spans="1:23" x14ac:dyDescent="0.2">
      <c r="A789" s="436"/>
      <c r="B789" s="345"/>
      <c r="C789" s="453">
        <f ca="1">D783/100*D776</f>
        <v>1.2581015309596246E-28</v>
      </c>
      <c r="D789" s="1917">
        <f>CokingRefineryControls!C28</f>
        <v>50</v>
      </c>
      <c r="E789" s="1917">
        <f>100-D789</f>
        <v>50</v>
      </c>
      <c r="F789" s="1917">
        <f ca="1">D776-D783/100*D776</f>
        <v>1.2581015309583666E-16</v>
      </c>
      <c r="G789" s="1917">
        <f ca="1">D789/100*G783</f>
        <v>8.4172812308349536E-29</v>
      </c>
      <c r="H789" s="1917">
        <f ca="1">G783-G789</f>
        <v>8.4172812308349536E-29</v>
      </c>
      <c r="I789" s="1917">
        <f ca="1">E776-D783/100*E776</f>
        <v>1.4801640249437347E-14</v>
      </c>
      <c r="J789" s="1917">
        <f ca="1">D789/100*H783</f>
        <v>1.0274925027532317E-26</v>
      </c>
      <c r="K789" s="337">
        <f ca="1">H783-J789</f>
        <v>1.0274925027532317E-26</v>
      </c>
      <c r="L789" s="1917"/>
      <c r="M789" s="1917"/>
      <c r="N789" s="1917"/>
      <c r="O789" s="1917"/>
      <c r="P789" s="1917"/>
      <c r="Q789" s="1969"/>
      <c r="R789" s="1917"/>
      <c r="S789" s="1917"/>
      <c r="T789" s="1917"/>
      <c r="U789" s="1917"/>
      <c r="V789" s="1917"/>
      <c r="W789" s="346"/>
    </row>
    <row r="790" spans="1:23" x14ac:dyDescent="0.2">
      <c r="A790" s="436"/>
      <c r="B790" s="345"/>
      <c r="C790" s="453">
        <f ca="1">2*D784/100*D777</f>
        <v>8.5070943041473207E-29</v>
      </c>
      <c r="D790" s="1917">
        <f>CokingRefineryControls!C29</f>
        <v>50</v>
      </c>
      <c r="E790" s="1917">
        <f>100-D790</f>
        <v>50</v>
      </c>
      <c r="F790" s="1917">
        <f ca="1">D777-D784/100*D777</f>
        <v>4.2535471520694069E-17</v>
      </c>
      <c r="G790" s="1917">
        <f ca="1">D790/100*G784</f>
        <v>3.5049649676369341E-29</v>
      </c>
      <c r="H790" s="1917">
        <f ca="1">G784-G790</f>
        <v>3.5049649676369341E-29</v>
      </c>
      <c r="I790" s="1917">
        <f ca="1">E777-2*D784/100*E777</f>
        <v>5.7482098056009894E-15</v>
      </c>
      <c r="J790" s="1917">
        <f ca="1">D790/100*H784</f>
        <v>5.08716567796705E-27</v>
      </c>
      <c r="K790" s="337">
        <f ca="1">H784-J790</f>
        <v>5.08716567796705E-27</v>
      </c>
      <c r="L790" s="1917"/>
      <c r="M790" s="1917"/>
      <c r="N790" s="1917"/>
      <c r="O790" s="1917"/>
      <c r="P790" s="1917"/>
      <c r="Q790" s="1969"/>
      <c r="R790" s="1917"/>
      <c r="S790" s="1917"/>
      <c r="T790" s="1917"/>
      <c r="U790" s="1917"/>
      <c r="V790" s="1917"/>
      <c r="W790" s="346"/>
    </row>
    <row r="791" spans="1:23" x14ac:dyDescent="0.2">
      <c r="A791" s="436"/>
      <c r="B791" s="345"/>
      <c r="C791" s="453">
        <f ca="1">D785/100*D778</f>
        <v>2.7563827832002085E-29</v>
      </c>
      <c r="D791" s="1917"/>
      <c r="E791" s="1917"/>
      <c r="F791" s="1917">
        <f ca="1">D778-D785/100*D778</f>
        <v>2.7563827831974522E-17</v>
      </c>
      <c r="G791" s="1917"/>
      <c r="H791" s="1917"/>
      <c r="I791" s="1917">
        <f ca="1">E778-D785/100*E778</f>
        <v>4.4261215503171875E-15</v>
      </c>
      <c r="J791" s="1917"/>
      <c r="K791" s="337"/>
      <c r="L791" s="1917"/>
      <c r="M791" s="1917"/>
      <c r="N791" s="1917"/>
      <c r="O791" s="1917"/>
      <c r="P791" s="1917"/>
      <c r="Q791" s="1969"/>
      <c r="R791" s="1917"/>
      <c r="S791" s="1917"/>
      <c r="T791" s="1917"/>
      <c r="U791" s="1917"/>
      <c r="V791" s="1917"/>
      <c r="W791" s="346"/>
    </row>
    <row r="792" spans="1:23" x14ac:dyDescent="0.2">
      <c r="A792" s="436"/>
      <c r="B792" s="345"/>
      <c r="C792" s="452">
        <f ca="1">SUM(C789:C790)</f>
        <v>2.1088109613743566E-28</v>
      </c>
      <c r="D792" s="334"/>
      <c r="E792" s="334"/>
      <c r="F792" s="334">
        <f ca="1">SUM(F789:F790)</f>
        <v>1.6834562461653073E-16</v>
      </c>
      <c r="G792" s="334"/>
      <c r="H792" s="334"/>
      <c r="I792" s="334"/>
      <c r="J792" s="334"/>
      <c r="K792" s="338"/>
      <c r="L792" s="1917"/>
      <c r="M792" s="1917"/>
      <c r="N792" s="1917"/>
      <c r="O792" s="1917"/>
      <c r="P792" s="1917"/>
      <c r="Q792" s="1969"/>
      <c r="R792" s="1917"/>
      <c r="S792" s="1917"/>
      <c r="T792" s="1917"/>
      <c r="U792" s="1917"/>
      <c r="V792" s="1917"/>
      <c r="W792" s="346"/>
    </row>
    <row r="793" spans="1:23" x14ac:dyDescent="0.2">
      <c r="A793" s="436"/>
      <c r="B793" s="345"/>
      <c r="C793" s="437"/>
      <c r="D793" s="1917"/>
      <c r="E793" s="1917"/>
      <c r="F793" s="1917"/>
      <c r="G793" s="1917"/>
      <c r="H793" s="1917"/>
      <c r="I793" s="1917"/>
      <c r="J793" s="1917"/>
      <c r="K793" s="1917"/>
      <c r="L793" s="1917"/>
      <c r="M793" s="1917"/>
      <c r="N793" s="1917"/>
      <c r="O793" s="1917"/>
      <c r="P793" s="1917"/>
      <c r="Q793" s="1969"/>
      <c r="R793" s="1917"/>
      <c r="S793" s="1917"/>
      <c r="T793" s="1917"/>
      <c r="U793" s="1917"/>
      <c r="V793" s="1917"/>
      <c r="W793" s="346"/>
    </row>
    <row r="794" spans="1:23" x14ac:dyDescent="0.2">
      <c r="A794" s="436"/>
      <c r="B794" s="345"/>
      <c r="C794" s="440" t="s">
        <v>252</v>
      </c>
      <c r="D794" s="350"/>
      <c r="E794" s="350"/>
      <c r="F794" s="1917"/>
      <c r="G794" s="1917"/>
      <c r="H794" s="1917"/>
      <c r="I794" s="1917"/>
      <c r="J794" s="1917"/>
      <c r="K794" s="1917"/>
      <c r="L794" s="1917"/>
      <c r="M794" s="1917"/>
      <c r="N794" s="1917"/>
      <c r="O794" s="1917"/>
      <c r="P794" s="1917"/>
      <c r="Q794" s="1969"/>
      <c r="R794" s="1917"/>
      <c r="S794" s="1917"/>
      <c r="T794" s="1917"/>
      <c r="U794" s="1917"/>
      <c r="V794" s="1917"/>
      <c r="W794" s="346"/>
    </row>
    <row r="795" spans="1:23" x14ac:dyDescent="0.2">
      <c r="A795" s="436"/>
      <c r="B795" s="345"/>
      <c r="C795" s="454"/>
      <c r="D795" s="356" t="s">
        <v>1197</v>
      </c>
      <c r="E795" s="356" t="s">
        <v>1198</v>
      </c>
      <c r="F795" s="356" t="s">
        <v>1199</v>
      </c>
      <c r="G795" s="356" t="s">
        <v>663</v>
      </c>
      <c r="H795" s="356" t="s">
        <v>662</v>
      </c>
      <c r="I795" s="1918" t="s">
        <v>567</v>
      </c>
      <c r="J795" s="1918" t="s">
        <v>544</v>
      </c>
      <c r="K795" s="369"/>
      <c r="L795" s="329"/>
      <c r="M795" s="329"/>
      <c r="N795" s="329"/>
      <c r="O795" s="329"/>
      <c r="P795" s="359"/>
      <c r="Q795" s="359"/>
      <c r="R795" s="1917"/>
      <c r="S795" s="1917"/>
      <c r="T795" s="1917"/>
      <c r="U795" s="1917"/>
      <c r="V795" s="1917"/>
      <c r="W795" s="346"/>
    </row>
    <row r="796" spans="1:23" x14ac:dyDescent="0.2">
      <c r="A796" s="436"/>
      <c r="B796" s="345"/>
      <c r="C796" s="442" t="s">
        <v>420</v>
      </c>
      <c r="D796" s="1917">
        <f ca="1">F789+G789</f>
        <v>1.2581015309592083E-16</v>
      </c>
      <c r="E796" s="1917">
        <f ca="1">I789+J789</f>
        <v>1.4801640249447621E-14</v>
      </c>
      <c r="F796" s="1917">
        <f ca="1">E796/D796/'Energy &amp; Unit Conversions'!G80</f>
        <v>740.00000000001864</v>
      </c>
      <c r="G796" s="1917">
        <f ca="1">(I789*G776+J789*G777)/E796</f>
        <v>0</v>
      </c>
      <c r="H796" s="1917">
        <f ca="1">(I789*H776+J789*K783)/E796</f>
        <v>14.499999999999089</v>
      </c>
      <c r="I796" s="1917">
        <f ca="1">141.5/(F796/1000)-131.5</f>
        <v>59.716216216211393</v>
      </c>
      <c r="J796" s="1917"/>
      <c r="K796" s="337"/>
      <c r="L796" s="329"/>
      <c r="M796" s="329"/>
      <c r="N796" s="329"/>
      <c r="O796" s="329"/>
      <c r="P796" s="359"/>
      <c r="Q796" s="359"/>
      <c r="R796" s="1917"/>
      <c r="S796" s="1917"/>
      <c r="T796" s="1917"/>
      <c r="U796" s="1917"/>
      <c r="V796" s="1917"/>
      <c r="W796" s="346"/>
    </row>
    <row r="797" spans="1:23" x14ac:dyDescent="0.2">
      <c r="A797" s="436"/>
      <c r="B797" s="345"/>
      <c r="C797" s="442" t="s">
        <v>423</v>
      </c>
      <c r="D797" s="1917">
        <f ca="1">F790+H789+G790</f>
        <v>4.2535471520813291E-17</v>
      </c>
      <c r="E797" s="1917">
        <f ca="1">I790+K789+J790</f>
        <v>5.7482098056163516E-15</v>
      </c>
      <c r="F797" s="1917">
        <f ca="1">E797/D797/'Energy &amp; Unit Conversions'!G80</f>
        <v>849.99999999903912</v>
      </c>
      <c r="G797" s="1917">
        <f ca="1">(I790*G777+K789*J783+J790*J784)/E797</f>
        <v>0</v>
      </c>
      <c r="H797" s="1917">
        <f ca="1">(I790*H777+K789*K783+J790*K784)/E797</f>
        <v>9.8000000000053564</v>
      </c>
      <c r="I797" s="1917">
        <f ca="1">141.5/(F797/1000)-131.5</f>
        <v>34.970588235482325</v>
      </c>
      <c r="J797" s="1917"/>
      <c r="K797" s="337"/>
      <c r="L797" s="329"/>
      <c r="M797" s="329"/>
      <c r="N797" s="329"/>
      <c r="O797" s="329"/>
      <c r="P797" s="359"/>
      <c r="Q797" s="359"/>
      <c r="R797" s="1917"/>
      <c r="S797" s="1917"/>
      <c r="T797" s="1917"/>
      <c r="U797" s="1917"/>
      <c r="V797" s="1917"/>
      <c r="W797" s="346"/>
    </row>
    <row r="798" spans="1:23" x14ac:dyDescent="0.2">
      <c r="A798" s="436"/>
      <c r="B798" s="345"/>
      <c r="C798" s="442" t="s">
        <v>424</v>
      </c>
      <c r="D798" s="1917">
        <f ca="1">F791+H790</f>
        <v>2.7563827832009571E-17</v>
      </c>
      <c r="E798" s="1917">
        <f ca="1">I791+K790</f>
        <v>4.4261215503222749E-15</v>
      </c>
      <c r="F798" s="1917">
        <f ca="1">E798/D798/'Energy &amp; Unit Conversions'!G80</f>
        <v>1009.9999999998765</v>
      </c>
      <c r="G798" s="1917">
        <f ca="1">(I791*G778+K790*J784)/E798</f>
        <v>0</v>
      </c>
      <c r="H798" s="1917">
        <f ca="1">(I791*H778+K790*K784)/E798</f>
        <v>8.0000000000011688</v>
      </c>
      <c r="I798" s="1917"/>
      <c r="J798" s="1917"/>
      <c r="K798" s="337"/>
      <c r="L798" s="359"/>
      <c r="M798" s="359"/>
      <c r="N798" s="359"/>
      <c r="O798" s="359"/>
      <c r="P798" s="359"/>
      <c r="Q798" s="359"/>
      <c r="R798" s="1917"/>
      <c r="S798" s="1917"/>
      <c r="T798" s="1917"/>
      <c r="U798" s="1917"/>
      <c r="V798" s="1917"/>
      <c r="W798" s="346"/>
    </row>
    <row r="799" spans="1:23" x14ac:dyDescent="0.2">
      <c r="A799" s="436"/>
      <c r="B799" s="345"/>
      <c r="C799" s="451" t="s">
        <v>598</v>
      </c>
      <c r="D799" s="336">
        <f ca="1">SUM(D796:D798)</f>
        <v>1.9590945244874368E-16</v>
      </c>
      <c r="E799" s="336">
        <f ca="1">SUM(E796:E798)</f>
        <v>2.4975971605386248E-14</v>
      </c>
      <c r="F799" s="333"/>
      <c r="G799" s="333"/>
      <c r="H799" s="333"/>
      <c r="I799" s="333"/>
      <c r="J799" s="333"/>
      <c r="K799" s="385"/>
      <c r="L799" s="359"/>
      <c r="M799" s="359"/>
      <c r="N799" s="359"/>
      <c r="O799" s="359"/>
      <c r="P799" s="359"/>
      <c r="Q799" s="359"/>
      <c r="R799" s="1917"/>
      <c r="S799" s="1917"/>
      <c r="T799" s="1917"/>
      <c r="U799" s="1917"/>
      <c r="V799" s="1917"/>
      <c r="W799" s="346"/>
    </row>
    <row r="800" spans="1:23" x14ac:dyDescent="0.2">
      <c r="A800" s="436"/>
      <c r="B800" s="345"/>
      <c r="C800" s="437"/>
      <c r="D800" s="1917"/>
      <c r="E800" s="1917"/>
      <c r="F800" s="1917"/>
      <c r="G800" s="1917"/>
      <c r="H800" s="1917"/>
      <c r="I800" s="1917"/>
      <c r="J800" s="1917"/>
      <c r="K800" s="1917"/>
      <c r="L800" s="359"/>
      <c r="M800" s="359"/>
      <c r="N800" s="359"/>
      <c r="O800" s="359"/>
      <c r="P800" s="359"/>
      <c r="Q800" s="359"/>
      <c r="R800" s="1917"/>
      <c r="S800" s="1917"/>
      <c r="T800" s="1917"/>
      <c r="U800" s="1917"/>
      <c r="V800" s="1917"/>
      <c r="W800" s="346"/>
    </row>
    <row r="801" spans="1:23" x14ac:dyDescent="0.2">
      <c r="A801" s="436"/>
      <c r="B801" s="345"/>
      <c r="C801" s="440" t="s">
        <v>1356</v>
      </c>
      <c r="D801" s="1917"/>
      <c r="E801" s="1917"/>
      <c r="F801" s="1917"/>
      <c r="G801" s="1917"/>
      <c r="H801" s="1917"/>
      <c r="I801" s="1917"/>
      <c r="J801" s="1917"/>
      <c r="K801" s="1917"/>
      <c r="L801" s="359"/>
      <c r="M801" s="359"/>
      <c r="N801" s="359"/>
      <c r="O801" s="359"/>
      <c r="P801" s="359"/>
      <c r="Q801" s="359"/>
      <c r="R801" s="1917"/>
      <c r="S801" s="1917"/>
      <c r="T801" s="1917"/>
      <c r="U801" s="1917"/>
      <c r="V801" s="1917"/>
      <c r="W801" s="346"/>
    </row>
    <row r="802" spans="1:23" ht="38.25" x14ac:dyDescent="0.2">
      <c r="A802" s="477"/>
      <c r="B802" s="396"/>
      <c r="C802" s="1896"/>
      <c r="D802" s="495" t="s">
        <v>571</v>
      </c>
      <c r="E802" s="495" t="s">
        <v>580</v>
      </c>
      <c r="F802" s="495" t="s">
        <v>664</v>
      </c>
      <c r="G802" s="495" t="s">
        <v>661</v>
      </c>
      <c r="H802" s="495" t="s">
        <v>663</v>
      </c>
      <c r="I802" s="1897" t="s">
        <v>73</v>
      </c>
      <c r="J802" s="1897" t="s">
        <v>61</v>
      </c>
      <c r="K802" s="1897" t="s">
        <v>63</v>
      </c>
      <c r="L802" s="495" t="s">
        <v>662</v>
      </c>
      <c r="M802" s="1897" t="s">
        <v>74</v>
      </c>
      <c r="N802" s="1897" t="s">
        <v>69</v>
      </c>
      <c r="O802" s="1897" t="s">
        <v>70</v>
      </c>
      <c r="P802" s="496" t="s">
        <v>666</v>
      </c>
      <c r="Q802" s="1968"/>
      <c r="R802" s="1911"/>
      <c r="S802" s="1911"/>
      <c r="T802" s="1911"/>
      <c r="U802" s="1911"/>
      <c r="V802" s="1911"/>
      <c r="W802" s="1927"/>
    </row>
    <row r="803" spans="1:23" x14ac:dyDescent="0.2">
      <c r="A803" s="436"/>
      <c r="B803" s="345"/>
      <c r="C803" s="1898" t="s">
        <v>490</v>
      </c>
      <c r="D803" s="913">
        <v>5</v>
      </c>
      <c r="E803" s="913">
        <v>625</v>
      </c>
      <c r="F803" s="1917">
        <f t="shared" ref="F803:F808" si="85">D803*E803</f>
        <v>3125</v>
      </c>
      <c r="G803" s="1917">
        <f t="shared" ref="G803:G808" si="86">F803/$F$441*100</f>
        <v>3.77853550009673</v>
      </c>
      <c r="H803" s="913">
        <v>0</v>
      </c>
      <c r="I803" s="1917">
        <f t="shared" ref="I803:I808" si="87">G803*H803/100</f>
        <v>0</v>
      </c>
      <c r="J803" s="1917">
        <f t="shared" ref="J803:J809" si="88">I803/$I$441*100</f>
        <v>0</v>
      </c>
      <c r="K803" s="1917">
        <f t="shared" ref="K803:K808" ca="1" si="89">$D$389*J803/100</f>
        <v>0</v>
      </c>
      <c r="L803" s="913">
        <v>14.5</v>
      </c>
      <c r="M803" s="1917">
        <f t="shared" ref="M803:M808" si="90">G803*L803/100</f>
        <v>0.54788764751402586</v>
      </c>
      <c r="N803" s="1917">
        <f t="shared" ref="N803:N808" si="91">M803/$M$441*100</f>
        <v>3.9603898955234937</v>
      </c>
      <c r="O803" s="1917">
        <f t="shared" ref="O803:O809" ca="1" si="92">N803/100*($D$411+$D$406+$D$415)</f>
        <v>8.6611844227997858E-9</v>
      </c>
      <c r="P803" s="429">
        <f t="shared" ref="P803:P808" si="93">D803*E803</f>
        <v>3125</v>
      </c>
      <c r="Q803" s="1969"/>
      <c r="R803" s="1917"/>
      <c r="S803" s="1917"/>
      <c r="T803" s="1917"/>
      <c r="U803" s="1917"/>
      <c r="V803" s="1917"/>
      <c r="W803" s="346"/>
    </row>
    <row r="804" spans="1:23" x14ac:dyDescent="0.2">
      <c r="A804" s="436"/>
      <c r="B804" s="345"/>
      <c r="C804" s="1898" t="s">
        <v>656</v>
      </c>
      <c r="D804" s="913">
        <v>23</v>
      </c>
      <c r="E804" s="913">
        <v>780</v>
      </c>
      <c r="F804" s="1917">
        <f t="shared" si="85"/>
        <v>17940</v>
      </c>
      <c r="G804" s="1917">
        <f t="shared" si="86"/>
        <v>21.69181659895531</v>
      </c>
      <c r="H804" s="913">
        <v>4.3999999999999997E-2</v>
      </c>
      <c r="I804" s="1917">
        <f t="shared" si="87"/>
        <v>9.5443993035403355E-3</v>
      </c>
      <c r="J804" s="1917">
        <f t="shared" si="88"/>
        <v>3.3993353432947142</v>
      </c>
      <c r="K804" s="1917">
        <f t="shared" ca="1" si="89"/>
        <v>1.1519555504235519E-13</v>
      </c>
      <c r="L804" s="913">
        <v>14.5</v>
      </c>
      <c r="M804" s="1917">
        <f t="shared" si="90"/>
        <v>3.14531340684852</v>
      </c>
      <c r="N804" s="1917">
        <f t="shared" si="91"/>
        <v>22.735806312221278</v>
      </c>
      <c r="O804" s="1917">
        <f t="shared" ca="1" si="92"/>
        <v>4.9722127534409025E-8</v>
      </c>
      <c r="P804" s="429">
        <f t="shared" si="93"/>
        <v>17940</v>
      </c>
      <c r="Q804" s="1969"/>
      <c r="R804" s="1917"/>
      <c r="S804" s="1917"/>
      <c r="T804" s="1917"/>
      <c r="U804" s="1917"/>
      <c r="V804" s="1917"/>
      <c r="W804" s="346"/>
    </row>
    <row r="805" spans="1:23" x14ac:dyDescent="0.2">
      <c r="A805" s="436"/>
      <c r="B805" s="345"/>
      <c r="C805" s="1899" t="s">
        <v>657</v>
      </c>
      <c r="D805" s="913">
        <v>55</v>
      </c>
      <c r="E805" s="913">
        <v>845</v>
      </c>
      <c r="F805" s="1917">
        <f t="shared" si="85"/>
        <v>46475</v>
      </c>
      <c r="G805" s="1917">
        <f t="shared" si="86"/>
        <v>56.194379957438578</v>
      </c>
      <c r="H805" s="913">
        <v>0.28999999999999998</v>
      </c>
      <c r="I805" s="1917">
        <f t="shared" si="87"/>
        <v>0.16296370187657186</v>
      </c>
      <c r="J805" s="1917">
        <f t="shared" si="88"/>
        <v>58.041187700276595</v>
      </c>
      <c r="K805" s="1917">
        <f t="shared" ca="1" si="89"/>
        <v>1.9668806273083288E-12</v>
      </c>
      <c r="L805" s="913">
        <v>13.7</v>
      </c>
      <c r="M805" s="1917">
        <f t="shared" si="90"/>
        <v>7.698630054169084</v>
      </c>
      <c r="N805" s="1917">
        <f t="shared" si="91"/>
        <v>55.649323021330211</v>
      </c>
      <c r="O805" s="1917">
        <f t="shared" ca="1" si="92"/>
        <v>1.2170242385389893E-7</v>
      </c>
      <c r="P805" s="429">
        <f t="shared" si="93"/>
        <v>46475</v>
      </c>
      <c r="Q805" s="1969"/>
      <c r="R805" s="1917"/>
      <c r="S805" s="1917"/>
      <c r="T805" s="1917"/>
      <c r="U805" s="1917"/>
      <c r="V805" s="1917"/>
      <c r="W805" s="346"/>
    </row>
    <row r="806" spans="1:23" x14ac:dyDescent="0.2">
      <c r="A806" s="436"/>
      <c r="B806" s="345"/>
      <c r="C806" s="1899" t="s">
        <v>658</v>
      </c>
      <c r="D806" s="913">
        <v>8</v>
      </c>
      <c r="E806" s="913">
        <v>880</v>
      </c>
      <c r="F806" s="1917">
        <f t="shared" si="85"/>
        <v>7040</v>
      </c>
      <c r="G806" s="1917">
        <f t="shared" si="86"/>
        <v>8.512284774617914</v>
      </c>
      <c r="H806" s="913">
        <v>0.56000000000000005</v>
      </c>
      <c r="I806" s="1917">
        <f t="shared" si="87"/>
        <v>4.7668794737860322E-2</v>
      </c>
      <c r="J806" s="1917">
        <f t="shared" si="88"/>
        <v>16.977728358930126</v>
      </c>
      <c r="K806" s="1917">
        <f t="shared" ca="1" si="89"/>
        <v>5.7533565952034707E-13</v>
      </c>
      <c r="L806" s="913">
        <v>13.5</v>
      </c>
      <c r="M806" s="1917">
        <f t="shared" si="90"/>
        <v>1.1491584445734184</v>
      </c>
      <c r="N806" s="1917">
        <f t="shared" si="91"/>
        <v>8.3066583320397882</v>
      </c>
      <c r="O806" s="1917">
        <f t="shared" ca="1" si="92"/>
        <v>1.8166266869912095E-8</v>
      </c>
      <c r="P806" s="429">
        <f t="shared" si="93"/>
        <v>7040</v>
      </c>
      <c r="Q806" s="1969"/>
      <c r="R806" s="1917"/>
      <c r="S806" s="1917"/>
      <c r="T806" s="1917"/>
      <c r="U806" s="1917"/>
      <c r="V806" s="1917"/>
      <c r="W806" s="346"/>
    </row>
    <row r="807" spans="1:23" x14ac:dyDescent="0.2">
      <c r="A807" s="436"/>
      <c r="B807" s="345"/>
      <c r="C807" s="1899" t="s">
        <v>659</v>
      </c>
      <c r="D807" s="913">
        <v>6</v>
      </c>
      <c r="E807" s="913">
        <v>897</v>
      </c>
      <c r="F807" s="1917">
        <f t="shared" si="85"/>
        <v>5382</v>
      </c>
      <c r="G807" s="1917">
        <f t="shared" si="86"/>
        <v>6.5075449796865925</v>
      </c>
      <c r="H807" s="913">
        <v>0.6</v>
      </c>
      <c r="I807" s="1917">
        <f t="shared" si="87"/>
        <v>3.9045269878119557E-2</v>
      </c>
      <c r="J807" s="1917">
        <f t="shared" si="88"/>
        <v>13.906371858932923</v>
      </c>
      <c r="K807" s="1917">
        <f t="shared" ca="1" si="89"/>
        <v>4.7125454335508945E-13</v>
      </c>
      <c r="L807" s="913">
        <v>13.3</v>
      </c>
      <c r="M807" s="1917">
        <f t="shared" si="90"/>
        <v>0.86550348229831686</v>
      </c>
      <c r="N807" s="1917">
        <f t="shared" si="91"/>
        <v>6.2562667024664069</v>
      </c>
      <c r="O807" s="1917">
        <f t="shared" ca="1" si="92"/>
        <v>1.3682157852571861E-8</v>
      </c>
      <c r="P807" s="429">
        <f t="shared" si="93"/>
        <v>5382</v>
      </c>
      <c r="Q807" s="1969"/>
      <c r="R807" s="1917"/>
      <c r="S807" s="1917"/>
      <c r="T807" s="1917"/>
      <c r="U807" s="1917"/>
      <c r="V807" s="1917"/>
      <c r="W807" s="346"/>
    </row>
    <row r="808" spans="1:23" x14ac:dyDescent="0.2">
      <c r="A808" s="436"/>
      <c r="B808" s="345"/>
      <c r="C808" s="1899" t="s">
        <v>660</v>
      </c>
      <c r="D808" s="913">
        <v>3</v>
      </c>
      <c r="E808" s="913">
        <v>914</v>
      </c>
      <c r="F808" s="1917">
        <f t="shared" si="85"/>
        <v>2742</v>
      </c>
      <c r="G808" s="1917">
        <f t="shared" si="86"/>
        <v>3.3154381892048752</v>
      </c>
      <c r="H808" s="913">
        <v>0.65</v>
      </c>
      <c r="I808" s="1917">
        <f t="shared" si="87"/>
        <v>2.1550348229831689E-2</v>
      </c>
      <c r="J808" s="1917">
        <f t="shared" si="88"/>
        <v>7.6753767385656344</v>
      </c>
      <c r="K808" s="1917">
        <f t="shared" ca="1" si="89"/>
        <v>2.6010063564405292E-13</v>
      </c>
      <c r="L808" s="913">
        <v>12.9</v>
      </c>
      <c r="M808" s="1917">
        <f t="shared" si="90"/>
        <v>0.42769152640742886</v>
      </c>
      <c r="N808" s="1917">
        <f t="shared" si="91"/>
        <v>3.0915557364188233</v>
      </c>
      <c r="O808" s="1917">
        <f t="shared" ca="1" si="92"/>
        <v>6.7610854216030782E-9</v>
      </c>
      <c r="P808" s="429">
        <f t="shared" si="93"/>
        <v>2742</v>
      </c>
      <c r="Q808" s="1969"/>
      <c r="R808" s="1917"/>
      <c r="S808" s="1917"/>
      <c r="T808" s="1917"/>
      <c r="U808" s="1917"/>
      <c r="V808" s="1917"/>
      <c r="W808" s="346"/>
    </row>
    <row r="809" spans="1:23" x14ac:dyDescent="0.2">
      <c r="A809" s="436"/>
      <c r="B809" s="345"/>
      <c r="C809" s="1900" t="s">
        <v>598</v>
      </c>
      <c r="D809" s="1901">
        <f>SUM(D803:D808)</f>
        <v>100</v>
      </c>
      <c r="E809" s="1901"/>
      <c r="F809" s="1901">
        <f>SUM(F803:F808)</f>
        <v>82704</v>
      </c>
      <c r="G809" s="1901">
        <f>SUM(G803:G808)</f>
        <v>99.999999999999986</v>
      </c>
      <c r="H809" s="1901" t="s">
        <v>742</v>
      </c>
      <c r="I809" s="1901">
        <f>SUM(I803:I808)</f>
        <v>0.28077251402592379</v>
      </c>
      <c r="J809" s="1901">
        <f t="shared" si="88"/>
        <v>100</v>
      </c>
      <c r="K809" s="1901">
        <f ca="1">SUM(K803:K808)</f>
        <v>3.3887670208701738E-12</v>
      </c>
      <c r="L809" s="1901"/>
      <c r="M809" s="1901">
        <f>SUM(M803:M808)</f>
        <v>13.834184561810794</v>
      </c>
      <c r="N809" s="1901">
        <f>SUM(N803:N808)</f>
        <v>100</v>
      </c>
      <c r="O809" s="1901">
        <f t="shared" ca="1" si="92"/>
        <v>2.1869524595519477E-7</v>
      </c>
      <c r="P809" s="1902">
        <f>SUM(P803:P808)/100</f>
        <v>827.04</v>
      </c>
      <c r="Q809" s="364"/>
      <c r="R809" s="1917"/>
      <c r="S809" s="1917"/>
      <c r="T809" s="1917"/>
      <c r="U809" s="1917"/>
      <c r="V809" s="1917"/>
      <c r="W809" s="346"/>
    </row>
    <row r="810" spans="1:23" x14ac:dyDescent="0.2">
      <c r="A810" s="436"/>
      <c r="B810" s="345"/>
      <c r="C810" s="437"/>
      <c r="D810" s="1917"/>
      <c r="E810" s="1917"/>
      <c r="F810" s="1917"/>
      <c r="G810" s="1917"/>
      <c r="H810" s="1917"/>
      <c r="I810" s="1917"/>
      <c r="J810" s="1911"/>
      <c r="K810" s="1917"/>
      <c r="L810" s="1917"/>
      <c r="M810" s="1917"/>
      <c r="N810" s="1911"/>
      <c r="O810" s="1917"/>
      <c r="P810" s="1917"/>
      <c r="Q810" s="1969"/>
      <c r="R810" s="1917"/>
      <c r="S810" s="1917"/>
      <c r="T810" s="1917"/>
      <c r="U810" s="1917"/>
      <c r="V810" s="1917"/>
      <c r="W810" s="346"/>
    </row>
    <row r="811" spans="1:23" x14ac:dyDescent="0.2">
      <c r="A811" s="436"/>
      <c r="B811" s="345"/>
      <c r="C811" s="437"/>
      <c r="D811" s="1917"/>
      <c r="E811" s="1917"/>
      <c r="F811" s="1917"/>
      <c r="G811" s="1917"/>
      <c r="H811" s="1917"/>
      <c r="I811" s="1917"/>
      <c r="J811" s="1917"/>
      <c r="K811" s="1917"/>
      <c r="L811" s="1917"/>
      <c r="M811" s="1917"/>
      <c r="N811" s="1917"/>
      <c r="O811" s="1917"/>
      <c r="P811" s="1917"/>
      <c r="Q811" s="1969"/>
      <c r="R811" s="1917"/>
      <c r="S811" s="1917"/>
      <c r="T811" s="1917"/>
      <c r="U811" s="1917"/>
      <c r="V811" s="1917"/>
      <c r="W811" s="346"/>
    </row>
    <row r="812" spans="1:23" ht="26.25" x14ac:dyDescent="0.2">
      <c r="A812" s="436"/>
      <c r="B812" s="347"/>
      <c r="C812" s="438" t="s">
        <v>538</v>
      </c>
      <c r="D812" s="1917"/>
      <c r="E812" s="1917"/>
      <c r="F812" s="1917"/>
      <c r="G812" s="1917"/>
      <c r="H812" s="437"/>
      <c r="I812" s="1917"/>
      <c r="J812" s="1917"/>
      <c r="K812" s="1917"/>
      <c r="L812" s="1917"/>
      <c r="M812" s="1917"/>
      <c r="N812" s="1917"/>
      <c r="O812" s="1917"/>
      <c r="P812" s="1917"/>
      <c r="Q812" s="1969"/>
      <c r="R812" s="1917"/>
      <c r="S812" s="1917"/>
      <c r="T812" s="1917"/>
      <c r="U812" s="1917"/>
      <c r="V812" s="1917"/>
      <c r="W812" s="346"/>
    </row>
    <row r="813" spans="1:23" x14ac:dyDescent="0.2">
      <c r="A813" s="436"/>
      <c r="B813" s="345"/>
      <c r="C813" s="437"/>
      <c r="D813" s="1917"/>
      <c r="E813" s="1911"/>
      <c r="F813" s="1917"/>
      <c r="G813" s="1917"/>
      <c r="H813" s="437"/>
      <c r="I813" s="1917"/>
      <c r="J813" s="1917"/>
      <c r="K813" s="1917"/>
      <c r="L813" s="1917"/>
      <c r="M813" s="1917"/>
      <c r="N813" s="1917"/>
      <c r="O813" s="1917"/>
      <c r="P813" s="1917"/>
      <c r="Q813" s="1969"/>
      <c r="R813" s="1917"/>
      <c r="S813" s="1917"/>
      <c r="T813" s="1917"/>
      <c r="U813" s="1917"/>
      <c r="V813" s="1917"/>
      <c r="W813" s="346"/>
    </row>
    <row r="814" spans="1:23" x14ac:dyDescent="0.2">
      <c r="A814" s="436"/>
      <c r="B814" s="345"/>
      <c r="C814" s="440" t="s">
        <v>1309</v>
      </c>
      <c r="D814" s="1917"/>
      <c r="E814" s="1911"/>
      <c r="F814" s="1917"/>
      <c r="G814" s="1917"/>
      <c r="H814" s="440" t="s">
        <v>1356</v>
      </c>
      <c r="I814" s="1917"/>
      <c r="J814" s="1917"/>
      <c r="K814" s="1917"/>
      <c r="L814" s="1917"/>
      <c r="M814" s="1917"/>
      <c r="N814" s="1917"/>
      <c r="O814" s="1917"/>
      <c r="P814" s="1917"/>
      <c r="Q814" s="1969"/>
      <c r="R814" s="1917"/>
      <c r="S814" s="1917"/>
      <c r="T814" s="1917"/>
      <c r="U814" s="1917"/>
      <c r="V814" s="1917"/>
      <c r="W814" s="346"/>
    </row>
    <row r="815" spans="1:23" x14ac:dyDescent="0.2">
      <c r="A815" s="436"/>
      <c r="B815" s="345"/>
      <c r="C815" s="441" t="s">
        <v>568</v>
      </c>
      <c r="D815" s="1918" t="s">
        <v>623</v>
      </c>
      <c r="E815" s="1918" t="str">
        <f>CokingRefineryCalcs!G752</f>
        <v>FCC C4</v>
      </c>
      <c r="F815" s="357" t="s">
        <v>610</v>
      </c>
      <c r="G815" s="1917"/>
      <c r="H815" s="441"/>
      <c r="I815" s="1918" t="s">
        <v>624</v>
      </c>
      <c r="J815" s="1919" t="s">
        <v>623</v>
      </c>
      <c r="K815" s="1917"/>
      <c r="L815" s="1917"/>
      <c r="M815" s="1917"/>
      <c r="N815" s="1917"/>
      <c r="O815" s="1917"/>
      <c r="P815" s="1917"/>
      <c r="Q815" s="1969"/>
      <c r="R815" s="1917"/>
      <c r="S815" s="1917"/>
      <c r="T815" s="1917"/>
      <c r="U815" s="1917"/>
      <c r="V815" s="1917"/>
      <c r="W815" s="346"/>
    </row>
    <row r="816" spans="1:23" x14ac:dyDescent="0.2">
      <c r="A816" s="436"/>
      <c r="B816" s="345"/>
      <c r="C816" s="442" t="s">
        <v>582</v>
      </c>
      <c r="D816" s="1917" t="s">
        <v>566</v>
      </c>
      <c r="E816" s="1917">
        <f ca="1">CokingRefineryCalcs!G753</f>
        <v>1.4462060317050446E-17</v>
      </c>
      <c r="F816" s="337">
        <f ca="1">F817/'Energy &amp; Unit Conversions'!G80</f>
        <v>1.3042983691423561E-17</v>
      </c>
      <c r="G816" s="1917"/>
      <c r="H816" s="453" t="s">
        <v>753</v>
      </c>
      <c r="I816" s="914">
        <f>Constants!H247</f>
        <v>179</v>
      </c>
      <c r="J816" s="337" t="s">
        <v>496</v>
      </c>
      <c r="K816" s="1917"/>
      <c r="L816" s="1917"/>
      <c r="M816" s="1917"/>
      <c r="N816" s="1917"/>
      <c r="O816" s="1917"/>
      <c r="P816" s="1917"/>
      <c r="Q816" s="1969"/>
      <c r="R816" s="1917"/>
      <c r="S816" s="1917"/>
      <c r="T816" s="1917"/>
      <c r="U816" s="1917"/>
      <c r="V816" s="1917"/>
      <c r="W816" s="346"/>
    </row>
    <row r="817" spans="1:23" x14ac:dyDescent="0.2">
      <c r="A817" s="436"/>
      <c r="B817" s="345"/>
      <c r="C817" s="442" t="s">
        <v>582</v>
      </c>
      <c r="D817" s="1917" t="s">
        <v>628</v>
      </c>
      <c r="E817" s="1917">
        <f ca="1">CokingRefineryCalcs!G754</f>
        <v>2.2992839222449942E-18</v>
      </c>
      <c r="F817" s="337">
        <f ca="1">F818/F822</f>
        <v>2.0736687610434651E-18</v>
      </c>
      <c r="G817" s="1917"/>
      <c r="H817" s="453" t="s">
        <v>753</v>
      </c>
      <c r="I817" s="1917">
        <f>I816*'Energy &amp; Unit Conversions'!G79</f>
        <v>81.193034230000009</v>
      </c>
      <c r="J817" s="337" t="s">
        <v>990</v>
      </c>
      <c r="K817" s="1917"/>
      <c r="L817" s="1917"/>
      <c r="M817" s="1917"/>
      <c r="N817" s="1917"/>
      <c r="O817" s="1917"/>
      <c r="P817" s="1917"/>
      <c r="Q817" s="1969"/>
      <c r="R817" s="1917"/>
      <c r="S817" s="1917"/>
      <c r="T817" s="1917"/>
      <c r="U817" s="1917"/>
      <c r="V817" s="1917"/>
      <c r="W817" s="346"/>
    </row>
    <row r="818" spans="1:23" x14ac:dyDescent="0.2">
      <c r="A818" s="436"/>
      <c r="B818" s="345"/>
      <c r="C818" s="442" t="s">
        <v>620</v>
      </c>
      <c r="D818" s="1917" t="s">
        <v>622</v>
      </c>
      <c r="E818" s="1917">
        <f ca="1">CokingRefineryCalcs!G755</f>
        <v>1.4370524514031214E-15</v>
      </c>
      <c r="F818" s="337">
        <f ca="1">E818</f>
        <v>1.4370524514031214E-15</v>
      </c>
      <c r="G818" s="1917"/>
      <c r="H818" s="450" t="s">
        <v>754</v>
      </c>
      <c r="I818" s="364">
        <f ca="1">I817*F816</f>
        <v>1.058999421319085E-15</v>
      </c>
      <c r="J818" s="365" t="s">
        <v>622</v>
      </c>
      <c r="K818" s="1917"/>
      <c r="L818" s="1917"/>
      <c r="M818" s="1917"/>
      <c r="N818" s="1917"/>
      <c r="O818" s="1917"/>
      <c r="P818" s="1917"/>
      <c r="Q818" s="1969"/>
      <c r="R818" s="1917"/>
      <c r="S818" s="1917"/>
      <c r="T818" s="1917"/>
      <c r="U818" s="1917"/>
      <c r="V818" s="1917"/>
      <c r="W818" s="346"/>
    </row>
    <row r="819" spans="1:23" x14ac:dyDescent="0.2">
      <c r="A819" s="436"/>
      <c r="B819" s="345"/>
      <c r="C819" s="442" t="s">
        <v>578</v>
      </c>
      <c r="D819" s="1917" t="s">
        <v>579</v>
      </c>
      <c r="E819" s="1917">
        <f ca="1">CokingRefineryCalcs!G756</f>
        <v>0</v>
      </c>
      <c r="F819" s="337">
        <f ca="1">E819</f>
        <v>0</v>
      </c>
      <c r="G819" s="1917"/>
      <c r="H819" s="453" t="s">
        <v>451</v>
      </c>
      <c r="I819" s="914">
        <f>Constants!H245</f>
        <v>4.12</v>
      </c>
      <c r="J819" s="337" t="s">
        <v>665</v>
      </c>
      <c r="K819" s="1917"/>
      <c r="L819" s="1917"/>
      <c r="M819" s="1917"/>
      <c r="N819" s="1917"/>
      <c r="O819" s="1917"/>
      <c r="P819" s="1917"/>
      <c r="Q819" s="1969"/>
      <c r="R819" s="1917"/>
      <c r="S819" s="1917"/>
      <c r="T819" s="1917"/>
      <c r="U819" s="1917"/>
      <c r="V819" s="1917"/>
      <c r="W819" s="346"/>
    </row>
    <row r="820" spans="1:23" x14ac:dyDescent="0.2">
      <c r="A820" s="436"/>
      <c r="B820" s="345"/>
      <c r="C820" s="442" t="s">
        <v>943</v>
      </c>
      <c r="D820" s="1917"/>
      <c r="E820" s="1917">
        <f>CokingRefineryCalcs!G757</f>
        <v>0</v>
      </c>
      <c r="F820" s="337"/>
      <c r="G820" s="1917"/>
      <c r="H820" s="453" t="s">
        <v>451</v>
      </c>
      <c r="I820" s="1917">
        <f>I819/'Energy &amp; Unit Conversions'!G80</f>
        <v>25.914019547473291</v>
      </c>
      <c r="J820" s="337" t="s">
        <v>629</v>
      </c>
      <c r="K820" s="1917"/>
      <c r="L820" s="1917"/>
      <c r="M820" s="1917"/>
      <c r="N820" s="1917"/>
      <c r="O820" s="1917"/>
      <c r="P820" s="1917"/>
      <c r="Q820" s="1969"/>
      <c r="R820" s="1917"/>
      <c r="S820" s="1917"/>
      <c r="T820" s="1917"/>
      <c r="U820" s="1917"/>
      <c r="V820" s="1917"/>
      <c r="W820" s="346"/>
    </row>
    <row r="821" spans="1:23" x14ac:dyDescent="0.2">
      <c r="A821" s="436"/>
      <c r="B821" s="345"/>
      <c r="C821" s="442" t="s">
        <v>567</v>
      </c>
      <c r="D821" s="1917"/>
      <c r="E821" s="1917">
        <f>CokingRefineryCalcs!G758</f>
        <v>94.9</v>
      </c>
      <c r="F821" s="337">
        <f>141.5/(F822/1000)-131.5</f>
        <v>72.684704184704202</v>
      </c>
      <c r="G821" s="1917"/>
      <c r="H821" s="451" t="s">
        <v>452</v>
      </c>
      <c r="I821" s="336">
        <f ca="1">I820*E817</f>
        <v>5.9583688506247835E-17</v>
      </c>
      <c r="J821" s="367" t="s">
        <v>627</v>
      </c>
      <c r="K821" s="1917"/>
      <c r="L821" s="1917"/>
      <c r="M821" s="1917"/>
      <c r="N821" s="1917"/>
      <c r="O821" s="1917"/>
      <c r="P821" s="1917"/>
      <c r="Q821" s="1969"/>
      <c r="R821" s="1917"/>
      <c r="S821" s="1917"/>
      <c r="T821" s="1917"/>
      <c r="U821" s="1917"/>
      <c r="V821" s="1917"/>
      <c r="W821" s="346"/>
    </row>
    <row r="822" spans="1:23" x14ac:dyDescent="0.2">
      <c r="A822" s="436"/>
      <c r="B822" s="345"/>
      <c r="C822" s="442" t="s">
        <v>580</v>
      </c>
      <c r="D822" s="1917" t="s">
        <v>581</v>
      </c>
      <c r="E822" s="1917">
        <f>CokingRefineryCalcs!G759</f>
        <v>625</v>
      </c>
      <c r="F822" s="337">
        <v>693</v>
      </c>
      <c r="G822" s="1917"/>
      <c r="H822" s="437"/>
      <c r="I822" s="1917"/>
      <c r="J822" s="1917"/>
      <c r="K822" s="1917"/>
      <c r="L822" s="1917"/>
      <c r="M822" s="1917"/>
      <c r="N822" s="1917"/>
      <c r="O822" s="1917"/>
      <c r="P822" s="1917"/>
      <c r="Q822" s="1969"/>
      <c r="R822" s="1917"/>
      <c r="S822" s="1917"/>
      <c r="T822" s="1917"/>
      <c r="U822" s="1917"/>
      <c r="V822" s="1917"/>
      <c r="W822" s="346"/>
    </row>
    <row r="823" spans="1:23" x14ac:dyDescent="0.2">
      <c r="A823" s="436"/>
      <c r="B823" s="345"/>
      <c r="C823" s="442" t="s">
        <v>621</v>
      </c>
      <c r="D823" s="1917" t="s">
        <v>579</v>
      </c>
      <c r="E823" s="1917">
        <f ca="1">CokingRefineryCalcs!G760</f>
        <v>16.100000000000001</v>
      </c>
      <c r="F823" s="337">
        <f ca="1">E823</f>
        <v>16.100000000000001</v>
      </c>
      <c r="G823" s="1917"/>
      <c r="H823" s="437"/>
      <c r="I823" s="1917"/>
      <c r="J823" s="1917"/>
      <c r="K823" s="1917"/>
      <c r="L823" s="1917"/>
      <c r="M823" s="1917"/>
      <c r="N823" s="1917"/>
      <c r="O823" s="1917"/>
      <c r="P823" s="1917"/>
      <c r="Q823" s="1969"/>
      <c r="R823" s="1917"/>
      <c r="S823" s="1917"/>
      <c r="T823" s="1917"/>
      <c r="U823" s="1917"/>
      <c r="V823" s="1917"/>
      <c r="W823" s="346"/>
    </row>
    <row r="824" spans="1:23" x14ac:dyDescent="0.2">
      <c r="A824" s="436"/>
      <c r="B824" s="345"/>
      <c r="C824" s="443" t="s">
        <v>544</v>
      </c>
      <c r="D824" s="334" t="s">
        <v>579</v>
      </c>
      <c r="E824" s="334" t="str">
        <f ca="1">'Assay Inventory'!L20</f>
        <v/>
      </c>
      <c r="F824" s="338">
        <v>0</v>
      </c>
      <c r="G824" s="1917"/>
      <c r="H824" s="437"/>
      <c r="I824" s="1917"/>
      <c r="J824" s="1917"/>
      <c r="K824" s="1917"/>
      <c r="L824" s="1917"/>
      <c r="M824" s="1917"/>
      <c r="N824" s="1917"/>
      <c r="O824" s="1917"/>
      <c r="P824" s="1917"/>
      <c r="Q824" s="1969"/>
      <c r="R824" s="1917"/>
      <c r="S824" s="1917"/>
      <c r="T824" s="1917"/>
      <c r="U824" s="1917"/>
      <c r="V824" s="1917"/>
      <c r="W824" s="346"/>
    </row>
    <row r="825" spans="1:23" x14ac:dyDescent="0.2">
      <c r="A825" s="436"/>
      <c r="B825" s="345"/>
      <c r="C825" s="437"/>
      <c r="D825" s="1917"/>
      <c r="E825" s="1917"/>
      <c r="F825" s="1917"/>
      <c r="G825" s="1917"/>
      <c r="H825" s="1917"/>
      <c r="I825" s="1917"/>
      <c r="J825" s="1917"/>
      <c r="K825" s="1917"/>
      <c r="L825" s="1917"/>
      <c r="M825" s="1917"/>
      <c r="N825" s="1917"/>
      <c r="O825" s="1917"/>
      <c r="P825" s="1917"/>
      <c r="Q825" s="1969"/>
      <c r="R825" s="1917"/>
      <c r="S825" s="1917"/>
      <c r="T825" s="1917"/>
      <c r="U825" s="1917"/>
      <c r="V825" s="1917"/>
      <c r="W825" s="346"/>
    </row>
    <row r="826" spans="1:23" ht="26.25" x14ac:dyDescent="0.2">
      <c r="A826" s="436"/>
      <c r="B826" s="347"/>
      <c r="C826" s="438" t="s">
        <v>536</v>
      </c>
      <c r="D826" s="1917"/>
      <c r="E826" s="1917"/>
      <c r="F826" s="1917"/>
      <c r="G826" s="1917"/>
      <c r="H826" s="1917"/>
      <c r="I826" s="1917"/>
      <c r="J826" s="1917"/>
      <c r="K826" s="1917"/>
      <c r="L826" s="1917"/>
      <c r="M826" s="1917"/>
      <c r="N826" s="1917"/>
      <c r="O826" s="1917"/>
      <c r="P826" s="1917"/>
      <c r="Q826" s="1969"/>
      <c r="R826" s="1917"/>
      <c r="S826" s="1917"/>
      <c r="T826" s="1917"/>
      <c r="U826" s="1917"/>
      <c r="V826" s="1917"/>
      <c r="W826" s="346"/>
    </row>
    <row r="827" spans="1:23" ht="18.75" customHeight="1" x14ac:dyDescent="0.2">
      <c r="A827" s="436"/>
      <c r="B827" s="349"/>
      <c r="C827" s="439"/>
      <c r="D827" s="1917"/>
      <c r="E827" s="1917"/>
      <c r="F827" s="1917"/>
      <c r="G827" s="1917"/>
      <c r="H827" s="437"/>
      <c r="I827" s="1917"/>
      <c r="J827" s="1917"/>
      <c r="K827" s="1917"/>
      <c r="L827" s="1917"/>
      <c r="M827" s="1917"/>
      <c r="N827" s="1917"/>
      <c r="O827" s="1917"/>
      <c r="P827" s="1917"/>
      <c r="Q827" s="1969"/>
      <c r="R827" s="1917"/>
      <c r="S827" s="1917"/>
      <c r="T827" s="1917"/>
      <c r="U827" s="1917"/>
      <c r="V827" s="1917"/>
      <c r="W827" s="346"/>
    </row>
    <row r="828" spans="1:23" x14ac:dyDescent="0.2">
      <c r="A828" s="436"/>
      <c r="B828" s="345"/>
      <c r="C828" s="440" t="s">
        <v>1309</v>
      </c>
      <c r="D828" s="1917"/>
      <c r="E828" s="1910"/>
      <c r="F828" s="1917"/>
      <c r="G828" s="1917"/>
      <c r="H828" s="440" t="s">
        <v>1303</v>
      </c>
      <c r="I828" s="360"/>
      <c r="J828" s="1917"/>
      <c r="K828" s="1917"/>
      <c r="L828" s="1917"/>
      <c r="M828" s="1917"/>
      <c r="N828" s="1917"/>
      <c r="O828" s="1917"/>
      <c r="P828" s="1917"/>
      <c r="Q828" s="1969"/>
      <c r="R828" s="1917"/>
      <c r="S828" s="1917"/>
      <c r="T828" s="1917"/>
      <c r="U828" s="1917"/>
      <c r="V828" s="1917"/>
      <c r="W828" s="346"/>
    </row>
    <row r="829" spans="1:23" x14ac:dyDescent="0.2">
      <c r="A829" s="436"/>
      <c r="B829" s="345"/>
      <c r="C829" s="441" t="s">
        <v>568</v>
      </c>
      <c r="D829" s="1918" t="s">
        <v>623</v>
      </c>
      <c r="E829" s="1918" t="s">
        <v>570</v>
      </c>
      <c r="F829" s="1919" t="s">
        <v>543</v>
      </c>
      <c r="G829" s="1917"/>
      <c r="H829" s="449"/>
      <c r="I829" s="1918" t="s">
        <v>624</v>
      </c>
      <c r="J829" s="1919" t="s">
        <v>623</v>
      </c>
      <c r="K829" s="1917"/>
      <c r="L829" s="1917"/>
      <c r="M829" s="1917"/>
      <c r="N829" s="1917"/>
      <c r="O829" s="1917"/>
      <c r="P829" s="1917"/>
      <c r="Q829" s="1969"/>
      <c r="R829" s="1917"/>
      <c r="S829" s="1917"/>
      <c r="T829" s="1917"/>
      <c r="U829" s="1917"/>
      <c r="V829" s="1917"/>
      <c r="W829" s="346"/>
    </row>
    <row r="830" spans="1:23" x14ac:dyDescent="0.2">
      <c r="A830" s="436"/>
      <c r="B830" s="345"/>
      <c r="C830" s="442" t="str">
        <f t="shared" ref="C830:D839" si="94">C540</f>
        <v>Vol Flow</v>
      </c>
      <c r="D830" s="1917" t="str">
        <f ca="1">D540</f>
        <v>bpd</v>
      </c>
      <c r="E830" s="1917">
        <f ca="1">CokingRefineryCalcs!I540</f>
        <v>1E-14</v>
      </c>
      <c r="F830" s="337">
        <f t="shared" ref="F830:F839" ca="1" si="95">E830</f>
        <v>1E-14</v>
      </c>
      <c r="G830" s="1917"/>
      <c r="H830" s="453" t="s">
        <v>635</v>
      </c>
      <c r="I830" s="914">
        <f>Constants!H255</f>
        <v>150.83492420488977</v>
      </c>
      <c r="J830" s="337" t="s">
        <v>637</v>
      </c>
      <c r="K830" s="1917"/>
      <c r="L830" s="1917"/>
      <c r="M830" s="1917"/>
      <c r="N830" s="1917"/>
      <c r="O830" s="1917"/>
      <c r="P830" s="1917"/>
      <c r="Q830" s="1969"/>
      <c r="R830" s="1917"/>
      <c r="S830" s="1917"/>
      <c r="T830" s="1917"/>
      <c r="U830" s="1917"/>
      <c r="V830" s="1917"/>
      <c r="W830" s="346"/>
    </row>
    <row r="831" spans="1:23" x14ac:dyDescent="0.2">
      <c r="A831" s="436"/>
      <c r="B831" s="345"/>
      <c r="C831" s="442" t="str">
        <f t="shared" si="94"/>
        <v>Vol Flow</v>
      </c>
      <c r="D831" s="1917" t="str">
        <f ca="1">D541</f>
        <v>m^3/d</v>
      </c>
      <c r="E831" s="1917">
        <f ca="1">CokingRefineryCalcs!I541</f>
        <v>1.589873E-15</v>
      </c>
      <c r="F831" s="337">
        <f t="shared" ca="1" si="95"/>
        <v>1.589873E-15</v>
      </c>
      <c r="G831" s="1917"/>
      <c r="H831" s="453" t="s">
        <v>634</v>
      </c>
      <c r="I831" s="1917">
        <f>I830*'Energy &amp; Unit Conversions'!G82/'Energy &amp; Unit Conversions'!G80</f>
        <v>25.416471172336625</v>
      </c>
      <c r="J831" s="337" t="s">
        <v>636</v>
      </c>
      <c r="K831" s="1917"/>
      <c r="L831" s="1917"/>
      <c r="M831" s="1917"/>
      <c r="N831" s="1917"/>
      <c r="O831" s="1917"/>
      <c r="P831" s="1917"/>
      <c r="Q831" s="1969"/>
      <c r="R831" s="1917"/>
      <c r="S831" s="1917"/>
      <c r="T831" s="1917"/>
      <c r="U831" s="1917"/>
      <c r="V831" s="1917"/>
      <c r="W831" s="346"/>
    </row>
    <row r="832" spans="1:23" x14ac:dyDescent="0.2">
      <c r="A832" s="436"/>
      <c r="B832" s="345"/>
      <c r="C832" s="442" t="str">
        <f t="shared" si="94"/>
        <v>Mass Flow</v>
      </c>
      <c r="D832" s="1917" t="str">
        <f t="shared" si="94"/>
        <v>kg/d</v>
      </c>
      <c r="E832" s="1917">
        <f ca="1">CokingRefineryCalcs!I542</f>
        <v>1E-14</v>
      </c>
      <c r="F832" s="337">
        <f t="shared" ca="1" si="95"/>
        <v>1E-14</v>
      </c>
      <c r="G832" s="1917"/>
      <c r="H832" s="453" t="s">
        <v>542</v>
      </c>
      <c r="I832" s="1917">
        <f ca="1">I830*E830/1000</f>
        <v>1.5083492420488977E-15</v>
      </c>
      <c r="J832" s="337" t="s">
        <v>472</v>
      </c>
      <c r="K832" s="1917"/>
      <c r="L832" s="1917"/>
      <c r="M832" s="1917"/>
      <c r="N832" s="1917"/>
      <c r="O832" s="1917"/>
      <c r="P832" s="1917"/>
      <c r="Q832" s="1969"/>
      <c r="R832" s="1917"/>
      <c r="S832" s="1917"/>
      <c r="T832" s="1917"/>
      <c r="U832" s="1917"/>
      <c r="V832" s="1917"/>
      <c r="W832" s="346"/>
    </row>
    <row r="833" spans="1:23" x14ac:dyDescent="0.2">
      <c r="A833" s="436"/>
      <c r="B833" s="345"/>
      <c r="C833" s="442" t="str">
        <f t="shared" si="94"/>
        <v xml:space="preserve">Sulphur </v>
      </c>
      <c r="D833" s="1917" t="str">
        <f t="shared" ref="D833:D839" ca="1" si="96">D543</f>
        <v>wt%</v>
      </c>
      <c r="E833" s="1917">
        <f ca="1">CokingRefineryCalcs!I543</f>
        <v>0</v>
      </c>
      <c r="F833" s="337">
        <f t="shared" ca="1" si="95"/>
        <v>0</v>
      </c>
      <c r="G833" s="1917"/>
      <c r="H833" s="453" t="s">
        <v>542</v>
      </c>
      <c r="I833" s="1917">
        <f ca="1">I831*E831</f>
        <v>4.0408961272176348E-14</v>
      </c>
      <c r="J833" s="337" t="s">
        <v>628</v>
      </c>
      <c r="K833" s="1917"/>
      <c r="L833" s="1917"/>
      <c r="M833" s="1917"/>
      <c r="N833" s="1917"/>
      <c r="O833" s="1917"/>
      <c r="P833" s="1917"/>
      <c r="Q833" s="1969"/>
      <c r="R833" s="1917"/>
      <c r="S833" s="1917"/>
      <c r="T833" s="1917"/>
      <c r="U833" s="1917"/>
      <c r="V833" s="1917"/>
      <c r="W833" s="346"/>
    </row>
    <row r="834" spans="1:23" x14ac:dyDescent="0.2">
      <c r="A834" s="436"/>
      <c r="B834" s="345"/>
      <c r="C834" s="442" t="str">
        <f t="shared" si="94"/>
        <v xml:space="preserve">Nitrogen </v>
      </c>
      <c r="D834" s="1917" t="str">
        <f t="shared" ca="1" si="96"/>
        <v>mass ppm</v>
      </c>
      <c r="E834" s="1917">
        <f ca="1">CokingRefineryCalcs!I544</f>
        <v>0</v>
      </c>
      <c r="F834" s="337">
        <f t="shared" ca="1" si="95"/>
        <v>0</v>
      </c>
      <c r="G834" s="1917"/>
      <c r="H834" s="452" t="s">
        <v>631</v>
      </c>
      <c r="I834" s="334">
        <f ca="1">I833*'Energy &amp; Unit Conversions'!P25*'Energy &amp; Unit Conversions'!G87</f>
        <v>1.7129629629629632E-17</v>
      </c>
      <c r="J834" s="338" t="s">
        <v>632</v>
      </c>
      <c r="K834" s="1917"/>
      <c r="L834" s="1917"/>
      <c r="M834" s="1917"/>
      <c r="N834" s="1917"/>
      <c r="O834" s="1917"/>
      <c r="P834" s="1917"/>
      <c r="Q834" s="1969"/>
      <c r="R834" s="1917"/>
      <c r="S834" s="1917"/>
      <c r="T834" s="1917"/>
      <c r="U834" s="1917"/>
      <c r="V834" s="1917"/>
      <c r="W834" s="346"/>
    </row>
    <row r="835" spans="1:23" x14ac:dyDescent="0.2">
      <c r="A835" s="436"/>
      <c r="B835" s="345"/>
      <c r="C835" s="442" t="str">
        <f t="shared" si="94"/>
        <v xml:space="preserve">API gravity </v>
      </c>
      <c r="D835" s="1917" t="str">
        <f t="shared" ca="1" si="96"/>
        <v>oAPI</v>
      </c>
      <c r="E835" s="1917">
        <f ca="1">CokingRefineryCalcs!I545</f>
        <v>0</v>
      </c>
      <c r="F835" s="337">
        <f t="shared" ca="1" si="95"/>
        <v>0</v>
      </c>
      <c r="G835" s="1917"/>
      <c r="H835" s="1917"/>
      <c r="I835" s="1917"/>
      <c r="J835" s="1917"/>
      <c r="K835" s="1917"/>
      <c r="L835" s="1917"/>
      <c r="M835" s="1917"/>
      <c r="N835" s="1917"/>
      <c r="O835" s="1917"/>
      <c r="P835" s="1917"/>
      <c r="Q835" s="1969"/>
      <c r="R835" s="1917"/>
      <c r="S835" s="1917"/>
      <c r="T835" s="1917"/>
      <c r="U835" s="1917"/>
      <c r="V835" s="1917"/>
      <c r="W835" s="346"/>
    </row>
    <row r="836" spans="1:23" ht="15" customHeight="1" x14ac:dyDescent="0.2">
      <c r="A836" s="436"/>
      <c r="B836" s="345"/>
      <c r="C836" s="442" t="str">
        <f t="shared" si="94"/>
        <v>Density</v>
      </c>
      <c r="D836" s="1917" t="str">
        <f t="shared" ca="1" si="96"/>
        <v>kg/m^3</v>
      </c>
      <c r="E836" s="1917">
        <f ca="1">CokingRefineryCalcs!I546</f>
        <v>0</v>
      </c>
      <c r="F836" s="337">
        <f t="shared" ca="1" si="95"/>
        <v>0</v>
      </c>
      <c r="G836" s="1917"/>
      <c r="H836" s="1908" t="s">
        <v>1401</v>
      </c>
      <c r="I836" s="286"/>
      <c r="J836" s="286"/>
      <c r="K836" s="286"/>
      <c r="L836" s="286"/>
      <c r="M836" s="286"/>
      <c r="N836" s="286"/>
      <c r="O836" s="286"/>
      <c r="P836" s="286"/>
      <c r="Q836" s="286"/>
      <c r="R836" s="286"/>
      <c r="S836" s="286"/>
      <c r="T836" s="286"/>
      <c r="U836" s="1917"/>
      <c r="V836" s="1917"/>
      <c r="W836" s="346"/>
    </row>
    <row r="837" spans="1:23" x14ac:dyDescent="0.2">
      <c r="A837" s="436"/>
      <c r="B837" s="345"/>
      <c r="C837" s="442" t="str">
        <f t="shared" si="94"/>
        <v>Hydrogen</v>
      </c>
      <c r="D837" s="1917" t="str">
        <f t="shared" ca="1" si="96"/>
        <v>wt%</v>
      </c>
      <c r="E837" s="1917">
        <f ca="1">CokingRefineryCalcs!I547</f>
        <v>0</v>
      </c>
      <c r="F837" s="337">
        <f t="shared" ca="1" si="95"/>
        <v>0</v>
      </c>
      <c r="G837" s="1917"/>
      <c r="H837" s="1917"/>
      <c r="I837" s="1917"/>
      <c r="J837" s="1917"/>
      <c r="K837" s="1917"/>
      <c r="L837" s="1917"/>
      <c r="M837" s="1917"/>
      <c r="N837" s="1917"/>
      <c r="O837" s="1917"/>
      <c r="P837" s="1917"/>
      <c r="Q837" s="1969"/>
      <c r="R837" s="1917"/>
      <c r="S837" s="1917"/>
      <c r="T837" s="1917"/>
      <c r="U837" s="1917"/>
      <c r="V837" s="1917"/>
      <c r="W837" s="346"/>
    </row>
    <row r="838" spans="1:23" x14ac:dyDescent="0.2">
      <c r="A838" s="436"/>
      <c r="B838" s="345"/>
      <c r="C838" s="442" t="str">
        <f t="shared" si="94"/>
        <v>MCR</v>
      </c>
      <c r="D838" s="1917" t="str">
        <f t="shared" ca="1" si="96"/>
        <v>wt%</v>
      </c>
      <c r="E838" s="1917">
        <f ca="1">CokingRefineryCalcs!I548</f>
        <v>10.823381666475589</v>
      </c>
      <c r="F838" s="337">
        <f t="shared" ca="1" si="95"/>
        <v>10.823381666475589</v>
      </c>
      <c r="G838" s="1917"/>
      <c r="H838" s="1917"/>
      <c r="I838" s="1917"/>
      <c r="J838" s="1917"/>
      <c r="K838" s="1917"/>
      <c r="L838" s="1917"/>
      <c r="M838" s="1917"/>
      <c r="N838" s="1917"/>
      <c r="O838" s="1917"/>
      <c r="P838" s="1917"/>
      <c r="Q838" s="1969"/>
      <c r="R838" s="1917"/>
      <c r="S838" s="1917"/>
      <c r="T838" s="1917"/>
      <c r="U838" s="1917"/>
      <c r="V838" s="1917"/>
      <c r="W838" s="346"/>
    </row>
    <row r="839" spans="1:23" x14ac:dyDescent="0.2">
      <c r="A839" s="436"/>
      <c r="B839" s="345"/>
      <c r="C839" s="443" t="str">
        <f t="shared" si="94"/>
        <v>Characterization Factor</v>
      </c>
      <c r="D839" s="334" t="str">
        <f t="shared" ca="1" si="96"/>
        <v xml:space="preserve">Kw (Approximate) </v>
      </c>
      <c r="E839" s="334">
        <f ca="1">CokingRefineryCalcs!I549</f>
        <v>0</v>
      </c>
      <c r="F839" s="338">
        <f t="shared" ca="1" si="95"/>
        <v>0</v>
      </c>
      <c r="G839" s="1917"/>
      <c r="H839" s="1917"/>
      <c r="I839" s="1917"/>
      <c r="J839" s="1917"/>
      <c r="K839" s="1917"/>
      <c r="L839" s="1917"/>
      <c r="M839" s="1917"/>
      <c r="N839" s="1917"/>
      <c r="O839" s="1917"/>
      <c r="P839" s="1917"/>
      <c r="Q839" s="1969"/>
      <c r="R839" s="1917"/>
      <c r="S839" s="1917"/>
      <c r="T839" s="1917"/>
      <c r="U839" s="1917"/>
      <c r="V839" s="1917"/>
      <c r="W839" s="346"/>
    </row>
    <row r="840" spans="1:23" x14ac:dyDescent="0.2">
      <c r="A840" s="436"/>
      <c r="B840" s="345"/>
      <c r="C840" s="437"/>
      <c r="D840" s="1917"/>
      <c r="E840" s="1917"/>
      <c r="F840" s="1917"/>
      <c r="G840" s="1917"/>
      <c r="H840" s="1917"/>
      <c r="I840" s="1917"/>
      <c r="J840" s="1917"/>
      <c r="K840" s="1917"/>
      <c r="L840" s="1917"/>
      <c r="M840" s="1917"/>
      <c r="N840" s="1917"/>
      <c r="O840" s="1917"/>
      <c r="P840" s="1917"/>
      <c r="Q840" s="1969"/>
      <c r="R840" s="1917"/>
      <c r="S840" s="1917"/>
      <c r="T840" s="1917"/>
      <c r="U840" s="1917"/>
      <c r="V840" s="1917"/>
      <c r="W840" s="346"/>
    </row>
    <row r="841" spans="1:23" ht="26.25" x14ac:dyDescent="0.2">
      <c r="A841" s="436"/>
      <c r="B841" s="347"/>
      <c r="C841" s="438" t="s">
        <v>1359</v>
      </c>
      <c r="D841" s="411"/>
      <c r="E841" s="411"/>
      <c r="F841" s="1917"/>
      <c r="G841" s="1917"/>
      <c r="H841" s="1917"/>
      <c r="I841" s="1917"/>
      <c r="J841" s="1917"/>
      <c r="K841" s="1917"/>
      <c r="L841" s="1917"/>
      <c r="M841" s="1917"/>
      <c r="N841" s="1917"/>
      <c r="O841" s="1917"/>
      <c r="P841" s="1917"/>
      <c r="Q841" s="1969"/>
      <c r="R841" s="1917"/>
      <c r="S841" s="1917"/>
      <c r="T841" s="1917"/>
      <c r="U841" s="1917"/>
      <c r="V841" s="1917"/>
      <c r="W841" s="346"/>
    </row>
    <row r="842" spans="1:23" x14ac:dyDescent="0.2">
      <c r="A842" s="436"/>
      <c r="B842" s="345"/>
      <c r="C842" s="437"/>
      <c r="D842" s="1917"/>
      <c r="E842" s="1910"/>
      <c r="F842" s="1910"/>
      <c r="G842" s="1910"/>
      <c r="H842" s="1910"/>
      <c r="I842" s="1917"/>
      <c r="J842" s="1917"/>
      <c r="K842" s="1917"/>
      <c r="L842" s="1917"/>
      <c r="M842" s="1917"/>
      <c r="N842" s="1917"/>
      <c r="O842" s="1917"/>
      <c r="P842" s="1917"/>
      <c r="Q842" s="1969"/>
      <c r="R842" s="1917"/>
      <c r="S842" s="1917"/>
      <c r="T842" s="1917"/>
      <c r="U842" s="1917"/>
      <c r="V842" s="1917"/>
      <c r="W842" s="346"/>
    </row>
    <row r="843" spans="1:23" x14ac:dyDescent="0.2">
      <c r="A843" s="436"/>
      <c r="B843" s="345"/>
      <c r="C843" s="440" t="s">
        <v>1309</v>
      </c>
      <c r="D843" s="1917"/>
      <c r="E843" s="1910"/>
      <c r="F843" s="1910"/>
      <c r="G843" s="1910"/>
      <c r="H843" s="1910"/>
      <c r="I843" s="1917"/>
      <c r="J843" s="1917"/>
      <c r="K843" s="1917"/>
      <c r="L843" s="1917"/>
      <c r="M843" s="1917"/>
      <c r="N843" s="1917"/>
      <c r="O843" s="1917"/>
      <c r="P843" s="1917"/>
      <c r="Q843" s="1969"/>
      <c r="R843" s="1917"/>
      <c r="S843" s="1917"/>
      <c r="T843" s="1917"/>
      <c r="U843" s="1917"/>
      <c r="V843" s="1917"/>
      <c r="W843" s="346"/>
    </row>
    <row r="844" spans="1:23" x14ac:dyDescent="0.2">
      <c r="A844" s="436"/>
      <c r="B844" s="345"/>
      <c r="C844" s="467" t="s">
        <v>568</v>
      </c>
      <c r="D844" s="382" t="s">
        <v>623</v>
      </c>
      <c r="E844" s="382" t="s">
        <v>570</v>
      </c>
      <c r="F844" s="382" t="s">
        <v>562</v>
      </c>
      <c r="G844" s="382" t="s">
        <v>558</v>
      </c>
      <c r="H844" s="382" t="s">
        <v>560</v>
      </c>
      <c r="I844" s="402" t="s">
        <v>561</v>
      </c>
      <c r="J844" s="383" t="s">
        <v>654</v>
      </c>
      <c r="K844" s="1917"/>
      <c r="L844" s="1917"/>
      <c r="M844" s="1917"/>
      <c r="N844" s="1917"/>
      <c r="O844" s="1917"/>
      <c r="P844" s="1917"/>
      <c r="Q844" s="1969"/>
      <c r="R844" s="1917"/>
      <c r="S844" s="1917"/>
      <c r="T844" s="1917"/>
      <c r="U844" s="1917"/>
      <c r="V844" s="1917"/>
      <c r="W844" s="346"/>
    </row>
    <row r="845" spans="1:23" x14ac:dyDescent="0.2">
      <c r="A845" s="436"/>
      <c r="B845" s="345"/>
      <c r="C845" s="461" t="str">
        <f t="shared" ref="C845:D853" si="97">C830</f>
        <v>Vol Flow</v>
      </c>
      <c r="D845" s="1917" t="str">
        <f ca="1">D830</f>
        <v>bpd</v>
      </c>
      <c r="E845" s="1917">
        <f ca="1">CokingRefineryCalcs!F830</f>
        <v>1E-14</v>
      </c>
      <c r="F845" s="1917"/>
      <c r="G845" s="1917">
        <f ca="1">D897</f>
        <v>1.2254854458739841E-17</v>
      </c>
      <c r="H845" s="1917">
        <f ca="1">D898</f>
        <v>3.9275356703639497E-17</v>
      </c>
      <c r="I845" s="1917">
        <f ca="1">SUM(G845:H845)</f>
        <v>5.1530211162379341E-17</v>
      </c>
      <c r="J845" s="339">
        <f ca="1">J846/'Energy &amp; Unit Conversions'!G80</f>
        <v>9.5462955872403676E-18</v>
      </c>
      <c r="K845" s="1917"/>
      <c r="L845" s="1917"/>
      <c r="M845" s="1917"/>
      <c r="N845" s="1917"/>
      <c r="O845" s="1917"/>
      <c r="P845" s="1917"/>
      <c r="Q845" s="1969"/>
      <c r="R845" s="1917"/>
      <c r="S845" s="1917"/>
      <c r="T845" s="1917"/>
      <c r="U845" s="1917"/>
      <c r="V845" s="1917"/>
      <c r="W845" s="346"/>
    </row>
    <row r="846" spans="1:23" x14ac:dyDescent="0.2">
      <c r="A846" s="436"/>
      <c r="B846" s="345"/>
      <c r="C846" s="461" t="str">
        <f t="shared" si="97"/>
        <v>Vol Flow</v>
      </c>
      <c r="D846" s="1917" t="str">
        <f ca="1">D831</f>
        <v>m^3/d</v>
      </c>
      <c r="E846" s="1917">
        <f ca="1">CokingRefineryCalcs!F831</f>
        <v>1.589873E-15</v>
      </c>
      <c r="F846" s="1917"/>
      <c r="G846" s="1917">
        <f ca="1">G845*'Energy &amp; Unit Conversions'!G80</f>
        <v>1.9483662222880085E-18</v>
      </c>
      <c r="H846" s="1917">
        <f ca="1">H845*'Energy &amp; Unit Conversions'!G80</f>
        <v>6.2442829188485434E-18</v>
      </c>
      <c r="I846" s="1917">
        <f ca="1">SUM(G846:H846)</f>
        <v>8.1926491411365527E-18</v>
      </c>
      <c r="J846" s="339">
        <f ca="1">J847/J851</f>
        <v>1.5177397604172604E-18</v>
      </c>
      <c r="K846" s="1917"/>
      <c r="L846" s="1917"/>
      <c r="M846" s="1917"/>
      <c r="N846" s="1917"/>
      <c r="O846" s="1917"/>
      <c r="P846" s="1917"/>
      <c r="Q846" s="1969"/>
      <c r="R846" s="1917"/>
      <c r="S846" s="1917"/>
      <c r="T846" s="1917"/>
      <c r="U846" s="1917"/>
      <c r="V846" s="1917"/>
      <c r="W846" s="346"/>
    </row>
    <row r="847" spans="1:23" x14ac:dyDescent="0.2">
      <c r="A847" s="436"/>
      <c r="B847" s="345"/>
      <c r="C847" s="461" t="str">
        <f t="shared" si="97"/>
        <v>Mass Flow</v>
      </c>
      <c r="D847" s="1917" t="str">
        <f t="shared" si="97"/>
        <v>kg/d</v>
      </c>
      <c r="E847" s="1917">
        <f ca="1">CokingRefineryCalcs!F832</f>
        <v>1E-14</v>
      </c>
      <c r="F847" s="1917">
        <f ca="1">J875</f>
        <v>9.3585669599724856E-16</v>
      </c>
      <c r="G847" s="1917">
        <f ca="1">E897</f>
        <v>1.5002419911622788E-15</v>
      </c>
      <c r="H847" s="1917">
        <f ca="1">E898</f>
        <v>5.8321602462043796E-15</v>
      </c>
      <c r="I847" s="1917">
        <f ca="1">SUM(G847:H847)</f>
        <v>7.3324022373666578E-15</v>
      </c>
      <c r="J847" s="339">
        <f ca="1">J872</f>
        <v>1.7317410666360942E-15</v>
      </c>
      <c r="K847" s="1917"/>
      <c r="L847" s="1917"/>
      <c r="M847" s="1917"/>
      <c r="N847" s="1917"/>
      <c r="O847" s="1917"/>
      <c r="P847" s="1917"/>
      <c r="Q847" s="1969"/>
      <c r="R847" s="1917"/>
      <c r="S847" s="1917"/>
      <c r="T847" s="1917"/>
      <c r="U847" s="1917"/>
      <c r="V847" s="1917"/>
      <c r="W847" s="346"/>
    </row>
    <row r="848" spans="1:23" x14ac:dyDescent="0.2">
      <c r="A848" s="436"/>
      <c r="B848" s="345"/>
      <c r="C848" s="461" t="str">
        <f t="shared" si="97"/>
        <v xml:space="preserve">Sulphur </v>
      </c>
      <c r="D848" s="1917" t="str">
        <f t="shared" ref="D848:D853" ca="1" si="98">D833</f>
        <v>wt%</v>
      </c>
      <c r="E848" s="1917">
        <f ca="1">CokingRefineryCalcs!F833</f>
        <v>0</v>
      </c>
      <c r="F848" s="1917">
        <f ca="1">(E847*E848/10-G847*G848/10-H847*H848/10-J847*J848/10)/F847*10</f>
        <v>0</v>
      </c>
      <c r="G848" s="1917">
        <f ca="1">G897</f>
        <v>0</v>
      </c>
      <c r="H848" s="1917">
        <f ca="1">G898</f>
        <v>0</v>
      </c>
      <c r="I848" s="1917">
        <f ca="1">(G848*G847+H848*H847)/(G847+H847)</f>
        <v>0</v>
      </c>
      <c r="J848" s="339">
        <f ca="1">IF(J847=0, 0, E848*E847*(M863)/J847)</f>
        <v>0</v>
      </c>
      <c r="K848" s="1917"/>
      <c r="L848" s="1917"/>
      <c r="M848" s="1917"/>
      <c r="N848" s="1917"/>
      <c r="O848" s="1917"/>
      <c r="P848" s="1917"/>
      <c r="Q848" s="1969"/>
      <c r="R848" s="1917"/>
      <c r="S848" s="1917"/>
      <c r="T848" s="1917"/>
      <c r="U848" s="1917"/>
      <c r="V848" s="1917"/>
      <c r="W848" s="346"/>
    </row>
    <row r="849" spans="1:23" x14ac:dyDescent="0.2">
      <c r="A849" s="436"/>
      <c r="B849" s="345"/>
      <c r="C849" s="461" t="str">
        <f t="shared" si="97"/>
        <v xml:space="preserve">Nitrogen </v>
      </c>
      <c r="D849" s="1917" t="str">
        <f t="shared" ca="1" si="98"/>
        <v>mass ppm</v>
      </c>
      <c r="E849" s="1917">
        <f ca="1">CokingRefineryCalcs!F834</f>
        <v>0</v>
      </c>
      <c r="F849" s="1917">
        <f ca="1">(E847*E849/10-G847*G849/10-H847*H849/10-J847*J849/10)/F847*10</f>
        <v>0</v>
      </c>
      <c r="G849" s="1917">
        <f ca="1">H897</f>
        <v>0</v>
      </c>
      <c r="H849" s="1917">
        <f ca="1">H898</f>
        <v>0</v>
      </c>
      <c r="I849" s="1917">
        <f ca="1">(G849*G847+H849*H847)/(G848+H847)</f>
        <v>0</v>
      </c>
      <c r="J849" s="339">
        <f ca="1">IF(J847=0, 0, E849*E847*(N863)/J847)</f>
        <v>0</v>
      </c>
      <c r="K849" s="1917"/>
      <c r="L849" s="1917"/>
      <c r="M849" s="1917"/>
      <c r="N849" s="1917"/>
      <c r="O849" s="1917"/>
      <c r="P849" s="1917"/>
      <c r="Q849" s="1969"/>
      <c r="R849" s="1917"/>
      <c r="S849" s="1917"/>
      <c r="T849" s="1917"/>
      <c r="U849" s="1917"/>
      <c r="V849" s="1917"/>
      <c r="W849" s="346"/>
    </row>
    <row r="850" spans="1:23" x14ac:dyDescent="0.2">
      <c r="A850" s="436"/>
      <c r="B850" s="345"/>
      <c r="C850" s="461" t="str">
        <f t="shared" si="97"/>
        <v xml:space="preserve">API gravity </v>
      </c>
      <c r="D850" s="1917" t="str">
        <f t="shared" ca="1" si="98"/>
        <v>oAPI</v>
      </c>
      <c r="E850" s="1917">
        <f ca="1">CokingRefineryCalcs!F835</f>
        <v>0</v>
      </c>
      <c r="F850" s="1917"/>
      <c r="G850" s="1917">
        <f ca="1">141.5/(G851/1000)-131.5</f>
        <v>52.266233766171041</v>
      </c>
      <c r="H850" s="1917">
        <f ca="1">141.5/(H851/1000)-131.5</f>
        <v>19.998929336192617</v>
      </c>
      <c r="I850" s="1917">
        <f ca="1">141.5/(I851/1000)-131.5</f>
        <v>26.600962814494494</v>
      </c>
      <c r="J850" s="339"/>
      <c r="K850" s="1917"/>
      <c r="L850" s="1917"/>
      <c r="M850" s="1917"/>
      <c r="N850" s="1917"/>
      <c r="O850" s="1917"/>
      <c r="P850" s="1917"/>
      <c r="Q850" s="1969"/>
      <c r="R850" s="1917"/>
      <c r="S850" s="1917"/>
      <c r="T850" s="1917"/>
      <c r="U850" s="1917"/>
      <c r="V850" s="1917"/>
      <c r="W850" s="346"/>
    </row>
    <row r="851" spans="1:23" x14ac:dyDescent="0.2">
      <c r="A851" s="436"/>
      <c r="B851" s="345"/>
      <c r="C851" s="461" t="str">
        <f t="shared" si="97"/>
        <v>Density</v>
      </c>
      <c r="D851" s="1917" t="str">
        <f t="shared" ca="1" si="98"/>
        <v>kg/m^3</v>
      </c>
      <c r="E851" s="1917">
        <f ca="1">CokingRefineryCalcs!F836</f>
        <v>0</v>
      </c>
      <c r="F851" s="1917"/>
      <c r="G851" s="1917">
        <f ca="1">F897</f>
        <v>770.00000000026284</v>
      </c>
      <c r="H851" s="1917">
        <f ca="1">F898</f>
        <v>933.99999999997431</v>
      </c>
      <c r="I851" s="1917">
        <f ca="1">I847/I846</f>
        <v>894.99771210139306</v>
      </c>
      <c r="J851" s="339">
        <v>1141</v>
      </c>
      <c r="K851" s="1917"/>
      <c r="L851" s="1917"/>
      <c r="M851" s="1917"/>
      <c r="N851" s="1917"/>
      <c r="O851" s="1917"/>
      <c r="P851" s="1917"/>
      <c r="Q851" s="1969"/>
      <c r="R851" s="1917"/>
      <c r="S851" s="1917"/>
      <c r="T851" s="1917"/>
      <c r="U851" s="1917"/>
      <c r="V851" s="1917"/>
      <c r="W851" s="346"/>
    </row>
    <row r="852" spans="1:23" x14ac:dyDescent="0.2">
      <c r="A852" s="436"/>
      <c r="B852" s="345"/>
      <c r="C852" s="461" t="str">
        <f t="shared" si="97"/>
        <v>Hydrogen</v>
      </c>
      <c r="D852" s="1917" t="str">
        <f t="shared" ca="1" si="98"/>
        <v>wt%</v>
      </c>
      <c r="E852" s="1917">
        <f ca="1">CokingRefineryCalcs!F837</f>
        <v>0</v>
      </c>
      <c r="F852" s="1917">
        <f ca="1">(E847*E852/100-G847*G852/100-H847*H852/100-J847*J852/100)/F847*100</f>
        <v>-98.70521767962849</v>
      </c>
      <c r="G852" s="1917">
        <f ca="1">I897</f>
        <v>11.999999999998057</v>
      </c>
      <c r="H852" s="1917">
        <f ca="1">I898</f>
        <v>11.000000000000131</v>
      </c>
      <c r="I852" s="1917">
        <f ca="1">(G852*G851+H852*H851)/(G851+H851)</f>
        <v>11.451877934271586</v>
      </c>
      <c r="J852" s="925">
        <v>5.9</v>
      </c>
      <c r="K852" s="1917"/>
      <c r="L852" s="1917"/>
      <c r="M852" s="1917"/>
      <c r="N852" s="1917"/>
      <c r="O852" s="1917"/>
      <c r="P852" s="1917"/>
      <c r="Q852" s="1969"/>
      <c r="R852" s="1917"/>
      <c r="S852" s="1917"/>
      <c r="T852" s="1917"/>
      <c r="U852" s="1917"/>
      <c r="V852" s="1917"/>
      <c r="W852" s="346"/>
    </row>
    <row r="853" spans="1:23" x14ac:dyDescent="0.2">
      <c r="A853" s="436"/>
      <c r="B853" s="345"/>
      <c r="C853" s="462" t="str">
        <f t="shared" si="97"/>
        <v>MCR</v>
      </c>
      <c r="D853" s="400" t="str">
        <f t="shared" ca="1" si="98"/>
        <v>wt%</v>
      </c>
      <c r="E853" s="1914">
        <f ca="1">CokingRefineryCalcs!F838</f>
        <v>10.823381666475589</v>
      </c>
      <c r="F853" s="1914"/>
      <c r="G853" s="1914">
        <v>0</v>
      </c>
      <c r="H853" s="1914">
        <v>0</v>
      </c>
      <c r="I853" s="1914">
        <v>0</v>
      </c>
      <c r="J853" s="1916">
        <v>100</v>
      </c>
      <c r="K853" s="1917"/>
      <c r="L853" s="1917"/>
      <c r="M853" s="1917"/>
      <c r="N853" s="1917"/>
      <c r="O853" s="1917"/>
      <c r="P853" s="1917"/>
      <c r="Q853" s="1969"/>
      <c r="R853" s="1917"/>
      <c r="S853" s="1917"/>
      <c r="T853" s="1917"/>
      <c r="U853" s="1917"/>
      <c r="V853" s="1917"/>
      <c r="W853" s="346"/>
    </row>
    <row r="854" spans="1:23" x14ac:dyDescent="0.2">
      <c r="A854" s="436"/>
      <c r="B854" s="345"/>
      <c r="C854" s="437"/>
      <c r="D854" s="1917"/>
      <c r="E854" s="1917"/>
      <c r="F854" s="1917"/>
      <c r="G854" s="1917"/>
      <c r="H854" s="1917"/>
      <c r="I854" s="1917"/>
      <c r="J854" s="1917"/>
      <c r="K854" s="1917"/>
      <c r="L854" s="1917"/>
      <c r="M854" s="1917"/>
      <c r="N854" s="1917"/>
      <c r="O854" s="1917"/>
      <c r="P854" s="1917"/>
      <c r="Q854" s="1969"/>
      <c r="R854" s="1917"/>
      <c r="S854" s="1917"/>
      <c r="T854" s="1917"/>
      <c r="U854" s="1917"/>
      <c r="V854" s="1917"/>
      <c r="W854" s="346"/>
    </row>
    <row r="855" spans="1:23" x14ac:dyDescent="0.2">
      <c r="A855" s="436"/>
      <c r="B855" s="345"/>
      <c r="C855" s="440" t="s">
        <v>1303</v>
      </c>
      <c r="D855" s="360"/>
      <c r="E855" s="1917"/>
      <c r="F855" s="1917"/>
      <c r="G855" s="440" t="s">
        <v>1315</v>
      </c>
      <c r="H855" s="360"/>
      <c r="I855" s="1917"/>
      <c r="J855" s="1917"/>
      <c r="K855" s="1917"/>
      <c r="L855" s="440" t="s">
        <v>1404</v>
      </c>
      <c r="M855" s="350"/>
      <c r="N855" s="350"/>
      <c r="O855" s="1917"/>
      <c r="P855" s="1917"/>
      <c r="Q855" s="1969"/>
      <c r="R855" s="1917"/>
      <c r="S855" s="1917"/>
      <c r="T855" s="1917"/>
      <c r="U855" s="1917"/>
      <c r="V855" s="1917"/>
      <c r="W855" s="346"/>
    </row>
    <row r="856" spans="1:23" x14ac:dyDescent="0.2">
      <c r="A856" s="436"/>
      <c r="B856" s="345"/>
      <c r="C856" s="449"/>
      <c r="D856" s="1918" t="s">
        <v>233</v>
      </c>
      <c r="E856" s="1919" t="s">
        <v>623</v>
      </c>
      <c r="F856" s="1917"/>
      <c r="G856" s="476"/>
      <c r="H856" s="1918" t="s">
        <v>624</v>
      </c>
      <c r="I856" s="1919" t="s">
        <v>623</v>
      </c>
      <c r="J856" s="1917"/>
      <c r="K856" s="1917"/>
      <c r="L856" s="467" t="s">
        <v>1403</v>
      </c>
      <c r="M856" s="1913"/>
      <c r="N856" s="1915"/>
      <c r="O856" s="1917"/>
      <c r="P856" s="1917"/>
      <c r="Q856" s="1969"/>
      <c r="R856" s="1917"/>
      <c r="S856" s="1917"/>
      <c r="T856" s="1917"/>
      <c r="U856" s="1917"/>
      <c r="V856" s="1917"/>
      <c r="W856" s="346"/>
    </row>
    <row r="857" spans="1:23" x14ac:dyDescent="0.2">
      <c r="A857" s="436"/>
      <c r="B857" s="345"/>
      <c r="C857" s="442" t="s">
        <v>473</v>
      </c>
      <c r="D857" s="1917"/>
      <c r="E857" s="337"/>
      <c r="F857" s="1917"/>
      <c r="G857" s="442" t="s">
        <v>363</v>
      </c>
      <c r="H857" s="1917">
        <f ca="1">J875</f>
        <v>9.3585669599724856E-16</v>
      </c>
      <c r="I857" s="337" t="s">
        <v>622</v>
      </c>
      <c r="J857" s="1917"/>
      <c r="K857" s="1917"/>
      <c r="L857" s="465"/>
      <c r="M857" s="1911" t="s">
        <v>1402</v>
      </c>
      <c r="N857" s="399" t="s">
        <v>739</v>
      </c>
      <c r="O857" s="1917"/>
      <c r="P857" s="1917"/>
      <c r="Q857" s="1969"/>
      <c r="R857" s="1917"/>
      <c r="S857" s="1917"/>
      <c r="T857" s="1917"/>
      <c r="U857" s="1917"/>
      <c r="V857" s="1917"/>
      <c r="W857" s="346"/>
    </row>
    <row r="858" spans="1:23" ht="15" x14ac:dyDescent="0.2">
      <c r="A858" s="436"/>
      <c r="B858" s="345"/>
      <c r="C858" s="453" t="s">
        <v>451</v>
      </c>
      <c r="D858" s="914">
        <f>Constants!H258</f>
        <v>30</v>
      </c>
      <c r="E858" s="337" t="s">
        <v>986</v>
      </c>
      <c r="F858" s="412"/>
      <c r="G858" s="442" t="s">
        <v>377</v>
      </c>
      <c r="H858" s="1917"/>
      <c r="I858" s="337" t="s">
        <v>579</v>
      </c>
      <c r="J858" s="1917"/>
      <c r="K858" s="1917"/>
      <c r="L858" s="465" t="s">
        <v>224</v>
      </c>
      <c r="M858" s="914">
        <v>0.3</v>
      </c>
      <c r="N858" s="925" t="s">
        <v>115</v>
      </c>
      <c r="O858" s="1917"/>
      <c r="P858" s="1917"/>
      <c r="Q858" s="1969"/>
      <c r="R858" s="1917"/>
      <c r="S858" s="1917"/>
      <c r="T858" s="1917"/>
      <c r="U858" s="1917"/>
      <c r="V858" s="1917"/>
      <c r="W858" s="346"/>
    </row>
    <row r="859" spans="1:23" x14ac:dyDescent="0.2">
      <c r="A859" s="436"/>
      <c r="B859" s="345"/>
      <c r="C859" s="453" t="s">
        <v>451</v>
      </c>
      <c r="D859" s="1917">
        <f>D858/'Energy &amp; Unit Conversions'!E93</f>
        <v>0.03</v>
      </c>
      <c r="E859" s="337" t="s">
        <v>987</v>
      </c>
      <c r="F859" s="1917"/>
      <c r="G859" s="442" t="s">
        <v>378</v>
      </c>
      <c r="H859" s="1917"/>
      <c r="I859" s="337" t="s">
        <v>579</v>
      </c>
      <c r="J859" s="1917"/>
      <c r="K859" s="1917"/>
      <c r="L859" s="465" t="s">
        <v>735</v>
      </c>
      <c r="M859" s="914">
        <v>1.7000000000000001E-2</v>
      </c>
      <c r="N859" s="925"/>
      <c r="O859" s="1917"/>
      <c r="P859" s="1917"/>
      <c r="Q859" s="1969"/>
      <c r="R859" s="1917"/>
      <c r="S859" s="1917"/>
      <c r="T859" s="1917"/>
      <c r="U859" s="1917"/>
      <c r="V859" s="1917"/>
      <c r="W859" s="346"/>
    </row>
    <row r="860" spans="1:23" x14ac:dyDescent="0.2">
      <c r="A860" s="436"/>
      <c r="B860" s="345"/>
      <c r="C860" s="450" t="s">
        <v>452</v>
      </c>
      <c r="D860" s="364">
        <f ca="1">D859*J847</f>
        <v>5.1952231999082826E-17</v>
      </c>
      <c r="E860" s="365" t="s">
        <v>627</v>
      </c>
      <c r="F860" s="1917"/>
      <c r="G860" s="443" t="s">
        <v>379</v>
      </c>
      <c r="H860" s="334">
        <f ca="1">J874</f>
        <v>9.3585669599724852</v>
      </c>
      <c r="I860" s="338" t="s">
        <v>579</v>
      </c>
      <c r="J860" s="1917"/>
      <c r="K860" s="1917"/>
      <c r="L860" s="465" t="s">
        <v>736</v>
      </c>
      <c r="M860" s="914">
        <v>3.3000000000000002E-2</v>
      </c>
      <c r="N860" s="925">
        <v>0.01</v>
      </c>
      <c r="O860" s="1917"/>
      <c r="P860" s="1917"/>
      <c r="Q860" s="1969"/>
      <c r="R860" s="1917"/>
      <c r="S860" s="1917"/>
      <c r="T860" s="1917"/>
      <c r="U860" s="1917"/>
      <c r="V860" s="1917"/>
      <c r="W860" s="346"/>
    </row>
    <row r="861" spans="1:23" x14ac:dyDescent="0.2">
      <c r="A861" s="436"/>
      <c r="B861" s="345"/>
      <c r="C861" s="442" t="s">
        <v>232</v>
      </c>
      <c r="D861" s="1911"/>
      <c r="E861" s="337"/>
      <c r="F861" s="1917"/>
      <c r="G861" s="1917"/>
      <c r="H861" s="1917"/>
      <c r="I861" s="1917"/>
      <c r="J861" s="1917"/>
      <c r="K861" s="1917"/>
      <c r="L861" s="465" t="s">
        <v>737</v>
      </c>
      <c r="M861" s="914">
        <v>0.154</v>
      </c>
      <c r="N861" s="925">
        <v>0.02</v>
      </c>
      <c r="O861" s="1917"/>
      <c r="P861" s="1917"/>
      <c r="Q861" s="1969"/>
      <c r="R861" s="1917"/>
      <c r="S861" s="1917"/>
      <c r="T861" s="1917"/>
      <c r="U861" s="1917"/>
      <c r="V861" s="1917"/>
      <c r="W861" s="346"/>
    </row>
    <row r="862" spans="1:23" x14ac:dyDescent="0.2">
      <c r="A862" s="436"/>
      <c r="B862" s="345"/>
      <c r="C862" s="453" t="s">
        <v>494</v>
      </c>
      <c r="D862" s="1917">
        <v>180000</v>
      </c>
      <c r="E862" s="337" t="s">
        <v>611</v>
      </c>
      <c r="F862" s="1917"/>
      <c r="G862" s="1917"/>
      <c r="H862" s="1917"/>
      <c r="I862" s="1917"/>
      <c r="J862" s="1917"/>
      <c r="K862" s="1917"/>
      <c r="L862" s="465" t="s">
        <v>738</v>
      </c>
      <c r="M862" s="914">
        <v>0.19600000000000001</v>
      </c>
      <c r="N862" s="925">
        <v>0.22</v>
      </c>
      <c r="O862" s="1917"/>
      <c r="P862" s="1917"/>
      <c r="Q862" s="1969"/>
      <c r="R862" s="1917"/>
      <c r="S862" s="1917"/>
      <c r="T862" s="1917"/>
      <c r="U862" s="1917"/>
      <c r="V862" s="1917"/>
      <c r="W862" s="346"/>
    </row>
    <row r="863" spans="1:23" x14ac:dyDescent="0.2">
      <c r="A863" s="436"/>
      <c r="B863" s="345"/>
      <c r="C863" s="453" t="s">
        <v>671</v>
      </c>
      <c r="D863" s="914">
        <f>Constants!H263</f>
        <v>5</v>
      </c>
      <c r="E863" s="337" t="s">
        <v>496</v>
      </c>
      <c r="F863" s="1917"/>
      <c r="G863" s="1917"/>
      <c r="H863" s="1917"/>
      <c r="I863" s="1917"/>
      <c r="J863" s="1917"/>
      <c r="K863" s="1917"/>
      <c r="L863" s="465" t="s">
        <v>654</v>
      </c>
      <c r="M863" s="914">
        <v>0.3</v>
      </c>
      <c r="N863" s="925">
        <v>0.75</v>
      </c>
      <c r="O863" s="1917"/>
      <c r="P863" s="1917"/>
      <c r="Q863" s="1969"/>
      <c r="R863" s="1917"/>
      <c r="S863" s="1917"/>
      <c r="T863" s="1917"/>
      <c r="U863" s="1917"/>
      <c r="V863" s="1917"/>
      <c r="W863" s="346"/>
    </row>
    <row r="864" spans="1:23" x14ac:dyDescent="0.2">
      <c r="A864" s="436"/>
      <c r="B864" s="345"/>
      <c r="C864" s="453" t="s">
        <v>671</v>
      </c>
      <c r="D864" s="1917">
        <f>D863/2.2046/'Energy &amp; Unit Conversions'!G80</f>
        <v>14.2651967925589</v>
      </c>
      <c r="E864" s="337" t="s">
        <v>581</v>
      </c>
      <c r="F864" s="1917"/>
      <c r="G864" s="1917"/>
      <c r="H864" s="1917"/>
      <c r="I864" s="1917"/>
      <c r="J864" s="1917"/>
      <c r="K864" s="1917"/>
      <c r="L864" s="489" t="s">
        <v>598</v>
      </c>
      <c r="M864" s="490">
        <f>SUM(M858:M863)</f>
        <v>1</v>
      </c>
      <c r="N864" s="491">
        <f>SUM(N858:N863)</f>
        <v>1</v>
      </c>
      <c r="O864" s="1917"/>
      <c r="P864" s="1917"/>
      <c r="Q864" s="1969"/>
      <c r="R864" s="1917"/>
      <c r="S864" s="1917"/>
      <c r="T864" s="1917"/>
      <c r="U864" s="1917"/>
      <c r="V864" s="1917"/>
      <c r="W864" s="346"/>
    </row>
    <row r="865" spans="1:23" x14ac:dyDescent="0.2">
      <c r="A865" s="436"/>
      <c r="B865" s="345"/>
      <c r="C865" s="450" t="s">
        <v>672</v>
      </c>
      <c r="D865" s="364">
        <f ca="1">D864*H846</f>
        <v>8.9075924665788567E-17</v>
      </c>
      <c r="E865" s="365" t="s">
        <v>622</v>
      </c>
      <c r="F865" s="1917"/>
      <c r="G865" s="1917"/>
      <c r="H865" s="1917"/>
      <c r="I865" s="1917"/>
      <c r="J865" s="1917"/>
      <c r="K865" s="1917"/>
      <c r="L865" s="444"/>
      <c r="M865" s="1917"/>
      <c r="N865" s="1917"/>
      <c r="O865" s="1917"/>
      <c r="P865" s="1917"/>
      <c r="Q865" s="1969"/>
      <c r="R865" s="1917"/>
      <c r="S865" s="1917"/>
      <c r="T865" s="1917"/>
      <c r="U865" s="1917"/>
      <c r="V865" s="1917"/>
      <c r="W865" s="346"/>
    </row>
    <row r="866" spans="1:23" ht="15" x14ac:dyDescent="0.2">
      <c r="A866" s="436"/>
      <c r="B866" s="345"/>
      <c r="C866" s="453" t="s">
        <v>451</v>
      </c>
      <c r="D866" s="914">
        <f>Constants!H259</f>
        <v>0.5</v>
      </c>
      <c r="E866" s="337" t="s">
        <v>665</v>
      </c>
      <c r="F866" s="1917"/>
      <c r="G866" s="1917"/>
      <c r="H866" s="1917"/>
      <c r="I866" s="1917"/>
      <c r="J866" s="1917"/>
      <c r="K866" s="1917"/>
      <c r="L866" s="2283" t="s">
        <v>1352</v>
      </c>
      <c r="M866" s="2284"/>
      <c r="N866" s="426"/>
      <c r="O866" s="1917"/>
      <c r="P866" s="1917"/>
      <c r="Q866" s="1969"/>
      <c r="R866" s="1917"/>
      <c r="S866" s="1917"/>
      <c r="T866" s="1917"/>
      <c r="U866" s="1917"/>
      <c r="V866" s="1917"/>
      <c r="W866" s="346"/>
    </row>
    <row r="867" spans="1:23" x14ac:dyDescent="0.2">
      <c r="A867" s="436"/>
      <c r="B867" s="345"/>
      <c r="C867" s="453" t="s">
        <v>451</v>
      </c>
      <c r="D867" s="1917">
        <f>D866/'Energy &amp; Unit Conversions'!G80</f>
        <v>3.144905284887535</v>
      </c>
      <c r="E867" s="337" t="s">
        <v>629</v>
      </c>
      <c r="F867" s="1917"/>
      <c r="G867" s="1917"/>
      <c r="H867" s="1917"/>
      <c r="I867" s="1917"/>
      <c r="J867" s="1917"/>
      <c r="K867" s="1917"/>
      <c r="L867" s="1917"/>
      <c r="M867" s="1917"/>
      <c r="N867" s="1917"/>
      <c r="O867" s="1917"/>
      <c r="P867" s="1917"/>
      <c r="Q867" s="1969"/>
      <c r="R867" s="1917"/>
      <c r="S867" s="1917"/>
      <c r="T867" s="1917"/>
      <c r="U867" s="1917"/>
      <c r="V867" s="1917"/>
      <c r="W867" s="346"/>
    </row>
    <row r="868" spans="1:23" x14ac:dyDescent="0.2">
      <c r="A868" s="436"/>
      <c r="B868" s="345"/>
      <c r="C868" s="451" t="s">
        <v>452</v>
      </c>
      <c r="D868" s="336">
        <f ca="1">D867*I846</f>
        <v>2.5765105581189667E-17</v>
      </c>
      <c r="E868" s="367" t="s">
        <v>627</v>
      </c>
      <c r="F868" s="1917"/>
      <c r="G868" s="1917"/>
      <c r="H868" s="1917"/>
      <c r="I868" s="1917"/>
      <c r="J868" s="1917"/>
      <c r="K868" s="1917"/>
      <c r="L868" s="1917"/>
      <c r="M868" s="1917"/>
      <c r="N868" s="1917"/>
      <c r="O868" s="1917"/>
      <c r="P868" s="1917"/>
      <c r="Q868" s="1969"/>
      <c r="R868" s="1917"/>
      <c r="S868" s="1917"/>
      <c r="T868" s="1917"/>
      <c r="U868" s="1917"/>
      <c r="V868" s="1917"/>
      <c r="W868" s="346"/>
    </row>
    <row r="869" spans="1:23" x14ac:dyDescent="0.2">
      <c r="A869" s="436"/>
      <c r="B869" s="345"/>
      <c r="C869" s="437"/>
      <c r="D869" s="1917"/>
      <c r="E869" s="1917"/>
      <c r="F869" s="1917"/>
      <c r="G869" s="1917"/>
      <c r="H869" s="1917"/>
      <c r="I869" s="1917"/>
      <c r="J869" s="1917"/>
      <c r="K869" s="1917"/>
      <c r="L869" s="1917"/>
      <c r="M869" s="1917"/>
      <c r="N869" s="1917"/>
      <c r="O869" s="1917"/>
      <c r="P869" s="1917"/>
      <c r="Q869" s="1969"/>
      <c r="R869" s="1917"/>
      <c r="S869" s="1917"/>
      <c r="T869" s="1917"/>
      <c r="U869" s="1917"/>
      <c r="V869" s="1917"/>
      <c r="W869" s="346"/>
    </row>
    <row r="870" spans="1:23" x14ac:dyDescent="0.2">
      <c r="A870" s="436"/>
      <c r="B870" s="345"/>
      <c r="C870" s="440" t="s">
        <v>1353</v>
      </c>
      <c r="D870" s="350"/>
      <c r="E870" s="1910"/>
      <c r="F870" s="1917"/>
      <c r="G870" s="1917"/>
      <c r="H870" s="1917"/>
      <c r="I870" s="1917"/>
      <c r="J870" s="1917"/>
      <c r="K870" s="1917"/>
      <c r="L870" s="1917"/>
      <c r="M870" s="1917"/>
      <c r="N870" s="1917"/>
      <c r="O870" s="1917"/>
      <c r="P870" s="1917"/>
      <c r="Q870" s="1969"/>
      <c r="R870" s="1917"/>
      <c r="S870" s="1917"/>
      <c r="T870" s="1917"/>
      <c r="U870" s="1917"/>
      <c r="V870" s="1917"/>
      <c r="W870" s="346"/>
    </row>
    <row r="871" spans="1:23" x14ac:dyDescent="0.2">
      <c r="A871" s="436"/>
      <c r="B871" s="345"/>
      <c r="C871" s="441" t="s">
        <v>545</v>
      </c>
      <c r="D871" s="368">
        <f ca="1">11.29 + 0.343*$E$853</f>
        <v>15.002419911601127</v>
      </c>
      <c r="E871" s="368" t="s">
        <v>579</v>
      </c>
      <c r="F871" s="1918" t="s">
        <v>546</v>
      </c>
      <c r="G871" s="368">
        <f ca="1">100-J874-D871-J871</f>
        <v>58.321602462065457</v>
      </c>
      <c r="H871" s="368" t="s">
        <v>579</v>
      </c>
      <c r="I871" s="1918" t="s">
        <v>547</v>
      </c>
      <c r="J871" s="368">
        <f ca="1">1.6*$E$853</f>
        <v>17.317410666360942</v>
      </c>
      <c r="K871" s="368" t="s">
        <v>579</v>
      </c>
      <c r="L871" s="368" t="s">
        <v>556</v>
      </c>
      <c r="M871" s="368">
        <f ca="1">D872+G872</f>
        <v>7.3324022373666578E-15</v>
      </c>
      <c r="N871" s="369" t="s">
        <v>622</v>
      </c>
      <c r="O871" s="1917"/>
      <c r="P871" s="1917"/>
      <c r="Q871" s="1969"/>
      <c r="R871" s="1917"/>
      <c r="S871" s="1917"/>
      <c r="T871" s="1917"/>
      <c r="U871" s="1917"/>
      <c r="V871" s="1917"/>
      <c r="W871" s="346"/>
    </row>
    <row r="872" spans="1:23" x14ac:dyDescent="0.2">
      <c r="A872" s="436"/>
      <c r="B872" s="345"/>
      <c r="C872" s="453" t="s">
        <v>549</v>
      </c>
      <c r="D872" s="1917">
        <f ca="1">D871/100*E847</f>
        <v>1.5002419911601128E-15</v>
      </c>
      <c r="E872" s="1917" t="s">
        <v>622</v>
      </c>
      <c r="F872" s="1917" t="s">
        <v>551</v>
      </c>
      <c r="G872" s="1917">
        <f ca="1">G871/100*E847</f>
        <v>5.8321602462065458E-15</v>
      </c>
      <c r="H872" s="1917" t="s">
        <v>622</v>
      </c>
      <c r="I872" s="1917" t="s">
        <v>552</v>
      </c>
      <c r="J872" s="1917">
        <f ca="1">J871/100*E847</f>
        <v>1.7317410666360942E-15</v>
      </c>
      <c r="K872" s="1917" t="s">
        <v>622</v>
      </c>
      <c r="L872" s="1917" t="s">
        <v>555</v>
      </c>
      <c r="M872" s="1917">
        <f ca="1">(D872/D873+G872/G873)</f>
        <v>8.1926491411365527E-18</v>
      </c>
      <c r="N872" s="337" t="s">
        <v>628</v>
      </c>
      <c r="O872" s="1917"/>
      <c r="P872" s="1917"/>
      <c r="Q872" s="1969"/>
      <c r="R872" s="1917"/>
      <c r="S872" s="1917"/>
      <c r="T872" s="1917"/>
      <c r="U872" s="1917"/>
      <c r="V872" s="1917"/>
      <c r="W872" s="346"/>
    </row>
    <row r="873" spans="1:23" x14ac:dyDescent="0.2">
      <c r="A873" s="436"/>
      <c r="B873" s="345"/>
      <c r="C873" s="453" t="s">
        <v>553</v>
      </c>
      <c r="D873" s="914">
        <v>770</v>
      </c>
      <c r="E873" s="1917" t="s">
        <v>581</v>
      </c>
      <c r="F873" s="1917" t="s">
        <v>554</v>
      </c>
      <c r="G873" s="914">
        <v>934</v>
      </c>
      <c r="H873" s="1917" t="s">
        <v>581</v>
      </c>
      <c r="I873" s="1917"/>
      <c r="J873" s="1917"/>
      <c r="K873" s="1917"/>
      <c r="L873" s="1917" t="s">
        <v>555</v>
      </c>
      <c r="M873" s="1917">
        <f ca="1">M872/'Energy &amp; Unit Conversions'!G80</f>
        <v>5.1530211162379341E-17</v>
      </c>
      <c r="N873" s="337" t="s">
        <v>566</v>
      </c>
      <c r="O873" s="1917"/>
      <c r="P873" s="1917"/>
      <c r="Q873" s="1969"/>
      <c r="R873" s="1917"/>
      <c r="S873" s="1917"/>
      <c r="T873" s="1917"/>
      <c r="U873" s="1917"/>
      <c r="V873" s="1917"/>
      <c r="W873" s="346"/>
    </row>
    <row r="874" spans="1:23" x14ac:dyDescent="0.2">
      <c r="A874" s="436"/>
      <c r="B874" s="345"/>
      <c r="C874" s="453" t="s">
        <v>1373</v>
      </c>
      <c r="D874" s="1917">
        <f ca="1">D872/D873</f>
        <v>1.9483662222858607E-18</v>
      </c>
      <c r="E874" s="1917" t="s">
        <v>628</v>
      </c>
      <c r="F874" s="1917" t="s">
        <v>559</v>
      </c>
      <c r="G874" s="1917">
        <f ca="1">G872/G873</f>
        <v>6.2442829188506912E-18</v>
      </c>
      <c r="H874" s="1917" t="s">
        <v>628</v>
      </c>
      <c r="I874" s="1911" t="s">
        <v>548</v>
      </c>
      <c r="J874" s="1917">
        <f ca="1">7.8+0.144*$E$853</f>
        <v>9.3585669599724852</v>
      </c>
      <c r="K874" s="1917" t="s">
        <v>579</v>
      </c>
      <c r="L874" s="1917" t="s">
        <v>557</v>
      </c>
      <c r="M874" s="1917">
        <f ca="1">M871/M872</f>
        <v>894.99771210139306</v>
      </c>
      <c r="N874" s="337" t="s">
        <v>581</v>
      </c>
      <c r="O874" s="1917"/>
      <c r="P874" s="1917"/>
      <c r="Q874" s="1969"/>
      <c r="R874" s="1917"/>
      <c r="S874" s="1917"/>
      <c r="T874" s="1917"/>
      <c r="U874" s="1917"/>
      <c r="V874" s="1917"/>
      <c r="W874" s="346"/>
    </row>
    <row r="875" spans="1:23" x14ac:dyDescent="0.2">
      <c r="A875" s="436"/>
      <c r="B875" s="345"/>
      <c r="C875" s="453" t="s">
        <v>1373</v>
      </c>
      <c r="D875" s="1917">
        <f ca="1">D874/'Energy &amp; Unit Conversions'!G80</f>
        <v>1.225485445872633E-17</v>
      </c>
      <c r="E875" s="1917" t="s">
        <v>566</v>
      </c>
      <c r="F875" s="1917" t="s">
        <v>559</v>
      </c>
      <c r="G875" s="1917">
        <f ca="1">G874/'Energy &amp; Unit Conversions'!G80</f>
        <v>3.9275356703653006E-17</v>
      </c>
      <c r="H875" s="1917" t="s">
        <v>566</v>
      </c>
      <c r="I875" s="1917" t="s">
        <v>550</v>
      </c>
      <c r="J875" s="1917">
        <f ca="1">J874/100*E847</f>
        <v>9.3585669599724856E-16</v>
      </c>
      <c r="K875" s="1917" t="s">
        <v>622</v>
      </c>
      <c r="L875" s="1917"/>
      <c r="M875" s="1917"/>
      <c r="N875" s="337"/>
      <c r="O875" s="1917"/>
      <c r="P875" s="1917"/>
      <c r="Q875" s="1969"/>
      <c r="R875" s="1917"/>
      <c r="S875" s="1917"/>
      <c r="T875" s="1917"/>
      <c r="U875" s="1917"/>
      <c r="V875" s="1917"/>
      <c r="W875" s="346"/>
    </row>
    <row r="876" spans="1:23" x14ac:dyDescent="0.2">
      <c r="A876" s="436"/>
      <c r="B876" s="345"/>
      <c r="C876" s="452"/>
      <c r="D876" s="334"/>
      <c r="E876" s="334"/>
      <c r="F876" s="334"/>
      <c r="G876" s="334"/>
      <c r="H876" s="334"/>
      <c r="I876" s="334"/>
      <c r="J876" s="334"/>
      <c r="K876" s="334"/>
      <c r="L876" s="334"/>
      <c r="M876" s="334"/>
      <c r="N876" s="338"/>
      <c r="O876" s="1917"/>
      <c r="P876" s="1917"/>
      <c r="Q876" s="1969"/>
      <c r="R876" s="1917"/>
      <c r="S876" s="1917"/>
      <c r="T876" s="1917"/>
      <c r="U876" s="1917"/>
      <c r="V876" s="1917"/>
      <c r="W876" s="346"/>
    </row>
    <row r="877" spans="1:23" x14ac:dyDescent="0.2">
      <c r="A877" s="436"/>
      <c r="B877" s="345"/>
      <c r="C877" s="437"/>
      <c r="D877" s="1917"/>
      <c r="E877" s="1917"/>
      <c r="F877" s="1917"/>
      <c r="G877" s="1917"/>
      <c r="H877" s="1917"/>
      <c r="I877" s="1917"/>
      <c r="J877" s="1917"/>
      <c r="K877" s="1917"/>
      <c r="L877" s="1917"/>
      <c r="M877" s="1917"/>
      <c r="N877" s="1917"/>
      <c r="O877" s="1917"/>
      <c r="P877" s="1917"/>
      <c r="Q877" s="1969"/>
      <c r="R877" s="1917"/>
      <c r="S877" s="1917"/>
      <c r="T877" s="1917"/>
      <c r="U877" s="1917"/>
      <c r="V877" s="1917"/>
      <c r="W877" s="346"/>
    </row>
    <row r="878" spans="1:23" x14ac:dyDescent="0.2">
      <c r="A878" s="436"/>
      <c r="B878" s="345"/>
      <c r="C878" s="440" t="str">
        <f>I844</f>
        <v>Total Coker Liquids</v>
      </c>
      <c r="D878" s="1917"/>
      <c r="E878" s="1917"/>
      <c r="F878" s="1917"/>
      <c r="G878" s="1917"/>
      <c r="H878" s="1917"/>
      <c r="I878" s="1917"/>
      <c r="J878" s="1917"/>
      <c r="K878" s="1917"/>
      <c r="L878" s="1917"/>
      <c r="M878" s="1917"/>
      <c r="N878" s="1917"/>
      <c r="O878" s="1917"/>
      <c r="P878" s="1917"/>
      <c r="Q878" s="1969"/>
      <c r="R878" s="1917"/>
      <c r="S878" s="1917"/>
      <c r="T878" s="1917"/>
      <c r="U878" s="1917"/>
      <c r="V878" s="1917"/>
      <c r="W878" s="346"/>
    </row>
    <row r="879" spans="1:23" x14ac:dyDescent="0.2">
      <c r="A879" s="436"/>
      <c r="B879" s="345"/>
      <c r="C879" s="463"/>
      <c r="D879" s="402" t="s">
        <v>1197</v>
      </c>
      <c r="E879" s="402" t="s">
        <v>1198</v>
      </c>
      <c r="F879" s="402" t="s">
        <v>1199</v>
      </c>
      <c r="G879" s="402" t="s">
        <v>663</v>
      </c>
      <c r="H879" s="402" t="s">
        <v>907</v>
      </c>
      <c r="I879" s="403" t="s">
        <v>662</v>
      </c>
      <c r="J879" s="1917"/>
      <c r="K879" s="1917"/>
      <c r="L879" s="1917"/>
      <c r="M879" s="1917"/>
      <c r="N879" s="1917"/>
      <c r="O879" s="1917"/>
      <c r="P879" s="1917"/>
      <c r="Q879" s="1969"/>
      <c r="R879" s="1917"/>
      <c r="S879" s="1917"/>
      <c r="T879" s="1917"/>
      <c r="U879" s="1917"/>
      <c r="V879" s="1917"/>
      <c r="W879" s="346"/>
    </row>
    <row r="880" spans="1:23" x14ac:dyDescent="0.2">
      <c r="A880" s="436"/>
      <c r="B880" s="345"/>
      <c r="C880" s="461" t="s">
        <v>558</v>
      </c>
      <c r="D880" s="1917">
        <f ca="1">D875</f>
        <v>1.225485445872633E-17</v>
      </c>
      <c r="E880" s="1917">
        <f ca="1">D872</f>
        <v>1.5002419911601128E-15</v>
      </c>
      <c r="F880" s="1917">
        <f ca="1">E880/D880/'Energy &amp; Unit Conversions'!G80</f>
        <v>770.00000000000011</v>
      </c>
      <c r="G880" s="1917">
        <f ca="1">E848*E847*(M859+M860)/E880</f>
        <v>0</v>
      </c>
      <c r="H880" s="1917">
        <f ca="1">E849*E847*(N859+N860)/E880</f>
        <v>0</v>
      </c>
      <c r="I880" s="925">
        <v>12</v>
      </c>
      <c r="J880" s="1917"/>
      <c r="K880" s="1917"/>
      <c r="L880" s="1917"/>
      <c r="M880" s="1917"/>
      <c r="N880" s="1917"/>
      <c r="O880" s="1917"/>
      <c r="P880" s="1917"/>
      <c r="Q880" s="1969"/>
      <c r="R880" s="1917"/>
      <c r="S880" s="1917"/>
      <c r="T880" s="1917"/>
      <c r="U880" s="1917"/>
      <c r="V880" s="1917"/>
      <c r="W880" s="346"/>
    </row>
    <row r="881" spans="1:23" x14ac:dyDescent="0.2">
      <c r="A881" s="436"/>
      <c r="B881" s="345"/>
      <c r="C881" s="461" t="s">
        <v>560</v>
      </c>
      <c r="D881" s="1917">
        <f ca="1">G875</f>
        <v>3.9275356703653006E-17</v>
      </c>
      <c r="E881" s="1917">
        <f ca="1">G872</f>
        <v>5.8321602462065458E-15</v>
      </c>
      <c r="F881" s="1917">
        <f ca="1">E881/D881/'Energy &amp; Unit Conversions'!G80</f>
        <v>934.00000000000011</v>
      </c>
      <c r="G881" s="1917">
        <f ca="1">E848*E847*(M861+M862)/E881</f>
        <v>0</v>
      </c>
      <c r="H881" s="1917">
        <f ca="1">E849*E847*(N861+N862)/E881</f>
        <v>0</v>
      </c>
      <c r="I881" s="925">
        <v>11</v>
      </c>
      <c r="J881" s="1917"/>
      <c r="K881" s="1917"/>
      <c r="L881" s="1917"/>
      <c r="M881" s="1917"/>
      <c r="N881" s="1917"/>
      <c r="O881" s="1917"/>
      <c r="P881" s="1917"/>
      <c r="Q881" s="1969"/>
      <c r="R881" s="1917"/>
      <c r="S881" s="1917"/>
      <c r="T881" s="1917"/>
      <c r="U881" s="1917"/>
      <c r="V881" s="1917"/>
      <c r="W881" s="346"/>
    </row>
    <row r="882" spans="1:23" x14ac:dyDescent="0.2">
      <c r="A882" s="477"/>
      <c r="B882" s="396"/>
      <c r="C882" s="462" t="s">
        <v>1200</v>
      </c>
      <c r="D882" s="400">
        <f ca="1">SUM(D880:D881)</f>
        <v>5.1530211162379335E-17</v>
      </c>
      <c r="E882" s="400">
        <f ca="1">SUM(E880:E881)</f>
        <v>7.3324022373666578E-15</v>
      </c>
      <c r="F882" s="400"/>
      <c r="G882" s="400"/>
      <c r="H882" s="400"/>
      <c r="I882" s="401"/>
      <c r="J882" s="1911"/>
      <c r="K882" s="1911"/>
      <c r="L882" s="1911"/>
      <c r="M882" s="1911"/>
      <c r="N882" s="1911"/>
      <c r="O882" s="1911"/>
      <c r="P882" s="1911"/>
      <c r="Q882" s="1968"/>
      <c r="R882" s="1911"/>
      <c r="S882" s="1911"/>
      <c r="T882" s="1911"/>
      <c r="U882" s="1911"/>
      <c r="V882" s="1911"/>
      <c r="W882" s="1927"/>
    </row>
    <row r="883" spans="1:23" x14ac:dyDescent="0.2">
      <c r="A883" s="436"/>
      <c r="B883" s="345"/>
      <c r="C883" s="437"/>
      <c r="D883" s="1917"/>
      <c r="E883" s="1917"/>
      <c r="F883" s="1917"/>
      <c r="G883" s="1917"/>
      <c r="H883" s="1917"/>
      <c r="I883" s="1917"/>
      <c r="J883" s="1917"/>
      <c r="K883" s="1917"/>
      <c r="L883" s="1917"/>
      <c r="M883" s="1917"/>
      <c r="N883" s="1917"/>
      <c r="O883" s="1917"/>
      <c r="P883" s="1917"/>
      <c r="Q883" s="1969"/>
      <c r="R883" s="1917"/>
      <c r="S883" s="1917"/>
      <c r="T883" s="1917"/>
      <c r="U883" s="1917"/>
      <c r="V883" s="1917"/>
      <c r="W883" s="346"/>
    </row>
    <row r="884" spans="1:23" x14ac:dyDescent="0.2">
      <c r="A884" s="436"/>
      <c r="B884" s="345"/>
      <c r="C884" s="843" t="s">
        <v>1354</v>
      </c>
      <c r="D884" s="1917"/>
      <c r="E884" s="1917"/>
      <c r="F884" s="1917"/>
      <c r="G884" s="1917"/>
      <c r="H884" s="1917"/>
      <c r="I884" s="1917"/>
      <c r="J884" s="1917"/>
      <c r="K884" s="1917"/>
      <c r="L884" s="1917"/>
      <c r="M884" s="1917"/>
      <c r="N884" s="1917"/>
      <c r="O884" s="1917"/>
      <c r="P884" s="1917"/>
      <c r="Q884" s="1969"/>
      <c r="R884" s="1917"/>
      <c r="S884" s="1917"/>
      <c r="T884" s="1917"/>
      <c r="U884" s="1917"/>
      <c r="V884" s="1917"/>
      <c r="W884" s="346"/>
    </row>
    <row r="885" spans="1:23" x14ac:dyDescent="0.2">
      <c r="A885" s="436"/>
      <c r="B885" s="345"/>
      <c r="C885" s="454"/>
      <c r="D885" s="368"/>
      <c r="E885" s="368"/>
      <c r="F885" s="368"/>
      <c r="G885" s="372" t="s">
        <v>292</v>
      </c>
      <c r="H885" s="372" t="s">
        <v>293</v>
      </c>
      <c r="I885" s="356" t="s">
        <v>294</v>
      </c>
      <c r="J885" s="373" t="s">
        <v>663</v>
      </c>
      <c r="K885" s="356" t="s">
        <v>907</v>
      </c>
      <c r="L885" s="374" t="s">
        <v>662</v>
      </c>
      <c r="M885" s="1917"/>
      <c r="N885" s="1917"/>
      <c r="O885" s="1917"/>
      <c r="P885" s="1917"/>
      <c r="Q885" s="1969"/>
      <c r="R885" s="1917"/>
      <c r="S885" s="1917"/>
      <c r="T885" s="1917"/>
      <c r="U885" s="1917"/>
      <c r="V885" s="1917"/>
      <c r="W885" s="346"/>
    </row>
    <row r="886" spans="1:23" x14ac:dyDescent="0.2">
      <c r="A886" s="436"/>
      <c r="B886" s="345"/>
      <c r="C886" s="442" t="s">
        <v>558</v>
      </c>
      <c r="D886" s="1917">
        <f>CokingRefineryControls!C22</f>
        <v>1E-10</v>
      </c>
      <c r="E886" s="1917" t="s">
        <v>1194</v>
      </c>
      <c r="F886" s="1911" t="s">
        <v>414</v>
      </c>
      <c r="G886" s="1917">
        <f ca="1">D886/100*D880+D887/100*D881</f>
        <v>5.1530211162379332E-29</v>
      </c>
      <c r="H886" s="1917">
        <f ca="1">D886/100*E880+D887/100*E881</f>
        <v>7.3324022373666594E-27</v>
      </c>
      <c r="I886" s="1917">
        <f ca="1">H886/G886/'Energy &amp; Unit Conversions'!G80</f>
        <v>894.9977121013934</v>
      </c>
      <c r="J886" s="1917">
        <f ca="1">(D886/100*E880*G880+D887/100*E881*G881)/H886</f>
        <v>0</v>
      </c>
      <c r="K886" s="1917">
        <f ca="1">(D886/100*E880*H880+D887/100*E881*H881)/H886</f>
        <v>0</v>
      </c>
      <c r="L886" s="337">
        <f ca="1">(D886/100*E880*I880+D887/100*E881*I881)/H886</f>
        <v>11.20460443148014</v>
      </c>
      <c r="M886" s="1917"/>
      <c r="N886" s="1917"/>
      <c r="O886" s="1917"/>
      <c r="P886" s="1917"/>
      <c r="Q886" s="1969"/>
      <c r="R886" s="1917"/>
      <c r="S886" s="1917"/>
      <c r="T886" s="1917"/>
      <c r="U886" s="1917"/>
      <c r="V886" s="1917"/>
      <c r="W886" s="346"/>
    </row>
    <row r="887" spans="1:23" x14ac:dyDescent="0.2">
      <c r="A887" s="436"/>
      <c r="B887" s="345"/>
      <c r="C887" s="443" t="s">
        <v>560</v>
      </c>
      <c r="D887" s="334">
        <f>CokingRefineryControls!C23</f>
        <v>1E-10</v>
      </c>
      <c r="E887" s="334" t="s">
        <v>1194</v>
      </c>
      <c r="F887" s="335"/>
      <c r="G887" s="334">
        <f ca="1">SUM(G886:G886)</f>
        <v>5.1530211162379332E-29</v>
      </c>
      <c r="H887" s="334"/>
      <c r="I887" s="334"/>
      <c r="J887" s="334"/>
      <c r="K887" s="334"/>
      <c r="L887" s="338"/>
      <c r="M887" s="1917"/>
      <c r="N887" s="1917"/>
      <c r="O887" s="1917"/>
      <c r="P887" s="1917"/>
      <c r="Q887" s="1969"/>
      <c r="R887" s="1917"/>
      <c r="S887" s="1917"/>
      <c r="T887" s="1917"/>
      <c r="U887" s="1917"/>
      <c r="V887" s="1917"/>
      <c r="W887" s="346"/>
    </row>
    <row r="888" spans="1:23" x14ac:dyDescent="0.2">
      <c r="A888" s="436"/>
      <c r="B888" s="345"/>
      <c r="C888" s="437"/>
      <c r="D888" s="1917"/>
      <c r="E888" s="1917"/>
      <c r="F888" s="1917"/>
      <c r="G888" s="1917"/>
      <c r="H888" s="1917"/>
      <c r="I888" s="1917"/>
      <c r="J888" s="1917"/>
      <c r="K888" s="1917"/>
      <c r="L888" s="1917"/>
      <c r="M888" s="1917"/>
      <c r="N888" s="1917"/>
      <c r="O888" s="1917"/>
      <c r="P888" s="1917"/>
      <c r="Q888" s="1969"/>
      <c r="R888" s="1917"/>
      <c r="S888" s="1917"/>
      <c r="T888" s="1917"/>
      <c r="U888" s="1917"/>
      <c r="V888" s="1917"/>
      <c r="W888" s="346"/>
    </row>
    <row r="889" spans="1:23" x14ac:dyDescent="0.2">
      <c r="A889" s="436"/>
      <c r="B889" s="345"/>
      <c r="C889" s="440" t="s">
        <v>296</v>
      </c>
      <c r="D889" s="360"/>
      <c r="E889" s="360"/>
      <c r="F889" s="360"/>
      <c r="G889" s="1917"/>
      <c r="H889" s="1917"/>
      <c r="I889" s="1917"/>
      <c r="J889" s="1917"/>
      <c r="K889" s="1917"/>
      <c r="L889" s="1917"/>
      <c r="M889" s="1917"/>
      <c r="N889" s="1917"/>
      <c r="O889" s="1917"/>
      <c r="P889" s="1917"/>
      <c r="Q889" s="1969"/>
      <c r="R889" s="1917"/>
      <c r="S889" s="1917"/>
      <c r="T889" s="1917"/>
      <c r="U889" s="1917"/>
      <c r="V889" s="1917"/>
      <c r="W889" s="346"/>
    </row>
    <row r="890" spans="1:23" x14ac:dyDescent="0.2">
      <c r="A890" s="436"/>
      <c r="B890" s="345"/>
      <c r="C890" s="445" t="s">
        <v>1208</v>
      </c>
      <c r="D890" s="368" t="s">
        <v>1209</v>
      </c>
      <c r="E890" s="368" t="s">
        <v>1210</v>
      </c>
      <c r="F890" s="356" t="s">
        <v>1211</v>
      </c>
      <c r="G890" s="368" t="s">
        <v>1212</v>
      </c>
      <c r="H890" s="368" t="s">
        <v>1213</v>
      </c>
      <c r="I890" s="356" t="s">
        <v>1214</v>
      </c>
      <c r="J890" s="368" t="s">
        <v>1215</v>
      </c>
      <c r="K890" s="369" t="s">
        <v>1216</v>
      </c>
      <c r="L890" s="1911"/>
      <c r="M890" s="1911"/>
      <c r="N890" s="1911"/>
      <c r="O890" s="1911"/>
      <c r="P890" s="1917"/>
      <c r="Q890" s="1969"/>
      <c r="R890" s="1917"/>
      <c r="S890" s="1917"/>
      <c r="T890" s="1917"/>
      <c r="U890" s="1917"/>
      <c r="V890" s="1917"/>
      <c r="W890" s="346"/>
    </row>
    <row r="891" spans="1:23" x14ac:dyDescent="0.2">
      <c r="A891" s="436"/>
      <c r="B891" s="345"/>
      <c r="C891" s="453">
        <f ca="1">D886/100*D880</f>
        <v>1.2254854458726329E-29</v>
      </c>
      <c r="D891" s="1917">
        <f>CokingRefineryControls!C24</f>
        <v>50</v>
      </c>
      <c r="E891" s="1917">
        <f>100-D891</f>
        <v>50</v>
      </c>
      <c r="F891" s="1917">
        <f ca="1">D880-D886/100*D880</f>
        <v>1.2254854458714075E-17</v>
      </c>
      <c r="G891" s="1917">
        <f ca="1">D891/100*G886</f>
        <v>2.5765105581189666E-29</v>
      </c>
      <c r="H891" s="1917">
        <f ca="1">G886-G891</f>
        <v>2.5765105581189666E-29</v>
      </c>
      <c r="I891" s="1917">
        <f ca="1">E880-D886/100*E880</f>
        <v>1.5002419911586126E-15</v>
      </c>
      <c r="J891" s="1917">
        <f ca="1">D891/100*H886</f>
        <v>3.6662011186833297E-27</v>
      </c>
      <c r="K891" s="337">
        <f ca="1">H886-J891</f>
        <v>3.6662011186833297E-27</v>
      </c>
      <c r="L891" s="1917"/>
      <c r="M891" s="1917"/>
      <c r="N891" s="1917"/>
      <c r="O891" s="1917"/>
      <c r="P891" s="1917"/>
      <c r="Q891" s="1969"/>
      <c r="R891" s="1917"/>
      <c r="S891" s="1917"/>
      <c r="T891" s="1917"/>
      <c r="U891" s="1917"/>
      <c r="V891" s="1917"/>
      <c r="W891" s="346"/>
    </row>
    <row r="892" spans="1:23" x14ac:dyDescent="0.2">
      <c r="A892" s="436"/>
      <c r="B892" s="345"/>
      <c r="C892" s="453">
        <f ca="1">D887/100*D881</f>
        <v>3.9275356703653004E-29</v>
      </c>
      <c r="D892" s="1917"/>
      <c r="E892" s="1917"/>
      <c r="F892" s="1917">
        <f ca="1">D881-D887/100*D881</f>
        <v>3.927535670361373E-17</v>
      </c>
      <c r="G892" s="1917"/>
      <c r="H892" s="1917"/>
      <c r="I892" s="1917">
        <f ca="1">E881-D887/100*E881</f>
        <v>5.8321602462007138E-15</v>
      </c>
      <c r="J892" s="1917"/>
      <c r="K892" s="337"/>
      <c r="L892" s="1917"/>
      <c r="M892" s="1917"/>
      <c r="N892" s="1917"/>
      <c r="O892" s="1917"/>
      <c r="P892" s="1917"/>
      <c r="Q892" s="1969"/>
      <c r="R892" s="1917"/>
      <c r="S892" s="1917"/>
      <c r="T892" s="1917"/>
      <c r="U892" s="1917"/>
      <c r="V892" s="1917"/>
      <c r="W892" s="346"/>
    </row>
    <row r="893" spans="1:23" x14ac:dyDescent="0.2">
      <c r="A893" s="436"/>
      <c r="B893" s="345"/>
      <c r="C893" s="452">
        <f ca="1">SUM(C891:C892)</f>
        <v>5.1530211162379332E-29</v>
      </c>
      <c r="D893" s="334"/>
      <c r="E893" s="334"/>
      <c r="F893" s="334">
        <f ca="1">SUM(F891:F892)</f>
        <v>5.1530211162327806E-17</v>
      </c>
      <c r="G893" s="334"/>
      <c r="H893" s="334"/>
      <c r="I893" s="334"/>
      <c r="J893" s="334"/>
      <c r="K893" s="338"/>
      <c r="L893" s="1917"/>
      <c r="M893" s="1917"/>
      <c r="N893" s="1917"/>
      <c r="O893" s="1917"/>
      <c r="P893" s="1917"/>
      <c r="Q893" s="1969"/>
      <c r="R893" s="1917"/>
      <c r="S893" s="1917"/>
      <c r="T893" s="1917"/>
      <c r="U893" s="1917"/>
      <c r="V893" s="1917"/>
      <c r="W893" s="346"/>
    </row>
    <row r="894" spans="1:23" x14ac:dyDescent="0.2">
      <c r="A894" s="436"/>
      <c r="B894" s="345"/>
      <c r="C894" s="437"/>
      <c r="D894" s="1917"/>
      <c r="E894" s="1917"/>
      <c r="F894" s="1917"/>
      <c r="G894" s="1917"/>
      <c r="H894" s="1917"/>
      <c r="I894" s="1917"/>
      <c r="J894" s="1917"/>
      <c r="K894" s="1917"/>
      <c r="L894" s="329"/>
      <c r="M894" s="329"/>
      <c r="N894" s="329"/>
      <c r="O894" s="329"/>
      <c r="P894" s="1917"/>
      <c r="Q894" s="1969"/>
      <c r="R894" s="1917"/>
      <c r="S894" s="1917"/>
      <c r="T894" s="1917"/>
      <c r="U894" s="1917"/>
      <c r="V894" s="1917"/>
      <c r="W894" s="346"/>
    </row>
    <row r="895" spans="1:23" x14ac:dyDescent="0.2">
      <c r="A895" s="436"/>
      <c r="B895" s="345"/>
      <c r="C895" s="440" t="s">
        <v>243</v>
      </c>
      <c r="D895" s="350"/>
      <c r="E895" s="350"/>
      <c r="F895" s="1917"/>
      <c r="G895" s="1917"/>
      <c r="H895" s="1917"/>
      <c r="I895" s="1917"/>
      <c r="J895" s="1917"/>
      <c r="K895" s="1917"/>
      <c r="L895" s="329"/>
      <c r="M895" s="329"/>
      <c r="N895" s="329"/>
      <c r="O895" s="329"/>
      <c r="P895" s="1917"/>
      <c r="Q895" s="1969"/>
      <c r="R895" s="1917"/>
      <c r="S895" s="1917"/>
      <c r="T895" s="1917"/>
      <c r="U895" s="1917"/>
      <c r="V895" s="1917"/>
      <c r="W895" s="346"/>
    </row>
    <row r="896" spans="1:23" x14ac:dyDescent="0.2">
      <c r="A896" s="436"/>
      <c r="B896" s="345"/>
      <c r="C896" s="454"/>
      <c r="D896" s="372" t="s">
        <v>292</v>
      </c>
      <c r="E896" s="372" t="s">
        <v>293</v>
      </c>
      <c r="F896" s="356" t="s">
        <v>294</v>
      </c>
      <c r="G896" s="373" t="s">
        <v>663</v>
      </c>
      <c r="H896" s="356" t="s">
        <v>907</v>
      </c>
      <c r="I896" s="373" t="s">
        <v>662</v>
      </c>
      <c r="J896" s="1918" t="s">
        <v>567</v>
      </c>
      <c r="K896" s="1919" t="s">
        <v>544</v>
      </c>
      <c r="L896" s="329"/>
      <c r="M896" s="329"/>
      <c r="N896" s="329"/>
      <c r="O896" s="329"/>
      <c r="P896" s="1917"/>
      <c r="Q896" s="1969"/>
      <c r="R896" s="1917"/>
      <c r="S896" s="1917"/>
      <c r="T896" s="1917"/>
      <c r="U896" s="1917"/>
      <c r="V896" s="1917"/>
      <c r="W896" s="346"/>
    </row>
    <row r="897" spans="1:23" x14ac:dyDescent="0.2">
      <c r="A897" s="436"/>
      <c r="B897" s="345"/>
      <c r="C897" s="442" t="s">
        <v>415</v>
      </c>
      <c r="D897" s="1917">
        <f ca="1">F891+G891</f>
        <v>1.2254854458739841E-17</v>
      </c>
      <c r="E897" s="1917">
        <f ca="1">I891+J891</f>
        <v>1.5002419911622788E-15</v>
      </c>
      <c r="F897" s="1917">
        <f ca="1">E897/D897/'Energy &amp; Unit Conversions'!G80</f>
        <v>770.00000000026284</v>
      </c>
      <c r="G897" s="1917">
        <f ca="1">(I891*G880+J891*J886)/E897</f>
        <v>0</v>
      </c>
      <c r="H897" s="1917">
        <f ca="1">(I891*H880+J891*K886)/E897</f>
        <v>0</v>
      </c>
      <c r="I897" s="1917">
        <f ca="1">(I891*I880+J891*L886)/E897</f>
        <v>11.999999999998057</v>
      </c>
      <c r="J897" s="1917">
        <f ca="1">141.5/(F897/1000)-131.5</f>
        <v>52.266233766171041</v>
      </c>
      <c r="K897" s="337"/>
      <c r="L897" s="329"/>
      <c r="M897" s="329"/>
      <c r="N897" s="329"/>
      <c r="O897" s="329"/>
      <c r="P897" s="1917"/>
      <c r="Q897" s="1969"/>
      <c r="R897" s="1917"/>
      <c r="S897" s="1917"/>
      <c r="T897" s="1917"/>
      <c r="U897" s="1917"/>
      <c r="V897" s="1917"/>
      <c r="W897" s="346"/>
    </row>
    <row r="898" spans="1:23" x14ac:dyDescent="0.2">
      <c r="A898" s="436"/>
      <c r="B898" s="345"/>
      <c r="C898" s="442" t="s">
        <v>416</v>
      </c>
      <c r="D898" s="1917">
        <f ca="1">F892+H891</f>
        <v>3.9275356703639497E-17</v>
      </c>
      <c r="E898" s="1917">
        <f ca="1">I892+K891</f>
        <v>5.8321602462043796E-15</v>
      </c>
      <c r="F898" s="1917">
        <f ca="1">E898/D898/'Energy &amp; Unit Conversions'!G80</f>
        <v>933.99999999997431</v>
      </c>
      <c r="G898" s="1917">
        <f ca="1">(I892*G881+K891*J886)/E898</f>
        <v>0</v>
      </c>
      <c r="H898" s="1917">
        <f ca="1">(I892*H881+K891*K886)/E898</f>
        <v>0</v>
      </c>
      <c r="I898" s="1917">
        <f ca="1">(I892*I881+K891*L886)/E898</f>
        <v>11.000000000000131</v>
      </c>
      <c r="J898" s="1917">
        <f ca="1">141.5/(F898/1000)-131.5</f>
        <v>19.998929336192617</v>
      </c>
      <c r="K898" s="337"/>
      <c r="L898" s="329"/>
      <c r="M898" s="329"/>
      <c r="N898" s="329"/>
      <c r="O898" s="329"/>
      <c r="P898" s="1917"/>
      <c r="Q898" s="1969"/>
      <c r="R898" s="1917"/>
      <c r="S898" s="1917"/>
      <c r="T898" s="1917"/>
      <c r="U898" s="1917"/>
      <c r="V898" s="1917"/>
      <c r="W898" s="346"/>
    </row>
    <row r="899" spans="1:23" x14ac:dyDescent="0.2">
      <c r="A899" s="436"/>
      <c r="B899" s="345"/>
      <c r="C899" s="443" t="s">
        <v>598</v>
      </c>
      <c r="D899" s="335">
        <f ca="1">SUM(D897:D898)</f>
        <v>5.1530211162379341E-17</v>
      </c>
      <c r="E899" s="335">
        <f ca="1">SUM(E897:E898)</f>
        <v>7.3324022373666578E-15</v>
      </c>
      <c r="F899" s="335"/>
      <c r="G899" s="335"/>
      <c r="H899" s="335"/>
      <c r="I899" s="335"/>
      <c r="J899" s="335"/>
      <c r="K899" s="413"/>
      <c r="L899" s="329"/>
      <c r="M899" s="329"/>
      <c r="N899" s="329"/>
      <c r="O899" s="329"/>
      <c r="P899" s="1917"/>
      <c r="Q899" s="1969"/>
      <c r="R899" s="1917"/>
      <c r="S899" s="1917"/>
      <c r="T899" s="1917"/>
      <c r="U899" s="1917"/>
      <c r="V899" s="1917"/>
      <c r="W899" s="346"/>
    </row>
    <row r="900" spans="1:23" x14ac:dyDescent="0.2">
      <c r="A900" s="436"/>
      <c r="B900" s="345"/>
      <c r="C900" s="437"/>
      <c r="D900" s="1917"/>
      <c r="E900" s="1917"/>
      <c r="F900" s="1917"/>
      <c r="G900" s="1917"/>
      <c r="H900" s="1917"/>
      <c r="I900" s="1917"/>
      <c r="J900" s="1917"/>
      <c r="K900" s="1917"/>
      <c r="L900" s="329"/>
      <c r="M900" s="329"/>
      <c r="N900" s="329"/>
      <c r="O900" s="329"/>
      <c r="P900" s="1917"/>
      <c r="Q900" s="1969"/>
      <c r="R900" s="1917"/>
      <c r="S900" s="1917"/>
      <c r="T900" s="1917"/>
      <c r="U900" s="1917"/>
      <c r="V900" s="1917"/>
      <c r="W900" s="346"/>
    </row>
    <row r="901" spans="1:23" x14ac:dyDescent="0.2">
      <c r="A901" s="436"/>
      <c r="B901" s="345"/>
      <c r="C901" s="440" t="s">
        <v>244</v>
      </c>
      <c r="D901" s="350"/>
      <c r="E901" s="1917"/>
      <c r="F901" s="1917"/>
      <c r="G901" s="1917"/>
      <c r="H901" s="1917"/>
      <c r="I901" s="1917"/>
      <c r="J901" s="1917"/>
      <c r="K901" s="1917"/>
      <c r="L901" s="1917"/>
      <c r="M901" s="1917"/>
      <c r="N901" s="1917"/>
      <c r="O901" s="1917"/>
      <c r="P901" s="1917"/>
      <c r="Q901" s="1969"/>
      <c r="R901" s="1917"/>
      <c r="S901" s="1917"/>
      <c r="T901" s="1917"/>
      <c r="U901" s="1917"/>
      <c r="V901" s="1917"/>
      <c r="W901" s="346"/>
    </row>
    <row r="902" spans="1:23" x14ac:dyDescent="0.2">
      <c r="A902" s="436"/>
      <c r="B902" s="345"/>
      <c r="C902" s="467" t="s">
        <v>624</v>
      </c>
      <c r="D902" s="1913"/>
      <c r="E902" s="1913"/>
      <c r="F902" s="1913"/>
      <c r="G902" s="1915"/>
      <c r="H902" s="1917"/>
      <c r="I902" s="1917"/>
      <c r="J902" s="1917"/>
      <c r="K902" s="1917"/>
      <c r="L902" s="1917"/>
      <c r="M902" s="1917"/>
      <c r="N902" s="1917"/>
      <c r="O902" s="1917"/>
      <c r="P902" s="1917"/>
      <c r="Q902" s="1969"/>
      <c r="R902" s="1917"/>
      <c r="S902" s="1917"/>
      <c r="T902" s="1917"/>
      <c r="U902" s="1917"/>
      <c r="V902" s="1917"/>
      <c r="W902" s="346"/>
    </row>
    <row r="903" spans="1:23" x14ac:dyDescent="0.2">
      <c r="A903" s="436"/>
      <c r="B903" s="345"/>
      <c r="C903" s="465" t="s">
        <v>395</v>
      </c>
      <c r="D903" s="1917">
        <f ca="1">IF(OR(CokingRefineryConfig=3,CokingRefineryConfig=6),CokingRefineryControls!C33,CokingRefineryControls!C37)</f>
        <v>1E-10</v>
      </c>
      <c r="E903" s="1917" t="s">
        <v>633</v>
      </c>
      <c r="F903" s="1917"/>
      <c r="G903" s="339"/>
      <c r="H903" s="1917"/>
      <c r="I903" s="1917"/>
      <c r="J903" s="1917"/>
      <c r="K903" s="1917"/>
      <c r="L903" s="1917"/>
      <c r="M903" s="1917"/>
      <c r="N903" s="1917"/>
      <c r="O903" s="1917"/>
      <c r="P903" s="1917"/>
      <c r="Q903" s="1969"/>
      <c r="R903" s="1917"/>
      <c r="S903" s="1917"/>
      <c r="T903" s="1917"/>
      <c r="U903" s="1917"/>
      <c r="V903" s="1917"/>
      <c r="W903" s="346"/>
    </row>
    <row r="904" spans="1:23" x14ac:dyDescent="0.2">
      <c r="A904" s="436"/>
      <c r="B904" s="345"/>
      <c r="C904" s="465" t="s">
        <v>396</v>
      </c>
      <c r="D904" s="1917">
        <f ca="1">100-D903</f>
        <v>99.999999999899998</v>
      </c>
      <c r="E904" s="1917" t="s">
        <v>633</v>
      </c>
      <c r="F904" s="1917"/>
      <c r="G904" s="339"/>
      <c r="H904" s="1917"/>
      <c r="I904" s="1917"/>
      <c r="J904" s="1917"/>
      <c r="K904" s="1917"/>
      <c r="L904" s="1917"/>
      <c r="M904" s="1917"/>
      <c r="N904" s="1917"/>
      <c r="O904" s="1917"/>
      <c r="P904" s="1917"/>
      <c r="Q904" s="1969"/>
      <c r="R904" s="1917"/>
      <c r="S904" s="1917"/>
      <c r="T904" s="1917"/>
      <c r="U904" s="1917"/>
      <c r="V904" s="1917"/>
      <c r="W904" s="346"/>
    </row>
    <row r="905" spans="1:23" x14ac:dyDescent="0.2">
      <c r="A905" s="436"/>
      <c r="B905" s="345"/>
      <c r="C905" s="471" t="s">
        <v>568</v>
      </c>
      <c r="D905" s="364" t="s">
        <v>623</v>
      </c>
      <c r="E905" s="364" t="s">
        <v>404</v>
      </c>
      <c r="F905" s="364" t="s">
        <v>405</v>
      </c>
      <c r="G905" s="479" t="s">
        <v>406</v>
      </c>
      <c r="H905" s="1917"/>
      <c r="I905" s="1917"/>
      <c r="J905" s="1917"/>
      <c r="K905" s="1917"/>
      <c r="L905" s="1917"/>
      <c r="M905" s="1917"/>
      <c r="N905" s="1917"/>
      <c r="O905" s="1917"/>
      <c r="P905" s="1917"/>
      <c r="Q905" s="1969"/>
      <c r="R905" s="1917"/>
      <c r="S905" s="1917"/>
      <c r="T905" s="1917"/>
      <c r="U905" s="1917"/>
      <c r="V905" s="1917"/>
      <c r="W905" s="346"/>
    </row>
    <row r="906" spans="1:23" x14ac:dyDescent="0.2">
      <c r="A906" s="436"/>
      <c r="B906" s="345"/>
      <c r="C906" s="461" t="s">
        <v>582</v>
      </c>
      <c r="D906" s="1917" t="s">
        <v>566</v>
      </c>
      <c r="E906" s="1917">
        <f t="shared" ref="E906:E913" ca="1" si="99">H845</f>
        <v>3.9275356703639497E-17</v>
      </c>
      <c r="F906" s="1917">
        <f ca="1">D903*E906/100</f>
        <v>3.9275356703639501E-29</v>
      </c>
      <c r="G906" s="339">
        <f ca="1">D904*E906/100</f>
        <v>3.927535670360022E-17</v>
      </c>
      <c r="H906" s="1917"/>
      <c r="I906" s="1917"/>
      <c r="J906" s="1917"/>
      <c r="K906" s="1917"/>
      <c r="L906" s="1917"/>
      <c r="M906" s="1917"/>
      <c r="N906" s="1917"/>
      <c r="O906" s="1917"/>
      <c r="P906" s="1917"/>
      <c r="Q906" s="1969"/>
      <c r="R906" s="1917"/>
      <c r="S906" s="1917"/>
      <c r="T906" s="1917"/>
      <c r="U906" s="1917"/>
      <c r="V906" s="1917"/>
      <c r="W906" s="346"/>
    </row>
    <row r="907" spans="1:23" x14ac:dyDescent="0.2">
      <c r="A907" s="436"/>
      <c r="B907" s="345"/>
      <c r="C907" s="461" t="s">
        <v>582</v>
      </c>
      <c r="D907" s="1917" t="s">
        <v>628</v>
      </c>
      <c r="E907" s="1917">
        <f t="shared" ca="1" si="99"/>
        <v>6.2442829188485434E-18</v>
      </c>
      <c r="F907" s="1917">
        <f ca="1">F906*'Energy &amp; Unit Conversions'!G80</f>
        <v>6.244282918848544E-30</v>
      </c>
      <c r="G907" s="339">
        <f ca="1">G906*'Energy &amp; Unit Conversions'!G80</f>
        <v>6.2442829188422996E-18</v>
      </c>
      <c r="H907" s="1917"/>
      <c r="I907" s="1917"/>
      <c r="J907" s="1917"/>
      <c r="K907" s="1917"/>
      <c r="L907" s="1917"/>
      <c r="M907" s="1917"/>
      <c r="N907" s="1917"/>
      <c r="O907" s="1917"/>
      <c r="P907" s="1917"/>
      <c r="Q907" s="1969"/>
      <c r="R907" s="1917"/>
      <c r="S907" s="1917"/>
      <c r="T907" s="1917"/>
      <c r="U907" s="1917"/>
      <c r="V907" s="1917"/>
      <c r="W907" s="346"/>
    </row>
    <row r="908" spans="1:23" x14ac:dyDescent="0.2">
      <c r="A908" s="436"/>
      <c r="B908" s="345"/>
      <c r="C908" s="461" t="s">
        <v>620</v>
      </c>
      <c r="D908" s="1917" t="s">
        <v>622</v>
      </c>
      <c r="E908" s="1917">
        <f t="shared" ca="1" si="99"/>
        <v>5.8321602462043796E-15</v>
      </c>
      <c r="F908" s="1917">
        <f ca="1">D903/100*E908</f>
        <v>5.8321602462043793E-27</v>
      </c>
      <c r="G908" s="339">
        <f ca="1">D904/100*E908</f>
        <v>5.8321602461985476E-15</v>
      </c>
      <c r="H908" s="1917"/>
      <c r="I908" s="1917"/>
      <c r="J908" s="1917"/>
      <c r="K908" s="1917"/>
      <c r="L908" s="1917"/>
      <c r="M908" s="1917"/>
      <c r="N908" s="1917"/>
      <c r="O908" s="1917"/>
      <c r="P908" s="1917"/>
      <c r="Q908" s="1969"/>
      <c r="R908" s="1917"/>
      <c r="S908" s="1917"/>
      <c r="T908" s="1917"/>
      <c r="U908" s="1917"/>
      <c r="V908" s="1917"/>
      <c r="W908" s="346"/>
    </row>
    <row r="909" spans="1:23" x14ac:dyDescent="0.2">
      <c r="A909" s="436"/>
      <c r="B909" s="345"/>
      <c r="C909" s="461" t="s">
        <v>578</v>
      </c>
      <c r="D909" s="1917" t="s">
        <v>579</v>
      </c>
      <c r="E909" s="1917">
        <f t="shared" ca="1" si="99"/>
        <v>0</v>
      </c>
      <c r="F909" s="1917">
        <f ca="1">E909</f>
        <v>0</v>
      </c>
      <c r="G909" s="339">
        <f ca="1">E909</f>
        <v>0</v>
      </c>
      <c r="H909" s="1917"/>
      <c r="I909" s="1917"/>
      <c r="J909" s="1917"/>
      <c r="K909" s="1917"/>
      <c r="L909" s="1917"/>
      <c r="M909" s="1917"/>
      <c r="N909" s="1917"/>
      <c r="O909" s="1917"/>
      <c r="P909" s="1917"/>
      <c r="Q909" s="1969"/>
      <c r="R909" s="1917"/>
      <c r="S909" s="1917"/>
      <c r="T909" s="1917"/>
      <c r="U909" s="1917"/>
      <c r="V909" s="1917"/>
      <c r="W909" s="346"/>
    </row>
    <row r="910" spans="1:23" x14ac:dyDescent="0.2">
      <c r="A910" s="436"/>
      <c r="B910" s="345"/>
      <c r="C910" s="461" t="s">
        <v>888</v>
      </c>
      <c r="D910" s="1917" t="s">
        <v>908</v>
      </c>
      <c r="E910" s="1917">
        <f t="shared" ca="1" si="99"/>
        <v>0</v>
      </c>
      <c r="F910" s="1917">
        <f ca="1">E910</f>
        <v>0</v>
      </c>
      <c r="G910" s="339">
        <f ca="1">E910</f>
        <v>0</v>
      </c>
      <c r="H910" s="1917"/>
      <c r="I910" s="1917"/>
      <c r="J910" s="1917"/>
      <c r="K910" s="1917"/>
      <c r="L910" s="1917"/>
      <c r="M910" s="1917"/>
      <c r="N910" s="1917"/>
      <c r="O910" s="1917"/>
      <c r="P910" s="1917"/>
      <c r="Q910" s="1969"/>
      <c r="R910" s="1917"/>
      <c r="S910" s="1917"/>
      <c r="T910" s="1917"/>
      <c r="U910" s="1917"/>
      <c r="V910" s="1917"/>
      <c r="W910" s="346"/>
    </row>
    <row r="911" spans="1:23" x14ac:dyDescent="0.2">
      <c r="A911" s="436"/>
      <c r="B911" s="345"/>
      <c r="C911" s="461" t="s">
        <v>567</v>
      </c>
      <c r="D911" s="1917"/>
      <c r="E911" s="1917">
        <f t="shared" ca="1" si="99"/>
        <v>19.998929336192617</v>
      </c>
      <c r="F911" s="1917">
        <f ca="1">E911</f>
        <v>19.998929336192617</v>
      </c>
      <c r="G911" s="339">
        <f ca="1">E911</f>
        <v>19.998929336192617</v>
      </c>
      <c r="H911" s="1917"/>
      <c r="I911" s="1917"/>
      <c r="J911" s="1917"/>
      <c r="K911" s="1917"/>
      <c r="L911" s="1917"/>
      <c r="M911" s="1917"/>
      <c r="N911" s="1917"/>
      <c r="O911" s="1917"/>
      <c r="P911" s="1917"/>
      <c r="Q911" s="1969"/>
      <c r="R911" s="1917"/>
      <c r="S911" s="1917"/>
      <c r="T911" s="1917"/>
      <c r="U911" s="1917"/>
      <c r="V911" s="1917"/>
      <c r="W911" s="346"/>
    </row>
    <row r="912" spans="1:23" x14ac:dyDescent="0.2">
      <c r="A912" s="436"/>
      <c r="B912" s="345"/>
      <c r="C912" s="461" t="s">
        <v>580</v>
      </c>
      <c r="D912" s="1917" t="s">
        <v>581</v>
      </c>
      <c r="E912" s="1917">
        <f t="shared" ca="1" si="99"/>
        <v>933.99999999997431</v>
      </c>
      <c r="F912" s="1917">
        <f ca="1">E912</f>
        <v>933.99999999997431</v>
      </c>
      <c r="G912" s="339">
        <f ca="1">E912</f>
        <v>933.99999999997431</v>
      </c>
      <c r="H912" s="1917"/>
      <c r="I912" s="1917"/>
      <c r="J912" s="1917"/>
      <c r="K912" s="1917"/>
      <c r="L912" s="1917"/>
      <c r="M912" s="1917"/>
      <c r="N912" s="1917"/>
      <c r="O912" s="1917"/>
      <c r="P912" s="1917"/>
      <c r="Q912" s="1969"/>
      <c r="R912" s="1917"/>
      <c r="S912" s="1917"/>
      <c r="T912" s="1917"/>
      <c r="U912" s="1917"/>
      <c r="V912" s="1917"/>
      <c r="W912" s="346"/>
    </row>
    <row r="913" spans="1:23" x14ac:dyDescent="0.2">
      <c r="A913" s="436"/>
      <c r="B913" s="345"/>
      <c r="C913" s="461" t="s">
        <v>621</v>
      </c>
      <c r="D913" s="1917" t="s">
        <v>579</v>
      </c>
      <c r="E913" s="1917">
        <f t="shared" ca="1" si="99"/>
        <v>11.000000000000131</v>
      </c>
      <c r="F913" s="1917">
        <f ca="1">E913</f>
        <v>11.000000000000131</v>
      </c>
      <c r="G913" s="339">
        <f ca="1">E913</f>
        <v>11.000000000000131</v>
      </c>
      <c r="H913" s="1917"/>
      <c r="I913" s="1917"/>
      <c r="J913" s="1917"/>
      <c r="K913" s="1917"/>
      <c r="L913" s="1917"/>
      <c r="M913" s="1917"/>
      <c r="N913" s="1917"/>
      <c r="O913" s="1917"/>
      <c r="P913" s="1917"/>
      <c r="Q913" s="1969"/>
      <c r="R913" s="1917"/>
      <c r="S913" s="1917"/>
      <c r="T913" s="1917"/>
      <c r="U913" s="1917"/>
      <c r="V913" s="1917"/>
      <c r="W913" s="346"/>
    </row>
    <row r="914" spans="1:23" x14ac:dyDescent="0.2">
      <c r="A914" s="436"/>
      <c r="B914" s="345"/>
      <c r="C914" s="462" t="s">
        <v>544</v>
      </c>
      <c r="D914" s="1914" t="s">
        <v>579</v>
      </c>
      <c r="E914" s="1914">
        <f t="shared" ref="E914" si="100">H853</f>
        <v>0</v>
      </c>
      <c r="F914" s="1914"/>
      <c r="G914" s="1916">
        <f t="shared" ref="G914" si="101">E914</f>
        <v>0</v>
      </c>
      <c r="H914" s="1917"/>
      <c r="I914" s="1917"/>
      <c r="J914" s="1917"/>
      <c r="K914" s="1917"/>
      <c r="L914" s="1917"/>
      <c r="M914" s="1917"/>
      <c r="N914" s="1917"/>
      <c r="O914" s="1917"/>
      <c r="P914" s="1917"/>
      <c r="Q914" s="1969"/>
      <c r="R914" s="1917"/>
      <c r="S914" s="1917"/>
      <c r="T914" s="1917"/>
      <c r="U914" s="1917"/>
      <c r="V914" s="1917"/>
      <c r="W914" s="346"/>
    </row>
    <row r="915" spans="1:23" x14ac:dyDescent="0.2">
      <c r="A915" s="436"/>
      <c r="B915" s="345"/>
      <c r="C915" s="437"/>
      <c r="D915" s="1917"/>
      <c r="E915" s="1917"/>
      <c r="F915" s="1917"/>
      <c r="G915" s="1917"/>
      <c r="H915" s="1917"/>
      <c r="I915" s="1917"/>
      <c r="J915" s="1917"/>
      <c r="K915" s="1917"/>
      <c r="L915" s="1917"/>
      <c r="M915" s="1917"/>
      <c r="N915" s="1917"/>
      <c r="O915" s="1917"/>
      <c r="P915" s="1917"/>
      <c r="Q915" s="1969"/>
      <c r="R915" s="1917"/>
      <c r="S915" s="1917"/>
      <c r="T915" s="1917"/>
      <c r="U915" s="1917"/>
      <c r="V915" s="1917"/>
      <c r="W915" s="346"/>
    </row>
    <row r="916" spans="1:23" ht="26.25" x14ac:dyDescent="0.2">
      <c r="A916" s="436"/>
      <c r="B916" s="347"/>
      <c r="C916" s="438" t="s">
        <v>1372</v>
      </c>
      <c r="D916" s="411"/>
      <c r="E916" s="1917"/>
      <c r="F916" s="1917"/>
      <c r="G916" s="1917"/>
      <c r="H916" s="1917"/>
      <c r="I916" s="1917"/>
      <c r="J916" s="1917"/>
      <c r="K916" s="1917"/>
      <c r="L916" s="1917"/>
      <c r="M916" s="1917"/>
      <c r="N916" s="1917"/>
      <c r="O916" s="1917"/>
      <c r="P916" s="1917"/>
      <c r="Q916" s="1969"/>
      <c r="R916" s="1917"/>
      <c r="S916" s="1917"/>
      <c r="T916" s="1917"/>
      <c r="U916" s="1917"/>
      <c r="V916" s="1917"/>
      <c r="W916" s="346"/>
    </row>
    <row r="917" spans="1:23" x14ac:dyDescent="0.2">
      <c r="A917" s="436"/>
      <c r="B917" s="345"/>
      <c r="C917" s="444"/>
      <c r="D917" s="1917"/>
      <c r="E917" s="1910"/>
      <c r="F917" s="1917"/>
      <c r="G917" s="1917"/>
      <c r="H917" s="1917"/>
      <c r="I917" s="1917"/>
      <c r="J917" s="1917"/>
      <c r="K917" s="1917"/>
      <c r="L917" s="1917"/>
      <c r="M917" s="1917"/>
      <c r="N917" s="1917"/>
      <c r="O917" s="1917"/>
      <c r="P917" s="1917"/>
      <c r="Q917" s="1969"/>
      <c r="R917" s="1917"/>
      <c r="S917" s="1917"/>
      <c r="T917" s="1917"/>
      <c r="U917" s="1917"/>
      <c r="V917" s="1917"/>
      <c r="W917" s="346"/>
    </row>
    <row r="918" spans="1:23" x14ac:dyDescent="0.2">
      <c r="A918" s="436"/>
      <c r="B918" s="345"/>
      <c r="C918" s="440" t="s">
        <v>1309</v>
      </c>
      <c r="D918" s="1917"/>
      <c r="E918" s="1910"/>
      <c r="F918" s="1917"/>
      <c r="G918" s="1917"/>
      <c r="H918" s="1917"/>
      <c r="I918" s="1917"/>
      <c r="J918" s="1917"/>
      <c r="K918" s="1917"/>
      <c r="L918" s="1917"/>
      <c r="M918" s="1917"/>
      <c r="N918" s="1917"/>
      <c r="O918" s="1917"/>
      <c r="P918" s="1917"/>
      <c r="Q918" s="1969"/>
      <c r="R918" s="1917"/>
      <c r="S918" s="1917"/>
      <c r="T918" s="1917"/>
      <c r="U918" s="1917"/>
      <c r="V918" s="1917"/>
      <c r="W918" s="346"/>
    </row>
    <row r="919" spans="1:23" x14ac:dyDescent="0.2">
      <c r="A919" s="436"/>
      <c r="B919" s="345"/>
      <c r="C919" s="441" t="s">
        <v>568</v>
      </c>
      <c r="D919" s="1918" t="s">
        <v>623</v>
      </c>
      <c r="E919" s="1918" t="s">
        <v>558</v>
      </c>
      <c r="F919" s="356" t="s">
        <v>606</v>
      </c>
      <c r="G919" s="1919" t="s">
        <v>367</v>
      </c>
      <c r="H919" s="1917"/>
      <c r="I919" s="1917"/>
      <c r="J919" s="1917"/>
      <c r="K919" s="1917"/>
      <c r="L919" s="1917"/>
      <c r="M919" s="1917"/>
      <c r="N919" s="1917"/>
      <c r="O919" s="1917"/>
      <c r="P919" s="1917"/>
      <c r="Q919" s="1969"/>
      <c r="R919" s="1917"/>
      <c r="S919" s="1917"/>
      <c r="T919" s="1917"/>
      <c r="U919" s="1917"/>
      <c r="V919" s="1917"/>
      <c r="W919" s="346"/>
    </row>
    <row r="920" spans="1:23" x14ac:dyDescent="0.2">
      <c r="A920" s="436"/>
      <c r="B920" s="345"/>
      <c r="C920" s="442" t="str">
        <f t="shared" ref="C920:D928" si="102">C845</f>
        <v>Vol Flow</v>
      </c>
      <c r="D920" s="1917" t="str">
        <f ca="1">D845</f>
        <v>bpd</v>
      </c>
      <c r="E920" s="1917">
        <f ca="1">CokingRefineryCalcs!G845</f>
        <v>1.2254854458739841E-17</v>
      </c>
      <c r="F920" s="1917">
        <f ca="1">F921/'Energy &amp; Unit Conversions'!G80</f>
        <v>1.3286657539786239E-17</v>
      </c>
      <c r="G920" s="337"/>
      <c r="H920" s="1917"/>
      <c r="I920" s="1917"/>
      <c r="J920" s="1917"/>
      <c r="K920" s="1917"/>
      <c r="L920" s="1917"/>
      <c r="M920" s="1917"/>
      <c r="N920" s="1917"/>
      <c r="O920" s="1917"/>
      <c r="P920" s="1917"/>
      <c r="Q920" s="1969"/>
      <c r="R920" s="1917"/>
      <c r="S920" s="1917"/>
      <c r="T920" s="1917"/>
      <c r="U920" s="1917"/>
      <c r="V920" s="1917"/>
      <c r="W920" s="346"/>
    </row>
    <row r="921" spans="1:23" x14ac:dyDescent="0.2">
      <c r="A921" s="436"/>
      <c r="B921" s="345"/>
      <c r="C921" s="442" t="str">
        <f t="shared" si="102"/>
        <v>Vol Flow</v>
      </c>
      <c r="D921" s="1917" t="str">
        <f ca="1">D846</f>
        <v>m^3/d</v>
      </c>
      <c r="E921" s="1917">
        <f ca="1">CokingRefineryCalcs!G846</f>
        <v>1.9483662222880085E-18</v>
      </c>
      <c r="F921" s="1917">
        <f ca="1">F922/F926</f>
        <v>2.1124098082752565E-18</v>
      </c>
      <c r="G921" s="337"/>
      <c r="H921" s="1917"/>
      <c r="I921" s="1917"/>
      <c r="J921" s="1917"/>
      <c r="K921" s="1917"/>
      <c r="L921" s="1917"/>
      <c r="M921" s="1917"/>
      <c r="N921" s="1917"/>
      <c r="O921" s="1917"/>
      <c r="P921" s="1917"/>
      <c r="Q921" s="1969"/>
      <c r="R921" s="1917"/>
      <c r="S921" s="1917"/>
      <c r="T921" s="1917"/>
      <c r="U921" s="1917"/>
      <c r="V921" s="1917"/>
      <c r="W921" s="346"/>
    </row>
    <row r="922" spans="1:23" x14ac:dyDescent="0.2">
      <c r="A922" s="436"/>
      <c r="B922" s="345"/>
      <c r="C922" s="442" t="str">
        <f t="shared" si="102"/>
        <v>Mass Flow</v>
      </c>
      <c r="D922" s="1917" t="str">
        <f t="shared" si="102"/>
        <v>kg/d</v>
      </c>
      <c r="E922" s="1917">
        <f ca="1">CokingRefineryCalcs!G847</f>
        <v>1.5002419911622788E-15</v>
      </c>
      <c r="F922" s="1917">
        <f ca="1">D939</f>
        <v>1.5631832581236897E-15</v>
      </c>
      <c r="G922" s="337">
        <f ca="1">H932</f>
        <v>3.0004839823245577E-18</v>
      </c>
      <c r="H922" s="1917"/>
      <c r="I922" s="1917"/>
      <c r="J922" s="414"/>
      <c r="K922" s="1917"/>
      <c r="L922" s="1917"/>
      <c r="M922" s="1917"/>
      <c r="N922" s="1917"/>
      <c r="O922" s="1917"/>
      <c r="P922" s="1917"/>
      <c r="Q922" s="1969"/>
      <c r="R922" s="1917"/>
      <c r="S922" s="1917"/>
      <c r="T922" s="1917"/>
      <c r="U922" s="1917"/>
      <c r="V922" s="1917"/>
      <c r="W922" s="346"/>
    </row>
    <row r="923" spans="1:23" x14ac:dyDescent="0.2">
      <c r="A923" s="436"/>
      <c r="B923" s="345"/>
      <c r="C923" s="442" t="str">
        <f t="shared" si="102"/>
        <v xml:space="preserve">Sulphur </v>
      </c>
      <c r="D923" s="1917" t="str">
        <f t="shared" ref="D923:D928" ca="1" si="103">D848</f>
        <v>wt%</v>
      </c>
      <c r="E923" s="1917">
        <f ca="1">CokingRefineryCalcs!G848</f>
        <v>0</v>
      </c>
      <c r="F923" s="914">
        <v>0</v>
      </c>
      <c r="G923" s="337">
        <f ca="1">H934</f>
        <v>0</v>
      </c>
      <c r="H923" s="1917"/>
      <c r="I923" s="1917"/>
      <c r="J923" s="1917"/>
      <c r="K923" s="1917"/>
      <c r="L923" s="1917"/>
      <c r="M923" s="1917"/>
      <c r="N923" s="1917"/>
      <c r="O923" s="1917"/>
      <c r="P923" s="1917"/>
      <c r="Q923" s="1969"/>
      <c r="R923" s="1917"/>
      <c r="S923" s="1917"/>
      <c r="T923" s="1917"/>
      <c r="U923" s="1917"/>
      <c r="V923" s="1917"/>
      <c r="W923" s="346"/>
    </row>
    <row r="924" spans="1:23" x14ac:dyDescent="0.2">
      <c r="A924" s="436"/>
      <c r="B924" s="345"/>
      <c r="C924" s="442" t="str">
        <f t="shared" si="102"/>
        <v xml:space="preserve">Nitrogen </v>
      </c>
      <c r="D924" s="1917" t="str">
        <f t="shared" ca="1" si="103"/>
        <v>mass ppm</v>
      </c>
      <c r="E924" s="1917">
        <f ca="1">CokingRefineryCalcs!G849</f>
        <v>0</v>
      </c>
      <c r="F924" s="914">
        <v>0</v>
      </c>
      <c r="G924" s="337"/>
      <c r="H924" s="1917"/>
      <c r="I924" s="1917"/>
      <c r="J924" s="1917"/>
      <c r="K924" s="1917"/>
      <c r="L924" s="1917"/>
      <c r="M924" s="1917"/>
      <c r="N924" s="1917"/>
      <c r="O924" s="1917"/>
      <c r="P924" s="1917"/>
      <c r="Q924" s="1969"/>
      <c r="R924" s="1917"/>
      <c r="S924" s="1917"/>
      <c r="T924" s="1917"/>
      <c r="U924" s="1917"/>
      <c r="V924" s="1917"/>
      <c r="W924" s="346"/>
    </row>
    <row r="925" spans="1:23" x14ac:dyDescent="0.2">
      <c r="A925" s="436"/>
      <c r="B925" s="345"/>
      <c r="C925" s="442" t="str">
        <f t="shared" si="102"/>
        <v xml:space="preserve">API gravity </v>
      </c>
      <c r="D925" s="1917" t="str">
        <f t="shared" ca="1" si="103"/>
        <v>oAPI</v>
      </c>
      <c r="E925" s="1917">
        <f ca="1">CokingRefineryCalcs!G850</f>
        <v>52.266233766171041</v>
      </c>
      <c r="F925" s="1917">
        <f>141.5/(F926/1000)-131.5</f>
        <v>59.716216216216225</v>
      </c>
      <c r="G925" s="337"/>
      <c r="H925" s="1917"/>
      <c r="I925" s="1917"/>
      <c r="J925" s="1917"/>
      <c r="K925" s="1917"/>
      <c r="L925" s="1917"/>
      <c r="M925" s="1917"/>
      <c r="N925" s="1917"/>
      <c r="O925" s="1917"/>
      <c r="P925" s="1917"/>
      <c r="Q925" s="1969"/>
      <c r="R925" s="1917"/>
      <c r="S925" s="1917"/>
      <c r="T925" s="1917"/>
      <c r="U925" s="1917"/>
      <c r="V925" s="1917"/>
      <c r="W925" s="346"/>
    </row>
    <row r="926" spans="1:23" x14ac:dyDescent="0.2">
      <c r="A926" s="436"/>
      <c r="B926" s="345"/>
      <c r="C926" s="442" t="str">
        <f t="shared" si="102"/>
        <v>Density</v>
      </c>
      <c r="D926" s="1917" t="str">
        <f t="shared" ca="1" si="103"/>
        <v>kg/m^3</v>
      </c>
      <c r="E926" s="1917">
        <f ca="1">CokingRefineryCalcs!G851</f>
        <v>770.00000000026284</v>
      </c>
      <c r="F926" s="1917">
        <v>740</v>
      </c>
      <c r="G926" s="337"/>
      <c r="H926" s="1917"/>
      <c r="I926" s="1917"/>
      <c r="J926" s="1917"/>
      <c r="K926" s="1917"/>
      <c r="L926" s="1917"/>
      <c r="M926" s="1917"/>
      <c r="N926" s="1917"/>
      <c r="O926" s="1917"/>
      <c r="P926" s="1917"/>
      <c r="Q926" s="1969"/>
      <c r="R926" s="1917"/>
      <c r="S926" s="1917"/>
      <c r="T926" s="1917"/>
      <c r="U926" s="1917"/>
      <c r="V926" s="1917"/>
      <c r="W926" s="346"/>
    </row>
    <row r="927" spans="1:23" x14ac:dyDescent="0.2">
      <c r="A927" s="436"/>
      <c r="B927" s="345"/>
      <c r="C927" s="442" t="str">
        <f t="shared" si="102"/>
        <v>Hydrogen</v>
      </c>
      <c r="D927" s="1917" t="str">
        <f t="shared" ca="1" si="103"/>
        <v>wt%</v>
      </c>
      <c r="E927" s="1917">
        <f ca="1">CokingRefineryCalcs!G852</f>
        <v>11.999999999998057</v>
      </c>
      <c r="F927" s="914">
        <f ca="1">IF(E927&lt;15.7,15.7,(E922*E927/100+D933+D934+D936+D943-H932*H933/100)/(E922+D933+D934+D936+D943-E922*(E924-F924)/1000000-H932)*100)</f>
        <v>15.7</v>
      </c>
      <c r="G927" s="337">
        <f ca="1">H933</f>
        <v>18.364315923905643</v>
      </c>
      <c r="H927" s="1917"/>
      <c r="I927" s="1917"/>
      <c r="J927" s="414"/>
      <c r="K927" s="1917"/>
      <c r="L927" s="1917"/>
      <c r="M927" s="1917"/>
      <c r="N927" s="1917"/>
      <c r="O927" s="1917"/>
      <c r="P927" s="1917"/>
      <c r="Q927" s="1969"/>
      <c r="R927" s="1917"/>
      <c r="S927" s="1917"/>
      <c r="T927" s="1917"/>
      <c r="U927" s="1917"/>
      <c r="V927" s="1917"/>
      <c r="W927" s="346"/>
    </row>
    <row r="928" spans="1:23" x14ac:dyDescent="0.2">
      <c r="A928" s="436"/>
      <c r="B928" s="345"/>
      <c r="C928" s="443" t="str">
        <f t="shared" si="102"/>
        <v>MCR</v>
      </c>
      <c r="D928" s="334" t="str">
        <f t="shared" ca="1" si="103"/>
        <v>wt%</v>
      </c>
      <c r="E928" s="334">
        <f>CokingRefineryCalcs!G853</f>
        <v>0</v>
      </c>
      <c r="F928" s="334" t="str">
        <f ca="1">CokingRefineryCalcs!G548</f>
        <v/>
      </c>
      <c r="G928" s="338"/>
      <c r="H928" s="1917"/>
      <c r="I928" s="1917"/>
      <c r="J928" s="1917"/>
      <c r="K928" s="1917"/>
      <c r="L928" s="1917"/>
      <c r="M928" s="1917"/>
      <c r="N928" s="1917"/>
      <c r="O928" s="1917"/>
      <c r="P928" s="1917"/>
      <c r="Q928" s="1969"/>
      <c r="R928" s="1917"/>
      <c r="S928" s="1917"/>
      <c r="T928" s="1917"/>
      <c r="U928" s="1917"/>
      <c r="V928" s="1917"/>
      <c r="W928" s="346"/>
    </row>
    <row r="929" spans="1:23" x14ac:dyDescent="0.2">
      <c r="A929" s="436"/>
      <c r="B929" s="345"/>
      <c r="C929" s="437"/>
      <c r="D929" s="1917"/>
      <c r="E929" s="1917"/>
      <c r="F929" s="1917"/>
      <c r="G929" s="1917"/>
      <c r="H929" s="1917"/>
      <c r="I929" s="1917"/>
      <c r="J929" s="1917"/>
      <c r="K929" s="1917"/>
      <c r="L929" s="1917"/>
      <c r="M929" s="1917"/>
      <c r="N929" s="1917"/>
      <c r="O929" s="1917"/>
      <c r="P929" s="1917"/>
      <c r="Q929" s="1969"/>
      <c r="R929" s="1917"/>
      <c r="S929" s="1917"/>
      <c r="T929" s="1917"/>
      <c r="U929" s="1917"/>
      <c r="V929" s="1917"/>
      <c r="W929" s="346"/>
    </row>
    <row r="930" spans="1:23" x14ac:dyDescent="0.2">
      <c r="A930" s="436"/>
      <c r="B930" s="345"/>
      <c r="C930" s="440" t="s">
        <v>1303</v>
      </c>
      <c r="D930" s="360"/>
      <c r="E930" s="1917"/>
      <c r="F930" s="1917"/>
      <c r="G930" s="440" t="s">
        <v>1315</v>
      </c>
      <c r="H930" s="360"/>
      <c r="I930" s="1917"/>
      <c r="J930" s="1917"/>
      <c r="K930" s="1917"/>
      <c r="L930" s="1917"/>
      <c r="M930" s="1917"/>
      <c r="N930" s="1917"/>
      <c r="O930" s="1917"/>
      <c r="P930" s="1917"/>
      <c r="Q930" s="1969"/>
      <c r="R930" s="1917"/>
      <c r="S930" s="1917"/>
      <c r="T930" s="1917"/>
      <c r="U930" s="1917"/>
      <c r="V930" s="1917"/>
      <c r="W930" s="346"/>
    </row>
    <row r="931" spans="1:23" x14ac:dyDescent="0.2">
      <c r="A931" s="436"/>
      <c r="B931" s="345"/>
      <c r="C931" s="460"/>
      <c r="D931" s="382" t="s">
        <v>624</v>
      </c>
      <c r="E931" s="383" t="s">
        <v>623</v>
      </c>
      <c r="F931" s="1917"/>
      <c r="G931" s="468"/>
      <c r="H931" s="382" t="s">
        <v>624</v>
      </c>
      <c r="I931" s="383" t="s">
        <v>623</v>
      </c>
      <c r="J931" s="1917"/>
      <c r="K931" s="1917"/>
      <c r="L931" s="1917"/>
      <c r="M931" s="1917"/>
      <c r="N931" s="1917"/>
      <c r="O931" s="1917"/>
      <c r="P931" s="1917"/>
      <c r="Q931" s="1969"/>
      <c r="R931" s="1917"/>
      <c r="S931" s="1917"/>
      <c r="T931" s="1917"/>
      <c r="U931" s="1917"/>
      <c r="V931" s="1917"/>
      <c r="W931" s="346"/>
    </row>
    <row r="932" spans="1:23" x14ac:dyDescent="0.2">
      <c r="A932" s="436"/>
      <c r="B932" s="345"/>
      <c r="C932" s="461" t="s">
        <v>376</v>
      </c>
      <c r="D932" s="1917">
        <f ca="1">E922*(E923-F923)/100</f>
        <v>0</v>
      </c>
      <c r="E932" s="339" t="s">
        <v>622</v>
      </c>
      <c r="F932" s="1917"/>
      <c r="G932" s="461" t="s">
        <v>363</v>
      </c>
      <c r="H932" s="1917">
        <f ca="1">D945+D946</f>
        <v>3.0004839823245577E-18</v>
      </c>
      <c r="I932" s="339" t="s">
        <v>622</v>
      </c>
      <c r="J932" s="1917"/>
      <c r="K932" s="1917"/>
      <c r="L932" s="1917"/>
      <c r="M932" s="1917"/>
      <c r="N932" s="1917"/>
      <c r="O932" s="1917"/>
      <c r="P932" s="1917"/>
      <c r="Q932" s="1969"/>
      <c r="R932" s="1917"/>
      <c r="S932" s="1917"/>
      <c r="T932" s="1917"/>
      <c r="U932" s="1917"/>
      <c r="V932" s="1917"/>
      <c r="W932" s="346"/>
    </row>
    <row r="933" spans="1:23" x14ac:dyDescent="0.2">
      <c r="A933" s="436"/>
      <c r="B933" s="345"/>
      <c r="C933" s="461" t="s">
        <v>380</v>
      </c>
      <c r="D933" s="1917">
        <f ca="1">2/32*D932</f>
        <v>0</v>
      </c>
      <c r="E933" s="339" t="s">
        <v>622</v>
      </c>
      <c r="F933" s="1917"/>
      <c r="G933" s="461" t="s">
        <v>377</v>
      </c>
      <c r="H933" s="1917">
        <f ca="1">(D944/100*D945+2/34*D946)/H932*100</f>
        <v>18.364315923905643</v>
      </c>
      <c r="I933" s="339" t="s">
        <v>579</v>
      </c>
      <c r="J933" s="1917"/>
      <c r="K933" s="1917"/>
      <c r="L933" s="1917"/>
      <c r="M933" s="1917"/>
      <c r="N933" s="1917"/>
      <c r="O933" s="1917"/>
      <c r="P933" s="1917"/>
      <c r="Q933" s="1969"/>
      <c r="R933" s="1917"/>
      <c r="S933" s="1917"/>
      <c r="T933" s="1917"/>
      <c r="U933" s="1917"/>
      <c r="V933" s="1917"/>
      <c r="W933" s="346"/>
    </row>
    <row r="934" spans="1:23" x14ac:dyDescent="0.2">
      <c r="A934" s="436"/>
      <c r="B934" s="345"/>
      <c r="C934" s="461" t="s">
        <v>381</v>
      </c>
      <c r="D934" s="1917">
        <f ca="1">D933</f>
        <v>0</v>
      </c>
      <c r="E934" s="339" t="s">
        <v>622</v>
      </c>
      <c r="F934" s="1917"/>
      <c r="G934" s="461" t="s">
        <v>378</v>
      </c>
      <c r="H934" s="1917">
        <f ca="1">32/34*D946/H932*100</f>
        <v>0</v>
      </c>
      <c r="I934" s="339" t="s">
        <v>579</v>
      </c>
      <c r="J934" s="1917"/>
      <c r="K934" s="1917"/>
      <c r="L934" s="1917"/>
      <c r="M934" s="1917"/>
      <c r="N934" s="1917"/>
      <c r="O934" s="1917"/>
      <c r="P934" s="1917"/>
      <c r="Q934" s="1969"/>
      <c r="R934" s="1917"/>
      <c r="S934" s="1917"/>
      <c r="T934" s="1917"/>
      <c r="U934" s="1917"/>
      <c r="V934" s="1917"/>
      <c r="W934" s="346"/>
    </row>
    <row r="935" spans="1:23" x14ac:dyDescent="0.2">
      <c r="A935" s="436"/>
      <c r="B935" s="345"/>
      <c r="C935" s="461" t="s">
        <v>1393</v>
      </c>
      <c r="D935" s="1917" t="e">
        <f ca="1">(D934+D933)*'Energy &amp; Unit Conversions'!$E$93/'Energy &amp; Unit Conversions'!$E$26*'Energy &amp; Unit Conversions'!$G$82/E921/(E923-F923)</f>
        <v>#DIV/0!</v>
      </c>
      <c r="E935" s="339" t="s">
        <v>904</v>
      </c>
      <c r="F935" s="1917"/>
      <c r="G935" s="461" t="s">
        <v>379</v>
      </c>
      <c r="H935" s="1917">
        <f ca="1">H932/(D947+E922)*100</f>
        <v>0.2</v>
      </c>
      <c r="I935" s="339" t="s">
        <v>579</v>
      </c>
      <c r="J935" s="1917"/>
      <c r="K935" s="1917"/>
      <c r="L935" s="1917"/>
      <c r="M935" s="1917"/>
      <c r="N935" s="1917"/>
      <c r="O935" s="1917"/>
      <c r="P935" s="1917"/>
      <c r="Q935" s="1969"/>
      <c r="R935" s="1917"/>
      <c r="S935" s="1917"/>
      <c r="T935" s="1917"/>
      <c r="U935" s="1917"/>
      <c r="V935" s="1917"/>
      <c r="W935" s="346"/>
    </row>
    <row r="936" spans="1:23" x14ac:dyDescent="0.2">
      <c r="A936" s="436"/>
      <c r="B936" s="345"/>
      <c r="C936" s="461" t="s">
        <v>905</v>
      </c>
      <c r="D936" s="1917">
        <f ca="1">D937*E921*(E924-F924)/10000/'Energy &amp; Unit Conversions'!$G$82*'Energy &amp; Unit Conversions'!$E$26/'Energy &amp; Unit Conversions'!$E$93</f>
        <v>0</v>
      </c>
      <c r="E936" s="339" t="s">
        <v>622</v>
      </c>
      <c r="F936" s="1917"/>
      <c r="G936" s="462" t="s">
        <v>1092</v>
      </c>
      <c r="H936" s="915">
        <v>2E-3</v>
      </c>
      <c r="I936" s="1916" t="s">
        <v>1091</v>
      </c>
      <c r="J936" s="1917"/>
      <c r="K936" s="1917"/>
      <c r="L936" s="1917"/>
      <c r="M936" s="1917"/>
      <c r="N936" s="1917"/>
      <c r="O936" s="1917"/>
      <c r="P936" s="1917"/>
      <c r="Q936" s="1969"/>
      <c r="R936" s="1917"/>
      <c r="S936" s="1917"/>
      <c r="T936" s="1917"/>
      <c r="U936" s="1917"/>
      <c r="V936" s="1917"/>
      <c r="W936" s="346"/>
    </row>
    <row r="937" spans="1:23" x14ac:dyDescent="0.2">
      <c r="A937" s="436"/>
      <c r="B937" s="345"/>
      <c r="C937" s="461" t="s">
        <v>905</v>
      </c>
      <c r="D937" s="913">
        <v>59</v>
      </c>
      <c r="E937" s="339" t="s">
        <v>904</v>
      </c>
      <c r="F937" s="1917"/>
      <c r="G937" s="444"/>
      <c r="H937" s="1917"/>
      <c r="I937" s="1917"/>
      <c r="J937" s="1917"/>
      <c r="K937" s="1917"/>
      <c r="L937" s="1917"/>
      <c r="M937" s="1917"/>
      <c r="N937" s="1917"/>
      <c r="O937" s="1917"/>
      <c r="P937" s="1917"/>
      <c r="Q937" s="1969"/>
      <c r="R937" s="1917"/>
      <c r="S937" s="1917"/>
      <c r="T937" s="1917"/>
      <c r="U937" s="1917"/>
      <c r="V937" s="1917"/>
      <c r="W937" s="346"/>
    </row>
    <row r="938" spans="1:23" ht="15" x14ac:dyDescent="0.2">
      <c r="A938" s="436"/>
      <c r="B938" s="345"/>
      <c r="C938" s="461" t="s">
        <v>1381</v>
      </c>
      <c r="D938" s="1917">
        <f ca="1">E927/100*E922</f>
        <v>1.8002903893944429E-16</v>
      </c>
      <c r="E938" s="339" t="s">
        <v>622</v>
      </c>
      <c r="F938" s="1930"/>
      <c r="G938" s="1924"/>
      <c r="H938" s="1917"/>
      <c r="I938" s="1917"/>
      <c r="J938" s="1917"/>
      <c r="K938" s="1917"/>
      <c r="L938" s="1917"/>
      <c r="M938" s="1917"/>
      <c r="N938" s="1917"/>
      <c r="O938" s="1917"/>
      <c r="P938" s="1917"/>
      <c r="Q938" s="1969"/>
      <c r="R938" s="1917"/>
      <c r="S938" s="1917"/>
      <c r="T938" s="1917"/>
      <c r="U938" s="1917"/>
      <c r="V938" s="1917"/>
      <c r="W938" s="346"/>
    </row>
    <row r="939" spans="1:23" x14ac:dyDescent="0.2">
      <c r="A939" s="436"/>
      <c r="B939" s="345"/>
      <c r="C939" s="461" t="s">
        <v>1741</v>
      </c>
      <c r="D939" s="1917">
        <f ca="1">D940/(1-F927/100-(F923/100))</f>
        <v>1.5631832581236897E-15</v>
      </c>
      <c r="E939" s="339" t="s">
        <v>622</v>
      </c>
      <c r="F939" s="303"/>
      <c r="G939" s="1924"/>
      <c r="H939" s="1917"/>
      <c r="I939" s="1917"/>
      <c r="J939" s="1917"/>
      <c r="K939" s="1917"/>
      <c r="L939" s="1917"/>
      <c r="M939" s="1917"/>
      <c r="N939" s="1917"/>
      <c r="O939" s="1917"/>
      <c r="P939" s="1917"/>
      <c r="Q939" s="1969"/>
      <c r="R939" s="1917"/>
      <c r="S939" s="1917"/>
      <c r="T939" s="1917"/>
      <c r="U939" s="1917"/>
      <c r="V939" s="1917"/>
      <c r="W939" s="346"/>
    </row>
    <row r="940" spans="1:23" ht="15" x14ac:dyDescent="0.2">
      <c r="A940" s="436"/>
      <c r="B940" s="345"/>
      <c r="C940" s="461" t="s">
        <v>1382</v>
      </c>
      <c r="D940" s="1917">
        <f ca="1">((E922*(1-E927/100-E923/100-E924/1000000))-D942)</f>
        <v>1.3177634865982704E-15</v>
      </c>
      <c r="E940" s="339" t="s">
        <v>622</v>
      </c>
      <c r="F940" s="1917"/>
      <c r="G940" s="444"/>
      <c r="H940" s="1917"/>
      <c r="I940" s="1917"/>
      <c r="J940" s="1917"/>
      <c r="K940" s="1917"/>
      <c r="L940" s="1917"/>
      <c r="M940" s="1917"/>
      <c r="N940" s="1917"/>
      <c r="O940" s="1917"/>
      <c r="P940" s="1917"/>
      <c r="Q940" s="1969"/>
      <c r="R940" s="1917"/>
      <c r="S940" s="1917"/>
      <c r="T940" s="1917"/>
      <c r="U940" s="1917"/>
      <c r="V940" s="1917"/>
      <c r="W940" s="346"/>
    </row>
    <row r="941" spans="1:23" x14ac:dyDescent="0.2">
      <c r="A941" s="436"/>
      <c r="B941" s="345"/>
      <c r="C941" s="461" t="s">
        <v>1779</v>
      </c>
      <c r="D941" s="1917">
        <f ca="1">D939*(F927/100)-D938-D933-D936</f>
        <v>6.5390732585974997E-17</v>
      </c>
      <c r="E941" s="339" t="s">
        <v>622</v>
      </c>
      <c r="F941" s="1917"/>
      <c r="G941" s="437"/>
      <c r="H941" s="1917"/>
      <c r="I941" s="1917"/>
      <c r="J941" s="1917"/>
      <c r="K941" s="1917"/>
      <c r="L941" s="1917"/>
      <c r="M941" s="1917"/>
      <c r="N941" s="1917"/>
      <c r="O941" s="1917"/>
      <c r="P941" s="1917"/>
      <c r="Q941" s="1969"/>
      <c r="R941" s="1917"/>
      <c r="S941" s="1917"/>
      <c r="T941" s="1917"/>
      <c r="U941" s="1917"/>
      <c r="V941" s="1917"/>
      <c r="W941" s="346"/>
    </row>
    <row r="942" spans="1:23" ht="15" x14ac:dyDescent="0.2">
      <c r="A942" s="436"/>
      <c r="B942" s="345"/>
      <c r="C942" s="461" t="s">
        <v>1385</v>
      </c>
      <c r="D942" s="1917">
        <f ca="1">D945*(1-D944/100)</f>
        <v>2.4494656245642907E-18</v>
      </c>
      <c r="E942" s="339" t="s">
        <v>622</v>
      </c>
      <c r="F942" s="1917"/>
      <c r="G942" s="1917"/>
      <c r="H942" s="1917"/>
      <c r="I942" s="1917"/>
      <c r="J942" s="1917"/>
      <c r="K942" s="1917"/>
      <c r="L942" s="1917"/>
      <c r="M942" s="1917"/>
      <c r="N942" s="1917"/>
      <c r="O942" s="1917"/>
      <c r="P942" s="1917"/>
      <c r="Q942" s="1969"/>
      <c r="R942" s="1917"/>
      <c r="S942" s="1917"/>
      <c r="T942" s="1917"/>
      <c r="U942" s="1917"/>
      <c r="V942" s="1917"/>
      <c r="W942" s="346"/>
    </row>
    <row r="943" spans="1:23" ht="15" x14ac:dyDescent="0.2">
      <c r="A943" s="436"/>
      <c r="B943" s="345"/>
      <c r="C943" s="461" t="s">
        <v>1386</v>
      </c>
      <c r="D943" s="1917">
        <f ca="1">D945*(D944/100)</f>
        <v>5.5101835776026698E-19</v>
      </c>
      <c r="E943" s="339" t="s">
        <v>622</v>
      </c>
      <c r="F943" s="1917"/>
      <c r="G943" s="1917"/>
      <c r="H943" s="1917"/>
      <c r="I943" s="1917"/>
      <c r="J943" s="1917"/>
      <c r="K943" s="1917"/>
      <c r="L943" s="1917"/>
      <c r="M943" s="1917"/>
      <c r="N943" s="1917"/>
      <c r="O943" s="1917"/>
      <c r="P943" s="1917"/>
      <c r="Q943" s="1969"/>
      <c r="R943" s="1917"/>
      <c r="S943" s="1917"/>
      <c r="T943" s="1917"/>
      <c r="U943" s="1917"/>
      <c r="V943" s="1917"/>
      <c r="W943" s="346"/>
    </row>
    <row r="944" spans="1:23" x14ac:dyDescent="0.2">
      <c r="A944" s="436"/>
      <c r="B944" s="345"/>
      <c r="C944" s="461" t="s">
        <v>375</v>
      </c>
      <c r="D944" s="913">
        <f>Constants!N379</f>
        <v>18.364315923905643</v>
      </c>
      <c r="E944" s="339" t="s">
        <v>579</v>
      </c>
      <c r="F944" s="1917"/>
      <c r="G944" s="1917"/>
      <c r="H944" s="1917"/>
      <c r="I944" s="1917"/>
      <c r="J944" s="1917"/>
      <c r="K944" s="1917"/>
      <c r="L944" s="1917"/>
      <c r="M944" s="1917"/>
      <c r="N944" s="1917"/>
      <c r="O944" s="1917"/>
      <c r="P944" s="1917"/>
      <c r="Q944" s="1969"/>
      <c r="R944" s="1917"/>
      <c r="S944" s="1917"/>
      <c r="T944" s="1917"/>
      <c r="U944" s="1917"/>
      <c r="V944" s="1917"/>
      <c r="W944" s="346"/>
    </row>
    <row r="945" spans="1:23" x14ac:dyDescent="0.2">
      <c r="A945" s="436"/>
      <c r="B945" s="345"/>
      <c r="C945" s="461" t="s">
        <v>385</v>
      </c>
      <c r="D945" s="1917">
        <f ca="1">H936*E922</f>
        <v>3.0004839823245577E-18</v>
      </c>
      <c r="E945" s="339" t="s">
        <v>622</v>
      </c>
      <c r="F945" s="1917"/>
      <c r="G945" s="1917"/>
      <c r="H945" s="1917"/>
      <c r="I945" s="1917"/>
      <c r="J945" s="1917"/>
      <c r="K945" s="1917"/>
      <c r="L945" s="1917"/>
      <c r="M945" s="1917"/>
      <c r="N945" s="1917"/>
      <c r="O945" s="1917"/>
      <c r="P945" s="1917"/>
      <c r="Q945" s="1969"/>
      <c r="R945" s="1917"/>
      <c r="S945" s="1917"/>
      <c r="T945" s="1917"/>
      <c r="U945" s="1917"/>
      <c r="V945" s="1917"/>
      <c r="W945" s="346"/>
    </row>
    <row r="946" spans="1:23" x14ac:dyDescent="0.2">
      <c r="A946" s="436"/>
      <c r="B946" s="345"/>
      <c r="C946" s="461" t="s">
        <v>384</v>
      </c>
      <c r="D946" s="1917">
        <f ca="1">D932+D934</f>
        <v>0</v>
      </c>
      <c r="E946" s="339" t="s">
        <v>622</v>
      </c>
      <c r="F946" s="1917"/>
      <c r="G946" s="1917"/>
      <c r="H946" s="1917"/>
      <c r="I946" s="1917"/>
      <c r="J946" s="1917"/>
      <c r="K946" s="1917"/>
      <c r="L946" s="1917"/>
      <c r="M946" s="1917"/>
      <c r="N946" s="1917"/>
      <c r="O946" s="1917"/>
      <c r="P946" s="1917"/>
      <c r="Q946" s="1969"/>
      <c r="R946" s="1917"/>
      <c r="S946" s="1917"/>
      <c r="T946" s="1917"/>
      <c r="U946" s="1917"/>
      <c r="V946" s="1917"/>
      <c r="W946" s="346"/>
    </row>
    <row r="947" spans="1:23" x14ac:dyDescent="0.2">
      <c r="A947" s="436"/>
      <c r="B947" s="345"/>
      <c r="C947" s="471" t="s">
        <v>1780</v>
      </c>
      <c r="D947" s="364">
        <f ca="1">IF(OR(CokingRefineryConfig=0,CokingRefineryConfig=1,CokingRefineryConfig=2,CokingRefineryConfig=3),0, D933+D934+D941+D943+D936)</f>
        <v>0</v>
      </c>
      <c r="E947" s="479" t="s">
        <v>622</v>
      </c>
      <c r="F947" s="1917"/>
      <c r="G947" s="1917"/>
      <c r="H947" s="1917"/>
      <c r="I947" s="1917"/>
      <c r="J947" s="1917"/>
      <c r="K947" s="1917"/>
      <c r="L947" s="1917"/>
      <c r="M947" s="1917"/>
      <c r="N947" s="1917"/>
      <c r="O947" s="1917"/>
      <c r="P947" s="1917"/>
      <c r="Q947" s="1969"/>
      <c r="R947" s="1917"/>
      <c r="S947" s="1917"/>
      <c r="T947" s="1917"/>
      <c r="U947" s="1917"/>
      <c r="V947" s="1917"/>
      <c r="W947" s="346"/>
    </row>
    <row r="948" spans="1:23" x14ac:dyDescent="0.2">
      <c r="A948" s="436"/>
      <c r="B948" s="345"/>
      <c r="C948" s="461" t="s">
        <v>635</v>
      </c>
      <c r="D948" s="913">
        <f ca="1">Constants!H161</f>
        <v>107.01126379400964</v>
      </c>
      <c r="E948" s="339" t="s">
        <v>637</v>
      </c>
      <c r="F948" s="1917"/>
      <c r="G948" s="1917"/>
      <c r="H948" s="1917"/>
      <c r="I948" s="1917"/>
      <c r="J948" s="1917"/>
      <c r="K948" s="1917"/>
      <c r="L948" s="1917"/>
      <c r="M948" s="1917"/>
      <c r="N948" s="1917"/>
      <c r="O948" s="1917"/>
      <c r="P948" s="1917"/>
      <c r="Q948" s="1969"/>
      <c r="R948" s="1917"/>
      <c r="S948" s="1917"/>
      <c r="T948" s="1917"/>
      <c r="U948" s="1917"/>
      <c r="V948" s="1917"/>
      <c r="W948" s="346"/>
    </row>
    <row r="949" spans="1:23" x14ac:dyDescent="0.2">
      <c r="A949" s="436"/>
      <c r="B949" s="345"/>
      <c r="C949" s="461" t="s">
        <v>634</v>
      </c>
      <c r="D949" s="1917">
        <f ca="1">D948*'Energy &amp; Unit Conversions'!G82/'Energy &amp; Unit Conversions'!G80</f>
        <v>18.031955899292875</v>
      </c>
      <c r="E949" s="339" t="s">
        <v>636</v>
      </c>
      <c r="F949" s="1917"/>
      <c r="G949" s="1917"/>
      <c r="H949" s="1917"/>
      <c r="I949" s="1917"/>
      <c r="J949" s="1917"/>
      <c r="K949" s="1917"/>
      <c r="L949" s="1917"/>
      <c r="M949" s="1917"/>
      <c r="N949" s="1917"/>
      <c r="O949" s="1917"/>
      <c r="P949" s="1917"/>
      <c r="Q949" s="1969"/>
      <c r="R949" s="1917"/>
      <c r="S949" s="1917"/>
      <c r="T949" s="1917"/>
      <c r="U949" s="1917"/>
      <c r="V949" s="1917"/>
      <c r="W949" s="346"/>
    </row>
    <row r="950" spans="1:23" x14ac:dyDescent="0.2">
      <c r="A950" s="436"/>
      <c r="B950" s="345"/>
      <c r="C950" s="461" t="s">
        <v>542</v>
      </c>
      <c r="D950" s="1917">
        <f ca="1">D948*E920/1000</f>
        <v>1.3114074632414043E-18</v>
      </c>
      <c r="E950" s="339" t="s">
        <v>472</v>
      </c>
      <c r="F950" s="1917"/>
      <c r="G950" s="1917"/>
      <c r="H950" s="1917"/>
      <c r="I950" s="1917"/>
      <c r="J950" s="1917"/>
      <c r="K950" s="1917"/>
      <c r="L950" s="1917"/>
      <c r="M950" s="1917"/>
      <c r="N950" s="1917"/>
      <c r="O950" s="1917"/>
      <c r="P950" s="1917"/>
      <c r="Q950" s="1969"/>
      <c r="R950" s="1917"/>
      <c r="S950" s="1917"/>
      <c r="T950" s="1917"/>
      <c r="U950" s="1917"/>
      <c r="V950" s="1917"/>
      <c r="W950" s="346"/>
    </row>
    <row r="951" spans="1:23" x14ac:dyDescent="0.2">
      <c r="A951" s="436"/>
      <c r="B951" s="345"/>
      <c r="C951" s="461" t="s">
        <v>542</v>
      </c>
      <c r="D951" s="1917">
        <f ca="1">D949*E921</f>
        <v>3.5132853795969225E-17</v>
      </c>
      <c r="E951" s="339" t="s">
        <v>628</v>
      </c>
      <c r="F951" s="1917"/>
      <c r="G951" s="1917"/>
      <c r="H951" s="1917"/>
      <c r="I951" s="1917"/>
      <c r="J951" s="1917"/>
      <c r="K951" s="1917"/>
      <c r="L951" s="1917"/>
      <c r="M951" s="1917"/>
      <c r="N951" s="1917"/>
      <c r="O951" s="1917"/>
      <c r="P951" s="1917"/>
      <c r="Q951" s="1969"/>
      <c r="R951" s="1917"/>
      <c r="S951" s="1917"/>
      <c r="T951" s="1917"/>
      <c r="U951" s="1917"/>
      <c r="V951" s="1917"/>
      <c r="W951" s="346"/>
    </row>
    <row r="952" spans="1:23" x14ac:dyDescent="0.2">
      <c r="A952" s="436"/>
      <c r="B952" s="345"/>
      <c r="C952" s="461" t="s">
        <v>631</v>
      </c>
      <c r="D952" s="1917">
        <f ca="1">D951*'Energy &amp; Unit Conversions'!P25*'Energy &amp; Unit Conversions'!G87</f>
        <v>1.4893052293607442E-20</v>
      </c>
      <c r="E952" s="339" t="s">
        <v>632</v>
      </c>
      <c r="F952" s="1917"/>
      <c r="G952" s="1917"/>
      <c r="H952" s="1917"/>
      <c r="I952" s="1917"/>
      <c r="J952" s="1917"/>
      <c r="K952" s="1917"/>
      <c r="L952" s="1917"/>
      <c r="M952" s="1917"/>
      <c r="N952" s="1917"/>
      <c r="O952" s="1917"/>
      <c r="P952" s="1917"/>
      <c r="Q952" s="1969"/>
      <c r="R952" s="1917"/>
      <c r="S952" s="1917"/>
      <c r="T952" s="1917"/>
      <c r="U952" s="1917"/>
      <c r="V952" s="1917"/>
      <c r="W952" s="346"/>
    </row>
    <row r="953" spans="1:23" x14ac:dyDescent="0.2">
      <c r="A953" s="436"/>
      <c r="B953" s="345"/>
      <c r="C953" s="461" t="s">
        <v>451</v>
      </c>
      <c r="D953" s="913">
        <f ca="1">Constants!H162</f>
        <v>2</v>
      </c>
      <c r="E953" s="339" t="s">
        <v>665</v>
      </c>
      <c r="F953" s="1917"/>
      <c r="G953" s="1917"/>
      <c r="H953" s="1917"/>
      <c r="I953" s="1917"/>
      <c r="J953" s="1917"/>
      <c r="K953" s="1917"/>
      <c r="L953" s="1917"/>
      <c r="M953" s="1917"/>
      <c r="N953" s="1917"/>
      <c r="O953" s="1917"/>
      <c r="P953" s="1917"/>
      <c r="Q953" s="1969"/>
      <c r="R953" s="1917"/>
      <c r="S953" s="1917"/>
      <c r="T953" s="1917"/>
      <c r="U953" s="1917"/>
      <c r="V953" s="1917"/>
      <c r="W953" s="346"/>
    </row>
    <row r="954" spans="1:23" x14ac:dyDescent="0.2">
      <c r="A954" s="436"/>
      <c r="B954" s="345"/>
      <c r="C954" s="461" t="s">
        <v>451</v>
      </c>
      <c r="D954" s="1917">
        <f ca="1">D953/'Energy &amp; Unit Conversions'!G80</f>
        <v>12.57962113955014</v>
      </c>
      <c r="E954" s="339" t="s">
        <v>629</v>
      </c>
      <c r="F954" s="1917"/>
      <c r="G954" s="1917"/>
      <c r="H954" s="1917"/>
      <c r="I954" s="1917"/>
      <c r="J954" s="1917"/>
      <c r="K954" s="1917"/>
      <c r="L954" s="1917"/>
      <c r="M954" s="1917"/>
      <c r="N954" s="1917"/>
      <c r="O954" s="1917"/>
      <c r="P954" s="1917"/>
      <c r="Q954" s="1969"/>
      <c r="R954" s="1917"/>
      <c r="S954" s="1917"/>
      <c r="T954" s="1917"/>
      <c r="U954" s="1917"/>
      <c r="V954" s="1917"/>
      <c r="W954" s="346"/>
    </row>
    <row r="955" spans="1:23" x14ac:dyDescent="0.2">
      <c r="A955" s="436"/>
      <c r="B955" s="345"/>
      <c r="C955" s="471" t="s">
        <v>452</v>
      </c>
      <c r="D955" s="479">
        <f ca="1">E921*D954</f>
        <v>2.4509708917479678E-17</v>
      </c>
      <c r="E955" s="479" t="s">
        <v>627</v>
      </c>
      <c r="F955" s="1917"/>
      <c r="G955" s="1917"/>
      <c r="H955" s="1917"/>
      <c r="I955" s="1917"/>
      <c r="J955" s="1917"/>
      <c r="K955" s="1917"/>
      <c r="L955" s="1917"/>
      <c r="M955" s="1917"/>
      <c r="N955" s="1917"/>
      <c r="O955" s="1917"/>
      <c r="P955" s="1917"/>
      <c r="Q955" s="1969"/>
      <c r="R955" s="1917"/>
      <c r="S955" s="1917"/>
      <c r="T955" s="1917"/>
      <c r="U955" s="1917"/>
      <c r="V955" s="1917"/>
      <c r="W955" s="346"/>
    </row>
    <row r="956" spans="1:23" x14ac:dyDescent="0.2">
      <c r="A956" s="436"/>
      <c r="B956" s="345"/>
      <c r="C956" s="461" t="s">
        <v>485</v>
      </c>
      <c r="D956" s="913">
        <f ca="1">Constants!H164</f>
        <v>6</v>
      </c>
      <c r="E956" s="339" t="s">
        <v>496</v>
      </c>
      <c r="F956" s="1917"/>
      <c r="G956" s="1917"/>
      <c r="H956" s="1917"/>
      <c r="I956" s="1917"/>
      <c r="J956" s="1917"/>
      <c r="K956" s="1917"/>
      <c r="L956" s="1917"/>
      <c r="M956" s="1917"/>
      <c r="N956" s="1917"/>
      <c r="O956" s="1917"/>
      <c r="P956" s="1917"/>
      <c r="Q956" s="1969"/>
      <c r="R956" s="1917"/>
      <c r="S956" s="1917"/>
      <c r="T956" s="1917"/>
      <c r="U956" s="1917"/>
      <c r="V956" s="1917"/>
      <c r="W956" s="346"/>
    </row>
    <row r="957" spans="1:23" x14ac:dyDescent="0.2">
      <c r="A957" s="436"/>
      <c r="B957" s="345"/>
      <c r="C957" s="461" t="s">
        <v>485</v>
      </c>
      <c r="D957" s="1917">
        <f ca="1">D956*'Energy &amp; Unit Conversions'!G79/'Energy &amp; Unit Conversions'!G80</f>
        <v>17.11806049917195</v>
      </c>
      <c r="E957" s="339" t="s">
        <v>581</v>
      </c>
      <c r="F957" s="1917"/>
      <c r="G957" s="1917"/>
      <c r="H957" s="1917"/>
      <c r="I957" s="1917"/>
      <c r="J957" s="1917"/>
      <c r="K957" s="1917"/>
      <c r="L957" s="1917"/>
      <c r="M957" s="1917"/>
      <c r="N957" s="1917"/>
      <c r="O957" s="1917"/>
      <c r="P957" s="1917"/>
      <c r="Q957" s="1969"/>
      <c r="R957" s="1917"/>
      <c r="S957" s="1917"/>
      <c r="T957" s="1917"/>
      <c r="U957" s="1917"/>
      <c r="V957" s="1917"/>
      <c r="W957" s="346"/>
    </row>
    <row r="958" spans="1:23" x14ac:dyDescent="0.2">
      <c r="A958" s="436"/>
      <c r="B958" s="345"/>
      <c r="C958" s="469" t="s">
        <v>485</v>
      </c>
      <c r="D958" s="408">
        <f ca="1">D957*E921</f>
        <v>3.3352250867669235E-17</v>
      </c>
      <c r="E958" s="409" t="s">
        <v>622</v>
      </c>
      <c r="F958" s="1917"/>
      <c r="G958" s="1917"/>
      <c r="H958" s="1917"/>
      <c r="I958" s="1917"/>
      <c r="J958" s="1917"/>
      <c r="K958" s="1917"/>
      <c r="L958" s="1917"/>
      <c r="M958" s="1917"/>
      <c r="N958" s="1917"/>
      <c r="O958" s="1917"/>
      <c r="P958" s="1917"/>
      <c r="Q958" s="1969"/>
      <c r="R958" s="1917"/>
      <c r="S958" s="1917"/>
      <c r="T958" s="1917"/>
      <c r="U958" s="1917"/>
      <c r="V958" s="1917"/>
      <c r="W958" s="346"/>
    </row>
    <row r="959" spans="1:23" x14ac:dyDescent="0.2">
      <c r="A959" s="436"/>
      <c r="B959" s="345"/>
      <c r="C959" s="437"/>
      <c r="D959" s="1917"/>
      <c r="E959" s="1917"/>
      <c r="F959" s="1917"/>
      <c r="G959" s="1917"/>
      <c r="H959" s="1917"/>
      <c r="I959" s="1917"/>
      <c r="J959" s="1917"/>
      <c r="K959" s="1917"/>
      <c r="L959" s="1917"/>
      <c r="M959" s="1917"/>
      <c r="N959" s="1917"/>
      <c r="O959" s="1917"/>
      <c r="P959" s="1917"/>
      <c r="Q959" s="1969"/>
      <c r="R959" s="1917"/>
      <c r="S959" s="1917"/>
      <c r="T959" s="1917"/>
      <c r="U959" s="1917"/>
      <c r="V959" s="1917"/>
      <c r="W959" s="346"/>
    </row>
    <row r="960" spans="1:23" ht="26.25" x14ac:dyDescent="0.2">
      <c r="A960" s="436"/>
      <c r="B960" s="347"/>
      <c r="C960" s="438" t="s">
        <v>449</v>
      </c>
      <c r="D960" s="411"/>
      <c r="E960" s="1917"/>
      <c r="F960" s="1917"/>
      <c r="G960" s="1917"/>
      <c r="H960" s="1917"/>
      <c r="I960" s="1917"/>
      <c r="J960" s="1917"/>
      <c r="K960" s="1917"/>
      <c r="L960" s="1917"/>
      <c r="M960" s="1917"/>
      <c r="N960" s="1917"/>
      <c r="O960" s="1917"/>
      <c r="P960" s="1917"/>
      <c r="Q960" s="1969"/>
      <c r="R960" s="1917"/>
      <c r="S960" s="1917"/>
      <c r="T960" s="1917"/>
      <c r="U960" s="1917"/>
      <c r="V960" s="1917"/>
      <c r="W960" s="346"/>
    </row>
    <row r="961" spans="1:23" x14ac:dyDescent="0.2">
      <c r="A961" s="436"/>
      <c r="B961" s="345"/>
      <c r="C961" s="437"/>
      <c r="D961" s="1917"/>
      <c r="E961" s="1910"/>
      <c r="F961" s="1917"/>
      <c r="G961" s="1917"/>
      <c r="H961" s="1917"/>
      <c r="I961" s="1917"/>
      <c r="J961" s="1917"/>
      <c r="K961" s="1917"/>
      <c r="L961" s="1917"/>
      <c r="M961" s="1917"/>
      <c r="N961" s="1917"/>
      <c r="O961" s="1917"/>
      <c r="P961" s="1917"/>
      <c r="Q961" s="1969"/>
      <c r="R961" s="1917"/>
      <c r="S961" s="1917"/>
      <c r="T961" s="1917"/>
      <c r="U961" s="1917"/>
      <c r="V961" s="1917"/>
      <c r="W961" s="346"/>
    </row>
    <row r="962" spans="1:23" x14ac:dyDescent="0.2">
      <c r="A962" s="436"/>
      <c r="B962" s="345"/>
      <c r="C962" s="440" t="s">
        <v>1309</v>
      </c>
      <c r="D962" s="1917"/>
      <c r="E962" s="1910"/>
      <c r="F962" s="1917"/>
      <c r="G962" s="1917"/>
      <c r="H962" s="1917"/>
      <c r="I962" s="1917"/>
      <c r="J962" s="1917"/>
      <c r="K962" s="1917"/>
      <c r="L962" s="1917"/>
      <c r="M962" s="1917"/>
      <c r="N962" s="1917"/>
      <c r="O962" s="1917"/>
      <c r="P962" s="1917"/>
      <c r="Q962" s="1969"/>
      <c r="R962" s="1917"/>
      <c r="S962" s="1917"/>
      <c r="T962" s="1917"/>
      <c r="U962" s="1917"/>
      <c r="V962" s="1917"/>
      <c r="W962" s="346"/>
    </row>
    <row r="963" spans="1:23" x14ac:dyDescent="0.2">
      <c r="A963" s="436"/>
      <c r="B963" s="345"/>
      <c r="C963" s="441" t="s">
        <v>568</v>
      </c>
      <c r="D963" s="1918" t="s">
        <v>623</v>
      </c>
      <c r="E963" s="1918" t="str">
        <f>CokingRefineryCalcs!F171</f>
        <v>iC5</v>
      </c>
      <c r="F963" s="1918" t="str">
        <f>CokingRefineryCalcs!F197</f>
        <v>Reformate</v>
      </c>
      <c r="G963" s="356" t="str">
        <f>CokingRefineryCalcs!F919</f>
        <v>HT Naphtha Product</v>
      </c>
      <c r="H963" s="356" t="s">
        <v>482</v>
      </c>
      <c r="I963" s="1918" t="str">
        <f>CokingRefineryCalcs!F469</f>
        <v xml:space="preserve">HC Gasoline </v>
      </c>
      <c r="J963" s="1918" t="str">
        <f>CokingRefineryCalcs!F815</f>
        <v>Alkylate</v>
      </c>
      <c r="K963" s="357" t="s">
        <v>519</v>
      </c>
      <c r="L963" s="1917"/>
      <c r="M963" s="1917"/>
      <c r="N963" s="1917"/>
      <c r="O963" s="1917"/>
      <c r="P963" s="1917"/>
      <c r="Q963" s="1969"/>
      <c r="R963" s="1917"/>
      <c r="S963" s="1917"/>
      <c r="T963" s="1917"/>
      <c r="U963" s="1917"/>
      <c r="V963" s="1917"/>
      <c r="W963" s="346"/>
    </row>
    <row r="964" spans="1:23" x14ac:dyDescent="0.2">
      <c r="A964" s="436"/>
      <c r="B964" s="345"/>
      <c r="C964" s="442" t="s">
        <v>582</v>
      </c>
      <c r="D964" s="1917" t="s">
        <v>566</v>
      </c>
      <c r="E964" s="1917">
        <f ca="1">CokingRefineryCalcs!F172</f>
        <v>8512.9513277591104</v>
      </c>
      <c r="F964" s="1917">
        <f ca="1">CokingRefineryCalcs!F198</f>
        <v>15693.336005246892</v>
      </c>
      <c r="G964" s="358">
        <f ca="1">IF(reformerFeedstockActive=1,CokingRefineryCalcs!F920,0)</f>
        <v>1.3286657539786239E-17</v>
      </c>
      <c r="H964" s="1917">
        <f ca="1">CokingRefineryCalcs!H753</f>
        <v>1.2581015309592083E-16</v>
      </c>
      <c r="I964" s="1917">
        <f ca="1">CokingRefineryCalcs!F470</f>
        <v>6.6574384792262908E-9</v>
      </c>
      <c r="J964" s="1917">
        <f ca="1">CokingRefineryCalcs!F816</f>
        <v>1.3042983691423561E-17</v>
      </c>
      <c r="K964" s="1912">
        <f ca="1">SUM(E964:J964)</f>
        <v>24206.28733301266</v>
      </c>
      <c r="L964" s="1917"/>
      <c r="M964" s="1917"/>
      <c r="N964" s="1917"/>
      <c r="O964" s="1917"/>
      <c r="P964" s="1917"/>
      <c r="Q964" s="1969"/>
      <c r="R964" s="1917"/>
      <c r="S964" s="1917"/>
      <c r="T964" s="1917"/>
      <c r="U964" s="1917"/>
      <c r="V964" s="1917"/>
      <c r="W964" s="346"/>
    </row>
    <row r="965" spans="1:23" x14ac:dyDescent="0.2">
      <c r="A965" s="436"/>
      <c r="B965" s="345"/>
      <c r="C965" s="442" t="s">
        <v>582</v>
      </c>
      <c r="D965" s="1917" t="s">
        <v>628</v>
      </c>
      <c r="E965" s="1917">
        <f ca="1">CokingRefineryCalcs!F173</f>
        <v>1353.4511466318361</v>
      </c>
      <c r="F965" s="1917">
        <f ca="1">CokingRefineryCalcs!F199</f>
        <v>2495.0411194669891</v>
      </c>
      <c r="G965" s="358">
        <f ca="1">IF(reformerFeedstockActive=1,CokingRefineryCalcs!F921,0)</f>
        <v>2.1124098082752565E-18</v>
      </c>
      <c r="H965" s="1917">
        <f ca="1">CokingRefineryCalcs!H754</f>
        <v>2.0002216553307093E-17</v>
      </c>
      <c r="I965" s="1917">
        <f ca="1">CokingRefineryCalcs!F471</f>
        <v>1.0584481687282941E-9</v>
      </c>
      <c r="J965" s="1917">
        <f ca="1">CokingRefineryCalcs!F817</f>
        <v>2.0736687610434651E-18</v>
      </c>
      <c r="K965" s="1912">
        <f ca="1">SUM(E965:J965)</f>
        <v>3848.4922660998836</v>
      </c>
      <c r="L965" s="1917"/>
      <c r="M965" s="1917"/>
      <c r="N965" s="1917"/>
      <c r="O965" s="1917"/>
      <c r="P965" s="1917"/>
      <c r="Q965" s="1969"/>
      <c r="R965" s="1917"/>
      <c r="S965" s="1917"/>
      <c r="T965" s="1917"/>
      <c r="U965" s="1917"/>
      <c r="V965" s="1917"/>
      <c r="W965" s="346"/>
    </row>
    <row r="966" spans="1:23" x14ac:dyDescent="0.2">
      <c r="A966" s="436"/>
      <c r="B966" s="345"/>
      <c r="C966" s="442" t="s">
        <v>620</v>
      </c>
      <c r="D966" s="1917" t="s">
        <v>622</v>
      </c>
      <c r="E966" s="1917">
        <f ca="1">CokingRefineryCalcs!F174</f>
        <v>845906.96664489759</v>
      </c>
      <c r="F966" s="1917">
        <f ca="1">CokingRefineryCalcs!F200</f>
        <v>1921181.6619895815</v>
      </c>
      <c r="G966" s="358">
        <f ca="1">IF(reformerFeedstockActive=1,CokingRefineryCalcs!F922,0)</f>
        <v>1.5631832581236897E-15</v>
      </c>
      <c r="H966" s="1917">
        <f ca="1">CokingRefineryCalcs!H755</f>
        <v>1.4801640249447621E-14</v>
      </c>
      <c r="I966" s="1917">
        <f ca="1">CokingRefineryCalcs!F472</f>
        <v>7.6620347850055368E-7</v>
      </c>
      <c r="J966" s="1917">
        <f ca="1">CokingRefineryCalcs!F818</f>
        <v>1.4370524514031214E-15</v>
      </c>
      <c r="K966" s="1912">
        <f ca="1">SUM(E966:J966)</f>
        <v>2767088.6286352449</v>
      </c>
      <c r="L966" s="1917"/>
      <c r="M966" s="1917"/>
      <c r="N966" s="1917"/>
      <c r="O966" s="1917"/>
      <c r="P966" s="1917"/>
      <c r="Q966" s="1969"/>
      <c r="R966" s="1917"/>
      <c r="S966" s="1917"/>
      <c r="T966" s="1917"/>
      <c r="U966" s="1917"/>
      <c r="V966" s="1917"/>
      <c r="W966" s="346"/>
    </row>
    <row r="967" spans="1:23" x14ac:dyDescent="0.2">
      <c r="A967" s="436"/>
      <c r="B967" s="345"/>
      <c r="C967" s="442" t="s">
        <v>578</v>
      </c>
      <c r="D967" s="1917" t="s">
        <v>579</v>
      </c>
      <c r="E967" s="1917">
        <f>CokingRefineryCalcs!F175</f>
        <v>0</v>
      </c>
      <c r="F967" s="1917">
        <f>CokingRefineryCalcs!F201</f>
        <v>0</v>
      </c>
      <c r="G967" s="358">
        <f>IF(reformerFeedstockActive=1,CokingRefineryCalcs!F923,0)</f>
        <v>0</v>
      </c>
      <c r="H967" s="1917">
        <f ca="1">CokingRefineryCalcs!H756</f>
        <v>0</v>
      </c>
      <c r="I967" s="1917">
        <f ca="1">CokingRefineryCalcs!F473</f>
        <v>0</v>
      </c>
      <c r="J967" s="1917">
        <f ca="1">CokingRefineryCalcs!F819</f>
        <v>0</v>
      </c>
      <c r="K967" s="1912">
        <f ca="1">(E967*E966+F967*F966+G967*G966+H966*H967+I967*I966+J967*J966)/K966</f>
        <v>0</v>
      </c>
      <c r="L967" s="1917"/>
      <c r="M967" s="1917"/>
      <c r="N967" s="1917"/>
      <c r="O967" s="1917"/>
      <c r="P967" s="1917"/>
      <c r="Q967" s="1969"/>
      <c r="R967" s="1917"/>
      <c r="S967" s="1917"/>
      <c r="T967" s="1917"/>
      <c r="U967" s="1917"/>
      <c r="V967" s="1917"/>
      <c r="W967" s="346"/>
    </row>
    <row r="968" spans="1:23" x14ac:dyDescent="0.2">
      <c r="A968" s="436"/>
      <c r="B968" s="345"/>
      <c r="C968" s="442" t="s">
        <v>943</v>
      </c>
      <c r="D968" s="1917"/>
      <c r="E968" s="1917"/>
      <c r="F968" s="1917"/>
      <c r="G968" s="358">
        <f>IF(reformerFeedstockActive=1,CokingRefineryCalcs!F924,0)</f>
        <v>0</v>
      </c>
      <c r="H968" s="1917">
        <f>CokingRefineryCalcs!H757</f>
        <v>0</v>
      </c>
      <c r="I968" s="1917">
        <f>CokingRefineryCalcs!F474</f>
        <v>0</v>
      </c>
      <c r="J968" s="1917">
        <f>CokingRefineryCalcs!F820</f>
        <v>0</v>
      </c>
      <c r="K968" s="1912"/>
      <c r="L968" s="1917"/>
      <c r="M968" s="1917"/>
      <c r="N968" s="1917"/>
      <c r="O968" s="1917"/>
      <c r="P968" s="1917"/>
      <c r="Q968" s="1969"/>
      <c r="R968" s="1917"/>
      <c r="S968" s="1917"/>
      <c r="T968" s="1917"/>
      <c r="U968" s="1917"/>
      <c r="V968" s="1917"/>
      <c r="W968" s="346"/>
    </row>
    <row r="969" spans="1:23" x14ac:dyDescent="0.2">
      <c r="A969" s="436"/>
      <c r="B969" s="345"/>
      <c r="C969" s="442" t="s">
        <v>567</v>
      </c>
      <c r="D969" s="1917"/>
      <c r="E969" s="1917">
        <f>CokingRefineryCalcs!F176</f>
        <v>94.9</v>
      </c>
      <c r="F969" s="1917">
        <f>CokingRefineryCalcs!F202</f>
        <v>52.266233766233768</v>
      </c>
      <c r="G969" s="358">
        <f>IF(reformerFeedstockActive=1,CokingRefineryCalcs!F925,0)</f>
        <v>59.716216216216225</v>
      </c>
      <c r="H969" s="1917">
        <f ca="1">CokingRefineryCalcs!H758</f>
        <v>59.716216216211393</v>
      </c>
      <c r="I969" s="1917">
        <f ca="1">CokingRefineryCalcs!F475</f>
        <v>63.970811706769609</v>
      </c>
      <c r="J969" s="1917">
        <f>CokingRefineryCalcs!F821</f>
        <v>72.684704184704202</v>
      </c>
      <c r="K969" s="1912">
        <f ca="1">141.5/(K970/1000)-131.5</f>
        <v>65.299498945473488</v>
      </c>
      <c r="L969" s="1917"/>
      <c r="M969" s="1917"/>
      <c r="N969" s="1917"/>
      <c r="O969" s="1917"/>
      <c r="P969" s="1917"/>
      <c r="Q969" s="1969"/>
      <c r="R969" s="1917"/>
      <c r="S969" s="1917"/>
      <c r="T969" s="1917"/>
      <c r="U969" s="1917"/>
      <c r="V969" s="1917"/>
      <c r="W969" s="346"/>
    </row>
    <row r="970" spans="1:23" x14ac:dyDescent="0.2">
      <c r="A970" s="436"/>
      <c r="B970" s="345"/>
      <c r="C970" s="442" t="s">
        <v>580</v>
      </c>
      <c r="D970" s="1917" t="s">
        <v>581</v>
      </c>
      <c r="E970" s="1917">
        <f>CokingRefineryCalcs!F177</f>
        <v>625</v>
      </c>
      <c r="F970" s="1917">
        <f>CokingRefineryCalcs!F203</f>
        <v>770</v>
      </c>
      <c r="G970" s="358">
        <f>IF(reformerFeedstockActive=1,CokingRefineryCalcs!F926,0)</f>
        <v>740</v>
      </c>
      <c r="H970" s="1917">
        <f ca="1">CokingRefineryCalcs!H759</f>
        <v>740.00000000001864</v>
      </c>
      <c r="I970" s="1917">
        <f ca="1">CokingRefineryCalcs!F476</f>
        <v>723.89324403209366</v>
      </c>
      <c r="J970" s="1917">
        <f>CokingRefineryCalcs!F822</f>
        <v>693</v>
      </c>
      <c r="K970" s="1912">
        <f ca="1">K966/K965</f>
        <v>719.0058956359685</v>
      </c>
      <c r="L970" s="1917"/>
      <c r="M970" s="1917"/>
      <c r="N970" s="1917"/>
      <c r="O970" s="1917"/>
      <c r="P970" s="1917"/>
      <c r="Q970" s="1969"/>
      <c r="R970" s="1917"/>
      <c r="S970" s="1917"/>
      <c r="T970" s="1917"/>
      <c r="U970" s="1917"/>
      <c r="V970" s="1917"/>
      <c r="W970" s="346"/>
    </row>
    <row r="971" spans="1:23" x14ac:dyDescent="0.2">
      <c r="A971" s="436"/>
      <c r="B971" s="345"/>
      <c r="C971" s="442" t="s">
        <v>621</v>
      </c>
      <c r="D971" s="1917" t="s">
        <v>579</v>
      </c>
      <c r="E971" s="1917">
        <f ca="1">CokingRefineryCalcs!F178</f>
        <v>16.7</v>
      </c>
      <c r="F971" s="1917">
        <f>CokingRefineryCalcs!F204</f>
        <v>12.3</v>
      </c>
      <c r="G971" s="358">
        <f ca="1">IF(reformerFeedstockActive=1,CokingRefineryCalcs!F927,0)</f>
        <v>15.7</v>
      </c>
      <c r="H971" s="1917">
        <f ca="1">CokingRefineryCalcs!H760</f>
        <v>14.499999999999089</v>
      </c>
      <c r="I971" s="1917">
        <f ca="1">CokingRefineryCalcs!F477</f>
        <v>14.666871318973451</v>
      </c>
      <c r="J971" s="1917">
        <f ca="1">CokingRefineryCalcs!F823</f>
        <v>16.100000000000001</v>
      </c>
      <c r="K971" s="1912">
        <f ca="1">(E971*E966+F971*F966+G971*G966+H971*H966+I966*I971+J966*J971)/K966</f>
        <v>13.645092677813897</v>
      </c>
      <c r="L971" s="1917"/>
      <c r="M971" s="1917"/>
      <c r="N971" s="1917"/>
      <c r="O971" s="1917"/>
      <c r="P971" s="1917"/>
      <c r="Q971" s="1969"/>
      <c r="R971" s="1917"/>
      <c r="S971" s="1917"/>
      <c r="T971" s="1917"/>
      <c r="U971" s="1917"/>
      <c r="V971" s="1917"/>
      <c r="W971" s="346"/>
    </row>
    <row r="972" spans="1:23" x14ac:dyDescent="0.2">
      <c r="A972" s="436"/>
      <c r="B972" s="345"/>
      <c r="C972" s="443" t="s">
        <v>544</v>
      </c>
      <c r="D972" s="334" t="s">
        <v>579</v>
      </c>
      <c r="E972" s="334">
        <f>CokingRefineryCalcs!F179</f>
        <v>0</v>
      </c>
      <c r="F972" s="334" t="str">
        <f ca="1">CokingRefineryCalcs!F205</f>
        <v/>
      </c>
      <c r="G972" s="397" t="str">
        <f ca="1">CokingRefineryCalcs!F928</f>
        <v/>
      </c>
      <c r="H972" s="334"/>
      <c r="I972" s="334"/>
      <c r="J972" s="334"/>
      <c r="K972" s="338"/>
      <c r="L972" s="1917"/>
      <c r="M972" s="1917"/>
      <c r="N972" s="1917"/>
      <c r="O972" s="1917"/>
      <c r="P972" s="1917"/>
      <c r="Q972" s="1969"/>
      <c r="R972" s="1917"/>
      <c r="S972" s="1917"/>
      <c r="T972" s="1917"/>
      <c r="U972" s="1917"/>
      <c r="V972" s="1917"/>
      <c r="W972" s="346"/>
    </row>
    <row r="973" spans="1:23" x14ac:dyDescent="0.2">
      <c r="A973" s="436"/>
      <c r="B973" s="345"/>
      <c r="C973" s="437"/>
      <c r="D973" s="1917"/>
      <c r="E973" s="1917"/>
      <c r="F973" s="1917"/>
      <c r="G973" s="1917"/>
      <c r="H973" s="1917"/>
      <c r="I973" s="1917"/>
      <c r="J973" s="1917"/>
      <c r="K973" s="1917"/>
      <c r="L973" s="1917"/>
      <c r="M973" s="1917"/>
      <c r="N973" s="1917"/>
      <c r="O973" s="1917"/>
      <c r="P973" s="1917"/>
      <c r="Q973" s="1969"/>
      <c r="R973" s="1917"/>
      <c r="S973" s="1917"/>
      <c r="T973" s="1917"/>
      <c r="U973" s="1917"/>
      <c r="V973" s="1917"/>
      <c r="W973" s="346"/>
    </row>
    <row r="974" spans="1:23" ht="26.25" x14ac:dyDescent="0.2">
      <c r="A974" s="436"/>
      <c r="B974" s="347"/>
      <c r="C974" s="438" t="s">
        <v>1519</v>
      </c>
      <c r="D974" s="347"/>
      <c r="E974" s="411"/>
      <c r="F974" s="1917"/>
      <c r="G974" s="1917"/>
      <c r="H974" s="1917"/>
      <c r="I974" s="1917"/>
      <c r="J974" s="1917"/>
      <c r="K974" s="1917"/>
      <c r="L974" s="1917"/>
      <c r="M974" s="1917"/>
      <c r="N974" s="1917"/>
      <c r="O974" s="1917"/>
      <c r="P974" s="1917"/>
      <c r="Q974" s="1969"/>
      <c r="R974" s="1917"/>
      <c r="S974" s="1917"/>
      <c r="T974" s="1917"/>
      <c r="U974" s="1917"/>
      <c r="V974" s="1917"/>
      <c r="W974" s="346"/>
    </row>
    <row r="975" spans="1:23" x14ac:dyDescent="0.2">
      <c r="A975" s="436"/>
      <c r="B975" s="345"/>
      <c r="C975" s="437"/>
      <c r="D975" s="1917"/>
      <c r="E975" s="1917"/>
      <c r="F975" s="1917"/>
      <c r="G975" s="1917"/>
      <c r="H975" s="1917"/>
      <c r="I975" s="1917"/>
      <c r="J975" s="1917"/>
      <c r="K975" s="1917"/>
      <c r="L975" s="1917"/>
      <c r="M975" s="1917"/>
      <c r="N975" s="1917"/>
      <c r="O975" s="1917"/>
      <c r="P975" s="1917"/>
      <c r="Q975" s="1969"/>
      <c r="R975" s="1917"/>
      <c r="S975" s="1917"/>
      <c r="T975" s="1917"/>
      <c r="U975" s="1917"/>
      <c r="V975" s="1917"/>
      <c r="W975" s="346"/>
    </row>
    <row r="976" spans="1:23" ht="12.75" customHeight="1" thickBot="1" x14ac:dyDescent="0.25">
      <c r="A976" s="436"/>
      <c r="B976" s="345"/>
      <c r="C976" s="454"/>
      <c r="D976" s="368"/>
      <c r="E976" s="368"/>
      <c r="F976" s="368"/>
      <c r="G976" s="368"/>
      <c r="H976" s="368"/>
      <c r="I976" s="368"/>
      <c r="J976" s="2452" t="s">
        <v>984</v>
      </c>
      <c r="K976" s="2452"/>
      <c r="L976" s="2452"/>
      <c r="M976" s="2453"/>
      <c r="N976" s="1917"/>
      <c r="O976" s="1917"/>
      <c r="P976" s="2454" t="s">
        <v>152</v>
      </c>
      <c r="Q976" s="2455"/>
      <c r="R976" s="2455"/>
      <c r="S976" s="2455"/>
      <c r="T976" s="2455"/>
      <c r="U976" s="2455"/>
      <c r="V976" s="1917"/>
      <c r="W976" s="346"/>
    </row>
    <row r="977" spans="1:23" ht="26.25" thickBot="1" x14ac:dyDescent="0.25">
      <c r="A977" s="436"/>
      <c r="B977" s="345"/>
      <c r="C977" s="453"/>
      <c r="D977" s="1917"/>
      <c r="E977" s="1917"/>
      <c r="F977" s="1917"/>
      <c r="G977" s="1917"/>
      <c r="H977" s="1917"/>
      <c r="I977" s="1917"/>
      <c r="J977" s="1917" t="s">
        <v>239</v>
      </c>
      <c r="K977" s="1917" t="s">
        <v>1433</v>
      </c>
      <c r="L977" s="2456" t="s">
        <v>158</v>
      </c>
      <c r="M977" s="2457"/>
      <c r="N977" s="2450" t="s">
        <v>1075</v>
      </c>
      <c r="O977" s="2451"/>
      <c r="P977" s="1917" t="s">
        <v>143</v>
      </c>
      <c r="Q977" s="1969"/>
      <c r="R977" s="1917" t="s">
        <v>1343</v>
      </c>
      <c r="S977" s="1911" t="s">
        <v>156</v>
      </c>
      <c r="T977" s="1911" t="s">
        <v>1434</v>
      </c>
      <c r="U977" s="388" t="s">
        <v>1435</v>
      </c>
      <c r="V977" s="1917"/>
      <c r="W977" s="1931" t="s">
        <v>1633</v>
      </c>
    </row>
    <row r="978" spans="1:23" ht="21.75" customHeight="1" x14ac:dyDescent="0.2">
      <c r="A978" s="436"/>
      <c r="B978" s="345"/>
      <c r="C978" s="453"/>
      <c r="D978" s="1917"/>
      <c r="E978" s="1911" t="s">
        <v>223</v>
      </c>
      <c r="F978" s="1911" t="s">
        <v>752</v>
      </c>
      <c r="G978" s="1911" t="s">
        <v>1015</v>
      </c>
      <c r="H978" s="1911" t="s">
        <v>663</v>
      </c>
      <c r="I978" s="1911" t="s">
        <v>146</v>
      </c>
      <c r="J978" s="1917" t="s">
        <v>147</v>
      </c>
      <c r="K978" s="1917" t="s">
        <v>146</v>
      </c>
      <c r="L978" s="1911" t="s">
        <v>622</v>
      </c>
      <c r="M978" s="1912" t="s">
        <v>1015</v>
      </c>
      <c r="N978" s="965" t="s">
        <v>1076</v>
      </c>
      <c r="O978" s="966" t="s">
        <v>1077</v>
      </c>
      <c r="P978" s="1917"/>
      <c r="Q978" s="1969"/>
      <c r="R978" s="1917"/>
      <c r="S978" s="1917" t="s">
        <v>622</v>
      </c>
      <c r="T978" s="1911" t="s">
        <v>146</v>
      </c>
      <c r="U978" s="388"/>
      <c r="V978" s="1917"/>
      <c r="W978" s="1932"/>
    </row>
    <row r="979" spans="1:23" x14ac:dyDescent="0.2">
      <c r="A979" s="436"/>
      <c r="B979" s="345"/>
      <c r="C979" s="453" t="s">
        <v>364</v>
      </c>
      <c r="D979" s="1917" t="s">
        <v>622</v>
      </c>
      <c r="E979" s="1917">
        <f ca="1">CokingRefineryCalcs!J130</f>
        <v>4314.1135318237602</v>
      </c>
      <c r="F979" s="1917">
        <f ca="1">IF(E979&lt;=0.0000001,0,J135)</f>
        <v>18.364315923905643</v>
      </c>
      <c r="G979" s="1917">
        <f t="shared" ref="G979:G988" ca="1" si="104">IF(E979&lt;=0.0000001,0,100-F979-H979)</f>
        <v>81.63568407609435</v>
      </c>
      <c r="H979" s="1917">
        <f ca="1">J131</f>
        <v>0</v>
      </c>
      <c r="I979" s="1917">
        <f t="shared" ref="I979:I988" ca="1" si="105">E979*H979/100</f>
        <v>0</v>
      </c>
      <c r="J979" s="1917">
        <f t="shared" ref="J979:J988" ca="1" si="106">34/32*I979</f>
        <v>0</v>
      </c>
      <c r="K979" s="1917">
        <f t="shared" ref="K979:K988" ca="1" si="107">J979*($H$1006/100)*32/34</f>
        <v>0</v>
      </c>
      <c r="L979" s="1917">
        <f t="shared" ref="L979:L988" ca="1" si="108">E979-J979</f>
        <v>4314.1135318237602</v>
      </c>
      <c r="M979" s="337">
        <f t="shared" ref="M979:M988" ca="1" si="109">IF(OR(G979=0,L979=0),0,E979*G979/L979)</f>
        <v>81.63568407609435</v>
      </c>
      <c r="N979" s="1917">
        <f t="shared" ref="N979:N988" ca="1" si="110">L979*M979/100</f>
        <v>3521.856093523681</v>
      </c>
      <c r="O979" s="346">
        <f t="shared" ref="O979:O988" ca="1" si="111">+N979*(44/12)</f>
        <v>12913.472342920164</v>
      </c>
      <c r="P979" s="1917">
        <f t="shared" ref="P979:P988" ca="1" si="112">J979-K979</f>
        <v>0</v>
      </c>
      <c r="Q979" s="1969"/>
      <c r="R979" s="1917">
        <f t="shared" ref="R979:R988" ca="1" si="113">P979*$H$1008</f>
        <v>0</v>
      </c>
      <c r="S979" s="1917">
        <f t="shared" ref="S979:S988" ca="1" si="114">P979*$H$1009</f>
        <v>0</v>
      </c>
      <c r="T979" s="1917">
        <f t="shared" ref="T979:T988" ca="1" si="115">R979+K979</f>
        <v>0</v>
      </c>
      <c r="U979" s="414">
        <f t="shared" ref="U979:U988" ca="1" si="116">T979/$T$990</f>
        <v>0</v>
      </c>
      <c r="V979" s="1917"/>
      <c r="W979" s="346"/>
    </row>
    <row r="980" spans="1:23" x14ac:dyDescent="0.2">
      <c r="A980" s="436"/>
      <c r="B980" s="345"/>
      <c r="C980" s="453" t="s">
        <v>365</v>
      </c>
      <c r="D980" s="1917" t="s">
        <v>622</v>
      </c>
      <c r="E980" s="1917">
        <f ca="1">CokingRefineryCalcs!H258</f>
        <v>9696.9447453418234</v>
      </c>
      <c r="F980" s="1917">
        <f ca="1">IF(E980&lt;=0.0000001,0,CokingRefineryCalcs!H263)</f>
        <v>15.052106605583376</v>
      </c>
      <c r="G980" s="1917">
        <f t="shared" ca="1" si="104"/>
        <v>60.853455976822062</v>
      </c>
      <c r="H980" s="1917">
        <f ca="1">H259</f>
        <v>24.094437417594566</v>
      </c>
      <c r="I980" s="1917">
        <f t="shared" ca="1" si="105"/>
        <v>2336.4242830851103</v>
      </c>
      <c r="J980" s="1917">
        <f t="shared" ca="1" si="106"/>
        <v>2482.4508007779295</v>
      </c>
      <c r="K980" s="1917">
        <f t="shared" ca="1" si="107"/>
        <v>1980.8205071995565</v>
      </c>
      <c r="L980" s="1917">
        <f t="shared" ca="1" si="108"/>
        <v>7214.4939445638938</v>
      </c>
      <c r="M980" s="337">
        <f t="shared" ca="1" si="109"/>
        <v>81.792653054337677</v>
      </c>
      <c r="N980" s="1917">
        <f t="shared" ca="1" si="110"/>
        <v>5900.9260017033466</v>
      </c>
      <c r="O980" s="346">
        <f t="shared" ca="1" si="111"/>
        <v>21636.728672912272</v>
      </c>
      <c r="P980" s="1917">
        <f t="shared" ca="1" si="112"/>
        <v>501.63029357837308</v>
      </c>
      <c r="Q980" s="1969"/>
      <c r="R980" s="1917">
        <f t="shared" ca="1" si="113"/>
        <v>23.225482592678674</v>
      </c>
      <c r="S980" s="1917">
        <f t="shared" ca="1" si="114"/>
        <v>502.583391136172</v>
      </c>
      <c r="T980" s="1917">
        <f t="shared" ca="1" si="115"/>
        <v>2004.0459897922351</v>
      </c>
      <c r="U980" s="414">
        <f t="shared" ca="1" si="116"/>
        <v>0.46800299888260211</v>
      </c>
      <c r="V980" s="1917"/>
      <c r="W980" s="1933"/>
    </row>
    <row r="981" spans="1:23" x14ac:dyDescent="0.2">
      <c r="A981" s="436"/>
      <c r="B981" s="345"/>
      <c r="C981" s="453" t="s">
        <v>366</v>
      </c>
      <c r="D981" s="1917" t="s">
        <v>622</v>
      </c>
      <c r="E981" s="1917">
        <f ca="1">CokingRefineryCalcs!K316</f>
        <v>6337.361175245027</v>
      </c>
      <c r="F981" s="1917">
        <f ca="1">IF(E981&lt;=0.0000001,0,CokingRefineryCalcs!K321)</f>
        <v>12.71927929715414</v>
      </c>
      <c r="G981" s="1917">
        <f t="shared" ca="1" si="104"/>
        <v>45.372058208629277</v>
      </c>
      <c r="H981" s="1917">
        <f ca="1">K317</f>
        <v>41.908662494216578</v>
      </c>
      <c r="I981" s="1917">
        <f t="shared" ca="1" si="105"/>
        <v>2655.9033059729554</v>
      </c>
      <c r="J981" s="1917">
        <f t="shared" ca="1" si="106"/>
        <v>2821.8972625962651</v>
      </c>
      <c r="K981" s="1917">
        <f t="shared" ca="1" si="107"/>
        <v>2251.6748228038718</v>
      </c>
      <c r="L981" s="1917">
        <f t="shared" ca="1" si="108"/>
        <v>3515.4639126487618</v>
      </c>
      <c r="M981" s="337">
        <f t="shared" ca="1" si="109"/>
        <v>81.792653054337663</v>
      </c>
      <c r="N981" s="1917">
        <f t="shared" ca="1" si="110"/>
        <v>2875.3912013232457</v>
      </c>
      <c r="O981" s="346">
        <f t="shared" ca="1" si="111"/>
        <v>10543.101071518568</v>
      </c>
      <c r="P981" s="1917">
        <f t="shared" ca="1" si="112"/>
        <v>570.22243979239329</v>
      </c>
      <c r="Q981" s="1969"/>
      <c r="R981" s="1917">
        <f t="shared" ca="1" si="113"/>
        <v>26.401298962387809</v>
      </c>
      <c r="S981" s="1917">
        <f t="shared" ca="1" si="114"/>
        <v>571.30586242799882</v>
      </c>
      <c r="T981" s="1917">
        <f t="shared" ca="1" si="115"/>
        <v>2278.0761217662598</v>
      </c>
      <c r="U981" s="414">
        <f t="shared" ca="1" si="116"/>
        <v>0.53199700111671977</v>
      </c>
      <c r="V981" s="1917"/>
      <c r="W981" s="346"/>
    </row>
    <row r="982" spans="1:23" x14ac:dyDescent="0.2">
      <c r="A982" s="436"/>
      <c r="B982" s="345"/>
      <c r="C982" s="453" t="s">
        <v>488</v>
      </c>
      <c r="D982" s="1917" t="s">
        <v>622</v>
      </c>
      <c r="E982" s="1917">
        <f ca="1">H375</f>
        <v>4.01525055866854E-8</v>
      </c>
      <c r="F982" s="1917">
        <f ca="1">IF(E982&lt;=0.0000001,0,H376)</f>
        <v>0</v>
      </c>
      <c r="G982" s="1917">
        <f t="shared" ca="1" si="104"/>
        <v>0</v>
      </c>
      <c r="H982" s="1917">
        <f ca="1">H377</f>
        <v>8.4313001253205329</v>
      </c>
      <c r="I982" s="1917">
        <f t="shared" ca="1" si="105"/>
        <v>3.3853782538495398E-9</v>
      </c>
      <c r="J982" s="1917">
        <f t="shared" ca="1" si="106"/>
        <v>3.5969643947151362E-9</v>
      </c>
      <c r="K982" s="1917">
        <f t="shared" ca="1" si="107"/>
        <v>2.8701236836136401E-9</v>
      </c>
      <c r="L982" s="1917">
        <f t="shared" ca="1" si="108"/>
        <v>3.6555541191970266E-8</v>
      </c>
      <c r="M982" s="337">
        <f t="shared" ca="1" si="109"/>
        <v>0</v>
      </c>
      <c r="N982" s="1917">
        <f t="shared" ca="1" si="110"/>
        <v>0</v>
      </c>
      <c r="O982" s="346">
        <f t="shared" ca="1" si="111"/>
        <v>0</v>
      </c>
      <c r="P982" s="1917">
        <f t="shared" ca="1" si="112"/>
        <v>7.2684071110149604E-10</v>
      </c>
      <c r="Q982" s="1969"/>
      <c r="R982" s="1917">
        <f t="shared" ca="1" si="113"/>
        <v>3.365272492399927E-11</v>
      </c>
      <c r="S982" s="1917">
        <f t="shared" ca="1" si="114"/>
        <v>7.2822170845258885E-10</v>
      </c>
      <c r="T982" s="1917">
        <f t="shared" ca="1" si="115"/>
        <v>2.9037764085376394E-9</v>
      </c>
      <c r="U982" s="414">
        <f t="shared" ca="1" si="116"/>
        <v>6.7811620801230009E-13</v>
      </c>
      <c r="V982" s="1917"/>
      <c r="W982" s="346"/>
    </row>
    <row r="983" spans="1:23" x14ac:dyDescent="0.2">
      <c r="A983" s="436"/>
      <c r="B983" s="345"/>
      <c r="C983" s="453" t="s">
        <v>562</v>
      </c>
      <c r="D983" s="1917" t="s">
        <v>622</v>
      </c>
      <c r="E983" s="1917">
        <f ca="1">CokingRefineryCalcs!F847</f>
        <v>9.3585669599724856E-16</v>
      </c>
      <c r="F983" s="1917">
        <f ca="1">IF(E983&lt;=0.0000001,0,CokingRefineryCalcs!F852)</f>
        <v>0</v>
      </c>
      <c r="G983" s="1917">
        <f t="shared" ca="1" si="104"/>
        <v>0</v>
      </c>
      <c r="H983" s="1917">
        <f ca="1">F848</f>
        <v>0</v>
      </c>
      <c r="I983" s="1917">
        <f t="shared" ca="1" si="105"/>
        <v>0</v>
      </c>
      <c r="J983" s="1917">
        <f t="shared" ca="1" si="106"/>
        <v>0</v>
      </c>
      <c r="K983" s="1917">
        <f t="shared" ca="1" si="107"/>
        <v>0</v>
      </c>
      <c r="L983" s="1917">
        <f t="shared" ca="1" si="108"/>
        <v>9.3585669599724856E-16</v>
      </c>
      <c r="M983" s="337">
        <f t="shared" ca="1" si="109"/>
        <v>0</v>
      </c>
      <c r="N983" s="1917">
        <f t="shared" ca="1" si="110"/>
        <v>0</v>
      </c>
      <c r="O983" s="346">
        <f t="shared" ca="1" si="111"/>
        <v>0</v>
      </c>
      <c r="P983" s="1917">
        <f t="shared" ca="1" si="112"/>
        <v>0</v>
      </c>
      <c r="Q983" s="1969"/>
      <c r="R983" s="1917">
        <f t="shared" ca="1" si="113"/>
        <v>0</v>
      </c>
      <c r="S983" s="1917">
        <f t="shared" ca="1" si="114"/>
        <v>0</v>
      </c>
      <c r="T983" s="1917">
        <f t="shared" ca="1" si="115"/>
        <v>0</v>
      </c>
      <c r="U983" s="414">
        <f t="shared" ca="1" si="116"/>
        <v>0</v>
      </c>
      <c r="V983" s="1917"/>
      <c r="W983" s="346"/>
    </row>
    <row r="984" spans="1:23" x14ac:dyDescent="0.2">
      <c r="A984" s="436"/>
      <c r="B984" s="345"/>
      <c r="C984" s="453" t="s">
        <v>367</v>
      </c>
      <c r="D984" s="1917" t="s">
        <v>622</v>
      </c>
      <c r="E984" s="1917">
        <f ca="1">CokingRefineryCalcs!G922</f>
        <v>3.0004839823245577E-18</v>
      </c>
      <c r="F984" s="1917">
        <f ca="1">IF(E984&lt;=0.0000001,0,CokingRefineryCalcs!G927)</f>
        <v>0</v>
      </c>
      <c r="G984" s="1917">
        <f t="shared" ca="1" si="104"/>
        <v>0</v>
      </c>
      <c r="H984" s="1917">
        <f ca="1">G923</f>
        <v>0</v>
      </c>
      <c r="I984" s="1917">
        <f t="shared" ca="1" si="105"/>
        <v>0</v>
      </c>
      <c r="J984" s="1917">
        <f t="shared" ca="1" si="106"/>
        <v>0</v>
      </c>
      <c r="K984" s="1917">
        <f t="shared" ca="1" si="107"/>
        <v>0</v>
      </c>
      <c r="L984" s="1917">
        <f t="shared" ca="1" si="108"/>
        <v>3.0004839823245577E-18</v>
      </c>
      <c r="M984" s="337">
        <f t="shared" ca="1" si="109"/>
        <v>0</v>
      </c>
      <c r="N984" s="1917">
        <f t="shared" ca="1" si="110"/>
        <v>0</v>
      </c>
      <c r="O984" s="346">
        <f t="shared" ca="1" si="111"/>
        <v>0</v>
      </c>
      <c r="P984" s="1917">
        <f t="shared" ca="1" si="112"/>
        <v>0</v>
      </c>
      <c r="Q984" s="1969"/>
      <c r="R984" s="1917">
        <f t="shared" ca="1" si="113"/>
        <v>0</v>
      </c>
      <c r="S984" s="1917">
        <f t="shared" ca="1" si="114"/>
        <v>0</v>
      </c>
      <c r="T984" s="1917">
        <f t="shared" ca="1" si="115"/>
        <v>0</v>
      </c>
      <c r="U984" s="414">
        <f t="shared" ca="1" si="116"/>
        <v>0</v>
      </c>
      <c r="V984" s="1917"/>
      <c r="W984" s="346"/>
    </row>
    <row r="985" spans="1:23" x14ac:dyDescent="0.2">
      <c r="A985" s="436"/>
      <c r="B985" s="345"/>
      <c r="C985" s="453" t="s">
        <v>368</v>
      </c>
      <c r="D985" s="1917" t="s">
        <v>622</v>
      </c>
      <c r="E985" s="1917">
        <f ca="1">CokingRefineryCalcs!K646</f>
        <v>5.1664320492357097E-17</v>
      </c>
      <c r="F985" s="1917">
        <f ca="1">IF(E985&lt;=0.0000001,0,CokingRefineryCalcs!K651)</f>
        <v>0</v>
      </c>
      <c r="G985" s="1917">
        <f t="shared" ca="1" si="104"/>
        <v>0</v>
      </c>
      <c r="H985" s="1917">
        <f ca="1">K647</f>
        <v>0</v>
      </c>
      <c r="I985" s="1917">
        <f t="shared" ca="1" si="105"/>
        <v>0</v>
      </c>
      <c r="J985" s="1917">
        <f t="shared" ca="1" si="106"/>
        <v>0</v>
      </c>
      <c r="K985" s="1917">
        <f t="shared" ca="1" si="107"/>
        <v>0</v>
      </c>
      <c r="L985" s="1917">
        <f t="shared" ca="1" si="108"/>
        <v>5.1664320492357097E-17</v>
      </c>
      <c r="M985" s="337">
        <f t="shared" ca="1" si="109"/>
        <v>0</v>
      </c>
      <c r="N985" s="1917">
        <f t="shared" ca="1" si="110"/>
        <v>0</v>
      </c>
      <c r="O985" s="346">
        <f t="shared" ca="1" si="111"/>
        <v>0</v>
      </c>
      <c r="P985" s="1917">
        <f t="shared" ca="1" si="112"/>
        <v>0</v>
      </c>
      <c r="Q985" s="1969"/>
      <c r="R985" s="1917">
        <f t="shared" ca="1" si="113"/>
        <v>0</v>
      </c>
      <c r="S985" s="1917">
        <f t="shared" ca="1" si="114"/>
        <v>0</v>
      </c>
      <c r="T985" s="1917">
        <f t="shared" ca="1" si="115"/>
        <v>0</v>
      </c>
      <c r="U985" s="414">
        <f t="shared" ca="1" si="116"/>
        <v>0</v>
      </c>
      <c r="V985" s="1917"/>
      <c r="W985" s="346"/>
    </row>
    <row r="986" spans="1:23" x14ac:dyDescent="0.2">
      <c r="A986" s="436"/>
      <c r="B986" s="345"/>
      <c r="C986" s="453" t="s">
        <v>373</v>
      </c>
      <c r="D986" s="1917" t="s">
        <v>622</v>
      </c>
      <c r="E986" s="1917">
        <f ca="1">CokingRefineryCalcs!F699</f>
        <v>9.4845461792606004E-16</v>
      </c>
      <c r="F986" s="1917">
        <f ca="1">IF(E986&lt;=0.0000001,0,CokingRefineryCalcs!F704)</f>
        <v>0</v>
      </c>
      <c r="G986" s="1917">
        <f t="shared" ca="1" si="104"/>
        <v>0</v>
      </c>
      <c r="H986" s="1917">
        <f ca="1">F700</f>
        <v>0</v>
      </c>
      <c r="I986" s="1917">
        <f t="shared" ca="1" si="105"/>
        <v>0</v>
      </c>
      <c r="J986" s="1917">
        <f t="shared" ca="1" si="106"/>
        <v>0</v>
      </c>
      <c r="K986" s="1917">
        <f t="shared" ca="1" si="107"/>
        <v>0</v>
      </c>
      <c r="L986" s="1917">
        <f t="shared" ca="1" si="108"/>
        <v>9.4845461792606004E-16</v>
      </c>
      <c r="M986" s="337">
        <f t="shared" ca="1" si="109"/>
        <v>0</v>
      </c>
      <c r="N986" s="1917">
        <f t="shared" ca="1" si="110"/>
        <v>0</v>
      </c>
      <c r="O986" s="346">
        <f t="shared" ca="1" si="111"/>
        <v>0</v>
      </c>
      <c r="P986" s="1917">
        <f t="shared" ca="1" si="112"/>
        <v>0</v>
      </c>
      <c r="Q986" s="1969"/>
      <c r="R986" s="1917">
        <f t="shared" ca="1" si="113"/>
        <v>0</v>
      </c>
      <c r="S986" s="1917">
        <f t="shared" ca="1" si="114"/>
        <v>0</v>
      </c>
      <c r="T986" s="1917">
        <f t="shared" ca="1" si="115"/>
        <v>0</v>
      </c>
      <c r="U986" s="414">
        <f t="shared" ca="1" si="116"/>
        <v>0</v>
      </c>
      <c r="V986" s="1917"/>
      <c r="W986" s="346"/>
    </row>
    <row r="987" spans="1:23" x14ac:dyDescent="0.2">
      <c r="A987" s="436"/>
      <c r="B987" s="345"/>
      <c r="C987" s="453" t="s">
        <v>369</v>
      </c>
      <c r="D987" s="1917" t="s">
        <v>622</v>
      </c>
      <c r="E987" s="1917">
        <f ca="1">CokingRefineryCalcs!H200</f>
        <v>219014.26865078407</v>
      </c>
      <c r="F987" s="1917">
        <f ca="1">IF(E987&lt;=0.0000001,0,CokingRefineryCalcs!H204)</f>
        <v>19.299794001723541</v>
      </c>
      <c r="G987" s="1917">
        <f t="shared" ca="1" si="104"/>
        <v>80.700205998276459</v>
      </c>
      <c r="H987" s="1917">
        <f>H201</f>
        <v>0</v>
      </c>
      <c r="I987" s="1917">
        <f t="shared" ca="1" si="105"/>
        <v>0</v>
      </c>
      <c r="J987" s="1917">
        <f t="shared" ca="1" si="106"/>
        <v>0</v>
      </c>
      <c r="K987" s="1917">
        <f t="shared" ca="1" si="107"/>
        <v>0</v>
      </c>
      <c r="L987" s="1917">
        <f t="shared" ca="1" si="108"/>
        <v>219014.26865078407</v>
      </c>
      <c r="M987" s="337">
        <f t="shared" ca="1" si="109"/>
        <v>80.700205998276473</v>
      </c>
      <c r="N987" s="1917">
        <f t="shared" ca="1" si="110"/>
        <v>176744.96596680139</v>
      </c>
      <c r="O987" s="346">
        <f t="shared" ca="1" si="111"/>
        <v>648064.8752116051</v>
      </c>
      <c r="P987" s="1917">
        <f t="shared" ca="1" si="112"/>
        <v>0</v>
      </c>
      <c r="Q987" s="1969"/>
      <c r="R987" s="1917">
        <f t="shared" ca="1" si="113"/>
        <v>0</v>
      </c>
      <c r="S987" s="1917">
        <f t="shared" ca="1" si="114"/>
        <v>0</v>
      </c>
      <c r="T987" s="1917">
        <f t="shared" ca="1" si="115"/>
        <v>0</v>
      </c>
      <c r="U987" s="414">
        <f t="shared" ca="1" si="116"/>
        <v>0</v>
      </c>
      <c r="V987" s="1917"/>
      <c r="W987" s="346"/>
    </row>
    <row r="988" spans="1:23" x14ac:dyDescent="0.2">
      <c r="A988" s="436"/>
      <c r="B988" s="345"/>
      <c r="C988" s="453" t="s">
        <v>370</v>
      </c>
      <c r="D988" s="1917" t="s">
        <v>622</v>
      </c>
      <c r="E988" s="1917">
        <f ca="1">CokingRefineryCalcs!G174</f>
        <v>8544.5148145949242</v>
      </c>
      <c r="F988" s="1917">
        <f ca="1">IF(E988&lt;=0.0000001,0,CokingRefineryCalcs!G178)</f>
        <v>17.507418662350211</v>
      </c>
      <c r="G988" s="1917">
        <f t="shared" ca="1" si="104"/>
        <v>82.492581337649796</v>
      </c>
      <c r="H988" s="1917">
        <f ca="1">G175</f>
        <v>0</v>
      </c>
      <c r="I988" s="1917">
        <f t="shared" ca="1" si="105"/>
        <v>0</v>
      </c>
      <c r="J988" s="1917">
        <f t="shared" ca="1" si="106"/>
        <v>0</v>
      </c>
      <c r="K988" s="1917">
        <f t="shared" ca="1" si="107"/>
        <v>0</v>
      </c>
      <c r="L988" s="1917">
        <f t="shared" ca="1" si="108"/>
        <v>8544.5148145949242</v>
      </c>
      <c r="M988" s="337">
        <f t="shared" ca="1" si="109"/>
        <v>82.492581337649796</v>
      </c>
      <c r="N988" s="1917">
        <f t="shared" ca="1" si="110"/>
        <v>7048.5908333372545</v>
      </c>
      <c r="O988" s="346">
        <f t="shared" ca="1" si="111"/>
        <v>25844.833055569932</v>
      </c>
      <c r="P988" s="1917">
        <f t="shared" ca="1" si="112"/>
        <v>0</v>
      </c>
      <c r="Q988" s="1969"/>
      <c r="R988" s="1917">
        <f t="shared" ca="1" si="113"/>
        <v>0</v>
      </c>
      <c r="S988" s="1917">
        <f t="shared" ca="1" si="114"/>
        <v>0</v>
      </c>
      <c r="T988" s="1917">
        <f t="shared" ca="1" si="115"/>
        <v>0</v>
      </c>
      <c r="U988" s="414">
        <f t="shared" ca="1" si="116"/>
        <v>0</v>
      </c>
      <c r="V988" s="1917"/>
      <c r="W988" s="346"/>
    </row>
    <row r="989" spans="1:23" x14ac:dyDescent="0.2">
      <c r="A989" s="436"/>
      <c r="B989" s="345"/>
      <c r="C989" s="453"/>
      <c r="D989" s="1917"/>
      <c r="E989" s="1917"/>
      <c r="F989" s="1917"/>
      <c r="G989" s="1917"/>
      <c r="H989" s="1917"/>
      <c r="I989" s="1917"/>
      <c r="J989" s="1917"/>
      <c r="K989" s="1917"/>
      <c r="L989" s="1917"/>
      <c r="M989" s="1912" t="s">
        <v>1074</v>
      </c>
      <c r="N989" s="1917"/>
      <c r="O989" s="346"/>
      <c r="P989" s="1917"/>
      <c r="Q989" s="1969"/>
      <c r="R989" s="1917"/>
      <c r="S989" s="1917"/>
      <c r="T989" s="1917"/>
      <c r="U989" s="1917"/>
      <c r="V989" s="1917"/>
      <c r="W989" s="346"/>
    </row>
    <row r="990" spans="1:23" ht="13.5" thickBot="1" x14ac:dyDescent="0.25">
      <c r="A990" s="436"/>
      <c r="B990" s="345"/>
      <c r="C990" s="453" t="s">
        <v>598</v>
      </c>
      <c r="D990" s="1917" t="s">
        <v>622</v>
      </c>
      <c r="E990" s="1917">
        <f ca="1">SUM(E979:E988)</f>
        <v>247907.20291782977</v>
      </c>
      <c r="F990" s="1917"/>
      <c r="G990" s="1917"/>
      <c r="H990" s="1917"/>
      <c r="I990" s="1917">
        <f ca="1">SUM(I979:I988)</f>
        <v>4992.3275890614514</v>
      </c>
      <c r="J990" s="1917">
        <f ca="1">SUM(J979:J988)</f>
        <v>5304.3480633777917</v>
      </c>
      <c r="K990" s="1917">
        <f ca="1">SUM(K979:K988)</f>
        <v>4232.4953300062989</v>
      </c>
      <c r="L990" s="1917">
        <f ca="1">SUM(L979:L988)</f>
        <v>242602.85485445199</v>
      </c>
      <c r="M990" s="337">
        <f ca="1">AVERAGE(M979:M988)</f>
        <v>40.84137775206959</v>
      </c>
      <c r="N990" s="1917">
        <f ca="1">SUM(N979:N988)</f>
        <v>196091.7300966889</v>
      </c>
      <c r="O990" s="346">
        <f ca="1">+N990*(44/12)</f>
        <v>719003.01035452599</v>
      </c>
      <c r="P990" s="1917">
        <f ca="1">SUM(P979:P988)</f>
        <v>1071.8527333714933</v>
      </c>
      <c r="Q990" s="1969"/>
      <c r="R990" s="1917">
        <f ca="1">SUM(R979:R988)</f>
        <v>49.626781555100138</v>
      </c>
      <c r="S990" s="1917">
        <f ca="1">SUM(S979:S988)</f>
        <v>1073.889253564899</v>
      </c>
      <c r="T990" s="1917">
        <f ca="1">SUM(T979:T988)</f>
        <v>4282.1221115613989</v>
      </c>
      <c r="U990" s="1917">
        <f ca="1">SUM(U979:U988)</f>
        <v>1</v>
      </c>
      <c r="V990" s="1917"/>
      <c r="W990" s="346"/>
    </row>
    <row r="991" spans="1:23" ht="12" customHeight="1" thickBot="1" x14ac:dyDescent="0.25">
      <c r="A991" s="436"/>
      <c r="B991" s="345"/>
      <c r="C991" s="442" t="s">
        <v>582</v>
      </c>
      <c r="D991" s="1917" t="s">
        <v>566</v>
      </c>
      <c r="E991" s="1917"/>
      <c r="F991" s="1917"/>
      <c r="G991" s="1917"/>
      <c r="H991" s="1917"/>
      <c r="I991" s="1917"/>
      <c r="J991" s="1917"/>
      <c r="K991" s="1917"/>
      <c r="L991" s="1917">
        <f>K997/'Energy &amp; Unit Conversions'!G80</f>
        <v>0</v>
      </c>
      <c r="M991" s="337">
        <f ca="1">AVERAGE(M980:M982,M985:M988)</f>
        <v>46.68258477780023</v>
      </c>
      <c r="N991" s="421" t="s">
        <v>1078</v>
      </c>
      <c r="O991" s="422">
        <f ca="1">O990/L990</f>
        <v>2.9637038310447221</v>
      </c>
      <c r="P991" s="1917"/>
      <c r="Q991" s="1969"/>
      <c r="R991" s="1917"/>
      <c r="S991" s="1917"/>
      <c r="T991" s="1917"/>
      <c r="U991" s="1917"/>
      <c r="V991" s="1917"/>
      <c r="W991" s="346"/>
    </row>
    <row r="992" spans="1:23" ht="12" customHeight="1" thickBot="1" x14ac:dyDescent="0.25">
      <c r="A992" s="436"/>
      <c r="B992" s="345"/>
      <c r="C992" s="443" t="s">
        <v>582</v>
      </c>
      <c r="D992" s="334" t="s">
        <v>628</v>
      </c>
      <c r="E992" s="334"/>
      <c r="F992" s="334"/>
      <c r="G992" s="334"/>
      <c r="H992" s="334"/>
      <c r="I992" s="334"/>
      <c r="J992" s="334"/>
      <c r="K992" s="334"/>
      <c r="L992" s="334"/>
      <c r="M992" s="338"/>
      <c r="N992" s="421" t="s">
        <v>1089</v>
      </c>
      <c r="O992" s="423">
        <f ca="1">N990/L990</f>
        <v>0.80828286301219687</v>
      </c>
      <c r="P992" s="1917"/>
      <c r="Q992" s="1969"/>
      <c r="R992" s="1917"/>
      <c r="S992" s="1917"/>
      <c r="T992" s="1917"/>
      <c r="U992" s="1917"/>
      <c r="V992" s="1917"/>
      <c r="W992" s="346"/>
    </row>
    <row r="993" spans="1:23" ht="12" customHeight="1" x14ac:dyDescent="0.2">
      <c r="A993" s="436"/>
      <c r="B993" s="345"/>
      <c r="C993" s="444"/>
      <c r="D993" s="1917"/>
      <c r="E993" s="1917"/>
      <c r="F993" s="1917"/>
      <c r="G993" s="1917"/>
      <c r="H993" s="1917"/>
      <c r="I993" s="1917"/>
      <c r="J993" s="1917"/>
      <c r="K993" s="1917"/>
      <c r="L993" s="1917"/>
      <c r="M993" s="1917"/>
      <c r="N993" s="1917"/>
      <c r="O993" s="1917"/>
      <c r="P993" s="1917"/>
      <c r="Q993" s="1969"/>
      <c r="R993" s="1917"/>
      <c r="S993" s="1917"/>
      <c r="T993" s="1917"/>
      <c r="U993" s="1917"/>
      <c r="V993" s="1917"/>
      <c r="W993" s="346"/>
    </row>
    <row r="994" spans="1:23" ht="12" customHeight="1" x14ac:dyDescent="0.2">
      <c r="A994" s="436"/>
      <c r="B994" s="345"/>
      <c r="C994" s="440" t="s">
        <v>992</v>
      </c>
      <c r="D994" s="1917"/>
      <c r="E994" s="1917"/>
      <c r="F994" s="1917"/>
      <c r="G994" s="1917"/>
      <c r="H994" s="1917"/>
      <c r="I994" s="1917"/>
      <c r="J994" s="1917"/>
      <c r="K994" s="1917"/>
      <c r="L994" s="1917"/>
      <c r="M994" s="1917"/>
      <c r="N994" s="1917"/>
      <c r="O994" s="1917"/>
      <c r="P994" s="1917"/>
      <c r="Q994" s="1969"/>
      <c r="R994" s="1917"/>
      <c r="S994" s="1917"/>
      <c r="T994" s="1917"/>
      <c r="U994" s="1917"/>
      <c r="V994" s="1917"/>
      <c r="W994" s="346"/>
    </row>
    <row r="995" spans="1:23" ht="12" customHeight="1" x14ac:dyDescent="0.2">
      <c r="A995" s="436"/>
      <c r="B995" s="345"/>
      <c r="C995" s="454" t="s">
        <v>994</v>
      </c>
      <c r="D995" s="368">
        <f ca="1">J990/34.08</f>
        <v>155.64401594418405</v>
      </c>
      <c r="E995" s="369"/>
      <c r="F995" s="1917"/>
      <c r="G995" s="1917"/>
      <c r="H995" s="1917"/>
      <c r="I995" s="1917"/>
      <c r="J995" s="1917"/>
      <c r="K995" s="1917"/>
      <c r="L995" s="1917"/>
      <c r="M995" s="1917"/>
      <c r="N995" s="1917"/>
      <c r="O995" s="1917"/>
      <c r="P995" s="1917"/>
      <c r="Q995" s="1969"/>
      <c r="R995" s="1917"/>
      <c r="S995" s="1917"/>
      <c r="T995" s="1917"/>
      <c r="U995" s="1917"/>
      <c r="V995" s="1917"/>
      <c r="W995" s="346"/>
    </row>
    <row r="996" spans="1:23" ht="12" customHeight="1" x14ac:dyDescent="0.2">
      <c r="A996" s="436"/>
      <c r="B996" s="345"/>
      <c r="C996" s="453" t="s">
        <v>995</v>
      </c>
      <c r="D996" s="913">
        <v>1</v>
      </c>
      <c r="E996" s="337"/>
      <c r="F996" s="1917"/>
      <c r="G996" s="1917"/>
      <c r="H996" s="1917"/>
      <c r="I996" s="1917"/>
      <c r="J996" s="1917"/>
      <c r="K996" s="1917"/>
      <c r="L996" s="1917"/>
      <c r="M996" s="1917"/>
      <c r="N996" s="1917"/>
      <c r="O996" s="1917"/>
      <c r="P996" s="1917"/>
      <c r="Q996" s="1969"/>
      <c r="R996" s="1917"/>
      <c r="S996" s="1917"/>
      <c r="T996" s="1917"/>
      <c r="U996" s="1917"/>
      <c r="V996" s="1917"/>
      <c r="W996" s="346"/>
    </row>
    <row r="997" spans="1:23" ht="12" customHeight="1" x14ac:dyDescent="0.2">
      <c r="A997" s="436"/>
      <c r="B997" s="345"/>
      <c r="C997" s="442" t="s">
        <v>996</v>
      </c>
      <c r="D997" s="1917">
        <v>3</v>
      </c>
      <c r="E997" s="337" t="s">
        <v>997</v>
      </c>
      <c r="F997" s="1917"/>
      <c r="G997" s="1917"/>
      <c r="H997" s="1917"/>
      <c r="I997" s="1917"/>
      <c r="J997" s="1917"/>
      <c r="K997" s="1917"/>
      <c r="L997" s="1917"/>
      <c r="M997" s="1917"/>
      <c r="N997" s="1917"/>
      <c r="O997" s="1917"/>
      <c r="P997" s="1917"/>
      <c r="Q997" s="1969"/>
      <c r="R997" s="1917"/>
      <c r="S997" s="1917"/>
      <c r="T997" s="1917"/>
      <c r="U997" s="1917"/>
      <c r="V997" s="1917"/>
      <c r="W997" s="346"/>
    </row>
    <row r="998" spans="1:23" x14ac:dyDescent="0.2">
      <c r="A998" s="436"/>
      <c r="B998" s="345"/>
      <c r="C998" s="442" t="s">
        <v>998</v>
      </c>
      <c r="D998" s="1917">
        <f ca="1">D995*D996*D997</f>
        <v>466.93204783255214</v>
      </c>
      <c r="E998" s="337" t="s">
        <v>999</v>
      </c>
      <c r="F998" s="1917"/>
      <c r="G998" s="1917"/>
      <c r="H998" s="1917"/>
      <c r="I998" s="1917"/>
      <c r="J998" s="1917"/>
      <c r="K998" s="1917"/>
      <c r="L998" s="1917"/>
      <c r="M998" s="1917"/>
      <c r="N998" s="1917"/>
      <c r="O998" s="1917"/>
      <c r="P998" s="1917"/>
      <c r="Q998" s="1969"/>
      <c r="R998" s="1917"/>
      <c r="S998" s="1917"/>
      <c r="T998" s="1917"/>
      <c r="U998" s="1917"/>
      <c r="V998" s="1917"/>
      <c r="W998" s="346"/>
    </row>
    <row r="999" spans="1:23" x14ac:dyDescent="0.2">
      <c r="A999" s="436"/>
      <c r="B999" s="345"/>
      <c r="C999" s="453" t="s">
        <v>1000</v>
      </c>
      <c r="D999" s="913">
        <v>0.2</v>
      </c>
      <c r="E999" s="337" t="s">
        <v>1001</v>
      </c>
      <c r="F999" s="1917"/>
      <c r="G999" s="1917"/>
      <c r="H999" s="1917"/>
      <c r="I999" s="1917"/>
      <c r="J999" s="1917"/>
      <c r="K999" s="1917"/>
      <c r="L999" s="1917"/>
      <c r="M999" s="1917"/>
      <c r="N999" s="1917"/>
      <c r="O999" s="1917"/>
      <c r="P999" s="1917"/>
      <c r="Q999" s="1969"/>
      <c r="R999" s="1917"/>
      <c r="S999" s="1917"/>
      <c r="T999" s="1917"/>
      <c r="U999" s="1917"/>
      <c r="V999" s="1917"/>
      <c r="W999" s="346"/>
    </row>
    <row r="1000" spans="1:23" x14ac:dyDescent="0.2">
      <c r="A1000" s="436"/>
      <c r="B1000" s="345"/>
      <c r="C1000" s="453" t="s">
        <v>1000</v>
      </c>
      <c r="D1000" s="1917">
        <f ca="1">D998*61.1/D999</f>
        <v>142647.74061284467</v>
      </c>
      <c r="E1000" s="337" t="s">
        <v>622</v>
      </c>
      <c r="F1000" s="1917"/>
      <c r="G1000" s="1917"/>
      <c r="H1000" s="1917"/>
      <c r="I1000" s="1917"/>
      <c r="J1000" s="1917"/>
      <c r="K1000" s="1917"/>
      <c r="L1000" s="1917"/>
      <c r="M1000" s="1917"/>
      <c r="N1000" s="1917"/>
      <c r="O1000" s="1917"/>
      <c r="P1000" s="1917"/>
      <c r="Q1000" s="1969"/>
      <c r="R1000" s="1917"/>
      <c r="S1000" s="1917"/>
      <c r="T1000" s="1917"/>
      <c r="U1000" s="1917"/>
      <c r="V1000" s="1917"/>
      <c r="W1000" s="346"/>
    </row>
    <row r="1001" spans="1:23" x14ac:dyDescent="0.2">
      <c r="A1001" s="436"/>
      <c r="B1001" s="345"/>
      <c r="C1001" s="453" t="s">
        <v>1003</v>
      </c>
      <c r="D1001" s="1917">
        <f>8.45*'Energy &amp; Unit Conversions'!G79/'Energy &amp; Unit Conversions'!G83</f>
        <v>1012.5332530514512</v>
      </c>
      <c r="E1001" s="337" t="s">
        <v>835</v>
      </c>
      <c r="F1001" s="1917"/>
      <c r="G1001" s="1917"/>
      <c r="H1001" s="1917"/>
      <c r="I1001" s="1917"/>
      <c r="J1001" s="1917"/>
      <c r="K1001" s="1917"/>
      <c r="L1001" s="1917"/>
      <c r="M1001" s="1917"/>
      <c r="N1001" s="1917"/>
      <c r="O1001" s="1917"/>
      <c r="P1001" s="1917"/>
      <c r="Q1001" s="1969"/>
      <c r="R1001" s="1917"/>
      <c r="S1001" s="1917"/>
      <c r="T1001" s="1917"/>
      <c r="U1001" s="1917"/>
      <c r="V1001" s="1917"/>
      <c r="W1001" s="346"/>
    </row>
    <row r="1002" spans="1:23" x14ac:dyDescent="0.2">
      <c r="A1002" s="436"/>
      <c r="B1002" s="345"/>
      <c r="C1002" s="453" t="s">
        <v>1004</v>
      </c>
      <c r="D1002" s="1917">
        <f>'Energy &amp; Unit Conversions'!E52</f>
        <v>998.2</v>
      </c>
      <c r="E1002" s="337" t="s">
        <v>835</v>
      </c>
      <c r="F1002" s="1917"/>
      <c r="G1002" s="1917"/>
      <c r="H1002" s="1917"/>
      <c r="I1002" s="1917"/>
      <c r="J1002" s="1917"/>
      <c r="K1002" s="1917"/>
      <c r="L1002" s="1917"/>
      <c r="M1002" s="1917"/>
      <c r="N1002" s="1917"/>
      <c r="O1002" s="1917"/>
      <c r="P1002" s="1917"/>
      <c r="Q1002" s="1969"/>
      <c r="R1002" s="1917"/>
      <c r="S1002" s="1917"/>
      <c r="T1002" s="1917"/>
      <c r="U1002" s="1917"/>
      <c r="V1002" s="1917"/>
      <c r="W1002" s="346"/>
    </row>
    <row r="1003" spans="1:23" ht="15" customHeight="1" x14ac:dyDescent="0.2">
      <c r="A1003" s="436"/>
      <c r="B1003" s="345"/>
      <c r="C1003" s="452" t="s">
        <v>1002</v>
      </c>
      <c r="D1003" s="334">
        <f ca="1">D1000*((D999/D1001)+(1-D999)/D1002)</f>
        <v>142.50038174134042</v>
      </c>
      <c r="E1003" s="338" t="s">
        <v>1005</v>
      </c>
      <c r="F1003" s="1917"/>
      <c r="G1003" s="2283" t="s">
        <v>1357</v>
      </c>
      <c r="H1003" s="2284"/>
      <c r="I1003" s="2284"/>
      <c r="J1003" s="1917"/>
      <c r="K1003" s="1917"/>
      <c r="L1003" s="1917"/>
      <c r="M1003" s="1917"/>
      <c r="N1003" s="1917"/>
      <c r="O1003" s="1917"/>
      <c r="P1003" s="1917"/>
      <c r="Q1003" s="1969"/>
      <c r="R1003" s="1917"/>
      <c r="S1003" s="1917"/>
      <c r="T1003" s="1917"/>
      <c r="U1003" s="1917"/>
      <c r="V1003" s="1917"/>
      <c r="W1003" s="346"/>
    </row>
    <row r="1004" spans="1:23" x14ac:dyDescent="0.2">
      <c r="A1004" s="436"/>
      <c r="B1004" s="345"/>
      <c r="C1004" s="437"/>
      <c r="D1004" s="1917"/>
      <c r="E1004" s="1917"/>
      <c r="F1004" s="1917"/>
      <c r="G1004" s="1917"/>
      <c r="H1004" s="1917"/>
      <c r="I1004" s="1917"/>
      <c r="J1004" s="1917"/>
      <c r="K1004" s="1917"/>
      <c r="L1004" s="1917"/>
      <c r="M1004" s="1917"/>
      <c r="N1004" s="1917"/>
      <c r="O1004" s="1917"/>
      <c r="P1004" s="1917"/>
      <c r="Q1004" s="1969"/>
      <c r="R1004" s="1917"/>
      <c r="S1004" s="1917"/>
      <c r="T1004" s="1917"/>
      <c r="U1004" s="1917"/>
      <c r="V1004" s="1917"/>
      <c r="W1004" s="346"/>
    </row>
    <row r="1005" spans="1:23" x14ac:dyDescent="0.2">
      <c r="A1005" s="436"/>
      <c r="B1005" s="345"/>
      <c r="C1005" s="440" t="s">
        <v>1303</v>
      </c>
      <c r="D1005" s="360"/>
      <c r="E1005" s="1917"/>
      <c r="F1005" s="1917"/>
      <c r="G1005" s="440" t="s">
        <v>1436</v>
      </c>
      <c r="H1005" s="1917"/>
      <c r="I1005" s="1917"/>
      <c r="J1005" s="1917"/>
      <c r="K1005" s="1917"/>
      <c r="L1005" s="1917"/>
      <c r="M1005" s="1917"/>
      <c r="N1005" s="1917"/>
      <c r="O1005" s="1917"/>
      <c r="P1005" s="1917"/>
      <c r="Q1005" s="1969"/>
      <c r="R1005" s="1917"/>
      <c r="S1005" s="1917"/>
      <c r="T1005" s="1917"/>
      <c r="U1005" s="1917"/>
      <c r="V1005" s="1917"/>
      <c r="W1005" s="346"/>
    </row>
    <row r="1006" spans="1:23" x14ac:dyDescent="0.2">
      <c r="A1006" s="436"/>
      <c r="B1006" s="345"/>
      <c r="C1006" s="449"/>
      <c r="D1006" s="1918" t="s">
        <v>624</v>
      </c>
      <c r="E1006" s="1919" t="s">
        <v>623</v>
      </c>
      <c r="F1006" s="1917"/>
      <c r="G1006" s="454" t="s">
        <v>1437</v>
      </c>
      <c r="H1006" s="913">
        <v>84.78</v>
      </c>
      <c r="I1006" s="369" t="s">
        <v>1438</v>
      </c>
      <c r="J1006" s="1917"/>
      <c r="K1006" s="1917"/>
      <c r="L1006" s="1917"/>
      <c r="M1006" s="1917"/>
      <c r="N1006" s="1917"/>
      <c r="O1006" s="1917"/>
      <c r="P1006" s="1917"/>
      <c r="Q1006" s="1969"/>
      <c r="R1006" s="1917"/>
      <c r="S1006" s="1917"/>
      <c r="T1006" s="1917"/>
      <c r="U1006" s="1917"/>
      <c r="V1006" s="1917"/>
      <c r="W1006" s="346"/>
    </row>
    <row r="1007" spans="1:23" ht="19.5" customHeight="1" x14ac:dyDescent="0.2">
      <c r="A1007" s="436"/>
      <c r="B1007" s="345"/>
      <c r="C1007" s="442" t="str">
        <f>J976</f>
        <v>Amine Treatment (Acid Gas Removal)</v>
      </c>
      <c r="D1007" s="1911"/>
      <c r="E1007" s="1912"/>
      <c r="F1007" s="1917"/>
      <c r="G1007" s="453" t="s">
        <v>149</v>
      </c>
      <c r="H1007" s="1917">
        <f>H1008+H1009</f>
        <v>1.0482</v>
      </c>
      <c r="I1007" s="337" t="s">
        <v>151</v>
      </c>
      <c r="J1007" s="1917"/>
      <c r="K1007" s="1917"/>
      <c r="L1007" s="1917"/>
      <c r="M1007" s="1917"/>
      <c r="N1007" s="1917"/>
      <c r="O1007" s="1917"/>
      <c r="P1007" s="1917"/>
      <c r="Q1007" s="1969"/>
      <c r="R1007" s="1917"/>
      <c r="S1007" s="1917"/>
      <c r="T1007" s="1917"/>
      <c r="U1007" s="1917"/>
      <c r="V1007" s="1917"/>
      <c r="W1007" s="346"/>
    </row>
    <row r="1008" spans="1:23" x14ac:dyDescent="0.2">
      <c r="A1008" s="436"/>
      <c r="B1008" s="345"/>
      <c r="C1008" s="453" t="s">
        <v>451</v>
      </c>
      <c r="D1008" s="913">
        <v>2.64</v>
      </c>
      <c r="E1008" s="337" t="s">
        <v>1006</v>
      </c>
      <c r="F1008" s="1917"/>
      <c r="G1008" s="453" t="s">
        <v>1343</v>
      </c>
      <c r="H1008" s="913">
        <v>4.6300000000000001E-2</v>
      </c>
      <c r="I1008" s="337"/>
      <c r="J1008" s="1917"/>
      <c r="K1008" s="1917"/>
      <c r="L1008" s="1917"/>
      <c r="M1008" s="1917"/>
      <c r="N1008" s="1917"/>
      <c r="O1008" s="1917"/>
      <c r="P1008" s="1917"/>
      <c r="Q1008" s="1969"/>
      <c r="R1008" s="1917"/>
      <c r="S1008" s="1917"/>
      <c r="T1008" s="1917"/>
      <c r="U1008" s="1917"/>
      <c r="V1008" s="1917"/>
      <c r="W1008" s="346"/>
    </row>
    <row r="1009" spans="1:23" x14ac:dyDescent="0.2">
      <c r="A1009" s="436"/>
      <c r="B1009" s="345"/>
      <c r="C1009" s="453" t="s">
        <v>452</v>
      </c>
      <c r="D1009" s="1917">
        <f ca="1">D1008*D1003</f>
        <v>376.20100779713874</v>
      </c>
      <c r="E1009" s="337" t="s">
        <v>627</v>
      </c>
      <c r="F1009" s="1917"/>
      <c r="G1009" s="453" t="s">
        <v>150</v>
      </c>
      <c r="H1009" s="913">
        <v>1.0019</v>
      </c>
      <c r="I1009" s="337"/>
      <c r="J1009" s="1917"/>
      <c r="K1009" s="1917"/>
      <c r="L1009" s="1917"/>
      <c r="M1009" s="1917"/>
      <c r="N1009" s="1917"/>
      <c r="O1009" s="1917"/>
      <c r="P1009" s="1917"/>
      <c r="Q1009" s="1969"/>
      <c r="R1009" s="1917"/>
      <c r="S1009" s="1917"/>
      <c r="T1009" s="1917"/>
      <c r="U1009" s="1917"/>
      <c r="V1009" s="1917"/>
      <c r="W1009" s="346"/>
    </row>
    <row r="1010" spans="1:23" x14ac:dyDescent="0.2">
      <c r="A1010" s="436"/>
      <c r="B1010" s="345"/>
      <c r="C1010" s="453" t="s">
        <v>176</v>
      </c>
      <c r="D1010" s="913">
        <v>280</v>
      </c>
      <c r="E1010" s="337" t="s">
        <v>1007</v>
      </c>
      <c r="F1010" s="1917"/>
      <c r="G1010" s="453" t="s">
        <v>47</v>
      </c>
      <c r="H1010" s="1917">
        <f ca="1">R990/(I990)*100</f>
        <v>0.99406099999999975</v>
      </c>
      <c r="I1010" s="337"/>
      <c r="J1010" s="1917"/>
      <c r="K1010" s="1917"/>
      <c r="L1010" s="1917"/>
      <c r="M1010" s="1917"/>
      <c r="N1010" s="1917"/>
      <c r="O1010" s="1917"/>
      <c r="P1010" s="1917"/>
      <c r="Q1010" s="1969"/>
      <c r="R1010" s="1917"/>
      <c r="S1010" s="1917"/>
      <c r="T1010" s="1917"/>
      <c r="U1010" s="1917"/>
      <c r="V1010" s="1917"/>
      <c r="W1010" s="346"/>
    </row>
    <row r="1011" spans="1:23" ht="15" customHeight="1" x14ac:dyDescent="0.2">
      <c r="A1011" s="436"/>
      <c r="B1011" s="345"/>
      <c r="C1011" s="453" t="s">
        <v>1008</v>
      </c>
      <c r="D1011" s="1917">
        <f ca="1">D1010*D1003</f>
        <v>39900.106887575319</v>
      </c>
      <c r="E1011" s="337" t="s">
        <v>522</v>
      </c>
      <c r="F1011" s="1917"/>
      <c r="G1011" s="453" t="s">
        <v>144</v>
      </c>
      <c r="H1011" s="1917">
        <v>1500</v>
      </c>
      <c r="I1011" s="337" t="s">
        <v>238</v>
      </c>
      <c r="J1011" s="1917"/>
      <c r="K1011" s="1917"/>
      <c r="L1011" s="1917"/>
      <c r="M1011" s="1917"/>
      <c r="N1011" s="1917"/>
      <c r="O1011" s="1917"/>
      <c r="P1011" s="1917"/>
      <c r="Q1011" s="1969"/>
      <c r="R1011" s="1917"/>
      <c r="S1011" s="1917"/>
      <c r="T1011" s="1917"/>
      <c r="U1011" s="1917"/>
      <c r="V1011" s="1917"/>
      <c r="W1011" s="346"/>
    </row>
    <row r="1012" spans="1:23" x14ac:dyDescent="0.2">
      <c r="A1012" s="436"/>
      <c r="B1012" s="345"/>
      <c r="C1012" s="453"/>
      <c r="D1012" s="1917"/>
      <c r="E1012" s="337"/>
      <c r="F1012" s="1917"/>
      <c r="G1012" s="453" t="s">
        <v>235</v>
      </c>
      <c r="H1012" s="1917"/>
      <c r="I1012" s="337"/>
      <c r="J1012" s="1917"/>
      <c r="K1012" s="1917"/>
      <c r="L1012" s="1917"/>
      <c r="M1012" s="1917"/>
      <c r="N1012" s="1917"/>
      <c r="O1012" s="1917"/>
      <c r="P1012" s="1917"/>
      <c r="Q1012" s="1969"/>
      <c r="R1012" s="1917"/>
      <c r="S1012" s="1917"/>
      <c r="T1012" s="1917"/>
      <c r="U1012" s="1917"/>
      <c r="V1012" s="1917"/>
      <c r="W1012" s="346"/>
    </row>
    <row r="1013" spans="1:23" ht="19.5" customHeight="1" x14ac:dyDescent="0.2">
      <c r="A1013" s="436"/>
      <c r="B1013" s="345"/>
      <c r="C1013" s="442" t="str">
        <f>K977</f>
        <v>Claus Sulphur recovery</v>
      </c>
      <c r="D1013" s="1917"/>
      <c r="E1013" s="337"/>
      <c r="F1013" s="1917"/>
      <c r="G1013" s="452" t="s">
        <v>237</v>
      </c>
      <c r="H1013" s="913">
        <v>150</v>
      </c>
      <c r="I1013" s="338" t="s">
        <v>238</v>
      </c>
      <c r="J1013" s="1917"/>
      <c r="K1013" s="2283" t="s">
        <v>1358</v>
      </c>
      <c r="L1013" s="2284"/>
      <c r="M1013" s="2284"/>
      <c r="N1013" s="2284"/>
      <c r="O1013" s="1917"/>
      <c r="P1013" s="1917"/>
      <c r="Q1013" s="1969"/>
      <c r="R1013" s="1917"/>
      <c r="S1013" s="1917"/>
      <c r="T1013" s="1917"/>
      <c r="U1013" s="1917"/>
      <c r="V1013" s="1917"/>
      <c r="W1013" s="346"/>
    </row>
    <row r="1014" spans="1:23" ht="19.5" customHeight="1" x14ac:dyDescent="0.2">
      <c r="A1014" s="436"/>
      <c r="B1014" s="345"/>
      <c r="C1014" s="453" t="s">
        <v>634</v>
      </c>
      <c r="D1014" s="913">
        <v>0</v>
      </c>
      <c r="E1014" s="337" t="s">
        <v>1439</v>
      </c>
      <c r="F1014" s="1917"/>
      <c r="G1014" s="437"/>
      <c r="H1014" s="1917"/>
      <c r="I1014" s="1917"/>
      <c r="J1014" s="1917"/>
      <c r="K1014" s="1917"/>
      <c r="L1014" s="1917"/>
      <c r="M1014" s="1917"/>
      <c r="N1014" s="1917"/>
      <c r="O1014" s="1917"/>
      <c r="P1014" s="1917"/>
      <c r="Q1014" s="1969"/>
      <c r="R1014" s="1917"/>
      <c r="S1014" s="1917"/>
      <c r="T1014" s="1917"/>
      <c r="U1014" s="1917"/>
      <c r="V1014" s="1917"/>
      <c r="W1014" s="346"/>
    </row>
    <row r="1015" spans="1:23" ht="19.5" customHeight="1" x14ac:dyDescent="0.2">
      <c r="A1015" s="436"/>
      <c r="B1015" s="345"/>
      <c r="C1015" s="453" t="s">
        <v>542</v>
      </c>
      <c r="D1015" s="1917">
        <f>D1014</f>
        <v>0</v>
      </c>
      <c r="E1015" s="337" t="s">
        <v>145</v>
      </c>
      <c r="F1015" s="1917"/>
      <c r="G1015" s="437"/>
      <c r="H1015" s="1917"/>
      <c r="I1015" s="1917"/>
      <c r="J1015" s="1917"/>
      <c r="K1015" s="1917"/>
      <c r="L1015" s="1917"/>
      <c r="M1015" s="1917"/>
      <c r="N1015" s="1917"/>
      <c r="O1015" s="1917"/>
      <c r="P1015" s="1917"/>
      <c r="Q1015" s="1969"/>
      <c r="R1015" s="1917"/>
      <c r="S1015" s="1917"/>
      <c r="T1015" s="1917"/>
      <c r="U1015" s="1917"/>
      <c r="V1015" s="1917"/>
      <c r="W1015" s="346"/>
    </row>
    <row r="1016" spans="1:23" x14ac:dyDescent="0.2">
      <c r="A1016" s="436"/>
      <c r="B1016" s="345"/>
      <c r="C1016" s="453" t="s">
        <v>451</v>
      </c>
      <c r="D1016" s="913">
        <v>98</v>
      </c>
      <c r="E1016" s="337" t="s">
        <v>1440</v>
      </c>
      <c r="F1016" s="1917"/>
      <c r="G1016" s="1917"/>
      <c r="H1016" s="1917"/>
      <c r="I1016" s="1917"/>
      <c r="J1016" s="1917"/>
      <c r="K1016" s="1917"/>
      <c r="L1016" s="1917"/>
      <c r="M1016" s="1917"/>
      <c r="N1016" s="1917"/>
      <c r="O1016" s="1917"/>
      <c r="P1016" s="1917"/>
      <c r="Q1016" s="1969"/>
      <c r="R1016" s="1917"/>
      <c r="S1016" s="1917"/>
      <c r="T1016" s="1917"/>
      <c r="U1016" s="1917"/>
      <c r="V1016" s="1917"/>
      <c r="W1016" s="346"/>
    </row>
    <row r="1017" spans="1:23" x14ac:dyDescent="0.2">
      <c r="A1017" s="436"/>
      <c r="B1017" s="345"/>
      <c r="C1017" s="453" t="s">
        <v>452</v>
      </c>
      <c r="D1017" s="1917">
        <f ca="1">D1016*K990/'Energy &amp; Unit Conversions'!E93</f>
        <v>414.78454234061729</v>
      </c>
      <c r="E1017" s="337" t="s">
        <v>627</v>
      </c>
      <c r="F1017" s="1917"/>
      <c r="G1017" s="1917"/>
      <c r="H1017" s="1917"/>
      <c r="I1017" s="1917"/>
      <c r="J1017" s="1917"/>
      <c r="K1017" s="1917"/>
      <c r="L1017" s="1917"/>
      <c r="M1017" s="1917"/>
      <c r="N1017" s="1917"/>
      <c r="O1017" s="1917"/>
      <c r="P1017" s="1917"/>
      <c r="Q1017" s="1969"/>
      <c r="R1017" s="1917"/>
      <c r="S1017" s="1917"/>
      <c r="T1017" s="1917"/>
      <c r="U1017" s="1917"/>
      <c r="V1017" s="1917"/>
      <c r="W1017" s="346"/>
    </row>
    <row r="1018" spans="1:23" x14ac:dyDescent="0.2">
      <c r="A1018" s="436"/>
      <c r="B1018" s="345"/>
      <c r="C1018" s="453" t="s">
        <v>154</v>
      </c>
      <c r="D1018" s="913">
        <v>-2900</v>
      </c>
      <c r="E1018" s="337" t="s">
        <v>1441</v>
      </c>
      <c r="F1018" s="1917"/>
      <c r="G1018" s="1917"/>
      <c r="H1018" s="1917"/>
      <c r="I1018" s="1917"/>
      <c r="J1018" s="1917"/>
      <c r="K1018" s="1917"/>
      <c r="L1018" s="1917"/>
      <c r="M1018" s="1917"/>
      <c r="N1018" s="1917"/>
      <c r="O1018" s="1917"/>
      <c r="P1018" s="1917"/>
      <c r="Q1018" s="1969"/>
      <c r="R1018" s="1917"/>
      <c r="S1018" s="1917"/>
      <c r="T1018" s="1917"/>
      <c r="U1018" s="1917"/>
      <c r="V1018" s="1917"/>
      <c r="W1018" s="346"/>
    </row>
    <row r="1019" spans="1:23" x14ac:dyDescent="0.2">
      <c r="A1019" s="436"/>
      <c r="B1019" s="345"/>
      <c r="C1019" s="453" t="s">
        <v>1013</v>
      </c>
      <c r="D1019" s="913">
        <f>1200*'Energy &amp; Unit Conversions'!G84/'Energy &amp; Unit Conversions'!G79/'Energy &amp; Unit Conversions'!E94*'Energy &amp; Unit Conversions'!E93</f>
        <v>2791.2</v>
      </c>
      <c r="E1019" s="337" t="s">
        <v>1014</v>
      </c>
      <c r="F1019" s="1917"/>
      <c r="G1019" s="1917"/>
      <c r="H1019" s="1917"/>
      <c r="I1019" s="1917"/>
      <c r="J1019" s="1917"/>
      <c r="K1019" s="1917"/>
      <c r="L1019" s="1917"/>
      <c r="M1019" s="1917"/>
      <c r="N1019" s="1917"/>
      <c r="O1019" s="1917"/>
      <c r="P1019" s="1917"/>
      <c r="Q1019" s="1969"/>
      <c r="R1019" s="1917"/>
      <c r="S1019" s="1917"/>
      <c r="T1019" s="1917"/>
      <c r="U1019" s="1917"/>
      <c r="V1019" s="1917"/>
      <c r="W1019" s="346"/>
    </row>
    <row r="1020" spans="1:23" x14ac:dyDescent="0.2">
      <c r="A1020" s="436"/>
      <c r="B1020" s="345"/>
      <c r="C1020" s="453" t="s">
        <v>139</v>
      </c>
      <c r="D1020" s="1917">
        <f ca="1">D1018*K990/'Energy &amp; Unit Conversions'!E93/'Energy &amp; Unit Conversions'!E93*D1019</f>
        <v>-34259.848798829385</v>
      </c>
      <c r="E1020" s="337" t="s">
        <v>522</v>
      </c>
      <c r="F1020" s="1917"/>
      <c r="G1020" s="1917"/>
      <c r="H1020" s="1917"/>
      <c r="I1020" s="1917"/>
      <c r="J1020" s="1917"/>
      <c r="K1020" s="1917"/>
      <c r="L1020" s="1917"/>
      <c r="M1020" s="1917"/>
      <c r="N1020" s="1917"/>
      <c r="O1020" s="1917"/>
      <c r="P1020" s="1917"/>
      <c r="Q1020" s="1969"/>
      <c r="R1020" s="1917"/>
      <c r="S1020" s="1917"/>
      <c r="T1020" s="1917"/>
      <c r="U1020" s="1917"/>
      <c r="V1020" s="1917"/>
      <c r="W1020" s="346"/>
    </row>
    <row r="1021" spans="1:23" ht="20.25" customHeight="1" x14ac:dyDescent="0.2">
      <c r="A1021" s="436"/>
      <c r="B1021" s="345"/>
      <c r="C1021" s="453"/>
      <c r="D1021" s="1917"/>
      <c r="E1021" s="337"/>
      <c r="F1021" s="1917"/>
      <c r="G1021" s="1917"/>
      <c r="H1021" s="1917"/>
      <c r="I1021" s="1917"/>
      <c r="J1021" s="1917"/>
      <c r="K1021" s="1917"/>
      <c r="L1021" s="1917"/>
      <c r="M1021" s="1917"/>
      <c r="N1021" s="1917"/>
      <c r="O1021" s="1917"/>
      <c r="P1021" s="1917"/>
      <c r="Q1021" s="1969"/>
      <c r="R1021" s="1917"/>
      <c r="S1021" s="1917"/>
      <c r="T1021" s="1917"/>
      <c r="U1021" s="1917"/>
      <c r="V1021" s="1917"/>
      <c r="W1021" s="346"/>
    </row>
    <row r="1022" spans="1:23" x14ac:dyDescent="0.2">
      <c r="A1022" s="436"/>
      <c r="B1022" s="345"/>
      <c r="C1022" s="442" t="str">
        <f>P976</f>
        <v xml:space="preserve">Claus Tail Gas Treatment </v>
      </c>
      <c r="D1022" s="1917"/>
      <c r="E1022" s="337"/>
      <c r="F1022" s="1917"/>
      <c r="G1022" s="1917"/>
      <c r="H1022" s="1917"/>
      <c r="I1022" s="1917"/>
      <c r="J1022" s="1917"/>
      <c r="K1022" s="1917"/>
      <c r="L1022" s="1917"/>
      <c r="M1022" s="1917"/>
      <c r="N1022" s="1917"/>
      <c r="O1022" s="1917"/>
      <c r="P1022" s="1917"/>
      <c r="Q1022" s="1969"/>
      <c r="R1022" s="1917"/>
      <c r="S1022" s="1917"/>
      <c r="T1022" s="1917"/>
      <c r="U1022" s="1917"/>
      <c r="V1022" s="1917"/>
      <c r="W1022" s="346"/>
    </row>
    <row r="1023" spans="1:23" x14ac:dyDescent="0.2">
      <c r="A1023" s="436"/>
      <c r="B1023" s="345"/>
      <c r="C1023" s="453" t="s">
        <v>451</v>
      </c>
      <c r="D1023" s="913">
        <v>463</v>
      </c>
      <c r="E1023" s="337" t="s">
        <v>1442</v>
      </c>
      <c r="F1023" s="1917"/>
      <c r="G1023" s="1917"/>
      <c r="H1023" s="1917"/>
      <c r="I1023" s="1917"/>
      <c r="J1023" s="1917"/>
      <c r="K1023" s="1917"/>
      <c r="L1023" s="1917"/>
      <c r="M1023" s="1917"/>
      <c r="N1023" s="1917"/>
      <c r="O1023" s="1917"/>
      <c r="P1023" s="1917"/>
      <c r="Q1023" s="1969"/>
      <c r="R1023" s="1917"/>
      <c r="S1023" s="1917"/>
      <c r="T1023" s="1917"/>
      <c r="U1023" s="1917"/>
      <c r="V1023" s="1917"/>
      <c r="W1023" s="346"/>
    </row>
    <row r="1024" spans="1:23" x14ac:dyDescent="0.2">
      <c r="A1024" s="436"/>
      <c r="B1024" s="345"/>
      <c r="C1024" s="452" t="s">
        <v>452</v>
      </c>
      <c r="D1024" s="334">
        <f ca="1">D1023*R990/'Energy &amp; Unit Conversions'!E95</f>
        <v>22.97719986001136</v>
      </c>
      <c r="E1024" s="338" t="s">
        <v>627</v>
      </c>
      <c r="F1024" s="1917"/>
      <c r="G1024" s="1917"/>
      <c r="H1024" s="1917"/>
      <c r="I1024" s="1917"/>
      <c r="J1024" s="1917"/>
      <c r="K1024" s="1917"/>
      <c r="L1024" s="1917"/>
      <c r="M1024" s="1917"/>
      <c r="N1024" s="1917"/>
      <c r="O1024" s="1917"/>
      <c r="P1024" s="1917"/>
      <c r="Q1024" s="1969"/>
      <c r="R1024" s="1917"/>
      <c r="S1024" s="1917"/>
      <c r="T1024" s="1917"/>
      <c r="U1024" s="1917"/>
      <c r="V1024" s="1917"/>
      <c r="W1024" s="346"/>
    </row>
    <row r="1025" spans="1:23" x14ac:dyDescent="0.2">
      <c r="A1025" s="436"/>
      <c r="B1025" s="345"/>
      <c r="C1025" s="437"/>
      <c r="D1025" s="1917"/>
      <c r="E1025" s="1917"/>
      <c r="F1025" s="1917"/>
      <c r="G1025" s="1917"/>
      <c r="H1025" s="1917"/>
      <c r="I1025" s="1917"/>
      <c r="J1025" s="1917"/>
      <c r="K1025" s="1917"/>
      <c r="L1025" s="1917"/>
      <c r="M1025" s="1917"/>
      <c r="N1025" s="1917"/>
      <c r="O1025" s="1917"/>
      <c r="P1025" s="1917"/>
      <c r="Q1025" s="1969"/>
      <c r="R1025" s="1917"/>
      <c r="S1025" s="1917"/>
      <c r="T1025" s="1917"/>
      <c r="U1025" s="1917"/>
      <c r="V1025" s="1917"/>
      <c r="W1025" s="346"/>
    </row>
    <row r="1026" spans="1:23" ht="32.25" customHeight="1" x14ac:dyDescent="0.2">
      <c r="A1026" s="436"/>
      <c r="B1026" s="424"/>
      <c r="C1026" s="472" t="s">
        <v>181</v>
      </c>
      <c r="D1026" s="425"/>
      <c r="E1026" s="425"/>
      <c r="F1026" s="425"/>
      <c r="G1026" s="425"/>
      <c r="H1026" s="425"/>
      <c r="I1026" s="425"/>
      <c r="J1026" s="425"/>
      <c r="K1026" s="425"/>
      <c r="L1026" s="425"/>
      <c r="M1026" s="425"/>
      <c r="N1026" s="425"/>
      <c r="O1026" s="425"/>
      <c r="P1026" s="425"/>
      <c r="Q1026" s="425"/>
      <c r="R1026" s="425"/>
      <c r="S1026" s="425"/>
      <c r="T1026" s="425"/>
      <c r="U1026" s="425"/>
      <c r="V1026" s="425"/>
      <c r="W1026" s="1934"/>
    </row>
    <row r="1027" spans="1:23" x14ac:dyDescent="0.2">
      <c r="A1027" s="436"/>
      <c r="B1027" s="345"/>
      <c r="C1027" s="437"/>
      <c r="D1027" s="1917"/>
      <c r="E1027" s="1917"/>
      <c r="F1027" s="1917"/>
      <c r="G1027" s="1917"/>
      <c r="H1027" s="1917"/>
      <c r="I1027" s="1917"/>
      <c r="J1027" s="1917"/>
      <c r="K1027" s="1917"/>
      <c r="L1027" s="1917"/>
      <c r="M1027" s="1917"/>
      <c r="N1027" s="1917"/>
      <c r="O1027" s="1917"/>
      <c r="P1027" s="1917"/>
      <c r="Q1027" s="1969"/>
      <c r="R1027" s="1917"/>
      <c r="S1027" s="1917"/>
      <c r="T1027" s="1917"/>
      <c r="U1027" s="1917"/>
      <c r="V1027" s="1917"/>
      <c r="W1027" s="346"/>
    </row>
    <row r="1028" spans="1:23" ht="26.25" x14ac:dyDescent="0.2">
      <c r="A1028" s="436"/>
      <c r="B1028" s="347"/>
      <c r="C1028" s="438" t="s">
        <v>221</v>
      </c>
      <c r="D1028" s="411"/>
      <c r="E1028" s="1917"/>
      <c r="F1028" s="1917"/>
      <c r="G1028" s="1917"/>
      <c r="H1028" s="1917"/>
      <c r="I1028" s="1917"/>
      <c r="J1028" s="1917"/>
      <c r="K1028" s="1917"/>
      <c r="L1028" s="1917"/>
      <c r="M1028" s="1917"/>
      <c r="N1028" s="1917"/>
      <c r="O1028" s="1917"/>
      <c r="P1028" s="1917"/>
      <c r="Q1028" s="1969"/>
      <c r="R1028" s="1917"/>
      <c r="S1028" s="1917"/>
      <c r="T1028" s="1917"/>
      <c r="U1028" s="1917"/>
      <c r="V1028" s="1917"/>
      <c r="W1028" s="346"/>
    </row>
    <row r="1029" spans="1:23" x14ac:dyDescent="0.2">
      <c r="A1029" s="436"/>
      <c r="B1029" s="345"/>
      <c r="C1029" s="480"/>
      <c r="D1029" s="1917"/>
      <c r="E1029" s="1917"/>
      <c r="F1029" s="1917"/>
      <c r="G1029" s="1917"/>
      <c r="H1029" s="1917"/>
      <c r="I1029" s="1917"/>
      <c r="J1029" s="1917"/>
      <c r="K1029" s="1917"/>
      <c r="L1029" s="1917"/>
      <c r="M1029" s="1917"/>
      <c r="N1029" s="1917"/>
      <c r="O1029" s="1917"/>
      <c r="P1029" s="1917"/>
      <c r="Q1029" s="1969"/>
      <c r="R1029" s="1917"/>
      <c r="S1029" s="1917"/>
      <c r="T1029" s="1917"/>
      <c r="U1029" s="1917"/>
      <c r="V1029" s="1917"/>
      <c r="W1029" s="346"/>
    </row>
    <row r="1030" spans="1:23" x14ac:dyDescent="0.2">
      <c r="A1030" s="436"/>
      <c r="B1030" s="345"/>
      <c r="C1030" s="502" t="s">
        <v>77</v>
      </c>
      <c r="D1030" s="913">
        <f>J1040/'Energy &amp; Unit Conversions'!E95</f>
        <v>3.2554803388442721</v>
      </c>
      <c r="E1030" s="503" t="s">
        <v>447</v>
      </c>
      <c r="F1030" s="1917"/>
      <c r="G1030" s="1917"/>
      <c r="H1030" s="440" t="s">
        <v>909</v>
      </c>
      <c r="I1030" s="1917"/>
      <c r="J1030" s="1917"/>
      <c r="K1030" s="1917"/>
      <c r="L1030" s="1917"/>
      <c r="M1030" s="1917"/>
      <c r="N1030" s="1917"/>
      <c r="O1030" s="1917"/>
      <c r="P1030" s="1917"/>
      <c r="Q1030" s="1969"/>
      <c r="R1030" s="1917"/>
      <c r="S1030" s="1917"/>
      <c r="T1030" s="1917"/>
      <c r="U1030" s="1917"/>
      <c r="V1030" s="1917"/>
      <c r="W1030" s="346"/>
    </row>
    <row r="1031" spans="1:23" x14ac:dyDescent="0.2">
      <c r="A1031" s="436"/>
      <c r="B1031" s="345"/>
      <c r="C1031" s="437"/>
      <c r="D1031" s="1917"/>
      <c r="E1031" s="1917"/>
      <c r="F1031" s="1917"/>
      <c r="G1031" s="1917"/>
      <c r="H1031" s="467" t="s">
        <v>173</v>
      </c>
      <c r="I1031" s="1913"/>
      <c r="J1031" s="1915"/>
      <c r="K1031" s="1917"/>
      <c r="L1031" s="1917"/>
      <c r="M1031" s="1917"/>
      <c r="N1031" s="1917"/>
      <c r="O1031" s="1917"/>
      <c r="P1031" s="1917"/>
      <c r="Q1031" s="1969"/>
      <c r="R1031" s="1917"/>
      <c r="S1031" s="1917"/>
      <c r="T1031" s="1917"/>
      <c r="U1031" s="1917"/>
      <c r="V1031" s="1917"/>
      <c r="W1031" s="346"/>
    </row>
    <row r="1032" spans="1:23" x14ac:dyDescent="0.2">
      <c r="A1032" s="436"/>
      <c r="B1032" s="345"/>
      <c r="C1032" s="440" t="s">
        <v>1303</v>
      </c>
      <c r="D1032" s="1917"/>
      <c r="E1032" s="1917"/>
      <c r="F1032" s="1917"/>
      <c r="G1032" s="1917"/>
      <c r="H1032" s="465" t="s">
        <v>174</v>
      </c>
      <c r="I1032" s="1917"/>
      <c r="J1032" s="339"/>
      <c r="K1032" s="1917"/>
      <c r="L1032" s="1917"/>
      <c r="M1032" s="1917"/>
      <c r="N1032" s="1917"/>
      <c r="O1032" s="1917"/>
      <c r="P1032" s="1917"/>
      <c r="Q1032" s="1969"/>
      <c r="R1032" s="1917"/>
      <c r="S1032" s="1917"/>
      <c r="T1032" s="1917"/>
      <c r="U1032" s="1917"/>
      <c r="V1032" s="1917"/>
      <c r="W1032" s="346"/>
    </row>
    <row r="1033" spans="1:23" ht="15.75" customHeight="1" x14ac:dyDescent="0.2">
      <c r="A1033" s="436"/>
      <c r="B1033" s="345"/>
      <c r="C1033" s="463"/>
      <c r="D1033" s="382" t="s">
        <v>624</v>
      </c>
      <c r="E1033" s="383" t="s">
        <v>623</v>
      </c>
      <c r="F1033" s="1917"/>
      <c r="G1033" s="1917"/>
      <c r="H1033" s="465" t="s">
        <v>175</v>
      </c>
      <c r="I1033" s="1917"/>
      <c r="J1033" s="339"/>
      <c r="K1033" s="1917"/>
      <c r="L1033" s="1917"/>
      <c r="M1033" s="1917"/>
      <c r="N1033" s="1917"/>
      <c r="O1033" s="1917"/>
      <c r="P1033" s="1917"/>
      <c r="Q1033" s="1969"/>
      <c r="R1033" s="1917"/>
      <c r="S1033" s="1917"/>
      <c r="T1033" s="1917"/>
      <c r="U1033" s="1917"/>
      <c r="V1033" s="1917"/>
      <c r="W1033" s="346"/>
    </row>
    <row r="1034" spans="1:23" x14ac:dyDescent="0.2">
      <c r="A1034" s="436"/>
      <c r="B1034" s="345"/>
      <c r="C1034" s="461" t="s">
        <v>154</v>
      </c>
      <c r="D1034" s="913">
        <f>J1036</f>
        <v>0.17599999999999999</v>
      </c>
      <c r="E1034" s="339" t="s">
        <v>195</v>
      </c>
      <c r="F1034" s="1917"/>
      <c r="G1034" s="1917"/>
      <c r="H1034" s="465" t="s">
        <v>178</v>
      </c>
      <c r="I1034" s="1917" t="s">
        <v>623</v>
      </c>
      <c r="J1034" s="339" t="s">
        <v>179</v>
      </c>
      <c r="K1034" s="1917"/>
      <c r="L1034" s="1917"/>
      <c r="M1034" s="1917"/>
      <c r="N1034" s="1917"/>
      <c r="O1034" s="1917"/>
      <c r="P1034" s="1917"/>
      <c r="Q1034" s="1969"/>
      <c r="R1034" s="1917"/>
      <c r="S1034" s="1917"/>
      <c r="T1034" s="1917"/>
      <c r="U1034" s="1917"/>
      <c r="V1034" s="1917"/>
      <c r="W1034" s="346"/>
    </row>
    <row r="1035" spans="1:23" x14ac:dyDescent="0.2">
      <c r="A1035" s="436"/>
      <c r="B1035" s="345"/>
      <c r="C1035" s="461" t="s">
        <v>193</v>
      </c>
      <c r="D1035" s="1917">
        <f>D1034*'Energy &amp; Unit Conversions'!G84/'Energy &amp; Unit Conversions'!E95</f>
        <v>0.18568983006111997</v>
      </c>
      <c r="E1035" s="339" t="s">
        <v>196</v>
      </c>
      <c r="F1035" s="1917"/>
      <c r="G1035" s="1917"/>
      <c r="H1035" s="465" t="s">
        <v>176</v>
      </c>
      <c r="I1035" s="1917" t="s">
        <v>177</v>
      </c>
      <c r="J1035" s="339">
        <v>3.319</v>
      </c>
      <c r="K1035" s="1917"/>
      <c r="L1035" s="1917"/>
      <c r="M1035" s="1917"/>
      <c r="N1035" s="1917"/>
      <c r="O1035" s="1917"/>
      <c r="P1035" s="1917"/>
      <c r="Q1035" s="1969"/>
      <c r="R1035" s="1917"/>
      <c r="S1035" s="1917"/>
      <c r="T1035" s="1917"/>
      <c r="U1035" s="1917"/>
      <c r="V1035" s="1917"/>
      <c r="W1035" s="346"/>
    </row>
    <row r="1036" spans="1:23" x14ac:dyDescent="0.2">
      <c r="A1036" s="436"/>
      <c r="B1036" s="345"/>
      <c r="C1036" s="471" t="s">
        <v>139</v>
      </c>
      <c r="D1036" s="364">
        <f>D1035/D1030</f>
        <v>5.7039149598133256E-2</v>
      </c>
      <c r="E1036" s="479" t="s">
        <v>194</v>
      </c>
      <c r="F1036" s="1917"/>
      <c r="G1036" s="1917"/>
      <c r="H1036" s="465" t="s">
        <v>485</v>
      </c>
      <c r="I1036" s="1917" t="s">
        <v>177</v>
      </c>
      <c r="J1036" s="339">
        <v>0.17599999999999999</v>
      </c>
      <c r="K1036" s="1917"/>
      <c r="L1036" s="1917"/>
      <c r="M1036" s="1917"/>
      <c r="N1036" s="1917"/>
      <c r="O1036" s="1917"/>
      <c r="P1036" s="1917"/>
      <c r="Q1036" s="1969"/>
      <c r="R1036" s="1917"/>
      <c r="S1036" s="1917"/>
      <c r="T1036" s="1917"/>
      <c r="U1036" s="1917"/>
      <c r="V1036" s="1917"/>
      <c r="W1036" s="346"/>
    </row>
    <row r="1037" spans="1:23" x14ac:dyDescent="0.2">
      <c r="A1037" s="436"/>
      <c r="B1037" s="345"/>
      <c r="C1037" s="461" t="s">
        <v>635</v>
      </c>
      <c r="D1037" s="913">
        <f>J1035</f>
        <v>3.319</v>
      </c>
      <c r="E1037" s="339" t="s">
        <v>198</v>
      </c>
      <c r="F1037" s="1917"/>
      <c r="G1037" s="1917"/>
      <c r="H1037" s="504" t="s">
        <v>392</v>
      </c>
      <c r="I1037" s="841" t="s">
        <v>180</v>
      </c>
      <c r="J1037" s="505">
        <v>4.8479999999999999</v>
      </c>
      <c r="K1037" s="1917"/>
      <c r="L1037" s="1917"/>
      <c r="M1037" s="1917"/>
      <c r="N1037" s="1917"/>
      <c r="O1037" s="1917"/>
      <c r="P1037" s="1917"/>
      <c r="Q1037" s="1969"/>
      <c r="R1037" s="1917"/>
      <c r="S1037" s="1917"/>
      <c r="T1037" s="1917"/>
      <c r="U1037" s="1917"/>
      <c r="V1037" s="1917"/>
      <c r="W1037" s="346"/>
    </row>
    <row r="1038" spans="1:23" x14ac:dyDescent="0.2">
      <c r="A1038" s="436"/>
      <c r="B1038" s="345"/>
      <c r="C1038" s="461" t="s">
        <v>634</v>
      </c>
      <c r="D1038" s="1917">
        <f>D1037*'Energy &amp; Unit Conversions'!G84/'Energy &amp; Unit Conversions'!E95</f>
        <v>3.50173037484578</v>
      </c>
      <c r="E1038" s="339" t="s">
        <v>199</v>
      </c>
      <c r="F1038" s="1917"/>
      <c r="G1038" s="1917"/>
      <c r="H1038" s="506" t="s">
        <v>203</v>
      </c>
      <c r="I1038" s="427"/>
      <c r="J1038" s="507">
        <v>0.88</v>
      </c>
      <c r="K1038" s="1917"/>
      <c r="L1038" s="1917"/>
      <c r="M1038" s="1917"/>
      <c r="N1038" s="1917"/>
      <c r="O1038" s="1917"/>
      <c r="P1038" s="1917"/>
      <c r="Q1038" s="1969"/>
      <c r="R1038" s="1917"/>
      <c r="S1038" s="1917"/>
      <c r="T1038" s="1917"/>
      <c r="U1038" s="1917"/>
      <c r="V1038" s="1917"/>
      <c r="W1038" s="346"/>
    </row>
    <row r="1039" spans="1:23" ht="15" customHeight="1" x14ac:dyDescent="0.2">
      <c r="A1039" s="436"/>
      <c r="B1039" s="345"/>
      <c r="C1039" s="471" t="s">
        <v>634</v>
      </c>
      <c r="D1039" s="364">
        <f>D1038/D1030</f>
        <v>1.0756416904329789</v>
      </c>
      <c r="E1039" s="479" t="s">
        <v>200</v>
      </c>
      <c r="F1039" s="1917"/>
      <c r="G1039" s="1917"/>
      <c r="H1039" s="465" t="s">
        <v>210</v>
      </c>
      <c r="I1039" s="1917"/>
      <c r="J1039" s="339">
        <v>3.0855999999999999</v>
      </c>
      <c r="K1039" s="1917"/>
      <c r="L1039" s="1917"/>
      <c r="M1039" s="1917"/>
      <c r="N1039" s="1917"/>
      <c r="O1039" s="1917"/>
      <c r="P1039" s="1917"/>
      <c r="Q1039" s="1969"/>
      <c r="R1039" s="1917"/>
      <c r="S1039" s="1917"/>
      <c r="T1039" s="1917"/>
      <c r="U1039" s="1917"/>
      <c r="V1039" s="1917"/>
      <c r="W1039" s="346"/>
    </row>
    <row r="1040" spans="1:23" x14ac:dyDescent="0.2">
      <c r="A1040" s="436"/>
      <c r="B1040" s="345"/>
      <c r="C1040" s="461" t="s">
        <v>451</v>
      </c>
      <c r="D1040" s="913">
        <f>J1037</f>
        <v>4.8479999999999999</v>
      </c>
      <c r="E1040" s="339" t="s">
        <v>182</v>
      </c>
      <c r="F1040" s="1917"/>
      <c r="G1040" s="1917"/>
      <c r="H1040" s="466" t="s">
        <v>209</v>
      </c>
      <c r="I1040" s="1914" t="s">
        <v>211</v>
      </c>
      <c r="J1040" s="401">
        <f>J1039*'Energy &amp; Unit Conversions'!G84</f>
        <v>3255.480338844272</v>
      </c>
      <c r="K1040" s="1917"/>
      <c r="L1040" s="1917"/>
      <c r="M1040" s="1917"/>
      <c r="N1040" s="1917"/>
      <c r="O1040" s="1917"/>
      <c r="P1040" s="1917"/>
      <c r="Q1040" s="1969"/>
      <c r="R1040" s="1917"/>
      <c r="S1040" s="1917"/>
      <c r="T1040" s="1917"/>
      <c r="U1040" s="1917"/>
      <c r="V1040" s="1917"/>
      <c r="W1040" s="346"/>
    </row>
    <row r="1041" spans="1:23" x14ac:dyDescent="0.2">
      <c r="A1041" s="436"/>
      <c r="B1041" s="345"/>
      <c r="C1041" s="461" t="s">
        <v>451</v>
      </c>
      <c r="D1041" s="1917">
        <f>D1040*'Energy &amp; Unit Conversions'!$G$88/'Energy &amp; Unit Conversions'!E95</f>
        <v>1.7452800000000001E-2</v>
      </c>
      <c r="E1041" s="339" t="s">
        <v>101</v>
      </c>
      <c r="F1041" s="1917"/>
      <c r="G1041" s="1917"/>
      <c r="H1041" s="1917"/>
      <c r="I1041" s="1917"/>
      <c r="J1041" s="1917"/>
      <c r="K1041" s="1917"/>
      <c r="L1041" s="1917"/>
      <c r="M1041" s="1917"/>
      <c r="N1041" s="1917"/>
      <c r="O1041" s="1917"/>
      <c r="P1041" s="1917"/>
      <c r="Q1041" s="1969"/>
      <c r="R1041" s="1917"/>
      <c r="S1041" s="1917"/>
      <c r="T1041" s="1917"/>
      <c r="U1041" s="1917"/>
      <c r="V1041" s="1917"/>
      <c r="W1041" s="346"/>
    </row>
    <row r="1042" spans="1:23" x14ac:dyDescent="0.2">
      <c r="A1042" s="436"/>
      <c r="B1042" s="345"/>
      <c r="C1042" s="469" t="s">
        <v>451</v>
      </c>
      <c r="D1042" s="408">
        <f>D1041/D1030</f>
        <v>5.3610521899806396E-3</v>
      </c>
      <c r="E1042" s="409" t="s">
        <v>100</v>
      </c>
      <c r="F1042" s="1917"/>
      <c r="G1042" s="1917"/>
      <c r="H1042" s="1917"/>
      <c r="I1042" s="1917"/>
      <c r="J1042" s="1917"/>
      <c r="K1042" s="1917"/>
      <c r="L1042" s="1917"/>
      <c r="M1042" s="1917"/>
      <c r="N1042" s="1917"/>
      <c r="O1042" s="1917"/>
      <c r="P1042" s="1917"/>
      <c r="Q1042" s="1969"/>
      <c r="R1042" s="1917"/>
      <c r="S1042" s="1917"/>
      <c r="T1042" s="1917"/>
      <c r="U1042" s="1917"/>
      <c r="V1042" s="1917"/>
      <c r="W1042" s="346"/>
    </row>
    <row r="1043" spans="1:23" x14ac:dyDescent="0.2">
      <c r="A1043" s="436"/>
      <c r="B1043" s="345"/>
      <c r="C1043" s="437"/>
      <c r="D1043" s="1917"/>
      <c r="E1043" s="1917"/>
      <c r="F1043" s="1917"/>
      <c r="G1043" s="1917"/>
      <c r="H1043" s="1917"/>
      <c r="I1043" s="1917"/>
      <c r="J1043" s="1917"/>
      <c r="K1043" s="1917"/>
      <c r="L1043" s="1917"/>
      <c r="M1043" s="1917"/>
      <c r="N1043" s="1917"/>
      <c r="O1043" s="1917"/>
      <c r="P1043" s="1917"/>
      <c r="Q1043" s="1969"/>
      <c r="R1043" s="1917"/>
      <c r="S1043" s="1917"/>
      <c r="T1043" s="1917"/>
      <c r="U1043" s="1917"/>
      <c r="V1043" s="1917"/>
      <c r="W1043" s="346"/>
    </row>
    <row r="1044" spans="1:23" ht="26.25" x14ac:dyDescent="0.2">
      <c r="A1044" s="436"/>
      <c r="B1044" s="431"/>
      <c r="C1044" s="438" t="s">
        <v>727</v>
      </c>
      <c r="D1044" s="348"/>
      <c r="E1044" s="1917"/>
      <c r="F1044" s="1917"/>
      <c r="G1044" s="1917"/>
      <c r="H1044" s="1917"/>
      <c r="I1044" s="1917"/>
      <c r="J1044" s="1917"/>
      <c r="K1044" s="1917"/>
      <c r="L1044" s="1917"/>
      <c r="M1044" s="1917"/>
      <c r="N1044" s="1917"/>
      <c r="O1044" s="1917"/>
      <c r="P1044" s="1917"/>
      <c r="Q1044" s="1969"/>
      <c r="R1044" s="1917"/>
      <c r="S1044" s="1917"/>
      <c r="T1044" s="1917"/>
      <c r="U1044" s="1917"/>
      <c r="V1044" s="1917"/>
      <c r="W1044" s="346"/>
    </row>
    <row r="1045" spans="1:23" x14ac:dyDescent="0.2">
      <c r="A1045" s="436"/>
      <c r="B1045" s="345"/>
      <c r="C1045" s="437"/>
      <c r="D1045" s="1917"/>
      <c r="E1045" s="1917"/>
      <c r="F1045" s="1917"/>
      <c r="G1045" s="1917"/>
      <c r="H1045" s="1917"/>
      <c r="I1045" s="1917"/>
      <c r="J1045" s="1917"/>
      <c r="K1045" s="1917"/>
      <c r="L1045" s="1917"/>
      <c r="M1045" s="1917"/>
      <c r="N1045" s="1917"/>
      <c r="O1045" s="1917"/>
      <c r="P1045" s="1917"/>
      <c r="Q1045" s="1969"/>
      <c r="R1045" s="1917"/>
      <c r="S1045" s="1917"/>
      <c r="T1045" s="1917"/>
      <c r="U1045" s="1917"/>
      <c r="V1045" s="1917"/>
      <c r="W1045" s="346"/>
    </row>
    <row r="1046" spans="1:23" x14ac:dyDescent="0.2">
      <c r="A1046" s="436"/>
      <c r="B1046" s="345"/>
      <c r="C1046" s="440" t="s">
        <v>387</v>
      </c>
      <c r="D1046" s="1917"/>
      <c r="E1046" s="1917"/>
      <c r="F1046" s="1917"/>
      <c r="G1046" s="1917"/>
      <c r="H1046" s="1917"/>
      <c r="I1046" s="1917"/>
      <c r="J1046" s="1917"/>
      <c r="K1046" s="1917"/>
      <c r="L1046" s="1917"/>
      <c r="M1046" s="1917"/>
      <c r="N1046" s="1917"/>
      <c r="O1046" s="1917"/>
      <c r="P1046" s="1917"/>
      <c r="Q1046" s="1969"/>
      <c r="R1046" s="1917"/>
      <c r="S1046" s="1917"/>
      <c r="T1046" s="1917"/>
      <c r="U1046" s="1917"/>
      <c r="V1046" s="1917"/>
      <c r="W1046" s="346"/>
    </row>
    <row r="1047" spans="1:23" x14ac:dyDescent="0.2">
      <c r="A1047" s="436"/>
      <c r="B1047" s="345"/>
      <c r="C1047" s="449"/>
      <c r="D1047" s="1918" t="s">
        <v>623</v>
      </c>
      <c r="E1047" s="369"/>
      <c r="F1047" s="1917"/>
      <c r="G1047" s="1917"/>
      <c r="H1047" s="1917"/>
      <c r="I1047" s="1917"/>
      <c r="J1047" s="1917"/>
      <c r="K1047" s="1917"/>
      <c r="L1047" s="1917"/>
      <c r="M1047" s="1917"/>
      <c r="N1047" s="1917"/>
      <c r="O1047" s="1917"/>
      <c r="P1047" s="1917"/>
      <c r="Q1047" s="1969"/>
      <c r="R1047" s="1917"/>
      <c r="S1047" s="1917"/>
      <c r="T1047" s="1917"/>
      <c r="U1047" s="1917"/>
      <c r="V1047" s="1917"/>
      <c r="W1047" s="346"/>
    </row>
    <row r="1048" spans="1:23" x14ac:dyDescent="0.2">
      <c r="A1048" s="436"/>
      <c r="B1048" s="345"/>
      <c r="C1048" s="453" t="str">
        <f>C124</f>
        <v>Naphtha Hydrotreater</v>
      </c>
      <c r="D1048" s="1917" t="s">
        <v>622</v>
      </c>
      <c r="E1048" s="337">
        <f ca="1">D155</f>
        <v>38192.291566084677</v>
      </c>
      <c r="F1048" s="1917"/>
      <c r="G1048" s="1917"/>
      <c r="H1048" s="1917"/>
      <c r="I1048" s="1917"/>
      <c r="J1048" s="1917"/>
      <c r="K1048" s="1917"/>
      <c r="L1048" s="1917"/>
      <c r="M1048" s="1917"/>
      <c r="N1048" s="1917"/>
      <c r="O1048" s="1917"/>
      <c r="P1048" s="1917"/>
      <c r="Q1048" s="1969"/>
      <c r="R1048" s="1917"/>
      <c r="S1048" s="1917"/>
      <c r="T1048" s="1917"/>
      <c r="U1048" s="1917"/>
      <c r="V1048" s="1917"/>
      <c r="W1048" s="346"/>
    </row>
    <row r="1049" spans="1:23" x14ac:dyDescent="0.2">
      <c r="A1049" s="436"/>
      <c r="B1049" s="345"/>
      <c r="C1049" s="453" t="str">
        <f>C252</f>
        <v>Kerosene Hydrotreater</v>
      </c>
      <c r="D1049" s="1917" t="s">
        <v>622</v>
      </c>
      <c r="E1049" s="337">
        <f ca="1">D283</f>
        <v>15218.271221719764</v>
      </c>
      <c r="F1049" s="1917"/>
      <c r="G1049" s="1917"/>
      <c r="H1049" s="1917"/>
      <c r="I1049" s="1917"/>
      <c r="J1049" s="1917"/>
      <c r="K1049" s="1917"/>
      <c r="L1049" s="1917"/>
      <c r="M1049" s="1917"/>
      <c r="N1049" s="1917"/>
      <c r="O1049" s="1917"/>
      <c r="P1049" s="1917"/>
      <c r="Q1049" s="1969"/>
      <c r="R1049" s="1917"/>
      <c r="S1049" s="1917"/>
      <c r="T1049" s="1917"/>
      <c r="U1049" s="1917"/>
      <c r="V1049" s="1917"/>
      <c r="W1049" s="346"/>
    </row>
    <row r="1050" spans="1:23" x14ac:dyDescent="0.2">
      <c r="A1050" s="436"/>
      <c r="B1050" s="345"/>
      <c r="C1050" s="453" t="str">
        <f>C310</f>
        <v>Diesel Hydrotreater</v>
      </c>
      <c r="D1050" s="1917" t="s">
        <v>622</v>
      </c>
      <c r="E1050" s="337">
        <f ca="1">D345</f>
        <v>8123.1889161639019</v>
      </c>
      <c r="F1050" s="1917"/>
      <c r="G1050" s="1917"/>
      <c r="H1050" s="1917"/>
      <c r="I1050" s="1917"/>
      <c r="J1050" s="1917"/>
      <c r="K1050" s="1917"/>
      <c r="L1050" s="1917"/>
      <c r="M1050" s="1917"/>
      <c r="N1050" s="1917"/>
      <c r="O1050" s="1917"/>
      <c r="P1050" s="1917"/>
      <c r="Q1050" s="1969"/>
      <c r="R1050" s="1917"/>
      <c r="S1050" s="1917"/>
      <c r="T1050" s="1917"/>
      <c r="U1050" s="1917"/>
      <c r="V1050" s="1917"/>
      <c r="W1050" s="346"/>
    </row>
    <row r="1051" spans="1:23" x14ac:dyDescent="0.2">
      <c r="A1051" s="436"/>
      <c r="B1051" s="345"/>
      <c r="C1051" s="453" t="str">
        <f>C358</f>
        <v>Gas Oil Hydrocracker</v>
      </c>
      <c r="D1051" s="1917" t="s">
        <v>622</v>
      </c>
      <c r="E1051" s="337">
        <f ca="1">D375</f>
        <v>4.0741184345877685E-8</v>
      </c>
      <c r="F1051" s="1917"/>
      <c r="G1051" s="1917"/>
      <c r="H1051" s="1917"/>
      <c r="I1051" s="1917"/>
      <c r="J1051" s="1917"/>
      <c r="K1051" s="1917"/>
      <c r="L1051" s="1917"/>
      <c r="M1051" s="1917"/>
      <c r="N1051" s="1917"/>
      <c r="O1051" s="1917"/>
      <c r="P1051" s="1917"/>
      <c r="Q1051" s="1969"/>
      <c r="R1051" s="1917"/>
      <c r="S1051" s="1917"/>
      <c r="T1051" s="1917"/>
      <c r="U1051" s="1917"/>
      <c r="V1051" s="1917"/>
      <c r="W1051" s="346"/>
    </row>
    <row r="1052" spans="1:23" x14ac:dyDescent="0.2">
      <c r="A1052" s="436"/>
      <c r="B1052" s="345"/>
      <c r="C1052" s="453" t="str">
        <f>C916</f>
        <v>Coker Naphtha Hydrotreater</v>
      </c>
      <c r="D1052" s="1917" t="s">
        <v>622</v>
      </c>
      <c r="E1052" s="337">
        <f ca="1">D947</f>
        <v>0</v>
      </c>
      <c r="F1052" s="1917"/>
      <c r="G1052" s="1917"/>
      <c r="H1052" s="1917"/>
      <c r="I1052" s="1917"/>
      <c r="J1052" s="1917"/>
      <c r="K1052" s="1917"/>
      <c r="L1052" s="1917"/>
      <c r="M1052" s="1917"/>
      <c r="N1052" s="1917"/>
      <c r="O1052" s="1917"/>
      <c r="P1052" s="1917"/>
      <c r="Q1052" s="1969"/>
      <c r="R1052" s="1917"/>
      <c r="S1052" s="1917"/>
      <c r="T1052" s="1917"/>
      <c r="U1052" s="1917"/>
      <c r="V1052" s="1917"/>
      <c r="W1052" s="346"/>
    </row>
    <row r="1053" spans="1:23" x14ac:dyDescent="0.2">
      <c r="A1053" s="436"/>
      <c r="B1053" s="345"/>
      <c r="C1053" s="453" t="str">
        <f>C640</f>
        <v>Fluid Catalytic Cracking Feed Hydrotreater</v>
      </c>
      <c r="D1053" s="1917" t="s">
        <v>622</v>
      </c>
      <c r="E1053" s="337">
        <f ca="1">D657</f>
        <v>0</v>
      </c>
      <c r="F1053" s="1917"/>
      <c r="G1053" s="1917"/>
      <c r="H1053" s="1917"/>
      <c r="I1053" s="1917"/>
      <c r="J1053" s="1917"/>
      <c r="K1053" s="1917"/>
      <c r="L1053" s="1917"/>
      <c r="M1053" s="1917"/>
      <c r="N1053" s="1917"/>
      <c r="O1053" s="1917"/>
      <c r="P1053" s="1917"/>
      <c r="Q1053" s="1969"/>
      <c r="R1053" s="1917"/>
      <c r="S1053" s="1917"/>
      <c r="T1053" s="1917"/>
      <c r="U1053" s="1917"/>
      <c r="V1053" s="1917"/>
      <c r="W1053" s="346"/>
    </row>
    <row r="1054" spans="1:23" x14ac:dyDescent="0.2">
      <c r="A1054" s="436"/>
      <c r="B1054" s="345"/>
      <c r="C1054" s="453" t="s">
        <v>172</v>
      </c>
      <c r="D1054" s="1917" t="s">
        <v>622</v>
      </c>
      <c r="E1054" s="337">
        <f ca="1">D184</f>
        <v>11845.956751652135</v>
      </c>
      <c r="F1054" s="1917"/>
      <c r="G1054" s="1917"/>
      <c r="H1054" s="1917"/>
      <c r="I1054" s="1917"/>
      <c r="J1054" s="1917"/>
      <c r="K1054" s="1917"/>
      <c r="L1054" s="1917"/>
      <c r="M1054" s="1917"/>
      <c r="N1054" s="1917"/>
      <c r="O1054" s="1917"/>
      <c r="P1054" s="1917"/>
      <c r="Q1054" s="1969"/>
      <c r="R1054" s="1917"/>
      <c r="S1054" s="1917"/>
      <c r="T1054" s="1917"/>
      <c r="U1054" s="1917"/>
      <c r="V1054" s="1917"/>
      <c r="W1054" s="346"/>
    </row>
    <row r="1055" spans="1:23" x14ac:dyDescent="0.2">
      <c r="A1055" s="436"/>
      <c r="B1055" s="345"/>
      <c r="C1055" s="453"/>
      <c r="D1055" s="1917"/>
      <c r="E1055" s="337"/>
      <c r="F1055" s="1917"/>
      <c r="G1055" s="1917"/>
      <c r="H1055" s="1917"/>
      <c r="I1055" s="1917"/>
      <c r="J1055" s="1917"/>
      <c r="K1055" s="1917"/>
      <c r="L1055" s="1917"/>
      <c r="M1055" s="1917"/>
      <c r="N1055" s="1917"/>
      <c r="O1055" s="1917"/>
      <c r="P1055" s="1917"/>
      <c r="Q1055" s="1969"/>
      <c r="R1055" s="1917"/>
      <c r="S1055" s="1917"/>
      <c r="T1055" s="1917"/>
      <c r="U1055" s="1917"/>
      <c r="V1055" s="1917"/>
      <c r="W1055" s="346"/>
    </row>
    <row r="1056" spans="1:23" x14ac:dyDescent="0.2">
      <c r="A1056" s="436"/>
      <c r="B1056" s="345"/>
      <c r="C1056" s="453" t="s">
        <v>393</v>
      </c>
      <c r="D1056" s="1917" t="s">
        <v>622</v>
      </c>
      <c r="E1056" s="337">
        <f ca="1">SUM(E1048:E1054)</f>
        <v>73379.708455661224</v>
      </c>
      <c r="F1056" s="1917"/>
      <c r="G1056" s="1917"/>
      <c r="H1056" s="1917"/>
      <c r="I1056" s="1917"/>
      <c r="J1056" s="1917"/>
      <c r="K1056" s="1917"/>
      <c r="L1056" s="1917"/>
      <c r="M1056" s="1917"/>
      <c r="N1056" s="1917"/>
      <c r="O1056" s="1917"/>
      <c r="P1056" s="1917"/>
      <c r="Q1056" s="1969"/>
      <c r="R1056" s="1917"/>
      <c r="S1056" s="1917"/>
      <c r="T1056" s="1917"/>
      <c r="U1056" s="1917"/>
      <c r="V1056" s="1917"/>
      <c r="W1056" s="346"/>
    </row>
    <row r="1057" spans="1:23" x14ac:dyDescent="0.2">
      <c r="A1057" s="436"/>
      <c r="B1057" s="345"/>
      <c r="C1057" s="453" t="s">
        <v>257</v>
      </c>
      <c r="D1057" s="1917"/>
      <c r="E1057" s="913">
        <f>Constants!H320</f>
        <v>0.05</v>
      </c>
      <c r="F1057" s="1917"/>
      <c r="G1057" s="1917"/>
      <c r="H1057" s="1917"/>
      <c r="I1057" s="1917"/>
      <c r="J1057" s="1917"/>
      <c r="K1057" s="1917"/>
      <c r="L1057" s="1917"/>
      <c r="M1057" s="1917"/>
      <c r="N1057" s="1917"/>
      <c r="O1057" s="1917"/>
      <c r="P1057" s="1917"/>
      <c r="Q1057" s="1969"/>
      <c r="R1057" s="1917"/>
      <c r="S1057" s="1917"/>
      <c r="T1057" s="1917"/>
      <c r="U1057" s="1917"/>
      <c r="V1057" s="1917"/>
      <c r="W1057" s="346"/>
    </row>
    <row r="1058" spans="1:23" x14ac:dyDescent="0.2">
      <c r="A1058" s="436"/>
      <c r="B1058" s="345"/>
      <c r="C1058" s="453" t="s">
        <v>598</v>
      </c>
      <c r="D1058" s="1917" t="s">
        <v>622</v>
      </c>
      <c r="E1058" s="337">
        <f ca="1">E1056*(1+E1057)</f>
        <v>77048.69387844429</v>
      </c>
      <c r="F1058" s="1917"/>
      <c r="G1058" s="1917"/>
      <c r="H1058" s="1917"/>
      <c r="I1058" s="1917"/>
      <c r="J1058" s="1917"/>
      <c r="K1058" s="1917"/>
      <c r="L1058" s="1917"/>
      <c r="M1058" s="1917"/>
      <c r="N1058" s="1917"/>
      <c r="O1058" s="1917"/>
      <c r="P1058" s="1917"/>
      <c r="Q1058" s="1969"/>
      <c r="R1058" s="1917"/>
      <c r="S1058" s="1917"/>
      <c r="T1058" s="1917"/>
      <c r="U1058" s="1917"/>
      <c r="V1058" s="1917"/>
      <c r="W1058" s="346"/>
    </row>
    <row r="1059" spans="1:23" x14ac:dyDescent="0.2">
      <c r="A1059" s="436"/>
      <c r="B1059" s="345"/>
      <c r="C1059" s="453" t="s">
        <v>390</v>
      </c>
      <c r="D1059" s="1917" t="s">
        <v>622</v>
      </c>
      <c r="E1059" s="337">
        <f ca="1">H212</f>
        <v>49946.755867475033</v>
      </c>
      <c r="F1059" s="1917"/>
      <c r="G1059" s="1917"/>
      <c r="H1059" s="1917"/>
      <c r="I1059" s="1917"/>
      <c r="J1059" s="1917"/>
      <c r="K1059" s="1917"/>
      <c r="L1059" s="1917"/>
      <c r="M1059" s="1917"/>
      <c r="N1059" s="1917"/>
      <c r="O1059" s="1917"/>
      <c r="P1059" s="1917"/>
      <c r="Q1059" s="1969"/>
      <c r="R1059" s="1917"/>
      <c r="S1059" s="1917"/>
      <c r="T1059" s="1917"/>
      <c r="U1059" s="1917"/>
      <c r="V1059" s="1917"/>
      <c r="W1059" s="346"/>
    </row>
    <row r="1060" spans="1:23" x14ac:dyDescent="0.2">
      <c r="A1060" s="436"/>
      <c r="B1060" s="345"/>
      <c r="C1060" s="453" t="s">
        <v>388</v>
      </c>
      <c r="D1060" s="1917" t="s">
        <v>622</v>
      </c>
      <c r="E1060" s="337">
        <f ca="1">E1058-E1059</f>
        <v>27101.938010969257</v>
      </c>
      <c r="F1060" s="1917"/>
      <c r="G1060" s="1917"/>
      <c r="H1060" s="1917"/>
      <c r="I1060" s="1917"/>
      <c r="J1060" s="1917"/>
      <c r="K1060" s="1917"/>
      <c r="L1060" s="1917"/>
      <c r="M1060" s="1917"/>
      <c r="N1060" s="1917"/>
      <c r="O1060" s="1917"/>
      <c r="P1060" s="1917"/>
      <c r="Q1060" s="1969"/>
      <c r="R1060" s="1917"/>
      <c r="S1060" s="1917"/>
      <c r="T1060" s="1917"/>
      <c r="U1060" s="1917"/>
      <c r="V1060" s="1917"/>
      <c r="W1060" s="346"/>
    </row>
    <row r="1061" spans="1:23" x14ac:dyDescent="0.2">
      <c r="A1061" s="436"/>
      <c r="B1061" s="345"/>
      <c r="C1061" s="453" t="s">
        <v>388</v>
      </c>
      <c r="D1061" s="1917" t="s">
        <v>389</v>
      </c>
      <c r="E1061" s="337">
        <f ca="1">E1060*'Energy &amp; Unit Conversions'!E93/'Energy &amp; Unit Conversions'!E26</f>
        <v>11254483.219969973</v>
      </c>
      <c r="F1061" s="1917"/>
      <c r="G1061" s="1917"/>
      <c r="H1061" s="1917"/>
      <c r="I1061" s="1917"/>
      <c r="J1061" s="1917"/>
      <c r="K1061" s="1917"/>
      <c r="L1061" s="1917"/>
      <c r="M1061" s="1917"/>
      <c r="N1061" s="1917"/>
      <c r="O1061" s="1917"/>
      <c r="P1061" s="1917"/>
      <c r="Q1061" s="1969"/>
      <c r="R1061" s="1917"/>
      <c r="S1061" s="1917"/>
      <c r="T1061" s="1917"/>
      <c r="U1061" s="1917"/>
      <c r="V1061" s="1917"/>
      <c r="W1061" s="346"/>
    </row>
    <row r="1062" spans="1:23" x14ac:dyDescent="0.2">
      <c r="A1062" s="436"/>
      <c r="B1062" s="345"/>
      <c r="C1062" s="443" t="s">
        <v>458</v>
      </c>
      <c r="D1062" s="335" t="s">
        <v>511</v>
      </c>
      <c r="E1062" s="413">
        <f ca="1">E1061</f>
        <v>11254483.219969973</v>
      </c>
      <c r="F1062" s="1917"/>
      <c r="G1062" s="1917"/>
      <c r="H1062" s="1917"/>
      <c r="I1062" s="1917"/>
      <c r="J1062" s="1917"/>
      <c r="K1062" s="1917"/>
      <c r="L1062" s="1917"/>
      <c r="M1062" s="1917"/>
      <c r="N1062" s="1917"/>
      <c r="O1062" s="1917"/>
      <c r="P1062" s="1917"/>
      <c r="Q1062" s="1969"/>
      <c r="R1062" s="1917"/>
      <c r="S1062" s="1917"/>
      <c r="T1062" s="1917"/>
      <c r="U1062" s="1917"/>
      <c r="V1062" s="1917"/>
      <c r="W1062" s="346"/>
    </row>
    <row r="1063" spans="1:23" x14ac:dyDescent="0.2">
      <c r="A1063" s="436"/>
      <c r="B1063" s="345"/>
      <c r="C1063" s="437"/>
      <c r="D1063" s="1917"/>
      <c r="E1063" s="1917"/>
      <c r="F1063" s="1917"/>
      <c r="G1063" s="1917"/>
      <c r="H1063" s="1917"/>
      <c r="I1063" s="1917"/>
      <c r="J1063" s="1917"/>
      <c r="K1063" s="1917"/>
      <c r="L1063" s="1917"/>
      <c r="M1063" s="1917"/>
      <c r="N1063" s="1917"/>
      <c r="O1063" s="1917"/>
      <c r="P1063" s="1917"/>
      <c r="Q1063" s="1969"/>
      <c r="R1063" s="1917"/>
      <c r="S1063" s="1917"/>
      <c r="T1063" s="1917"/>
      <c r="U1063" s="1917"/>
      <c r="V1063" s="1917"/>
      <c r="W1063" s="346"/>
    </row>
    <row r="1064" spans="1:23" x14ac:dyDescent="0.2">
      <c r="A1064" s="436"/>
      <c r="B1064" s="345"/>
      <c r="C1064" s="440" t="s">
        <v>1303</v>
      </c>
      <c r="D1064" s="360"/>
      <c r="E1064" s="1917"/>
      <c r="F1064" s="1917"/>
      <c r="G1064" s="1917"/>
      <c r="H1064" s="1917"/>
      <c r="I1064" s="1917"/>
      <c r="J1064" s="363"/>
      <c r="K1064" s="1917"/>
      <c r="L1064" s="1917"/>
      <c r="M1064" s="1917"/>
      <c r="N1064" s="1917"/>
      <c r="O1064" s="1917"/>
      <c r="P1064" s="1917"/>
      <c r="Q1064" s="1969"/>
      <c r="R1064" s="1917"/>
      <c r="S1064" s="1917"/>
      <c r="T1064" s="1917"/>
      <c r="U1064" s="1917"/>
      <c r="V1064" s="1917"/>
      <c r="W1064" s="346"/>
    </row>
    <row r="1065" spans="1:23" x14ac:dyDescent="0.2">
      <c r="A1065" s="436"/>
      <c r="B1065" s="345"/>
      <c r="C1065" s="449"/>
      <c r="D1065" s="368" t="s">
        <v>624</v>
      </c>
      <c r="E1065" s="369" t="s">
        <v>623</v>
      </c>
      <c r="F1065" s="1917"/>
      <c r="G1065" s="1917"/>
      <c r="H1065" s="1917"/>
      <c r="I1065" s="1917"/>
      <c r="J1065" s="1917"/>
      <c r="K1065" s="1917"/>
      <c r="L1065" s="1917"/>
      <c r="M1065" s="1917"/>
      <c r="N1065" s="1917"/>
      <c r="O1065" s="1917"/>
      <c r="P1065" s="1917"/>
      <c r="Q1065" s="1969"/>
      <c r="R1065" s="1917"/>
      <c r="S1065" s="1917"/>
      <c r="T1065" s="1917"/>
      <c r="U1065" s="1917"/>
      <c r="V1065" s="1917"/>
      <c r="W1065" s="346"/>
    </row>
    <row r="1066" spans="1:23" x14ac:dyDescent="0.2">
      <c r="A1066" s="436"/>
      <c r="B1066" s="345"/>
      <c r="C1066" s="453" t="s">
        <v>1977</v>
      </c>
      <c r="D1066" s="913">
        <f>Constants!H314</f>
        <v>0.22828692834321099</v>
      </c>
      <c r="E1066" s="337" t="s">
        <v>459</v>
      </c>
      <c r="F1066" s="1917"/>
      <c r="G1066" s="1917"/>
      <c r="H1066" s="1917"/>
      <c r="I1066" s="1917"/>
      <c r="J1066" s="1917"/>
      <c r="K1066" s="1917"/>
      <c r="L1066" s="1917"/>
      <c r="M1066" s="1917"/>
      <c r="N1066" s="1917"/>
      <c r="O1066" s="1917"/>
      <c r="P1066" s="1917"/>
      <c r="Q1066" s="1969"/>
      <c r="R1066" s="1917"/>
      <c r="S1066" s="1917"/>
      <c r="T1066" s="1917"/>
      <c r="U1066" s="1917"/>
      <c r="V1066" s="1917"/>
      <c r="W1066" s="346"/>
    </row>
    <row r="1067" spans="1:23" x14ac:dyDescent="0.2">
      <c r="A1067" s="436"/>
      <c r="B1067" s="345"/>
      <c r="C1067" s="453" t="s">
        <v>1978</v>
      </c>
      <c r="D1067" s="1917">
        <f ca="1">IF(E1062&lt;0,0,E1062*D1066)</f>
        <v>2569251.4043771555</v>
      </c>
      <c r="E1067" s="337" t="s">
        <v>511</v>
      </c>
      <c r="F1067" s="1917"/>
      <c r="G1067" s="1917"/>
      <c r="H1067" s="1917"/>
      <c r="I1067" s="1917"/>
      <c r="J1067" s="1917"/>
      <c r="K1067" s="1917"/>
      <c r="L1067" s="1917"/>
      <c r="M1067" s="1917"/>
      <c r="N1067" s="1917"/>
      <c r="O1067" s="1917"/>
      <c r="P1067" s="1917"/>
      <c r="Q1067" s="1969"/>
      <c r="R1067" s="1917"/>
      <c r="S1067" s="1917"/>
      <c r="T1067" s="1917"/>
      <c r="U1067" s="1917"/>
      <c r="V1067" s="1917"/>
      <c r="W1067" s="346"/>
    </row>
    <row r="1068" spans="1:23" x14ac:dyDescent="0.2">
      <c r="A1068" s="436"/>
      <c r="B1068" s="345"/>
      <c r="C1068" s="453" t="s">
        <v>1978</v>
      </c>
      <c r="D1068" s="1917">
        <f ca="1">D1067/'Energy &amp; Unit Conversions'!E93</f>
        <v>2569.2514043771553</v>
      </c>
      <c r="E1068" s="337" t="s">
        <v>585</v>
      </c>
      <c r="F1068" s="1917"/>
      <c r="G1068" s="1917"/>
      <c r="H1068" s="1917"/>
      <c r="I1068" s="1917"/>
      <c r="J1068" s="1917"/>
      <c r="K1068" s="1917"/>
      <c r="L1068" s="1917"/>
      <c r="M1068" s="1917"/>
      <c r="N1068" s="1917"/>
      <c r="O1068" s="1917"/>
      <c r="P1068" s="1917"/>
      <c r="Q1068" s="1969"/>
      <c r="R1068" s="1917"/>
      <c r="S1068" s="1917"/>
      <c r="T1068" s="1917"/>
      <c r="U1068" s="1917"/>
      <c r="V1068" s="1917"/>
      <c r="W1068" s="346"/>
    </row>
    <row r="1069" spans="1:23" x14ac:dyDescent="0.2">
      <c r="A1069" s="436"/>
      <c r="B1069" s="345"/>
      <c r="C1069" s="452" t="s">
        <v>1978</v>
      </c>
      <c r="D1069" s="334">
        <f ca="1">D1067/'Energy &amp; Unit Conversions'!E94</f>
        <v>2.5692514043771553</v>
      </c>
      <c r="E1069" s="338" t="s">
        <v>484</v>
      </c>
      <c r="F1069" s="1917"/>
      <c r="G1069" s="1917"/>
      <c r="H1069" s="1917"/>
      <c r="I1069" s="1917"/>
      <c r="J1069" s="1917"/>
      <c r="K1069" s="1917"/>
      <c r="L1069" s="1917"/>
      <c r="M1069" s="1917"/>
      <c r="N1069" s="1917"/>
      <c r="O1069" s="1917"/>
      <c r="P1069" s="1917"/>
      <c r="Q1069" s="1969"/>
      <c r="R1069" s="1917"/>
      <c r="S1069" s="1917"/>
      <c r="T1069" s="1917"/>
      <c r="U1069" s="1917"/>
      <c r="V1069" s="1917"/>
      <c r="W1069" s="346"/>
    </row>
    <row r="1070" spans="1:23" x14ac:dyDescent="0.2">
      <c r="A1070" s="436"/>
      <c r="B1070" s="345"/>
      <c r="C1070" s="454" t="s">
        <v>1979</v>
      </c>
      <c r="D1070" s="913">
        <f>Constants!H315</f>
        <v>0.25769398568870638</v>
      </c>
      <c r="E1070" s="369" t="s">
        <v>459</v>
      </c>
      <c r="F1070" s="1917"/>
      <c r="G1070" s="1917"/>
      <c r="H1070" s="1917"/>
      <c r="I1070" s="1917"/>
      <c r="J1070" s="1917"/>
      <c r="K1070" s="1917"/>
      <c r="L1070" s="1917"/>
      <c r="M1070" s="1917"/>
      <c r="N1070" s="1917"/>
      <c r="O1070" s="1917"/>
      <c r="P1070" s="1917"/>
      <c r="Q1070" s="1969"/>
      <c r="R1070" s="1917"/>
      <c r="S1070" s="1917"/>
      <c r="T1070" s="1917"/>
      <c r="U1070" s="1917"/>
      <c r="V1070" s="1917"/>
      <c r="W1070" s="346"/>
    </row>
    <row r="1071" spans="1:23" x14ac:dyDescent="0.2">
      <c r="A1071" s="436"/>
      <c r="B1071" s="345"/>
      <c r="C1071" s="453" t="s">
        <v>1980</v>
      </c>
      <c r="D1071" s="1917">
        <f ca="1">IF(E1062&lt;0,0,E1062*D1070)</f>
        <v>2900212.6378207286</v>
      </c>
      <c r="E1071" s="337" t="s">
        <v>511</v>
      </c>
      <c r="F1071" s="1917"/>
      <c r="G1071" s="1917"/>
      <c r="H1071" s="1917"/>
      <c r="I1071" s="1917"/>
      <c r="J1071" s="1917"/>
      <c r="K1071" s="1917"/>
      <c r="L1071" s="1917"/>
      <c r="M1071" s="1917"/>
      <c r="N1071" s="1917"/>
      <c r="O1071" s="1917"/>
      <c r="P1071" s="1917"/>
      <c r="Q1071" s="1969"/>
      <c r="R1071" s="1917"/>
      <c r="S1071" s="1917"/>
      <c r="T1071" s="1917"/>
      <c r="U1071" s="1917"/>
      <c r="V1071" s="1917"/>
      <c r="W1071" s="346"/>
    </row>
    <row r="1072" spans="1:23" x14ac:dyDescent="0.2">
      <c r="A1072" s="436"/>
      <c r="B1072" s="345"/>
      <c r="C1072" s="453" t="s">
        <v>1980</v>
      </c>
      <c r="D1072" s="1917">
        <f ca="1">D1071/1000</f>
        <v>2900.2126378207286</v>
      </c>
      <c r="E1072" s="337" t="s">
        <v>585</v>
      </c>
      <c r="F1072" s="1917"/>
      <c r="G1072" s="1917"/>
      <c r="H1072" s="1917"/>
      <c r="I1072" s="1917"/>
      <c r="J1072" s="1917"/>
      <c r="K1072" s="1917"/>
      <c r="L1072" s="1917"/>
      <c r="M1072" s="1917"/>
      <c r="N1072" s="1917"/>
      <c r="O1072" s="1917"/>
      <c r="P1072" s="1917"/>
      <c r="Q1072" s="1969"/>
      <c r="R1072" s="1917"/>
      <c r="S1072" s="1917"/>
      <c r="T1072" s="1917"/>
      <c r="U1072" s="1917"/>
      <c r="V1072" s="1917"/>
      <c r="W1072" s="346"/>
    </row>
    <row r="1073" spans="1:23" x14ac:dyDescent="0.2">
      <c r="A1073" s="436"/>
      <c r="B1073" s="345"/>
      <c r="C1073" s="452" t="s">
        <v>1980</v>
      </c>
      <c r="D1073" s="334">
        <f ca="1">D1071/'Energy &amp; Unit Conversions'!E94</f>
        <v>2.9002126378207285</v>
      </c>
      <c r="E1073" s="338" t="s">
        <v>484</v>
      </c>
      <c r="F1073" s="1917"/>
      <c r="G1073" s="1917"/>
      <c r="H1073" s="1917"/>
      <c r="I1073" s="1917"/>
      <c r="J1073" s="1917"/>
      <c r="K1073" s="1917"/>
      <c r="L1073" s="1917"/>
      <c r="M1073" s="1917"/>
      <c r="N1073" s="1917"/>
      <c r="O1073" s="1917"/>
      <c r="P1073" s="1917"/>
      <c r="Q1073" s="1969"/>
      <c r="R1073" s="1917"/>
      <c r="S1073" s="1917"/>
      <c r="T1073" s="1917"/>
      <c r="U1073" s="1917"/>
      <c r="V1073" s="1917"/>
      <c r="W1073" s="346"/>
    </row>
    <row r="1074" spans="1:23" x14ac:dyDescent="0.2">
      <c r="A1074" s="436"/>
      <c r="B1074" s="345"/>
      <c r="C1074" s="454" t="s">
        <v>1981</v>
      </c>
      <c r="D1074" s="368">
        <f ca="1">D1067+D1071</f>
        <v>5469464.0421978841</v>
      </c>
      <c r="E1074" s="369" t="s">
        <v>511</v>
      </c>
      <c r="F1074" s="1917"/>
      <c r="G1074" s="1917"/>
      <c r="H1074" s="1917"/>
      <c r="I1074" s="1917"/>
      <c r="J1074" s="1917"/>
      <c r="K1074" s="1917"/>
      <c r="L1074" s="1917"/>
      <c r="M1074" s="1917"/>
      <c r="N1074" s="1917"/>
      <c r="O1074" s="1917"/>
      <c r="P1074" s="1917"/>
      <c r="Q1074" s="1969"/>
      <c r="R1074" s="1917"/>
      <c r="S1074" s="1917"/>
      <c r="T1074" s="1917"/>
      <c r="U1074" s="1917"/>
      <c r="V1074" s="1917"/>
      <c r="W1074" s="346"/>
    </row>
    <row r="1075" spans="1:23" x14ac:dyDescent="0.2">
      <c r="A1075" s="436"/>
      <c r="B1075" s="345"/>
      <c r="C1075" s="453" t="s">
        <v>1981</v>
      </c>
      <c r="D1075" s="1917">
        <f ca="1">D1068+D1072</f>
        <v>5469.4640421978838</v>
      </c>
      <c r="E1075" s="337" t="s">
        <v>585</v>
      </c>
      <c r="F1075" s="1917"/>
      <c r="G1075" s="1917"/>
      <c r="H1075" s="1917"/>
      <c r="I1075" s="1917"/>
      <c r="J1075" s="1917"/>
      <c r="K1075" s="1917"/>
      <c r="L1075" s="1917"/>
      <c r="M1075" s="1917"/>
      <c r="N1075" s="1917"/>
      <c r="O1075" s="1917"/>
      <c r="P1075" s="1917"/>
      <c r="Q1075" s="1969"/>
      <c r="R1075" s="1917"/>
      <c r="S1075" s="1917"/>
      <c r="T1075" s="1917"/>
      <c r="U1075" s="1917"/>
      <c r="V1075" s="1917"/>
      <c r="W1075" s="346"/>
    </row>
    <row r="1076" spans="1:23" x14ac:dyDescent="0.2">
      <c r="A1076" s="436"/>
      <c r="B1076" s="345"/>
      <c r="C1076" s="452" t="s">
        <v>1981</v>
      </c>
      <c r="D1076" s="334">
        <f ca="1">D1069+D1073</f>
        <v>5.4694640421978837</v>
      </c>
      <c r="E1076" s="338" t="s">
        <v>484</v>
      </c>
      <c r="F1076" s="1917"/>
      <c r="G1076" s="1917"/>
      <c r="H1076" s="1917"/>
      <c r="I1076" s="1917"/>
      <c r="J1076" s="1917"/>
      <c r="K1076" s="1917"/>
      <c r="L1076" s="1917"/>
      <c r="M1076" s="1917"/>
      <c r="N1076" s="1917"/>
      <c r="O1076" s="1917"/>
      <c r="P1076" s="1917"/>
      <c r="Q1076" s="1969"/>
      <c r="R1076" s="1917"/>
      <c r="S1076" s="1917"/>
      <c r="T1076" s="1917"/>
      <c r="U1076" s="1917"/>
      <c r="V1076" s="1917"/>
      <c r="W1076" s="346"/>
    </row>
    <row r="1077" spans="1:23" x14ac:dyDescent="0.2">
      <c r="A1077" s="436"/>
      <c r="B1077" s="345"/>
      <c r="C1077" s="454" t="s">
        <v>761</v>
      </c>
      <c r="D1077" s="913">
        <f>Constants!H317</f>
        <v>0</v>
      </c>
      <c r="E1077" s="369" t="s">
        <v>483</v>
      </c>
      <c r="F1077" s="1917"/>
      <c r="G1077" s="1917"/>
      <c r="H1077" s="1917"/>
      <c r="I1077" s="1917"/>
      <c r="J1077" s="1917"/>
      <c r="K1077" s="1917"/>
      <c r="L1077" s="1917"/>
      <c r="M1077" s="1917"/>
      <c r="N1077" s="1917"/>
      <c r="O1077" s="1917"/>
      <c r="P1077" s="1917"/>
      <c r="Q1077" s="1969"/>
      <c r="R1077" s="1917"/>
      <c r="S1077" s="1917"/>
      <c r="T1077" s="1917"/>
      <c r="U1077" s="1917"/>
      <c r="V1077" s="1917"/>
      <c r="W1077" s="346"/>
    </row>
    <row r="1078" spans="1:23" x14ac:dyDescent="0.2">
      <c r="A1078" s="436"/>
      <c r="B1078" s="345"/>
      <c r="C1078" s="453" t="s">
        <v>584</v>
      </c>
      <c r="D1078" s="1917">
        <f ca="1">IF(E1062&lt;0,0,D1077*E1062)</f>
        <v>0</v>
      </c>
      <c r="E1078" s="337" t="s">
        <v>622</v>
      </c>
      <c r="F1078" s="1917"/>
      <c r="G1078" s="1917"/>
      <c r="H1078" s="1917"/>
      <c r="I1078" s="1917"/>
      <c r="J1078" s="1917"/>
      <c r="K1078" s="1917"/>
      <c r="L1078" s="1917"/>
      <c r="M1078" s="1917"/>
      <c r="N1078" s="1917"/>
      <c r="O1078" s="1917"/>
      <c r="P1078" s="1917"/>
      <c r="Q1078" s="1969"/>
      <c r="R1078" s="1917"/>
      <c r="S1078" s="1917"/>
      <c r="T1078" s="1917"/>
      <c r="U1078" s="1917"/>
      <c r="V1078" s="1917"/>
      <c r="W1078" s="346"/>
    </row>
    <row r="1079" spans="1:23" x14ac:dyDescent="0.2">
      <c r="A1079" s="436"/>
      <c r="B1079" s="345"/>
      <c r="C1079" s="452" t="s">
        <v>584</v>
      </c>
      <c r="D1079" s="334">
        <f ca="1">D1078/1000</f>
        <v>0</v>
      </c>
      <c r="E1079" s="338" t="s">
        <v>583</v>
      </c>
      <c r="F1079" s="1917"/>
      <c r="G1079" s="1917"/>
      <c r="H1079" s="1917"/>
      <c r="I1079" s="1917"/>
      <c r="J1079" s="1917"/>
      <c r="K1079" s="1917"/>
      <c r="L1079" s="1917"/>
      <c r="M1079" s="1917"/>
      <c r="N1079" s="1917"/>
      <c r="O1079" s="1917"/>
      <c r="P1079" s="1917"/>
      <c r="Q1079" s="1969"/>
      <c r="R1079" s="1917"/>
      <c r="S1079" s="1917"/>
      <c r="T1079" s="1917"/>
      <c r="U1079" s="1917"/>
      <c r="V1079" s="1917"/>
      <c r="W1079" s="346"/>
    </row>
    <row r="1080" spans="1:23" x14ac:dyDescent="0.2">
      <c r="A1080" s="436"/>
      <c r="B1080" s="345"/>
      <c r="C1080" s="454" t="s">
        <v>762</v>
      </c>
      <c r="D1080" s="913">
        <f>Constants!H316</f>
        <v>7.946734975578663E-4</v>
      </c>
      <c r="E1080" s="369" t="s">
        <v>728</v>
      </c>
      <c r="F1080" s="1917"/>
      <c r="G1080" s="1917"/>
      <c r="H1080" s="1917"/>
      <c r="I1080" s="1917"/>
      <c r="J1080" s="1917"/>
      <c r="K1080" s="1917"/>
      <c r="L1080" s="1917"/>
      <c r="M1080" s="1917"/>
      <c r="N1080" s="1917"/>
      <c r="O1080" s="1917"/>
      <c r="P1080" s="1917"/>
      <c r="Q1080" s="1969"/>
      <c r="R1080" s="1917"/>
      <c r="S1080" s="1917"/>
      <c r="T1080" s="1917"/>
      <c r="U1080" s="1917"/>
      <c r="V1080" s="1917"/>
      <c r="W1080" s="346"/>
    </row>
    <row r="1081" spans="1:23" x14ac:dyDescent="0.2">
      <c r="A1081" s="436"/>
      <c r="B1081" s="345"/>
      <c r="C1081" s="443" t="s">
        <v>763</v>
      </c>
      <c r="D1081" s="335">
        <f ca="1">IF(E1062&lt;0,0,D1080*E1062)</f>
        <v>8943.6395436198563</v>
      </c>
      <c r="E1081" s="413" t="s">
        <v>759</v>
      </c>
      <c r="F1081" s="1917"/>
      <c r="G1081" s="1917"/>
      <c r="H1081" s="1917"/>
      <c r="I1081" s="1917"/>
      <c r="J1081" s="1917"/>
      <c r="K1081" s="1917"/>
      <c r="L1081" s="1917"/>
      <c r="M1081" s="1917"/>
      <c r="N1081" s="1917"/>
      <c r="O1081" s="1917"/>
      <c r="P1081" s="1917"/>
      <c r="Q1081" s="1969"/>
      <c r="R1081" s="1917"/>
      <c r="S1081" s="1917"/>
      <c r="T1081" s="1917"/>
      <c r="U1081" s="1917"/>
      <c r="V1081" s="1917"/>
      <c r="W1081" s="346"/>
    </row>
    <row r="1082" spans="1:23" x14ac:dyDescent="0.2">
      <c r="A1082" s="436"/>
      <c r="B1082" s="345"/>
      <c r="C1082" s="437"/>
      <c r="D1082" s="1917"/>
      <c r="E1082" s="1917"/>
      <c r="F1082" s="1917"/>
      <c r="G1082" s="1917"/>
      <c r="H1082" s="1917"/>
      <c r="I1082" s="1917"/>
      <c r="J1082" s="1917"/>
      <c r="K1082" s="1917"/>
      <c r="L1082" s="1917"/>
      <c r="M1082" s="1917"/>
      <c r="N1082" s="1917"/>
      <c r="O1082" s="1917"/>
      <c r="P1082" s="1917"/>
      <c r="Q1082" s="1969"/>
      <c r="R1082" s="1917"/>
      <c r="S1082" s="1917"/>
      <c r="T1082" s="1917"/>
      <c r="U1082" s="1917"/>
      <c r="V1082" s="1917"/>
      <c r="W1082" s="346"/>
    </row>
    <row r="1083" spans="1:23" x14ac:dyDescent="0.2">
      <c r="A1083" s="436"/>
      <c r="B1083" s="345"/>
      <c r="C1083" s="440" t="s">
        <v>95</v>
      </c>
      <c r="D1083" s="360"/>
      <c r="E1083" s="1917"/>
      <c r="F1083" s="1583"/>
      <c r="G1083" s="724"/>
      <c r="H1083" s="1917"/>
      <c r="I1083" s="1917"/>
      <c r="J1083" s="1917"/>
      <c r="K1083" s="1917"/>
      <c r="L1083" s="1917"/>
      <c r="M1083" s="1917"/>
      <c r="N1083" s="1917"/>
      <c r="O1083" s="1917"/>
      <c r="P1083" s="1917"/>
      <c r="Q1083" s="1969"/>
      <c r="R1083" s="1917"/>
      <c r="S1083" s="1917"/>
      <c r="T1083" s="1917"/>
      <c r="U1083" s="1917"/>
      <c r="V1083" s="1917"/>
      <c r="W1083" s="346"/>
    </row>
    <row r="1084" spans="1:23" x14ac:dyDescent="0.2">
      <c r="A1084" s="436"/>
      <c r="B1084" s="345"/>
      <c r="C1084" s="454" t="str">
        <f>C1068</f>
        <v xml:space="preserve">NG Feedstock </v>
      </c>
      <c r="D1084" s="368">
        <f>D1066*'Energy &amp; Unit Conversions'!$P$25/'Energy &amp; Unit Conversions'!$P$26</f>
        <v>0.77381396745302222</v>
      </c>
      <c r="E1084" s="369" t="s">
        <v>93</v>
      </c>
      <c r="F1084" s="329"/>
      <c r="G1084" s="724"/>
      <c r="H1084" s="1917"/>
      <c r="I1084" s="1917"/>
      <c r="J1084" s="1917"/>
      <c r="K1084" s="1917"/>
      <c r="L1084" s="1917"/>
      <c r="M1084" s="1917"/>
      <c r="N1084" s="1917"/>
      <c r="O1084" s="1917"/>
      <c r="P1084" s="1917"/>
      <c r="Q1084" s="1969"/>
      <c r="R1084" s="1917"/>
      <c r="S1084" s="1917"/>
      <c r="T1084" s="1917"/>
      <c r="U1084" s="1917"/>
      <c r="V1084" s="1917"/>
      <c r="W1084" s="346"/>
    </row>
    <row r="1085" spans="1:23" x14ac:dyDescent="0.2">
      <c r="A1085" s="436"/>
      <c r="B1085" s="345"/>
      <c r="C1085" s="453" t="str">
        <f>C1072</f>
        <v>NG for heating</v>
      </c>
      <c r="D1085" s="1917">
        <f>D1070*'Energy &amp; Unit Conversions'!$P$25/'Energy &amp; Unit Conversions'!$P$26</f>
        <v>0.87349375148964958</v>
      </c>
      <c r="E1085" s="337" t="s">
        <v>93</v>
      </c>
      <c r="F1085" s="329"/>
      <c r="G1085" s="724"/>
      <c r="H1085" s="1917"/>
      <c r="I1085" s="1917"/>
      <c r="J1085" s="1917"/>
      <c r="K1085" s="1917"/>
      <c r="L1085" s="1917"/>
      <c r="M1085" s="1917"/>
      <c r="N1085" s="1917"/>
      <c r="O1085" s="1917"/>
      <c r="P1085" s="1917"/>
      <c r="Q1085" s="1969"/>
      <c r="R1085" s="1917"/>
      <c r="S1085" s="1917"/>
      <c r="T1085" s="1917"/>
      <c r="U1085" s="1917"/>
      <c r="V1085" s="1917"/>
      <c r="W1085" s="346"/>
    </row>
    <row r="1086" spans="1:23" x14ac:dyDescent="0.2">
      <c r="A1086" s="436"/>
      <c r="B1086" s="345"/>
      <c r="C1086" s="453" t="s">
        <v>485</v>
      </c>
      <c r="D1086" s="1917">
        <f>D1077*(1/D1036)*'Energy &amp; Unit Conversions'!E70/('Energy &amp; Unit Conversions'!$G$82*'Energy &amp; Unit Conversions'!$P$26)</f>
        <v>0</v>
      </c>
      <c r="E1086" s="337" t="s">
        <v>94</v>
      </c>
      <c r="F1086" s="329"/>
      <c r="G1086" s="724"/>
      <c r="H1086" s="1917"/>
      <c r="I1086" s="1917"/>
      <c r="J1086" s="1917"/>
      <c r="K1086" s="1917"/>
      <c r="L1086" s="1917"/>
      <c r="M1086" s="1917"/>
      <c r="N1086" s="1917"/>
      <c r="O1086" s="1917"/>
      <c r="P1086" s="1917"/>
      <c r="Q1086" s="1969"/>
      <c r="R1086" s="1917"/>
      <c r="S1086" s="1917"/>
      <c r="T1086" s="1917"/>
      <c r="U1086" s="1917"/>
      <c r="V1086" s="1917"/>
      <c r="W1086" s="346"/>
    </row>
    <row r="1087" spans="1:23" x14ac:dyDescent="0.2">
      <c r="A1087" s="436"/>
      <c r="B1087" s="345"/>
      <c r="C1087" s="453" t="s">
        <v>97</v>
      </c>
      <c r="D1087" s="1917">
        <f>D1086*D1039</f>
        <v>0</v>
      </c>
      <c r="E1087" s="337" t="s">
        <v>93</v>
      </c>
      <c r="F1087" s="329"/>
      <c r="G1087" s="724"/>
      <c r="H1087" s="1917"/>
      <c r="I1087" s="1917"/>
      <c r="J1087" s="1917"/>
      <c r="K1087" s="1917"/>
      <c r="L1087" s="1917"/>
      <c r="M1087" s="1917"/>
      <c r="N1087" s="1917"/>
      <c r="O1087" s="1917"/>
      <c r="P1087" s="1917"/>
      <c r="Q1087" s="1969"/>
      <c r="R1087" s="1917"/>
      <c r="S1087" s="1917"/>
      <c r="T1087" s="1917"/>
      <c r="U1087" s="1917"/>
      <c r="V1087" s="1917"/>
      <c r="W1087" s="346"/>
    </row>
    <row r="1088" spans="1:23" x14ac:dyDescent="0.2">
      <c r="A1088" s="436"/>
      <c r="B1088" s="345"/>
      <c r="C1088" s="453" t="s">
        <v>98</v>
      </c>
      <c r="D1088" s="1917">
        <f>D1086*D1042</f>
        <v>0</v>
      </c>
      <c r="E1088" s="337" t="s">
        <v>99</v>
      </c>
      <c r="F1088" s="329"/>
      <c r="G1088" s="724"/>
      <c r="H1088" s="1917"/>
      <c r="I1088" s="1917"/>
      <c r="J1088" s="1917"/>
      <c r="K1088" s="1917"/>
      <c r="L1088" s="1917"/>
      <c r="M1088" s="1917"/>
      <c r="N1088" s="1917"/>
      <c r="O1088" s="1917"/>
      <c r="P1088" s="1917"/>
      <c r="Q1088" s="1969"/>
      <c r="R1088" s="1917"/>
      <c r="S1088" s="1917"/>
      <c r="T1088" s="1917"/>
      <c r="U1088" s="1917"/>
      <c r="V1088" s="1917"/>
      <c r="W1088" s="346"/>
    </row>
    <row r="1089" spans="1:27" x14ac:dyDescent="0.2">
      <c r="A1089" s="436"/>
      <c r="B1089" s="345"/>
      <c r="C1089" s="452" t="s">
        <v>133</v>
      </c>
      <c r="D1089" s="334">
        <f>D1080*'Energy &amp; Unit Conversions'!$G$88/('Energy &amp; Unit Conversions'!$G$82*'Energy &amp; Unit Conversions'!$P$26)</f>
        <v>9.8829578739971814E-3</v>
      </c>
      <c r="E1089" s="338" t="s">
        <v>99</v>
      </c>
      <c r="F1089" s="329"/>
      <c r="G1089" s="724"/>
      <c r="H1089" s="1917"/>
      <c r="I1089" s="1917"/>
      <c r="J1089" s="1917"/>
      <c r="K1089" s="1917"/>
      <c r="L1089" s="1917"/>
      <c r="M1089" s="1917"/>
      <c r="N1089" s="1917"/>
      <c r="O1089" s="1917"/>
      <c r="P1089" s="1917"/>
      <c r="Q1089" s="1969"/>
      <c r="R1089" s="1917"/>
      <c r="S1089" s="1917"/>
      <c r="T1089" s="1917"/>
      <c r="U1089" s="1917"/>
      <c r="V1089" s="1917"/>
      <c r="W1089" s="346"/>
    </row>
    <row r="1090" spans="1:27" x14ac:dyDescent="0.2">
      <c r="A1090" s="436"/>
      <c r="B1090" s="345"/>
      <c r="C1090" s="437"/>
      <c r="D1090" s="1917"/>
      <c r="E1090" s="1917"/>
      <c r="F1090" s="329"/>
      <c r="G1090" s="724"/>
      <c r="H1090" s="1917"/>
      <c r="I1090" s="1917"/>
      <c r="J1090" s="1917"/>
      <c r="K1090" s="1917"/>
      <c r="L1090" s="1917"/>
      <c r="M1090" s="1917"/>
      <c r="N1090" s="1917"/>
      <c r="O1090" s="1917"/>
      <c r="P1090" s="1917"/>
      <c r="Q1090" s="1969"/>
      <c r="R1090" s="1917"/>
      <c r="S1090" s="1917"/>
      <c r="T1090" s="1917"/>
      <c r="U1090" s="1917"/>
      <c r="V1090" s="1917"/>
      <c r="W1090" s="346"/>
    </row>
    <row r="1091" spans="1:27" x14ac:dyDescent="0.2">
      <c r="A1091" s="436"/>
      <c r="B1091" s="345"/>
      <c r="C1091" s="474" t="s">
        <v>757</v>
      </c>
      <c r="D1091" s="432">
        <f>IF((SUM(D1084:D1086)+D1089)=0, "N.A.",1/(SUM(D1084:D1086)+D1089))</f>
        <v>0.60343086283886183</v>
      </c>
      <c r="E1091" s="1917"/>
      <c r="F1091" s="1917"/>
      <c r="G1091" s="1917"/>
      <c r="H1091" s="1917"/>
      <c r="I1091" s="1917"/>
      <c r="J1091" s="1917"/>
      <c r="K1091" s="1917"/>
      <c r="L1091" s="1917"/>
      <c r="M1091" s="1917"/>
      <c r="N1091" s="1917"/>
      <c r="O1091" s="1917"/>
      <c r="P1091" s="1917"/>
      <c r="Q1091" s="1969"/>
      <c r="R1091" s="1917"/>
      <c r="S1091" s="1917"/>
      <c r="T1091" s="1917"/>
      <c r="U1091" s="1917"/>
      <c r="V1091" s="1917"/>
      <c r="W1091" s="346"/>
    </row>
    <row r="1092" spans="1:27" ht="13.5" thickBot="1" x14ac:dyDescent="0.25">
      <c r="A1092" s="436"/>
      <c r="B1092" s="1935"/>
      <c r="C1092" s="1936"/>
      <c r="D1092" s="1937"/>
      <c r="E1092" s="1937"/>
      <c r="F1092" s="1937"/>
      <c r="G1092" s="1937"/>
      <c r="H1092" s="1937"/>
      <c r="I1092" s="1937"/>
      <c r="J1092" s="1937"/>
      <c r="K1092" s="1937"/>
      <c r="L1092" s="1937"/>
      <c r="M1092" s="1937"/>
      <c r="N1092" s="1937"/>
      <c r="O1092" s="1937"/>
      <c r="P1092" s="1937"/>
      <c r="Q1092" s="1937"/>
      <c r="R1092" s="1937"/>
      <c r="S1092" s="1937"/>
      <c r="T1092" s="1937"/>
      <c r="U1092" s="1937"/>
      <c r="V1092" s="1937"/>
      <c r="W1092" s="1938"/>
    </row>
    <row r="1093" spans="1:27" x14ac:dyDescent="0.2">
      <c r="A1093" s="436"/>
      <c r="B1093" s="341"/>
      <c r="C1093" s="436"/>
      <c r="D1093" s="341"/>
      <c r="E1093" s="341"/>
      <c r="F1093" s="341"/>
      <c r="G1093" s="341"/>
      <c r="H1093" s="341"/>
      <c r="I1093" s="341"/>
      <c r="J1093" s="341"/>
      <c r="K1093" s="341"/>
      <c r="L1093" s="341"/>
      <c r="M1093" s="341"/>
      <c r="N1093" s="341"/>
      <c r="O1093" s="341"/>
      <c r="P1093" s="341"/>
      <c r="Q1093" s="341"/>
      <c r="R1093" s="341"/>
      <c r="S1093" s="341"/>
      <c r="T1093" s="341"/>
      <c r="U1093" s="341"/>
      <c r="V1093" s="341"/>
      <c r="W1093" s="341"/>
      <c r="X1093" s="341"/>
      <c r="Y1093" s="341"/>
      <c r="Z1093" s="341"/>
      <c r="AA1093" s="341"/>
    </row>
    <row r="1094" spans="1:27" ht="13.5" thickBot="1" x14ac:dyDescent="0.25">
      <c r="A1094" s="436"/>
      <c r="B1094" s="341"/>
      <c r="C1094" s="436"/>
      <c r="D1094" s="341"/>
      <c r="E1094" s="341"/>
      <c r="F1094" s="341"/>
      <c r="G1094" s="341"/>
      <c r="H1094" s="341"/>
      <c r="I1094" s="341"/>
      <c r="J1094" s="341"/>
      <c r="K1094" s="341"/>
      <c r="L1094" s="341"/>
      <c r="M1094" s="341"/>
      <c r="N1094" s="341"/>
      <c r="O1094" s="341"/>
      <c r="P1094" s="341"/>
      <c r="Q1094" s="341"/>
      <c r="R1094" s="341"/>
      <c r="S1094" s="341"/>
      <c r="T1094" s="341"/>
      <c r="U1094" s="341"/>
      <c r="V1094" s="184"/>
      <c r="W1094" s="184"/>
    </row>
    <row r="1095" spans="1:27" ht="26.25" customHeight="1" x14ac:dyDescent="0.2">
      <c r="A1095" s="341"/>
      <c r="B1095" s="2008"/>
      <c r="C1095" s="2009" t="s">
        <v>1300</v>
      </c>
      <c r="D1095" s="2010"/>
      <c r="E1095" s="2010"/>
      <c r="F1095" s="2010"/>
      <c r="G1095" s="2010"/>
      <c r="H1095" s="2010"/>
      <c r="I1095" s="2010"/>
      <c r="J1095" s="2010"/>
      <c r="K1095" s="2010"/>
      <c r="L1095" s="2010"/>
      <c r="M1095" s="2010"/>
      <c r="N1095" s="2010"/>
      <c r="O1095" s="2010"/>
      <c r="P1095" s="2010"/>
      <c r="Q1095" s="2010"/>
      <c r="R1095" s="2010"/>
      <c r="S1095" s="2011"/>
      <c r="T1095" s="511"/>
      <c r="U1095" s="511"/>
      <c r="V1095" s="511"/>
      <c r="W1095" s="511"/>
    </row>
    <row r="1096" spans="1:27" ht="26.25" x14ac:dyDescent="0.2">
      <c r="A1096" s="341"/>
      <c r="B1096" s="345"/>
      <c r="C1096" s="437"/>
      <c r="D1096" s="2109"/>
      <c r="E1096" s="437"/>
      <c r="F1096" s="2109"/>
      <c r="G1096" s="2109"/>
      <c r="H1096" s="2109"/>
      <c r="I1096" s="2109"/>
      <c r="J1096" s="2109"/>
      <c r="K1096" s="2109"/>
      <c r="L1096" s="2109"/>
      <c r="M1096" s="2109"/>
      <c r="N1096" s="2109"/>
      <c r="O1096" s="2109"/>
      <c r="P1096" s="2109"/>
      <c r="Q1096" s="2109"/>
      <c r="R1096" s="2109"/>
      <c r="S1096" s="346"/>
      <c r="T1096" s="341"/>
      <c r="U1096" s="511"/>
      <c r="V1096" s="511"/>
      <c r="W1096" s="511"/>
    </row>
    <row r="1097" spans="1:27" ht="26.25" x14ac:dyDescent="0.2">
      <c r="A1097" s="341"/>
      <c r="B1097" s="345"/>
      <c r="C1097" s="437"/>
      <c r="D1097" s="508" t="str">
        <f>CokingRefineryPFD!DE26</f>
        <v>Blended Gasoline</v>
      </c>
      <c r="E1097" s="509" t="str">
        <f>CokingRefineryPFD!DE62</f>
        <v>Jet-A/AVTUR</v>
      </c>
      <c r="F1097" s="508" t="str">
        <f>CokingRefineryPFD!DE81</f>
        <v>ULSD</v>
      </c>
      <c r="G1097" s="508" t="str">
        <f ca="1">CokingRefineryPFD!DE149</f>
        <v>Heating Oil (Fuel Oil)</v>
      </c>
      <c r="H1097" s="508" t="str">
        <f>CokingRefineryPFD!DB292</f>
        <v>Liquid Heavy Ends or Precursor of Heavy Oil</v>
      </c>
      <c r="I1097" s="508" t="str">
        <f>CokingRefineryPFD!DE311</f>
        <v>Coke</v>
      </c>
      <c r="J1097" s="508" t="s">
        <v>162</v>
      </c>
      <c r="K1097" s="508" t="s">
        <v>1927</v>
      </c>
      <c r="L1097" s="508" t="s">
        <v>1486</v>
      </c>
      <c r="M1097" s="508" t="s">
        <v>1343</v>
      </c>
      <c r="N1097" s="508" t="s">
        <v>1854</v>
      </c>
      <c r="O1097" s="508" t="s">
        <v>1886</v>
      </c>
      <c r="P1097" s="508" t="s">
        <v>1909</v>
      </c>
      <c r="Q1097" s="510" t="s">
        <v>57</v>
      </c>
      <c r="R1097" s="510" t="s">
        <v>161</v>
      </c>
      <c r="S1097" s="346"/>
      <c r="T1097" s="341"/>
      <c r="U1097" s="511"/>
      <c r="V1097" s="511"/>
      <c r="W1097" s="511"/>
    </row>
    <row r="1098" spans="1:27" ht="26.25" x14ac:dyDescent="0.2">
      <c r="A1098" s="341"/>
      <c r="B1098" s="345"/>
      <c r="C1098" s="2437" t="s">
        <v>82</v>
      </c>
      <c r="D1098" s="2439">
        <f ca="1">CokingRefineryPFD!DD30*CokingRefineryPFD!DD36</f>
        <v>117851999.68847099</v>
      </c>
      <c r="E1098" s="2441">
        <f ca="1">CokingRefineryPFD!DD65*CokingRefineryPFD!DD71</f>
        <v>149973643.13743195</v>
      </c>
      <c r="F1098" s="2441">
        <f ca="1">CokingRefineryPFD!DD85*CokingRefineryPFD!DD91</f>
        <v>72642918.327503458</v>
      </c>
      <c r="G1098" s="2441">
        <f ca="1">CokingRefineryPFD!DD153*CokingRefineryPFD!DD159</f>
        <v>64682281.913025334</v>
      </c>
      <c r="H1098" s="2441">
        <f ca="1">CokingRefineryPFD!DD296*CokingRefineryPFD!DD302</f>
        <v>152864417.9104926</v>
      </c>
      <c r="I1098" s="2441">
        <f ca="1">CokingRefineryPFD!DD314*CokingRefineryPFD!DD320</f>
        <v>6.2968382995102893E-14</v>
      </c>
      <c r="J1098" s="2441">
        <f ca="1">CokingRefineryPFD!CF11*'Energy &amp; Unit Conversions'!Q26</f>
        <v>0</v>
      </c>
      <c r="K1098" s="2441">
        <f ca="1">CokingRefineryPFD!EF84*CokingRefineryCalcs!H1440</f>
        <v>11437705.339893121</v>
      </c>
      <c r="L1098" s="2441">
        <f ca="1">CokingRefineryPFD!EF102*'Energy &amp; Unit Conversions'!R27</f>
        <v>0</v>
      </c>
      <c r="M1098" s="2441">
        <f ca="1">CokingRefineryPFD!EB122</f>
        <v>4282.1221115613989</v>
      </c>
      <c r="N1098" s="2103">
        <f ca="1">G1438</f>
        <v>0</v>
      </c>
      <c r="O1098" s="2103">
        <f ca="1">G1439</f>
        <v>0</v>
      </c>
      <c r="P1098" s="2103">
        <f ca="1">CokingRefineryPFD!DD278*CokingRefineryPFD!DD284</f>
        <v>0</v>
      </c>
      <c r="Q1098" s="2460">
        <f ca="1">SUM(D1098:M1098)</f>
        <v>569457248.43892896</v>
      </c>
      <c r="R1098" s="2458"/>
      <c r="S1098" s="346"/>
      <c r="T1098" s="341"/>
      <c r="U1098" s="511"/>
      <c r="V1098" s="511"/>
      <c r="W1098" s="511"/>
    </row>
    <row r="1099" spans="1:27" ht="26.25" x14ac:dyDescent="0.2">
      <c r="A1099" s="341"/>
      <c r="B1099" s="345"/>
      <c r="C1099" s="2438"/>
      <c r="D1099" s="2440"/>
      <c r="E1099" s="2442"/>
      <c r="F1099" s="2442"/>
      <c r="G1099" s="2442"/>
      <c r="H1099" s="2442"/>
      <c r="I1099" s="2442"/>
      <c r="J1099" s="2442"/>
      <c r="K1099" s="2442"/>
      <c r="L1099" s="2442"/>
      <c r="M1099" s="2442"/>
      <c r="N1099" s="2104"/>
      <c r="O1099" s="2104"/>
      <c r="P1099" s="2104"/>
      <c r="Q1099" s="2461"/>
      <c r="R1099" s="2459"/>
      <c r="S1099" s="346"/>
      <c r="T1099" s="341"/>
      <c r="U1099" s="511"/>
      <c r="V1099" s="511"/>
      <c r="W1099" s="511"/>
    </row>
    <row r="1100" spans="1:27" ht="26.25" x14ac:dyDescent="0.2">
      <c r="A1100" s="341"/>
      <c r="B1100" s="345"/>
      <c r="C1100" s="513"/>
      <c r="D1100" s="358"/>
      <c r="E1100" s="2109"/>
      <c r="F1100" s="2109"/>
      <c r="G1100" s="2109"/>
      <c r="H1100" s="2109"/>
      <c r="I1100" s="2109"/>
      <c r="J1100" s="2109"/>
      <c r="K1100" s="2109"/>
      <c r="L1100" s="2109"/>
      <c r="M1100" s="2109"/>
      <c r="N1100" s="2109"/>
      <c r="O1100" s="2109"/>
      <c r="P1100" s="2109"/>
      <c r="Q1100" s="512"/>
      <c r="R1100" s="2109"/>
      <c r="S1100" s="346"/>
      <c r="T1100" s="341"/>
      <c r="U1100" s="511"/>
      <c r="V1100" s="511"/>
      <c r="W1100" s="511"/>
    </row>
    <row r="1101" spans="1:27" ht="12" customHeight="1" x14ac:dyDescent="0.2">
      <c r="A1101" s="341"/>
      <c r="B1101" s="345"/>
      <c r="C1101" s="437"/>
      <c r="D1101" s="497"/>
      <c r="E1101" s="478"/>
      <c r="F1101" s="497"/>
      <c r="G1101" s="497"/>
      <c r="H1101" s="497"/>
      <c r="I1101" s="497"/>
      <c r="J1101" s="497"/>
      <c r="K1101" s="497"/>
      <c r="L1101" s="497"/>
      <c r="M1101" s="426"/>
      <c r="N1101" s="426"/>
      <c r="O1101" s="426"/>
      <c r="P1101" s="426"/>
      <c r="Q1101" s="498"/>
      <c r="R1101" s="498"/>
      <c r="S1101" s="346"/>
      <c r="T1101" s="341"/>
      <c r="U1101" s="511"/>
      <c r="V1101" s="511"/>
      <c r="W1101" s="511"/>
    </row>
    <row r="1102" spans="1:27" ht="26.25" x14ac:dyDescent="0.2">
      <c r="A1102" s="341"/>
      <c r="B1102" s="431"/>
      <c r="C1102" s="438" t="s">
        <v>1046</v>
      </c>
      <c r="D1102" s="348"/>
      <c r="E1102" s="411"/>
      <c r="F1102" s="411"/>
      <c r="G1102" s="411"/>
      <c r="H1102" s="2109"/>
      <c r="I1102" s="2109"/>
      <c r="J1102" s="2109"/>
      <c r="K1102" s="2109"/>
      <c r="L1102" s="2109"/>
      <c r="M1102" s="2109"/>
      <c r="N1102" s="2109"/>
      <c r="O1102" s="2109"/>
      <c r="P1102" s="2109"/>
      <c r="Q1102" s="2109"/>
      <c r="R1102" s="2109"/>
      <c r="S1102" s="346"/>
      <c r="T1102" s="341"/>
      <c r="U1102" s="511"/>
      <c r="V1102" s="511"/>
      <c r="W1102" s="511"/>
    </row>
    <row r="1103" spans="1:27" ht="26.25" x14ac:dyDescent="0.2">
      <c r="A1103" s="341"/>
      <c r="B1103" s="345"/>
      <c r="C1103" s="437"/>
      <c r="D1103" s="2109"/>
      <c r="E1103" s="437"/>
      <c r="F1103" s="2109"/>
      <c r="G1103" s="2109"/>
      <c r="H1103" s="2109"/>
      <c r="I1103" s="2109"/>
      <c r="J1103" s="2109"/>
      <c r="K1103" s="2109"/>
      <c r="L1103" s="2109"/>
      <c r="M1103" s="2109"/>
      <c r="N1103" s="2109"/>
      <c r="O1103" s="2109"/>
      <c r="P1103" s="2109"/>
      <c r="Q1103" s="2109"/>
      <c r="R1103" s="2109"/>
      <c r="S1103" s="346"/>
      <c r="T1103" s="341"/>
      <c r="U1103" s="511"/>
      <c r="V1103" s="511"/>
      <c r="W1103" s="511"/>
    </row>
    <row r="1104" spans="1:27" ht="26.25" x14ac:dyDescent="0.2">
      <c r="A1104" s="341"/>
      <c r="B1104" s="345"/>
      <c r="C1104" s="440" t="s">
        <v>1405</v>
      </c>
      <c r="D1104" s="440"/>
      <c r="E1104" s="437"/>
      <c r="F1104" s="2109"/>
      <c r="G1104" s="2109"/>
      <c r="H1104" s="2109"/>
      <c r="I1104" s="2109"/>
      <c r="J1104" s="2109"/>
      <c r="K1104" s="2109"/>
      <c r="L1104" s="2109"/>
      <c r="M1104" s="2109"/>
      <c r="N1104" s="2109"/>
      <c r="O1104" s="2109"/>
      <c r="P1104" s="2109"/>
      <c r="Q1104" s="2109"/>
      <c r="R1104" s="2109"/>
      <c r="S1104" s="346"/>
      <c r="T1104" s="341"/>
      <c r="U1104" s="511"/>
      <c r="V1104" s="511"/>
      <c r="W1104" s="511"/>
    </row>
    <row r="1105" spans="1:23" ht="26.25" x14ac:dyDescent="0.2">
      <c r="A1105" s="341"/>
      <c r="B1105" s="345"/>
      <c r="C1105" s="525" t="s">
        <v>160</v>
      </c>
      <c r="D1105" s="526"/>
      <c r="E1105" s="527"/>
      <c r="F1105" s="526"/>
      <c r="G1105" s="526"/>
      <c r="H1105" s="526"/>
      <c r="I1105" s="526"/>
      <c r="J1105" s="526"/>
      <c r="K1105" s="526"/>
      <c r="L1105" s="526"/>
      <c r="M1105" s="526"/>
      <c r="N1105" s="526"/>
      <c r="O1105" s="526"/>
      <c r="P1105" s="526"/>
      <c r="Q1105" s="526"/>
      <c r="R1105" s="528"/>
      <c r="S1105" s="346"/>
      <c r="T1105" s="341"/>
      <c r="U1105" s="511"/>
      <c r="V1105" s="511"/>
      <c r="W1105" s="511"/>
    </row>
    <row r="1106" spans="1:23" ht="26.25" x14ac:dyDescent="0.2">
      <c r="A1106" s="341"/>
      <c r="B1106" s="345"/>
      <c r="C1106" s="517" t="s">
        <v>263</v>
      </c>
      <c r="D1106" s="518">
        <f ca="1">CokingRefineryPFD!DG28</f>
        <v>215180180.95489407</v>
      </c>
      <c r="E1106" s="519">
        <f ca="1">CokingRefineryPFD!DG64</f>
        <v>232380340.50842014</v>
      </c>
      <c r="F1106" s="518">
        <f ca="1">CokingRefineryPFD!DG84</f>
        <v>111050855.87309842</v>
      </c>
      <c r="G1106" s="518">
        <f ca="1">CokingRefineryPFD!DG151</f>
        <v>0</v>
      </c>
      <c r="H1106" s="518">
        <f ca="1">CokingRefineryPFD!DG294</f>
        <v>0</v>
      </c>
      <c r="I1106" s="518">
        <f ca="1">CokingRefineryPFD!DG313</f>
        <v>0</v>
      </c>
      <c r="J1106" s="518">
        <f ca="1">CokingRefineryPFD!CJ9</f>
        <v>0</v>
      </c>
      <c r="K1106" s="518">
        <f ca="1">CokingRefineryPFD!EF91</f>
        <v>0</v>
      </c>
      <c r="L1106" s="518">
        <f ca="1">CokingRefineryPFD!EF109</f>
        <v>0</v>
      </c>
      <c r="M1106" s="518">
        <f ca="1">CokingRefineryPFD!EB129</f>
        <v>0</v>
      </c>
      <c r="N1106" s="518">
        <f ca="1">CokingRefineryPFD!EB149</f>
        <v>0</v>
      </c>
      <c r="O1106" s="518">
        <f ca="1">CokingRefineryPFD!EB166</f>
        <v>0</v>
      </c>
      <c r="P1106" s="518">
        <f ca="1">CokingRefineryPFD!DG276</f>
        <v>0</v>
      </c>
      <c r="Q1106" s="518">
        <f ca="1">SUM(D1106:P1106)</f>
        <v>558611377.33641255</v>
      </c>
      <c r="R1106" s="520">
        <f ca="1">CokingRefineryPFD!E118</f>
        <v>558611377.33641267</v>
      </c>
      <c r="S1106" s="2012"/>
      <c r="T1106" s="341"/>
      <c r="U1106" s="511"/>
      <c r="V1106" s="511"/>
      <c r="W1106" s="511"/>
    </row>
    <row r="1107" spans="1:23" ht="26.25" x14ac:dyDescent="0.2">
      <c r="A1107" s="341"/>
      <c r="B1107" s="345"/>
      <c r="C1107" s="529" t="s">
        <v>201</v>
      </c>
      <c r="D1107" s="530"/>
      <c r="E1107" s="531"/>
      <c r="F1107" s="530"/>
      <c r="G1107" s="530"/>
      <c r="H1107" s="530"/>
      <c r="I1107" s="530"/>
      <c r="J1107" s="530"/>
      <c r="K1107" s="530"/>
      <c r="L1107" s="530"/>
      <c r="M1107" s="530"/>
      <c r="N1107" s="530"/>
      <c r="O1107" s="530"/>
      <c r="P1107" s="530"/>
      <c r="Q1107" s="530"/>
      <c r="R1107" s="532"/>
      <c r="S1107" s="2012"/>
      <c r="T1107" s="341"/>
      <c r="U1107" s="511"/>
      <c r="V1107" s="511"/>
      <c r="W1107" s="511"/>
    </row>
    <row r="1108" spans="1:23" ht="26.25" x14ac:dyDescent="0.2">
      <c r="A1108" s="341"/>
      <c r="B1108" s="345"/>
      <c r="C1108" s="517" t="s">
        <v>392</v>
      </c>
      <c r="D1108" s="518">
        <f ca="1">CokingRefineryPFD!DG29</f>
        <v>606749.01688042691</v>
      </c>
      <c r="E1108" s="519">
        <f ca="1">CokingRefineryPFD!DG65</f>
        <v>317306.6027964176</v>
      </c>
      <c r="F1108" s="518">
        <f ca="1">CokingRefineryPFD!DG85</f>
        <v>144280.28818769535</v>
      </c>
      <c r="G1108" s="518">
        <f ca="1">CokingRefineryPFD!DG152</f>
        <v>0</v>
      </c>
      <c r="H1108" s="518">
        <f ca="1">CokingRefineryPFD!DG295</f>
        <v>0</v>
      </c>
      <c r="I1108" s="518">
        <f ca="1">CokingRefineryPFD!DG314</f>
        <v>0</v>
      </c>
      <c r="J1108" s="518">
        <f ca="1">CokingRefineryPFD!CJ10</f>
        <v>0</v>
      </c>
      <c r="K1108" s="518">
        <f ca="1">CokingRefineryPFD!EF92</f>
        <v>0</v>
      </c>
      <c r="L1108" s="518">
        <f ca="1">CokingRefineryPFD!EF110</f>
        <v>0</v>
      </c>
      <c r="M1108" s="518">
        <f ca="1">CokingRefineryPFD!EB130</f>
        <v>0</v>
      </c>
      <c r="N1108" s="518">
        <f ca="1">CokingRefineryPFD!EB150</f>
        <v>0</v>
      </c>
      <c r="O1108" s="518">
        <f ca="1">CokingRefineryPFD!EB167</f>
        <v>0</v>
      </c>
      <c r="P1108" s="518">
        <f ca="1">CokingRefineryPFD!DG277</f>
        <v>0</v>
      </c>
      <c r="Q1108" s="518">
        <f ca="1">SUM(D1108:P1108)</f>
        <v>1068335.9078645399</v>
      </c>
      <c r="R1108" s="520">
        <f ca="1">'CokingRefinery Detailed Results'!F32</f>
        <v>1068335.9078645399</v>
      </c>
      <c r="S1108" s="2012"/>
      <c r="T1108" s="341"/>
      <c r="U1108" s="511"/>
      <c r="V1108" s="511"/>
      <c r="W1108" s="511"/>
    </row>
    <row r="1109" spans="1:23" ht="26.25" x14ac:dyDescent="0.2">
      <c r="A1109" s="341"/>
      <c r="B1109" s="345"/>
      <c r="C1109" s="517" t="s">
        <v>1023</v>
      </c>
      <c r="D1109" s="518">
        <f ca="1">CokingRefineryPFD!DG30</f>
        <v>12341896.845410015</v>
      </c>
      <c r="E1109" s="519">
        <f ca="1">CokingRefineryPFD!DG66</f>
        <v>6018924.6574679464</v>
      </c>
      <c r="F1109" s="518">
        <f ca="1">CokingRefineryPFD!DG86</f>
        <v>2837571.2917130152</v>
      </c>
      <c r="G1109" s="518">
        <f ca="1">CokingRefineryPFD!DG153</f>
        <v>0</v>
      </c>
      <c r="H1109" s="518">
        <f ca="1">CokingRefineryPFD!DG296</f>
        <v>0</v>
      </c>
      <c r="I1109" s="518">
        <f ca="1">CokingRefineryPFD!DG315</f>
        <v>0</v>
      </c>
      <c r="J1109" s="518">
        <f ca="1">CokingRefineryPFD!CJ11</f>
        <v>0</v>
      </c>
      <c r="K1109" s="518">
        <f ca="1">CokingRefineryPFD!EF93</f>
        <v>0</v>
      </c>
      <c r="L1109" s="518">
        <f ca="1">CokingRefineryPFD!EF111</f>
        <v>0</v>
      </c>
      <c r="M1109" s="518">
        <f ca="1">CokingRefineryPFD!EB131</f>
        <v>0</v>
      </c>
      <c r="N1109" s="518">
        <f ca="1">CokingRefineryPFD!EB151</f>
        <v>0</v>
      </c>
      <c r="O1109" s="518">
        <f ca="1">CokingRefineryPFD!EB168</f>
        <v>0</v>
      </c>
      <c r="P1109" s="518">
        <f ca="1">CokingRefineryPFD!DG278</f>
        <v>0</v>
      </c>
      <c r="Q1109" s="518">
        <f ca="1">SUM(D1109:P1109)</f>
        <v>21198392.794590976</v>
      </c>
      <c r="R1109" s="520">
        <f ca="1">'CokingRefinery Detailed Results'!H32</f>
        <v>21198392.794590976</v>
      </c>
      <c r="S1109" s="2012"/>
      <c r="T1109" s="341"/>
      <c r="U1109" s="511"/>
      <c r="V1109" s="511"/>
      <c r="W1109" s="511"/>
    </row>
    <row r="1110" spans="1:23" ht="26.25" x14ac:dyDescent="0.2">
      <c r="A1110" s="341"/>
      <c r="B1110" s="345"/>
      <c r="C1110" s="517" t="s">
        <v>485</v>
      </c>
      <c r="D1110" s="518">
        <f ca="1">CokingRefineryPFD!DG31</f>
        <v>1350048.1566903843</v>
      </c>
      <c r="E1110" s="519">
        <f ca="1">CokingRefineryPFD!DG67</f>
        <v>635810.16625919892</v>
      </c>
      <c r="F1110" s="518">
        <f ca="1">CokingRefineryPFD!DG87</f>
        <v>288857.97988043615</v>
      </c>
      <c r="G1110" s="518">
        <f ca="1">CokingRefineryPFD!DG154</f>
        <v>0</v>
      </c>
      <c r="H1110" s="518">
        <f ca="1">CokingRefineryPFD!DG297</f>
        <v>0</v>
      </c>
      <c r="I1110" s="518">
        <f ca="1">CokingRefineryPFD!DG316</f>
        <v>0</v>
      </c>
      <c r="J1110" s="518">
        <f ca="1">CokingRefineryPFD!CJ12</f>
        <v>0</v>
      </c>
      <c r="K1110" s="518">
        <f ca="1">CokingRefineryPFD!EF94</f>
        <v>0</v>
      </c>
      <c r="L1110" s="518">
        <f ca="1">CokingRefineryPFD!EF112</f>
        <v>0</v>
      </c>
      <c r="M1110" s="518">
        <f ca="1">CokingRefineryPFD!EB132</f>
        <v>0</v>
      </c>
      <c r="N1110" s="518">
        <f ca="1">CokingRefineryPFD!EB152</f>
        <v>0</v>
      </c>
      <c r="O1110" s="518">
        <f ca="1">CokingRefineryPFD!EB169</f>
        <v>0</v>
      </c>
      <c r="P1110" s="518">
        <f ca="1">CokingRefineryPFD!DG279</f>
        <v>0</v>
      </c>
      <c r="Q1110" s="518">
        <f ca="1">SUM(D1110:P1110)</f>
        <v>2274716.3028300195</v>
      </c>
      <c r="R1110" s="520">
        <f ca="1">'CokingRefinery Detailed Results'!J32</f>
        <v>2274716.30283002</v>
      </c>
      <c r="S1110" s="2012"/>
      <c r="T1110" s="341"/>
      <c r="U1110" s="511"/>
      <c r="V1110" s="511"/>
      <c r="W1110" s="511"/>
    </row>
    <row r="1111" spans="1:23" ht="26.25" x14ac:dyDescent="0.2">
      <c r="A1111" s="341"/>
      <c r="B1111" s="345"/>
      <c r="C1111" s="517" t="s">
        <v>541</v>
      </c>
      <c r="D1111" s="518">
        <f ca="1">CokingRefineryPFD!DG32</f>
        <v>6675596.1621006178</v>
      </c>
      <c r="E1111" s="519">
        <f ca="1">CokingRefineryPFD!DG68</f>
        <v>2030267.5728452108</v>
      </c>
      <c r="F1111" s="518">
        <f ca="1">CokingRefineryPFD!DG88</f>
        <v>1083713.570637817</v>
      </c>
      <c r="G1111" s="518">
        <f ca="1">CokingRefineryPFD!DG155</f>
        <v>0</v>
      </c>
      <c r="H1111" s="518">
        <f ca="1">CokingRefineryPFD!DG298</f>
        <v>0</v>
      </c>
      <c r="I1111" s="518">
        <f ca="1">CokingRefineryPFD!DG317</f>
        <v>0</v>
      </c>
      <c r="J1111" s="518">
        <f ca="1">CokingRefineryPFD!CJ13</f>
        <v>0</v>
      </c>
      <c r="K1111" s="518">
        <f ca="1">CokingRefineryPFD!EF95</f>
        <v>0</v>
      </c>
      <c r="L1111" s="518">
        <f ca="1">CokingRefineryPFD!EF113</f>
        <v>0</v>
      </c>
      <c r="M1111" s="518">
        <f ca="1">CokingRefineryPFD!EB133</f>
        <v>0</v>
      </c>
      <c r="N1111" s="518">
        <f ca="1">CokingRefineryPFD!EB153</f>
        <v>0</v>
      </c>
      <c r="O1111" s="518">
        <f ca="1">CokingRefineryPFD!EB170</f>
        <v>0</v>
      </c>
      <c r="P1111" s="518">
        <f ca="1">CokingRefineryPFD!DG280</f>
        <v>0</v>
      </c>
      <c r="Q1111" s="518">
        <f ca="1">SUM(D1111:P1111)</f>
        <v>9789577.3055836447</v>
      </c>
      <c r="R1111" s="520">
        <f ca="1">'CokingRefinery Detailed Results'!L32</f>
        <v>9789577.3055836465</v>
      </c>
      <c r="S1111" s="2012"/>
      <c r="T1111" s="341"/>
      <c r="U1111" s="511"/>
      <c r="V1111" s="511"/>
      <c r="W1111" s="511"/>
    </row>
    <row r="1112" spans="1:23" ht="26.25" x14ac:dyDescent="0.2">
      <c r="A1112" s="341"/>
      <c r="B1112" s="345"/>
      <c r="C1112" s="517" t="str">
        <f>CokingRefineryPFD!DE33</f>
        <v>Catalyst Coke</v>
      </c>
      <c r="D1112" s="518">
        <f ca="1">CokingRefineryPFD!DG33</f>
        <v>3.2907815775243731E-14</v>
      </c>
      <c r="E1112" s="519"/>
      <c r="F1112" s="518">
        <f ca="1">CokingRefineryPFD!DG89</f>
        <v>7.7968351670689407E-15</v>
      </c>
      <c r="G1112" s="518"/>
      <c r="H1112" s="518">
        <f ca="1">CokingRefineryPFD!DG299</f>
        <v>0</v>
      </c>
      <c r="I1112" s="518"/>
      <c r="J1112" s="518"/>
      <c r="K1112" s="518">
        <f ca="1">CokingRefineryPFD!EF96</f>
        <v>0</v>
      </c>
      <c r="L1112" s="518">
        <f ca="1">CokingRefineryPFD!EF114</f>
        <v>0</v>
      </c>
      <c r="M1112" s="518">
        <f ca="1">CokingRefineryPFD!EB134</f>
        <v>0</v>
      </c>
      <c r="N1112" s="518">
        <f ca="1">CokingRefineryPFD!EB154</f>
        <v>0</v>
      </c>
      <c r="O1112" s="518">
        <f ca="1">CokingRefineryPFD!EB171</f>
        <v>0</v>
      </c>
      <c r="P1112" s="518">
        <f ca="1">CokingRefineryPFD!DG281</f>
        <v>0</v>
      </c>
      <c r="Q1112" s="518">
        <f ca="1">SUM(D1112:P1112)</f>
        <v>4.0704650942312673E-14</v>
      </c>
      <c r="R1112" s="520">
        <f ca="1">'CokingRefinery Detailed Results'!R25</f>
        <v>4.0704650942312667E-14</v>
      </c>
      <c r="S1112" s="346"/>
      <c r="T1112" s="341"/>
      <c r="U1112" s="511"/>
      <c r="V1112" s="511"/>
      <c r="W1112" s="511"/>
    </row>
    <row r="1113" spans="1:23" ht="26.25" x14ac:dyDescent="0.2">
      <c r="A1113" s="341"/>
      <c r="B1113" s="345"/>
      <c r="C1113" s="517"/>
      <c r="D1113" s="518"/>
      <c r="E1113" s="519"/>
      <c r="F1113" s="518"/>
      <c r="G1113" s="518"/>
      <c r="H1113" s="518"/>
      <c r="I1113" s="518"/>
      <c r="J1113" s="518"/>
      <c r="K1113" s="518"/>
      <c r="L1113" s="518"/>
      <c r="M1113" s="518"/>
      <c r="N1113" s="518"/>
      <c r="O1113" s="518"/>
      <c r="P1113" s="518"/>
      <c r="Q1113" s="518"/>
      <c r="R1113" s="520"/>
      <c r="S1113" s="346"/>
      <c r="T1113" s="341"/>
      <c r="U1113" s="511"/>
      <c r="V1113" s="511"/>
      <c r="W1113" s="511"/>
    </row>
    <row r="1114" spans="1:23" ht="26.25" x14ac:dyDescent="0.2">
      <c r="A1114" s="341"/>
      <c r="B1114" s="345"/>
      <c r="C1114" s="517" t="s">
        <v>164</v>
      </c>
      <c r="D1114" s="518">
        <f t="shared" ref="D1114:R1114" ca="1" si="117">SUM(D1108:D1112)</f>
        <v>20974290.181081444</v>
      </c>
      <c r="E1114" s="519">
        <f t="shared" ca="1" si="117"/>
        <v>9002308.9993687738</v>
      </c>
      <c r="F1114" s="518">
        <f t="shared" ca="1" si="117"/>
        <v>4354423.1304189637</v>
      </c>
      <c r="G1114" s="518">
        <f t="shared" ca="1" si="117"/>
        <v>0</v>
      </c>
      <c r="H1114" s="518">
        <f t="shared" ca="1" si="117"/>
        <v>0</v>
      </c>
      <c r="I1114" s="518">
        <f t="shared" ca="1" si="117"/>
        <v>0</v>
      </c>
      <c r="J1114" s="518">
        <f t="shared" ca="1" si="117"/>
        <v>0</v>
      </c>
      <c r="K1114" s="518">
        <f t="shared" ca="1" si="117"/>
        <v>0</v>
      </c>
      <c r="L1114" s="518">
        <f t="shared" ref="L1114" ca="1" si="118">SUM(L1108:L1112)</f>
        <v>0</v>
      </c>
      <c r="M1114" s="518">
        <f t="shared" ca="1" si="117"/>
        <v>0</v>
      </c>
      <c r="N1114" s="518">
        <f t="shared" ref="N1114:O1114" ca="1" si="119">SUM(N1108:N1112)</f>
        <v>0</v>
      </c>
      <c r="O1114" s="518">
        <f t="shared" ca="1" si="119"/>
        <v>0</v>
      </c>
      <c r="P1114" s="518">
        <f t="shared" ref="P1114" ca="1" si="120">SUM(P1108:P1112)</f>
        <v>0</v>
      </c>
      <c r="Q1114" s="518">
        <f t="shared" ca="1" si="117"/>
        <v>34331022.31086918</v>
      </c>
      <c r="R1114" s="520">
        <f t="shared" ca="1" si="117"/>
        <v>34331022.310869187</v>
      </c>
      <c r="S1114" s="346"/>
      <c r="T1114" s="341"/>
      <c r="U1114" s="511"/>
      <c r="V1114" s="511"/>
      <c r="W1114" s="511"/>
    </row>
    <row r="1115" spans="1:23" ht="26.25" x14ac:dyDescent="0.2">
      <c r="A1115" s="341"/>
      <c r="B1115" s="345"/>
      <c r="C1115" s="521" t="s">
        <v>165</v>
      </c>
      <c r="D1115" s="522">
        <f t="shared" ref="D1115:R1115" ca="1" si="121">SUM(D1106:D1112)</f>
        <v>236154471.13597551</v>
      </c>
      <c r="E1115" s="523">
        <f t="shared" ca="1" si="121"/>
        <v>241382649.50778893</v>
      </c>
      <c r="F1115" s="522">
        <f t="shared" ca="1" si="121"/>
        <v>115405279.00351739</v>
      </c>
      <c r="G1115" s="522">
        <f t="shared" ca="1" si="121"/>
        <v>0</v>
      </c>
      <c r="H1115" s="522">
        <f t="shared" ca="1" si="121"/>
        <v>0</v>
      </c>
      <c r="I1115" s="522">
        <f t="shared" ca="1" si="121"/>
        <v>0</v>
      </c>
      <c r="J1115" s="522">
        <f t="shared" ca="1" si="121"/>
        <v>0</v>
      </c>
      <c r="K1115" s="522">
        <f t="shared" ca="1" si="121"/>
        <v>0</v>
      </c>
      <c r="L1115" s="522">
        <f t="shared" ref="L1115" ca="1" si="122">SUM(L1106:L1112)</f>
        <v>0</v>
      </c>
      <c r="M1115" s="522">
        <f t="shared" ca="1" si="121"/>
        <v>0</v>
      </c>
      <c r="N1115" s="522">
        <f t="shared" ref="N1115:O1115" ca="1" si="123">SUM(N1106:N1112)</f>
        <v>0</v>
      </c>
      <c r="O1115" s="522">
        <f t="shared" ca="1" si="123"/>
        <v>0</v>
      </c>
      <c r="P1115" s="522">
        <f t="shared" ref="P1115" ca="1" si="124">SUM(P1106:P1112)</f>
        <v>0</v>
      </c>
      <c r="Q1115" s="522">
        <f t="shared" ca="1" si="121"/>
        <v>592942399.64728165</v>
      </c>
      <c r="R1115" s="524">
        <f t="shared" ca="1" si="121"/>
        <v>592942399.64728177</v>
      </c>
      <c r="S1115" s="346"/>
      <c r="T1115" s="341"/>
      <c r="U1115" s="511"/>
      <c r="V1115" s="511"/>
      <c r="W1115" s="511"/>
    </row>
    <row r="1116" spans="1:23" ht="26.25" x14ac:dyDescent="0.2">
      <c r="A1116" s="341"/>
      <c r="B1116" s="345"/>
      <c r="C1116" s="437"/>
      <c r="D1116" s="2109"/>
      <c r="E1116" s="437"/>
      <c r="F1116" s="2109"/>
      <c r="G1116" s="2109"/>
      <c r="H1116" s="2109"/>
      <c r="I1116" s="2109"/>
      <c r="J1116" s="2109"/>
      <c r="K1116" s="2109"/>
      <c r="L1116" s="2109"/>
      <c r="M1116" s="2109"/>
      <c r="N1116" s="2109"/>
      <c r="O1116" s="2109"/>
      <c r="P1116" s="2109"/>
      <c r="Q1116" s="2109"/>
      <c r="R1116" s="2109"/>
      <c r="S1116" s="346"/>
      <c r="T1116" s="341"/>
      <c r="U1116" s="511"/>
      <c r="V1116" s="511"/>
      <c r="W1116" s="511"/>
    </row>
    <row r="1117" spans="1:23" ht="26.25" x14ac:dyDescent="0.2">
      <c r="A1117" s="341"/>
      <c r="B1117" s="345"/>
      <c r="C1117" s="440" t="s">
        <v>159</v>
      </c>
      <c r="D1117" s="2109"/>
      <c r="E1117" s="437"/>
      <c r="F1117" s="2109"/>
      <c r="G1117" s="2109"/>
      <c r="H1117" s="2109"/>
      <c r="I1117" s="2109"/>
      <c r="J1117" s="2109"/>
      <c r="K1117" s="2109"/>
      <c r="L1117" s="2109"/>
      <c r="M1117" s="2109"/>
      <c r="N1117" s="2109"/>
      <c r="O1117" s="2109"/>
      <c r="P1117" s="2109"/>
      <c r="Q1117" s="2109"/>
      <c r="R1117" s="2109"/>
      <c r="S1117" s="346"/>
      <c r="T1117" s="341"/>
      <c r="U1117" s="511"/>
      <c r="V1117" s="511"/>
      <c r="W1117" s="511"/>
    </row>
    <row r="1118" spans="1:23" ht="26.25" x14ac:dyDescent="0.2">
      <c r="A1118" s="341"/>
      <c r="B1118" s="345"/>
      <c r="C1118" s="525" t="s">
        <v>160</v>
      </c>
      <c r="D1118" s="526"/>
      <c r="E1118" s="527"/>
      <c r="F1118" s="526"/>
      <c r="G1118" s="526"/>
      <c r="H1118" s="526"/>
      <c r="I1118" s="526"/>
      <c r="J1118" s="526"/>
      <c r="K1118" s="526"/>
      <c r="L1118" s="526"/>
      <c r="M1118" s="526"/>
      <c r="N1118" s="526"/>
      <c r="O1118" s="526"/>
      <c r="P1118" s="526"/>
      <c r="Q1118" s="528"/>
      <c r="R1118" s="2109"/>
      <c r="S1118" s="346"/>
      <c r="T1118" s="341"/>
      <c r="U1118" s="511"/>
      <c r="V1118" s="511"/>
      <c r="W1118" s="511"/>
    </row>
    <row r="1119" spans="1:23" ht="26.25" x14ac:dyDescent="0.2">
      <c r="A1119" s="341"/>
      <c r="B1119" s="345"/>
      <c r="C1119" s="517" t="s">
        <v>263</v>
      </c>
      <c r="D1119" s="533">
        <f t="shared" ref="D1119:Q1119" ca="1" si="125">D1106/SUM($D$1106:$P$1106)</f>
        <v>0.38520551081670162</v>
      </c>
      <c r="E1119" s="533">
        <f t="shared" ca="1" si="125"/>
        <v>0.41599643318484314</v>
      </c>
      <c r="F1119" s="533">
        <f t="shared" ca="1" si="125"/>
        <v>0.19879805599845535</v>
      </c>
      <c r="G1119" s="533">
        <f t="shared" ca="1" si="125"/>
        <v>0</v>
      </c>
      <c r="H1119" s="533">
        <f t="shared" ca="1" si="125"/>
        <v>0</v>
      </c>
      <c r="I1119" s="533">
        <f t="shared" ca="1" si="125"/>
        <v>0</v>
      </c>
      <c r="J1119" s="533">
        <f t="shared" ca="1" si="125"/>
        <v>0</v>
      </c>
      <c r="K1119" s="533">
        <f t="shared" ca="1" si="125"/>
        <v>0</v>
      </c>
      <c r="L1119" s="533">
        <f t="shared" ca="1" si="125"/>
        <v>0</v>
      </c>
      <c r="M1119" s="533">
        <f t="shared" ca="1" si="125"/>
        <v>0</v>
      </c>
      <c r="N1119" s="533">
        <f t="shared" ca="1" si="125"/>
        <v>0</v>
      </c>
      <c r="O1119" s="533">
        <f t="shared" ca="1" si="125"/>
        <v>0</v>
      </c>
      <c r="P1119" s="533">
        <f t="shared" ca="1" si="125"/>
        <v>0</v>
      </c>
      <c r="Q1119" s="533">
        <f t="shared" ca="1" si="125"/>
        <v>1</v>
      </c>
      <c r="R1119" s="2109"/>
      <c r="S1119" s="346"/>
      <c r="T1119" s="341"/>
      <c r="U1119" s="511"/>
      <c r="V1119" s="511"/>
      <c r="W1119" s="511"/>
    </row>
    <row r="1120" spans="1:23" ht="26.25" x14ac:dyDescent="0.2">
      <c r="A1120" s="341"/>
      <c r="B1120" s="345"/>
      <c r="C1120" s="529" t="s">
        <v>55</v>
      </c>
      <c r="D1120" s="530"/>
      <c r="E1120" s="531"/>
      <c r="F1120" s="530"/>
      <c r="G1120" s="530"/>
      <c r="H1120" s="530"/>
      <c r="I1120" s="530"/>
      <c r="J1120" s="530"/>
      <c r="K1120" s="530"/>
      <c r="L1120" s="530"/>
      <c r="M1120" s="530"/>
      <c r="N1120" s="530"/>
      <c r="O1120" s="530"/>
      <c r="P1120" s="530"/>
      <c r="Q1120" s="532"/>
      <c r="R1120" s="2109"/>
      <c r="S1120" s="346"/>
      <c r="T1120" s="341"/>
      <c r="U1120" s="511"/>
      <c r="V1120" s="511"/>
      <c r="W1120" s="511"/>
    </row>
    <row r="1121" spans="1:27" ht="26.25" x14ac:dyDescent="0.2">
      <c r="A1121" s="341"/>
      <c r="B1121" s="345"/>
      <c r="C1121" s="517" t="s">
        <v>392</v>
      </c>
      <c r="D1121" s="533">
        <f t="shared" ref="D1121:Q1121" ca="1" si="126">D1108/SUM($D$1108:$P$1108)</f>
        <v>0.56793842874123435</v>
      </c>
      <c r="E1121" s="533">
        <f t="shared" ca="1" si="126"/>
        <v>0.29701014489971689</v>
      </c>
      <c r="F1121" s="533">
        <f t="shared" ca="1" si="126"/>
        <v>0.13505142635904871</v>
      </c>
      <c r="G1121" s="533">
        <f t="shared" ca="1" si="126"/>
        <v>0</v>
      </c>
      <c r="H1121" s="533">
        <f t="shared" ca="1" si="126"/>
        <v>0</v>
      </c>
      <c r="I1121" s="533">
        <f t="shared" ca="1" si="126"/>
        <v>0</v>
      </c>
      <c r="J1121" s="533">
        <f t="shared" ca="1" si="126"/>
        <v>0</v>
      </c>
      <c r="K1121" s="533">
        <f t="shared" ca="1" si="126"/>
        <v>0</v>
      </c>
      <c r="L1121" s="533">
        <f t="shared" ca="1" si="126"/>
        <v>0</v>
      </c>
      <c r="M1121" s="533">
        <f t="shared" ca="1" si="126"/>
        <v>0</v>
      </c>
      <c r="N1121" s="533">
        <f t="shared" ca="1" si="126"/>
        <v>0</v>
      </c>
      <c r="O1121" s="533">
        <f t="shared" ca="1" si="126"/>
        <v>0</v>
      </c>
      <c r="P1121" s="533">
        <f t="shared" ca="1" si="126"/>
        <v>0</v>
      </c>
      <c r="Q1121" s="535">
        <f t="shared" ca="1" si="126"/>
        <v>1</v>
      </c>
      <c r="R1121" s="2109"/>
      <c r="S1121" s="346"/>
      <c r="T1121" s="341"/>
      <c r="U1121" s="511"/>
      <c r="V1121" s="511"/>
      <c r="W1121" s="511"/>
      <c r="X1121" s="342"/>
      <c r="Y1121" s="342"/>
      <c r="Z1121" s="342"/>
      <c r="AA1121" s="342"/>
    </row>
    <row r="1122" spans="1:27" ht="26.25" x14ac:dyDescent="0.2">
      <c r="A1122" s="341"/>
      <c r="B1122" s="345"/>
      <c r="C1122" s="517" t="s">
        <v>1023</v>
      </c>
      <c r="D1122" s="533">
        <f t="shared" ref="D1122:Q1122" ca="1" si="127">D1109/SUM($D$1109:$P$1109)</f>
        <v>0.58220908372634728</v>
      </c>
      <c r="E1122" s="533">
        <f t="shared" ca="1" si="127"/>
        <v>0.28393306585977346</v>
      </c>
      <c r="F1122" s="533">
        <f t="shared" ca="1" si="127"/>
        <v>0.13385785041387926</v>
      </c>
      <c r="G1122" s="533">
        <f t="shared" ca="1" si="127"/>
        <v>0</v>
      </c>
      <c r="H1122" s="533">
        <f t="shared" ca="1" si="127"/>
        <v>0</v>
      </c>
      <c r="I1122" s="533">
        <f t="shared" ca="1" si="127"/>
        <v>0</v>
      </c>
      <c r="J1122" s="533">
        <f t="shared" ca="1" si="127"/>
        <v>0</v>
      </c>
      <c r="K1122" s="533">
        <f t="shared" ca="1" si="127"/>
        <v>0</v>
      </c>
      <c r="L1122" s="533">
        <f t="shared" ca="1" si="127"/>
        <v>0</v>
      </c>
      <c r="M1122" s="533">
        <f t="shared" ca="1" si="127"/>
        <v>0</v>
      </c>
      <c r="N1122" s="533">
        <f t="shared" ca="1" si="127"/>
        <v>0</v>
      </c>
      <c r="O1122" s="533">
        <f t="shared" ca="1" si="127"/>
        <v>0</v>
      </c>
      <c r="P1122" s="533">
        <f t="shared" ca="1" si="127"/>
        <v>0</v>
      </c>
      <c r="Q1122" s="535">
        <f t="shared" ca="1" si="127"/>
        <v>1</v>
      </c>
      <c r="R1122" s="2109"/>
      <c r="S1122" s="346"/>
      <c r="T1122" s="341"/>
      <c r="U1122" s="511"/>
      <c r="V1122" s="511"/>
      <c r="W1122" s="511"/>
      <c r="X1122" s="342"/>
      <c r="Y1122" s="342"/>
      <c r="Z1122" s="342"/>
      <c r="AA1122" s="342"/>
    </row>
    <row r="1123" spans="1:27" ht="26.25" x14ac:dyDescent="0.2">
      <c r="A1123" s="341"/>
      <c r="B1123" s="345"/>
      <c r="C1123" s="517" t="s">
        <v>485</v>
      </c>
      <c r="D1123" s="533">
        <f t="shared" ref="D1123:Q1123" ca="1" si="128">D1110/SUM($D$1110:$P$1110)</f>
        <v>0.59350177207186794</v>
      </c>
      <c r="E1123" s="533">
        <f t="shared" ca="1" si="128"/>
        <v>0.27951185185958133</v>
      </c>
      <c r="F1123" s="533">
        <f t="shared" ca="1" si="128"/>
        <v>0.1269863760685507</v>
      </c>
      <c r="G1123" s="533">
        <f t="shared" ca="1" si="128"/>
        <v>0</v>
      </c>
      <c r="H1123" s="533">
        <f t="shared" ca="1" si="128"/>
        <v>0</v>
      </c>
      <c r="I1123" s="533">
        <f t="shared" ca="1" si="128"/>
        <v>0</v>
      </c>
      <c r="J1123" s="533">
        <f t="shared" ca="1" si="128"/>
        <v>0</v>
      </c>
      <c r="K1123" s="533">
        <f t="shared" ca="1" si="128"/>
        <v>0</v>
      </c>
      <c r="L1123" s="533">
        <f t="shared" ca="1" si="128"/>
        <v>0</v>
      </c>
      <c r="M1123" s="533">
        <f t="shared" ca="1" si="128"/>
        <v>0</v>
      </c>
      <c r="N1123" s="533">
        <f t="shared" ca="1" si="128"/>
        <v>0</v>
      </c>
      <c r="O1123" s="533">
        <f t="shared" ca="1" si="128"/>
        <v>0</v>
      </c>
      <c r="P1123" s="533">
        <f t="shared" ca="1" si="128"/>
        <v>0</v>
      </c>
      <c r="Q1123" s="535">
        <f t="shared" ca="1" si="128"/>
        <v>1</v>
      </c>
      <c r="R1123" s="2109"/>
      <c r="S1123" s="346"/>
      <c r="T1123" s="341"/>
      <c r="U1123" s="511"/>
      <c r="V1123" s="511"/>
      <c r="W1123" s="511"/>
      <c r="X1123" s="342"/>
      <c r="Y1123" s="342"/>
      <c r="Z1123" s="342"/>
      <c r="AA1123" s="342"/>
    </row>
    <row r="1124" spans="1:27" ht="26.25" x14ac:dyDescent="0.2">
      <c r="A1124" s="341"/>
      <c r="B1124" s="345"/>
      <c r="C1124" s="517" t="s">
        <v>541</v>
      </c>
      <c r="D1124" s="533">
        <f t="shared" ref="D1124:Q1124" ca="1" si="129">D1111/SUM($D$1111:$P$1111)</f>
        <v>0.68190851900143667</v>
      </c>
      <c r="E1124" s="533">
        <f t="shared" ca="1" si="129"/>
        <v>0.20739072888133941</v>
      </c>
      <c r="F1124" s="533">
        <f t="shared" ca="1" si="129"/>
        <v>0.11070075211722404</v>
      </c>
      <c r="G1124" s="533">
        <f t="shared" ca="1" si="129"/>
        <v>0</v>
      </c>
      <c r="H1124" s="533">
        <f t="shared" ca="1" si="129"/>
        <v>0</v>
      </c>
      <c r="I1124" s="533">
        <f t="shared" ca="1" si="129"/>
        <v>0</v>
      </c>
      <c r="J1124" s="533">
        <f t="shared" ca="1" si="129"/>
        <v>0</v>
      </c>
      <c r="K1124" s="533">
        <f t="shared" ca="1" si="129"/>
        <v>0</v>
      </c>
      <c r="L1124" s="533">
        <f t="shared" ca="1" si="129"/>
        <v>0</v>
      </c>
      <c r="M1124" s="533">
        <f t="shared" ca="1" si="129"/>
        <v>0</v>
      </c>
      <c r="N1124" s="533">
        <f t="shared" ca="1" si="129"/>
        <v>0</v>
      </c>
      <c r="O1124" s="533">
        <f t="shared" ca="1" si="129"/>
        <v>0</v>
      </c>
      <c r="P1124" s="533">
        <f t="shared" ca="1" si="129"/>
        <v>0</v>
      </c>
      <c r="Q1124" s="535">
        <f t="shared" ca="1" si="129"/>
        <v>1</v>
      </c>
      <c r="R1124" s="2109"/>
      <c r="S1124" s="346"/>
      <c r="T1124" s="341"/>
      <c r="U1124" s="511"/>
      <c r="V1124" s="511"/>
      <c r="W1124" s="511"/>
      <c r="X1124" s="342"/>
      <c r="Y1124" s="342"/>
      <c r="Z1124" s="342"/>
      <c r="AA1124" s="342"/>
    </row>
    <row r="1125" spans="1:27" ht="26.25" x14ac:dyDescent="0.2">
      <c r="A1125" s="341"/>
      <c r="B1125" s="345"/>
      <c r="C1125" s="517" t="str">
        <f>C1112</f>
        <v>Catalyst Coke</v>
      </c>
      <c r="D1125" s="533">
        <f t="shared" ref="D1125:Q1125" ca="1" si="130">D1112/SUM($D$1112:$P$1112)</f>
        <v>0.80845345712167516</v>
      </c>
      <c r="E1125" s="533">
        <f t="shared" ca="1" si="130"/>
        <v>0</v>
      </c>
      <c r="F1125" s="533">
        <f t="shared" ca="1" si="130"/>
        <v>0.19154654287832484</v>
      </c>
      <c r="G1125" s="533">
        <f t="shared" ca="1" si="130"/>
        <v>0</v>
      </c>
      <c r="H1125" s="533">
        <f t="shared" ca="1" si="130"/>
        <v>0</v>
      </c>
      <c r="I1125" s="533">
        <f t="shared" ca="1" si="130"/>
        <v>0</v>
      </c>
      <c r="J1125" s="533">
        <f t="shared" ca="1" si="130"/>
        <v>0</v>
      </c>
      <c r="K1125" s="533">
        <f t="shared" ca="1" si="130"/>
        <v>0</v>
      </c>
      <c r="L1125" s="533">
        <f t="shared" ca="1" si="130"/>
        <v>0</v>
      </c>
      <c r="M1125" s="533">
        <f t="shared" ca="1" si="130"/>
        <v>0</v>
      </c>
      <c r="N1125" s="533">
        <f t="shared" ca="1" si="130"/>
        <v>0</v>
      </c>
      <c r="O1125" s="533">
        <f t="shared" ca="1" si="130"/>
        <v>0</v>
      </c>
      <c r="P1125" s="533">
        <f t="shared" ca="1" si="130"/>
        <v>0</v>
      </c>
      <c r="Q1125" s="535">
        <f t="shared" ca="1" si="130"/>
        <v>1</v>
      </c>
      <c r="R1125" s="2109"/>
      <c r="S1125" s="346"/>
      <c r="T1125" s="341"/>
      <c r="U1125" s="511"/>
      <c r="V1125" s="511"/>
      <c r="W1125" s="511"/>
      <c r="X1125" s="342"/>
      <c r="Y1125" s="342"/>
      <c r="Z1125" s="342"/>
      <c r="AA1125" s="342"/>
    </row>
    <row r="1126" spans="1:27" ht="26.25" x14ac:dyDescent="0.2">
      <c r="A1126" s="341"/>
      <c r="B1126" s="345"/>
      <c r="C1126" s="529" t="s">
        <v>32</v>
      </c>
      <c r="D1126" s="540">
        <f t="shared" ref="D1126:Q1126" ca="1" si="131">D1114/SUM($D$1114:$P$1114)</f>
        <v>0.61094277913305828</v>
      </c>
      <c r="E1126" s="540">
        <f t="shared" ca="1" si="131"/>
        <v>0.26222082517241696</v>
      </c>
      <c r="F1126" s="540">
        <f t="shared" ca="1" si="131"/>
        <v>0.12683639569452484</v>
      </c>
      <c r="G1126" s="540">
        <f t="shared" ca="1" si="131"/>
        <v>0</v>
      </c>
      <c r="H1126" s="540">
        <f t="shared" ca="1" si="131"/>
        <v>0</v>
      </c>
      <c r="I1126" s="540">
        <f t="shared" ca="1" si="131"/>
        <v>0</v>
      </c>
      <c r="J1126" s="540">
        <f t="shared" ca="1" si="131"/>
        <v>0</v>
      </c>
      <c r="K1126" s="540">
        <f t="shared" ca="1" si="131"/>
        <v>0</v>
      </c>
      <c r="L1126" s="540">
        <f t="shared" ca="1" si="131"/>
        <v>0</v>
      </c>
      <c r="M1126" s="540">
        <f t="shared" ca="1" si="131"/>
        <v>0</v>
      </c>
      <c r="N1126" s="540">
        <f t="shared" ca="1" si="131"/>
        <v>0</v>
      </c>
      <c r="O1126" s="540">
        <f t="shared" ca="1" si="131"/>
        <v>0</v>
      </c>
      <c r="P1126" s="540">
        <f t="shared" ca="1" si="131"/>
        <v>0</v>
      </c>
      <c r="Q1126" s="541">
        <f t="shared" ca="1" si="131"/>
        <v>1</v>
      </c>
      <c r="R1126" s="2109"/>
      <c r="S1126" s="346"/>
      <c r="T1126" s="341"/>
      <c r="U1126" s="511"/>
      <c r="V1126" s="511"/>
      <c r="W1126" s="511"/>
      <c r="X1126" s="342"/>
      <c r="Y1126" s="342"/>
      <c r="Z1126" s="342"/>
      <c r="AA1126" s="342"/>
    </row>
    <row r="1127" spans="1:27" ht="26.25" x14ac:dyDescent="0.2">
      <c r="A1127" s="341"/>
      <c r="B1127" s="345"/>
      <c r="C1127" s="489" t="s">
        <v>31</v>
      </c>
      <c r="D1127" s="542">
        <f t="shared" ref="D1127:Q1127" ca="1" si="132">D1115/SUM($D$1115:$P$1115)</f>
        <v>0.39827556821110199</v>
      </c>
      <c r="E1127" s="542">
        <f t="shared" ca="1" si="132"/>
        <v>0.40709291433936579</v>
      </c>
      <c r="F1127" s="542">
        <f t="shared" ca="1" si="132"/>
        <v>0.19463151744953211</v>
      </c>
      <c r="G1127" s="542">
        <f t="shared" ca="1" si="132"/>
        <v>0</v>
      </c>
      <c r="H1127" s="542">
        <f t="shared" ca="1" si="132"/>
        <v>0</v>
      </c>
      <c r="I1127" s="542">
        <f t="shared" ca="1" si="132"/>
        <v>0</v>
      </c>
      <c r="J1127" s="542">
        <f t="shared" ca="1" si="132"/>
        <v>0</v>
      </c>
      <c r="K1127" s="542">
        <f t="shared" ca="1" si="132"/>
        <v>0</v>
      </c>
      <c r="L1127" s="542">
        <f t="shared" ca="1" si="132"/>
        <v>0</v>
      </c>
      <c r="M1127" s="542">
        <f t="shared" ca="1" si="132"/>
        <v>0</v>
      </c>
      <c r="N1127" s="542">
        <f t="shared" ca="1" si="132"/>
        <v>0</v>
      </c>
      <c r="O1127" s="542">
        <f t="shared" ca="1" si="132"/>
        <v>0</v>
      </c>
      <c r="P1127" s="542">
        <f t="shared" ca="1" si="132"/>
        <v>0</v>
      </c>
      <c r="Q1127" s="543">
        <f t="shared" ca="1" si="132"/>
        <v>0.99999999999999956</v>
      </c>
      <c r="R1127" s="2109"/>
      <c r="S1127" s="346"/>
      <c r="T1127" s="341"/>
      <c r="U1127" s="511"/>
      <c r="V1127" s="511"/>
      <c r="W1127" s="511"/>
      <c r="X1127" s="342"/>
      <c r="Y1127" s="342"/>
      <c r="Z1127" s="342"/>
      <c r="AA1127" s="342"/>
    </row>
    <row r="1128" spans="1:27" ht="26.25" x14ac:dyDescent="0.2">
      <c r="A1128" s="341"/>
      <c r="B1128" s="345"/>
      <c r="C1128" s="437"/>
      <c r="D1128" s="2109"/>
      <c r="E1128" s="437"/>
      <c r="F1128" s="2109"/>
      <c r="G1128" s="2109"/>
      <c r="H1128" s="2109"/>
      <c r="I1128" s="2109"/>
      <c r="J1128" s="2109"/>
      <c r="K1128" s="2109"/>
      <c r="L1128" s="2109"/>
      <c r="M1128" s="2109"/>
      <c r="N1128" s="2109"/>
      <c r="O1128" s="2109"/>
      <c r="P1128" s="2109"/>
      <c r="Q1128" s="2109"/>
      <c r="R1128" s="2109"/>
      <c r="S1128" s="346"/>
      <c r="T1128" s="341"/>
      <c r="U1128" s="511"/>
      <c r="V1128" s="511"/>
      <c r="W1128" s="511"/>
      <c r="X1128" s="342"/>
      <c r="Y1128" s="342"/>
      <c r="Z1128" s="342"/>
      <c r="AA1128" s="342"/>
    </row>
    <row r="1129" spans="1:27" ht="26.25" x14ac:dyDescent="0.2">
      <c r="A1129" s="341"/>
      <c r="B1129" s="345"/>
      <c r="C1129" s="440" t="s">
        <v>1045</v>
      </c>
      <c r="D1129" s="1776"/>
      <c r="E1129" s="1776"/>
      <c r="F1129" s="2109"/>
      <c r="G1129" s="2109"/>
      <c r="H1129" s="2109"/>
      <c r="I1129" s="2109"/>
      <c r="J1129" s="2109"/>
      <c r="K1129" s="2109"/>
      <c r="L1129" s="2109"/>
      <c r="M1129" s="2109"/>
      <c r="N1129" s="2109"/>
      <c r="O1129" s="2109"/>
      <c r="P1129" s="2109"/>
      <c r="Q1129" s="2109"/>
      <c r="R1129" s="2109"/>
      <c r="S1129" s="346"/>
      <c r="T1129" s="341"/>
      <c r="U1129" s="511"/>
      <c r="V1129" s="511"/>
      <c r="W1129" s="511"/>
      <c r="X1129" s="342"/>
      <c r="Y1129" s="342"/>
      <c r="Z1129" s="342"/>
      <c r="AA1129" s="342"/>
    </row>
    <row r="1130" spans="1:27" ht="26.25" x14ac:dyDescent="0.2">
      <c r="A1130" s="341"/>
      <c r="B1130" s="345"/>
      <c r="C1130" s="967" t="s">
        <v>1634</v>
      </c>
      <c r="D1130" s="968">
        <f ca="1">'CokingRefinery Detailed Results'!P32</f>
        <v>6346085.8726452049</v>
      </c>
      <c r="E1130" s="969" t="s">
        <v>522</v>
      </c>
      <c r="F1130" s="2109"/>
      <c r="G1130" s="2109"/>
      <c r="H1130" s="2109"/>
      <c r="I1130" s="2109"/>
      <c r="J1130" s="2109"/>
      <c r="K1130" s="2109"/>
      <c r="L1130" s="2109"/>
      <c r="M1130" s="2109"/>
      <c r="N1130" s="2109"/>
      <c r="O1130" s="2109"/>
      <c r="P1130" s="2109"/>
      <c r="Q1130" s="2109"/>
      <c r="R1130" s="2109"/>
      <c r="S1130" s="346"/>
      <c r="T1130" s="341"/>
      <c r="U1130" s="511"/>
      <c r="V1130" s="511"/>
      <c r="W1130" s="511"/>
      <c r="X1130" s="342"/>
      <c r="Y1130" s="342"/>
      <c r="Z1130" s="342"/>
      <c r="AA1130" s="342"/>
    </row>
    <row r="1131" spans="1:27" ht="26.25" x14ac:dyDescent="0.2">
      <c r="A1131" s="341"/>
      <c r="B1131" s="345"/>
      <c r="C1131" s="970" t="s">
        <v>1635</v>
      </c>
      <c r="D1131" s="971">
        <f ca="1">D1130-Q1111</f>
        <v>-3443491.4329384398</v>
      </c>
      <c r="E1131" s="972" t="s">
        <v>522</v>
      </c>
      <c r="F1131" s="2109"/>
      <c r="G1131" s="2109"/>
      <c r="H1131" s="2109"/>
      <c r="I1131" s="2109"/>
      <c r="J1131" s="2109"/>
      <c r="K1131" s="2109"/>
      <c r="L1131" s="2109"/>
      <c r="M1131" s="2109"/>
      <c r="N1131" s="2109"/>
      <c r="O1131" s="2109"/>
      <c r="P1131" s="2109"/>
      <c r="Q1131" s="2109"/>
      <c r="R1131" s="2109"/>
      <c r="S1131" s="346"/>
      <c r="T1131" s="341"/>
      <c r="U1131" s="511"/>
      <c r="V1131" s="511"/>
      <c r="W1131" s="511"/>
      <c r="X1131" s="342"/>
      <c r="Y1131" s="342"/>
      <c r="Z1131" s="342"/>
      <c r="AA1131" s="342"/>
    </row>
    <row r="1132" spans="1:27" ht="26.25" x14ac:dyDescent="0.2">
      <c r="A1132" s="341"/>
      <c r="B1132" s="345"/>
      <c r="C1132" s="461" t="s">
        <v>772</v>
      </c>
      <c r="D1132" s="545">
        <f t="shared" ref="D1132:Q1132" ca="1" si="133">IF(D1111&lt;0,0,IF($D$1131&gt;0,D1111,D1124*$D$1130))</f>
        <v>4327450.0188714312</v>
      </c>
      <c r="E1132" s="546">
        <f t="shared" ca="1" si="133"/>
        <v>1316119.3746714599</v>
      </c>
      <c r="F1132" s="560">
        <f t="shared" ca="1" si="133"/>
        <v>702516.47910231422</v>
      </c>
      <c r="G1132" s="560">
        <f t="shared" ca="1" si="133"/>
        <v>0</v>
      </c>
      <c r="H1132" s="560">
        <f t="shared" ca="1" si="133"/>
        <v>0</v>
      </c>
      <c r="I1132" s="560">
        <f t="shared" ca="1" si="133"/>
        <v>0</v>
      </c>
      <c r="J1132" s="560">
        <f t="shared" ca="1" si="133"/>
        <v>0</v>
      </c>
      <c r="K1132" s="560">
        <f t="shared" ca="1" si="133"/>
        <v>0</v>
      </c>
      <c r="L1132" s="560">
        <f t="shared" ref="L1132" ca="1" si="134">IF(L1111&lt;0,0,IF($D$1131&gt;0,L1111,L1124*$D$1130))</f>
        <v>0</v>
      </c>
      <c r="M1132" s="560">
        <f t="shared" ca="1" si="133"/>
        <v>0</v>
      </c>
      <c r="N1132" s="560">
        <f t="shared" ref="N1132:P1132" ca="1" si="135">IF(N1111&lt;0,0,IF($D$1131&gt;0,N1111,N1124*$D$1130))</f>
        <v>0</v>
      </c>
      <c r="O1132" s="560">
        <f t="shared" ca="1" si="135"/>
        <v>0</v>
      </c>
      <c r="P1132" s="560">
        <f t="shared" ca="1" si="135"/>
        <v>0</v>
      </c>
      <c r="Q1132" s="563">
        <f t="shared" ca="1" si="133"/>
        <v>6346085.8726452049</v>
      </c>
      <c r="R1132" s="2109"/>
      <c r="S1132" s="346"/>
      <c r="T1132" s="341"/>
      <c r="U1132" s="511"/>
      <c r="V1132" s="511"/>
      <c r="W1132" s="511"/>
      <c r="X1132" s="342"/>
      <c r="Y1132" s="342"/>
      <c r="Z1132" s="342"/>
      <c r="AA1132" s="342"/>
    </row>
    <row r="1133" spans="1:27" ht="26.25" x14ac:dyDescent="0.2">
      <c r="A1133" s="341"/>
      <c r="B1133" s="345"/>
      <c r="C1133" s="461" t="s">
        <v>773</v>
      </c>
      <c r="D1133" s="2109">
        <f t="shared" ref="D1133:Q1133" ca="1" si="136">IF(D1111&lt;0,0,IF((D1111-D1132)&gt;0,(D1111-D1132),0))</f>
        <v>2348146.1432291865</v>
      </c>
      <c r="E1133" s="437">
        <f t="shared" ca="1" si="136"/>
        <v>714148.19817375089</v>
      </c>
      <c r="F1133" s="2109">
        <f t="shared" ca="1" si="136"/>
        <v>381197.09153550281</v>
      </c>
      <c r="G1133" s="2109">
        <f t="shared" ca="1" si="136"/>
        <v>0</v>
      </c>
      <c r="H1133" s="2109">
        <f t="shared" ca="1" si="136"/>
        <v>0</v>
      </c>
      <c r="I1133" s="2109">
        <f t="shared" ca="1" si="136"/>
        <v>0</v>
      </c>
      <c r="J1133" s="2109">
        <f t="shared" ca="1" si="136"/>
        <v>0</v>
      </c>
      <c r="K1133" s="2109">
        <f t="shared" ca="1" si="136"/>
        <v>0</v>
      </c>
      <c r="L1133" s="2109">
        <f t="shared" ref="L1133" ca="1" si="137">IF(L1111&lt;0,0,IF((L1111-L1132)&gt;0,(L1111-L1132),0))</f>
        <v>0</v>
      </c>
      <c r="M1133" s="2109">
        <f t="shared" ca="1" si="136"/>
        <v>0</v>
      </c>
      <c r="N1133" s="2109">
        <f t="shared" ref="N1133:P1133" ca="1" si="138">IF(N1111&lt;0,0,IF((N1111-N1132)&gt;0,(N1111-N1132),0))</f>
        <v>0</v>
      </c>
      <c r="O1133" s="2109">
        <f t="shared" ca="1" si="138"/>
        <v>0</v>
      </c>
      <c r="P1133" s="2109">
        <f t="shared" ca="1" si="138"/>
        <v>0</v>
      </c>
      <c r="Q1133" s="339">
        <f t="shared" ca="1" si="136"/>
        <v>3443491.4329384398</v>
      </c>
      <c r="R1133" s="2109"/>
      <c r="S1133" s="346"/>
      <c r="T1133" s="341"/>
      <c r="U1133" s="511"/>
      <c r="V1133" s="511"/>
      <c r="W1133" s="511"/>
      <c r="X1133" s="342"/>
      <c r="Y1133" s="342"/>
      <c r="Z1133" s="342"/>
      <c r="AA1133" s="342"/>
    </row>
    <row r="1134" spans="1:27" ht="26.25" x14ac:dyDescent="0.2">
      <c r="A1134" s="341"/>
      <c r="B1134" s="345"/>
      <c r="C1134" s="461" t="s">
        <v>979</v>
      </c>
      <c r="D1134" s="518">
        <f t="shared" ref="D1134:Q1134" ca="1" si="139">-IF($D$1131&gt;0,D1124*$D$1131,0)</f>
        <v>0</v>
      </c>
      <c r="E1134" s="519">
        <f t="shared" ca="1" si="139"/>
        <v>0</v>
      </c>
      <c r="F1134" s="518">
        <f t="shared" ca="1" si="139"/>
        <v>0</v>
      </c>
      <c r="G1134" s="518">
        <f t="shared" ca="1" si="139"/>
        <v>0</v>
      </c>
      <c r="H1134" s="518">
        <f t="shared" ca="1" si="139"/>
        <v>0</v>
      </c>
      <c r="I1134" s="518">
        <f t="shared" ca="1" si="139"/>
        <v>0</v>
      </c>
      <c r="J1134" s="518">
        <f t="shared" ca="1" si="139"/>
        <v>0</v>
      </c>
      <c r="K1134" s="518">
        <f t="shared" ca="1" si="139"/>
        <v>0</v>
      </c>
      <c r="L1134" s="518">
        <f t="shared" ref="L1134" ca="1" si="140">-IF($D$1131&gt;0,L1124*$D$1131,0)</f>
        <v>0</v>
      </c>
      <c r="M1134" s="518">
        <f t="shared" ca="1" si="139"/>
        <v>0</v>
      </c>
      <c r="N1134" s="518">
        <f t="shared" ref="N1134:P1134" ca="1" si="141">-IF($D$1131&gt;0,N1124*$D$1131,0)</f>
        <v>0</v>
      </c>
      <c r="O1134" s="518">
        <f t="shared" ca="1" si="141"/>
        <v>0</v>
      </c>
      <c r="P1134" s="518">
        <f t="shared" ca="1" si="141"/>
        <v>0</v>
      </c>
      <c r="Q1134" s="520">
        <f t="shared" ca="1" si="139"/>
        <v>0</v>
      </c>
      <c r="R1134" s="2109"/>
      <c r="S1134" s="346"/>
      <c r="T1134" s="341"/>
      <c r="U1134" s="511"/>
      <c r="V1134" s="511"/>
      <c r="W1134" s="511"/>
      <c r="X1134" s="342"/>
      <c r="Y1134" s="342"/>
      <c r="Z1134" s="342"/>
      <c r="AA1134" s="342"/>
    </row>
    <row r="1135" spans="1:27" ht="26.25" x14ac:dyDescent="0.2">
      <c r="A1135" s="341"/>
      <c r="B1135" s="345"/>
      <c r="C1135" s="462" t="s">
        <v>981</v>
      </c>
      <c r="D1135" s="2104">
        <f t="shared" ref="D1135:M1135" ca="1" si="142">-$K$1098*D1122</f>
        <v>-6659135.9458711231</v>
      </c>
      <c r="E1135" s="544">
        <f t="shared" ca="1" si="142"/>
        <v>-3247542.7435565563</v>
      </c>
      <c r="F1135" s="2104">
        <f t="shared" ca="1" si="142"/>
        <v>-1531026.6504654416</v>
      </c>
      <c r="G1135" s="2104">
        <f t="shared" ca="1" si="142"/>
        <v>0</v>
      </c>
      <c r="H1135" s="2104">
        <f t="shared" ca="1" si="142"/>
        <v>0</v>
      </c>
      <c r="I1135" s="2104">
        <f t="shared" ca="1" si="142"/>
        <v>0</v>
      </c>
      <c r="J1135" s="2104">
        <f t="shared" ca="1" si="142"/>
        <v>0</v>
      </c>
      <c r="K1135" s="2104">
        <f t="shared" ca="1" si="142"/>
        <v>0</v>
      </c>
      <c r="L1135" s="2104">
        <f t="shared" ref="L1135" ca="1" si="143">-$K$1098*L1122</f>
        <v>0</v>
      </c>
      <c r="M1135" s="2104">
        <f t="shared" ca="1" si="142"/>
        <v>0</v>
      </c>
      <c r="N1135" s="2104">
        <f t="shared" ref="N1135:P1135" ca="1" si="144">-$K$1098*N1122</f>
        <v>0</v>
      </c>
      <c r="O1135" s="2104">
        <f t="shared" ca="1" si="144"/>
        <v>0</v>
      </c>
      <c r="P1135" s="2104">
        <f t="shared" ca="1" si="144"/>
        <v>0</v>
      </c>
      <c r="Q1135" s="2102">
        <f ca="1">SUM(D1135:M1135)</f>
        <v>-11437705.339893121</v>
      </c>
      <c r="R1135" s="2109"/>
      <c r="S1135" s="346"/>
      <c r="T1135" s="341"/>
      <c r="U1135" s="511"/>
      <c r="V1135" s="511"/>
      <c r="W1135" s="511"/>
      <c r="X1135" s="342"/>
      <c r="Y1135" s="342"/>
      <c r="Z1135" s="342"/>
      <c r="AA1135" s="342"/>
    </row>
    <row r="1136" spans="1:27" ht="26.25" x14ac:dyDescent="0.2">
      <c r="A1136" s="341"/>
      <c r="B1136" s="345"/>
      <c r="C1136" s="437"/>
      <c r="D1136" s="2109"/>
      <c r="E1136" s="437"/>
      <c r="F1136" s="2109"/>
      <c r="G1136" s="2109"/>
      <c r="H1136" s="2109"/>
      <c r="I1136" s="2109"/>
      <c r="J1136" s="2109"/>
      <c r="K1136" s="2109"/>
      <c r="L1136" s="2109"/>
      <c r="M1136" s="2109"/>
      <c r="N1136" s="2109"/>
      <c r="O1136" s="2109"/>
      <c r="P1136" s="2109"/>
      <c r="Q1136" s="2109"/>
      <c r="R1136" s="2109"/>
      <c r="S1136" s="346"/>
      <c r="T1136" s="341"/>
      <c r="U1136" s="511"/>
      <c r="V1136" s="511"/>
      <c r="W1136" s="511"/>
      <c r="X1136" s="342"/>
      <c r="Y1136" s="342"/>
      <c r="Z1136" s="342"/>
      <c r="AA1136" s="342"/>
    </row>
    <row r="1137" spans="1:27" ht="26.25" x14ac:dyDescent="0.2">
      <c r="A1137" s="341"/>
      <c r="B1137" s="345"/>
      <c r="C1137" s="440" t="s">
        <v>1406</v>
      </c>
      <c r="D1137" s="1776"/>
      <c r="E1137" s="437"/>
      <c r="F1137" s="2109"/>
      <c r="G1137" s="2109"/>
      <c r="H1137" s="2109"/>
      <c r="I1137" s="2109"/>
      <c r="J1137" s="2109"/>
      <c r="K1137" s="2109"/>
      <c r="L1137" s="2109"/>
      <c r="M1137" s="2109"/>
      <c r="N1137" s="2109"/>
      <c r="O1137" s="2109"/>
      <c r="P1137" s="2109"/>
      <c r="Q1137" s="2109"/>
      <c r="R1137" s="2109"/>
      <c r="S1137" s="346"/>
      <c r="T1137" s="341"/>
      <c r="U1137" s="511"/>
      <c r="V1137" s="511"/>
      <c r="W1137" s="511"/>
      <c r="X1137" s="342"/>
      <c r="Y1137" s="342"/>
      <c r="Z1137" s="342"/>
      <c r="AA1137" s="342"/>
    </row>
    <row r="1138" spans="1:27" ht="26.25" x14ac:dyDescent="0.2">
      <c r="A1138" s="341"/>
      <c r="B1138" s="345"/>
      <c r="C1138" s="525" t="s">
        <v>160</v>
      </c>
      <c r="D1138" s="526"/>
      <c r="E1138" s="527"/>
      <c r="F1138" s="526"/>
      <c r="G1138" s="526"/>
      <c r="H1138" s="526"/>
      <c r="I1138" s="526"/>
      <c r="J1138" s="526"/>
      <c r="K1138" s="526"/>
      <c r="L1138" s="526"/>
      <c r="M1138" s="526"/>
      <c r="N1138" s="526"/>
      <c r="O1138" s="526"/>
      <c r="P1138" s="526"/>
      <c r="Q1138" s="528"/>
      <c r="R1138" s="2109"/>
      <c r="S1138" s="346"/>
      <c r="T1138" s="341"/>
      <c r="U1138" s="511"/>
      <c r="V1138" s="511"/>
      <c r="W1138" s="511"/>
      <c r="X1138" s="342"/>
      <c r="Y1138" s="342"/>
      <c r="Z1138" s="342"/>
      <c r="AA1138" s="342"/>
    </row>
    <row r="1139" spans="1:27" ht="26.25" x14ac:dyDescent="0.2">
      <c r="A1139" s="341"/>
      <c r="B1139" s="345"/>
      <c r="C1139" s="517" t="str">
        <f>C1106</f>
        <v>Crude</v>
      </c>
      <c r="D1139" s="518">
        <f ca="1">D1106/CokingRefineryCalcs!$D$1098</f>
        <v>1.825850910665068</v>
      </c>
      <c r="E1139" s="519">
        <f ca="1">E1106/CokingRefineryCalcs!$E$1098</f>
        <v>1.5494745319714134</v>
      </c>
      <c r="F1139" s="518">
        <f ca="1">F1106/$F$1098</f>
        <v>1.5287223920773192</v>
      </c>
      <c r="G1139" s="518">
        <f ca="1">G1106/CokingRefineryCalcs!$G$1098</f>
        <v>0</v>
      </c>
      <c r="H1139" s="518">
        <f ca="1">H1106/CokingRefineryCalcs!$H$1098</f>
        <v>0</v>
      </c>
      <c r="I1139" s="518">
        <f ca="1">IF($I$1098&lt;1,0,I1106/$I$1098)</f>
        <v>0</v>
      </c>
      <c r="J1139" s="518">
        <f ca="1">IF(J1098&gt;1,J1106/$J$1098,0)</f>
        <v>0</v>
      </c>
      <c r="K1139" s="518">
        <f ca="1">IF(K$1098=0, 0,K1106/$K$1098)</f>
        <v>0</v>
      </c>
      <c r="L1139" s="518">
        <f ca="1">IF(L$1098=0, 0,L1106/$K$1098)</f>
        <v>0</v>
      </c>
      <c r="M1139" s="518">
        <f ca="1">M1106/$M$1098</f>
        <v>0</v>
      </c>
      <c r="N1139" s="518" t="e">
        <f ca="1">N1106/$N$1098</f>
        <v>#DIV/0!</v>
      </c>
      <c r="O1139" s="518" t="e">
        <f ca="1">O1106/$O$1098</f>
        <v>#DIV/0!</v>
      </c>
      <c r="P1139" s="518">
        <f ca="1">IF($P1098=0,0,P1106/$P$1098)</f>
        <v>0</v>
      </c>
      <c r="Q1139" s="520">
        <f ca="1">Q1106/$Q$1098</f>
        <v>0.98095402046027413</v>
      </c>
      <c r="R1139" s="2109"/>
      <c r="S1139" s="346"/>
      <c r="T1139" s="341"/>
      <c r="U1139" s="511"/>
      <c r="V1139" s="511"/>
      <c r="W1139" s="511"/>
      <c r="X1139" s="342"/>
      <c r="Y1139" s="342"/>
      <c r="Z1139" s="342"/>
      <c r="AA1139" s="342"/>
    </row>
    <row r="1140" spans="1:27" ht="26.25" x14ac:dyDescent="0.2">
      <c r="A1140" s="341"/>
      <c r="B1140" s="345"/>
      <c r="C1140" s="529" t="s">
        <v>201</v>
      </c>
      <c r="D1140" s="530"/>
      <c r="E1140" s="531"/>
      <c r="F1140" s="530"/>
      <c r="G1140" s="530"/>
      <c r="H1140" s="530"/>
      <c r="I1140" s="530"/>
      <c r="J1140" s="530"/>
      <c r="K1140" s="530"/>
      <c r="L1140" s="530"/>
      <c r="M1140" s="530"/>
      <c r="N1140" s="530"/>
      <c r="O1140" s="530"/>
      <c r="P1140" s="530"/>
      <c r="Q1140" s="532"/>
      <c r="R1140" s="2109"/>
      <c r="S1140" s="346"/>
      <c r="T1140" s="341"/>
      <c r="U1140" s="511"/>
      <c r="V1140" s="511"/>
      <c r="W1140" s="511"/>
      <c r="X1140" s="342"/>
      <c r="Y1140" s="342"/>
      <c r="Z1140" s="342"/>
      <c r="AA1140" s="342"/>
    </row>
    <row r="1141" spans="1:27" ht="26.25" x14ac:dyDescent="0.2">
      <c r="A1141" s="341"/>
      <c r="B1141" s="345"/>
      <c r="C1141" s="517" t="str">
        <f>C1108</f>
        <v>Electricity</v>
      </c>
      <c r="D1141" s="518">
        <f ca="1">IF(D$1098=0,0,D1108/CokingRefineryCalcs!D$1098)</f>
        <v>5.1483981475435488E-3</v>
      </c>
      <c r="E1141" s="518">
        <f ca="1">IF(E$1098=0,0,E1108/CokingRefineryCalcs!E$1098)</f>
        <v>2.1157491153671985E-3</v>
      </c>
      <c r="F1141" s="518">
        <f ca="1">IF(F$1098=0,0,F1108/CokingRefineryCalcs!F$1098)</f>
        <v>1.9861576532102117E-3</v>
      </c>
      <c r="G1141" s="518">
        <f ca="1">IF(G$1098=0,0,G1108/CokingRefineryCalcs!G$1098)</f>
        <v>0</v>
      </c>
      <c r="H1141" s="518">
        <f ca="1">IF(H$1098=0,0,H1108/CokingRefineryCalcs!H$1098)</f>
        <v>0</v>
      </c>
      <c r="I1141" s="518">
        <f ca="1">IF(I$1098=0,0,I1108/CokingRefineryCalcs!I$1098)</f>
        <v>0</v>
      </c>
      <c r="J1141" s="518">
        <f ca="1">IF(J$1098=0,0,J1108/CokingRefineryCalcs!J$1098)</f>
        <v>0</v>
      </c>
      <c r="K1141" s="518">
        <f ca="1">IF(K$1098=0,0,K1108/CokingRefineryCalcs!K$1098)</f>
        <v>0</v>
      </c>
      <c r="L1141" s="518">
        <f ca="1">IF(L$1098=0,0,L1108/CokingRefineryCalcs!L$1098)</f>
        <v>0</v>
      </c>
      <c r="M1141" s="518">
        <f ca="1">IF(M$1098=0,0,M1108/CokingRefineryCalcs!M$1098)</f>
        <v>0</v>
      </c>
      <c r="N1141" s="518">
        <f ca="1">IF(N$1098=0,0,N1108/CokingRefineryCalcs!N$1098)</f>
        <v>0</v>
      </c>
      <c r="O1141" s="518">
        <f ca="1">IF(O$1098=0,0,O1108/CokingRefineryCalcs!O$1098)</f>
        <v>0</v>
      </c>
      <c r="P1141" s="518">
        <f ca="1">IF(P$1098=0,0,P1108/CokingRefineryCalcs!P$1098)</f>
        <v>0</v>
      </c>
      <c r="Q1141" s="520">
        <f ca="1">Q1108/$Q$1098</f>
        <v>1.8760598987776565E-3</v>
      </c>
      <c r="R1141" s="2109"/>
      <c r="S1141" s="346"/>
      <c r="T1141" s="341"/>
      <c r="U1141" s="511"/>
      <c r="V1141" s="511"/>
      <c r="W1141" s="511"/>
      <c r="X1141" s="342"/>
      <c r="Y1141" s="342"/>
      <c r="Z1141" s="342"/>
      <c r="AA1141" s="342"/>
    </row>
    <row r="1142" spans="1:27" ht="26.25" x14ac:dyDescent="0.2">
      <c r="A1142" s="341"/>
      <c r="B1142" s="345"/>
      <c r="C1142" s="517" t="str">
        <f>C1109</f>
        <v>Heat</v>
      </c>
      <c r="D1142" s="518">
        <f ca="1">IF(D$1098=0,0,D1109/CokingRefineryCalcs!D$1098)</f>
        <v>0.10472369478697421</v>
      </c>
      <c r="E1142" s="518">
        <f ca="1">IF(E$1098=0,0,E1109/CokingRefineryCalcs!E$1098)</f>
        <v>4.0133216287560343E-2</v>
      </c>
      <c r="F1142" s="518">
        <f ca="1">IF(F$1098=0,0,F1109/CokingRefineryCalcs!F$1098)</f>
        <v>3.9061912118124216E-2</v>
      </c>
      <c r="G1142" s="518">
        <f ca="1">IF(G$1098=0,0,G1109/CokingRefineryCalcs!G$1098)</f>
        <v>0</v>
      </c>
      <c r="H1142" s="518">
        <f ca="1">IF(H$1098=0,0,H1109/CokingRefineryCalcs!H$1098)</f>
        <v>0</v>
      </c>
      <c r="I1142" s="518">
        <f ca="1">IF(I$1098=0,0,I1109/CokingRefineryCalcs!I$1098)</f>
        <v>0</v>
      </c>
      <c r="J1142" s="518">
        <f ca="1">IF(J$1098=0,0,J1109/CokingRefineryCalcs!J$1098)</f>
        <v>0</v>
      </c>
      <c r="K1142" s="518">
        <f ca="1">IF(K$1098=0,0,K1109/CokingRefineryCalcs!K$1098)</f>
        <v>0</v>
      </c>
      <c r="L1142" s="518">
        <f ca="1">IF(L$1098=0,0,L1109/CokingRefineryCalcs!L$1098)</f>
        <v>0</v>
      </c>
      <c r="M1142" s="518">
        <f ca="1">IF(M$1098=0,0,M1109/CokingRefineryCalcs!M$1098)</f>
        <v>0</v>
      </c>
      <c r="N1142" s="518">
        <f ca="1">IF(N$1098=0,0,N1109/CokingRefineryCalcs!N$1098)</f>
        <v>0</v>
      </c>
      <c r="O1142" s="518">
        <f ca="1">IF(O$1098=0,0,O1109/CokingRefineryCalcs!O$1098)</f>
        <v>0</v>
      </c>
      <c r="P1142" s="518">
        <f ca="1">IF(P$1098=0,0,P1109/CokingRefineryCalcs!P$1098)</f>
        <v>0</v>
      </c>
      <c r="Q1142" s="520">
        <f ca="1">Q1109/$Q$1098</f>
        <v>3.7225608863005598E-2</v>
      </c>
      <c r="R1142" s="2109"/>
      <c r="S1142" s="346"/>
      <c r="T1142" s="341"/>
      <c r="U1142" s="511"/>
      <c r="V1142" s="511"/>
      <c r="W1142" s="511"/>
      <c r="X1142" s="342"/>
      <c r="Y1142" s="342"/>
      <c r="Z1142" s="342"/>
      <c r="AA1142" s="342"/>
    </row>
    <row r="1143" spans="1:27" ht="26.25" x14ac:dyDescent="0.2">
      <c r="A1143" s="341"/>
      <c r="B1143" s="345"/>
      <c r="C1143" s="517" t="str">
        <f>C1110</f>
        <v>Steam</v>
      </c>
      <c r="D1143" s="518">
        <f ca="1">IF(D$1098=0,0,D1110/CokingRefineryCalcs!D$1098)</f>
        <v>1.1455453961401508E-2</v>
      </c>
      <c r="E1143" s="518">
        <f ca="1">IF(E$1098=0,0,E1110/CokingRefineryCalcs!E$1098)</f>
        <v>4.2394793708955851E-3</v>
      </c>
      <c r="F1143" s="518">
        <f ca="1">IF(F$1098=0,0,F1110/CokingRefineryCalcs!F$1098)</f>
        <v>3.9764093531890936E-3</v>
      </c>
      <c r="G1143" s="518">
        <f ca="1">IF(G$1098=0,0,G1110/CokingRefineryCalcs!G$1098)</f>
        <v>0</v>
      </c>
      <c r="H1143" s="518">
        <f ca="1">IF(H$1098=0,0,H1110/CokingRefineryCalcs!H$1098)</f>
        <v>0</v>
      </c>
      <c r="I1143" s="518">
        <f ca="1">IF(I$1098=0,0,I1110/CokingRefineryCalcs!I$1098)</f>
        <v>0</v>
      </c>
      <c r="J1143" s="518">
        <f ca="1">IF(J$1098=0,0,J1110/CokingRefineryCalcs!J$1098)</f>
        <v>0</v>
      </c>
      <c r="K1143" s="518">
        <f ca="1">IF(K$1098=0,0,K1110/CokingRefineryCalcs!K$1098)</f>
        <v>0</v>
      </c>
      <c r="L1143" s="518">
        <f ca="1">IF(L$1098=0,0,L1110/CokingRefineryCalcs!L$1098)</f>
        <v>0</v>
      </c>
      <c r="M1143" s="518">
        <f ca="1">IF(M$1098=0,0,M1110/CokingRefineryCalcs!M$1098)</f>
        <v>0</v>
      </c>
      <c r="N1143" s="518">
        <f ca="1">IF(N$1098=0,0,N1110/CokingRefineryCalcs!N$1098)</f>
        <v>0</v>
      </c>
      <c r="O1143" s="518">
        <f ca="1">IF(O$1098=0,0,O1110/CokingRefineryCalcs!O$1098)</f>
        <v>0</v>
      </c>
      <c r="P1143" s="518">
        <f ca="1">IF(P$1098=0,0,P1110/CokingRefineryCalcs!P$1098)</f>
        <v>0</v>
      </c>
      <c r="Q1143" s="520">
        <f ca="1">Q1110/$Q$1098</f>
        <v>3.9945339339621556E-3</v>
      </c>
      <c r="R1143" s="2109"/>
      <c r="S1143" s="346"/>
      <c r="T1143" s="341"/>
      <c r="U1143" s="511"/>
      <c r="V1143" s="511"/>
      <c r="W1143" s="511"/>
      <c r="X1143" s="342"/>
      <c r="Y1143" s="342"/>
      <c r="Z1143" s="342"/>
      <c r="AA1143" s="342"/>
    </row>
    <row r="1144" spans="1:27" ht="26.25" x14ac:dyDescent="0.2">
      <c r="A1144" s="341"/>
      <c r="B1144" s="345"/>
      <c r="C1144" s="517" t="s">
        <v>772</v>
      </c>
      <c r="D1144" s="518">
        <f ca="1">IF(D$1098=0,0,D1132/D$1098)</f>
        <v>3.6719360132289457E-2</v>
      </c>
      <c r="E1144" s="518">
        <f t="shared" ref="E1144:P1144" ca="1" si="145">IF(E$1098=0,0,E1132/E$1098)</f>
        <v>8.7756711588675776E-3</v>
      </c>
      <c r="F1144" s="518">
        <f t="shared" ca="1" si="145"/>
        <v>9.670818508902515E-3</v>
      </c>
      <c r="G1144" s="518">
        <f t="shared" ca="1" si="145"/>
        <v>0</v>
      </c>
      <c r="H1144" s="518">
        <f t="shared" ca="1" si="145"/>
        <v>0</v>
      </c>
      <c r="I1144" s="518">
        <f t="shared" ca="1" si="145"/>
        <v>0</v>
      </c>
      <c r="J1144" s="518">
        <f t="shared" ca="1" si="145"/>
        <v>0</v>
      </c>
      <c r="K1144" s="518">
        <f t="shared" ca="1" si="145"/>
        <v>0</v>
      </c>
      <c r="L1144" s="518">
        <f t="shared" ref="L1144" ca="1" si="146">IF(L$1098=0,0,L1132/L$1098)</f>
        <v>0</v>
      </c>
      <c r="M1144" s="518">
        <f t="shared" ca="1" si="145"/>
        <v>0</v>
      </c>
      <c r="N1144" s="518">
        <f t="shared" ca="1" si="145"/>
        <v>0</v>
      </c>
      <c r="O1144" s="518">
        <f t="shared" ca="1" si="145"/>
        <v>0</v>
      </c>
      <c r="P1144" s="518">
        <f t="shared" ca="1" si="145"/>
        <v>0</v>
      </c>
      <c r="Q1144" s="518">
        <f t="shared" ref="Q1144" ca="1" si="147">IF($D1098=0,0,Q1132/Q$1098)</f>
        <v>1.1144095347002657E-2</v>
      </c>
      <c r="R1144" s="2109"/>
      <c r="S1144" s="346"/>
      <c r="T1144" s="341"/>
      <c r="U1144" s="511"/>
      <c r="V1144" s="511"/>
      <c r="W1144" s="511"/>
      <c r="X1144" s="342"/>
      <c r="Y1144" s="342"/>
      <c r="Z1144" s="342"/>
      <c r="AA1144" s="342"/>
    </row>
    <row r="1145" spans="1:27" ht="26.25" x14ac:dyDescent="0.2">
      <c r="A1145" s="341"/>
      <c r="B1145" s="345"/>
      <c r="C1145" s="517" t="s">
        <v>773</v>
      </c>
      <c r="D1145" s="518">
        <f t="shared" ref="D1145:P1145" ca="1" si="148">IF(D$1098=0,0,D1133/D$1098)</f>
        <v>1.9924533732446261E-2</v>
      </c>
      <c r="E1145" s="518">
        <f t="shared" ca="1" si="148"/>
        <v>4.7618246995528675E-3</v>
      </c>
      <c r="F1145" s="518">
        <f t="shared" ca="1" si="148"/>
        <v>5.247546496093579E-3</v>
      </c>
      <c r="G1145" s="518">
        <f t="shared" ca="1" si="148"/>
        <v>0</v>
      </c>
      <c r="H1145" s="518">
        <f t="shared" ca="1" si="148"/>
        <v>0</v>
      </c>
      <c r="I1145" s="518">
        <f t="shared" ca="1" si="148"/>
        <v>0</v>
      </c>
      <c r="J1145" s="518">
        <f t="shared" ca="1" si="148"/>
        <v>0</v>
      </c>
      <c r="K1145" s="518">
        <f t="shared" ca="1" si="148"/>
        <v>0</v>
      </c>
      <c r="L1145" s="518">
        <f t="shared" ref="L1145" ca="1" si="149">IF(L$1098=0,0,L1133/L$1098)</f>
        <v>0</v>
      </c>
      <c r="M1145" s="518">
        <f t="shared" ca="1" si="148"/>
        <v>0</v>
      </c>
      <c r="N1145" s="518">
        <f t="shared" ca="1" si="148"/>
        <v>0</v>
      </c>
      <c r="O1145" s="518">
        <f t="shared" ca="1" si="148"/>
        <v>0</v>
      </c>
      <c r="P1145" s="518">
        <f t="shared" ca="1" si="148"/>
        <v>0</v>
      </c>
      <c r="Q1145" s="518">
        <f t="shared" ref="Q1145" si="150">IF($D1099=0,0,Q1133/Q$1098)</f>
        <v>0</v>
      </c>
      <c r="R1145" s="2109"/>
      <c r="S1145" s="346"/>
      <c r="T1145" s="341"/>
      <c r="U1145" s="511"/>
      <c r="V1145" s="511"/>
      <c r="W1145" s="511"/>
      <c r="X1145" s="342"/>
      <c r="Y1145" s="342"/>
      <c r="Z1145" s="342"/>
      <c r="AA1145" s="342"/>
    </row>
    <row r="1146" spans="1:27" ht="26.25" x14ac:dyDescent="0.2">
      <c r="A1146" s="341"/>
      <c r="B1146" s="345"/>
      <c r="C1146" s="517" t="str">
        <f>C1112</f>
        <v>Catalyst Coke</v>
      </c>
      <c r="D1146" s="518">
        <f ca="1">IF(D$1098=0,0,D1112/CokingRefineryCalcs!D$1098)</f>
        <v>2.7923001614085446E-22</v>
      </c>
      <c r="E1146" s="518">
        <f ca="1">IF(E$1098=0,0,E1112/CokingRefineryCalcs!E$1098)</f>
        <v>0</v>
      </c>
      <c r="F1146" s="518">
        <f ca="1">IF(F$1098=0,0,F1112/CokingRefineryCalcs!F$1098)</f>
        <v>1.0733097384548451E-22</v>
      </c>
      <c r="G1146" s="518">
        <f ca="1">IF(G$1098=0,0,G1112/CokingRefineryCalcs!G$1098)</f>
        <v>0</v>
      </c>
      <c r="H1146" s="518">
        <f ca="1">IF(H$1098=0,0,H1112/CokingRefineryCalcs!H$1098)</f>
        <v>0</v>
      </c>
      <c r="I1146" s="518">
        <f ca="1">IF(I$1098=0,0,I1112/CokingRefineryCalcs!I$1098)</f>
        <v>0</v>
      </c>
      <c r="J1146" s="518">
        <f ca="1">IF(J$1098=0,0,J1112/CokingRefineryCalcs!J$1098)</f>
        <v>0</v>
      </c>
      <c r="K1146" s="518">
        <f ca="1">IF(K$1098=0,0,K1112/CokingRefineryCalcs!K$1098)</f>
        <v>0</v>
      </c>
      <c r="L1146" s="518">
        <f ca="1">IF(L$1098=0,0,L1112/CokingRefineryCalcs!L$1098)</f>
        <v>0</v>
      </c>
      <c r="M1146" s="518">
        <f ca="1">IF(M$1098=0,0,M1112/CokingRefineryCalcs!M$1098)</f>
        <v>0</v>
      </c>
      <c r="N1146" s="518">
        <f ca="1">IF(N$1098=0,0,N1112/CokingRefineryCalcs!N$1098)</f>
        <v>0</v>
      </c>
      <c r="O1146" s="518">
        <f ca="1">IF(O$1098=0,0,O1112/CokingRefineryCalcs!O$1098)</f>
        <v>0</v>
      </c>
      <c r="P1146" s="518">
        <f ca="1">IF(P$1098=0,0,P1112/CokingRefineryCalcs!P$1098)</f>
        <v>0</v>
      </c>
      <c r="Q1146" s="520">
        <f ca="1">Q1112/$Q$1098</f>
        <v>7.1479731013869106E-23</v>
      </c>
      <c r="R1146" s="2109"/>
      <c r="S1146" s="346"/>
      <c r="T1146" s="341"/>
      <c r="U1146" s="511"/>
      <c r="V1146" s="511"/>
      <c r="W1146" s="511"/>
      <c r="X1146" s="342"/>
      <c r="Y1146" s="342"/>
      <c r="Z1146" s="342"/>
      <c r="AA1146" s="342"/>
    </row>
    <row r="1147" spans="1:27" ht="26.25" x14ac:dyDescent="0.2">
      <c r="A1147" s="341"/>
      <c r="B1147" s="345"/>
      <c r="C1147" s="529" t="str">
        <f>C1126</f>
        <v xml:space="preserve">Total Refinery Processes </v>
      </c>
      <c r="D1147" s="554">
        <f t="shared" ref="D1147:Q1147" ca="1" si="151">SUM(D1141:D1146)</f>
        <v>0.17797144076065499</v>
      </c>
      <c r="E1147" s="555">
        <f t="shared" ca="1" si="151"/>
        <v>6.0025940632243563E-2</v>
      </c>
      <c r="F1147" s="554">
        <f t="shared" ca="1" si="151"/>
        <v>5.9942844129519619E-2</v>
      </c>
      <c r="G1147" s="554">
        <f t="shared" ca="1" si="151"/>
        <v>0</v>
      </c>
      <c r="H1147" s="554">
        <f t="shared" ca="1" si="151"/>
        <v>0</v>
      </c>
      <c r="I1147" s="554">
        <f t="shared" ca="1" si="151"/>
        <v>0</v>
      </c>
      <c r="J1147" s="554">
        <f t="shared" ca="1" si="151"/>
        <v>0</v>
      </c>
      <c r="K1147" s="554">
        <f t="shared" ca="1" si="151"/>
        <v>0</v>
      </c>
      <c r="L1147" s="554">
        <f t="shared" ref="L1147" ca="1" si="152">SUM(L1141:L1146)</f>
        <v>0</v>
      </c>
      <c r="M1147" s="554">
        <f t="shared" ca="1" si="151"/>
        <v>0</v>
      </c>
      <c r="N1147" s="554">
        <f t="shared" ref="N1147:P1147" ca="1" si="153">SUM(N1141:N1146)</f>
        <v>0</v>
      </c>
      <c r="O1147" s="554">
        <f t="shared" ca="1" si="153"/>
        <v>0</v>
      </c>
      <c r="P1147" s="554">
        <f t="shared" ca="1" si="153"/>
        <v>0</v>
      </c>
      <c r="Q1147" s="556">
        <f t="shared" ca="1" si="151"/>
        <v>5.4240298042748061E-2</v>
      </c>
      <c r="R1147" s="2109"/>
      <c r="S1147" s="346"/>
      <c r="T1147" s="341"/>
      <c r="U1147" s="511"/>
      <c r="V1147" s="511"/>
      <c r="W1147" s="511"/>
      <c r="X1147" s="342"/>
      <c r="Y1147" s="342"/>
      <c r="Z1147" s="342"/>
      <c r="AA1147" s="342"/>
    </row>
    <row r="1148" spans="1:27" ht="26.25" x14ac:dyDescent="0.2">
      <c r="A1148" s="341"/>
      <c r="B1148" s="345"/>
      <c r="C1148" s="529" t="str">
        <f>C1127</f>
        <v>Total included Feedstock</v>
      </c>
      <c r="D1148" s="557">
        <f t="shared" ref="D1148:Q1148" ca="1" si="154">SUM(D1139:D1146)</f>
        <v>2.0038223514257232</v>
      </c>
      <c r="E1148" s="558">
        <f t="shared" ca="1" si="154"/>
        <v>1.6095004726036568</v>
      </c>
      <c r="F1148" s="557">
        <f t="shared" ca="1" si="154"/>
        <v>1.5886652362068387</v>
      </c>
      <c r="G1148" s="557">
        <f t="shared" ca="1" si="154"/>
        <v>0</v>
      </c>
      <c r="H1148" s="557">
        <f t="shared" ca="1" si="154"/>
        <v>0</v>
      </c>
      <c r="I1148" s="557">
        <f t="shared" ca="1" si="154"/>
        <v>0</v>
      </c>
      <c r="J1148" s="557">
        <f t="shared" ca="1" si="154"/>
        <v>0</v>
      </c>
      <c r="K1148" s="557">
        <f t="shared" ca="1" si="154"/>
        <v>0</v>
      </c>
      <c r="L1148" s="557">
        <f t="shared" ref="L1148" ca="1" si="155">SUM(L1139:L1146)</f>
        <v>0</v>
      </c>
      <c r="M1148" s="557">
        <f t="shared" ca="1" si="154"/>
        <v>0</v>
      </c>
      <c r="N1148" s="557" t="e">
        <f t="shared" ref="N1148:P1148" ca="1" si="156">SUM(N1139:N1146)</f>
        <v>#DIV/0!</v>
      </c>
      <c r="O1148" s="557" t="e">
        <f t="shared" ca="1" si="156"/>
        <v>#DIV/0!</v>
      </c>
      <c r="P1148" s="557">
        <f t="shared" ca="1" si="156"/>
        <v>0</v>
      </c>
      <c r="Q1148" s="559">
        <f t="shared" ca="1" si="154"/>
        <v>1.0351943185030221</v>
      </c>
      <c r="R1148" s="2109"/>
      <c r="S1148" s="346"/>
      <c r="T1148" s="341"/>
      <c r="U1148" s="511"/>
      <c r="V1148" s="511"/>
      <c r="W1148" s="511"/>
      <c r="X1148" s="342"/>
      <c r="Y1148" s="342"/>
      <c r="Z1148" s="342"/>
      <c r="AA1148" s="342"/>
    </row>
    <row r="1149" spans="1:27" ht="26.25" x14ac:dyDescent="0.2">
      <c r="A1149" s="341"/>
      <c r="B1149" s="345"/>
      <c r="C1149" s="517" t="s">
        <v>980</v>
      </c>
      <c r="D1149" s="518">
        <f ca="1">D1134/D1098</f>
        <v>0</v>
      </c>
      <c r="E1149" s="519">
        <f ca="1">E1134/E1098</f>
        <v>0</v>
      </c>
      <c r="F1149" s="518">
        <f ca="1">F1134/F1098</f>
        <v>0</v>
      </c>
      <c r="G1149" s="518">
        <f ca="1">G1134/G1098</f>
        <v>0</v>
      </c>
      <c r="H1149" s="518">
        <f ca="1">H1134/H1098</f>
        <v>0</v>
      </c>
      <c r="I1149" s="518">
        <f ca="1">IF($I$1098&lt;1,0,I1116/$I$1098)</f>
        <v>0</v>
      </c>
      <c r="J1149" s="518" t="e">
        <f ca="1">J1134/J1098</f>
        <v>#DIV/0!</v>
      </c>
      <c r="K1149" s="518">
        <f ca="1">IF(K1098=0,0,K1134/K1098)</f>
        <v>0</v>
      </c>
      <c r="L1149" s="518">
        <f ca="1">IF(L1098=0,0,L1134/L1098)</f>
        <v>0</v>
      </c>
      <c r="M1149" s="518">
        <f ca="1">M1134/M1098</f>
        <v>0</v>
      </c>
      <c r="N1149" s="518" t="e">
        <f t="shared" ref="N1149:O1149" ca="1" si="157">N1134/N1098</f>
        <v>#DIV/0!</v>
      </c>
      <c r="O1149" s="518" t="e">
        <f t="shared" ca="1" si="157"/>
        <v>#DIV/0!</v>
      </c>
      <c r="P1149" s="518">
        <f ca="1">IF($P1098=0,0,P1134/P1098)</f>
        <v>0</v>
      </c>
      <c r="Q1149" s="520">
        <f ca="1">Q1134/Q1098</f>
        <v>0</v>
      </c>
      <c r="R1149" s="2109"/>
      <c r="S1149" s="346"/>
      <c r="T1149" s="341"/>
      <c r="U1149" s="511"/>
      <c r="V1149" s="511"/>
      <c r="W1149" s="511"/>
      <c r="X1149" s="342"/>
      <c r="Y1149" s="342"/>
      <c r="Z1149" s="342"/>
      <c r="AA1149" s="342"/>
    </row>
    <row r="1150" spans="1:27" ht="26.25" x14ac:dyDescent="0.2">
      <c r="A1150" s="341"/>
      <c r="B1150" s="345"/>
      <c r="C1150" s="521" t="s">
        <v>981</v>
      </c>
      <c r="D1150" s="548">
        <f ca="1">D1135/D1098</f>
        <v>-5.6504225329004419E-2</v>
      </c>
      <c r="E1150" s="549">
        <f ca="1">E1135/E1098</f>
        <v>-2.1654089849511709E-2</v>
      </c>
      <c r="F1150" s="548">
        <f ca="1">F1135/F1098</f>
        <v>-2.1076061999092031E-2</v>
      </c>
      <c r="G1150" s="548">
        <f ca="1">G1135/G1098</f>
        <v>0</v>
      </c>
      <c r="H1150" s="548">
        <f ca="1">H1135/H1098</f>
        <v>0</v>
      </c>
      <c r="I1150" s="548">
        <f ca="1">IF($I$1098&lt;1,0,I1135/$I$1098)</f>
        <v>0</v>
      </c>
      <c r="J1150" s="548">
        <f ca="1">IF(J1098&gt;1,J1135/J1098,0)</f>
        <v>0</v>
      </c>
      <c r="K1150" s="548">
        <f ca="1">IF(K1098=0,0,K1135/K1098)</f>
        <v>0</v>
      </c>
      <c r="L1150" s="548">
        <f ca="1">IF(L1098=0,0,L1135/L1098)</f>
        <v>0</v>
      </c>
      <c r="M1150" s="548">
        <f ca="1">M1135/M1098</f>
        <v>0</v>
      </c>
      <c r="N1150" s="548" t="e">
        <f t="shared" ref="N1150:O1150" ca="1" si="158">N1135/N1098</f>
        <v>#DIV/0!</v>
      </c>
      <c r="O1150" s="548" t="e">
        <f t="shared" ca="1" si="158"/>
        <v>#DIV/0!</v>
      </c>
      <c r="P1150" s="518">
        <f ca="1">IF(P$1098=0,0,P1135/P1098)</f>
        <v>0</v>
      </c>
      <c r="Q1150" s="550">
        <f ca="1">Q1135/Q1098</f>
        <v>-2.008527483186431E-2</v>
      </c>
      <c r="R1150" s="2109"/>
      <c r="S1150" s="346"/>
      <c r="T1150" s="341"/>
      <c r="U1150" s="511"/>
      <c r="V1150" s="511"/>
      <c r="W1150" s="511"/>
      <c r="X1150" s="342"/>
      <c r="Y1150" s="342"/>
      <c r="Z1150" s="342"/>
      <c r="AA1150" s="342"/>
    </row>
    <row r="1151" spans="1:27" ht="26.25" x14ac:dyDescent="0.2">
      <c r="A1151" s="341"/>
      <c r="B1151" s="345"/>
      <c r="C1151" s="437"/>
      <c r="D1151" s="2109"/>
      <c r="E1151" s="437"/>
      <c r="F1151" s="2109"/>
      <c r="G1151" s="2109"/>
      <c r="H1151" s="2109"/>
      <c r="I1151" s="2109"/>
      <c r="J1151" s="2109"/>
      <c r="K1151" s="2109"/>
      <c r="L1151" s="2109"/>
      <c r="M1151" s="2109"/>
      <c r="N1151" s="2109"/>
      <c r="O1151" s="2109"/>
      <c r="P1151" s="2109"/>
      <c r="Q1151" s="2109"/>
      <c r="R1151" s="2109"/>
      <c r="S1151" s="346"/>
      <c r="T1151" s="341"/>
      <c r="U1151" s="511"/>
      <c r="V1151" s="511"/>
      <c r="W1151" s="511"/>
      <c r="X1151" s="342"/>
      <c r="Y1151" s="342"/>
      <c r="Z1151" s="342"/>
      <c r="AA1151" s="342"/>
    </row>
    <row r="1152" spans="1:27" ht="26.25" x14ac:dyDescent="0.2">
      <c r="A1152" s="341"/>
      <c r="B1152" s="345"/>
      <c r="C1152" s="440" t="s">
        <v>1035</v>
      </c>
      <c r="D1152" s="440"/>
      <c r="E1152" s="440"/>
      <c r="F1152" s="501"/>
      <c r="G1152" s="2109"/>
      <c r="H1152" s="2109"/>
      <c r="I1152" s="2109"/>
      <c r="J1152" s="2109"/>
      <c r="K1152" s="2109"/>
      <c r="L1152" s="2109"/>
      <c r="M1152" s="2109"/>
      <c r="N1152" s="2109"/>
      <c r="O1152" s="2109"/>
      <c r="P1152" s="2109"/>
      <c r="Q1152" s="2109"/>
      <c r="R1152" s="2109"/>
      <c r="S1152" s="346"/>
      <c r="T1152" s="341"/>
      <c r="U1152" s="511"/>
      <c r="V1152" s="511"/>
      <c r="W1152" s="511"/>
      <c r="X1152" s="342"/>
      <c r="Y1152" s="342"/>
      <c r="Z1152" s="342"/>
      <c r="AA1152" s="342"/>
    </row>
    <row r="1153" spans="1:27" ht="26.25" x14ac:dyDescent="0.2">
      <c r="A1153" s="341"/>
      <c r="B1153" s="345"/>
      <c r="C1153" s="525" t="s">
        <v>14</v>
      </c>
      <c r="D1153" s="561"/>
      <c r="E1153" s="527"/>
      <c r="F1153" s="561"/>
      <c r="G1153" s="526"/>
      <c r="H1153" s="526"/>
      <c r="I1153" s="526"/>
      <c r="J1153" s="526"/>
      <c r="K1153" s="526"/>
      <c r="L1153" s="526"/>
      <c r="M1153" s="526"/>
      <c r="N1153" s="526"/>
      <c r="O1153" s="526"/>
      <c r="P1153" s="526"/>
      <c r="Q1153" s="528"/>
      <c r="R1153" s="2109"/>
      <c r="S1153" s="346"/>
      <c r="T1153" s="341"/>
      <c r="U1153" s="511"/>
      <c r="V1153" s="511"/>
      <c r="W1153" s="511"/>
      <c r="X1153" s="342"/>
      <c r="Y1153" s="342"/>
      <c r="Z1153" s="342"/>
      <c r="AA1153" s="342"/>
    </row>
    <row r="1154" spans="1:27" ht="26.25" x14ac:dyDescent="0.2">
      <c r="A1154" s="341"/>
      <c r="B1154" s="345"/>
      <c r="C1154" s="517" t="s">
        <v>263</v>
      </c>
      <c r="D1154" s="545">
        <v>0</v>
      </c>
      <c r="E1154" s="545">
        <v>0</v>
      </c>
      <c r="F1154" s="545">
        <v>0</v>
      </c>
      <c r="G1154" s="545">
        <v>0</v>
      </c>
      <c r="H1154" s="545">
        <v>0</v>
      </c>
      <c r="I1154" s="545">
        <v>0</v>
      </c>
      <c r="J1154" s="545">
        <v>0</v>
      </c>
      <c r="K1154" s="545">
        <v>0</v>
      </c>
      <c r="L1154" s="545">
        <v>0</v>
      </c>
      <c r="M1154" s="545">
        <v>0</v>
      </c>
      <c r="N1154" s="545">
        <v>0</v>
      </c>
      <c r="O1154" s="545">
        <v>0</v>
      </c>
      <c r="P1154" s="545">
        <v>0</v>
      </c>
      <c r="Q1154" s="545">
        <v>0</v>
      </c>
      <c r="R1154" s="2109"/>
      <c r="S1154" s="346"/>
      <c r="T1154" s="341"/>
      <c r="U1154" s="511"/>
      <c r="V1154" s="511"/>
      <c r="W1154" s="511"/>
      <c r="X1154" s="342"/>
      <c r="Y1154" s="342"/>
      <c r="Z1154" s="342"/>
      <c r="AA1154" s="342"/>
    </row>
    <row r="1155" spans="1:27" ht="26.25" x14ac:dyDescent="0.2">
      <c r="A1155" s="341"/>
      <c r="B1155" s="345"/>
      <c r="C1155" s="517" t="str">
        <f>C1121</f>
        <v>Electricity</v>
      </c>
      <c r="D1155" s="545">
        <f ca="1">D1141*'Emission Factors'!$G$53</f>
        <v>0.79166721814557428</v>
      </c>
      <c r="E1155" s="546">
        <f ca="1">E1141*'Emission Factors'!$G$53</f>
        <v>0.32533793394667554</v>
      </c>
      <c r="F1155" s="545">
        <f ca="1">F1141*'Emission Factors'!$G$53</f>
        <v>0.30541070427229816</v>
      </c>
      <c r="G1155" s="545">
        <f ca="1">G1141*'Emission Factors'!$G$53</f>
        <v>0</v>
      </c>
      <c r="H1155" s="545">
        <f ca="1">H1141*'Emission Factors'!$G$53</f>
        <v>0</v>
      </c>
      <c r="I1155" s="545">
        <f ca="1">I1141*'Emission Factors'!$G$53</f>
        <v>0</v>
      </c>
      <c r="J1155" s="545">
        <f ca="1">J1141*'Emission Factors'!$G$53</f>
        <v>0</v>
      </c>
      <c r="K1155" s="545">
        <f ca="1">K1141*'Emission Factors'!$G$53</f>
        <v>0</v>
      </c>
      <c r="L1155" s="545">
        <f ca="1">L1141*'Emission Factors'!$G$53</f>
        <v>0</v>
      </c>
      <c r="M1155" s="545">
        <f ca="1">M1141*'Emission Factors'!$G$53</f>
        <v>0</v>
      </c>
      <c r="N1155" s="545">
        <f ca="1">N1141*'Emission Factors'!$G$53</f>
        <v>0</v>
      </c>
      <c r="O1155" s="545">
        <f ca="1">O1141*'Emission Factors'!$G$53</f>
        <v>0</v>
      </c>
      <c r="P1155" s="545">
        <f ca="1">P1141*'Emission Factors'!$G$53</f>
        <v>0</v>
      </c>
      <c r="Q1155" s="547">
        <f ca="1">Q1141*'Emission Factors'!$G$53</f>
        <v>0.28848101459449371</v>
      </c>
      <c r="R1155" s="2109"/>
      <c r="S1155" s="346"/>
      <c r="T1155" s="341"/>
      <c r="U1155" s="511"/>
      <c r="V1155" s="511"/>
      <c r="W1155" s="511"/>
      <c r="X1155" s="342"/>
      <c r="Y1155" s="342"/>
      <c r="Z1155" s="342"/>
      <c r="AA1155" s="342"/>
    </row>
    <row r="1156" spans="1:27" ht="26.25" x14ac:dyDescent="0.2">
      <c r="A1156" s="341"/>
      <c r="B1156" s="345"/>
      <c r="C1156" s="517" t="str">
        <f>C1122</f>
        <v>Heat</v>
      </c>
      <c r="D1156" s="545">
        <f ca="1">D1142*('Emission Factors'!$J$76+'Emission Factors'!$K$76)</f>
        <v>7.0595567951010691</v>
      </c>
      <c r="E1156" s="546">
        <f ca="1">E1142*('Emission Factors'!$J$76+'Emission Factors'!$K$76)</f>
        <v>2.7054308991717115</v>
      </c>
      <c r="F1156" s="545">
        <f ca="1">F1142*('Emission Factors'!$J$76+'Emission Factors'!$K$76)</f>
        <v>2.6332129293574567</v>
      </c>
      <c r="G1156" s="545">
        <f ca="1">G1142*('Emission Factors'!$J$76+'Emission Factors'!$K$76)</f>
        <v>0</v>
      </c>
      <c r="H1156" s="545">
        <f ca="1">H1142*('Emission Factors'!$J$76+'Emission Factors'!$K$76)</f>
        <v>0</v>
      </c>
      <c r="I1156" s="545">
        <f ca="1">I1142*('Emission Factors'!$J$76+'Emission Factors'!$K$76)</f>
        <v>0</v>
      </c>
      <c r="J1156" s="545">
        <f ca="1">J1142*('Emission Factors'!$J$76+'Emission Factors'!$K$76)</f>
        <v>0</v>
      </c>
      <c r="K1156" s="545">
        <f ca="1">K1142*('Emission Factors'!$J$76+'Emission Factors'!$K$76)</f>
        <v>0</v>
      </c>
      <c r="L1156" s="545">
        <f ca="1">L1142*('Emission Factors'!$J$76+'Emission Factors'!$K$76)</f>
        <v>0</v>
      </c>
      <c r="M1156" s="545">
        <f ca="1">M1142*('Emission Factors'!$J$76+'Emission Factors'!$K$76)</f>
        <v>0</v>
      </c>
      <c r="N1156" s="545">
        <f ca="1">N1142*('Emission Factors'!$J$76+'Emission Factors'!$K$76)</f>
        <v>0</v>
      </c>
      <c r="O1156" s="545">
        <f ca="1">O1142*('Emission Factors'!$J$76+'Emission Factors'!$K$76)</f>
        <v>0</v>
      </c>
      <c r="P1156" s="545">
        <f ca="1">P1142*('Emission Factors'!$J$76+'Emission Factors'!$K$76)</f>
        <v>0</v>
      </c>
      <c r="Q1156" s="547">
        <f ca="1">Q1142*('Emission Factors'!$J$76+'Emission Factors'!$K$76)</f>
        <v>2.5094254030587639</v>
      </c>
      <c r="R1156" s="2109"/>
      <c r="S1156" s="346"/>
      <c r="T1156" s="341"/>
      <c r="U1156" s="511"/>
      <c r="V1156" s="511"/>
      <c r="W1156" s="511"/>
      <c r="X1156" s="342"/>
      <c r="Y1156" s="342"/>
      <c r="Z1156" s="342"/>
      <c r="AA1156" s="342"/>
    </row>
    <row r="1157" spans="1:27" ht="26.25" x14ac:dyDescent="0.2">
      <c r="A1157" s="341"/>
      <c r="B1157" s="345"/>
      <c r="C1157" s="517" t="str">
        <f>C1123</f>
        <v>Steam</v>
      </c>
      <c r="D1157" s="545">
        <f ca="1">D1143*'Emission Factors'!$F$100</f>
        <v>0.84008267532826753</v>
      </c>
      <c r="E1157" s="546">
        <f ca="1">E1143*'Emission Factors'!$F$100</f>
        <v>0.31090109426490448</v>
      </c>
      <c r="F1157" s="545">
        <f ca="1">F1143*'Emission Factors'!$F$100</f>
        <v>0.29160892435019203</v>
      </c>
      <c r="G1157" s="545">
        <f ca="1">G1143*'Emission Factors'!$F$100</f>
        <v>0</v>
      </c>
      <c r="H1157" s="545">
        <f ca="1">H1143*'Emission Factors'!$F$100</f>
        <v>0</v>
      </c>
      <c r="I1157" s="545">
        <f ca="1">I1143*'Emission Factors'!$F$100</f>
        <v>0</v>
      </c>
      <c r="J1157" s="545">
        <f ca="1">J1143*'Emission Factors'!$F$100</f>
        <v>0</v>
      </c>
      <c r="K1157" s="545">
        <f ca="1">K1143*'Emission Factors'!$F$100</f>
        <v>0</v>
      </c>
      <c r="L1157" s="545">
        <f ca="1">L1143*'Emission Factors'!$F$100</f>
        <v>0</v>
      </c>
      <c r="M1157" s="545">
        <f ca="1">M1143*'Emission Factors'!$F$100</f>
        <v>0</v>
      </c>
      <c r="N1157" s="545">
        <f ca="1">N1143*'Emission Factors'!$F$100</f>
        <v>0</v>
      </c>
      <c r="O1157" s="545">
        <f ca="1">O1143*'Emission Factors'!$F$100</f>
        <v>0</v>
      </c>
      <c r="P1157" s="545">
        <f ca="1">P1143*'Emission Factors'!$F$100</f>
        <v>0</v>
      </c>
      <c r="Q1157" s="547">
        <f ca="1">Q1143*'Emission Factors'!$F$100</f>
        <v>0.29293808566988661</v>
      </c>
      <c r="R1157" s="2109"/>
      <c r="S1157" s="346"/>
      <c r="T1157" s="341"/>
      <c r="U1157" s="511"/>
      <c r="V1157" s="511"/>
      <c r="W1157" s="511"/>
      <c r="X1157" s="342"/>
      <c r="Y1157" s="342"/>
      <c r="Z1157" s="342"/>
      <c r="AA1157" s="342"/>
    </row>
    <row r="1158" spans="1:27" ht="26.25" x14ac:dyDescent="0.2">
      <c r="A1158" s="341"/>
      <c r="B1158" s="345"/>
      <c r="C1158" s="517" t="str">
        <f>C1144</f>
        <v>Hydrogen from Reformer</v>
      </c>
      <c r="D1158" s="518">
        <f ca="1">D1144*'Emission Factors'!$I$247</f>
        <v>0</v>
      </c>
      <c r="E1158" s="519">
        <f ca="1">E1144*'Emission Factors'!$I$247</f>
        <v>0</v>
      </c>
      <c r="F1158" s="518">
        <f ca="1">F1144*'Emission Factors'!$I$247</f>
        <v>0</v>
      </c>
      <c r="G1158" s="518">
        <f ca="1">G1144*'Emission Factors'!$I$247</f>
        <v>0</v>
      </c>
      <c r="H1158" s="518">
        <f ca="1">H1144*'Emission Factors'!$I$247</f>
        <v>0</v>
      </c>
      <c r="I1158" s="518">
        <f ca="1">I1144*'Emission Factors'!$I$247</f>
        <v>0</v>
      </c>
      <c r="J1158" s="518">
        <f ca="1">J1144*'Emission Factors'!$I$247</f>
        <v>0</v>
      </c>
      <c r="K1158" s="518">
        <f ca="1">K1144*'Emission Factors'!$I$247</f>
        <v>0</v>
      </c>
      <c r="L1158" s="518">
        <f ca="1">L1144*'Emission Factors'!$I$247</f>
        <v>0</v>
      </c>
      <c r="M1158" s="518">
        <f ca="1">M1144*'Emission Factors'!$I$247</f>
        <v>0</v>
      </c>
      <c r="N1158" s="518">
        <f ca="1">N1144*'Emission Factors'!$I$247</f>
        <v>0</v>
      </c>
      <c r="O1158" s="518">
        <f ca="1">O1144*'Emission Factors'!$I$247</f>
        <v>0</v>
      </c>
      <c r="P1158" s="518">
        <f ca="1">P1144*'Emission Factors'!$I$247</f>
        <v>0</v>
      </c>
      <c r="Q1158" s="520">
        <f ca="1">Q1144*'Emission Factors'!$I$247</f>
        <v>0</v>
      </c>
      <c r="R1158" s="2109"/>
      <c r="S1158" s="346"/>
      <c r="T1158" s="341"/>
      <c r="U1158" s="511"/>
      <c r="V1158" s="511"/>
      <c r="W1158" s="511"/>
      <c r="X1158" s="342"/>
      <c r="Y1158" s="342"/>
      <c r="Z1158" s="342"/>
      <c r="AA1158" s="342"/>
    </row>
    <row r="1159" spans="1:27" ht="26.25" x14ac:dyDescent="0.2">
      <c r="A1159" s="341"/>
      <c r="B1159" s="345"/>
      <c r="C1159" s="517" t="str">
        <f>C1145</f>
        <v>Hydrogen From SMR</v>
      </c>
      <c r="D1159" s="545">
        <f ca="1">D1145*'Emission Factors'!$H$135</f>
        <v>2.2384281795664238</v>
      </c>
      <c r="E1159" s="546">
        <f ca="1">E1145*'Emission Factors'!$H$135</f>
        <v>0.53496873436374692</v>
      </c>
      <c r="F1159" s="545">
        <f ca="1">F1145*'Emission Factors'!$H$135</f>
        <v>0.58953730652741121</v>
      </c>
      <c r="G1159" s="545">
        <f ca="1">G1145*'Emission Factors'!$H$135</f>
        <v>0</v>
      </c>
      <c r="H1159" s="545">
        <f ca="1">H1145*'Emission Factors'!$H$135</f>
        <v>0</v>
      </c>
      <c r="I1159" s="545">
        <f ca="1">I1145*'Emission Factors'!$H$135</f>
        <v>0</v>
      </c>
      <c r="J1159" s="545">
        <f ca="1">J1145*'Emission Factors'!$H$135</f>
        <v>0</v>
      </c>
      <c r="K1159" s="545">
        <f ca="1">K1145*'Emission Factors'!$H$135</f>
        <v>0</v>
      </c>
      <c r="L1159" s="545">
        <f ca="1">L1145*'Emission Factors'!$H$135</f>
        <v>0</v>
      </c>
      <c r="M1159" s="545">
        <f ca="1">M1145*'Emission Factors'!$H$135</f>
        <v>0</v>
      </c>
      <c r="N1159" s="545">
        <f ca="1">N1145*'Emission Factors'!$H$135</f>
        <v>0</v>
      </c>
      <c r="O1159" s="545">
        <f ca="1">O1145*'Emission Factors'!$H$135</f>
        <v>0</v>
      </c>
      <c r="P1159" s="545">
        <f ca="1">P1145*'Emission Factors'!$H$135</f>
        <v>0</v>
      </c>
      <c r="Q1159" s="547">
        <f>Q1145*'Emission Factors'!$H$135</f>
        <v>0</v>
      </c>
      <c r="R1159" s="2109"/>
      <c r="S1159" s="346"/>
      <c r="T1159" s="341"/>
      <c r="U1159" s="511"/>
      <c r="V1159" s="511"/>
      <c r="W1159" s="511"/>
      <c r="X1159" s="342"/>
      <c r="Y1159" s="342"/>
      <c r="Z1159" s="342"/>
      <c r="AA1159" s="342"/>
    </row>
    <row r="1160" spans="1:27" ht="26.25" x14ac:dyDescent="0.2">
      <c r="A1160" s="341"/>
      <c r="B1160" s="345"/>
      <c r="C1160" s="517" t="str">
        <f>C1146</f>
        <v>Catalyst Coke</v>
      </c>
      <c r="D1160" s="545">
        <f ca="1">D1146*'Emission Factors'!$E$177</f>
        <v>2.7994746793013855E-20</v>
      </c>
      <c r="E1160" s="546">
        <f ca="1">E1146*'Emission Factors'!$E$177</f>
        <v>0</v>
      </c>
      <c r="F1160" s="545">
        <f ca="1">F1146*'Emission Factors'!$E$177</f>
        <v>1.0760674935234192E-20</v>
      </c>
      <c r="G1160" s="545">
        <f ca="1">G1146*'Emission Factors'!$E$177</f>
        <v>0</v>
      </c>
      <c r="H1160" s="545">
        <f ca="1">H1146*'Emission Factors'!$E$177</f>
        <v>0</v>
      </c>
      <c r="I1160" s="545">
        <f ca="1">I1146*'Emission Factors'!$E$177</f>
        <v>0</v>
      </c>
      <c r="J1160" s="545">
        <f ca="1">J1146*'Emission Factors'!$E$177</f>
        <v>0</v>
      </c>
      <c r="K1160" s="545">
        <f ca="1">K1146*'Emission Factors'!$E$177</f>
        <v>0</v>
      </c>
      <c r="L1160" s="545">
        <f ca="1">L1146*'Emission Factors'!$E$177</f>
        <v>0</v>
      </c>
      <c r="M1160" s="545">
        <f ca="1">M1146*'Emission Factors'!$E$177</f>
        <v>0</v>
      </c>
      <c r="N1160" s="545">
        <f ca="1">N1146*'Emission Factors'!$E$177</f>
        <v>0</v>
      </c>
      <c r="O1160" s="545">
        <f ca="1">O1146*'Emission Factors'!$E$177</f>
        <v>0</v>
      </c>
      <c r="P1160" s="545">
        <f ca="1">P1146*'Emission Factors'!$E$177</f>
        <v>0</v>
      </c>
      <c r="Q1160" s="547">
        <f ca="1">Q1146*'Emission Factors'!$E$177</f>
        <v>7.1663390570324444E-21</v>
      </c>
      <c r="R1160" s="2109"/>
      <c r="S1160" s="346"/>
      <c r="T1160" s="341"/>
      <c r="U1160" s="511"/>
      <c r="V1160" s="511"/>
      <c r="W1160" s="511"/>
      <c r="X1160" s="342"/>
      <c r="Y1160" s="342"/>
      <c r="Z1160" s="342"/>
      <c r="AA1160" s="342"/>
    </row>
    <row r="1161" spans="1:27" ht="26.25" x14ac:dyDescent="0.2">
      <c r="A1161" s="341"/>
      <c r="B1161" s="345"/>
      <c r="C1161" s="529" t="s">
        <v>15</v>
      </c>
      <c r="D1161" s="557">
        <f t="shared" ref="D1161:Q1161" ca="1" si="159">SUM(D1155:D1160)</f>
        <v>10.929734868141335</v>
      </c>
      <c r="E1161" s="558">
        <f t="shared" ca="1" si="159"/>
        <v>3.8766386617470383</v>
      </c>
      <c r="F1161" s="557">
        <f t="shared" ca="1" si="159"/>
        <v>3.8197698645073581</v>
      </c>
      <c r="G1161" s="557">
        <f t="shared" ca="1" si="159"/>
        <v>0</v>
      </c>
      <c r="H1161" s="557">
        <f t="shared" ca="1" si="159"/>
        <v>0</v>
      </c>
      <c r="I1161" s="557">
        <f t="shared" ca="1" si="159"/>
        <v>0</v>
      </c>
      <c r="J1161" s="557">
        <f t="shared" ca="1" si="159"/>
        <v>0</v>
      </c>
      <c r="K1161" s="557">
        <f t="shared" ca="1" si="159"/>
        <v>0</v>
      </c>
      <c r="L1161" s="557">
        <f t="shared" ref="L1161" ca="1" si="160">SUM(L1155:L1160)</f>
        <v>0</v>
      </c>
      <c r="M1161" s="557">
        <f t="shared" ca="1" si="159"/>
        <v>0</v>
      </c>
      <c r="N1161" s="557">
        <f t="shared" ref="N1161:P1161" ca="1" si="161">SUM(N1155:N1160)</f>
        <v>0</v>
      </c>
      <c r="O1161" s="557">
        <f t="shared" ca="1" si="161"/>
        <v>0</v>
      </c>
      <c r="P1161" s="557">
        <f t="shared" ca="1" si="161"/>
        <v>0</v>
      </c>
      <c r="Q1161" s="559">
        <f t="shared" ca="1" si="159"/>
        <v>3.0908445033231442</v>
      </c>
      <c r="R1161" s="2109"/>
      <c r="S1161" s="346"/>
      <c r="T1161" s="341"/>
      <c r="U1161" s="511"/>
      <c r="V1161" s="511"/>
      <c r="W1161" s="511"/>
      <c r="X1161" s="342"/>
      <c r="Y1161" s="342"/>
      <c r="Z1161" s="342"/>
      <c r="AA1161" s="342"/>
    </row>
    <row r="1162" spans="1:27" ht="26.25" x14ac:dyDescent="0.2">
      <c r="A1162" s="341"/>
      <c r="B1162" s="345"/>
      <c r="C1162" s="529" t="s">
        <v>16</v>
      </c>
      <c r="D1162" s="557">
        <f t="shared" ref="D1162:Q1162" ca="1" si="162">D1161+D1154</f>
        <v>10.929734868141335</v>
      </c>
      <c r="E1162" s="558">
        <f t="shared" ca="1" si="162"/>
        <v>3.8766386617470383</v>
      </c>
      <c r="F1162" s="557">
        <f t="shared" ca="1" si="162"/>
        <v>3.8197698645073581</v>
      </c>
      <c r="G1162" s="557">
        <f t="shared" ca="1" si="162"/>
        <v>0</v>
      </c>
      <c r="H1162" s="557">
        <f t="shared" ca="1" si="162"/>
        <v>0</v>
      </c>
      <c r="I1162" s="557">
        <f t="shared" ca="1" si="162"/>
        <v>0</v>
      </c>
      <c r="J1162" s="557">
        <f t="shared" ca="1" si="162"/>
        <v>0</v>
      </c>
      <c r="K1162" s="557">
        <f t="shared" ca="1" si="162"/>
        <v>0</v>
      </c>
      <c r="L1162" s="557">
        <f t="shared" ref="L1162" ca="1" si="163">L1161+L1154</f>
        <v>0</v>
      </c>
      <c r="M1162" s="557">
        <f t="shared" ca="1" si="162"/>
        <v>0</v>
      </c>
      <c r="N1162" s="557">
        <f t="shared" ref="N1162:P1162" ca="1" si="164">N1161+N1154</f>
        <v>0</v>
      </c>
      <c r="O1162" s="557">
        <f t="shared" ca="1" si="164"/>
        <v>0</v>
      </c>
      <c r="P1162" s="557">
        <f t="shared" ca="1" si="164"/>
        <v>0</v>
      </c>
      <c r="Q1162" s="559">
        <f t="shared" ca="1" si="162"/>
        <v>3.0908445033231442</v>
      </c>
      <c r="R1162" s="2109"/>
      <c r="S1162" s="346"/>
      <c r="T1162" s="341"/>
      <c r="U1162" s="511"/>
      <c r="V1162" s="511"/>
      <c r="W1162" s="511"/>
      <c r="X1162" s="342"/>
      <c r="Y1162" s="342"/>
      <c r="Z1162" s="342"/>
      <c r="AA1162" s="342"/>
    </row>
    <row r="1163" spans="1:27" ht="26.25" x14ac:dyDescent="0.2">
      <c r="A1163" s="341"/>
      <c r="B1163" s="345"/>
      <c r="C1163" s="517" t="s">
        <v>980</v>
      </c>
      <c r="D1163" s="545">
        <f ca="1">D1149*'Emission Factors'!$H$135</f>
        <v>0</v>
      </c>
      <c r="E1163" s="546">
        <f ca="1">E1149*'Emission Factors'!$H$135</f>
        <v>0</v>
      </c>
      <c r="F1163" s="545">
        <f ca="1">F1149*'Emission Factors'!$H$135</f>
        <v>0</v>
      </c>
      <c r="G1163" s="545">
        <f ca="1">G1149*'Emission Factors'!$H$135</f>
        <v>0</v>
      </c>
      <c r="H1163" s="545">
        <f ca="1">H1149*'Emission Factors'!$H$135</f>
        <v>0</v>
      </c>
      <c r="I1163" s="545">
        <f ca="1">I1149*'Emission Factors'!$H$135</f>
        <v>0</v>
      </c>
      <c r="J1163" s="545" t="e">
        <f ca="1">J1149*'Emission Factors'!$H$135</f>
        <v>#DIV/0!</v>
      </c>
      <c r="K1163" s="545">
        <f ca="1">K1149*'Emission Factors'!$H$135</f>
        <v>0</v>
      </c>
      <c r="L1163" s="545">
        <f ca="1">L1149*'Emission Factors'!$H$135</f>
        <v>0</v>
      </c>
      <c r="M1163" s="545">
        <f ca="1">M1149*'Emission Factors'!$H$135</f>
        <v>0</v>
      </c>
      <c r="N1163" s="545" t="e">
        <f ca="1">N1149*'Emission Factors'!$H$135</f>
        <v>#DIV/0!</v>
      </c>
      <c r="O1163" s="545" t="e">
        <f ca="1">O1149*'Emission Factors'!$H$135</f>
        <v>#DIV/0!</v>
      </c>
      <c r="P1163" s="545">
        <f ca="1">P1149*'Emission Factors'!$H$135</f>
        <v>0</v>
      </c>
      <c r="Q1163" s="547">
        <f ca="1">SUM(Q1157:Q1162)</f>
        <v>6.4746270923161751</v>
      </c>
      <c r="R1163" s="2109"/>
      <c r="S1163" s="346"/>
      <c r="T1163" s="341"/>
      <c r="U1163" s="511"/>
      <c r="V1163" s="511"/>
      <c r="W1163" s="511"/>
      <c r="X1163" s="342"/>
      <c r="Y1163" s="342"/>
      <c r="Z1163" s="342"/>
      <c r="AA1163" s="342"/>
    </row>
    <row r="1164" spans="1:27" ht="26.25" x14ac:dyDescent="0.2">
      <c r="A1164" s="341"/>
      <c r="B1164" s="345"/>
      <c r="C1164" s="521" t="s">
        <v>981</v>
      </c>
      <c r="D1164" s="522">
        <f ca="1">D1150*('Emission Factors'!$J$203+'Emission Factors'!$K$203)</f>
        <v>-3.3828167462767684</v>
      </c>
      <c r="E1164" s="523">
        <f ca="1">E1150*('Emission Factors'!$J$203+'Emission Factors'!$K$203)</f>
        <v>-1.2963953994907493</v>
      </c>
      <c r="F1164" s="522">
        <f ca="1">F1150*('Emission Factors'!$J$203+'Emission Factors'!$K$203)</f>
        <v>-1.2617898052926402</v>
      </c>
      <c r="G1164" s="522">
        <f ca="1">G1150*('Emission Factors'!$J$203+'Emission Factors'!$K$203)</f>
        <v>0</v>
      </c>
      <c r="H1164" s="522">
        <f ca="1">H1150*('Emission Factors'!$J$203+'Emission Factors'!$K$203)</f>
        <v>0</v>
      </c>
      <c r="I1164" s="522">
        <f ca="1">I1150*('Emission Factors'!$J$203+'Emission Factors'!$K$203)</f>
        <v>0</v>
      </c>
      <c r="J1164" s="522">
        <f ca="1">J1150*('Emission Factors'!$J$203+'Emission Factors'!$K$203)</f>
        <v>0</v>
      </c>
      <c r="K1164" s="522">
        <f ca="1">K1150*('Emission Factors'!$J$203+'Emission Factors'!$K$203)</f>
        <v>0</v>
      </c>
      <c r="L1164" s="522">
        <f ca="1">L1150*('Emission Factors'!$J$203+'Emission Factors'!$K$203)</f>
        <v>0</v>
      </c>
      <c r="M1164" s="522">
        <f ca="1">M1150*('Emission Factors'!$J$203+'Emission Factors'!$K$203)</f>
        <v>0</v>
      </c>
      <c r="N1164" s="522" t="e">
        <f ca="1">N1150*('Emission Factors'!$J$203+'Emission Factors'!$K$203)</f>
        <v>#DIV/0!</v>
      </c>
      <c r="O1164" s="522" t="e">
        <f ca="1">O1150*('Emission Factors'!$J$203+'Emission Factors'!$K$203)</f>
        <v>#DIV/0!</v>
      </c>
      <c r="P1164" s="522">
        <f ca="1">P1150*('Emission Factors'!$J$203+'Emission Factors'!$K$203)</f>
        <v>0</v>
      </c>
      <c r="Q1164" s="524">
        <f ca="1">Q1150*('Emission Factors'!$J$203+'Emission Factors'!$K$203)</f>
        <v>-1.2024729771832632</v>
      </c>
      <c r="R1164" s="2109"/>
      <c r="S1164" s="346"/>
      <c r="T1164" s="341"/>
      <c r="U1164" s="511"/>
      <c r="V1164" s="511"/>
      <c r="W1164" s="511"/>
      <c r="X1164" s="342"/>
      <c r="Y1164" s="342"/>
      <c r="Z1164" s="342"/>
      <c r="AA1164" s="342"/>
    </row>
    <row r="1165" spans="1:27" ht="26.25" x14ac:dyDescent="0.2">
      <c r="A1165" s="341"/>
      <c r="B1165" s="345"/>
      <c r="C1165" s="437"/>
      <c r="D1165" s="2109"/>
      <c r="E1165" s="437"/>
      <c r="F1165" s="2109"/>
      <c r="G1165" s="2109"/>
      <c r="H1165" s="2109"/>
      <c r="I1165" s="2109"/>
      <c r="J1165" s="2109"/>
      <c r="K1165" s="2109"/>
      <c r="L1165" s="2109"/>
      <c r="M1165" s="2109"/>
      <c r="N1165" s="2109"/>
      <c r="O1165" s="2109"/>
      <c r="P1165" s="2109"/>
      <c r="Q1165" s="2109"/>
      <c r="R1165" s="2109"/>
      <c r="S1165" s="346"/>
      <c r="T1165" s="341"/>
      <c r="U1165" s="511"/>
      <c r="V1165" s="511"/>
      <c r="W1165" s="511"/>
      <c r="X1165" s="342"/>
      <c r="Y1165" s="342"/>
      <c r="Z1165" s="342"/>
      <c r="AA1165" s="342"/>
    </row>
    <row r="1166" spans="1:27" ht="26.25" x14ac:dyDescent="0.2">
      <c r="A1166" s="341"/>
      <c r="B1166" s="345"/>
      <c r="C1166" s="440" t="s">
        <v>1407</v>
      </c>
      <c r="D1166" s="440"/>
      <c r="E1166" s="437"/>
      <c r="F1166" s="2109"/>
      <c r="G1166" s="2109"/>
      <c r="H1166" s="2109"/>
      <c r="I1166" s="2109"/>
      <c r="J1166" s="2109"/>
      <c r="K1166" s="2109"/>
      <c r="L1166" s="2109"/>
      <c r="M1166" s="2109"/>
      <c r="N1166" s="2109"/>
      <c r="O1166" s="2109"/>
      <c r="P1166" s="2109"/>
      <c r="Q1166" s="2109"/>
      <c r="R1166" s="2109"/>
      <c r="S1166" s="346"/>
      <c r="T1166" s="341"/>
      <c r="U1166" s="511"/>
      <c r="V1166" s="511"/>
      <c r="W1166" s="511"/>
      <c r="X1166" s="342"/>
      <c r="Y1166" s="342"/>
      <c r="Z1166" s="342"/>
      <c r="AA1166" s="342"/>
    </row>
    <row r="1167" spans="1:27" ht="26.25" x14ac:dyDescent="0.2">
      <c r="A1167" s="341"/>
      <c r="B1167" s="345"/>
      <c r="C1167" s="525" t="str">
        <f>C1138</f>
        <v>Feedstock</v>
      </c>
      <c r="D1167" s="526"/>
      <c r="E1167" s="527"/>
      <c r="F1167" s="526"/>
      <c r="G1167" s="526"/>
      <c r="H1167" s="526"/>
      <c r="I1167" s="526"/>
      <c r="J1167" s="526"/>
      <c r="K1167" s="526"/>
      <c r="L1167" s="526"/>
      <c r="M1167" s="526"/>
      <c r="N1167" s="526"/>
      <c r="O1167" s="526"/>
      <c r="P1167" s="526"/>
      <c r="Q1167" s="528"/>
      <c r="R1167" s="2109"/>
      <c r="S1167" s="346"/>
      <c r="T1167" s="341"/>
      <c r="U1167" s="511"/>
      <c r="V1167" s="511"/>
      <c r="W1167" s="511"/>
      <c r="X1167" s="342"/>
      <c r="Y1167" s="342"/>
      <c r="Z1167" s="342"/>
      <c r="AA1167" s="342"/>
    </row>
    <row r="1168" spans="1:27" ht="26.25" x14ac:dyDescent="0.2">
      <c r="A1168" s="341"/>
      <c r="B1168" s="345"/>
      <c r="C1168" s="517" t="str">
        <f>C1139</f>
        <v>Crude</v>
      </c>
      <c r="D1168" s="518">
        <f ca="1">D1106/CokingRefineryPFD!$E$95</f>
        <v>2169.6440650033583</v>
      </c>
      <c r="E1168" s="519">
        <f ca="1">E1106/CokingRefineryPFD!$E$95</f>
        <v>2343.0718589889079</v>
      </c>
      <c r="F1168" s="518">
        <f ca="1">F1106/CokingRefineryPFD!$E$95</f>
        <v>1119.7166453220761</v>
      </c>
      <c r="G1168" s="518">
        <f ca="1">G1106/CokingRefineryPFD!$E$95</f>
        <v>0</v>
      </c>
      <c r="H1168" s="518">
        <f ca="1">H1106/CokingRefineryPFD!$E$95</f>
        <v>0</v>
      </c>
      <c r="I1168" s="518">
        <f ca="1">I1106/CokingRefineryPFD!$E$95</f>
        <v>0</v>
      </c>
      <c r="J1168" s="518">
        <f ca="1">J1106/CokingRefineryPFD!$E$95</f>
        <v>0</v>
      </c>
      <c r="K1168" s="518">
        <f ca="1">K1106/CokingRefineryPFD!$E$95</f>
        <v>0</v>
      </c>
      <c r="L1168" s="518">
        <f ca="1">L1106/CokingRefineryPFD!$E$95</f>
        <v>0</v>
      </c>
      <c r="M1168" s="518">
        <f ca="1">M1106/CokingRefineryPFD!$E$95</f>
        <v>0</v>
      </c>
      <c r="N1168" s="518">
        <f ca="1">N1106/CokingRefineryPFD!$E$95</f>
        <v>0</v>
      </c>
      <c r="O1168" s="518">
        <f ca="1">O1106/CokingRefineryPFD!$E$95</f>
        <v>0</v>
      </c>
      <c r="P1168" s="518">
        <f ca="1">P1106/CokingRefineryPFD!$E$95</f>
        <v>0</v>
      </c>
      <c r="Q1168" s="520">
        <f ca="1">Q1106/CokingRefineryPFD!$E$95</f>
        <v>5632.4325693143419</v>
      </c>
      <c r="R1168" s="2109"/>
      <c r="S1168" s="346"/>
      <c r="T1168" s="341"/>
      <c r="U1168" s="511"/>
      <c r="V1168" s="511"/>
      <c r="W1168" s="511"/>
      <c r="X1168" s="342"/>
      <c r="Y1168" s="342"/>
      <c r="Z1168" s="342"/>
      <c r="AA1168" s="342"/>
    </row>
    <row r="1169" spans="1:27" ht="26.25" x14ac:dyDescent="0.2">
      <c r="A1169" s="341"/>
      <c r="B1169" s="345"/>
      <c r="C1169" s="529" t="str">
        <f>C1140</f>
        <v>Process Energy</v>
      </c>
      <c r="D1169" s="530"/>
      <c r="E1169" s="531"/>
      <c r="F1169" s="530"/>
      <c r="G1169" s="530"/>
      <c r="H1169" s="530"/>
      <c r="I1169" s="530"/>
      <c r="J1169" s="530"/>
      <c r="K1169" s="530"/>
      <c r="L1169" s="530"/>
      <c r="M1169" s="530"/>
      <c r="N1169" s="530"/>
      <c r="O1169" s="530"/>
      <c r="P1169" s="530"/>
      <c r="Q1169" s="532"/>
      <c r="R1169" s="2109"/>
      <c r="S1169" s="346"/>
      <c r="T1169" s="341"/>
      <c r="U1169" s="511"/>
      <c r="V1169" s="511"/>
      <c r="W1169" s="511"/>
      <c r="X1169" s="342"/>
      <c r="Y1169" s="342"/>
      <c r="Z1169" s="342"/>
      <c r="AA1169" s="342"/>
    </row>
    <row r="1170" spans="1:27" ht="26.25" x14ac:dyDescent="0.2">
      <c r="A1170" s="341"/>
      <c r="B1170" s="345"/>
      <c r="C1170" s="517" t="str">
        <f t="shared" ref="C1170:C1175" si="165">C1155</f>
        <v>Electricity</v>
      </c>
      <c r="D1170" s="518">
        <f ca="1">D1108/CokingRefineryPFD!$E$95</f>
        <v>6.1178004292932062</v>
      </c>
      <c r="E1170" s="519">
        <f ca="1">E1108/CokingRefineryPFD!$E$95</f>
        <v>3.199376376061029</v>
      </c>
      <c r="F1170" s="518">
        <f ca="1">F1108/CokingRefineryPFD!$E$95</f>
        <v>1.4547662780757022</v>
      </c>
      <c r="G1170" s="518">
        <f ca="1">G1108/CokingRefineryPFD!$E$95</f>
        <v>0</v>
      </c>
      <c r="H1170" s="518">
        <f ca="1">H1108/CokingRefineryPFD!$E$95</f>
        <v>0</v>
      </c>
      <c r="I1170" s="518">
        <f ca="1">I1108/CokingRefineryPFD!$E$95</f>
        <v>0</v>
      </c>
      <c r="J1170" s="518">
        <f ca="1">J1108/CokingRefineryPFD!$E$95</f>
        <v>0</v>
      </c>
      <c r="K1170" s="518">
        <f ca="1">K1108/CokingRefineryPFD!$E$95</f>
        <v>0</v>
      </c>
      <c r="L1170" s="518">
        <f ca="1">L1108/CokingRefineryPFD!$E$95</f>
        <v>0</v>
      </c>
      <c r="M1170" s="518">
        <f ca="1">M1108/CokingRefineryPFD!$E$95</f>
        <v>0</v>
      </c>
      <c r="N1170" s="518">
        <f ca="1">N1108/CokingRefineryPFD!$E$95</f>
        <v>0</v>
      </c>
      <c r="O1170" s="518">
        <f ca="1">O1108/CokingRefineryPFD!$E$95</f>
        <v>0</v>
      </c>
      <c r="P1170" s="518">
        <f ca="1">P1108/CokingRefineryPFD!$E$95</f>
        <v>0</v>
      </c>
      <c r="Q1170" s="520">
        <f ca="1">Q1108/CokingRefineryPFD!$E$95</f>
        <v>10.771943083429937</v>
      </c>
      <c r="R1170" s="2109"/>
      <c r="S1170" s="346"/>
      <c r="T1170" s="341"/>
      <c r="U1170" s="511"/>
      <c r="V1170" s="511"/>
      <c r="W1170" s="511"/>
      <c r="X1170" s="342"/>
      <c r="Y1170" s="342"/>
      <c r="Z1170" s="342"/>
      <c r="AA1170" s="342"/>
    </row>
    <row r="1171" spans="1:27" ht="26.25" x14ac:dyDescent="0.2">
      <c r="A1171" s="341"/>
      <c r="B1171" s="345"/>
      <c r="C1171" s="517" t="str">
        <f t="shared" si="165"/>
        <v>Heat</v>
      </c>
      <c r="D1171" s="518">
        <f ca="1">D1109/CokingRefineryPFD!$E$95</f>
        <v>124.44233071418689</v>
      </c>
      <c r="E1171" s="519">
        <f ca="1">E1109/CokingRefineryPFD!$E$95</f>
        <v>60.68832223686578</v>
      </c>
      <c r="F1171" s="518">
        <f ca="1">F1109/CokingRefineryPFD!$E$95</f>
        <v>28.61099793098316</v>
      </c>
      <c r="G1171" s="518">
        <f ca="1">G1109/CokingRefineryPFD!$E$95</f>
        <v>0</v>
      </c>
      <c r="H1171" s="518">
        <f ca="1">H1109/CokingRefineryPFD!$E$95</f>
        <v>0</v>
      </c>
      <c r="I1171" s="518">
        <f ca="1">I1109/CokingRefineryPFD!$E$95</f>
        <v>0</v>
      </c>
      <c r="J1171" s="518">
        <f ca="1">J1109/CokingRefineryPFD!$E$95</f>
        <v>0</v>
      </c>
      <c r="K1171" s="518">
        <f ca="1">K1109/CokingRefineryPFD!$E$95</f>
        <v>0</v>
      </c>
      <c r="L1171" s="518">
        <f ca="1">L1109/CokingRefineryPFD!$E$95</f>
        <v>0</v>
      </c>
      <c r="M1171" s="518">
        <f ca="1">M1109/CokingRefineryPFD!$E$95</f>
        <v>0</v>
      </c>
      <c r="N1171" s="518">
        <f ca="1">N1109/CokingRefineryPFD!$E$95</f>
        <v>0</v>
      </c>
      <c r="O1171" s="518">
        <f ca="1">O1109/CokingRefineryPFD!$E$95</f>
        <v>0</v>
      </c>
      <c r="P1171" s="518">
        <f ca="1">P1109/CokingRefineryPFD!$E$95</f>
        <v>0</v>
      </c>
      <c r="Q1171" s="520">
        <f ca="1">Q1109/CokingRefineryPFD!$E$95</f>
        <v>213.74165088203583</v>
      </c>
      <c r="R1171" s="2109"/>
      <c r="S1171" s="346"/>
      <c r="T1171" s="341"/>
      <c r="U1171" s="511"/>
      <c r="V1171" s="511"/>
      <c r="W1171" s="511"/>
      <c r="X1171" s="342"/>
      <c r="Y1171" s="342"/>
      <c r="Z1171" s="342"/>
      <c r="AA1171" s="342"/>
    </row>
    <row r="1172" spans="1:27" ht="26.25" x14ac:dyDescent="0.2">
      <c r="A1172" s="341"/>
      <c r="B1172" s="345"/>
      <c r="C1172" s="517" t="str">
        <f t="shared" si="165"/>
        <v>Steam</v>
      </c>
      <c r="D1172" s="518">
        <f ca="1">D1110/CokingRefineryPFD!$E$95</f>
        <v>13.612424516205873</v>
      </c>
      <c r="E1172" s="519">
        <f ca="1">E1110/CokingRefineryPFD!$E$95</f>
        <v>6.4108216080654543</v>
      </c>
      <c r="F1172" s="518">
        <f ca="1">F1110/CokingRefineryPFD!$E$95</f>
        <v>2.9125312512299644</v>
      </c>
      <c r="G1172" s="518">
        <f ca="1">G1110/CokingRefineryPFD!$E$95</f>
        <v>0</v>
      </c>
      <c r="H1172" s="518">
        <f ca="1">H1110/CokingRefineryPFD!$E$95</f>
        <v>0</v>
      </c>
      <c r="I1172" s="518">
        <f ca="1">I1110/CokingRefineryPFD!$E$95</f>
        <v>0</v>
      </c>
      <c r="J1172" s="518">
        <f ca="1">J1110/CokingRefineryPFD!$E$95</f>
        <v>0</v>
      </c>
      <c r="K1172" s="518">
        <f ca="1">K1110/CokingRefineryPFD!$E$95</f>
        <v>0</v>
      </c>
      <c r="L1172" s="518">
        <f ca="1">L1110/CokingRefineryPFD!$E$95</f>
        <v>0</v>
      </c>
      <c r="M1172" s="518">
        <f ca="1">M1110/CokingRefineryPFD!$E$95</f>
        <v>0</v>
      </c>
      <c r="N1172" s="518">
        <f ca="1">N1110/CokingRefineryPFD!$E$95</f>
        <v>0</v>
      </c>
      <c r="O1172" s="518">
        <f ca="1">O1110/CokingRefineryPFD!$E$95</f>
        <v>0</v>
      </c>
      <c r="P1172" s="518">
        <f ca="1">P1110/CokingRefineryPFD!$E$95</f>
        <v>0</v>
      </c>
      <c r="Q1172" s="520">
        <f ca="1">Q1110/CokingRefineryPFD!$E$95</f>
        <v>22.935777375501292</v>
      </c>
      <c r="R1172" s="2109"/>
      <c r="S1172" s="346"/>
      <c r="T1172" s="341"/>
      <c r="U1172" s="511"/>
      <c r="V1172" s="511"/>
      <c r="W1172" s="511"/>
      <c r="X1172" s="342"/>
      <c r="Y1172" s="342"/>
      <c r="Z1172" s="342"/>
      <c r="AA1172" s="342"/>
    </row>
    <row r="1173" spans="1:27" ht="26.25" x14ac:dyDescent="0.2">
      <c r="A1173" s="341"/>
      <c r="B1173" s="345"/>
      <c r="C1173" s="517" t="str">
        <f t="shared" si="165"/>
        <v>Hydrogen from Reformer</v>
      </c>
      <c r="D1173" s="518">
        <f ca="1">D1132/CokingRefineryPFD!$E$95</f>
        <v>43.633322587507223</v>
      </c>
      <c r="E1173" s="519">
        <f ca="1">E1132/CokingRefineryPFD!$E$95</f>
        <v>13.27032339790826</v>
      </c>
      <c r="F1173" s="518">
        <f ca="1">F1132/CokingRefineryPFD!$E$95</f>
        <v>7.0834158735599164</v>
      </c>
      <c r="G1173" s="518">
        <f ca="1">G1132/CokingRefineryPFD!$E$95</f>
        <v>0</v>
      </c>
      <c r="H1173" s="518">
        <f ca="1">H1132/CokingRefineryPFD!$E$95</f>
        <v>0</v>
      </c>
      <c r="I1173" s="518">
        <f ca="1">I1132/CokingRefineryPFD!$E$95</f>
        <v>0</v>
      </c>
      <c r="J1173" s="518">
        <f ca="1">J1132/CokingRefineryPFD!$E$95</f>
        <v>0</v>
      </c>
      <c r="K1173" s="518">
        <f ca="1">K1132/CokingRefineryPFD!$E$95</f>
        <v>0</v>
      </c>
      <c r="L1173" s="518">
        <f ca="1">L1132/CokingRefineryPFD!$E$95</f>
        <v>0</v>
      </c>
      <c r="M1173" s="518">
        <f ca="1">M1132/CokingRefineryPFD!$E$95</f>
        <v>0</v>
      </c>
      <c r="N1173" s="518">
        <f ca="1">N1132/CokingRefineryPFD!$E$95</f>
        <v>0</v>
      </c>
      <c r="O1173" s="518">
        <f ca="1">O1132/CokingRefineryPFD!$E$95</f>
        <v>0</v>
      </c>
      <c r="P1173" s="518">
        <f ca="1">P1132/CokingRefineryPFD!$E$95</f>
        <v>0</v>
      </c>
      <c r="Q1173" s="520">
        <f ca="1">Q1132/CokingRefineryPFD!$E$95</f>
        <v>63.987061858975395</v>
      </c>
      <c r="R1173" s="2109"/>
      <c r="S1173" s="346"/>
      <c r="T1173" s="341"/>
      <c r="U1173" s="511"/>
      <c r="V1173" s="511"/>
      <c r="W1173" s="511"/>
      <c r="X1173" s="342"/>
      <c r="Y1173" s="342"/>
      <c r="Z1173" s="342"/>
      <c r="AA1173" s="342"/>
    </row>
    <row r="1174" spans="1:27" ht="26.25" x14ac:dyDescent="0.2">
      <c r="A1174" s="341"/>
      <c r="B1174" s="345"/>
      <c r="C1174" s="517" t="str">
        <f t="shared" si="165"/>
        <v>Hydrogen From SMR</v>
      </c>
      <c r="D1174" s="518">
        <f ca="1">D1133/CokingRefineryPFD!$E$95</f>
        <v>23.676164416302193</v>
      </c>
      <c r="E1174" s="519">
        <f ca="1">E1133/CokingRefineryPFD!$E$95</f>
        <v>7.2006975401945352</v>
      </c>
      <c r="F1174" s="518">
        <f ca="1">F1133/CokingRefineryPFD!$E$95</f>
        <v>3.8435789187291083</v>
      </c>
      <c r="G1174" s="518">
        <f ca="1">G1133/CokingRefineryPFD!$E$95</f>
        <v>0</v>
      </c>
      <c r="H1174" s="518">
        <f ca="1">H1133/CokingRefineryPFD!$E$95</f>
        <v>0</v>
      </c>
      <c r="I1174" s="518">
        <f ca="1">I1133/CokingRefineryPFD!$E$95</f>
        <v>0</v>
      </c>
      <c r="J1174" s="518">
        <f ca="1">J1133/CokingRefineryPFD!$E$95</f>
        <v>0</v>
      </c>
      <c r="K1174" s="518">
        <f ca="1">K1133/CokingRefineryPFD!$E$95</f>
        <v>0</v>
      </c>
      <c r="L1174" s="518">
        <f ca="1">L1133/CokingRefineryPFD!$E$95</f>
        <v>0</v>
      </c>
      <c r="M1174" s="518">
        <f ca="1">M1133/CokingRefineryPFD!$E$95</f>
        <v>0</v>
      </c>
      <c r="N1174" s="518">
        <f ca="1">N1133/CokingRefineryPFD!$E$95</f>
        <v>0</v>
      </c>
      <c r="O1174" s="518">
        <f ca="1">O1133/CokingRefineryPFD!$E$95</f>
        <v>0</v>
      </c>
      <c r="P1174" s="518">
        <f ca="1">P1133/CokingRefineryPFD!$E$95</f>
        <v>0</v>
      </c>
      <c r="Q1174" s="520">
        <f ca="1">Q1133/CokingRefineryPFD!$E$95</f>
        <v>34.720440875225833</v>
      </c>
      <c r="R1174" s="2109"/>
      <c r="S1174" s="346"/>
      <c r="T1174" s="341"/>
      <c r="U1174" s="511"/>
      <c r="V1174" s="511"/>
      <c r="W1174" s="511"/>
      <c r="X1174" s="342"/>
      <c r="Y1174" s="342"/>
      <c r="Z1174" s="342"/>
      <c r="AA1174" s="342"/>
    </row>
    <row r="1175" spans="1:27" ht="26.25" x14ac:dyDescent="0.2">
      <c r="A1175" s="341"/>
      <c r="B1175" s="345"/>
      <c r="C1175" s="517" t="str">
        <f t="shared" si="165"/>
        <v>Catalyst Coke</v>
      </c>
      <c r="D1175" s="518">
        <f ca="1">D1112/CokingRefineryPFD!$E$95</f>
        <v>3.3180679964177509E-19</v>
      </c>
      <c r="E1175" s="519">
        <f ca="1">E1112/CokingRefineryPFD!$E$95</f>
        <v>0</v>
      </c>
      <c r="F1175" s="518">
        <f ca="1">F1112/CokingRefineryPFD!$E$95</f>
        <v>7.8614847663812454E-20</v>
      </c>
      <c r="G1175" s="518">
        <f ca="1">G1112/CokingRefineryPFD!$E$95</f>
        <v>0</v>
      </c>
      <c r="H1175" s="518">
        <f ca="1">H1112/CokingRefineryPFD!$E$95</f>
        <v>0</v>
      </c>
      <c r="I1175" s="518">
        <f ca="1">I1112/CokingRefineryPFD!$E$95</f>
        <v>0</v>
      </c>
      <c r="J1175" s="518">
        <f ca="1">J1112/CokingRefineryPFD!$E$95</f>
        <v>0</v>
      </c>
      <c r="K1175" s="518">
        <f ca="1">K1112/CokingRefineryPFD!$E$95</f>
        <v>0</v>
      </c>
      <c r="L1175" s="518">
        <f ca="1">L1112/CokingRefineryPFD!$E$95</f>
        <v>0</v>
      </c>
      <c r="M1175" s="518">
        <f ca="1">M1112/CokingRefineryPFD!$E$95</f>
        <v>0</v>
      </c>
      <c r="N1175" s="518">
        <f ca="1">N1112/CokingRefineryPFD!$E$95</f>
        <v>0</v>
      </c>
      <c r="O1175" s="518">
        <f ca="1">O1112/CokingRefineryPFD!$E$95</f>
        <v>0</v>
      </c>
      <c r="P1175" s="518">
        <f ca="1">P1112/CokingRefineryPFD!$E$95</f>
        <v>0</v>
      </c>
      <c r="Q1175" s="520">
        <f ca="1">Q1112/CokingRefineryPFD!$E$95</f>
        <v>4.1042164730558755E-19</v>
      </c>
      <c r="R1175" s="2109"/>
      <c r="S1175" s="346"/>
      <c r="T1175" s="341"/>
      <c r="U1175" s="511"/>
      <c r="V1175" s="511"/>
      <c r="W1175" s="511"/>
      <c r="X1175" s="342"/>
      <c r="Y1175" s="342"/>
      <c r="Z1175" s="342"/>
      <c r="AA1175" s="342"/>
    </row>
    <row r="1176" spans="1:27" ht="26.25" x14ac:dyDescent="0.2">
      <c r="A1176" s="341"/>
      <c r="B1176" s="345"/>
      <c r="C1176" s="529" t="str">
        <f>C1147</f>
        <v xml:space="preserve">Total Refinery Processes </v>
      </c>
      <c r="D1176" s="554">
        <f t="shared" ref="D1176:Q1176" ca="1" si="166">SUM(D1170:D1175)</f>
        <v>211.48204266349538</v>
      </c>
      <c r="E1176" s="555">
        <f t="shared" ca="1" si="166"/>
        <v>90.769541159095056</v>
      </c>
      <c r="F1176" s="554">
        <f t="shared" ca="1" si="166"/>
        <v>43.905290252577849</v>
      </c>
      <c r="G1176" s="554">
        <f t="shared" ca="1" si="166"/>
        <v>0</v>
      </c>
      <c r="H1176" s="554">
        <f t="shared" ca="1" si="166"/>
        <v>0</v>
      </c>
      <c r="I1176" s="554">
        <f t="shared" ca="1" si="166"/>
        <v>0</v>
      </c>
      <c r="J1176" s="554">
        <f t="shared" ca="1" si="166"/>
        <v>0</v>
      </c>
      <c r="K1176" s="554">
        <f t="shared" ca="1" si="166"/>
        <v>0</v>
      </c>
      <c r="L1176" s="554">
        <f t="shared" ref="L1176" ca="1" si="167">SUM(L1170:L1175)</f>
        <v>0</v>
      </c>
      <c r="M1176" s="554">
        <f t="shared" ca="1" si="166"/>
        <v>0</v>
      </c>
      <c r="N1176" s="554">
        <f t="shared" ref="N1176:P1176" ca="1" si="168">SUM(N1170:N1175)</f>
        <v>0</v>
      </c>
      <c r="O1176" s="554">
        <f t="shared" ca="1" si="168"/>
        <v>0</v>
      </c>
      <c r="P1176" s="554">
        <f t="shared" ca="1" si="168"/>
        <v>0</v>
      </c>
      <c r="Q1176" s="556">
        <f t="shared" ca="1" si="166"/>
        <v>346.15687407516828</v>
      </c>
      <c r="R1176" s="2109"/>
      <c r="S1176" s="346"/>
      <c r="T1176" s="341"/>
      <c r="U1176" s="511"/>
      <c r="V1176" s="511"/>
      <c r="W1176" s="511"/>
      <c r="X1176" s="342"/>
      <c r="Y1176" s="342"/>
      <c r="Z1176" s="342"/>
      <c r="AA1176" s="342"/>
    </row>
    <row r="1177" spans="1:27" ht="26.25" x14ac:dyDescent="0.2">
      <c r="A1177" s="341"/>
      <c r="B1177" s="345"/>
      <c r="C1177" s="529" t="str">
        <f>C1148</f>
        <v>Total included Feedstock</v>
      </c>
      <c r="D1177" s="557">
        <f t="shared" ref="D1177:Q1177" ca="1" si="169">SUM(D1168:D1175)</f>
        <v>2381.1261076668538</v>
      </c>
      <c r="E1177" s="558">
        <f t="shared" ca="1" si="169"/>
        <v>2433.8414001480028</v>
      </c>
      <c r="F1177" s="557">
        <f t="shared" ca="1" si="169"/>
        <v>1163.6219355746539</v>
      </c>
      <c r="G1177" s="557">
        <f t="shared" ca="1" si="169"/>
        <v>0</v>
      </c>
      <c r="H1177" s="557">
        <f t="shared" ca="1" si="169"/>
        <v>0</v>
      </c>
      <c r="I1177" s="557">
        <f t="shared" ca="1" si="169"/>
        <v>0</v>
      </c>
      <c r="J1177" s="557">
        <f t="shared" ca="1" si="169"/>
        <v>0</v>
      </c>
      <c r="K1177" s="557">
        <f t="shared" ca="1" si="169"/>
        <v>0</v>
      </c>
      <c r="L1177" s="557">
        <f t="shared" ref="L1177" ca="1" si="170">SUM(L1168:L1175)</f>
        <v>0</v>
      </c>
      <c r="M1177" s="557">
        <f t="shared" ca="1" si="169"/>
        <v>0</v>
      </c>
      <c r="N1177" s="557">
        <f t="shared" ref="N1177:P1177" ca="1" si="171">SUM(N1168:N1175)</f>
        <v>0</v>
      </c>
      <c r="O1177" s="557">
        <f t="shared" ca="1" si="171"/>
        <v>0</v>
      </c>
      <c r="P1177" s="557">
        <f t="shared" ca="1" si="171"/>
        <v>0</v>
      </c>
      <c r="Q1177" s="559">
        <f t="shared" ca="1" si="169"/>
        <v>5978.5894433895101</v>
      </c>
      <c r="R1177" s="2109"/>
      <c r="S1177" s="346"/>
      <c r="T1177" s="341"/>
      <c r="U1177" s="511"/>
      <c r="V1177" s="511"/>
      <c r="W1177" s="511"/>
      <c r="X1177" s="342"/>
      <c r="Y1177" s="342"/>
      <c r="Z1177" s="342"/>
      <c r="AA1177" s="342"/>
    </row>
    <row r="1178" spans="1:27" ht="26.25" x14ac:dyDescent="0.2">
      <c r="A1178" s="341"/>
      <c r="B1178" s="345"/>
      <c r="C1178" s="517" t="s">
        <v>980</v>
      </c>
      <c r="D1178" s="545">
        <f ca="1">D1134/CokingRefineryPFD!$E$95</f>
        <v>0</v>
      </c>
      <c r="E1178" s="546">
        <f ca="1">E1134/CokingRefineryPFD!$E$95</f>
        <v>0</v>
      </c>
      <c r="F1178" s="545">
        <f ca="1">F1134/CokingRefineryPFD!$E$95</f>
        <v>0</v>
      </c>
      <c r="G1178" s="545">
        <f ca="1">G1134/CokingRefineryPFD!$E$95</f>
        <v>0</v>
      </c>
      <c r="H1178" s="545">
        <f ca="1">H1134/CokingRefineryPFD!$E$95</f>
        <v>0</v>
      </c>
      <c r="I1178" s="545">
        <f ca="1">I1134/CokingRefineryPFD!$E$95</f>
        <v>0</v>
      </c>
      <c r="J1178" s="545">
        <f ca="1">J1134/CokingRefineryPFD!$E$95</f>
        <v>0</v>
      </c>
      <c r="K1178" s="545">
        <f ca="1">K1134/CokingRefineryPFD!$E$95</f>
        <v>0</v>
      </c>
      <c r="L1178" s="545">
        <f ca="1">L1134/CokingRefineryPFD!$E$95</f>
        <v>0</v>
      </c>
      <c r="M1178" s="545">
        <f ca="1">M1134/CokingRefineryPFD!$E$95</f>
        <v>0</v>
      </c>
      <c r="N1178" s="545">
        <f ca="1">N1134/CokingRefineryPFD!$E$95</f>
        <v>0</v>
      </c>
      <c r="O1178" s="545">
        <f ca="1">O1134/CokingRefineryPFD!$E$95</f>
        <v>0</v>
      </c>
      <c r="P1178" s="545">
        <f ca="1">P1134/CokingRefineryPFD!$E$95</f>
        <v>0</v>
      </c>
      <c r="Q1178" s="547">
        <f ca="1">Q1134/CokingRefineryPFD!$E$95</f>
        <v>0</v>
      </c>
      <c r="R1178" s="2109"/>
      <c r="S1178" s="346"/>
      <c r="T1178" s="341"/>
      <c r="U1178" s="511"/>
      <c r="V1178" s="511"/>
      <c r="W1178" s="511"/>
      <c r="X1178" s="342"/>
      <c r="Y1178" s="342"/>
      <c r="Z1178" s="342"/>
      <c r="AA1178" s="342"/>
    </row>
    <row r="1179" spans="1:27" ht="26.25" x14ac:dyDescent="0.2">
      <c r="A1179" s="341"/>
      <c r="B1179" s="345"/>
      <c r="C1179" s="521" t="s">
        <v>981</v>
      </c>
      <c r="D1179" s="522">
        <f ca="1">D1135/CokingRefineryPFD!$E$95</f>
        <v>-67.143519997496313</v>
      </c>
      <c r="E1179" s="523">
        <f ca="1">E1135/CokingRefineryPFD!$E$95</f>
        <v>-32.744706357874037</v>
      </c>
      <c r="F1179" s="522">
        <f ca="1">F1135/CokingRefineryPFD!$E$95</f>
        <v>-15.43721578262185</v>
      </c>
      <c r="G1179" s="522">
        <f ca="1">G1135/CokingRefineryPFD!$E$95</f>
        <v>0</v>
      </c>
      <c r="H1179" s="522">
        <f ca="1">H1135/CokingRefineryPFD!$E$95</f>
        <v>0</v>
      </c>
      <c r="I1179" s="522">
        <f ca="1">I1135/CokingRefineryPFD!$E$95</f>
        <v>0</v>
      </c>
      <c r="J1179" s="522">
        <f ca="1">J1135/CokingRefineryPFD!$E$95</f>
        <v>0</v>
      </c>
      <c r="K1179" s="522">
        <f ca="1">K1135/CokingRefineryPFD!$E$95</f>
        <v>0</v>
      </c>
      <c r="L1179" s="522">
        <f ca="1">L1135/CokingRefineryPFD!$E$95</f>
        <v>0</v>
      </c>
      <c r="M1179" s="522">
        <f ca="1">M1135/CokingRefineryPFD!$E$95</f>
        <v>0</v>
      </c>
      <c r="N1179" s="522">
        <f ca="1">N1135/CokingRefineryPFD!$E$95</f>
        <v>0</v>
      </c>
      <c r="O1179" s="522">
        <f ca="1">O1135/CokingRefineryPFD!$E$95</f>
        <v>0</v>
      </c>
      <c r="P1179" s="522">
        <f ca="1">P1135/CokingRefineryPFD!$E$95</f>
        <v>0</v>
      </c>
      <c r="Q1179" s="524">
        <f ca="1">Q1135/CokingRefineryPFD!$E$95</f>
        <v>-115.32544213799221</v>
      </c>
      <c r="R1179" s="2109"/>
      <c r="S1179" s="346"/>
      <c r="T1179" s="341"/>
      <c r="U1179" s="511"/>
      <c r="V1179" s="511"/>
      <c r="W1179" s="511"/>
      <c r="X1179" s="342"/>
      <c r="Y1179" s="342"/>
      <c r="Z1179" s="342"/>
      <c r="AA1179" s="342"/>
    </row>
    <row r="1180" spans="1:27" ht="26.25" x14ac:dyDescent="0.2">
      <c r="A1180" s="341"/>
      <c r="B1180" s="345"/>
      <c r="C1180" s="437"/>
      <c r="D1180" s="2109"/>
      <c r="E1180" s="437"/>
      <c r="F1180" s="2109"/>
      <c r="G1180" s="2109"/>
      <c r="H1180" s="2109"/>
      <c r="I1180" s="2109"/>
      <c r="J1180" s="2109"/>
      <c r="K1180" s="2109"/>
      <c r="L1180" s="2109"/>
      <c r="M1180" s="2109"/>
      <c r="N1180" s="2109"/>
      <c r="O1180" s="2109"/>
      <c r="P1180" s="2109"/>
      <c r="Q1180" s="2109"/>
      <c r="R1180" s="2109"/>
      <c r="S1180" s="346"/>
      <c r="T1180" s="341"/>
      <c r="U1180" s="511"/>
      <c r="V1180" s="511"/>
      <c r="W1180" s="511"/>
      <c r="X1180" s="342"/>
      <c r="Y1180" s="342"/>
      <c r="Z1180" s="342"/>
      <c r="AA1180" s="342"/>
    </row>
    <row r="1181" spans="1:27" ht="26.25" x14ac:dyDescent="0.2">
      <c r="A1181" s="341"/>
      <c r="B1181" s="345"/>
      <c r="C1181" s="440" t="s">
        <v>1035</v>
      </c>
      <c r="D1181" s="440"/>
      <c r="E1181" s="440"/>
      <c r="F1181" s="2109"/>
      <c r="G1181" s="2109"/>
      <c r="H1181" s="2109"/>
      <c r="I1181" s="2109"/>
      <c r="J1181" s="2109"/>
      <c r="K1181" s="2109"/>
      <c r="L1181" s="2109"/>
      <c r="M1181" s="2109"/>
      <c r="N1181" s="2109"/>
      <c r="O1181" s="2109"/>
      <c r="P1181" s="2109"/>
      <c r="Q1181" s="2109"/>
      <c r="R1181" s="2109"/>
      <c r="S1181" s="346"/>
      <c r="T1181" s="341"/>
      <c r="U1181" s="511"/>
      <c r="V1181" s="511"/>
      <c r="W1181" s="511"/>
      <c r="X1181" s="342"/>
      <c r="Y1181" s="342"/>
      <c r="Z1181" s="342"/>
      <c r="AA1181" s="342"/>
    </row>
    <row r="1182" spans="1:27" ht="26.25" x14ac:dyDescent="0.2">
      <c r="A1182" s="341"/>
      <c r="B1182" s="345"/>
      <c r="C1182" s="562" t="str">
        <f>C1168</f>
        <v>Crude</v>
      </c>
      <c r="D1182" s="560">
        <v>0</v>
      </c>
      <c r="E1182" s="560">
        <v>0</v>
      </c>
      <c r="F1182" s="560">
        <v>0</v>
      </c>
      <c r="G1182" s="560">
        <v>0</v>
      </c>
      <c r="H1182" s="560">
        <v>0</v>
      </c>
      <c r="I1182" s="560">
        <v>0</v>
      </c>
      <c r="J1182" s="560">
        <v>0</v>
      </c>
      <c r="K1182" s="560">
        <v>0</v>
      </c>
      <c r="L1182" s="560">
        <v>0</v>
      </c>
      <c r="M1182" s="560">
        <v>0</v>
      </c>
      <c r="N1182" s="560">
        <v>0</v>
      </c>
      <c r="O1182" s="560">
        <v>0</v>
      </c>
      <c r="P1182" s="560">
        <v>0</v>
      </c>
      <c r="Q1182" s="560">
        <v>0</v>
      </c>
      <c r="R1182" s="2109"/>
      <c r="S1182" s="346"/>
      <c r="T1182" s="341"/>
      <c r="U1182" s="511"/>
      <c r="V1182" s="511"/>
      <c r="W1182" s="511"/>
      <c r="X1182" s="342"/>
      <c r="Y1182" s="342"/>
      <c r="Z1182" s="342"/>
      <c r="AA1182" s="342"/>
    </row>
    <row r="1183" spans="1:27" ht="26.25" x14ac:dyDescent="0.2">
      <c r="A1183" s="341"/>
      <c r="B1183" s="345"/>
      <c r="C1183" s="517" t="str">
        <f t="shared" ref="C1183:C1188" si="172">C1170</f>
        <v>Electricity</v>
      </c>
      <c r="D1183" s="545">
        <f ca="1">D1170*'Emission Factors'!$G$53</f>
        <v>940.73183701598805</v>
      </c>
      <c r="E1183" s="546">
        <f ca="1">E1170*'Emission Factors'!$G$53</f>
        <v>491.96688423279699</v>
      </c>
      <c r="F1183" s="545">
        <f ca="1">F1170*'Emission Factors'!$G$53</f>
        <v>223.69885533536046</v>
      </c>
      <c r="G1183" s="545">
        <f ca="1">G1170*'Emission Factors'!$G$53</f>
        <v>0</v>
      </c>
      <c r="H1183" s="545">
        <f ca="1">H1170*'Emission Factors'!$G$53</f>
        <v>0</v>
      </c>
      <c r="I1183" s="545">
        <f ca="1">I1170*'Emission Factors'!$G$53</f>
        <v>0</v>
      </c>
      <c r="J1183" s="545">
        <f ca="1">J1170*'Emission Factors'!$G$53</f>
        <v>0</v>
      </c>
      <c r="K1183" s="545">
        <f ca="1">K1170*'Emission Factors'!$G$53</f>
        <v>0</v>
      </c>
      <c r="L1183" s="545">
        <f ca="1">L1170*'Emission Factors'!$G$53</f>
        <v>0</v>
      </c>
      <c r="M1183" s="545">
        <f ca="1">M1170*'Emission Factors'!$G$53</f>
        <v>0</v>
      </c>
      <c r="N1183" s="545">
        <f ca="1">N1170*'Emission Factors'!$G$53</f>
        <v>0</v>
      </c>
      <c r="O1183" s="545">
        <f ca="1">O1170*'Emission Factors'!$G$53</f>
        <v>0</v>
      </c>
      <c r="P1183" s="545">
        <f ca="1">P1170*'Emission Factors'!$G$53</f>
        <v>0</v>
      </c>
      <c r="Q1183" s="547">
        <f ca="1">Q1170*'Emission Factors'!$G$53</f>
        <v>1656.3975765841456</v>
      </c>
      <c r="R1183" s="2109"/>
      <c r="S1183" s="346"/>
      <c r="T1183" s="341"/>
      <c r="U1183" s="511"/>
      <c r="V1183" s="511"/>
      <c r="W1183" s="511"/>
      <c r="X1183" s="342"/>
      <c r="Y1183" s="342"/>
      <c r="Z1183" s="342"/>
      <c r="AA1183" s="342"/>
    </row>
    <row r="1184" spans="1:27" ht="26.25" x14ac:dyDescent="0.2">
      <c r="A1184" s="341"/>
      <c r="B1184" s="345"/>
      <c r="C1184" s="517" t="str">
        <f t="shared" si="172"/>
        <v>Heat</v>
      </c>
      <c r="D1184" s="545">
        <f ca="1">D1171*('Emission Factors'!$J$76+'Emission Factors'!$K$76)</f>
        <v>8388.8149972037027</v>
      </c>
      <c r="E1184" s="546">
        <f ca="1">E1171*('Emission Factors'!$J$76+'Emission Factors'!$K$76)</f>
        <v>4091.0766040298131</v>
      </c>
      <c r="F1184" s="545">
        <f ca="1">F1171*('Emission Factors'!$J$76+'Emission Factors'!$K$76)</f>
        <v>1928.7035782031792</v>
      </c>
      <c r="G1184" s="545">
        <f ca="1">G1171*('Emission Factors'!$J$76+'Emission Factors'!$K$76)</f>
        <v>0</v>
      </c>
      <c r="H1184" s="545">
        <f ca="1">H1171*('Emission Factors'!$J$76+'Emission Factors'!$K$76)</f>
        <v>0</v>
      </c>
      <c r="I1184" s="545">
        <f ca="1">I1171*('Emission Factors'!$J$76+'Emission Factors'!$K$76)</f>
        <v>0</v>
      </c>
      <c r="J1184" s="545">
        <f ca="1">J1171*('Emission Factors'!$J$76+'Emission Factors'!$K$76)</f>
        <v>0</v>
      </c>
      <c r="K1184" s="545">
        <f ca="1">K1171*('Emission Factors'!$J$76+'Emission Factors'!$K$76)</f>
        <v>0</v>
      </c>
      <c r="L1184" s="545">
        <f ca="1">L1171*('Emission Factors'!$J$76+'Emission Factors'!$K$76)</f>
        <v>0</v>
      </c>
      <c r="M1184" s="545">
        <f ca="1">M1171*('Emission Factors'!$J$76+'Emission Factors'!$K$76)</f>
        <v>0</v>
      </c>
      <c r="N1184" s="545">
        <f ca="1">N1171*('Emission Factors'!$J$76+'Emission Factors'!$K$76)</f>
        <v>0</v>
      </c>
      <c r="O1184" s="545">
        <f ca="1">O1171*('Emission Factors'!$J$76+'Emission Factors'!$K$76)</f>
        <v>0</v>
      </c>
      <c r="P1184" s="545">
        <f ca="1">P1171*('Emission Factors'!$J$76+'Emission Factors'!$K$76)</f>
        <v>0</v>
      </c>
      <c r="Q1184" s="547">
        <f ca="1">Q1171*('Emission Factors'!$J$76+'Emission Factors'!$K$76)</f>
        <v>14408.595179436696</v>
      </c>
      <c r="R1184" s="2109"/>
      <c r="S1184" s="346"/>
      <c r="T1184" s="341"/>
      <c r="U1184" s="511"/>
      <c r="V1184" s="511"/>
      <c r="W1184" s="511"/>
      <c r="X1184" s="342"/>
      <c r="Y1184" s="342"/>
      <c r="Z1184" s="342"/>
      <c r="AA1184" s="342"/>
    </row>
    <row r="1185" spans="1:27" ht="26.25" x14ac:dyDescent="0.2">
      <c r="A1185" s="341"/>
      <c r="B1185" s="345"/>
      <c r="C1185" s="517" t="str">
        <f t="shared" si="172"/>
        <v>Steam</v>
      </c>
      <c r="D1185" s="545">
        <f ca="1">D1172*'Emission Factors'!$F$100</f>
        <v>998.26353838178704</v>
      </c>
      <c r="E1185" s="546">
        <f ca="1">E1172*'Emission Factors'!$F$100</f>
        <v>470.13590082963367</v>
      </c>
      <c r="F1185" s="545">
        <f ca="1">F1172*'Emission Factors'!$F$100</f>
        <v>213.58970615697078</v>
      </c>
      <c r="G1185" s="545">
        <f ca="1">G1172*'Emission Factors'!$F$100</f>
        <v>0</v>
      </c>
      <c r="H1185" s="545">
        <f ca="1">H1172*'Emission Factors'!$F$100</f>
        <v>0</v>
      </c>
      <c r="I1185" s="545">
        <f ca="1">I1172*'Emission Factors'!$F$100</f>
        <v>0</v>
      </c>
      <c r="J1185" s="545">
        <f ca="1">J1172*'Emission Factors'!$F$100</f>
        <v>0</v>
      </c>
      <c r="K1185" s="545">
        <f ca="1">K1172*'Emission Factors'!$F$100</f>
        <v>0</v>
      </c>
      <c r="L1185" s="545">
        <f ca="1">L1172*'Emission Factors'!$F$100</f>
        <v>0</v>
      </c>
      <c r="M1185" s="545">
        <f ca="1">M1172*'Emission Factors'!$F$100</f>
        <v>0</v>
      </c>
      <c r="N1185" s="545">
        <f ca="1">N1172*'Emission Factors'!$F$100</f>
        <v>0</v>
      </c>
      <c r="O1185" s="545">
        <f ca="1">O1172*'Emission Factors'!$F$100</f>
        <v>0</v>
      </c>
      <c r="P1185" s="545">
        <f ca="1">P1172*'Emission Factors'!$F$100</f>
        <v>0</v>
      </c>
      <c r="Q1185" s="547">
        <f ca="1">Q1172*'Emission Factors'!$F$100</f>
        <v>1681.9891453683915</v>
      </c>
      <c r="R1185" s="2109"/>
      <c r="S1185" s="346"/>
      <c r="T1185" s="341"/>
      <c r="U1185" s="511"/>
      <c r="V1185" s="511"/>
      <c r="W1185" s="511"/>
      <c r="X1185" s="342"/>
      <c r="Y1185" s="342"/>
      <c r="Z1185" s="342"/>
      <c r="AA1185" s="342"/>
    </row>
    <row r="1186" spans="1:27" ht="26.25" x14ac:dyDescent="0.2">
      <c r="A1186" s="341"/>
      <c r="B1186" s="345"/>
      <c r="C1186" s="517" t="str">
        <f t="shared" si="172"/>
        <v>Hydrogen from Reformer</v>
      </c>
      <c r="D1186" s="518">
        <f ca="1">D1173*'Emission Factors'!$I$247</f>
        <v>0</v>
      </c>
      <c r="E1186" s="519">
        <f ca="1">E1173*'Emission Factors'!$I$247</f>
        <v>0</v>
      </c>
      <c r="F1186" s="518">
        <f ca="1">F1173*'Emission Factors'!$I$247</f>
        <v>0</v>
      </c>
      <c r="G1186" s="518">
        <f ca="1">G1173*'Emission Factors'!$I$247</f>
        <v>0</v>
      </c>
      <c r="H1186" s="518">
        <f ca="1">H1173*'Emission Factors'!$I$247</f>
        <v>0</v>
      </c>
      <c r="I1186" s="518">
        <f ca="1">I1173*'Emission Factors'!$I$247</f>
        <v>0</v>
      </c>
      <c r="J1186" s="518">
        <f ca="1">J1173*'Emission Factors'!$I$247</f>
        <v>0</v>
      </c>
      <c r="K1186" s="518">
        <f ca="1">K1173*'Emission Factors'!$I$247</f>
        <v>0</v>
      </c>
      <c r="L1186" s="518">
        <f ca="1">L1173*'Emission Factors'!$I$247</f>
        <v>0</v>
      </c>
      <c r="M1186" s="518">
        <f ca="1">M1173*'Emission Factors'!$I$247</f>
        <v>0</v>
      </c>
      <c r="N1186" s="518">
        <f ca="1">N1173*'Emission Factors'!$I$247</f>
        <v>0</v>
      </c>
      <c r="O1186" s="518">
        <f ca="1">O1173*'Emission Factors'!$I$247</f>
        <v>0</v>
      </c>
      <c r="P1186" s="518">
        <f ca="1">P1173*'Emission Factors'!$I$247</f>
        <v>0</v>
      </c>
      <c r="Q1186" s="520">
        <f ca="1">Q1173*'Emission Factors'!$I$247</f>
        <v>0</v>
      </c>
      <c r="R1186" s="2109"/>
      <c r="S1186" s="346"/>
      <c r="T1186" s="341"/>
      <c r="U1186" s="511"/>
      <c r="V1186" s="511"/>
      <c r="W1186" s="511"/>
      <c r="X1186" s="342"/>
      <c r="Y1186" s="342"/>
      <c r="Z1186" s="342"/>
      <c r="AA1186" s="342"/>
    </row>
    <row r="1187" spans="1:27" ht="26.25" x14ac:dyDescent="0.2">
      <c r="A1187" s="341"/>
      <c r="B1187" s="345"/>
      <c r="C1187" s="517" t="str">
        <f t="shared" si="172"/>
        <v>Hydrogen From SMR</v>
      </c>
      <c r="D1187" s="545">
        <f ca="1">D1174*'Emission Factors'!$H$135</f>
        <v>2659.9063408542729</v>
      </c>
      <c r="E1187" s="546">
        <f ca="1">E1174*'Emission Factors'!$H$135</f>
        <v>808.9646916182636</v>
      </c>
      <c r="F1187" s="545">
        <f ca="1">F1174*'Emission Factors'!$H$135</f>
        <v>431.80811544212565</v>
      </c>
      <c r="G1187" s="545">
        <f ca="1">G1174*'Emission Factors'!$H$135</f>
        <v>0</v>
      </c>
      <c r="H1187" s="545">
        <f ca="1">H1174*'Emission Factors'!$H$135</f>
        <v>0</v>
      </c>
      <c r="I1187" s="545">
        <f ca="1">I1174*'Emission Factors'!$H$135</f>
        <v>0</v>
      </c>
      <c r="J1187" s="545">
        <f ca="1">J1174*'Emission Factors'!$H$135</f>
        <v>0</v>
      </c>
      <c r="K1187" s="545">
        <f ca="1">K1174*'Emission Factors'!$H$135</f>
        <v>0</v>
      </c>
      <c r="L1187" s="545">
        <f ca="1">L1174*'Emission Factors'!$H$135</f>
        <v>0</v>
      </c>
      <c r="M1187" s="545">
        <f ca="1">M1174*'Emission Factors'!$H$135</f>
        <v>0</v>
      </c>
      <c r="N1187" s="545">
        <f ca="1">N1174*'Emission Factors'!$H$135</f>
        <v>0</v>
      </c>
      <c r="O1187" s="545">
        <f ca="1">O1174*'Emission Factors'!$H$135</f>
        <v>0</v>
      </c>
      <c r="P1187" s="545">
        <f ca="1">P1174*'Emission Factors'!$H$135</f>
        <v>0</v>
      </c>
      <c r="Q1187" s="547">
        <f ca="1">Q1174*'Emission Factors'!$H$135</f>
        <v>3900.6791479146614</v>
      </c>
      <c r="R1187" s="2109"/>
      <c r="S1187" s="346"/>
      <c r="T1187" s="341"/>
      <c r="U1187" s="511"/>
      <c r="V1187" s="511"/>
      <c r="W1187" s="511"/>
      <c r="X1187" s="342"/>
      <c r="Y1187" s="342"/>
      <c r="Z1187" s="342"/>
      <c r="AA1187" s="342"/>
    </row>
    <row r="1188" spans="1:27" ht="26.25" x14ac:dyDescent="0.2">
      <c r="A1188" s="341"/>
      <c r="B1188" s="345"/>
      <c r="C1188" s="517" t="str">
        <f t="shared" si="172"/>
        <v>Catalyst Coke</v>
      </c>
      <c r="D1188" s="545">
        <f ca="1">D1175*'Emission Factors'!$E$177</f>
        <v>3.3265934187698932E-17</v>
      </c>
      <c r="E1188" s="546">
        <f ca="1">E1175*'Emission Factors'!$E$177</f>
        <v>0</v>
      </c>
      <c r="F1188" s="545">
        <f ca="1">F1175*'Emission Factors'!$E$177</f>
        <v>7.8816840142630523E-18</v>
      </c>
      <c r="G1188" s="545">
        <f ca="1">G1175*'Emission Factors'!$E$177</f>
        <v>0</v>
      </c>
      <c r="H1188" s="545">
        <f ca="1">H1175*'Emission Factors'!$E$177</f>
        <v>0</v>
      </c>
      <c r="I1188" s="545">
        <f ca="1">I1175*'Emission Factors'!$E$177</f>
        <v>0</v>
      </c>
      <c r="J1188" s="545">
        <f ca="1">J1175*'Emission Factors'!$E$177</f>
        <v>0</v>
      </c>
      <c r="K1188" s="545">
        <f ca="1">K1175*'Emission Factors'!$E$177</f>
        <v>0</v>
      </c>
      <c r="L1188" s="545">
        <f ca="1">L1175*'Emission Factors'!$E$177</f>
        <v>0</v>
      </c>
      <c r="M1188" s="545">
        <f ca="1">M1175*'Emission Factors'!$E$177</f>
        <v>0</v>
      </c>
      <c r="N1188" s="545">
        <f ca="1">N1175*'Emission Factors'!$E$177</f>
        <v>0</v>
      </c>
      <c r="O1188" s="545">
        <f ca="1">O1175*'Emission Factors'!$E$177</f>
        <v>0</v>
      </c>
      <c r="P1188" s="545">
        <f ca="1">P1175*'Emission Factors'!$E$177</f>
        <v>0</v>
      </c>
      <c r="Q1188" s="547">
        <f ca="1">Q1175*'Emission Factors'!$E$177</f>
        <v>4.1147618201961983E-17</v>
      </c>
      <c r="R1188" s="2109"/>
      <c r="S1188" s="346"/>
      <c r="T1188" s="341"/>
      <c r="U1188" s="511"/>
      <c r="V1188" s="511"/>
      <c r="W1188" s="511"/>
      <c r="X1188" s="342"/>
      <c r="Y1188" s="342"/>
      <c r="Z1188" s="342"/>
      <c r="AA1188" s="342"/>
    </row>
    <row r="1189" spans="1:27" ht="26.25" x14ac:dyDescent="0.2">
      <c r="A1189" s="341"/>
      <c r="B1189" s="345"/>
      <c r="C1189" s="529" t="s">
        <v>12</v>
      </c>
      <c r="D1189" s="557">
        <f t="shared" ref="D1189:Q1189" ca="1" si="173">SUM(D1183:D1188)</f>
        <v>12987.716713455751</v>
      </c>
      <c r="E1189" s="558">
        <f t="shared" ca="1" si="173"/>
        <v>5862.1440807105082</v>
      </c>
      <c r="F1189" s="557">
        <f t="shared" ca="1" si="173"/>
        <v>2797.8002551376362</v>
      </c>
      <c r="G1189" s="557">
        <f t="shared" ca="1" si="173"/>
        <v>0</v>
      </c>
      <c r="H1189" s="557">
        <f t="shared" ca="1" si="173"/>
        <v>0</v>
      </c>
      <c r="I1189" s="557">
        <f t="shared" ca="1" si="173"/>
        <v>0</v>
      </c>
      <c r="J1189" s="557">
        <f t="shared" ca="1" si="173"/>
        <v>0</v>
      </c>
      <c r="K1189" s="557">
        <f t="shared" ca="1" si="173"/>
        <v>0</v>
      </c>
      <c r="L1189" s="557">
        <f t="shared" ref="L1189" ca="1" si="174">SUM(L1183:L1188)</f>
        <v>0</v>
      </c>
      <c r="M1189" s="557">
        <f t="shared" ca="1" si="173"/>
        <v>0</v>
      </c>
      <c r="N1189" s="557">
        <f t="shared" ref="N1189:P1189" ca="1" si="175">SUM(N1183:N1188)</f>
        <v>0</v>
      </c>
      <c r="O1189" s="557">
        <f t="shared" ca="1" si="175"/>
        <v>0</v>
      </c>
      <c r="P1189" s="557">
        <f t="shared" ca="1" si="175"/>
        <v>0</v>
      </c>
      <c r="Q1189" s="559">
        <f t="shared" ca="1" si="173"/>
        <v>21647.661049303897</v>
      </c>
      <c r="R1189" s="2109"/>
      <c r="S1189" s="346"/>
      <c r="T1189" s="341"/>
      <c r="U1189" s="511"/>
      <c r="V1189" s="511"/>
      <c r="W1189" s="511"/>
      <c r="X1189" s="342"/>
      <c r="Y1189" s="342"/>
      <c r="Z1189" s="342"/>
      <c r="AA1189" s="342"/>
    </row>
    <row r="1190" spans="1:27" ht="26.25" x14ac:dyDescent="0.2">
      <c r="A1190" s="341"/>
      <c r="B1190" s="345"/>
      <c r="C1190" s="529" t="s">
        <v>13</v>
      </c>
      <c r="D1190" s="554">
        <f ca="1">D1189*CokingRefineryPFD!$E$95/CokingRefineryPFD!$E$118</f>
        <v>2.3058805504771085</v>
      </c>
      <c r="E1190" s="555">
        <f ca="1">E1189*CokingRefineryPFD!$E$95/CokingRefineryPFD!$E$118</f>
        <v>1.0407837126444515</v>
      </c>
      <c r="F1190" s="554">
        <f ca="1">F1189*CokingRefineryPFD!$E$95/CokingRefineryPFD!$E$118</f>
        <v>0.49673035952176936</v>
      </c>
      <c r="G1190" s="554">
        <f ca="1">G1189*CokingRefineryPFD!$E$95/CokingRefineryPFD!$E$118</f>
        <v>0</v>
      </c>
      <c r="H1190" s="554">
        <f ca="1">H1189*CokingRefineryPFD!$E$95/CokingRefineryPFD!$E$118</f>
        <v>0</v>
      </c>
      <c r="I1190" s="554">
        <f ca="1">I1189*CokingRefineryPFD!$E$95/CokingRefineryPFD!$E$118</f>
        <v>0</v>
      </c>
      <c r="J1190" s="554">
        <f ca="1">J1189*CokingRefineryPFD!$E$95/CokingRefineryPFD!$E$118</f>
        <v>0</v>
      </c>
      <c r="K1190" s="554">
        <f ca="1">K1189*CokingRefineryPFD!$E$95/CokingRefineryPFD!$E$118</f>
        <v>0</v>
      </c>
      <c r="L1190" s="554">
        <f ca="1">L1189*CokingRefineryPFD!$E$95/CokingRefineryPFD!$E$118</f>
        <v>0</v>
      </c>
      <c r="M1190" s="554">
        <f ca="1">M1189*CokingRefineryPFD!$E$95/CokingRefineryPFD!$E$118</f>
        <v>0</v>
      </c>
      <c r="N1190" s="554">
        <f ca="1">N1189*CokingRefineryPFD!$E$95/CokingRefineryPFD!$E$118</f>
        <v>0</v>
      </c>
      <c r="O1190" s="554">
        <f ca="1">O1189*CokingRefineryPFD!$E$95/CokingRefineryPFD!$E$118</f>
        <v>0</v>
      </c>
      <c r="P1190" s="554">
        <f ca="1">P1189*CokingRefineryPFD!$E$95/CokingRefineryPFD!$E$118</f>
        <v>0</v>
      </c>
      <c r="Q1190" s="556">
        <f ca="1">Q1189*CokingRefineryPFD!$E$95/CokingRefineryPFD!$E$118</f>
        <v>3.8433946226433298</v>
      </c>
      <c r="R1190" s="2109"/>
      <c r="S1190" s="346"/>
      <c r="T1190" s="341"/>
      <c r="U1190" s="511"/>
      <c r="V1190" s="511"/>
      <c r="W1190" s="511"/>
      <c r="X1190" s="342"/>
      <c r="Y1190" s="342"/>
      <c r="Z1190" s="342"/>
      <c r="AA1190" s="342"/>
    </row>
    <row r="1191" spans="1:27" ht="26.25" x14ac:dyDescent="0.2">
      <c r="A1191" s="341"/>
      <c r="B1191" s="345"/>
      <c r="C1191" s="517" t="s">
        <v>980</v>
      </c>
      <c r="D1191" s="545">
        <f ca="1">D1178*'Emission Factors'!$H$135</f>
        <v>0</v>
      </c>
      <c r="E1191" s="545">
        <f ca="1">E1178*'Emission Factors'!$H$135</f>
        <v>0</v>
      </c>
      <c r="F1191" s="545">
        <f ca="1">F1178*'Emission Factors'!$H$135</f>
        <v>0</v>
      </c>
      <c r="G1191" s="545">
        <f ca="1">G1178*'Emission Factors'!$H$135</f>
        <v>0</v>
      </c>
      <c r="H1191" s="545">
        <f ca="1">H1178*'Emission Factors'!$H$135</f>
        <v>0</v>
      </c>
      <c r="I1191" s="545">
        <f ca="1">I1178*'Emission Factors'!$H$135</f>
        <v>0</v>
      </c>
      <c r="J1191" s="545">
        <f ca="1">J1178*'Emission Factors'!$H$135</f>
        <v>0</v>
      </c>
      <c r="K1191" s="545">
        <f ca="1">K1178*'Emission Factors'!$H$135</f>
        <v>0</v>
      </c>
      <c r="L1191" s="545">
        <f ca="1">L1178*'Emission Factors'!$H$135</f>
        <v>0</v>
      </c>
      <c r="M1191" s="545">
        <f ca="1">M1178*'Emission Factors'!$H$135</f>
        <v>0</v>
      </c>
      <c r="N1191" s="545">
        <f ca="1">N1178*'Emission Factors'!$H$135</f>
        <v>0</v>
      </c>
      <c r="O1191" s="545">
        <f ca="1">O1178*'Emission Factors'!$H$135</f>
        <v>0</v>
      </c>
      <c r="P1191" s="545">
        <f ca="1">P1178*'Emission Factors'!$H$135</f>
        <v>0</v>
      </c>
      <c r="Q1191" s="545">
        <f ca="1">Q1178*'Emission Factors'!$H$135</f>
        <v>0</v>
      </c>
      <c r="R1191" s="2109"/>
      <c r="S1191" s="346"/>
      <c r="T1191" s="341"/>
      <c r="U1191" s="511"/>
      <c r="V1191" s="511"/>
      <c r="W1191" s="511"/>
      <c r="X1191" s="342"/>
      <c r="Y1191" s="342"/>
      <c r="Z1191" s="342"/>
      <c r="AA1191" s="342"/>
    </row>
    <row r="1192" spans="1:27" ht="26.25" x14ac:dyDescent="0.2">
      <c r="A1192" s="341"/>
      <c r="B1192" s="345"/>
      <c r="C1192" s="521" t="s">
        <v>981</v>
      </c>
      <c r="D1192" s="522">
        <f ca="1">D1179*('Emission Factors'!$J$203+'Emission Factors'!$K$203)</f>
        <v>-4019.7741412960918</v>
      </c>
      <c r="E1192" s="523">
        <f ca="1">E1179*('Emission Factors'!$J$203+'Emission Factors'!$K$203)</f>
        <v>-1960.3727044191896</v>
      </c>
      <c r="F1192" s="522">
        <f ca="1">F1179*('Emission Factors'!$J$203+'Emission Factors'!$K$203)</f>
        <v>-924.20118604006962</v>
      </c>
      <c r="G1192" s="522">
        <f ca="1">G1179*('Emission Factors'!$J$203+'Emission Factors'!$K$203)</f>
        <v>0</v>
      </c>
      <c r="H1192" s="522">
        <f ca="1">H1179*('Emission Factors'!$J$203+'Emission Factors'!$K$203)</f>
        <v>0</v>
      </c>
      <c r="I1192" s="522">
        <f ca="1">I1179*('Emission Factors'!$J$203+'Emission Factors'!$K$203)</f>
        <v>0</v>
      </c>
      <c r="J1192" s="522">
        <f ca="1">J1179*('Emission Factors'!$J$203+'Emission Factors'!$K$203)</f>
        <v>0</v>
      </c>
      <c r="K1192" s="522">
        <f ca="1">K1179*('Emission Factors'!$J$203+'Emission Factors'!$K$203)</f>
        <v>0</v>
      </c>
      <c r="L1192" s="522">
        <f ca="1">L1179*('Emission Factors'!$J$203+'Emission Factors'!$K$203)</f>
        <v>0</v>
      </c>
      <c r="M1192" s="522">
        <f ca="1">M1179*('Emission Factors'!$J$203+'Emission Factors'!$K$203)</f>
        <v>0</v>
      </c>
      <c r="N1192" s="522">
        <f ca="1">N1179*('Emission Factors'!$J$203+'Emission Factors'!$K$203)</f>
        <v>0</v>
      </c>
      <c r="O1192" s="522">
        <f ca="1">O1179*('Emission Factors'!$J$203+'Emission Factors'!$K$203)</f>
        <v>0</v>
      </c>
      <c r="P1192" s="522">
        <f ca="1">P1179*('Emission Factors'!$J$203+'Emission Factors'!$K$203)</f>
        <v>0</v>
      </c>
      <c r="Q1192" s="524">
        <f ca="1">Q1179*('Emission Factors'!$J$203+'Emission Factors'!$K$203)</f>
        <v>-6904.3480317553513</v>
      </c>
      <c r="R1192" s="2109"/>
      <c r="S1192" s="346"/>
      <c r="T1192" s="341"/>
      <c r="U1192" s="511"/>
      <c r="V1192" s="511"/>
      <c r="W1192" s="511"/>
      <c r="X1192" s="342"/>
      <c r="Y1192" s="342"/>
      <c r="Z1192" s="342"/>
      <c r="AA1192" s="342"/>
    </row>
    <row r="1193" spans="1:27" ht="26.25" x14ac:dyDescent="0.2">
      <c r="A1193" s="341"/>
      <c r="B1193" s="345"/>
      <c r="C1193" s="437"/>
      <c r="D1193" s="2109"/>
      <c r="E1193" s="437"/>
      <c r="F1193" s="2109"/>
      <c r="G1193" s="2109"/>
      <c r="H1193" s="2109"/>
      <c r="I1193" s="2109"/>
      <c r="J1193" s="2109"/>
      <c r="K1193" s="2109"/>
      <c r="L1193" s="2109"/>
      <c r="M1193" s="2109"/>
      <c r="N1193" s="2109"/>
      <c r="O1193" s="2109"/>
      <c r="P1193" s="2109"/>
      <c r="Q1193" s="2109"/>
      <c r="R1193" s="2109"/>
      <c r="S1193" s="346"/>
      <c r="T1193" s="341"/>
      <c r="U1193" s="511"/>
      <c r="V1193" s="511"/>
      <c r="W1193" s="511"/>
      <c r="X1193" s="342"/>
      <c r="Y1193" s="342"/>
      <c r="Z1193" s="342"/>
      <c r="AA1193" s="342"/>
    </row>
    <row r="1194" spans="1:27" ht="15" customHeight="1" x14ac:dyDescent="0.2">
      <c r="A1194" s="341"/>
      <c r="B1194" s="345"/>
      <c r="C1194" s="2283" t="s">
        <v>1918</v>
      </c>
      <c r="D1194" s="2284"/>
      <c r="E1194" s="2284"/>
      <c r="F1194" s="2284"/>
      <c r="G1194" s="2284"/>
      <c r="H1194" s="2284"/>
      <c r="I1194" s="286"/>
      <c r="J1194" s="286"/>
      <c r="K1194" s="286"/>
      <c r="L1194" s="286"/>
      <c r="M1194" s="286"/>
      <c r="N1194" s="286"/>
      <c r="O1194" s="286"/>
      <c r="P1194" s="286"/>
      <c r="Q1194" s="286"/>
      <c r="R1194" s="286"/>
      <c r="S1194" s="346"/>
      <c r="T1194" s="341"/>
      <c r="U1194" s="511"/>
      <c r="V1194" s="511"/>
      <c r="W1194" s="511"/>
      <c r="X1194" s="342"/>
      <c r="Y1194" s="342"/>
      <c r="Z1194" s="342"/>
      <c r="AA1194" s="342"/>
    </row>
    <row r="1195" spans="1:27" ht="26.25" x14ac:dyDescent="0.2">
      <c r="A1195" s="341"/>
      <c r="B1195" s="345"/>
      <c r="C1195" s="437"/>
      <c r="D1195" s="2109"/>
      <c r="E1195" s="437"/>
      <c r="F1195" s="2109"/>
      <c r="G1195" s="2109"/>
      <c r="H1195" s="2109"/>
      <c r="I1195" s="2109"/>
      <c r="J1195" s="2109"/>
      <c r="K1195" s="2109"/>
      <c r="L1195" s="2109"/>
      <c r="M1195" s="2109"/>
      <c r="N1195" s="2109"/>
      <c r="O1195" s="2109"/>
      <c r="P1195" s="2109"/>
      <c r="Q1195" s="2109"/>
      <c r="R1195" s="2109"/>
      <c r="S1195" s="346"/>
      <c r="T1195" s="341"/>
      <c r="U1195" s="511"/>
      <c r="V1195" s="511"/>
      <c r="W1195" s="511"/>
      <c r="X1195" s="342"/>
      <c r="Y1195" s="342"/>
      <c r="Z1195" s="342"/>
      <c r="AA1195" s="342"/>
    </row>
    <row r="1196" spans="1:27" ht="26.25" x14ac:dyDescent="0.2">
      <c r="A1196" s="341"/>
      <c r="B1196" s="1824"/>
      <c r="C1196" s="438" t="s">
        <v>977</v>
      </c>
      <c r="D1196" s="438"/>
      <c r="E1196" s="438"/>
      <c r="F1196" s="438"/>
      <c r="G1196" s="439"/>
      <c r="H1196" s="2109"/>
      <c r="I1196" s="2109"/>
      <c r="J1196" s="2109"/>
      <c r="K1196" s="2109"/>
      <c r="L1196" s="2109"/>
      <c r="M1196" s="2109"/>
      <c r="N1196" s="2109"/>
      <c r="O1196" s="2109"/>
      <c r="P1196" s="2109"/>
      <c r="Q1196" s="2109"/>
      <c r="R1196" s="2109"/>
      <c r="S1196" s="346"/>
      <c r="T1196" s="341"/>
      <c r="U1196" s="511"/>
      <c r="V1196" s="511"/>
      <c r="W1196" s="511"/>
      <c r="X1196" s="342"/>
      <c r="Y1196" s="342"/>
      <c r="Z1196" s="342"/>
      <c r="AA1196" s="342"/>
    </row>
    <row r="1197" spans="1:27" s="184" customFormat="1" ht="12" customHeight="1" x14ac:dyDescent="0.2">
      <c r="A1197" s="341"/>
      <c r="B1197" s="2014"/>
      <c r="C1197" s="439"/>
      <c r="D1197" s="439"/>
      <c r="E1197" s="439"/>
      <c r="F1197" s="439"/>
      <c r="G1197" s="439"/>
      <c r="H1197" s="2109"/>
      <c r="I1197" s="2109"/>
      <c r="J1197" s="2109"/>
      <c r="K1197" s="2109"/>
      <c r="L1197" s="2109"/>
      <c r="M1197" s="2109"/>
      <c r="N1197" s="2109"/>
      <c r="O1197" s="2109"/>
      <c r="P1197" s="2109"/>
      <c r="Q1197" s="2109"/>
      <c r="R1197" s="2109"/>
      <c r="S1197" s="346"/>
      <c r="T1197" s="341"/>
      <c r="U1197" s="511"/>
      <c r="V1197" s="511"/>
      <c r="W1197" s="511"/>
      <c r="X1197" s="341"/>
      <c r="Y1197" s="341"/>
      <c r="Z1197" s="341"/>
      <c r="AA1197" s="341"/>
    </row>
    <row r="1198" spans="1:27" s="184" customFormat="1" ht="12" customHeight="1" x14ac:dyDescent="0.2">
      <c r="A1198" s="341"/>
      <c r="B1198" s="2014"/>
      <c r="C1198" s="440" t="s">
        <v>1929</v>
      </c>
      <c r="D1198" s="2109"/>
      <c r="E1198" s="437"/>
      <c r="F1198" s="2109"/>
      <c r="G1198" s="2109"/>
      <c r="H1198" s="2109"/>
      <c r="I1198" s="2109"/>
      <c r="J1198" s="2109"/>
      <c r="K1198" s="2109"/>
      <c r="L1198" s="2109"/>
      <c r="M1198" s="2109"/>
      <c r="N1198" s="2109"/>
      <c r="O1198" s="2109"/>
      <c r="P1198" s="2109"/>
      <c r="Q1198" s="2109"/>
      <c r="R1198" s="2109"/>
      <c r="S1198" s="346"/>
      <c r="T1198" s="341"/>
      <c r="U1198" s="511"/>
      <c r="V1198" s="511"/>
      <c r="W1198" s="511"/>
      <c r="X1198" s="341"/>
      <c r="Y1198" s="341"/>
      <c r="Z1198" s="341"/>
      <c r="AA1198" s="341"/>
    </row>
    <row r="1199" spans="1:27" s="184" customFormat="1" ht="12" customHeight="1" x14ac:dyDescent="0.2">
      <c r="A1199" s="341"/>
      <c r="B1199" s="2014"/>
      <c r="C1199" s="1797" t="s">
        <v>160</v>
      </c>
      <c r="D1199" s="1798"/>
      <c r="E1199" s="1799"/>
      <c r="F1199" s="1798"/>
      <c r="G1199" s="1798"/>
      <c r="H1199" s="1798"/>
      <c r="I1199" s="1798"/>
      <c r="J1199" s="1798"/>
      <c r="K1199" s="1798"/>
      <c r="L1199" s="1798"/>
      <c r="M1199" s="1798"/>
      <c r="N1199" s="1798"/>
      <c r="O1199" s="1798"/>
      <c r="P1199" s="1798"/>
      <c r="Q1199" s="1800"/>
      <c r="R1199" s="2109"/>
      <c r="S1199" s="346"/>
      <c r="T1199" s="341"/>
      <c r="U1199" s="511"/>
      <c r="V1199" s="511"/>
      <c r="W1199" s="511"/>
      <c r="X1199" s="341"/>
      <c r="Y1199" s="341"/>
      <c r="Z1199" s="341"/>
      <c r="AA1199" s="341"/>
    </row>
    <row r="1200" spans="1:27" s="184" customFormat="1" ht="12" customHeight="1" x14ac:dyDescent="0.2">
      <c r="A1200" s="341"/>
      <c r="B1200" s="2014"/>
      <c r="C1200" s="1792" t="s">
        <v>263</v>
      </c>
      <c r="D1200" s="533">
        <f ca="1">D1106/(SUM($D$1106:$P$1106)-$K1106)</f>
        <v>0.38520551081670162</v>
      </c>
      <c r="E1200" s="533">
        <f t="shared" ref="E1200:P1200" ca="1" si="176">E1106/(SUM($D$1106:$P$1106)-$K1106)</f>
        <v>0.41599643318484314</v>
      </c>
      <c r="F1200" s="533">
        <f t="shared" ca="1" si="176"/>
        <v>0.19879805599845535</v>
      </c>
      <c r="G1200" s="533">
        <f t="shared" ca="1" si="176"/>
        <v>0</v>
      </c>
      <c r="H1200" s="533">
        <f t="shared" ca="1" si="176"/>
        <v>0</v>
      </c>
      <c r="I1200" s="533">
        <f t="shared" ca="1" si="176"/>
        <v>0</v>
      </c>
      <c r="J1200" s="533">
        <f t="shared" ca="1" si="176"/>
        <v>0</v>
      </c>
      <c r="K1200" s="533"/>
      <c r="L1200" s="533">
        <f t="shared" ca="1" si="176"/>
        <v>0</v>
      </c>
      <c r="M1200" s="533">
        <f t="shared" ca="1" si="176"/>
        <v>0</v>
      </c>
      <c r="N1200" s="533">
        <f t="shared" ca="1" si="176"/>
        <v>0</v>
      </c>
      <c r="O1200" s="533">
        <f t="shared" ca="1" si="176"/>
        <v>0</v>
      </c>
      <c r="P1200" s="533">
        <f t="shared" ca="1" si="176"/>
        <v>0</v>
      </c>
      <c r="Q1200" s="1810">
        <f ca="1">SUM(D1200:P1200)</f>
        <v>1</v>
      </c>
      <c r="R1200" s="2109"/>
      <c r="S1200" s="346"/>
      <c r="T1200" s="341"/>
      <c r="U1200" s="511"/>
      <c r="V1200" s="511"/>
      <c r="W1200" s="511"/>
      <c r="X1200" s="341"/>
      <c r="Y1200" s="341"/>
      <c r="Z1200" s="341"/>
      <c r="AA1200" s="341"/>
    </row>
    <row r="1201" spans="1:27" s="184" customFormat="1" ht="12" customHeight="1" x14ac:dyDescent="0.2">
      <c r="A1201" s="341"/>
      <c r="B1201" s="2014"/>
      <c r="C1201" s="1801" t="s">
        <v>55</v>
      </c>
      <c r="D1201" s="530"/>
      <c r="E1201" s="531"/>
      <c r="F1201" s="530"/>
      <c r="G1201" s="530"/>
      <c r="H1201" s="530"/>
      <c r="I1201" s="530"/>
      <c r="J1201" s="530"/>
      <c r="K1201" s="530"/>
      <c r="L1201" s="530"/>
      <c r="M1201" s="530"/>
      <c r="N1201" s="530"/>
      <c r="O1201" s="530"/>
      <c r="P1201" s="530"/>
      <c r="Q1201" s="1802"/>
      <c r="R1201" s="2109"/>
      <c r="S1201" s="346"/>
      <c r="T1201" s="341"/>
      <c r="U1201" s="511"/>
      <c r="V1201" s="511"/>
      <c r="W1201" s="511"/>
      <c r="X1201" s="341"/>
      <c r="Y1201" s="341"/>
      <c r="Z1201" s="341"/>
      <c r="AA1201" s="341"/>
    </row>
    <row r="1202" spans="1:27" s="184" customFormat="1" ht="12" customHeight="1" x14ac:dyDescent="0.2">
      <c r="A1202" s="341"/>
      <c r="B1202" s="2014"/>
      <c r="C1202" s="1792" t="s">
        <v>392</v>
      </c>
      <c r="D1202" s="533">
        <f ca="1">D1108/(SUM($D$1108:$P$1108)-$K1108)</f>
        <v>0.56793842874123435</v>
      </c>
      <c r="E1202" s="533">
        <f t="shared" ref="E1202:P1202" ca="1" si="177">E1108/(SUM($D$1108:$P$1108)-$K1108)</f>
        <v>0.29701014489971689</v>
      </c>
      <c r="F1202" s="533">
        <f t="shared" ca="1" si="177"/>
        <v>0.13505142635904871</v>
      </c>
      <c r="G1202" s="533">
        <f t="shared" ca="1" si="177"/>
        <v>0</v>
      </c>
      <c r="H1202" s="533">
        <f t="shared" ca="1" si="177"/>
        <v>0</v>
      </c>
      <c r="I1202" s="533">
        <f t="shared" ca="1" si="177"/>
        <v>0</v>
      </c>
      <c r="J1202" s="533">
        <f t="shared" ca="1" si="177"/>
        <v>0</v>
      </c>
      <c r="K1202" s="533"/>
      <c r="L1202" s="533">
        <f t="shared" ca="1" si="177"/>
        <v>0</v>
      </c>
      <c r="M1202" s="533">
        <f t="shared" ca="1" si="177"/>
        <v>0</v>
      </c>
      <c r="N1202" s="533">
        <f t="shared" ca="1" si="177"/>
        <v>0</v>
      </c>
      <c r="O1202" s="533">
        <f t="shared" ca="1" si="177"/>
        <v>0</v>
      </c>
      <c r="P1202" s="533">
        <f t="shared" ca="1" si="177"/>
        <v>0</v>
      </c>
      <c r="Q1202" s="1810">
        <f t="shared" ref="Q1202:Q1206" ca="1" si="178">SUM(D1202:P1202)</f>
        <v>1</v>
      </c>
      <c r="R1202" s="2109"/>
      <c r="S1202" s="346"/>
      <c r="T1202" s="341"/>
      <c r="U1202" s="511"/>
      <c r="V1202" s="511"/>
      <c r="W1202" s="511"/>
      <c r="X1202" s="341"/>
      <c r="Y1202" s="341"/>
      <c r="Z1202" s="341"/>
      <c r="AA1202" s="341"/>
    </row>
    <row r="1203" spans="1:27" s="184" customFormat="1" ht="12" customHeight="1" x14ac:dyDescent="0.2">
      <c r="A1203" s="341"/>
      <c r="B1203" s="2014"/>
      <c r="C1203" s="1792" t="s">
        <v>1023</v>
      </c>
      <c r="D1203" s="533">
        <f ca="1">D1109/(SUM($D$1109:$P$1109)-$K1109)</f>
        <v>0.58220908372634728</v>
      </c>
      <c r="E1203" s="533">
        <f t="shared" ref="E1203:P1203" ca="1" si="179">E1109/(SUM($D$1109:$P$1109)-$K1109)</f>
        <v>0.28393306585977346</v>
      </c>
      <c r="F1203" s="533">
        <f t="shared" ca="1" si="179"/>
        <v>0.13385785041387926</v>
      </c>
      <c r="G1203" s="533">
        <f t="shared" ca="1" si="179"/>
        <v>0</v>
      </c>
      <c r="H1203" s="533">
        <f t="shared" ca="1" si="179"/>
        <v>0</v>
      </c>
      <c r="I1203" s="533">
        <f t="shared" ca="1" si="179"/>
        <v>0</v>
      </c>
      <c r="J1203" s="533">
        <f t="shared" ca="1" si="179"/>
        <v>0</v>
      </c>
      <c r="K1203" s="533"/>
      <c r="L1203" s="533">
        <f t="shared" ca="1" si="179"/>
        <v>0</v>
      </c>
      <c r="M1203" s="533">
        <f t="shared" ca="1" si="179"/>
        <v>0</v>
      </c>
      <c r="N1203" s="533">
        <f t="shared" ca="1" si="179"/>
        <v>0</v>
      </c>
      <c r="O1203" s="533">
        <f t="shared" ca="1" si="179"/>
        <v>0</v>
      </c>
      <c r="P1203" s="533">
        <f t="shared" ca="1" si="179"/>
        <v>0</v>
      </c>
      <c r="Q1203" s="1810">
        <f t="shared" ca="1" si="178"/>
        <v>1</v>
      </c>
      <c r="R1203" s="2109"/>
      <c r="S1203" s="346"/>
      <c r="T1203" s="341"/>
      <c r="U1203" s="511"/>
      <c r="V1203" s="511"/>
      <c r="W1203" s="511"/>
      <c r="X1203" s="341"/>
      <c r="Y1203" s="341"/>
      <c r="Z1203" s="341"/>
      <c r="AA1203" s="341"/>
    </row>
    <row r="1204" spans="1:27" s="184" customFormat="1" ht="12" customHeight="1" x14ac:dyDescent="0.2">
      <c r="A1204" s="341"/>
      <c r="B1204" s="2014"/>
      <c r="C1204" s="1792" t="s">
        <v>485</v>
      </c>
      <c r="D1204" s="533">
        <f ca="1">D1110/(SUM($D$1110:$P$1110)-$K1110)</f>
        <v>0.59350177207186794</v>
      </c>
      <c r="E1204" s="533">
        <f t="shared" ref="E1204:P1204" ca="1" si="180">E1110/(SUM($D$1110:$P$1110)-$K1110)</f>
        <v>0.27951185185958133</v>
      </c>
      <c r="F1204" s="533">
        <f t="shared" ca="1" si="180"/>
        <v>0.1269863760685507</v>
      </c>
      <c r="G1204" s="533">
        <f t="shared" ca="1" si="180"/>
        <v>0</v>
      </c>
      <c r="H1204" s="533">
        <f t="shared" ca="1" si="180"/>
        <v>0</v>
      </c>
      <c r="I1204" s="533">
        <f t="shared" ca="1" si="180"/>
        <v>0</v>
      </c>
      <c r="J1204" s="533">
        <f t="shared" ca="1" si="180"/>
        <v>0</v>
      </c>
      <c r="K1204" s="533"/>
      <c r="L1204" s="533">
        <f t="shared" ca="1" si="180"/>
        <v>0</v>
      </c>
      <c r="M1204" s="533">
        <f t="shared" ca="1" si="180"/>
        <v>0</v>
      </c>
      <c r="N1204" s="533">
        <f t="shared" ca="1" si="180"/>
        <v>0</v>
      </c>
      <c r="O1204" s="533">
        <f t="shared" ca="1" si="180"/>
        <v>0</v>
      </c>
      <c r="P1204" s="533">
        <f t="shared" ca="1" si="180"/>
        <v>0</v>
      </c>
      <c r="Q1204" s="1810">
        <f t="shared" ca="1" si="178"/>
        <v>0.99999999999999989</v>
      </c>
      <c r="R1204" s="2109"/>
      <c r="S1204" s="346"/>
      <c r="T1204" s="341"/>
      <c r="U1204" s="511"/>
      <c r="V1204" s="511"/>
      <c r="W1204" s="511"/>
      <c r="X1204" s="341"/>
      <c r="Y1204" s="341"/>
      <c r="Z1204" s="341"/>
      <c r="AA1204" s="341"/>
    </row>
    <row r="1205" spans="1:27" s="184" customFormat="1" ht="12" customHeight="1" x14ac:dyDescent="0.2">
      <c r="A1205" s="341"/>
      <c r="B1205" s="2014"/>
      <c r="C1205" s="1792" t="s">
        <v>541</v>
      </c>
      <c r="D1205" s="533">
        <f ca="1">D1111/(SUM($D$1111:$P$1111)-$K1111)</f>
        <v>0.68190851900143667</v>
      </c>
      <c r="E1205" s="533">
        <f t="shared" ref="E1205:P1205" ca="1" si="181">E1111/(SUM($D$1111:$P$1111)-$K1111)</f>
        <v>0.20739072888133941</v>
      </c>
      <c r="F1205" s="533">
        <f t="shared" ca="1" si="181"/>
        <v>0.11070075211722404</v>
      </c>
      <c r="G1205" s="533">
        <f t="shared" ca="1" si="181"/>
        <v>0</v>
      </c>
      <c r="H1205" s="533">
        <f t="shared" ca="1" si="181"/>
        <v>0</v>
      </c>
      <c r="I1205" s="533">
        <f t="shared" ca="1" si="181"/>
        <v>0</v>
      </c>
      <c r="J1205" s="533">
        <f t="shared" ca="1" si="181"/>
        <v>0</v>
      </c>
      <c r="K1205" s="533"/>
      <c r="L1205" s="533">
        <f t="shared" ca="1" si="181"/>
        <v>0</v>
      </c>
      <c r="M1205" s="533">
        <f t="shared" ca="1" si="181"/>
        <v>0</v>
      </c>
      <c r="N1205" s="533">
        <f t="shared" ca="1" si="181"/>
        <v>0</v>
      </c>
      <c r="O1205" s="533">
        <f t="shared" ca="1" si="181"/>
        <v>0</v>
      </c>
      <c r="P1205" s="533">
        <f t="shared" ca="1" si="181"/>
        <v>0</v>
      </c>
      <c r="Q1205" s="1810">
        <f t="shared" ca="1" si="178"/>
        <v>1.0000000000000002</v>
      </c>
      <c r="R1205" s="2109"/>
      <c r="S1205" s="346"/>
      <c r="T1205" s="341"/>
      <c r="U1205" s="511"/>
      <c r="V1205" s="511"/>
      <c r="W1205" s="511"/>
      <c r="X1205" s="341"/>
      <c r="Y1205" s="341"/>
      <c r="Z1205" s="341"/>
      <c r="AA1205" s="341"/>
    </row>
    <row r="1206" spans="1:27" ht="12" customHeight="1" x14ac:dyDescent="0.2">
      <c r="A1206" s="341"/>
      <c r="B1206" s="2014"/>
      <c r="C1206" s="1792" t="s">
        <v>234</v>
      </c>
      <c r="D1206" s="533">
        <f ca="1">D1112/(SUM($D$1112:$P$1112)-$K1112)</f>
        <v>0.80845345712167516</v>
      </c>
      <c r="E1206" s="533">
        <f t="shared" ref="E1206:P1206" ca="1" si="182">E1112/(SUM($D$1112:$P$1112)-$K1112)</f>
        <v>0</v>
      </c>
      <c r="F1206" s="533">
        <f t="shared" ca="1" si="182"/>
        <v>0.19154654287832484</v>
      </c>
      <c r="G1206" s="533">
        <f t="shared" ca="1" si="182"/>
        <v>0</v>
      </c>
      <c r="H1206" s="533">
        <f t="shared" ca="1" si="182"/>
        <v>0</v>
      </c>
      <c r="I1206" s="533">
        <f t="shared" ca="1" si="182"/>
        <v>0</v>
      </c>
      <c r="J1206" s="533">
        <f t="shared" ca="1" si="182"/>
        <v>0</v>
      </c>
      <c r="K1206" s="533"/>
      <c r="L1206" s="533">
        <f t="shared" ca="1" si="182"/>
        <v>0</v>
      </c>
      <c r="M1206" s="533">
        <f t="shared" ca="1" si="182"/>
        <v>0</v>
      </c>
      <c r="N1206" s="533">
        <f t="shared" ca="1" si="182"/>
        <v>0</v>
      </c>
      <c r="O1206" s="533">
        <f t="shared" ca="1" si="182"/>
        <v>0</v>
      </c>
      <c r="P1206" s="533">
        <f t="shared" ca="1" si="182"/>
        <v>0</v>
      </c>
      <c r="Q1206" s="1810">
        <f t="shared" ca="1" si="178"/>
        <v>1</v>
      </c>
      <c r="R1206" s="2109"/>
      <c r="S1206" s="346"/>
      <c r="T1206" s="341"/>
      <c r="U1206" s="511"/>
      <c r="V1206" s="511"/>
      <c r="W1206" s="511"/>
      <c r="X1206" s="342"/>
      <c r="Y1206" s="342"/>
      <c r="Z1206" s="342"/>
      <c r="AA1206" s="342"/>
    </row>
    <row r="1207" spans="1:27" ht="12" customHeight="1" x14ac:dyDescent="0.2">
      <c r="A1207" s="341"/>
      <c r="B1207" s="2014"/>
      <c r="C1207" s="1801" t="s">
        <v>32</v>
      </c>
      <c r="D1207" s="537">
        <f ca="1">D1114/(SUM($D$1114:$P$1114)-$K1114)</f>
        <v>0.61094277913305828</v>
      </c>
      <c r="E1207" s="537">
        <f t="shared" ref="E1207:P1207" ca="1" si="183">E1114/(SUM($D$1114:$P$1114)-$K1114)</f>
        <v>0.26222082517241696</v>
      </c>
      <c r="F1207" s="537">
        <f t="shared" ca="1" si="183"/>
        <v>0.12683639569452484</v>
      </c>
      <c r="G1207" s="537">
        <f t="shared" ca="1" si="183"/>
        <v>0</v>
      </c>
      <c r="H1207" s="537">
        <f t="shared" ca="1" si="183"/>
        <v>0</v>
      </c>
      <c r="I1207" s="537">
        <f t="shared" ca="1" si="183"/>
        <v>0</v>
      </c>
      <c r="J1207" s="537">
        <f t="shared" ca="1" si="183"/>
        <v>0</v>
      </c>
      <c r="K1207" s="537"/>
      <c r="L1207" s="537">
        <f t="shared" ca="1" si="183"/>
        <v>0</v>
      </c>
      <c r="M1207" s="537">
        <f t="shared" ca="1" si="183"/>
        <v>0</v>
      </c>
      <c r="N1207" s="537">
        <f t="shared" ca="1" si="183"/>
        <v>0</v>
      </c>
      <c r="O1207" s="537">
        <f t="shared" ca="1" si="183"/>
        <v>0</v>
      </c>
      <c r="P1207" s="537">
        <f t="shared" ca="1" si="183"/>
        <v>0</v>
      </c>
      <c r="Q1207" s="2074">
        <f ca="1">SUM(D1207:P1207)</f>
        <v>1</v>
      </c>
      <c r="R1207" s="2109"/>
      <c r="S1207" s="346"/>
      <c r="T1207" s="341"/>
      <c r="U1207" s="511"/>
      <c r="V1207" s="511"/>
      <c r="W1207" s="511"/>
      <c r="X1207" s="342"/>
      <c r="Y1207" s="342"/>
      <c r="Z1207" s="342"/>
      <c r="AA1207" s="342"/>
    </row>
    <row r="1208" spans="1:27" ht="12" customHeight="1" x14ac:dyDescent="0.2">
      <c r="A1208" s="341"/>
      <c r="B1208" s="2014"/>
      <c r="C1208" s="1803" t="s">
        <v>31</v>
      </c>
      <c r="D1208" s="2075">
        <f ca="1">D1115/(SUM($D$1115:$P$1115)-$K1115)</f>
        <v>0.39827556821110199</v>
      </c>
      <c r="E1208" s="2075">
        <f t="shared" ref="E1208:P1208" ca="1" si="184">E1115/(SUM($D$1115:$P$1115)-$K1115)</f>
        <v>0.40709291433936579</v>
      </c>
      <c r="F1208" s="2075">
        <f t="shared" ca="1" si="184"/>
        <v>0.19463151744953211</v>
      </c>
      <c r="G1208" s="2075">
        <f t="shared" ca="1" si="184"/>
        <v>0</v>
      </c>
      <c r="H1208" s="2075">
        <f t="shared" ca="1" si="184"/>
        <v>0</v>
      </c>
      <c r="I1208" s="2075">
        <f t="shared" ca="1" si="184"/>
        <v>0</v>
      </c>
      <c r="J1208" s="2075">
        <f t="shared" ca="1" si="184"/>
        <v>0</v>
      </c>
      <c r="K1208" s="2075"/>
      <c r="L1208" s="2075">
        <f t="shared" ca="1" si="184"/>
        <v>0</v>
      </c>
      <c r="M1208" s="2075">
        <f t="shared" ca="1" si="184"/>
        <v>0</v>
      </c>
      <c r="N1208" s="2075">
        <f t="shared" ca="1" si="184"/>
        <v>0</v>
      </c>
      <c r="O1208" s="2075">
        <f t="shared" ca="1" si="184"/>
        <v>0</v>
      </c>
      <c r="P1208" s="2075">
        <f t="shared" ca="1" si="184"/>
        <v>0</v>
      </c>
      <c r="Q1208" s="2076">
        <f ca="1">SUM(D1208:P1208)</f>
        <v>0.99999999999999989</v>
      </c>
      <c r="R1208" s="2109"/>
      <c r="S1208" s="346"/>
      <c r="T1208" s="341"/>
      <c r="U1208" s="511"/>
      <c r="V1208" s="511"/>
      <c r="W1208" s="511"/>
      <c r="X1208" s="342"/>
      <c r="Y1208" s="342"/>
      <c r="Z1208" s="342"/>
      <c r="AA1208" s="342"/>
    </row>
    <row r="1209" spans="1:27" ht="12" customHeight="1" x14ac:dyDescent="0.2">
      <c r="A1209" s="341"/>
      <c r="B1209" s="2014"/>
      <c r="C1209" s="439"/>
      <c r="D1209" s="439"/>
      <c r="E1209" s="439"/>
      <c r="F1209" s="439"/>
      <c r="G1209" s="439"/>
      <c r="H1209" s="2109"/>
      <c r="I1209" s="2109"/>
      <c r="J1209" s="2109"/>
      <c r="K1209" s="2109"/>
      <c r="L1209" s="2109"/>
      <c r="M1209" s="2109"/>
      <c r="N1209" s="2109"/>
      <c r="O1209" s="2109"/>
      <c r="P1209" s="2109"/>
      <c r="Q1209" s="2109"/>
      <c r="R1209" s="2109"/>
      <c r="S1209" s="346"/>
      <c r="T1209" s="341"/>
      <c r="U1209" s="511"/>
      <c r="V1209" s="511"/>
      <c r="W1209" s="511"/>
      <c r="X1209" s="342"/>
      <c r="Y1209" s="342"/>
      <c r="Z1209" s="342"/>
      <c r="AA1209" s="342"/>
    </row>
    <row r="1210" spans="1:27" ht="12" customHeight="1" x14ac:dyDescent="0.2">
      <c r="A1210" s="341"/>
      <c r="B1210" s="2014"/>
      <c r="C1210" s="439"/>
      <c r="D1210" s="439"/>
      <c r="E1210" s="439"/>
      <c r="F1210" s="439"/>
      <c r="G1210" s="439"/>
      <c r="H1210" s="2109"/>
      <c r="I1210" s="2109"/>
      <c r="J1210" s="2109"/>
      <c r="K1210" s="2109"/>
      <c r="L1210" s="2109"/>
      <c r="M1210" s="2109"/>
      <c r="N1210" s="2109"/>
      <c r="O1210" s="2109"/>
      <c r="P1210" s="2109"/>
      <c r="Q1210" s="2109"/>
      <c r="R1210" s="2109"/>
      <c r="S1210" s="346"/>
      <c r="T1210" s="341"/>
      <c r="U1210" s="511"/>
      <c r="V1210" s="511"/>
      <c r="W1210" s="511"/>
      <c r="X1210" s="342"/>
      <c r="Y1210" s="342"/>
      <c r="Z1210" s="342"/>
      <c r="AA1210" s="342"/>
    </row>
    <row r="1211" spans="1:27" ht="26.25" x14ac:dyDescent="0.2">
      <c r="A1211" s="341"/>
      <c r="B1211" s="345"/>
      <c r="C1211" s="500"/>
      <c r="D1211" s="499"/>
      <c r="E1211" s="437"/>
      <c r="F1211" s="2109"/>
      <c r="G1211" s="2109"/>
      <c r="H1211" s="2109"/>
      <c r="I1211" s="2109"/>
      <c r="J1211" s="2109"/>
      <c r="K1211" s="2109"/>
      <c r="L1211" s="2109"/>
      <c r="M1211" s="2109"/>
      <c r="N1211" s="2109"/>
      <c r="O1211" s="2109"/>
      <c r="P1211" s="2109"/>
      <c r="Q1211" s="2109"/>
      <c r="R1211" s="2109"/>
      <c r="S1211" s="346"/>
      <c r="T1211" s="341"/>
      <c r="U1211" s="511"/>
      <c r="V1211" s="511"/>
      <c r="W1211" s="511"/>
      <c r="X1211" s="342"/>
      <c r="Y1211" s="342"/>
      <c r="Z1211" s="342"/>
      <c r="AA1211" s="342"/>
    </row>
    <row r="1212" spans="1:27" ht="26.25" x14ac:dyDescent="0.2">
      <c r="A1212" s="341"/>
      <c r="B1212" s="345"/>
      <c r="C1212" s="440" t="s">
        <v>56</v>
      </c>
      <c r="D1212" s="2109"/>
      <c r="E1212" s="437"/>
      <c r="F1212" s="2109"/>
      <c r="G1212" s="2109"/>
      <c r="H1212" s="2109"/>
      <c r="I1212" s="2109"/>
      <c r="J1212" s="2109"/>
      <c r="K1212" s="2109"/>
      <c r="L1212" s="2109"/>
      <c r="M1212" s="2109"/>
      <c r="N1212" s="2109"/>
      <c r="O1212" s="2109"/>
      <c r="P1212" s="2109"/>
      <c r="Q1212" s="2109"/>
      <c r="R1212" s="2109"/>
      <c r="S1212" s="346"/>
      <c r="T1212" s="341"/>
      <c r="U1212" s="511"/>
      <c r="V1212" s="511"/>
      <c r="W1212" s="511"/>
      <c r="X1212" s="342"/>
      <c r="Y1212" s="342"/>
      <c r="Z1212" s="342"/>
      <c r="AA1212" s="342"/>
    </row>
    <row r="1213" spans="1:27" ht="26.25" x14ac:dyDescent="0.2">
      <c r="A1213" s="341"/>
      <c r="B1213" s="345"/>
      <c r="C1213" s="1797" t="s">
        <v>1928</v>
      </c>
      <c r="D1213" s="1798">
        <f ca="1">K1098</f>
        <v>11437705.339893121</v>
      </c>
      <c r="E1213" s="1799"/>
      <c r="F1213" s="1798"/>
      <c r="G1213" s="1798"/>
      <c r="H1213" s="1798"/>
      <c r="I1213" s="1798"/>
      <c r="J1213" s="1798"/>
      <c r="K1213" s="1798"/>
      <c r="L1213" s="1798"/>
      <c r="M1213" s="1798"/>
      <c r="N1213" s="1798"/>
      <c r="O1213" s="1798"/>
      <c r="P1213" s="1798"/>
      <c r="Q1213" s="1800"/>
      <c r="R1213" s="2109"/>
      <c r="S1213" s="346"/>
      <c r="T1213" s="341"/>
      <c r="U1213" s="511"/>
      <c r="V1213" s="511"/>
      <c r="W1213" s="511"/>
      <c r="X1213" s="342"/>
      <c r="Y1213" s="342"/>
      <c r="Z1213" s="342"/>
      <c r="AA1213" s="342"/>
    </row>
    <row r="1214" spans="1:27" ht="26.25" x14ac:dyDescent="0.2">
      <c r="A1214" s="341"/>
      <c r="B1214" s="345"/>
      <c r="C1214" s="1791" t="s">
        <v>1025</v>
      </c>
      <c r="D1214" s="518">
        <f t="shared" ref="D1214:O1214" ca="1" si="185">D1109</f>
        <v>12341896.845410015</v>
      </c>
      <c r="E1214" s="519">
        <f t="shared" ca="1" si="185"/>
        <v>6018924.6574679464</v>
      </c>
      <c r="F1214" s="518">
        <f t="shared" ca="1" si="185"/>
        <v>2837571.2917130152</v>
      </c>
      <c r="G1214" s="518">
        <f t="shared" ca="1" si="185"/>
        <v>0</v>
      </c>
      <c r="H1214" s="518">
        <f t="shared" ca="1" si="185"/>
        <v>0</v>
      </c>
      <c r="I1214" s="518">
        <f t="shared" ca="1" si="185"/>
        <v>0</v>
      </c>
      <c r="J1214" s="518">
        <f t="shared" ca="1" si="185"/>
        <v>0</v>
      </c>
      <c r="K1214" s="518">
        <v>0</v>
      </c>
      <c r="L1214" s="518">
        <f t="shared" ca="1" si="185"/>
        <v>0</v>
      </c>
      <c r="M1214" s="518">
        <f t="shared" ca="1" si="185"/>
        <v>0</v>
      </c>
      <c r="N1214" s="518">
        <f t="shared" ca="1" si="185"/>
        <v>0</v>
      </c>
      <c r="O1214" s="518">
        <f t="shared" ca="1" si="185"/>
        <v>0</v>
      </c>
      <c r="P1214" s="518">
        <f t="shared" ref="P1214" ca="1" si="186">P1109</f>
        <v>0</v>
      </c>
      <c r="Q1214" s="1788">
        <f t="shared" ref="Q1214" ca="1" si="187">Q1109</f>
        <v>21198392.794590976</v>
      </c>
      <c r="R1214" s="2109"/>
      <c r="S1214" s="346"/>
      <c r="T1214" s="341"/>
      <c r="U1214" s="511"/>
      <c r="V1214" s="511"/>
      <c r="W1214" s="511"/>
      <c r="X1214" s="342"/>
      <c r="Y1214" s="342"/>
      <c r="Z1214" s="342"/>
      <c r="AA1214" s="342"/>
    </row>
    <row r="1215" spans="1:27" ht="26.25" x14ac:dyDescent="0.2">
      <c r="A1215" s="341"/>
      <c r="B1215" s="345"/>
      <c r="C1215" s="1791" t="s">
        <v>978</v>
      </c>
      <c r="D1215" s="518">
        <f ca="1">IF($D$1213&lt;$Q$1214,$D$1213*D1203,D1214)</f>
        <v>6659135.9458711231</v>
      </c>
      <c r="E1215" s="518">
        <f t="shared" ref="E1215:Q1215" ca="1" si="188">IF($D$1213&lt;$Q$1214,$D$1213*E1203,E1214)</f>
        <v>3247542.7435565563</v>
      </c>
      <c r="F1215" s="518">
        <f t="shared" ca="1" si="188"/>
        <v>1531026.6504654416</v>
      </c>
      <c r="G1215" s="518">
        <f t="shared" ca="1" si="188"/>
        <v>0</v>
      </c>
      <c r="H1215" s="518">
        <f t="shared" ca="1" si="188"/>
        <v>0</v>
      </c>
      <c r="I1215" s="518">
        <f t="shared" ca="1" si="188"/>
        <v>0</v>
      </c>
      <c r="J1215" s="518">
        <f t="shared" ca="1" si="188"/>
        <v>0</v>
      </c>
      <c r="K1215" s="518">
        <f t="shared" ca="1" si="188"/>
        <v>0</v>
      </c>
      <c r="L1215" s="518">
        <f t="shared" ca="1" si="188"/>
        <v>0</v>
      </c>
      <c r="M1215" s="518">
        <f t="shared" ca="1" si="188"/>
        <v>0</v>
      </c>
      <c r="N1215" s="518">
        <f t="shared" ca="1" si="188"/>
        <v>0</v>
      </c>
      <c r="O1215" s="518">
        <f t="shared" ca="1" si="188"/>
        <v>0</v>
      </c>
      <c r="P1215" s="518">
        <f t="shared" ca="1" si="188"/>
        <v>0</v>
      </c>
      <c r="Q1215" s="518">
        <f t="shared" ca="1" si="188"/>
        <v>11437705.339893121</v>
      </c>
      <c r="R1215" s="2109"/>
      <c r="S1215" s="346"/>
      <c r="T1215" s="341"/>
      <c r="U1215" s="511"/>
      <c r="V1215" s="511"/>
      <c r="W1215" s="511"/>
      <c r="X1215" s="342"/>
      <c r="Y1215" s="342"/>
      <c r="Z1215" s="342"/>
      <c r="AA1215" s="342"/>
    </row>
    <row r="1216" spans="1:27" ht="26.25" x14ac:dyDescent="0.2">
      <c r="A1216" s="341"/>
      <c r="B1216" s="345"/>
      <c r="C1216" s="1791" t="s">
        <v>90</v>
      </c>
      <c r="D1216" s="518">
        <f t="shared" ref="D1216:Q1216" ca="1" si="189">D1214-D1215</f>
        <v>5682760.8995388923</v>
      </c>
      <c r="E1216" s="519">
        <f t="shared" ca="1" si="189"/>
        <v>2771381.9139113901</v>
      </c>
      <c r="F1216" s="518">
        <f t="shared" ca="1" si="189"/>
        <v>1306544.6412475735</v>
      </c>
      <c r="G1216" s="518">
        <f t="shared" ca="1" si="189"/>
        <v>0</v>
      </c>
      <c r="H1216" s="518">
        <f t="shared" ca="1" si="189"/>
        <v>0</v>
      </c>
      <c r="I1216" s="518">
        <f t="shared" ca="1" si="189"/>
        <v>0</v>
      </c>
      <c r="J1216" s="518">
        <f t="shared" ca="1" si="189"/>
        <v>0</v>
      </c>
      <c r="K1216" s="518">
        <f t="shared" ca="1" si="189"/>
        <v>0</v>
      </c>
      <c r="L1216" s="518">
        <f t="shared" ref="L1216" ca="1" si="190">L1214-L1215</f>
        <v>0</v>
      </c>
      <c r="M1216" s="518">
        <f t="shared" ca="1" si="189"/>
        <v>0</v>
      </c>
      <c r="N1216" s="518">
        <f t="shared" ref="N1216:P1216" ca="1" si="191">N1214-N1215</f>
        <v>0</v>
      </c>
      <c r="O1216" s="518">
        <f t="shared" ca="1" si="191"/>
        <v>0</v>
      </c>
      <c r="P1216" s="518">
        <f t="shared" ca="1" si="191"/>
        <v>0</v>
      </c>
      <c r="Q1216" s="1788">
        <f t="shared" ca="1" si="189"/>
        <v>9760687.4546978548</v>
      </c>
      <c r="R1216" s="2109"/>
      <c r="S1216" s="346"/>
      <c r="T1216" s="341"/>
      <c r="U1216" s="511"/>
      <c r="V1216" s="511"/>
      <c r="W1216" s="511"/>
      <c r="X1216" s="342"/>
      <c r="Y1216" s="342"/>
      <c r="Z1216" s="342"/>
      <c r="AA1216" s="342"/>
    </row>
    <row r="1217" spans="1:27" ht="26.25" x14ac:dyDescent="0.2">
      <c r="A1217" s="341"/>
      <c r="B1217" s="345"/>
      <c r="C1217" s="1801" t="s">
        <v>1024</v>
      </c>
      <c r="D1217" s="530">
        <f ca="1">D1213-Q1215</f>
        <v>0</v>
      </c>
      <c r="E1217" s="531"/>
      <c r="F1217" s="530"/>
      <c r="G1217" s="530"/>
      <c r="H1217" s="530"/>
      <c r="I1217" s="530"/>
      <c r="J1217" s="530"/>
      <c r="K1217" s="530"/>
      <c r="L1217" s="530"/>
      <c r="M1217" s="530"/>
      <c r="N1217" s="530"/>
      <c r="O1217" s="530"/>
      <c r="P1217" s="530"/>
      <c r="Q1217" s="1802"/>
      <c r="R1217" s="2109"/>
      <c r="S1217" s="346"/>
      <c r="T1217" s="341"/>
      <c r="U1217" s="511"/>
      <c r="V1217" s="511"/>
      <c r="W1217" s="511"/>
      <c r="X1217" s="342"/>
      <c r="Y1217" s="342"/>
      <c r="Z1217" s="342"/>
      <c r="AA1217" s="342"/>
    </row>
    <row r="1218" spans="1:27" ht="26.25" x14ac:dyDescent="0.2">
      <c r="A1218" s="341"/>
      <c r="B1218" s="345"/>
      <c r="C1218" s="1791" t="s">
        <v>1026</v>
      </c>
      <c r="D1218" s="518">
        <f t="shared" ref="D1218:O1218" ca="1" si="192">D1110</f>
        <v>1350048.1566903843</v>
      </c>
      <c r="E1218" s="519">
        <f t="shared" ca="1" si="192"/>
        <v>635810.16625919892</v>
      </c>
      <c r="F1218" s="518">
        <f t="shared" ca="1" si="192"/>
        <v>288857.97988043615</v>
      </c>
      <c r="G1218" s="518">
        <f t="shared" ca="1" si="192"/>
        <v>0</v>
      </c>
      <c r="H1218" s="518">
        <f t="shared" ca="1" si="192"/>
        <v>0</v>
      </c>
      <c r="I1218" s="518">
        <f t="shared" ca="1" si="192"/>
        <v>0</v>
      </c>
      <c r="J1218" s="518">
        <f t="shared" ca="1" si="192"/>
        <v>0</v>
      </c>
      <c r="K1218" s="518">
        <v>0</v>
      </c>
      <c r="L1218" s="518">
        <f t="shared" ca="1" si="192"/>
        <v>0</v>
      </c>
      <c r="M1218" s="518">
        <f t="shared" ca="1" si="192"/>
        <v>0</v>
      </c>
      <c r="N1218" s="518">
        <f t="shared" ca="1" si="192"/>
        <v>0</v>
      </c>
      <c r="O1218" s="518">
        <f t="shared" ca="1" si="192"/>
        <v>0</v>
      </c>
      <c r="P1218" s="518">
        <f t="shared" ref="P1218" ca="1" si="193">P1110</f>
        <v>0</v>
      </c>
      <c r="Q1218" s="1788">
        <f ca="1">SUM(D1218:P1218)</f>
        <v>2274716.3028300195</v>
      </c>
      <c r="R1218" s="2109"/>
      <c r="S1218" s="346"/>
      <c r="T1218" s="341"/>
      <c r="U1218" s="511"/>
      <c r="V1218" s="511"/>
      <c r="W1218" s="511"/>
      <c r="X1218" s="342"/>
      <c r="Y1218" s="342"/>
      <c r="Z1218" s="342"/>
      <c r="AA1218" s="342"/>
    </row>
    <row r="1219" spans="1:27" ht="26.25" x14ac:dyDescent="0.2">
      <c r="A1219" s="341"/>
      <c r="B1219" s="345"/>
      <c r="C1219" s="1792" t="s">
        <v>1033</v>
      </c>
      <c r="D1219" s="518">
        <f ca="1">CokingRefineryCalcs!$D$1039*D1218</f>
        <v>1452168.0814283721</v>
      </c>
      <c r="E1219" s="519">
        <f ca="1">CokingRefineryCalcs!$D$1039*E1218</f>
        <v>683903.92202951806</v>
      </c>
      <c r="F1219" s="518">
        <f ca="1">CokingRefineryCalcs!$D$1039*F1218</f>
        <v>310707.68577364774</v>
      </c>
      <c r="G1219" s="518">
        <f ca="1">CokingRefineryCalcs!$D$1039*G1218</f>
        <v>0</v>
      </c>
      <c r="H1219" s="518">
        <f ca="1">CokingRefineryCalcs!$D$1039*H1218</f>
        <v>0</v>
      </c>
      <c r="I1219" s="518">
        <f ca="1">CokingRefineryCalcs!$D$1039*I1218</f>
        <v>0</v>
      </c>
      <c r="J1219" s="518">
        <f ca="1">CokingRefineryCalcs!$D$1039*J1218</f>
        <v>0</v>
      </c>
      <c r="K1219" s="518">
        <f>CokingRefineryCalcs!$D$1039*K1218</f>
        <v>0</v>
      </c>
      <c r="L1219" s="518">
        <f ca="1">CokingRefineryCalcs!$D$1039*L1218</f>
        <v>0</v>
      </c>
      <c r="M1219" s="518">
        <f ca="1">CokingRefineryCalcs!$D$1039*M1218</f>
        <v>0</v>
      </c>
      <c r="N1219" s="518">
        <f ca="1">CokingRefineryCalcs!$D$1039*N1218</f>
        <v>0</v>
      </c>
      <c r="O1219" s="518">
        <f ca="1">CokingRefineryCalcs!$D$1039*O1218</f>
        <v>0</v>
      </c>
      <c r="P1219" s="518">
        <f ca="1">CokingRefineryCalcs!$D$1039*P1218</f>
        <v>0</v>
      </c>
      <c r="Q1219" s="1788">
        <f t="shared" ref="Q1219:Q1222" ca="1" si="194">SUM(D1219:P1219)</f>
        <v>2446779.6892315377</v>
      </c>
      <c r="R1219" s="2109"/>
      <c r="S1219" s="346"/>
      <c r="T1219" s="341"/>
      <c r="U1219" s="511"/>
      <c r="V1219" s="511"/>
      <c r="W1219" s="511"/>
      <c r="X1219" s="342"/>
      <c r="Y1219" s="342"/>
      <c r="Z1219" s="342"/>
      <c r="AA1219" s="342"/>
    </row>
    <row r="1220" spans="1:27" ht="26.25" x14ac:dyDescent="0.2">
      <c r="A1220" s="341"/>
      <c r="B1220" s="345"/>
      <c r="C1220" s="1791" t="s">
        <v>971</v>
      </c>
      <c r="D1220" s="518">
        <f ca="1">IF($D$1217&lt;$Q$1219,$D$1217*D1204,D1219)</f>
        <v>0</v>
      </c>
      <c r="E1220" s="518">
        <f t="shared" ref="E1220:P1220" ca="1" si="195">IF($D$1217&lt;$Q$1219,$D$1217*E1204,E1219)</f>
        <v>0</v>
      </c>
      <c r="F1220" s="518">
        <f t="shared" ca="1" si="195"/>
        <v>0</v>
      </c>
      <c r="G1220" s="518">
        <f t="shared" ca="1" si="195"/>
        <v>0</v>
      </c>
      <c r="H1220" s="518">
        <f t="shared" ca="1" si="195"/>
        <v>0</v>
      </c>
      <c r="I1220" s="518">
        <f t="shared" ca="1" si="195"/>
        <v>0</v>
      </c>
      <c r="J1220" s="518">
        <f t="shared" ca="1" si="195"/>
        <v>0</v>
      </c>
      <c r="K1220" s="518">
        <f t="shared" ca="1" si="195"/>
        <v>0</v>
      </c>
      <c r="L1220" s="518">
        <f t="shared" ca="1" si="195"/>
        <v>0</v>
      </c>
      <c r="M1220" s="518">
        <f t="shared" ca="1" si="195"/>
        <v>0</v>
      </c>
      <c r="N1220" s="518">
        <f t="shared" ca="1" si="195"/>
        <v>0</v>
      </c>
      <c r="O1220" s="518">
        <f t="shared" ca="1" si="195"/>
        <v>0</v>
      </c>
      <c r="P1220" s="518">
        <f t="shared" ca="1" si="195"/>
        <v>0</v>
      </c>
      <c r="Q1220" s="1788">
        <f t="shared" ca="1" si="194"/>
        <v>0</v>
      </c>
      <c r="R1220" s="2109"/>
      <c r="S1220" s="346"/>
      <c r="T1220" s="341"/>
      <c r="U1220" s="511"/>
      <c r="V1220" s="511"/>
      <c r="W1220" s="511"/>
      <c r="X1220" s="342"/>
      <c r="Y1220" s="342"/>
      <c r="Z1220" s="342"/>
      <c r="AA1220" s="342"/>
    </row>
    <row r="1221" spans="1:27" ht="26.25" x14ac:dyDescent="0.2">
      <c r="A1221" s="341"/>
      <c r="B1221" s="345"/>
      <c r="C1221" s="1791" t="s">
        <v>90</v>
      </c>
      <c r="D1221" s="518">
        <f t="shared" ref="D1221:M1221" ca="1" si="196">D1219-D1220</f>
        <v>1452168.0814283721</v>
      </c>
      <c r="E1221" s="519">
        <f t="shared" ca="1" si="196"/>
        <v>683903.92202951806</v>
      </c>
      <c r="F1221" s="518">
        <f t="shared" ca="1" si="196"/>
        <v>310707.68577364774</v>
      </c>
      <c r="G1221" s="518">
        <f t="shared" ca="1" si="196"/>
        <v>0</v>
      </c>
      <c r="H1221" s="518">
        <f t="shared" ca="1" si="196"/>
        <v>0</v>
      </c>
      <c r="I1221" s="518">
        <f t="shared" ca="1" si="196"/>
        <v>0</v>
      </c>
      <c r="J1221" s="518">
        <f t="shared" ca="1" si="196"/>
        <v>0</v>
      </c>
      <c r="K1221" s="518">
        <f t="shared" ca="1" si="196"/>
        <v>0</v>
      </c>
      <c r="L1221" s="518">
        <f t="shared" ref="L1221" ca="1" si="197">L1219-L1220</f>
        <v>0</v>
      </c>
      <c r="M1221" s="518">
        <f t="shared" ca="1" si="196"/>
        <v>0</v>
      </c>
      <c r="N1221" s="518">
        <f t="shared" ref="N1221:P1221" ca="1" si="198">N1219-N1220</f>
        <v>0</v>
      </c>
      <c r="O1221" s="518">
        <f t="shared" ca="1" si="198"/>
        <v>0</v>
      </c>
      <c r="P1221" s="518">
        <f t="shared" ca="1" si="198"/>
        <v>0</v>
      </c>
      <c r="Q1221" s="1788">
        <f t="shared" ca="1" si="194"/>
        <v>2446779.6892315377</v>
      </c>
      <c r="R1221" s="2109"/>
      <c r="S1221" s="346"/>
      <c r="T1221" s="341"/>
      <c r="U1221" s="511"/>
      <c r="V1221" s="511"/>
      <c r="W1221" s="511"/>
      <c r="X1221" s="342"/>
      <c r="Y1221" s="342"/>
      <c r="Z1221" s="342"/>
      <c r="AA1221" s="342"/>
    </row>
    <row r="1222" spans="1:27" ht="26.25" x14ac:dyDescent="0.2">
      <c r="A1222" s="341"/>
      <c r="B1222" s="345"/>
      <c r="C1222" s="1792" t="s">
        <v>1034</v>
      </c>
      <c r="D1222" s="518">
        <f ca="1">CokingRefineryCalcs!$D$1042*D1218</f>
        <v>7237.6786270043103</v>
      </c>
      <c r="E1222" s="519">
        <f ca="1">CokingRefineryCalcs!$D$1042*E1218</f>
        <v>3408.6114842358329</v>
      </c>
      <c r="F1222" s="518">
        <f ca="1">CokingRefineryCalcs!$D$1042*F1218</f>
        <v>1548.5827056313958</v>
      </c>
      <c r="G1222" s="518">
        <f ca="1">CokingRefineryCalcs!$D$1042*G1218</f>
        <v>0</v>
      </c>
      <c r="H1222" s="518">
        <f ca="1">CokingRefineryCalcs!$D$1042*H1218</f>
        <v>0</v>
      </c>
      <c r="I1222" s="518">
        <f ca="1">CokingRefineryCalcs!$D$1042*I1218</f>
        <v>0</v>
      </c>
      <c r="J1222" s="518">
        <f ca="1">CokingRefineryCalcs!$D$1042*J1218</f>
        <v>0</v>
      </c>
      <c r="K1222" s="518">
        <f>CokingRefineryCalcs!$D$1042*K1218</f>
        <v>0</v>
      </c>
      <c r="L1222" s="518">
        <f ca="1">CokingRefineryCalcs!$D$1042*L1218</f>
        <v>0</v>
      </c>
      <c r="M1222" s="518">
        <f ca="1">CokingRefineryCalcs!$D$1042*M1218</f>
        <v>0</v>
      </c>
      <c r="N1222" s="518">
        <f ca="1">CokingRefineryCalcs!$D$1042*N1218</f>
        <v>0</v>
      </c>
      <c r="O1222" s="518">
        <f ca="1">CokingRefineryCalcs!$D$1042*O1218</f>
        <v>0</v>
      </c>
      <c r="P1222" s="518">
        <f ca="1">CokingRefineryCalcs!$D$1042*P1218</f>
        <v>0</v>
      </c>
      <c r="Q1222" s="1788">
        <f t="shared" ca="1" si="194"/>
        <v>12194.872816871539</v>
      </c>
      <c r="R1222" s="2109"/>
      <c r="S1222" s="346"/>
      <c r="T1222" s="341"/>
      <c r="U1222" s="511"/>
      <c r="V1222" s="511"/>
      <c r="W1222" s="511"/>
      <c r="X1222" s="342"/>
      <c r="Y1222" s="342"/>
      <c r="Z1222" s="342"/>
      <c r="AA1222" s="342"/>
    </row>
    <row r="1223" spans="1:27" ht="26.25" x14ac:dyDescent="0.2">
      <c r="A1223" s="341"/>
      <c r="B1223" s="345"/>
      <c r="C1223" s="1801" t="s">
        <v>975</v>
      </c>
      <c r="D1223" s="530">
        <f ca="1">D1213-Q1215-Q1220</f>
        <v>0</v>
      </c>
      <c r="E1223" s="531"/>
      <c r="F1223" s="530"/>
      <c r="G1223" s="530"/>
      <c r="H1223" s="530"/>
      <c r="I1223" s="530"/>
      <c r="J1223" s="530"/>
      <c r="K1223" s="530"/>
      <c r="L1223" s="530"/>
      <c r="M1223" s="530"/>
      <c r="N1223" s="530"/>
      <c r="O1223" s="530"/>
      <c r="P1223" s="530"/>
      <c r="Q1223" s="1802"/>
      <c r="R1223" s="2109"/>
      <c r="S1223" s="346"/>
      <c r="T1223" s="341"/>
      <c r="U1223" s="511"/>
      <c r="V1223" s="511"/>
      <c r="W1223" s="511"/>
      <c r="X1223" s="342"/>
      <c r="Y1223" s="342"/>
      <c r="Z1223" s="342"/>
      <c r="AA1223" s="342"/>
    </row>
    <row r="1224" spans="1:27" ht="26.25" x14ac:dyDescent="0.2">
      <c r="A1224" s="341"/>
      <c r="B1224" s="345"/>
      <c r="C1224" s="1791" t="s">
        <v>391</v>
      </c>
      <c r="D1224" s="518">
        <f t="shared" ref="D1224:O1224" ca="1" si="199">D1111-D1132</f>
        <v>2348146.1432291865</v>
      </c>
      <c r="E1224" s="519">
        <f t="shared" ca="1" si="199"/>
        <v>714148.19817375089</v>
      </c>
      <c r="F1224" s="518">
        <f t="shared" ca="1" si="199"/>
        <v>381197.09153550281</v>
      </c>
      <c r="G1224" s="518">
        <f t="shared" ca="1" si="199"/>
        <v>0</v>
      </c>
      <c r="H1224" s="518">
        <f t="shared" ca="1" si="199"/>
        <v>0</v>
      </c>
      <c r="I1224" s="518">
        <f t="shared" ca="1" si="199"/>
        <v>0</v>
      </c>
      <c r="J1224" s="518">
        <f t="shared" ca="1" si="199"/>
        <v>0</v>
      </c>
      <c r="K1224" s="518">
        <v>0</v>
      </c>
      <c r="L1224" s="518">
        <f t="shared" ca="1" si="199"/>
        <v>0</v>
      </c>
      <c r="M1224" s="518">
        <f t="shared" ca="1" si="199"/>
        <v>0</v>
      </c>
      <c r="N1224" s="518">
        <f t="shared" ca="1" si="199"/>
        <v>0</v>
      </c>
      <c r="O1224" s="518">
        <f t="shared" ca="1" si="199"/>
        <v>0</v>
      </c>
      <c r="P1224" s="518">
        <f t="shared" ref="P1224" ca="1" si="200">P1111-P1132</f>
        <v>0</v>
      </c>
      <c r="Q1224" s="1788">
        <f t="shared" ref="Q1224:Q1230" ca="1" si="201">SUM(D1224:P1224)</f>
        <v>3443491.4329384407</v>
      </c>
      <c r="R1224" s="2109"/>
      <c r="S1224" s="346"/>
      <c r="T1224" s="341"/>
      <c r="U1224" s="511"/>
      <c r="V1224" s="511"/>
      <c r="W1224" s="511"/>
      <c r="X1224" s="342"/>
      <c r="Y1224" s="342"/>
      <c r="Z1224" s="342"/>
      <c r="AA1224" s="342"/>
    </row>
    <row r="1225" spans="1:27" ht="26.25" x14ac:dyDescent="0.2">
      <c r="A1225" s="341"/>
      <c r="B1225" s="345"/>
      <c r="C1225" s="1792" t="s">
        <v>1163</v>
      </c>
      <c r="D1225" s="518">
        <f ca="1">(CokingRefineryCalcs!$D$1088+CokingRefineryCalcs!$D$1089)*D1224</f>
        <v>23206.629415523003</v>
      </c>
      <c r="E1225" s="519">
        <f ca="1">(CokingRefineryCalcs!$D$1088+CokingRefineryCalcs!$D$1089)*E1224</f>
        <v>7057.8965583421705</v>
      </c>
      <c r="F1225" s="518">
        <f ca="1">(CokingRefineryCalcs!$D$1088+CokingRefineryCalcs!$D$1089)*F1224</f>
        <v>3767.3547973356217</v>
      </c>
      <c r="G1225" s="518">
        <f ca="1">(CokingRefineryCalcs!$D$1088+CokingRefineryCalcs!$D$1089)*G1224</f>
        <v>0</v>
      </c>
      <c r="H1225" s="518">
        <f ca="1">(CokingRefineryCalcs!$D$1088+CokingRefineryCalcs!$D$1089)*H1224</f>
        <v>0</v>
      </c>
      <c r="I1225" s="518">
        <f ca="1">(CokingRefineryCalcs!$D$1088+CokingRefineryCalcs!$D$1089)*I1224</f>
        <v>0</v>
      </c>
      <c r="J1225" s="518">
        <f ca="1">(CokingRefineryCalcs!$D$1088+CokingRefineryCalcs!$D$1089)*J1224</f>
        <v>0</v>
      </c>
      <c r="K1225" s="518">
        <f>(CokingRefineryCalcs!$D$1088+CokingRefineryCalcs!$D$1089)*K1224</f>
        <v>0</v>
      </c>
      <c r="L1225" s="518">
        <f ca="1">(CokingRefineryCalcs!$D$1088+CokingRefineryCalcs!$D$1089)*L1224</f>
        <v>0</v>
      </c>
      <c r="M1225" s="518">
        <f ca="1">(CokingRefineryCalcs!$D$1088+CokingRefineryCalcs!$D$1089)*M1224</f>
        <v>0</v>
      </c>
      <c r="N1225" s="518">
        <f ca="1">(CokingRefineryCalcs!$D$1088+CokingRefineryCalcs!$D$1089)*N1224</f>
        <v>0</v>
      </c>
      <c r="O1225" s="518">
        <f ca="1">(CokingRefineryCalcs!$D$1088+CokingRefineryCalcs!$D$1089)*O1224</f>
        <v>0</v>
      </c>
      <c r="P1225" s="518">
        <f ca="1">(CokingRefineryCalcs!$D$1088+CokingRefineryCalcs!$D$1089)*P1224</f>
        <v>0</v>
      </c>
      <c r="Q1225" s="1788">
        <f t="shared" ca="1" si="201"/>
        <v>34031.880771200798</v>
      </c>
      <c r="R1225" s="2109"/>
      <c r="S1225" s="346"/>
      <c r="T1225" s="341"/>
      <c r="U1225" s="511"/>
      <c r="V1225" s="511"/>
      <c r="W1225" s="511"/>
      <c r="X1225" s="342"/>
      <c r="Y1225" s="342"/>
      <c r="Z1225" s="342"/>
      <c r="AA1225" s="342"/>
    </row>
    <row r="1226" spans="1:27" ht="26.25" x14ac:dyDescent="0.2">
      <c r="A1226" s="341"/>
      <c r="B1226" s="345"/>
      <c r="C1226" s="1792" t="s">
        <v>1032</v>
      </c>
      <c r="D1226" s="518">
        <f ca="1">CokingRefineryCalcs!$D$1087*D1224</f>
        <v>0</v>
      </c>
      <c r="E1226" s="519">
        <f ca="1">CokingRefineryCalcs!$D$1087*E1224</f>
        <v>0</v>
      </c>
      <c r="F1226" s="518">
        <f ca="1">CokingRefineryCalcs!$D$1087*F1224</f>
        <v>0</v>
      </c>
      <c r="G1226" s="518">
        <f ca="1">CokingRefineryCalcs!$D$1087*G1224</f>
        <v>0</v>
      </c>
      <c r="H1226" s="518">
        <f ca="1">CokingRefineryCalcs!$D$1087*H1224</f>
        <v>0</v>
      </c>
      <c r="I1226" s="518">
        <f ca="1">CokingRefineryCalcs!$D$1087*I1224</f>
        <v>0</v>
      </c>
      <c r="J1226" s="518">
        <f ca="1">CokingRefineryCalcs!$D$1087*J1224</f>
        <v>0</v>
      </c>
      <c r="K1226" s="518">
        <f>CokingRefineryCalcs!$D$1087*K1224</f>
        <v>0</v>
      </c>
      <c r="L1226" s="518">
        <f ca="1">CokingRefineryCalcs!$D$1087*L1224</f>
        <v>0</v>
      </c>
      <c r="M1226" s="518">
        <f ca="1">CokingRefineryCalcs!$D$1087*M1224</f>
        <v>0</v>
      </c>
      <c r="N1226" s="518">
        <f ca="1">CokingRefineryCalcs!$D$1087*N1224</f>
        <v>0</v>
      </c>
      <c r="O1226" s="518">
        <f ca="1">CokingRefineryCalcs!$D$1087*O1224</f>
        <v>0</v>
      </c>
      <c r="P1226" s="518">
        <f ca="1">CokingRefineryCalcs!$D$1087*P1224</f>
        <v>0</v>
      </c>
      <c r="Q1226" s="1788">
        <f t="shared" ca="1" si="201"/>
        <v>0</v>
      </c>
      <c r="R1226" s="2109"/>
      <c r="S1226" s="346"/>
      <c r="T1226" s="341"/>
      <c r="U1226" s="511"/>
      <c r="V1226" s="511"/>
      <c r="W1226" s="511"/>
      <c r="X1226" s="342"/>
      <c r="Y1226" s="342"/>
      <c r="Z1226" s="342"/>
      <c r="AA1226" s="342"/>
    </row>
    <row r="1227" spans="1:27" ht="26.25" x14ac:dyDescent="0.2">
      <c r="A1227" s="341"/>
      <c r="B1227" s="345"/>
      <c r="C1227" s="1791" t="s">
        <v>971</v>
      </c>
      <c r="D1227" s="518">
        <f ca="1">IF($D$1223&lt;$Q$1226,$D$1223*D1205,D1226)</f>
        <v>0</v>
      </c>
      <c r="E1227" s="518">
        <f t="shared" ref="E1227:P1227" ca="1" si="202">IF($D$1223&lt;$Q$1226,$D$1223*E1205,E1226)</f>
        <v>0</v>
      </c>
      <c r="F1227" s="518">
        <f t="shared" ca="1" si="202"/>
        <v>0</v>
      </c>
      <c r="G1227" s="518">
        <f t="shared" ca="1" si="202"/>
        <v>0</v>
      </c>
      <c r="H1227" s="518">
        <f t="shared" ca="1" si="202"/>
        <v>0</v>
      </c>
      <c r="I1227" s="518">
        <f t="shared" ca="1" si="202"/>
        <v>0</v>
      </c>
      <c r="J1227" s="518">
        <f t="shared" ca="1" si="202"/>
        <v>0</v>
      </c>
      <c r="K1227" s="518">
        <f t="shared" ca="1" si="202"/>
        <v>0</v>
      </c>
      <c r="L1227" s="518">
        <f t="shared" ca="1" si="202"/>
        <v>0</v>
      </c>
      <c r="M1227" s="518">
        <f t="shared" ca="1" si="202"/>
        <v>0</v>
      </c>
      <c r="N1227" s="518">
        <f t="shared" ca="1" si="202"/>
        <v>0</v>
      </c>
      <c r="O1227" s="518">
        <f t="shared" ca="1" si="202"/>
        <v>0</v>
      </c>
      <c r="P1227" s="518">
        <f t="shared" ca="1" si="202"/>
        <v>0</v>
      </c>
      <c r="Q1227" s="1788">
        <f t="shared" ca="1" si="201"/>
        <v>0</v>
      </c>
      <c r="R1227" s="2109"/>
      <c r="S1227" s="346"/>
      <c r="T1227" s="341"/>
      <c r="U1227" s="511"/>
      <c r="V1227" s="511"/>
      <c r="W1227" s="511"/>
      <c r="X1227" s="342"/>
      <c r="Y1227" s="342"/>
      <c r="Z1227" s="342"/>
      <c r="AA1227" s="342"/>
    </row>
    <row r="1228" spans="1:27" ht="26.25" x14ac:dyDescent="0.2">
      <c r="A1228" s="341"/>
      <c r="B1228" s="345"/>
      <c r="C1228" s="1791" t="s">
        <v>90</v>
      </c>
      <c r="D1228" s="518">
        <f t="shared" ref="D1228:M1228" ca="1" si="203">D1226-D1227</f>
        <v>0</v>
      </c>
      <c r="E1228" s="519">
        <f t="shared" ca="1" si="203"/>
        <v>0</v>
      </c>
      <c r="F1228" s="518">
        <f t="shared" ca="1" si="203"/>
        <v>0</v>
      </c>
      <c r="G1228" s="518">
        <f t="shared" ca="1" si="203"/>
        <v>0</v>
      </c>
      <c r="H1228" s="518">
        <f t="shared" ca="1" si="203"/>
        <v>0</v>
      </c>
      <c r="I1228" s="518">
        <f t="shared" ca="1" si="203"/>
        <v>0</v>
      </c>
      <c r="J1228" s="518">
        <f t="shared" ca="1" si="203"/>
        <v>0</v>
      </c>
      <c r="K1228" s="518">
        <f t="shared" ca="1" si="203"/>
        <v>0</v>
      </c>
      <c r="L1228" s="518">
        <f t="shared" ref="L1228" ca="1" si="204">L1226-L1227</f>
        <v>0</v>
      </c>
      <c r="M1228" s="518">
        <f t="shared" ca="1" si="203"/>
        <v>0</v>
      </c>
      <c r="N1228" s="518">
        <f t="shared" ref="N1228:P1228" ca="1" si="205">N1226-N1227</f>
        <v>0</v>
      </c>
      <c r="O1228" s="518">
        <f t="shared" ca="1" si="205"/>
        <v>0</v>
      </c>
      <c r="P1228" s="518">
        <f t="shared" ca="1" si="205"/>
        <v>0</v>
      </c>
      <c r="Q1228" s="1788">
        <f t="shared" ca="1" si="201"/>
        <v>0</v>
      </c>
      <c r="R1228" s="2109"/>
      <c r="S1228" s="346"/>
      <c r="T1228" s="341"/>
      <c r="U1228" s="511"/>
      <c r="V1228" s="511"/>
      <c r="W1228" s="511"/>
      <c r="X1228" s="342"/>
      <c r="Y1228" s="342"/>
      <c r="Z1228" s="342"/>
      <c r="AA1228" s="342"/>
    </row>
    <row r="1229" spans="1:27" ht="26.25" x14ac:dyDescent="0.2">
      <c r="A1229" s="341"/>
      <c r="B1229" s="345"/>
      <c r="C1229" s="1792" t="s">
        <v>1030</v>
      </c>
      <c r="D1229" s="518">
        <f ca="1">CokingRefineryCalcs!$D$1085*D1224</f>
        <v>2051090.9836952141</v>
      </c>
      <c r="E1229" s="519">
        <f ca="1">CokingRefineryCalcs!$D$1085*E1224</f>
        <v>623803.98874236341</v>
      </c>
      <c r="F1229" s="518">
        <f ca="1">CokingRefineryCalcs!$D$1085*F1224</f>
        <v>332973.2775422897</v>
      </c>
      <c r="G1229" s="518">
        <f ca="1">CokingRefineryCalcs!$D$1085*G1224</f>
        <v>0</v>
      </c>
      <c r="H1229" s="518">
        <f ca="1">CokingRefineryCalcs!$D$1085*H1224</f>
        <v>0</v>
      </c>
      <c r="I1229" s="518">
        <f ca="1">CokingRefineryCalcs!$D$1085*I1224</f>
        <v>0</v>
      </c>
      <c r="J1229" s="518">
        <f ca="1">CokingRefineryCalcs!$D$1085*J1224</f>
        <v>0</v>
      </c>
      <c r="K1229" s="518">
        <f>CokingRefineryCalcs!$D$1085*K1224</f>
        <v>0</v>
      </c>
      <c r="L1229" s="518">
        <f ca="1">CokingRefineryCalcs!$D$1085*L1224</f>
        <v>0</v>
      </c>
      <c r="M1229" s="518">
        <f ca="1">CokingRefineryCalcs!$D$1085*M1224</f>
        <v>0</v>
      </c>
      <c r="N1229" s="518">
        <f ca="1">CokingRefineryCalcs!$D$1085*N1224</f>
        <v>0</v>
      </c>
      <c r="O1229" s="518">
        <f ca="1">CokingRefineryCalcs!$D$1085*O1224</f>
        <v>0</v>
      </c>
      <c r="P1229" s="518">
        <f ca="1">CokingRefineryCalcs!$D$1085*P1224</f>
        <v>0</v>
      </c>
      <c r="Q1229" s="1788">
        <f t="shared" ca="1" si="201"/>
        <v>3007868.2499798671</v>
      </c>
      <c r="R1229" s="2109"/>
      <c r="S1229" s="346"/>
      <c r="T1229" s="341"/>
      <c r="U1229" s="511"/>
      <c r="V1229" s="511"/>
      <c r="W1229" s="511"/>
      <c r="X1229" s="342"/>
      <c r="Y1229" s="342"/>
      <c r="Z1229" s="342"/>
      <c r="AA1229" s="342"/>
    </row>
    <row r="1230" spans="1:27" ht="26.25" x14ac:dyDescent="0.2">
      <c r="A1230" s="341"/>
      <c r="B1230" s="345"/>
      <c r="C1230" s="1791" t="s">
        <v>971</v>
      </c>
      <c r="D1230" s="518">
        <f ca="1">IF(($D$1223-$Q$1227)&lt;$Q$1229,($D$1223-$Q$1227)*D1205,D1229)</f>
        <v>0</v>
      </c>
      <c r="E1230" s="518">
        <f t="shared" ref="E1230:P1230" ca="1" si="206">IF(($D$1223-$Q$1227)&lt;$Q$1229,($D$1223-$Q$1227)*E1205,E1229)</f>
        <v>0</v>
      </c>
      <c r="F1230" s="518">
        <f t="shared" ca="1" si="206"/>
        <v>0</v>
      </c>
      <c r="G1230" s="518">
        <f t="shared" ca="1" si="206"/>
        <v>0</v>
      </c>
      <c r="H1230" s="518">
        <f t="shared" ca="1" si="206"/>
        <v>0</v>
      </c>
      <c r="I1230" s="518">
        <f t="shared" ca="1" si="206"/>
        <v>0</v>
      </c>
      <c r="J1230" s="518">
        <f t="shared" ca="1" si="206"/>
        <v>0</v>
      </c>
      <c r="K1230" s="518">
        <f t="shared" ca="1" si="206"/>
        <v>0</v>
      </c>
      <c r="L1230" s="518">
        <f t="shared" ca="1" si="206"/>
        <v>0</v>
      </c>
      <c r="M1230" s="518">
        <f t="shared" ca="1" si="206"/>
        <v>0</v>
      </c>
      <c r="N1230" s="518">
        <f t="shared" ca="1" si="206"/>
        <v>0</v>
      </c>
      <c r="O1230" s="518">
        <f t="shared" ca="1" si="206"/>
        <v>0</v>
      </c>
      <c r="P1230" s="518">
        <f t="shared" ca="1" si="206"/>
        <v>0</v>
      </c>
      <c r="Q1230" s="1788">
        <f t="shared" ca="1" si="201"/>
        <v>0</v>
      </c>
      <c r="R1230" s="2109"/>
      <c r="S1230" s="346"/>
      <c r="T1230" s="341"/>
      <c r="U1230" s="511"/>
      <c r="V1230" s="511"/>
      <c r="W1230" s="511"/>
      <c r="X1230" s="342"/>
      <c r="Y1230" s="342"/>
      <c r="Z1230" s="342"/>
      <c r="AA1230" s="342"/>
    </row>
    <row r="1231" spans="1:27" ht="26.25" x14ac:dyDescent="0.2">
      <c r="A1231" s="341"/>
      <c r="B1231" s="345"/>
      <c r="C1231" s="1791" t="s">
        <v>90</v>
      </c>
      <c r="D1231" s="518">
        <f t="shared" ref="D1231:M1231" ca="1" si="207">D1229-D1230</f>
        <v>2051090.9836952141</v>
      </c>
      <c r="E1231" s="519">
        <f t="shared" ca="1" si="207"/>
        <v>623803.98874236341</v>
      </c>
      <c r="F1231" s="518">
        <f t="shared" ca="1" si="207"/>
        <v>332973.2775422897</v>
      </c>
      <c r="G1231" s="518">
        <f t="shared" ca="1" si="207"/>
        <v>0</v>
      </c>
      <c r="H1231" s="518">
        <f t="shared" ca="1" si="207"/>
        <v>0</v>
      </c>
      <c r="I1231" s="518">
        <f t="shared" ca="1" si="207"/>
        <v>0</v>
      </c>
      <c r="J1231" s="518">
        <f t="shared" ca="1" si="207"/>
        <v>0</v>
      </c>
      <c r="K1231" s="518">
        <f t="shared" ca="1" si="207"/>
        <v>0</v>
      </c>
      <c r="L1231" s="518">
        <f t="shared" ref="L1231" ca="1" si="208">L1229-L1230</f>
        <v>0</v>
      </c>
      <c r="M1231" s="518">
        <f t="shared" ca="1" si="207"/>
        <v>0</v>
      </c>
      <c r="N1231" s="518">
        <f t="shared" ref="N1231:P1231" ca="1" si="209">N1229-N1230</f>
        <v>0</v>
      </c>
      <c r="O1231" s="518">
        <f t="shared" ca="1" si="209"/>
        <v>0</v>
      </c>
      <c r="P1231" s="518">
        <f t="shared" ca="1" si="209"/>
        <v>0</v>
      </c>
      <c r="Q1231" s="1788"/>
      <c r="R1231" s="2109"/>
      <c r="S1231" s="346"/>
      <c r="T1231" s="341"/>
      <c r="U1231" s="511"/>
      <c r="V1231" s="511"/>
      <c r="W1231" s="511"/>
      <c r="X1231" s="342"/>
      <c r="Y1231" s="342"/>
      <c r="Z1231" s="342"/>
      <c r="AA1231" s="342"/>
    </row>
    <row r="1232" spans="1:27" ht="26.25" x14ac:dyDescent="0.2">
      <c r="A1232" s="341"/>
      <c r="B1232" s="345"/>
      <c r="C1232" s="1792" t="s">
        <v>1031</v>
      </c>
      <c r="D1232" s="518">
        <f ca="1">CokingRefineryCalcs!$D$1084*D1224</f>
        <v>1817028.2832516895</v>
      </c>
      <c r="E1232" s="519">
        <f ca="1">CokingRefineryCalcs!$D$1084*E1224</f>
        <v>552617.85057825735</v>
      </c>
      <c r="F1232" s="518">
        <f ca="1">CokingRefineryCalcs!$D$1084*F1224</f>
        <v>294975.63378264033</v>
      </c>
      <c r="G1232" s="518">
        <f ca="1">CokingRefineryCalcs!$D$1084*G1224</f>
        <v>0</v>
      </c>
      <c r="H1232" s="518">
        <f ca="1">CokingRefineryCalcs!$D$1084*H1224</f>
        <v>0</v>
      </c>
      <c r="I1232" s="518">
        <f ca="1">CokingRefineryCalcs!$D$1084*I1224</f>
        <v>0</v>
      </c>
      <c r="J1232" s="518">
        <f ca="1">CokingRefineryCalcs!$D$1084*J1224</f>
        <v>0</v>
      </c>
      <c r="K1232" s="518">
        <f>CokingRefineryCalcs!$D$1084*K1224</f>
        <v>0</v>
      </c>
      <c r="L1232" s="518">
        <f ca="1">CokingRefineryCalcs!$D$1084*L1224</f>
        <v>0</v>
      </c>
      <c r="M1232" s="518">
        <f ca="1">CokingRefineryCalcs!$D$1084*M1224</f>
        <v>0</v>
      </c>
      <c r="N1232" s="518">
        <f ca="1">CokingRefineryCalcs!$D$1084*N1224</f>
        <v>0</v>
      </c>
      <c r="O1232" s="518">
        <f ca="1">CokingRefineryCalcs!$D$1084*O1224</f>
        <v>0</v>
      </c>
      <c r="P1232" s="518">
        <f ca="1">CokingRefineryCalcs!$D$1084*P1224</f>
        <v>0</v>
      </c>
      <c r="Q1232" s="1788">
        <f t="shared" ref="Q1232:Q1234" ca="1" si="210">SUM(D1232:P1232)</f>
        <v>2664621.7676125867</v>
      </c>
      <c r="R1232" s="2109"/>
      <c r="S1232" s="346"/>
      <c r="T1232" s="341"/>
      <c r="U1232" s="511"/>
      <c r="V1232" s="511"/>
      <c r="W1232" s="511"/>
      <c r="X1232" s="342"/>
      <c r="Y1232" s="342"/>
      <c r="Z1232" s="342"/>
      <c r="AA1232" s="342"/>
    </row>
    <row r="1233" spans="1:27" ht="26.25" x14ac:dyDescent="0.2">
      <c r="A1233" s="341"/>
      <c r="B1233" s="345"/>
      <c r="C1233" s="1791" t="s">
        <v>971</v>
      </c>
      <c r="D1233" s="518">
        <f ca="1">IF(($D$1223-$Q$1227-$Q$1230)&lt;$Q$1232,($D$1223-$Q$1227-$Q$1230)*D1205,D1232)</f>
        <v>0</v>
      </c>
      <c r="E1233" s="518">
        <f t="shared" ref="E1233:P1233" ca="1" si="211">IF(($D$1223-$Q$1227-$Q$1230)&lt;$Q$1232,($D$1223-$Q$1227-$Q$1230)*E1205,E1232)</f>
        <v>0</v>
      </c>
      <c r="F1233" s="518">
        <f t="shared" ca="1" si="211"/>
        <v>0</v>
      </c>
      <c r="G1233" s="518">
        <f t="shared" ca="1" si="211"/>
        <v>0</v>
      </c>
      <c r="H1233" s="518">
        <f t="shared" ca="1" si="211"/>
        <v>0</v>
      </c>
      <c r="I1233" s="518">
        <f t="shared" ca="1" si="211"/>
        <v>0</v>
      </c>
      <c r="J1233" s="518">
        <f t="shared" ca="1" si="211"/>
        <v>0</v>
      </c>
      <c r="K1233" s="518">
        <f t="shared" ca="1" si="211"/>
        <v>0</v>
      </c>
      <c r="L1233" s="518">
        <f t="shared" ca="1" si="211"/>
        <v>0</v>
      </c>
      <c r="M1233" s="518">
        <f t="shared" ca="1" si="211"/>
        <v>0</v>
      </c>
      <c r="N1233" s="518">
        <f t="shared" ca="1" si="211"/>
        <v>0</v>
      </c>
      <c r="O1233" s="518">
        <f t="shared" ca="1" si="211"/>
        <v>0</v>
      </c>
      <c r="P1233" s="518">
        <f t="shared" ca="1" si="211"/>
        <v>0</v>
      </c>
      <c r="Q1233" s="1788">
        <f t="shared" ca="1" si="210"/>
        <v>0</v>
      </c>
      <c r="R1233" s="2109"/>
      <c r="S1233" s="346"/>
      <c r="T1233" s="341"/>
      <c r="U1233" s="511"/>
      <c r="V1233" s="511"/>
      <c r="W1233" s="511"/>
      <c r="X1233" s="342"/>
      <c r="Y1233" s="342"/>
      <c r="Z1233" s="342"/>
      <c r="AA1233" s="342"/>
    </row>
    <row r="1234" spans="1:27" ht="26.25" x14ac:dyDescent="0.2">
      <c r="A1234" s="341"/>
      <c r="B1234" s="345"/>
      <c r="C1234" s="1791" t="s">
        <v>90</v>
      </c>
      <c r="D1234" s="518">
        <f t="shared" ref="D1234:M1234" ca="1" si="212">D1232-D1233</f>
        <v>1817028.2832516895</v>
      </c>
      <c r="E1234" s="519">
        <f t="shared" ca="1" si="212"/>
        <v>552617.85057825735</v>
      </c>
      <c r="F1234" s="518">
        <f t="shared" ca="1" si="212"/>
        <v>294975.63378264033</v>
      </c>
      <c r="G1234" s="518">
        <f t="shared" ca="1" si="212"/>
        <v>0</v>
      </c>
      <c r="H1234" s="518">
        <f t="shared" ca="1" si="212"/>
        <v>0</v>
      </c>
      <c r="I1234" s="518">
        <f t="shared" ca="1" si="212"/>
        <v>0</v>
      </c>
      <c r="J1234" s="518">
        <f t="shared" ca="1" si="212"/>
        <v>0</v>
      </c>
      <c r="K1234" s="518">
        <f t="shared" ca="1" si="212"/>
        <v>0</v>
      </c>
      <c r="L1234" s="518">
        <f t="shared" ref="L1234" ca="1" si="213">L1232-L1233</f>
        <v>0</v>
      </c>
      <c r="M1234" s="518">
        <f t="shared" ca="1" si="212"/>
        <v>0</v>
      </c>
      <c r="N1234" s="518">
        <f t="shared" ref="N1234:P1234" ca="1" si="214">N1232-N1233</f>
        <v>0</v>
      </c>
      <c r="O1234" s="518">
        <f t="shared" ca="1" si="214"/>
        <v>0</v>
      </c>
      <c r="P1234" s="518">
        <f t="shared" ca="1" si="214"/>
        <v>0</v>
      </c>
      <c r="Q1234" s="1788">
        <f t="shared" ca="1" si="210"/>
        <v>2664621.7676125867</v>
      </c>
      <c r="R1234" s="2109"/>
      <c r="S1234" s="346"/>
      <c r="T1234" s="341"/>
      <c r="U1234" s="511"/>
      <c r="V1234" s="511"/>
      <c r="W1234" s="511"/>
      <c r="X1234" s="342"/>
      <c r="Y1234" s="342"/>
      <c r="Z1234" s="342"/>
      <c r="AA1234" s="342"/>
    </row>
    <row r="1235" spans="1:27" ht="26.25" x14ac:dyDescent="0.2">
      <c r="A1235" s="341"/>
      <c r="B1235" s="345"/>
      <c r="C1235" s="1801" t="s">
        <v>976</v>
      </c>
      <c r="D1235" s="530">
        <f ca="1">IF((D1213-Q1214-Q1220-Q1227-Q1230-Q1233)&lt;0,0,(D1213-Q1214-Q1220-Q1227-Q1230-Q1233))</f>
        <v>0</v>
      </c>
      <c r="E1235" s="531"/>
      <c r="F1235" s="530"/>
      <c r="G1235" s="530"/>
      <c r="H1235" s="530"/>
      <c r="I1235" s="530"/>
      <c r="J1235" s="530"/>
      <c r="K1235" s="530"/>
      <c r="L1235" s="530"/>
      <c r="M1235" s="530"/>
      <c r="N1235" s="530"/>
      <c r="O1235" s="530"/>
      <c r="P1235" s="530"/>
      <c r="Q1235" s="1802"/>
      <c r="R1235" s="2109"/>
      <c r="S1235" s="346"/>
      <c r="T1235" s="341"/>
      <c r="U1235" s="511"/>
      <c r="V1235" s="511"/>
      <c r="W1235" s="511"/>
      <c r="X1235" s="342"/>
      <c r="Y1235" s="342"/>
      <c r="Z1235" s="342"/>
      <c r="AA1235" s="342"/>
    </row>
    <row r="1236" spans="1:27" ht="26.25" x14ac:dyDescent="0.2">
      <c r="A1236" s="341"/>
      <c r="B1236" s="345"/>
      <c r="C1236" s="1792" t="s">
        <v>982</v>
      </c>
      <c r="D1236" s="518">
        <f t="shared" ref="D1236:Q1236" ca="1" si="215">$D$1235*D1122</f>
        <v>0</v>
      </c>
      <c r="E1236" s="519">
        <f t="shared" ca="1" si="215"/>
        <v>0</v>
      </c>
      <c r="F1236" s="518">
        <f t="shared" ca="1" si="215"/>
        <v>0</v>
      </c>
      <c r="G1236" s="518">
        <f t="shared" ca="1" si="215"/>
        <v>0</v>
      </c>
      <c r="H1236" s="518">
        <f t="shared" ca="1" si="215"/>
        <v>0</v>
      </c>
      <c r="I1236" s="518">
        <f t="shared" ca="1" si="215"/>
        <v>0</v>
      </c>
      <c r="J1236" s="518">
        <f t="shared" ca="1" si="215"/>
        <v>0</v>
      </c>
      <c r="K1236" s="518">
        <f t="shared" ca="1" si="215"/>
        <v>0</v>
      </c>
      <c r="L1236" s="518">
        <f t="shared" ca="1" si="215"/>
        <v>0</v>
      </c>
      <c r="M1236" s="518">
        <f t="shared" ca="1" si="215"/>
        <v>0</v>
      </c>
      <c r="N1236" s="518">
        <f t="shared" ca="1" si="215"/>
        <v>0</v>
      </c>
      <c r="O1236" s="518">
        <f t="shared" ca="1" si="215"/>
        <v>0</v>
      </c>
      <c r="P1236" s="518">
        <f t="shared" ca="1" si="215"/>
        <v>0</v>
      </c>
      <c r="Q1236" s="1788">
        <f t="shared" ca="1" si="215"/>
        <v>0</v>
      </c>
      <c r="R1236" s="2109"/>
      <c r="S1236" s="346"/>
      <c r="T1236" s="341"/>
      <c r="U1236" s="511"/>
      <c r="V1236" s="511"/>
      <c r="W1236" s="511"/>
      <c r="X1236" s="342"/>
      <c r="Y1236" s="342"/>
      <c r="Z1236" s="342"/>
      <c r="AA1236" s="342"/>
    </row>
    <row r="1237" spans="1:27" ht="26.25" x14ac:dyDescent="0.2">
      <c r="A1237" s="341"/>
      <c r="B1237" s="345"/>
      <c r="C1237" s="1803" t="s">
        <v>1094</v>
      </c>
      <c r="D1237" s="1804">
        <f t="shared" ref="D1237:M1237" ca="1" si="216">SUM(D1215,D1220,D1227,D1230,D1233)</f>
        <v>6659135.9458711231</v>
      </c>
      <c r="E1237" s="1805">
        <f t="shared" ca="1" si="216"/>
        <v>3247542.7435565563</v>
      </c>
      <c r="F1237" s="1804">
        <f t="shared" ca="1" si="216"/>
        <v>1531026.6504654416</v>
      </c>
      <c r="G1237" s="1804">
        <f t="shared" ca="1" si="216"/>
        <v>0</v>
      </c>
      <c r="H1237" s="1804">
        <f t="shared" ca="1" si="216"/>
        <v>0</v>
      </c>
      <c r="I1237" s="1804">
        <f t="shared" ca="1" si="216"/>
        <v>0</v>
      </c>
      <c r="J1237" s="1804">
        <f t="shared" ca="1" si="216"/>
        <v>0</v>
      </c>
      <c r="K1237" s="1804">
        <f t="shared" ca="1" si="216"/>
        <v>0</v>
      </c>
      <c r="L1237" s="1804">
        <f t="shared" ref="L1237" ca="1" si="217">SUM(L1215,L1220,L1227,L1230,L1233)</f>
        <v>0</v>
      </c>
      <c r="M1237" s="1804">
        <f t="shared" ca="1" si="216"/>
        <v>0</v>
      </c>
      <c r="N1237" s="1804">
        <f t="shared" ref="N1237:P1237" ca="1" si="218">SUM(N1215,N1220,N1227,N1230,N1233)</f>
        <v>0</v>
      </c>
      <c r="O1237" s="1804">
        <f t="shared" ca="1" si="218"/>
        <v>0</v>
      </c>
      <c r="P1237" s="1804">
        <f t="shared" ca="1" si="218"/>
        <v>0</v>
      </c>
      <c r="Q1237" s="1806">
        <f ca="1">SUM(D1237:M1237)</f>
        <v>11437705.339893121</v>
      </c>
      <c r="R1237" s="2109"/>
      <c r="S1237" s="346"/>
      <c r="T1237" s="341"/>
      <c r="U1237" s="511"/>
      <c r="V1237" s="511"/>
      <c r="W1237" s="511"/>
      <c r="X1237" s="342"/>
      <c r="Y1237" s="342"/>
      <c r="Z1237" s="342"/>
      <c r="AA1237" s="342"/>
    </row>
    <row r="1238" spans="1:27" ht="26.25" x14ac:dyDescent="0.2">
      <c r="A1238" s="341"/>
      <c r="B1238" s="345"/>
      <c r="C1238" s="437"/>
      <c r="D1238" s="2109"/>
      <c r="E1238" s="437"/>
      <c r="F1238" s="2109"/>
      <c r="G1238" s="2109"/>
      <c r="H1238" s="2109"/>
      <c r="I1238" s="2109"/>
      <c r="J1238" s="2109"/>
      <c r="K1238" s="2109"/>
      <c r="L1238" s="2109"/>
      <c r="M1238" s="2109"/>
      <c r="N1238" s="2109"/>
      <c r="O1238" s="2109"/>
      <c r="P1238" s="2109"/>
      <c r="Q1238" s="2109"/>
      <c r="R1238" s="2109"/>
      <c r="S1238" s="346"/>
      <c r="T1238" s="341"/>
      <c r="U1238" s="511"/>
      <c r="V1238" s="511"/>
      <c r="W1238" s="511"/>
      <c r="X1238" s="342"/>
      <c r="Y1238" s="342"/>
      <c r="Z1238" s="342"/>
      <c r="AA1238" s="342"/>
    </row>
    <row r="1239" spans="1:27" ht="26.25" x14ac:dyDescent="0.2">
      <c r="A1239" s="341"/>
      <c r="B1239" s="1824"/>
      <c r="C1239" s="438" t="s">
        <v>977</v>
      </c>
      <c r="D1239" s="438"/>
      <c r="E1239" s="438"/>
      <c r="F1239" s="438"/>
      <c r="G1239" s="2109"/>
      <c r="H1239" s="2109"/>
      <c r="I1239" s="2109"/>
      <c r="J1239" s="2109"/>
      <c r="K1239" s="2109"/>
      <c r="L1239" s="2109"/>
      <c r="M1239" s="2109"/>
      <c r="N1239" s="2109"/>
      <c r="O1239" s="2109"/>
      <c r="P1239" s="2109"/>
      <c r="Q1239" s="2109"/>
      <c r="R1239" s="2109"/>
      <c r="S1239" s="346"/>
      <c r="T1239" s="341"/>
      <c r="U1239" s="511"/>
      <c r="V1239" s="511"/>
      <c r="W1239" s="511"/>
      <c r="X1239" s="342"/>
      <c r="Y1239" s="342"/>
      <c r="Z1239" s="342"/>
      <c r="AA1239" s="342"/>
    </row>
    <row r="1240" spans="1:27" ht="26.25" x14ac:dyDescent="0.2">
      <c r="A1240" s="341"/>
      <c r="B1240" s="345"/>
      <c r="C1240" s="437"/>
      <c r="D1240" s="2109"/>
      <c r="E1240" s="437"/>
      <c r="F1240" s="2109"/>
      <c r="G1240" s="2109"/>
      <c r="H1240" s="2109"/>
      <c r="I1240" s="2109"/>
      <c r="J1240" s="2109"/>
      <c r="K1240" s="2109"/>
      <c r="L1240" s="2109"/>
      <c r="M1240" s="2109"/>
      <c r="N1240" s="2109"/>
      <c r="O1240" s="2109"/>
      <c r="P1240" s="2109"/>
      <c r="Q1240" s="2109"/>
      <c r="R1240" s="2109"/>
      <c r="S1240" s="346"/>
      <c r="T1240" s="341"/>
      <c r="U1240" s="511"/>
      <c r="V1240" s="511"/>
      <c r="W1240" s="511"/>
      <c r="X1240" s="342"/>
      <c r="Y1240" s="342"/>
      <c r="Z1240" s="342"/>
      <c r="AA1240" s="342"/>
    </row>
    <row r="1241" spans="1:27" ht="26.25" x14ac:dyDescent="0.2">
      <c r="A1241" s="341"/>
      <c r="B1241" s="345"/>
      <c r="C1241" s="440" t="s">
        <v>1405</v>
      </c>
      <c r="D1241" s="1776"/>
      <c r="E1241" s="437"/>
      <c r="F1241" s="2109"/>
      <c r="G1241" s="2109"/>
      <c r="H1241" s="2109"/>
      <c r="I1241" s="2109"/>
      <c r="J1241" s="2109"/>
      <c r="K1241" s="2109"/>
      <c r="L1241" s="2109"/>
      <c r="M1241" s="2109"/>
      <c r="N1241" s="2109"/>
      <c r="O1241" s="2109"/>
      <c r="P1241" s="2109"/>
      <c r="Q1241" s="2109"/>
      <c r="R1241" s="2109"/>
      <c r="S1241" s="346"/>
      <c r="T1241" s="341"/>
      <c r="U1241" s="511"/>
      <c r="V1241" s="511"/>
      <c r="W1241" s="511"/>
      <c r="X1241" s="342"/>
      <c r="Y1241" s="342"/>
      <c r="Z1241" s="342"/>
      <c r="AA1241" s="342"/>
    </row>
    <row r="1242" spans="1:27" ht="26.25" x14ac:dyDescent="0.2">
      <c r="A1242" s="341"/>
      <c r="B1242" s="345"/>
      <c r="C1242" s="525" t="s">
        <v>160</v>
      </c>
      <c r="D1242" s="526"/>
      <c r="E1242" s="527"/>
      <c r="F1242" s="526"/>
      <c r="G1242" s="526"/>
      <c r="H1242" s="526"/>
      <c r="I1242" s="526"/>
      <c r="J1242" s="526"/>
      <c r="K1242" s="526"/>
      <c r="L1242" s="526"/>
      <c r="M1242" s="526"/>
      <c r="N1242" s="526"/>
      <c r="O1242" s="526"/>
      <c r="P1242" s="526"/>
      <c r="Q1242" s="528"/>
      <c r="R1242" s="2109"/>
      <c r="S1242" s="346"/>
      <c r="T1242" s="341"/>
      <c r="U1242" s="511"/>
      <c r="V1242" s="511"/>
      <c r="W1242" s="511"/>
      <c r="X1242" s="342"/>
      <c r="Y1242" s="342"/>
      <c r="Z1242" s="342"/>
      <c r="AA1242" s="342"/>
    </row>
    <row r="1243" spans="1:27" ht="26.25" x14ac:dyDescent="0.2">
      <c r="A1243" s="341"/>
      <c r="B1243" s="345"/>
      <c r="C1243" s="517" t="str">
        <f t="shared" ref="C1243:O1243" si="219">C1106</f>
        <v>Crude</v>
      </c>
      <c r="D1243" s="518">
        <f t="shared" ca="1" si="219"/>
        <v>215180180.95489407</v>
      </c>
      <c r="E1243" s="519">
        <f t="shared" ca="1" si="219"/>
        <v>232380340.50842014</v>
      </c>
      <c r="F1243" s="518">
        <f t="shared" ca="1" si="219"/>
        <v>111050855.87309842</v>
      </c>
      <c r="G1243" s="518">
        <f t="shared" ca="1" si="219"/>
        <v>0</v>
      </c>
      <c r="H1243" s="518">
        <f t="shared" ca="1" si="219"/>
        <v>0</v>
      </c>
      <c r="I1243" s="518">
        <f t="shared" ca="1" si="219"/>
        <v>0</v>
      </c>
      <c r="J1243" s="518">
        <f t="shared" ca="1" si="219"/>
        <v>0</v>
      </c>
      <c r="K1243" s="518">
        <f t="shared" ca="1" si="219"/>
        <v>0</v>
      </c>
      <c r="L1243" s="518">
        <f t="shared" ca="1" si="219"/>
        <v>0</v>
      </c>
      <c r="M1243" s="518">
        <f t="shared" ca="1" si="219"/>
        <v>0</v>
      </c>
      <c r="N1243" s="518">
        <f t="shared" ca="1" si="219"/>
        <v>0</v>
      </c>
      <c r="O1243" s="518">
        <f t="shared" ca="1" si="219"/>
        <v>0</v>
      </c>
      <c r="P1243" s="518">
        <f t="shared" ref="P1243" ca="1" si="220">P1106</f>
        <v>0</v>
      </c>
      <c r="Q1243" s="520">
        <f ca="1">SUM(D1243:P1243)</f>
        <v>558611377.33641255</v>
      </c>
      <c r="R1243" s="2109"/>
      <c r="S1243" s="346"/>
      <c r="T1243" s="341"/>
      <c r="U1243" s="511"/>
      <c r="V1243" s="511"/>
      <c r="W1243" s="511"/>
      <c r="X1243" s="342"/>
      <c r="Y1243" s="342"/>
      <c r="Z1243" s="342"/>
      <c r="AA1243" s="342"/>
    </row>
    <row r="1244" spans="1:27" ht="26.25" x14ac:dyDescent="0.2">
      <c r="A1244" s="341"/>
      <c r="B1244" s="345"/>
      <c r="C1244" s="529" t="s">
        <v>201</v>
      </c>
      <c r="D1244" s="530"/>
      <c r="E1244" s="531"/>
      <c r="F1244" s="530"/>
      <c r="G1244" s="530"/>
      <c r="H1244" s="530"/>
      <c r="I1244" s="530"/>
      <c r="J1244" s="530"/>
      <c r="K1244" s="530"/>
      <c r="L1244" s="530"/>
      <c r="M1244" s="530"/>
      <c r="N1244" s="530"/>
      <c r="O1244" s="530"/>
      <c r="P1244" s="530"/>
      <c r="Q1244" s="532"/>
      <c r="R1244" s="2109"/>
      <c r="S1244" s="346"/>
      <c r="T1244" s="341"/>
      <c r="U1244" s="511"/>
      <c r="V1244" s="511"/>
      <c r="W1244" s="511"/>
      <c r="X1244" s="342"/>
      <c r="Y1244" s="342"/>
      <c r="Z1244" s="342"/>
      <c r="AA1244" s="342"/>
    </row>
    <row r="1245" spans="1:27" ht="26.25" x14ac:dyDescent="0.2">
      <c r="A1245" s="341"/>
      <c r="B1245" s="345"/>
      <c r="C1245" s="517" t="s">
        <v>392</v>
      </c>
      <c r="D1245" s="518">
        <f t="shared" ref="D1245:O1245" ca="1" si="221">D1108</f>
        <v>606749.01688042691</v>
      </c>
      <c r="E1245" s="519">
        <f t="shared" ca="1" si="221"/>
        <v>317306.6027964176</v>
      </c>
      <c r="F1245" s="518">
        <f t="shared" ca="1" si="221"/>
        <v>144280.28818769535</v>
      </c>
      <c r="G1245" s="518">
        <f t="shared" ca="1" si="221"/>
        <v>0</v>
      </c>
      <c r="H1245" s="518">
        <f t="shared" ca="1" si="221"/>
        <v>0</v>
      </c>
      <c r="I1245" s="518">
        <f t="shared" ca="1" si="221"/>
        <v>0</v>
      </c>
      <c r="J1245" s="518">
        <f t="shared" ca="1" si="221"/>
        <v>0</v>
      </c>
      <c r="K1245" s="518">
        <v>0</v>
      </c>
      <c r="L1245" s="518">
        <f t="shared" ca="1" si="221"/>
        <v>0</v>
      </c>
      <c r="M1245" s="518">
        <f t="shared" ca="1" si="221"/>
        <v>0</v>
      </c>
      <c r="N1245" s="518">
        <f t="shared" ca="1" si="221"/>
        <v>0</v>
      </c>
      <c r="O1245" s="518">
        <f t="shared" ca="1" si="221"/>
        <v>0</v>
      </c>
      <c r="P1245" s="518">
        <f t="shared" ref="P1245" ca="1" si="222">P1108</f>
        <v>0</v>
      </c>
      <c r="Q1245" s="520">
        <f ca="1">SUM(D1245:P1245)</f>
        <v>1068335.9078645399</v>
      </c>
      <c r="R1245" s="2109"/>
      <c r="S1245" s="346"/>
      <c r="T1245" s="341"/>
      <c r="U1245" s="511"/>
      <c r="V1245" s="511"/>
      <c r="W1245" s="511"/>
      <c r="X1245" s="342"/>
      <c r="Y1245" s="342"/>
      <c r="Z1245" s="342"/>
      <c r="AA1245" s="342"/>
    </row>
    <row r="1246" spans="1:27" ht="26.25" x14ac:dyDescent="0.2">
      <c r="A1246" s="341"/>
      <c r="B1246" s="345"/>
      <c r="C1246" s="517" t="s">
        <v>1023</v>
      </c>
      <c r="D1246" s="518"/>
      <c r="E1246" s="519"/>
      <c r="F1246" s="518"/>
      <c r="G1246" s="518"/>
      <c r="H1246" s="518"/>
      <c r="I1246" s="518"/>
      <c r="J1246" s="518"/>
      <c r="K1246" s="518"/>
      <c r="L1246" s="518"/>
      <c r="M1246" s="518"/>
      <c r="N1246" s="518"/>
      <c r="O1246" s="518"/>
      <c r="P1246" s="518"/>
      <c r="Q1246" s="520"/>
      <c r="R1246" s="2109"/>
      <c r="S1246" s="346"/>
      <c r="T1246" s="341"/>
      <c r="U1246" s="511"/>
      <c r="V1246" s="511"/>
      <c r="W1246" s="511"/>
      <c r="X1246" s="342"/>
      <c r="Y1246" s="342"/>
      <c r="Z1246" s="342"/>
      <c r="AA1246" s="342"/>
    </row>
    <row r="1247" spans="1:27" ht="26.25" x14ac:dyDescent="0.2">
      <c r="A1247" s="341"/>
      <c r="B1247" s="345"/>
      <c r="C1247" s="517" t="s">
        <v>971</v>
      </c>
      <c r="D1247" s="518">
        <f t="shared" ref="D1247:M1247" ca="1" si="223">D1215</f>
        <v>6659135.9458711231</v>
      </c>
      <c r="E1247" s="519">
        <f t="shared" ca="1" si="223"/>
        <v>3247542.7435565563</v>
      </c>
      <c r="F1247" s="518">
        <f t="shared" ca="1" si="223"/>
        <v>1531026.6504654416</v>
      </c>
      <c r="G1247" s="518">
        <f t="shared" ca="1" si="223"/>
        <v>0</v>
      </c>
      <c r="H1247" s="518">
        <f t="shared" ca="1" si="223"/>
        <v>0</v>
      </c>
      <c r="I1247" s="518">
        <f t="shared" ca="1" si="223"/>
        <v>0</v>
      </c>
      <c r="J1247" s="518">
        <f t="shared" ca="1" si="223"/>
        <v>0</v>
      </c>
      <c r="K1247" s="518">
        <v>0</v>
      </c>
      <c r="L1247" s="518">
        <f t="shared" ref="L1247" ca="1" si="224">L1215</f>
        <v>0</v>
      </c>
      <c r="M1247" s="518">
        <f t="shared" ca="1" si="223"/>
        <v>0</v>
      </c>
      <c r="N1247" s="518">
        <f t="shared" ref="N1247:P1247" ca="1" si="225">N1215</f>
        <v>0</v>
      </c>
      <c r="O1247" s="518">
        <f t="shared" ca="1" si="225"/>
        <v>0</v>
      </c>
      <c r="P1247" s="518">
        <f t="shared" ca="1" si="225"/>
        <v>0</v>
      </c>
      <c r="Q1247" s="520">
        <f ca="1">SUM(D1247:P1247)</f>
        <v>11437705.339893121</v>
      </c>
      <c r="R1247" s="2109"/>
      <c r="S1247" s="346"/>
      <c r="T1247" s="341"/>
      <c r="U1247" s="511"/>
      <c r="V1247" s="511"/>
      <c r="W1247" s="511"/>
      <c r="X1247" s="342"/>
      <c r="Y1247" s="342"/>
      <c r="Z1247" s="342"/>
      <c r="AA1247" s="342"/>
    </row>
    <row r="1248" spans="1:27" ht="26.25" x14ac:dyDescent="0.2">
      <c r="A1248" s="341"/>
      <c r="B1248" s="345"/>
      <c r="C1248" s="517" t="s">
        <v>90</v>
      </c>
      <c r="D1248" s="518">
        <f t="shared" ref="D1248:M1248" ca="1" si="226">D1216</f>
        <v>5682760.8995388923</v>
      </c>
      <c r="E1248" s="519">
        <f t="shared" ca="1" si="226"/>
        <v>2771381.9139113901</v>
      </c>
      <c r="F1248" s="518">
        <f t="shared" ca="1" si="226"/>
        <v>1306544.6412475735</v>
      </c>
      <c r="G1248" s="518">
        <f t="shared" ca="1" si="226"/>
        <v>0</v>
      </c>
      <c r="H1248" s="518">
        <f t="shared" ca="1" si="226"/>
        <v>0</v>
      </c>
      <c r="I1248" s="518">
        <f t="shared" ca="1" si="226"/>
        <v>0</v>
      </c>
      <c r="J1248" s="518">
        <f t="shared" ca="1" si="226"/>
        <v>0</v>
      </c>
      <c r="K1248" s="518">
        <v>0</v>
      </c>
      <c r="L1248" s="518">
        <f t="shared" ref="L1248" ca="1" si="227">L1216</f>
        <v>0</v>
      </c>
      <c r="M1248" s="518">
        <f t="shared" ca="1" si="226"/>
        <v>0</v>
      </c>
      <c r="N1248" s="518">
        <f t="shared" ref="N1248:P1248" ca="1" si="228">N1216</f>
        <v>0</v>
      </c>
      <c r="O1248" s="518">
        <f t="shared" ca="1" si="228"/>
        <v>0</v>
      </c>
      <c r="P1248" s="518">
        <f t="shared" ca="1" si="228"/>
        <v>0</v>
      </c>
      <c r="Q1248" s="520">
        <f ca="1">SUM(D1248:P1248)</f>
        <v>9760687.4546978567</v>
      </c>
      <c r="R1248" s="2109"/>
      <c r="S1248" s="346"/>
      <c r="T1248" s="341"/>
      <c r="U1248" s="511"/>
      <c r="V1248" s="511"/>
      <c r="W1248" s="511"/>
      <c r="X1248" s="342"/>
      <c r="Y1248" s="342"/>
      <c r="Z1248" s="342"/>
      <c r="AA1248" s="342"/>
    </row>
    <row r="1249" spans="1:27" ht="26.25" x14ac:dyDescent="0.2">
      <c r="A1249" s="341"/>
      <c r="B1249" s="345"/>
      <c r="C1249" s="517" t="s">
        <v>485</v>
      </c>
      <c r="D1249" s="518"/>
      <c r="E1249" s="519"/>
      <c r="F1249" s="518"/>
      <c r="G1249" s="518"/>
      <c r="H1249" s="518"/>
      <c r="I1249" s="518"/>
      <c r="J1249" s="518"/>
      <c r="K1249" s="518"/>
      <c r="L1249" s="518"/>
      <c r="M1249" s="518"/>
      <c r="N1249" s="518"/>
      <c r="O1249" s="518"/>
      <c r="P1249" s="518"/>
      <c r="Q1249" s="520"/>
      <c r="R1249" s="2109"/>
      <c r="S1249" s="346"/>
      <c r="T1249" s="341"/>
      <c r="U1249" s="511"/>
      <c r="V1249" s="511"/>
      <c r="W1249" s="511"/>
      <c r="X1249" s="342"/>
      <c r="Y1249" s="342"/>
      <c r="Z1249" s="342"/>
      <c r="AA1249" s="342"/>
    </row>
    <row r="1250" spans="1:27" ht="26.25" x14ac:dyDescent="0.2">
      <c r="A1250" s="341"/>
      <c r="B1250" s="345"/>
      <c r="C1250" s="517" t="s">
        <v>971</v>
      </c>
      <c r="D1250" s="518">
        <f t="shared" ref="D1250:M1250" ca="1" si="229">D1220</f>
        <v>0</v>
      </c>
      <c r="E1250" s="519">
        <f t="shared" ca="1" si="229"/>
        <v>0</v>
      </c>
      <c r="F1250" s="518">
        <f t="shared" ca="1" si="229"/>
        <v>0</v>
      </c>
      <c r="G1250" s="518">
        <f t="shared" ca="1" si="229"/>
        <v>0</v>
      </c>
      <c r="H1250" s="518">
        <f t="shared" ca="1" si="229"/>
        <v>0</v>
      </c>
      <c r="I1250" s="518">
        <f t="shared" ca="1" si="229"/>
        <v>0</v>
      </c>
      <c r="J1250" s="518">
        <f t="shared" ca="1" si="229"/>
        <v>0</v>
      </c>
      <c r="K1250" s="518">
        <v>0</v>
      </c>
      <c r="L1250" s="518">
        <f t="shared" ref="L1250" ca="1" si="230">L1220</f>
        <v>0</v>
      </c>
      <c r="M1250" s="518">
        <f t="shared" ca="1" si="229"/>
        <v>0</v>
      </c>
      <c r="N1250" s="518">
        <f t="shared" ref="N1250:P1250" ca="1" si="231">N1220</f>
        <v>0</v>
      </c>
      <c r="O1250" s="518">
        <f t="shared" ca="1" si="231"/>
        <v>0</v>
      </c>
      <c r="P1250" s="518">
        <f t="shared" ca="1" si="231"/>
        <v>0</v>
      </c>
      <c r="Q1250" s="520">
        <f ca="1">SUM(D1250:P1250)</f>
        <v>0</v>
      </c>
      <c r="R1250" s="2109"/>
      <c r="S1250" s="346"/>
      <c r="T1250" s="341"/>
      <c r="U1250" s="511"/>
      <c r="V1250" s="511"/>
      <c r="W1250" s="511"/>
      <c r="X1250" s="342"/>
      <c r="Y1250" s="342"/>
      <c r="Z1250" s="342"/>
      <c r="AA1250" s="342"/>
    </row>
    <row r="1251" spans="1:27" ht="26.25" x14ac:dyDescent="0.2">
      <c r="A1251" s="341"/>
      <c r="B1251" s="345"/>
      <c r="C1251" s="517" t="s">
        <v>90</v>
      </c>
      <c r="D1251" s="518">
        <f t="shared" ref="D1251:M1251" ca="1" si="232">D1221</f>
        <v>1452168.0814283721</v>
      </c>
      <c r="E1251" s="519">
        <f t="shared" ca="1" si="232"/>
        <v>683903.92202951806</v>
      </c>
      <c r="F1251" s="518">
        <f t="shared" ca="1" si="232"/>
        <v>310707.68577364774</v>
      </c>
      <c r="G1251" s="518">
        <f t="shared" ca="1" si="232"/>
        <v>0</v>
      </c>
      <c r="H1251" s="518">
        <f t="shared" ca="1" si="232"/>
        <v>0</v>
      </c>
      <c r="I1251" s="518">
        <f t="shared" ca="1" si="232"/>
        <v>0</v>
      </c>
      <c r="J1251" s="518">
        <f t="shared" ca="1" si="232"/>
        <v>0</v>
      </c>
      <c r="K1251" s="518">
        <v>0</v>
      </c>
      <c r="L1251" s="518">
        <f t="shared" ref="L1251" ca="1" si="233">L1221</f>
        <v>0</v>
      </c>
      <c r="M1251" s="518">
        <f t="shared" ca="1" si="232"/>
        <v>0</v>
      </c>
      <c r="N1251" s="518">
        <f t="shared" ref="N1251:P1251" ca="1" si="234">N1221</f>
        <v>0</v>
      </c>
      <c r="O1251" s="518">
        <f t="shared" ca="1" si="234"/>
        <v>0</v>
      </c>
      <c r="P1251" s="518">
        <f t="shared" ca="1" si="234"/>
        <v>0</v>
      </c>
      <c r="Q1251" s="520">
        <f ca="1">SUM(D1251:P1251)</f>
        <v>2446779.6892315377</v>
      </c>
      <c r="R1251" s="2109"/>
      <c r="S1251" s="346"/>
      <c r="T1251" s="341"/>
      <c r="U1251" s="511"/>
      <c r="V1251" s="511"/>
      <c r="W1251" s="511"/>
      <c r="X1251" s="342"/>
      <c r="Y1251" s="342"/>
      <c r="Z1251" s="342"/>
      <c r="AA1251" s="342"/>
    </row>
    <row r="1252" spans="1:27" ht="26.25" x14ac:dyDescent="0.2">
      <c r="A1252" s="341"/>
      <c r="B1252" s="345"/>
      <c r="C1252" s="517" t="s">
        <v>392</v>
      </c>
      <c r="D1252" s="518">
        <f t="shared" ref="D1252:M1252" ca="1" si="235">D1222</f>
        <v>7237.6786270043103</v>
      </c>
      <c r="E1252" s="519">
        <f t="shared" ca="1" si="235"/>
        <v>3408.6114842358329</v>
      </c>
      <c r="F1252" s="518">
        <f t="shared" ca="1" si="235"/>
        <v>1548.5827056313958</v>
      </c>
      <c r="G1252" s="518">
        <f t="shared" ca="1" si="235"/>
        <v>0</v>
      </c>
      <c r="H1252" s="518">
        <f t="shared" ca="1" si="235"/>
        <v>0</v>
      </c>
      <c r="I1252" s="518">
        <f t="shared" ca="1" si="235"/>
        <v>0</v>
      </c>
      <c r="J1252" s="518">
        <f t="shared" ca="1" si="235"/>
        <v>0</v>
      </c>
      <c r="K1252" s="518">
        <v>0</v>
      </c>
      <c r="L1252" s="518">
        <f t="shared" ref="L1252" ca="1" si="236">L1222</f>
        <v>0</v>
      </c>
      <c r="M1252" s="518">
        <f t="shared" ca="1" si="235"/>
        <v>0</v>
      </c>
      <c r="N1252" s="518">
        <f t="shared" ref="N1252:P1252" ca="1" si="237">N1222</f>
        <v>0</v>
      </c>
      <c r="O1252" s="518">
        <f t="shared" ca="1" si="237"/>
        <v>0</v>
      </c>
      <c r="P1252" s="518">
        <f t="shared" ca="1" si="237"/>
        <v>0</v>
      </c>
      <c r="Q1252" s="520">
        <f ca="1">SUM(D1252:P1252)</f>
        <v>12194.872816871539</v>
      </c>
      <c r="R1252" s="2109"/>
      <c r="S1252" s="346"/>
      <c r="T1252" s="341"/>
      <c r="U1252" s="511"/>
      <c r="V1252" s="511"/>
      <c r="W1252" s="511"/>
      <c r="X1252" s="342"/>
      <c r="Y1252" s="342"/>
      <c r="Z1252" s="342"/>
      <c r="AA1252" s="342"/>
    </row>
    <row r="1253" spans="1:27" ht="26.25" x14ac:dyDescent="0.2">
      <c r="A1253" s="341"/>
      <c r="B1253" s="345"/>
      <c r="C1253" s="517" t="s">
        <v>1027</v>
      </c>
      <c r="D1253" s="518"/>
      <c r="E1253" s="519"/>
      <c r="F1253" s="518"/>
      <c r="G1253" s="518"/>
      <c r="H1253" s="518"/>
      <c r="I1253" s="518"/>
      <c r="J1253" s="518"/>
      <c r="K1253" s="518"/>
      <c r="L1253" s="518"/>
      <c r="M1253" s="518"/>
      <c r="N1253" s="518"/>
      <c r="O1253" s="518"/>
      <c r="P1253" s="518"/>
      <c r="Q1253" s="520"/>
      <c r="R1253" s="2109"/>
      <c r="S1253" s="346"/>
      <c r="T1253" s="341"/>
      <c r="U1253" s="511"/>
      <c r="V1253" s="511"/>
      <c r="W1253" s="511"/>
      <c r="X1253" s="342"/>
      <c r="Y1253" s="342"/>
      <c r="Z1253" s="342"/>
      <c r="AA1253" s="342"/>
    </row>
    <row r="1254" spans="1:27" ht="26.25" x14ac:dyDescent="0.2">
      <c r="A1254" s="341"/>
      <c r="B1254" s="345"/>
      <c r="C1254" s="517" t="s">
        <v>1036</v>
      </c>
      <c r="D1254" s="518">
        <f t="shared" ref="D1254:M1254" ca="1" si="238">D1227</f>
        <v>0</v>
      </c>
      <c r="E1254" s="519">
        <f t="shared" ca="1" si="238"/>
        <v>0</v>
      </c>
      <c r="F1254" s="518">
        <f t="shared" ca="1" si="238"/>
        <v>0</v>
      </c>
      <c r="G1254" s="518">
        <f t="shared" ca="1" si="238"/>
        <v>0</v>
      </c>
      <c r="H1254" s="518">
        <f t="shared" ca="1" si="238"/>
        <v>0</v>
      </c>
      <c r="I1254" s="518">
        <f t="shared" ca="1" si="238"/>
        <v>0</v>
      </c>
      <c r="J1254" s="518">
        <f t="shared" ca="1" si="238"/>
        <v>0</v>
      </c>
      <c r="K1254" s="518">
        <v>0</v>
      </c>
      <c r="L1254" s="518">
        <f t="shared" ref="L1254" ca="1" si="239">L1227</f>
        <v>0</v>
      </c>
      <c r="M1254" s="518">
        <f t="shared" ca="1" si="238"/>
        <v>0</v>
      </c>
      <c r="N1254" s="518">
        <f t="shared" ref="N1254:P1254" ca="1" si="240">N1227</f>
        <v>0</v>
      </c>
      <c r="O1254" s="518">
        <f t="shared" ca="1" si="240"/>
        <v>0</v>
      </c>
      <c r="P1254" s="518">
        <f t="shared" ca="1" si="240"/>
        <v>0</v>
      </c>
      <c r="Q1254" s="520">
        <f t="shared" ref="Q1254:Q1262" ca="1" si="241">SUM(D1254:P1254)</f>
        <v>0</v>
      </c>
      <c r="R1254" s="2109"/>
      <c r="S1254" s="346"/>
      <c r="T1254" s="341"/>
      <c r="U1254" s="511"/>
      <c r="V1254" s="511"/>
      <c r="W1254" s="511"/>
      <c r="X1254" s="342"/>
      <c r="Y1254" s="342"/>
      <c r="Z1254" s="342"/>
      <c r="AA1254" s="342"/>
    </row>
    <row r="1255" spans="1:27" ht="26.25" x14ac:dyDescent="0.2">
      <c r="A1255" s="341"/>
      <c r="B1255" s="345"/>
      <c r="C1255" s="517" t="s">
        <v>1037</v>
      </c>
      <c r="D1255" s="518">
        <f t="shared" ref="D1255:M1255" ca="1" si="242">D1228</f>
        <v>0</v>
      </c>
      <c r="E1255" s="519">
        <f t="shared" ca="1" si="242"/>
        <v>0</v>
      </c>
      <c r="F1255" s="518">
        <f t="shared" ca="1" si="242"/>
        <v>0</v>
      </c>
      <c r="G1255" s="518">
        <f t="shared" ca="1" si="242"/>
        <v>0</v>
      </c>
      <c r="H1255" s="518">
        <f t="shared" ca="1" si="242"/>
        <v>0</v>
      </c>
      <c r="I1255" s="518">
        <f t="shared" ca="1" si="242"/>
        <v>0</v>
      </c>
      <c r="J1255" s="518">
        <f t="shared" ca="1" si="242"/>
        <v>0</v>
      </c>
      <c r="K1255" s="518">
        <v>0</v>
      </c>
      <c r="L1255" s="518">
        <f t="shared" ref="L1255" ca="1" si="243">L1228</f>
        <v>0</v>
      </c>
      <c r="M1255" s="518">
        <f t="shared" ca="1" si="242"/>
        <v>0</v>
      </c>
      <c r="N1255" s="518">
        <f t="shared" ref="N1255:P1255" ca="1" si="244">N1228</f>
        <v>0</v>
      </c>
      <c r="O1255" s="518">
        <f t="shared" ca="1" si="244"/>
        <v>0</v>
      </c>
      <c r="P1255" s="518">
        <f t="shared" ca="1" si="244"/>
        <v>0</v>
      </c>
      <c r="Q1255" s="520">
        <f t="shared" ca="1" si="241"/>
        <v>0</v>
      </c>
      <c r="R1255" s="2109"/>
      <c r="S1255" s="346"/>
      <c r="T1255" s="341"/>
      <c r="U1255" s="511"/>
      <c r="V1255" s="511"/>
      <c r="W1255" s="511"/>
      <c r="X1255" s="342"/>
      <c r="Y1255" s="342"/>
      <c r="Z1255" s="342"/>
      <c r="AA1255" s="342"/>
    </row>
    <row r="1256" spans="1:27" ht="26.25" x14ac:dyDescent="0.2">
      <c r="A1256" s="341"/>
      <c r="B1256" s="345"/>
      <c r="C1256" s="517" t="s">
        <v>1034</v>
      </c>
      <c r="D1256" s="518">
        <f t="shared" ref="D1256:M1256" ca="1" si="245">D1225</f>
        <v>23206.629415523003</v>
      </c>
      <c r="E1256" s="519">
        <f t="shared" ca="1" si="245"/>
        <v>7057.8965583421705</v>
      </c>
      <c r="F1256" s="518">
        <f t="shared" ca="1" si="245"/>
        <v>3767.3547973356217</v>
      </c>
      <c r="G1256" s="518">
        <f t="shared" ca="1" si="245"/>
        <v>0</v>
      </c>
      <c r="H1256" s="518">
        <f t="shared" ca="1" si="245"/>
        <v>0</v>
      </c>
      <c r="I1256" s="518">
        <f t="shared" ca="1" si="245"/>
        <v>0</v>
      </c>
      <c r="J1256" s="518">
        <f t="shared" ca="1" si="245"/>
        <v>0</v>
      </c>
      <c r="K1256" s="518">
        <v>0</v>
      </c>
      <c r="L1256" s="518">
        <f t="shared" ref="L1256" ca="1" si="246">L1225</f>
        <v>0</v>
      </c>
      <c r="M1256" s="518">
        <f t="shared" ca="1" si="245"/>
        <v>0</v>
      </c>
      <c r="N1256" s="518">
        <f t="shared" ref="N1256:P1256" ca="1" si="247">N1225</f>
        <v>0</v>
      </c>
      <c r="O1256" s="518">
        <f t="shared" ca="1" si="247"/>
        <v>0</v>
      </c>
      <c r="P1256" s="518">
        <f t="shared" ca="1" si="247"/>
        <v>0</v>
      </c>
      <c r="Q1256" s="520">
        <f t="shared" ca="1" si="241"/>
        <v>34031.880771200798</v>
      </c>
      <c r="R1256" s="2109"/>
      <c r="S1256" s="346"/>
      <c r="T1256" s="341"/>
      <c r="U1256" s="511"/>
      <c r="V1256" s="511"/>
      <c r="W1256" s="511"/>
      <c r="X1256" s="342"/>
      <c r="Y1256" s="342"/>
      <c r="Z1256" s="342"/>
      <c r="AA1256" s="342"/>
    </row>
    <row r="1257" spans="1:27" ht="26.25" x14ac:dyDescent="0.2">
      <c r="A1257" s="341"/>
      <c r="B1257" s="345"/>
      <c r="C1257" s="517" t="s">
        <v>1028</v>
      </c>
      <c r="D1257" s="518">
        <f t="shared" ref="D1257:M1257" ca="1" si="248">+D1230</f>
        <v>0</v>
      </c>
      <c r="E1257" s="519">
        <f t="shared" ca="1" si="248"/>
        <v>0</v>
      </c>
      <c r="F1257" s="518">
        <f t="shared" ca="1" si="248"/>
        <v>0</v>
      </c>
      <c r="G1257" s="518">
        <f t="shared" ca="1" si="248"/>
        <v>0</v>
      </c>
      <c r="H1257" s="518">
        <f t="shared" ca="1" si="248"/>
        <v>0</v>
      </c>
      <c r="I1257" s="518">
        <f t="shared" ca="1" si="248"/>
        <v>0</v>
      </c>
      <c r="J1257" s="518">
        <f t="shared" ca="1" si="248"/>
        <v>0</v>
      </c>
      <c r="K1257" s="518">
        <v>0</v>
      </c>
      <c r="L1257" s="518">
        <f t="shared" ref="L1257" ca="1" si="249">+L1230</f>
        <v>0</v>
      </c>
      <c r="M1257" s="518">
        <f t="shared" ca="1" si="248"/>
        <v>0</v>
      </c>
      <c r="N1257" s="518">
        <f t="shared" ref="N1257:P1257" ca="1" si="250">+N1230</f>
        <v>0</v>
      </c>
      <c r="O1257" s="518">
        <f t="shared" ca="1" si="250"/>
        <v>0</v>
      </c>
      <c r="P1257" s="518">
        <f t="shared" ca="1" si="250"/>
        <v>0</v>
      </c>
      <c r="Q1257" s="520">
        <f t="shared" ca="1" si="241"/>
        <v>0</v>
      </c>
      <c r="R1257" s="2109"/>
      <c r="S1257" s="346"/>
      <c r="T1257" s="341"/>
      <c r="U1257" s="511"/>
      <c r="V1257" s="511"/>
      <c r="W1257" s="511"/>
      <c r="X1257" s="342"/>
      <c r="Y1257" s="342"/>
      <c r="Z1257" s="342"/>
      <c r="AA1257" s="342"/>
    </row>
    <row r="1258" spans="1:27" ht="26.25" x14ac:dyDescent="0.2">
      <c r="A1258" s="341"/>
      <c r="B1258" s="345"/>
      <c r="C1258" s="517" t="s">
        <v>1029</v>
      </c>
      <c r="D1258" s="518">
        <f t="shared" ref="D1258:M1258" ca="1" si="251">D1231</f>
        <v>2051090.9836952141</v>
      </c>
      <c r="E1258" s="519">
        <f t="shared" ca="1" si="251"/>
        <v>623803.98874236341</v>
      </c>
      <c r="F1258" s="518">
        <f t="shared" ca="1" si="251"/>
        <v>332973.2775422897</v>
      </c>
      <c r="G1258" s="518">
        <f t="shared" ca="1" si="251"/>
        <v>0</v>
      </c>
      <c r="H1258" s="518">
        <f t="shared" ca="1" si="251"/>
        <v>0</v>
      </c>
      <c r="I1258" s="518">
        <f t="shared" ca="1" si="251"/>
        <v>0</v>
      </c>
      <c r="J1258" s="518">
        <f t="shared" ca="1" si="251"/>
        <v>0</v>
      </c>
      <c r="K1258" s="518">
        <v>0</v>
      </c>
      <c r="L1258" s="518">
        <f t="shared" ref="L1258" ca="1" si="252">L1231</f>
        <v>0</v>
      </c>
      <c r="M1258" s="518">
        <f t="shared" ca="1" si="251"/>
        <v>0</v>
      </c>
      <c r="N1258" s="518">
        <f t="shared" ref="N1258:P1258" ca="1" si="253">N1231</f>
        <v>0</v>
      </c>
      <c r="O1258" s="518">
        <f t="shared" ca="1" si="253"/>
        <v>0</v>
      </c>
      <c r="P1258" s="518">
        <f t="shared" ca="1" si="253"/>
        <v>0</v>
      </c>
      <c r="Q1258" s="520">
        <f t="shared" ca="1" si="241"/>
        <v>3007868.2499798671</v>
      </c>
      <c r="R1258" s="2109"/>
      <c r="S1258" s="346"/>
      <c r="T1258" s="341"/>
      <c r="U1258" s="511"/>
      <c r="V1258" s="511"/>
      <c r="W1258" s="511"/>
      <c r="X1258" s="342"/>
      <c r="Y1258" s="342"/>
      <c r="Z1258" s="342"/>
      <c r="AA1258" s="342"/>
    </row>
    <row r="1259" spans="1:27" ht="26.25" x14ac:dyDescent="0.2">
      <c r="A1259" s="341"/>
      <c r="B1259" s="345"/>
      <c r="C1259" s="517" t="s">
        <v>1038</v>
      </c>
      <c r="D1259" s="518">
        <f t="shared" ref="D1259:M1259" ca="1" si="254">D1233</f>
        <v>0</v>
      </c>
      <c r="E1259" s="519">
        <f t="shared" ca="1" si="254"/>
        <v>0</v>
      </c>
      <c r="F1259" s="518">
        <f t="shared" ca="1" si="254"/>
        <v>0</v>
      </c>
      <c r="G1259" s="518">
        <f t="shared" ca="1" si="254"/>
        <v>0</v>
      </c>
      <c r="H1259" s="518">
        <f t="shared" ca="1" si="254"/>
        <v>0</v>
      </c>
      <c r="I1259" s="518">
        <f t="shared" ca="1" si="254"/>
        <v>0</v>
      </c>
      <c r="J1259" s="518">
        <f t="shared" ca="1" si="254"/>
        <v>0</v>
      </c>
      <c r="K1259" s="518">
        <v>0</v>
      </c>
      <c r="L1259" s="518">
        <f t="shared" ref="L1259" ca="1" si="255">L1233</f>
        <v>0</v>
      </c>
      <c r="M1259" s="518">
        <f t="shared" ca="1" si="254"/>
        <v>0</v>
      </c>
      <c r="N1259" s="518">
        <f t="shared" ref="N1259:P1259" ca="1" si="256">N1233</f>
        <v>0</v>
      </c>
      <c r="O1259" s="518">
        <f t="shared" ca="1" si="256"/>
        <v>0</v>
      </c>
      <c r="P1259" s="518">
        <f t="shared" ca="1" si="256"/>
        <v>0</v>
      </c>
      <c r="Q1259" s="520">
        <f t="shared" ca="1" si="241"/>
        <v>0</v>
      </c>
      <c r="R1259" s="2109"/>
      <c r="S1259" s="346"/>
      <c r="T1259" s="341"/>
      <c r="U1259" s="511"/>
      <c r="V1259" s="511"/>
      <c r="W1259" s="511"/>
      <c r="X1259" s="342"/>
      <c r="Y1259" s="342"/>
      <c r="Z1259" s="342"/>
      <c r="AA1259" s="342"/>
    </row>
    <row r="1260" spans="1:27" ht="26.25" x14ac:dyDescent="0.2">
      <c r="A1260" s="341"/>
      <c r="B1260" s="345"/>
      <c r="C1260" s="517" t="s">
        <v>1039</v>
      </c>
      <c r="D1260" s="518">
        <f t="shared" ref="D1260:M1260" ca="1" si="257">D1234</f>
        <v>1817028.2832516895</v>
      </c>
      <c r="E1260" s="519">
        <f t="shared" ca="1" si="257"/>
        <v>552617.85057825735</v>
      </c>
      <c r="F1260" s="518">
        <f t="shared" ca="1" si="257"/>
        <v>294975.63378264033</v>
      </c>
      <c r="G1260" s="518">
        <f t="shared" ca="1" si="257"/>
        <v>0</v>
      </c>
      <c r="H1260" s="518">
        <f t="shared" ca="1" si="257"/>
        <v>0</v>
      </c>
      <c r="I1260" s="518">
        <f t="shared" ca="1" si="257"/>
        <v>0</v>
      </c>
      <c r="J1260" s="518">
        <f t="shared" ca="1" si="257"/>
        <v>0</v>
      </c>
      <c r="K1260" s="518">
        <v>0</v>
      </c>
      <c r="L1260" s="518">
        <f t="shared" ref="L1260" ca="1" si="258">L1234</f>
        <v>0</v>
      </c>
      <c r="M1260" s="518">
        <f t="shared" ca="1" si="257"/>
        <v>0</v>
      </c>
      <c r="N1260" s="518">
        <f t="shared" ref="N1260:P1260" ca="1" si="259">N1234</f>
        <v>0</v>
      </c>
      <c r="O1260" s="518">
        <f t="shared" ca="1" si="259"/>
        <v>0</v>
      </c>
      <c r="P1260" s="518">
        <f t="shared" ca="1" si="259"/>
        <v>0</v>
      </c>
      <c r="Q1260" s="520">
        <f t="shared" ca="1" si="241"/>
        <v>2664621.7676125867</v>
      </c>
      <c r="R1260" s="2109"/>
      <c r="S1260" s="346"/>
      <c r="T1260" s="341"/>
      <c r="U1260" s="511"/>
      <c r="V1260" s="511"/>
      <c r="W1260" s="511"/>
      <c r="X1260" s="342"/>
      <c r="Y1260" s="342"/>
      <c r="Z1260" s="342"/>
      <c r="AA1260" s="342"/>
    </row>
    <row r="1261" spans="1:27" ht="26.25" x14ac:dyDescent="0.2">
      <c r="A1261" s="341"/>
      <c r="B1261" s="345"/>
      <c r="C1261" s="517" t="s">
        <v>1053</v>
      </c>
      <c r="D1261" s="518">
        <f t="shared" ref="D1261:O1261" ca="1" si="260">D1132</f>
        <v>4327450.0188714312</v>
      </c>
      <c r="E1261" s="519">
        <f t="shared" ca="1" si="260"/>
        <v>1316119.3746714599</v>
      </c>
      <c r="F1261" s="518">
        <f t="shared" ca="1" si="260"/>
        <v>702516.47910231422</v>
      </c>
      <c r="G1261" s="518">
        <f t="shared" ca="1" si="260"/>
        <v>0</v>
      </c>
      <c r="H1261" s="518">
        <f t="shared" ca="1" si="260"/>
        <v>0</v>
      </c>
      <c r="I1261" s="518">
        <f t="shared" ca="1" si="260"/>
        <v>0</v>
      </c>
      <c r="J1261" s="518">
        <f t="shared" ca="1" si="260"/>
        <v>0</v>
      </c>
      <c r="K1261" s="518">
        <v>0</v>
      </c>
      <c r="L1261" s="518">
        <f t="shared" ca="1" si="260"/>
        <v>0</v>
      </c>
      <c r="M1261" s="518">
        <f t="shared" ca="1" si="260"/>
        <v>0</v>
      </c>
      <c r="N1261" s="518">
        <f t="shared" ca="1" si="260"/>
        <v>0</v>
      </c>
      <c r="O1261" s="518">
        <f t="shared" ca="1" si="260"/>
        <v>0</v>
      </c>
      <c r="P1261" s="518">
        <f t="shared" ref="P1261" ca="1" si="261">P1132</f>
        <v>0</v>
      </c>
      <c r="Q1261" s="520">
        <f t="shared" ca="1" si="241"/>
        <v>6346085.8726452058</v>
      </c>
      <c r="R1261" s="2109"/>
      <c r="S1261" s="346"/>
      <c r="T1261" s="341"/>
      <c r="U1261" s="511"/>
      <c r="V1261" s="511"/>
      <c r="W1261" s="511"/>
      <c r="X1261" s="342"/>
      <c r="Y1261" s="342"/>
      <c r="Z1261" s="342"/>
      <c r="AA1261" s="342"/>
    </row>
    <row r="1262" spans="1:27" ht="26.25" x14ac:dyDescent="0.2">
      <c r="A1262" s="341"/>
      <c r="B1262" s="345"/>
      <c r="C1262" s="517" t="s">
        <v>1051</v>
      </c>
      <c r="D1262" s="518">
        <f t="shared" ref="D1262:O1262" ca="1" si="262">D1112</f>
        <v>3.2907815775243731E-14</v>
      </c>
      <c r="E1262" s="519">
        <f t="shared" si="262"/>
        <v>0</v>
      </c>
      <c r="F1262" s="518">
        <f t="shared" ca="1" si="262"/>
        <v>7.7968351670689407E-15</v>
      </c>
      <c r="G1262" s="518">
        <f t="shared" si="262"/>
        <v>0</v>
      </c>
      <c r="H1262" s="518">
        <f t="shared" ca="1" si="262"/>
        <v>0</v>
      </c>
      <c r="I1262" s="518">
        <f t="shared" si="262"/>
        <v>0</v>
      </c>
      <c r="J1262" s="518">
        <f t="shared" si="262"/>
        <v>0</v>
      </c>
      <c r="K1262" s="518">
        <v>0</v>
      </c>
      <c r="L1262" s="518">
        <f t="shared" ca="1" si="262"/>
        <v>0</v>
      </c>
      <c r="M1262" s="518">
        <f t="shared" ca="1" si="262"/>
        <v>0</v>
      </c>
      <c r="N1262" s="518">
        <f t="shared" ca="1" si="262"/>
        <v>0</v>
      </c>
      <c r="O1262" s="518">
        <f t="shared" ca="1" si="262"/>
        <v>0</v>
      </c>
      <c r="P1262" s="518">
        <f t="shared" ref="P1262" ca="1" si="263">P1112</f>
        <v>0</v>
      </c>
      <c r="Q1262" s="520">
        <f t="shared" ca="1" si="241"/>
        <v>4.0704650942312673E-14</v>
      </c>
      <c r="R1262" s="2109"/>
      <c r="S1262" s="346"/>
      <c r="T1262" s="341"/>
      <c r="U1262" s="511"/>
      <c r="V1262" s="511"/>
      <c r="W1262" s="511"/>
      <c r="X1262" s="342"/>
      <c r="Y1262" s="342"/>
      <c r="Z1262" s="342"/>
      <c r="AA1262" s="342"/>
    </row>
    <row r="1263" spans="1:27" ht="26.25" x14ac:dyDescent="0.2">
      <c r="A1263" s="341"/>
      <c r="B1263" s="345"/>
      <c r="C1263" s="517" t="s">
        <v>976</v>
      </c>
      <c r="D1263" s="518">
        <f t="shared" ref="D1263:Q1263" ca="1" si="264">D1236</f>
        <v>0</v>
      </c>
      <c r="E1263" s="519">
        <f t="shared" ca="1" si="264"/>
        <v>0</v>
      </c>
      <c r="F1263" s="518">
        <f t="shared" ca="1" si="264"/>
        <v>0</v>
      </c>
      <c r="G1263" s="518">
        <f t="shared" ca="1" si="264"/>
        <v>0</v>
      </c>
      <c r="H1263" s="518">
        <f t="shared" ca="1" si="264"/>
        <v>0</v>
      </c>
      <c r="I1263" s="518">
        <f t="shared" ca="1" si="264"/>
        <v>0</v>
      </c>
      <c r="J1263" s="518">
        <f t="shared" ca="1" si="264"/>
        <v>0</v>
      </c>
      <c r="K1263" s="518">
        <v>0</v>
      </c>
      <c r="L1263" s="518">
        <f t="shared" ref="L1263" ca="1" si="265">L1236</f>
        <v>0</v>
      </c>
      <c r="M1263" s="518">
        <f t="shared" ca="1" si="264"/>
        <v>0</v>
      </c>
      <c r="N1263" s="518">
        <f t="shared" ref="N1263:P1263" ca="1" si="266">N1236</f>
        <v>0</v>
      </c>
      <c r="O1263" s="518">
        <f t="shared" ca="1" si="266"/>
        <v>0</v>
      </c>
      <c r="P1263" s="518">
        <f t="shared" ca="1" si="266"/>
        <v>0</v>
      </c>
      <c r="Q1263" s="520">
        <f t="shared" ca="1" si="264"/>
        <v>0</v>
      </c>
      <c r="R1263" s="2109"/>
      <c r="S1263" s="346"/>
      <c r="T1263" s="341"/>
      <c r="U1263" s="511"/>
      <c r="V1263" s="511"/>
      <c r="W1263" s="511"/>
      <c r="X1263" s="342"/>
      <c r="Y1263" s="342"/>
      <c r="Z1263" s="342"/>
      <c r="AA1263" s="342"/>
    </row>
    <row r="1264" spans="1:27" ht="26.25" x14ac:dyDescent="0.2">
      <c r="A1264" s="341"/>
      <c r="B1264" s="345"/>
      <c r="C1264" s="529" t="str">
        <f>C1147</f>
        <v xml:space="preserve">Total Refinery Processes </v>
      </c>
      <c r="D1264" s="554">
        <f t="shared" ref="D1264:Q1264" ca="1" si="267">SUM(D1245:D1263)</f>
        <v>22626827.537579674</v>
      </c>
      <c r="E1264" s="555">
        <f t="shared" ca="1" si="267"/>
        <v>9523142.9043285418</v>
      </c>
      <c r="F1264" s="554">
        <f t="shared" ca="1" si="267"/>
        <v>4628340.5936045703</v>
      </c>
      <c r="G1264" s="554">
        <f t="shared" ca="1" si="267"/>
        <v>0</v>
      </c>
      <c r="H1264" s="554">
        <f t="shared" ca="1" si="267"/>
        <v>0</v>
      </c>
      <c r="I1264" s="554">
        <f t="shared" ca="1" si="267"/>
        <v>0</v>
      </c>
      <c r="J1264" s="554">
        <f t="shared" ca="1" si="267"/>
        <v>0</v>
      </c>
      <c r="K1264" s="554">
        <f t="shared" si="267"/>
        <v>0</v>
      </c>
      <c r="L1264" s="554">
        <f t="shared" ref="L1264" ca="1" si="268">SUM(L1245:L1263)</f>
        <v>0</v>
      </c>
      <c r="M1264" s="554">
        <f t="shared" ca="1" si="267"/>
        <v>0</v>
      </c>
      <c r="N1264" s="554">
        <f t="shared" ref="N1264:P1264" ca="1" si="269">SUM(N1245:N1263)</f>
        <v>0</v>
      </c>
      <c r="O1264" s="554">
        <f t="shared" ca="1" si="269"/>
        <v>0</v>
      </c>
      <c r="P1264" s="554">
        <f t="shared" ca="1" si="269"/>
        <v>0</v>
      </c>
      <c r="Q1264" s="556">
        <f t="shared" ca="1" si="267"/>
        <v>36778311.03551279</v>
      </c>
      <c r="R1264" s="2109"/>
      <c r="S1264" s="346"/>
      <c r="T1264" s="341"/>
      <c r="U1264" s="511"/>
      <c r="V1264" s="511"/>
      <c r="W1264" s="511"/>
      <c r="X1264" s="342"/>
      <c r="Y1264" s="342"/>
      <c r="Z1264" s="342"/>
      <c r="AA1264" s="342"/>
    </row>
    <row r="1265" spans="1:27" ht="26.25" x14ac:dyDescent="0.2">
      <c r="A1265" s="341"/>
      <c r="B1265" s="345"/>
      <c r="C1265" s="529" t="str">
        <f>C1148</f>
        <v>Total included Feedstock</v>
      </c>
      <c r="D1265" s="554">
        <f t="shared" ref="D1265:Q1265" ca="1" si="270">D1264+D1243</f>
        <v>237807008.49247375</v>
      </c>
      <c r="E1265" s="555">
        <f t="shared" ca="1" si="270"/>
        <v>241903483.41274869</v>
      </c>
      <c r="F1265" s="554">
        <f t="shared" ca="1" si="270"/>
        <v>115679196.46670298</v>
      </c>
      <c r="G1265" s="554">
        <f t="shared" ca="1" si="270"/>
        <v>0</v>
      </c>
      <c r="H1265" s="554">
        <f t="shared" ca="1" si="270"/>
        <v>0</v>
      </c>
      <c r="I1265" s="554">
        <f t="shared" ca="1" si="270"/>
        <v>0</v>
      </c>
      <c r="J1265" s="554">
        <f t="shared" ca="1" si="270"/>
        <v>0</v>
      </c>
      <c r="K1265" s="554">
        <f t="shared" ca="1" si="270"/>
        <v>0</v>
      </c>
      <c r="L1265" s="554">
        <f t="shared" ref="L1265" ca="1" si="271">L1264+L1243</f>
        <v>0</v>
      </c>
      <c r="M1265" s="554">
        <f t="shared" ca="1" si="270"/>
        <v>0</v>
      </c>
      <c r="N1265" s="554">
        <f t="shared" ref="N1265:P1265" ca="1" si="272">N1264+N1243</f>
        <v>0</v>
      </c>
      <c r="O1265" s="554">
        <f t="shared" ca="1" si="272"/>
        <v>0</v>
      </c>
      <c r="P1265" s="554">
        <f t="shared" ca="1" si="272"/>
        <v>0</v>
      </c>
      <c r="Q1265" s="556">
        <f t="shared" ca="1" si="270"/>
        <v>595389688.37192535</v>
      </c>
      <c r="R1265" s="2109"/>
      <c r="S1265" s="346"/>
      <c r="T1265" s="341"/>
      <c r="U1265" s="511"/>
      <c r="V1265" s="511"/>
      <c r="W1265" s="511"/>
      <c r="X1265" s="342"/>
      <c r="Y1265" s="342"/>
      <c r="Z1265" s="342"/>
      <c r="AA1265" s="342"/>
    </row>
    <row r="1266" spans="1:27" ht="26.25" x14ac:dyDescent="0.2">
      <c r="A1266" s="341"/>
      <c r="B1266" s="345"/>
      <c r="C1266" s="521" t="str">
        <f t="shared" ref="C1266:O1266" si="273">C1134</f>
        <v>Surplus of Hydrogen</v>
      </c>
      <c r="D1266" s="548">
        <f t="shared" ca="1" si="273"/>
        <v>0</v>
      </c>
      <c r="E1266" s="549">
        <f t="shared" ca="1" si="273"/>
        <v>0</v>
      </c>
      <c r="F1266" s="548">
        <f t="shared" ca="1" si="273"/>
        <v>0</v>
      </c>
      <c r="G1266" s="548">
        <f t="shared" ca="1" si="273"/>
        <v>0</v>
      </c>
      <c r="H1266" s="548">
        <f t="shared" ca="1" si="273"/>
        <v>0</v>
      </c>
      <c r="I1266" s="548">
        <f t="shared" ca="1" si="273"/>
        <v>0</v>
      </c>
      <c r="J1266" s="548">
        <f t="shared" ca="1" si="273"/>
        <v>0</v>
      </c>
      <c r="K1266" s="548">
        <f t="shared" ca="1" si="273"/>
        <v>0</v>
      </c>
      <c r="L1266" s="548">
        <f t="shared" ca="1" si="273"/>
        <v>0</v>
      </c>
      <c r="M1266" s="548">
        <f t="shared" ca="1" si="273"/>
        <v>0</v>
      </c>
      <c r="N1266" s="548">
        <f t="shared" ca="1" si="273"/>
        <v>0</v>
      </c>
      <c r="O1266" s="548">
        <f t="shared" ca="1" si="273"/>
        <v>0</v>
      </c>
      <c r="P1266" s="548">
        <f t="shared" ref="P1266" ca="1" si="274">P1134</f>
        <v>0</v>
      </c>
      <c r="Q1266" s="550">
        <f t="shared" ref="Q1266" ca="1" si="275">Q1134</f>
        <v>0</v>
      </c>
      <c r="R1266" s="2109"/>
      <c r="S1266" s="346"/>
      <c r="T1266" s="341"/>
      <c r="U1266" s="511"/>
      <c r="V1266" s="511"/>
      <c r="W1266" s="511"/>
      <c r="X1266" s="342"/>
      <c r="Y1266" s="342"/>
      <c r="Z1266" s="342"/>
      <c r="AA1266" s="342"/>
    </row>
    <row r="1267" spans="1:27" ht="26.25" x14ac:dyDescent="0.2">
      <c r="A1267" s="341"/>
      <c r="B1267" s="345"/>
      <c r="C1267" s="437"/>
      <c r="D1267" s="2109"/>
      <c r="E1267" s="437"/>
      <c r="F1267" s="2109"/>
      <c r="G1267" s="2109"/>
      <c r="H1267" s="2109"/>
      <c r="I1267" s="2109"/>
      <c r="J1267" s="2109"/>
      <c r="K1267" s="2109"/>
      <c r="L1267" s="2109"/>
      <c r="M1267" s="2109"/>
      <c r="N1267" s="2109"/>
      <c r="O1267" s="2109"/>
      <c r="P1267" s="2109"/>
      <c r="Q1267" s="2109"/>
      <c r="R1267" s="2109"/>
      <c r="S1267" s="346"/>
      <c r="T1267" s="341"/>
      <c r="U1267" s="511"/>
      <c r="V1267" s="511"/>
      <c r="W1267" s="511"/>
      <c r="X1267" s="342"/>
      <c r="Y1267" s="342"/>
      <c r="Z1267" s="342"/>
      <c r="AA1267" s="342"/>
    </row>
    <row r="1268" spans="1:27" ht="26.25" x14ac:dyDescent="0.2">
      <c r="A1268" s="341"/>
      <c r="B1268" s="345"/>
      <c r="C1268" s="440" t="s">
        <v>159</v>
      </c>
      <c r="D1268" s="2109"/>
      <c r="E1268" s="437"/>
      <c r="F1268" s="2109"/>
      <c r="G1268" s="2109"/>
      <c r="H1268" s="2109"/>
      <c r="I1268" s="2109"/>
      <c r="J1268" s="2109"/>
      <c r="K1268" s="2109"/>
      <c r="L1268" s="2109"/>
      <c r="M1268" s="2109"/>
      <c r="N1268" s="2109"/>
      <c r="O1268" s="2109"/>
      <c r="P1268" s="2109"/>
      <c r="Q1268" s="2109"/>
      <c r="R1268" s="2109"/>
      <c r="S1268" s="346"/>
      <c r="T1268" s="341"/>
      <c r="U1268" s="511"/>
      <c r="V1268" s="511"/>
      <c r="W1268" s="511"/>
      <c r="X1268" s="342"/>
      <c r="Y1268" s="342"/>
      <c r="Z1268" s="342"/>
      <c r="AA1268" s="342"/>
    </row>
    <row r="1269" spans="1:27" ht="26.25" x14ac:dyDescent="0.2">
      <c r="A1269" s="341"/>
      <c r="B1269" s="345"/>
      <c r="C1269" s="1813" t="s">
        <v>160</v>
      </c>
      <c r="D1269" s="732"/>
      <c r="E1269" s="732"/>
      <c r="F1269" s="732"/>
      <c r="G1269" s="732"/>
      <c r="H1269" s="732"/>
      <c r="I1269" s="732"/>
      <c r="J1269" s="732"/>
      <c r="K1269" s="732"/>
      <c r="L1269" s="732"/>
      <c r="M1269" s="732"/>
      <c r="N1269" s="732"/>
      <c r="O1269" s="732"/>
      <c r="P1269" s="732"/>
      <c r="Q1269" s="733"/>
      <c r="R1269" s="2109"/>
      <c r="S1269" s="346"/>
      <c r="T1269" s="341"/>
      <c r="U1269" s="511"/>
      <c r="V1269" s="511"/>
      <c r="W1269" s="511"/>
      <c r="X1269" s="342"/>
      <c r="Y1269" s="342"/>
      <c r="Z1269" s="342"/>
      <c r="AA1269" s="342"/>
    </row>
    <row r="1270" spans="1:27" ht="26.25" x14ac:dyDescent="0.2">
      <c r="A1270" s="341"/>
      <c r="B1270" s="345"/>
      <c r="C1270" s="1814" t="s">
        <v>263</v>
      </c>
      <c r="D1270" s="730">
        <f t="shared" ref="D1270:Q1270" ca="1" si="276">D1243/SUM($D$1243:$P$1243)</f>
        <v>0.38520551081670162</v>
      </c>
      <c r="E1270" s="730">
        <f t="shared" ca="1" si="276"/>
        <v>0.41599643318484314</v>
      </c>
      <c r="F1270" s="730">
        <f t="shared" ca="1" si="276"/>
        <v>0.19879805599845535</v>
      </c>
      <c r="G1270" s="730">
        <f t="shared" ca="1" si="276"/>
        <v>0</v>
      </c>
      <c r="H1270" s="730">
        <f t="shared" ca="1" si="276"/>
        <v>0</v>
      </c>
      <c r="I1270" s="730">
        <f t="shared" ca="1" si="276"/>
        <v>0</v>
      </c>
      <c r="J1270" s="730">
        <f t="shared" ca="1" si="276"/>
        <v>0</v>
      </c>
      <c r="K1270" s="730">
        <f t="shared" ca="1" si="276"/>
        <v>0</v>
      </c>
      <c r="L1270" s="730">
        <f t="shared" ca="1" si="276"/>
        <v>0</v>
      </c>
      <c r="M1270" s="730">
        <f t="shared" ca="1" si="276"/>
        <v>0</v>
      </c>
      <c r="N1270" s="730">
        <f t="shared" ca="1" si="276"/>
        <v>0</v>
      </c>
      <c r="O1270" s="730">
        <f t="shared" ca="1" si="276"/>
        <v>0</v>
      </c>
      <c r="P1270" s="730">
        <f t="shared" ca="1" si="276"/>
        <v>0</v>
      </c>
      <c r="Q1270" s="734">
        <f t="shared" ca="1" si="276"/>
        <v>1</v>
      </c>
      <c r="R1270" s="2109"/>
      <c r="S1270" s="346"/>
      <c r="T1270" s="341"/>
      <c r="U1270" s="511"/>
      <c r="V1270" s="511"/>
      <c r="W1270" s="511"/>
      <c r="X1270" s="342"/>
      <c r="Y1270" s="342"/>
      <c r="Z1270" s="342"/>
      <c r="AA1270" s="342"/>
    </row>
    <row r="1271" spans="1:27" ht="26.25" x14ac:dyDescent="0.2">
      <c r="A1271" s="341"/>
      <c r="B1271" s="345"/>
      <c r="C1271" s="1815" t="s">
        <v>55</v>
      </c>
      <c r="D1271" s="729"/>
      <c r="E1271" s="729"/>
      <c r="F1271" s="729"/>
      <c r="G1271" s="729"/>
      <c r="H1271" s="729"/>
      <c r="I1271" s="729"/>
      <c r="J1271" s="729"/>
      <c r="K1271" s="729"/>
      <c r="L1271" s="729"/>
      <c r="M1271" s="729"/>
      <c r="N1271" s="729"/>
      <c r="O1271" s="729"/>
      <c r="P1271" s="729"/>
      <c r="Q1271" s="735"/>
      <c r="R1271" s="2109"/>
      <c r="S1271" s="346"/>
      <c r="T1271" s="341"/>
      <c r="U1271" s="511"/>
      <c r="V1271" s="511"/>
      <c r="W1271" s="511"/>
      <c r="X1271" s="342"/>
      <c r="Y1271" s="342"/>
      <c r="Z1271" s="342"/>
      <c r="AA1271" s="342"/>
    </row>
    <row r="1272" spans="1:27" ht="26.25" x14ac:dyDescent="0.2">
      <c r="A1272" s="341"/>
      <c r="B1272" s="345"/>
      <c r="C1272" s="1814" t="s">
        <v>392</v>
      </c>
      <c r="D1272" s="730">
        <f t="shared" ref="D1272:Q1272" ca="1" si="277">D1245/SUM($D$1245:$P$1245)</f>
        <v>0.56793842874123435</v>
      </c>
      <c r="E1272" s="730">
        <f t="shared" ca="1" si="277"/>
        <v>0.29701014489971689</v>
      </c>
      <c r="F1272" s="730">
        <f t="shared" ca="1" si="277"/>
        <v>0.13505142635904871</v>
      </c>
      <c r="G1272" s="730">
        <f t="shared" ca="1" si="277"/>
        <v>0</v>
      </c>
      <c r="H1272" s="730">
        <f t="shared" ca="1" si="277"/>
        <v>0</v>
      </c>
      <c r="I1272" s="730">
        <f t="shared" ca="1" si="277"/>
        <v>0</v>
      </c>
      <c r="J1272" s="730">
        <f t="shared" ca="1" si="277"/>
        <v>0</v>
      </c>
      <c r="K1272" s="730">
        <f t="shared" ca="1" si="277"/>
        <v>0</v>
      </c>
      <c r="L1272" s="730">
        <f t="shared" ca="1" si="277"/>
        <v>0</v>
      </c>
      <c r="M1272" s="730">
        <f t="shared" ca="1" si="277"/>
        <v>0</v>
      </c>
      <c r="N1272" s="730">
        <f t="shared" ca="1" si="277"/>
        <v>0</v>
      </c>
      <c r="O1272" s="730">
        <f t="shared" ca="1" si="277"/>
        <v>0</v>
      </c>
      <c r="P1272" s="730">
        <f t="shared" ca="1" si="277"/>
        <v>0</v>
      </c>
      <c r="Q1272" s="734">
        <f t="shared" ca="1" si="277"/>
        <v>1</v>
      </c>
      <c r="R1272" s="2109"/>
      <c r="S1272" s="346"/>
      <c r="T1272" s="341"/>
      <c r="U1272" s="511"/>
      <c r="V1272" s="511"/>
      <c r="W1272" s="511"/>
      <c r="X1272" s="342"/>
      <c r="Y1272" s="342"/>
      <c r="Z1272" s="342"/>
      <c r="AA1272" s="342"/>
    </row>
    <row r="1273" spans="1:27" ht="26.25" x14ac:dyDescent="0.2">
      <c r="A1273" s="341"/>
      <c r="B1273" s="345"/>
      <c r="C1273" s="1814" t="s">
        <v>1023</v>
      </c>
      <c r="D1273" s="2108"/>
      <c r="E1273" s="2108"/>
      <c r="F1273" s="2108"/>
      <c r="G1273" s="2108"/>
      <c r="H1273" s="2108"/>
      <c r="I1273" s="2108"/>
      <c r="J1273" s="2108"/>
      <c r="K1273" s="2108"/>
      <c r="L1273" s="2108"/>
      <c r="M1273" s="2108"/>
      <c r="N1273" s="2108"/>
      <c r="O1273" s="2108"/>
      <c r="P1273" s="2108"/>
      <c r="Q1273" s="734"/>
      <c r="R1273" s="2109"/>
      <c r="S1273" s="346"/>
      <c r="T1273" s="341"/>
      <c r="U1273" s="511"/>
      <c r="V1273" s="511"/>
      <c r="W1273" s="511"/>
      <c r="X1273" s="342"/>
      <c r="Y1273" s="342"/>
      <c r="Z1273" s="342"/>
      <c r="AA1273" s="342"/>
    </row>
    <row r="1274" spans="1:27" ht="26.25" x14ac:dyDescent="0.2">
      <c r="A1274" s="341"/>
      <c r="B1274" s="345"/>
      <c r="C1274" s="1814" t="s">
        <v>971</v>
      </c>
      <c r="D1274" s="730">
        <f t="shared" ref="D1274:Q1274" ca="1" si="278">D1247/SUM($D$1247:$P$1247)</f>
        <v>0.58220908372634728</v>
      </c>
      <c r="E1274" s="730">
        <f t="shared" ca="1" si="278"/>
        <v>0.28393306585977346</v>
      </c>
      <c r="F1274" s="730">
        <f t="shared" ca="1" si="278"/>
        <v>0.13385785041387926</v>
      </c>
      <c r="G1274" s="730">
        <f t="shared" ca="1" si="278"/>
        <v>0</v>
      </c>
      <c r="H1274" s="730">
        <f t="shared" ca="1" si="278"/>
        <v>0</v>
      </c>
      <c r="I1274" s="730">
        <f t="shared" ca="1" si="278"/>
        <v>0</v>
      </c>
      <c r="J1274" s="730">
        <f t="shared" ca="1" si="278"/>
        <v>0</v>
      </c>
      <c r="K1274" s="730">
        <f t="shared" ca="1" si="278"/>
        <v>0</v>
      </c>
      <c r="L1274" s="730">
        <f t="shared" ca="1" si="278"/>
        <v>0</v>
      </c>
      <c r="M1274" s="730">
        <f t="shared" ca="1" si="278"/>
        <v>0</v>
      </c>
      <c r="N1274" s="730">
        <f t="shared" ca="1" si="278"/>
        <v>0</v>
      </c>
      <c r="O1274" s="730">
        <f t="shared" ca="1" si="278"/>
        <v>0</v>
      </c>
      <c r="P1274" s="730">
        <f t="shared" ca="1" si="278"/>
        <v>0</v>
      </c>
      <c r="Q1274" s="734">
        <f t="shared" ca="1" si="278"/>
        <v>1</v>
      </c>
      <c r="R1274" s="2109"/>
      <c r="S1274" s="346"/>
      <c r="T1274" s="341"/>
      <c r="U1274" s="511"/>
      <c r="V1274" s="511"/>
      <c r="W1274" s="511"/>
      <c r="X1274" s="342"/>
      <c r="Y1274" s="342"/>
      <c r="Z1274" s="342"/>
      <c r="AA1274" s="342"/>
    </row>
    <row r="1275" spans="1:27" ht="26.25" x14ac:dyDescent="0.2">
      <c r="A1275" s="341"/>
      <c r="B1275" s="345"/>
      <c r="C1275" s="1814" t="s">
        <v>90</v>
      </c>
      <c r="D1275" s="730">
        <f t="shared" ref="D1275:Q1275" ca="1" si="279">IF($Q$1248=0,0,D1248/SUM($D$1248:$P$1248))</f>
        <v>0.58220908372634728</v>
      </c>
      <c r="E1275" s="730">
        <f t="shared" ca="1" si="279"/>
        <v>0.28393306585977335</v>
      </c>
      <c r="F1275" s="730">
        <f t="shared" ca="1" si="279"/>
        <v>0.13385785041387926</v>
      </c>
      <c r="G1275" s="730">
        <f t="shared" ca="1" si="279"/>
        <v>0</v>
      </c>
      <c r="H1275" s="730">
        <f t="shared" ca="1" si="279"/>
        <v>0</v>
      </c>
      <c r="I1275" s="730">
        <f t="shared" ca="1" si="279"/>
        <v>0</v>
      </c>
      <c r="J1275" s="730">
        <f t="shared" ca="1" si="279"/>
        <v>0</v>
      </c>
      <c r="K1275" s="730">
        <f t="shared" ca="1" si="279"/>
        <v>0</v>
      </c>
      <c r="L1275" s="730">
        <f t="shared" ca="1" si="279"/>
        <v>0</v>
      </c>
      <c r="M1275" s="730">
        <f t="shared" ca="1" si="279"/>
        <v>0</v>
      </c>
      <c r="N1275" s="730">
        <f t="shared" ca="1" si="279"/>
        <v>0</v>
      </c>
      <c r="O1275" s="730">
        <f t="shared" ca="1" si="279"/>
        <v>0</v>
      </c>
      <c r="P1275" s="730">
        <f t="shared" ca="1" si="279"/>
        <v>0</v>
      </c>
      <c r="Q1275" s="734">
        <f t="shared" ca="1" si="279"/>
        <v>1</v>
      </c>
      <c r="R1275" s="2109"/>
      <c r="S1275" s="346"/>
      <c r="T1275" s="341"/>
      <c r="U1275" s="511"/>
      <c r="V1275" s="511"/>
      <c r="W1275" s="511"/>
      <c r="X1275" s="342"/>
      <c r="Y1275" s="342"/>
      <c r="Z1275" s="342"/>
      <c r="AA1275" s="342"/>
    </row>
    <row r="1276" spans="1:27" ht="26.25" x14ac:dyDescent="0.2">
      <c r="A1276" s="341"/>
      <c r="B1276" s="345"/>
      <c r="C1276" s="1814" t="s">
        <v>485</v>
      </c>
      <c r="D1276" s="730"/>
      <c r="E1276" s="730"/>
      <c r="F1276" s="730"/>
      <c r="G1276" s="730"/>
      <c r="H1276" s="730"/>
      <c r="I1276" s="730"/>
      <c r="J1276" s="730"/>
      <c r="K1276" s="730"/>
      <c r="L1276" s="730"/>
      <c r="M1276" s="730"/>
      <c r="N1276" s="730"/>
      <c r="O1276" s="730"/>
      <c r="P1276" s="730"/>
      <c r="Q1276" s="734"/>
      <c r="R1276" s="2109"/>
      <c r="S1276" s="346"/>
      <c r="T1276" s="341"/>
      <c r="U1276" s="511"/>
      <c r="V1276" s="511"/>
      <c r="W1276" s="511"/>
      <c r="X1276" s="342"/>
      <c r="Y1276" s="342"/>
      <c r="Z1276" s="342"/>
      <c r="AA1276" s="342"/>
    </row>
    <row r="1277" spans="1:27" ht="26.25" x14ac:dyDescent="0.2">
      <c r="A1277" s="341"/>
      <c r="B1277" s="345"/>
      <c r="C1277" s="1814" t="s">
        <v>971</v>
      </c>
      <c r="D1277" s="730">
        <f t="shared" ref="D1277:Q1277" ca="1" si="280">IF($Q$1250=0,0,D1250/SUM($D$1250:$P$1250))</f>
        <v>0</v>
      </c>
      <c r="E1277" s="730">
        <f t="shared" ca="1" si="280"/>
        <v>0</v>
      </c>
      <c r="F1277" s="730">
        <f t="shared" ca="1" si="280"/>
        <v>0</v>
      </c>
      <c r="G1277" s="730">
        <f t="shared" ca="1" si="280"/>
        <v>0</v>
      </c>
      <c r="H1277" s="730">
        <f t="shared" ca="1" si="280"/>
        <v>0</v>
      </c>
      <c r="I1277" s="730">
        <f t="shared" ca="1" si="280"/>
        <v>0</v>
      </c>
      <c r="J1277" s="730">
        <f t="shared" ca="1" si="280"/>
        <v>0</v>
      </c>
      <c r="K1277" s="730">
        <f t="shared" ca="1" si="280"/>
        <v>0</v>
      </c>
      <c r="L1277" s="730">
        <f t="shared" ca="1" si="280"/>
        <v>0</v>
      </c>
      <c r="M1277" s="730">
        <f t="shared" ca="1" si="280"/>
        <v>0</v>
      </c>
      <c r="N1277" s="730">
        <f t="shared" ca="1" si="280"/>
        <v>0</v>
      </c>
      <c r="O1277" s="730">
        <f t="shared" ca="1" si="280"/>
        <v>0</v>
      </c>
      <c r="P1277" s="730">
        <f t="shared" ca="1" si="280"/>
        <v>0</v>
      </c>
      <c r="Q1277" s="734">
        <f t="shared" ca="1" si="280"/>
        <v>0</v>
      </c>
      <c r="R1277" s="2109"/>
      <c r="S1277" s="346"/>
      <c r="T1277" s="341"/>
      <c r="U1277" s="511"/>
      <c r="V1277" s="511"/>
      <c r="W1277" s="511"/>
      <c r="X1277" s="342"/>
      <c r="Y1277" s="342"/>
      <c r="Z1277" s="342"/>
      <c r="AA1277" s="342"/>
    </row>
    <row r="1278" spans="1:27" ht="26.25" x14ac:dyDescent="0.2">
      <c r="A1278" s="341"/>
      <c r="B1278" s="345"/>
      <c r="C1278" s="1814" t="s">
        <v>90</v>
      </c>
      <c r="D1278" s="730">
        <f t="shared" ref="D1278:Q1278" ca="1" si="281">IF($Q$1251=0,0,D1251/SUM($D$1251:$P$1251))</f>
        <v>0.59350177207186794</v>
      </c>
      <c r="E1278" s="730">
        <f t="shared" ca="1" si="281"/>
        <v>0.27951185185958133</v>
      </c>
      <c r="F1278" s="730">
        <f t="shared" ca="1" si="281"/>
        <v>0.12698637606855073</v>
      </c>
      <c r="G1278" s="730">
        <f t="shared" ca="1" si="281"/>
        <v>0</v>
      </c>
      <c r="H1278" s="730">
        <f t="shared" ca="1" si="281"/>
        <v>0</v>
      </c>
      <c r="I1278" s="730">
        <f t="shared" ca="1" si="281"/>
        <v>0</v>
      </c>
      <c r="J1278" s="730">
        <f t="shared" ca="1" si="281"/>
        <v>0</v>
      </c>
      <c r="K1278" s="730">
        <f t="shared" ca="1" si="281"/>
        <v>0</v>
      </c>
      <c r="L1278" s="730">
        <f t="shared" ca="1" si="281"/>
        <v>0</v>
      </c>
      <c r="M1278" s="730">
        <f t="shared" ca="1" si="281"/>
        <v>0</v>
      </c>
      <c r="N1278" s="730">
        <f t="shared" ca="1" si="281"/>
        <v>0</v>
      </c>
      <c r="O1278" s="730">
        <f t="shared" ca="1" si="281"/>
        <v>0</v>
      </c>
      <c r="P1278" s="730">
        <f t="shared" ca="1" si="281"/>
        <v>0</v>
      </c>
      <c r="Q1278" s="734">
        <f t="shared" ca="1" si="281"/>
        <v>1</v>
      </c>
      <c r="R1278" s="2109"/>
      <c r="S1278" s="346"/>
      <c r="T1278" s="341"/>
      <c r="U1278" s="511"/>
      <c r="V1278" s="511"/>
      <c r="W1278" s="511"/>
      <c r="X1278" s="342"/>
      <c r="Y1278" s="342"/>
      <c r="Z1278" s="342"/>
      <c r="AA1278" s="342"/>
    </row>
    <row r="1279" spans="1:27" ht="26.25" x14ac:dyDescent="0.2">
      <c r="A1279" s="341"/>
      <c r="B1279" s="345"/>
      <c r="C1279" s="1814" t="s">
        <v>392</v>
      </c>
      <c r="D1279" s="730">
        <f t="shared" ref="D1279:Q1279" ca="1" si="282">IF($Q$1252=0,0,D1252/SUM($D$1252:$P$1252))</f>
        <v>0.59350177207186794</v>
      </c>
      <c r="E1279" s="730">
        <f t="shared" ca="1" si="282"/>
        <v>0.27951185185958133</v>
      </c>
      <c r="F1279" s="730">
        <f t="shared" ca="1" si="282"/>
        <v>0.12698637606855073</v>
      </c>
      <c r="G1279" s="730">
        <f t="shared" ca="1" si="282"/>
        <v>0</v>
      </c>
      <c r="H1279" s="730">
        <f t="shared" ca="1" si="282"/>
        <v>0</v>
      </c>
      <c r="I1279" s="730">
        <f t="shared" ca="1" si="282"/>
        <v>0</v>
      </c>
      <c r="J1279" s="730">
        <f t="shared" ca="1" si="282"/>
        <v>0</v>
      </c>
      <c r="K1279" s="730">
        <f t="shared" ca="1" si="282"/>
        <v>0</v>
      </c>
      <c r="L1279" s="730">
        <f t="shared" ca="1" si="282"/>
        <v>0</v>
      </c>
      <c r="M1279" s="730">
        <f t="shared" ca="1" si="282"/>
        <v>0</v>
      </c>
      <c r="N1279" s="730">
        <f t="shared" ca="1" si="282"/>
        <v>0</v>
      </c>
      <c r="O1279" s="730">
        <f t="shared" ca="1" si="282"/>
        <v>0</v>
      </c>
      <c r="P1279" s="730">
        <f t="shared" ca="1" si="282"/>
        <v>0</v>
      </c>
      <c r="Q1279" s="734">
        <f t="shared" ca="1" si="282"/>
        <v>1</v>
      </c>
      <c r="R1279" s="2109"/>
      <c r="S1279" s="346"/>
      <c r="T1279" s="341"/>
      <c r="U1279" s="511"/>
      <c r="V1279" s="511"/>
      <c r="W1279" s="511"/>
      <c r="X1279" s="342"/>
      <c r="Y1279" s="342"/>
      <c r="Z1279" s="342"/>
      <c r="AA1279" s="342"/>
    </row>
    <row r="1280" spans="1:27" ht="26.25" x14ac:dyDescent="0.2">
      <c r="A1280" s="341"/>
      <c r="B1280" s="345"/>
      <c r="C1280" s="1814" t="s">
        <v>1027</v>
      </c>
      <c r="D1280" s="730"/>
      <c r="E1280" s="730"/>
      <c r="F1280" s="730"/>
      <c r="G1280" s="730"/>
      <c r="H1280" s="730"/>
      <c r="I1280" s="730"/>
      <c r="J1280" s="730"/>
      <c r="K1280" s="730"/>
      <c r="L1280" s="730"/>
      <c r="M1280" s="730"/>
      <c r="N1280" s="730"/>
      <c r="O1280" s="730"/>
      <c r="P1280" s="730"/>
      <c r="Q1280" s="734"/>
      <c r="R1280" s="2109"/>
      <c r="S1280" s="346"/>
      <c r="T1280" s="341"/>
      <c r="U1280" s="511"/>
      <c r="V1280" s="511"/>
      <c r="W1280" s="511"/>
      <c r="X1280" s="342"/>
      <c r="Y1280" s="342"/>
      <c r="Z1280" s="342"/>
      <c r="AA1280" s="342"/>
    </row>
    <row r="1281" spans="1:27" ht="26.25" x14ac:dyDescent="0.2">
      <c r="A1281" s="341"/>
      <c r="B1281" s="345"/>
      <c r="C1281" s="1814" t="s">
        <v>1036</v>
      </c>
      <c r="D1281" s="730">
        <f t="shared" ref="D1281:Q1281" ca="1" si="283">IF($Q$1254=0,0,D1254/SUM($D$1254:$P$1254))</f>
        <v>0</v>
      </c>
      <c r="E1281" s="730">
        <f t="shared" ca="1" si="283"/>
        <v>0</v>
      </c>
      <c r="F1281" s="730">
        <f t="shared" ca="1" si="283"/>
        <v>0</v>
      </c>
      <c r="G1281" s="730">
        <f t="shared" ca="1" si="283"/>
        <v>0</v>
      </c>
      <c r="H1281" s="730">
        <f t="shared" ca="1" si="283"/>
        <v>0</v>
      </c>
      <c r="I1281" s="730">
        <f t="shared" ca="1" si="283"/>
        <v>0</v>
      </c>
      <c r="J1281" s="730">
        <f t="shared" ca="1" si="283"/>
        <v>0</v>
      </c>
      <c r="K1281" s="730">
        <f t="shared" ca="1" si="283"/>
        <v>0</v>
      </c>
      <c r="L1281" s="730">
        <f t="shared" ca="1" si="283"/>
        <v>0</v>
      </c>
      <c r="M1281" s="730">
        <f t="shared" ca="1" si="283"/>
        <v>0</v>
      </c>
      <c r="N1281" s="730">
        <f t="shared" ca="1" si="283"/>
        <v>0</v>
      </c>
      <c r="O1281" s="730">
        <f t="shared" ca="1" si="283"/>
        <v>0</v>
      </c>
      <c r="P1281" s="730">
        <f t="shared" ca="1" si="283"/>
        <v>0</v>
      </c>
      <c r="Q1281" s="734">
        <f t="shared" ca="1" si="283"/>
        <v>0</v>
      </c>
      <c r="R1281" s="2109"/>
      <c r="S1281" s="346"/>
      <c r="T1281" s="341"/>
      <c r="U1281" s="511"/>
      <c r="V1281" s="511"/>
      <c r="W1281" s="511"/>
      <c r="X1281" s="342"/>
      <c r="Y1281" s="342"/>
      <c r="Z1281" s="342"/>
      <c r="AA1281" s="342"/>
    </row>
    <row r="1282" spans="1:27" ht="26.25" x14ac:dyDescent="0.2">
      <c r="A1282" s="341"/>
      <c r="B1282" s="345"/>
      <c r="C1282" s="1814" t="s">
        <v>1037</v>
      </c>
      <c r="D1282" s="730">
        <f t="shared" ref="D1282:Q1282" ca="1" si="284">IF($Q$1255=0,0,D1255/SUM($D$1255:$P$1255))</f>
        <v>0</v>
      </c>
      <c r="E1282" s="730">
        <f t="shared" ca="1" si="284"/>
        <v>0</v>
      </c>
      <c r="F1282" s="730">
        <f t="shared" ca="1" si="284"/>
        <v>0</v>
      </c>
      <c r="G1282" s="730">
        <f t="shared" ca="1" si="284"/>
        <v>0</v>
      </c>
      <c r="H1282" s="730">
        <f t="shared" ca="1" si="284"/>
        <v>0</v>
      </c>
      <c r="I1282" s="730">
        <f t="shared" ca="1" si="284"/>
        <v>0</v>
      </c>
      <c r="J1282" s="730">
        <f t="shared" ca="1" si="284"/>
        <v>0</v>
      </c>
      <c r="K1282" s="730">
        <f t="shared" ca="1" si="284"/>
        <v>0</v>
      </c>
      <c r="L1282" s="730">
        <f t="shared" ca="1" si="284"/>
        <v>0</v>
      </c>
      <c r="M1282" s="730">
        <f t="shared" ca="1" si="284"/>
        <v>0</v>
      </c>
      <c r="N1282" s="730">
        <f t="shared" ca="1" si="284"/>
        <v>0</v>
      </c>
      <c r="O1282" s="730">
        <f t="shared" ca="1" si="284"/>
        <v>0</v>
      </c>
      <c r="P1282" s="730">
        <f t="shared" ca="1" si="284"/>
        <v>0</v>
      </c>
      <c r="Q1282" s="734">
        <f t="shared" ca="1" si="284"/>
        <v>0</v>
      </c>
      <c r="R1282" s="2109"/>
      <c r="S1282" s="346"/>
      <c r="T1282" s="341"/>
      <c r="U1282" s="511"/>
      <c r="V1282" s="511"/>
      <c r="W1282" s="511"/>
      <c r="X1282" s="342"/>
      <c r="Y1282" s="342"/>
      <c r="Z1282" s="342"/>
      <c r="AA1282" s="342"/>
    </row>
    <row r="1283" spans="1:27" ht="26.25" x14ac:dyDescent="0.2">
      <c r="A1283" s="341"/>
      <c r="B1283" s="345"/>
      <c r="C1283" s="1814" t="s">
        <v>1034</v>
      </c>
      <c r="D1283" s="730">
        <f t="shared" ref="D1283:Q1283" ca="1" si="285">IF($Q$1256=0,0,D1256/SUM($D$1256:$P$1256))</f>
        <v>0.68190851900143656</v>
      </c>
      <c r="E1283" s="730">
        <f t="shared" ca="1" si="285"/>
        <v>0.20739072888133933</v>
      </c>
      <c r="F1283" s="730">
        <f t="shared" ca="1" si="285"/>
        <v>0.11070075211722401</v>
      </c>
      <c r="G1283" s="730">
        <f t="shared" ca="1" si="285"/>
        <v>0</v>
      </c>
      <c r="H1283" s="730">
        <f t="shared" ca="1" si="285"/>
        <v>0</v>
      </c>
      <c r="I1283" s="730">
        <f t="shared" ca="1" si="285"/>
        <v>0</v>
      </c>
      <c r="J1283" s="730">
        <f t="shared" ca="1" si="285"/>
        <v>0</v>
      </c>
      <c r="K1283" s="730">
        <f t="shared" ca="1" si="285"/>
        <v>0</v>
      </c>
      <c r="L1283" s="730">
        <f t="shared" ca="1" si="285"/>
        <v>0</v>
      </c>
      <c r="M1283" s="730">
        <f t="shared" ca="1" si="285"/>
        <v>0</v>
      </c>
      <c r="N1283" s="730">
        <f t="shared" ca="1" si="285"/>
        <v>0</v>
      </c>
      <c r="O1283" s="730">
        <f t="shared" ca="1" si="285"/>
        <v>0</v>
      </c>
      <c r="P1283" s="730">
        <f t="shared" ca="1" si="285"/>
        <v>0</v>
      </c>
      <c r="Q1283" s="734">
        <f t="shared" ca="1" si="285"/>
        <v>1</v>
      </c>
      <c r="R1283" s="2109"/>
      <c r="S1283" s="346"/>
      <c r="T1283" s="341"/>
      <c r="U1283" s="511"/>
      <c r="V1283" s="511"/>
      <c r="W1283" s="511"/>
      <c r="X1283" s="342"/>
      <c r="Y1283" s="342"/>
      <c r="Z1283" s="342"/>
      <c r="AA1283" s="342"/>
    </row>
    <row r="1284" spans="1:27" ht="26.25" x14ac:dyDescent="0.2">
      <c r="A1284" s="341"/>
      <c r="B1284" s="345"/>
      <c r="C1284" s="1814" t="s">
        <v>1028</v>
      </c>
      <c r="D1284" s="730">
        <f t="shared" ref="D1284:Q1284" ca="1" si="286">IF($Q$1257=0,0,D1257/SUM($D$1257:$P$1257))</f>
        <v>0</v>
      </c>
      <c r="E1284" s="730">
        <f t="shared" ca="1" si="286"/>
        <v>0</v>
      </c>
      <c r="F1284" s="730">
        <f t="shared" ca="1" si="286"/>
        <v>0</v>
      </c>
      <c r="G1284" s="730">
        <f t="shared" ca="1" si="286"/>
        <v>0</v>
      </c>
      <c r="H1284" s="730">
        <f t="shared" ca="1" si="286"/>
        <v>0</v>
      </c>
      <c r="I1284" s="730">
        <f t="shared" ca="1" si="286"/>
        <v>0</v>
      </c>
      <c r="J1284" s="730">
        <f t="shared" ca="1" si="286"/>
        <v>0</v>
      </c>
      <c r="K1284" s="730">
        <f t="shared" ca="1" si="286"/>
        <v>0</v>
      </c>
      <c r="L1284" s="730">
        <f t="shared" ca="1" si="286"/>
        <v>0</v>
      </c>
      <c r="M1284" s="730">
        <f t="shared" ca="1" si="286"/>
        <v>0</v>
      </c>
      <c r="N1284" s="730">
        <f t="shared" ca="1" si="286"/>
        <v>0</v>
      </c>
      <c r="O1284" s="730">
        <f t="shared" ca="1" si="286"/>
        <v>0</v>
      </c>
      <c r="P1284" s="730">
        <f t="shared" ca="1" si="286"/>
        <v>0</v>
      </c>
      <c r="Q1284" s="734">
        <f t="shared" ca="1" si="286"/>
        <v>0</v>
      </c>
      <c r="R1284" s="2109"/>
      <c r="S1284" s="346"/>
      <c r="T1284" s="341"/>
      <c r="U1284" s="511"/>
      <c r="V1284" s="511"/>
      <c r="W1284" s="511"/>
      <c r="X1284" s="342"/>
      <c r="Y1284" s="342"/>
      <c r="Z1284" s="342"/>
      <c r="AA1284" s="342"/>
    </row>
    <row r="1285" spans="1:27" ht="26.25" x14ac:dyDescent="0.2">
      <c r="A1285" s="341"/>
      <c r="B1285" s="345"/>
      <c r="C1285" s="1814" t="s">
        <v>1029</v>
      </c>
      <c r="D1285" s="730">
        <f t="shared" ref="D1285:Q1285" ca="1" si="287">IF($Q$1258=0,0,D1258/SUM($D$1258:$P$1258))</f>
        <v>0.68190851900143667</v>
      </c>
      <c r="E1285" s="730">
        <f t="shared" ca="1" si="287"/>
        <v>0.20739072888133939</v>
      </c>
      <c r="F1285" s="730">
        <f t="shared" ca="1" si="287"/>
        <v>0.11070075211722402</v>
      </c>
      <c r="G1285" s="730">
        <f t="shared" ca="1" si="287"/>
        <v>0</v>
      </c>
      <c r="H1285" s="730">
        <f t="shared" ca="1" si="287"/>
        <v>0</v>
      </c>
      <c r="I1285" s="730">
        <f t="shared" ca="1" si="287"/>
        <v>0</v>
      </c>
      <c r="J1285" s="730">
        <f t="shared" ca="1" si="287"/>
        <v>0</v>
      </c>
      <c r="K1285" s="730">
        <f t="shared" ca="1" si="287"/>
        <v>0</v>
      </c>
      <c r="L1285" s="730">
        <f t="shared" ca="1" si="287"/>
        <v>0</v>
      </c>
      <c r="M1285" s="730">
        <f t="shared" ca="1" si="287"/>
        <v>0</v>
      </c>
      <c r="N1285" s="730">
        <f t="shared" ca="1" si="287"/>
        <v>0</v>
      </c>
      <c r="O1285" s="730">
        <f t="shared" ca="1" si="287"/>
        <v>0</v>
      </c>
      <c r="P1285" s="730">
        <f t="shared" ca="1" si="287"/>
        <v>0</v>
      </c>
      <c r="Q1285" s="734">
        <f t="shared" ca="1" si="287"/>
        <v>1</v>
      </c>
      <c r="R1285" s="2109"/>
      <c r="S1285" s="346"/>
      <c r="T1285" s="341"/>
      <c r="U1285" s="511"/>
      <c r="V1285" s="511"/>
      <c r="W1285" s="511"/>
      <c r="X1285" s="342"/>
      <c r="Y1285" s="342"/>
      <c r="Z1285" s="342"/>
      <c r="AA1285" s="342"/>
    </row>
    <row r="1286" spans="1:27" ht="26.25" x14ac:dyDescent="0.2">
      <c r="A1286" s="341"/>
      <c r="B1286" s="345"/>
      <c r="C1286" s="1814" t="s">
        <v>1038</v>
      </c>
      <c r="D1286" s="730">
        <f t="shared" ref="D1286:P1286" ca="1" si="288">IF($Q$1259=0,0,D1259/SUM($D$1259:$P$1259))</f>
        <v>0</v>
      </c>
      <c r="E1286" s="730">
        <f t="shared" ca="1" si="288"/>
        <v>0</v>
      </c>
      <c r="F1286" s="730">
        <f t="shared" ca="1" si="288"/>
        <v>0</v>
      </c>
      <c r="G1286" s="730">
        <f t="shared" ca="1" si="288"/>
        <v>0</v>
      </c>
      <c r="H1286" s="730">
        <f t="shared" ca="1" si="288"/>
        <v>0</v>
      </c>
      <c r="I1286" s="730">
        <f t="shared" ca="1" si="288"/>
        <v>0</v>
      </c>
      <c r="J1286" s="730">
        <f t="shared" ca="1" si="288"/>
        <v>0</v>
      </c>
      <c r="K1286" s="730">
        <f t="shared" ca="1" si="288"/>
        <v>0</v>
      </c>
      <c r="L1286" s="730">
        <f t="shared" ca="1" si="288"/>
        <v>0</v>
      </c>
      <c r="M1286" s="730">
        <f t="shared" ca="1" si="288"/>
        <v>0</v>
      </c>
      <c r="N1286" s="730">
        <f t="shared" ca="1" si="288"/>
        <v>0</v>
      </c>
      <c r="O1286" s="730">
        <f t="shared" ca="1" si="288"/>
        <v>0</v>
      </c>
      <c r="P1286" s="730">
        <f t="shared" ca="1" si="288"/>
        <v>0</v>
      </c>
      <c r="Q1286" s="734">
        <f ca="1">IF($Q$1258=0,0,Q1259/SUM($D$1258:$P$1258))</f>
        <v>0</v>
      </c>
      <c r="R1286" s="2109"/>
      <c r="S1286" s="346"/>
      <c r="T1286" s="341"/>
      <c r="U1286" s="511"/>
      <c r="V1286" s="511"/>
      <c r="W1286" s="511"/>
      <c r="X1286" s="342"/>
      <c r="Y1286" s="342"/>
      <c r="Z1286" s="342"/>
      <c r="AA1286" s="342"/>
    </row>
    <row r="1287" spans="1:27" ht="26.25" x14ac:dyDescent="0.2">
      <c r="A1287" s="341"/>
      <c r="B1287" s="345"/>
      <c r="C1287" s="1814" t="s">
        <v>1039</v>
      </c>
      <c r="D1287" s="730">
        <f t="shared" ref="D1287:Q1287" ca="1" si="289">IF($Q$1260=0,0,D1260/SUM($D$1260:$P$1260))</f>
        <v>0.68190851900143667</v>
      </c>
      <c r="E1287" s="730">
        <f t="shared" ca="1" si="289"/>
        <v>0.20739072888133941</v>
      </c>
      <c r="F1287" s="730">
        <f t="shared" ca="1" si="289"/>
        <v>0.11070075211722405</v>
      </c>
      <c r="G1287" s="730">
        <f t="shared" ca="1" si="289"/>
        <v>0</v>
      </c>
      <c r="H1287" s="730">
        <f t="shared" ca="1" si="289"/>
        <v>0</v>
      </c>
      <c r="I1287" s="730">
        <f t="shared" ca="1" si="289"/>
        <v>0</v>
      </c>
      <c r="J1287" s="730">
        <f t="shared" ca="1" si="289"/>
        <v>0</v>
      </c>
      <c r="K1287" s="730">
        <f t="shared" ca="1" si="289"/>
        <v>0</v>
      </c>
      <c r="L1287" s="730">
        <f t="shared" ca="1" si="289"/>
        <v>0</v>
      </c>
      <c r="M1287" s="730">
        <f t="shared" ca="1" si="289"/>
        <v>0</v>
      </c>
      <c r="N1287" s="730">
        <f t="shared" ca="1" si="289"/>
        <v>0</v>
      </c>
      <c r="O1287" s="730">
        <f t="shared" ca="1" si="289"/>
        <v>0</v>
      </c>
      <c r="P1287" s="730">
        <f t="shared" ca="1" si="289"/>
        <v>0</v>
      </c>
      <c r="Q1287" s="734">
        <f t="shared" ca="1" si="289"/>
        <v>1</v>
      </c>
      <c r="R1287" s="2109"/>
      <c r="S1287" s="346"/>
      <c r="T1287" s="341"/>
      <c r="U1287" s="511"/>
      <c r="V1287" s="511"/>
      <c r="W1287" s="511"/>
      <c r="X1287" s="342"/>
      <c r="Y1287" s="342"/>
      <c r="Z1287" s="342"/>
      <c r="AA1287" s="342"/>
    </row>
    <row r="1288" spans="1:27" ht="26.25" x14ac:dyDescent="0.2">
      <c r="A1288" s="341"/>
      <c r="B1288" s="345"/>
      <c r="C1288" s="1814" t="s">
        <v>1053</v>
      </c>
      <c r="D1288" s="730">
        <f t="shared" ref="D1288:Q1288" ca="1" si="290">D1261/SUM($D$1261:$P$1261)</f>
        <v>0.68190851900143656</v>
      </c>
      <c r="E1288" s="730">
        <f t="shared" ca="1" si="290"/>
        <v>0.20739072888133939</v>
      </c>
      <c r="F1288" s="730">
        <f t="shared" ca="1" si="290"/>
        <v>0.11070075211722402</v>
      </c>
      <c r="G1288" s="730">
        <f t="shared" ca="1" si="290"/>
        <v>0</v>
      </c>
      <c r="H1288" s="730">
        <f t="shared" ca="1" si="290"/>
        <v>0</v>
      </c>
      <c r="I1288" s="730">
        <f t="shared" ca="1" si="290"/>
        <v>0</v>
      </c>
      <c r="J1288" s="730">
        <f t="shared" ca="1" si="290"/>
        <v>0</v>
      </c>
      <c r="K1288" s="730">
        <f t="shared" ca="1" si="290"/>
        <v>0</v>
      </c>
      <c r="L1288" s="730">
        <f t="shared" ca="1" si="290"/>
        <v>0</v>
      </c>
      <c r="M1288" s="730">
        <f t="shared" ca="1" si="290"/>
        <v>0</v>
      </c>
      <c r="N1288" s="730">
        <f t="shared" ca="1" si="290"/>
        <v>0</v>
      </c>
      <c r="O1288" s="730">
        <f t="shared" ca="1" si="290"/>
        <v>0</v>
      </c>
      <c r="P1288" s="730">
        <f t="shared" ca="1" si="290"/>
        <v>0</v>
      </c>
      <c r="Q1288" s="734">
        <f t="shared" ca="1" si="290"/>
        <v>1</v>
      </c>
      <c r="R1288" s="2109"/>
      <c r="S1288" s="346"/>
      <c r="T1288" s="341"/>
      <c r="U1288" s="511"/>
      <c r="V1288" s="511"/>
      <c r="W1288" s="511"/>
      <c r="X1288" s="342"/>
      <c r="Y1288" s="342"/>
      <c r="Z1288" s="342"/>
      <c r="AA1288" s="342"/>
    </row>
    <row r="1289" spans="1:27" ht="26.25" x14ac:dyDescent="0.2">
      <c r="A1289" s="341"/>
      <c r="B1289" s="345"/>
      <c r="C1289" s="1814" t="s">
        <v>1051</v>
      </c>
      <c r="D1289" s="730">
        <f t="shared" ref="D1289:Q1289" ca="1" si="291">D1262/SUM($D$1262:$P$1262)</f>
        <v>0.80845345712167516</v>
      </c>
      <c r="E1289" s="730">
        <f t="shared" ca="1" si="291"/>
        <v>0</v>
      </c>
      <c r="F1289" s="730">
        <f t="shared" ca="1" si="291"/>
        <v>0.19154654287832484</v>
      </c>
      <c r="G1289" s="730">
        <f t="shared" ca="1" si="291"/>
        <v>0</v>
      </c>
      <c r="H1289" s="730">
        <f t="shared" ca="1" si="291"/>
        <v>0</v>
      </c>
      <c r="I1289" s="730">
        <f t="shared" ca="1" si="291"/>
        <v>0</v>
      </c>
      <c r="J1289" s="730">
        <f t="shared" ca="1" si="291"/>
        <v>0</v>
      </c>
      <c r="K1289" s="730">
        <f t="shared" ca="1" si="291"/>
        <v>0</v>
      </c>
      <c r="L1289" s="730">
        <f t="shared" ca="1" si="291"/>
        <v>0</v>
      </c>
      <c r="M1289" s="730">
        <f t="shared" ca="1" si="291"/>
        <v>0</v>
      </c>
      <c r="N1289" s="730">
        <f t="shared" ca="1" si="291"/>
        <v>0</v>
      </c>
      <c r="O1289" s="730">
        <f t="shared" ca="1" si="291"/>
        <v>0</v>
      </c>
      <c r="P1289" s="730">
        <f t="shared" ca="1" si="291"/>
        <v>0</v>
      </c>
      <c r="Q1289" s="734">
        <f t="shared" ca="1" si="291"/>
        <v>1</v>
      </c>
      <c r="R1289" s="2109"/>
      <c r="S1289" s="346"/>
      <c r="T1289" s="341"/>
      <c r="U1289" s="511"/>
      <c r="V1289" s="511"/>
      <c r="W1289" s="511"/>
      <c r="X1289" s="342"/>
      <c r="Y1289" s="342"/>
      <c r="Z1289" s="342"/>
      <c r="AA1289" s="342"/>
    </row>
    <row r="1290" spans="1:27" ht="26.25" x14ac:dyDescent="0.2">
      <c r="A1290" s="341"/>
      <c r="B1290" s="345"/>
      <c r="C1290" s="1814" t="s">
        <v>976</v>
      </c>
      <c r="D1290" s="730">
        <f t="shared" ref="D1290:Q1290" ca="1" si="292">IF(SUM($D$1263:$P$1263)&lt;=0,0,D1263/SUM($D$1263:$P$1263))</f>
        <v>0</v>
      </c>
      <c r="E1290" s="730">
        <f t="shared" ca="1" si="292"/>
        <v>0</v>
      </c>
      <c r="F1290" s="730">
        <f t="shared" ca="1" si="292"/>
        <v>0</v>
      </c>
      <c r="G1290" s="730">
        <f t="shared" ca="1" si="292"/>
        <v>0</v>
      </c>
      <c r="H1290" s="730">
        <f t="shared" ca="1" si="292"/>
        <v>0</v>
      </c>
      <c r="I1290" s="730">
        <f t="shared" ca="1" si="292"/>
        <v>0</v>
      </c>
      <c r="J1290" s="730">
        <f t="shared" ca="1" si="292"/>
        <v>0</v>
      </c>
      <c r="K1290" s="730">
        <f t="shared" ca="1" si="292"/>
        <v>0</v>
      </c>
      <c r="L1290" s="730">
        <f t="shared" ca="1" si="292"/>
        <v>0</v>
      </c>
      <c r="M1290" s="730">
        <f t="shared" ca="1" si="292"/>
        <v>0</v>
      </c>
      <c r="N1290" s="730">
        <f t="shared" ca="1" si="292"/>
        <v>0</v>
      </c>
      <c r="O1290" s="730">
        <f t="shared" ca="1" si="292"/>
        <v>0</v>
      </c>
      <c r="P1290" s="730">
        <f t="shared" ca="1" si="292"/>
        <v>0</v>
      </c>
      <c r="Q1290" s="734">
        <f t="shared" ca="1" si="292"/>
        <v>0</v>
      </c>
      <c r="R1290" s="2109"/>
      <c r="S1290" s="346"/>
      <c r="T1290" s="341"/>
      <c r="U1290" s="511"/>
      <c r="V1290" s="511"/>
      <c r="W1290" s="511"/>
      <c r="X1290" s="342"/>
      <c r="Y1290" s="342"/>
      <c r="Z1290" s="342"/>
      <c r="AA1290" s="342"/>
    </row>
    <row r="1291" spans="1:27" ht="26.25" x14ac:dyDescent="0.2">
      <c r="A1291" s="341"/>
      <c r="B1291" s="345"/>
      <c r="C1291" s="1816" t="s">
        <v>979</v>
      </c>
      <c r="D1291" s="736">
        <f t="shared" ref="D1291:Q1291" ca="1" si="293">IF(SUM($D$1266:$P$1266)&gt;0,D1266/SUM($D$1266:$P$1266),0)</f>
        <v>0</v>
      </c>
      <c r="E1291" s="736">
        <f t="shared" ca="1" si="293"/>
        <v>0</v>
      </c>
      <c r="F1291" s="736">
        <f t="shared" ca="1" si="293"/>
        <v>0</v>
      </c>
      <c r="G1291" s="736">
        <f t="shared" ca="1" si="293"/>
        <v>0</v>
      </c>
      <c r="H1291" s="736">
        <f t="shared" ca="1" si="293"/>
        <v>0</v>
      </c>
      <c r="I1291" s="736">
        <f t="shared" ca="1" si="293"/>
        <v>0</v>
      </c>
      <c r="J1291" s="736">
        <f t="shared" ca="1" si="293"/>
        <v>0</v>
      </c>
      <c r="K1291" s="736">
        <f t="shared" ca="1" si="293"/>
        <v>0</v>
      </c>
      <c r="L1291" s="736">
        <f t="shared" ca="1" si="293"/>
        <v>0</v>
      </c>
      <c r="M1291" s="736">
        <f t="shared" ca="1" si="293"/>
        <v>0</v>
      </c>
      <c r="N1291" s="736">
        <f t="shared" ca="1" si="293"/>
        <v>0</v>
      </c>
      <c r="O1291" s="736">
        <f t="shared" ca="1" si="293"/>
        <v>0</v>
      </c>
      <c r="P1291" s="736">
        <f t="shared" ca="1" si="293"/>
        <v>0</v>
      </c>
      <c r="Q1291" s="737">
        <f t="shared" ca="1" si="293"/>
        <v>0</v>
      </c>
      <c r="R1291" s="2109"/>
      <c r="S1291" s="346"/>
      <c r="T1291" s="341"/>
      <c r="U1291" s="511"/>
      <c r="V1291" s="511"/>
      <c r="W1291" s="511"/>
      <c r="X1291" s="342"/>
      <c r="Y1291" s="342"/>
      <c r="Z1291" s="342"/>
      <c r="AA1291" s="342"/>
    </row>
    <row r="1292" spans="1:27" ht="26.25" x14ac:dyDescent="0.2">
      <c r="A1292" s="341"/>
      <c r="B1292" s="345"/>
      <c r="C1292" s="437"/>
      <c r="D1292" s="2109"/>
      <c r="E1292" s="437"/>
      <c r="F1292" s="2109"/>
      <c r="G1292" s="2109"/>
      <c r="H1292" s="2109"/>
      <c r="I1292" s="2109"/>
      <c r="J1292" s="2109"/>
      <c r="K1292" s="2109"/>
      <c r="L1292" s="2109"/>
      <c r="M1292" s="2109"/>
      <c r="N1292" s="2109"/>
      <c r="O1292" s="2109"/>
      <c r="P1292" s="2109"/>
      <c r="Q1292" s="2109"/>
      <c r="R1292" s="2109"/>
      <c r="S1292" s="346"/>
      <c r="T1292" s="341"/>
      <c r="U1292" s="511"/>
      <c r="V1292" s="511"/>
      <c r="W1292" s="511"/>
      <c r="X1292" s="342"/>
      <c r="Y1292" s="342"/>
      <c r="Z1292" s="342"/>
      <c r="AA1292" s="342"/>
    </row>
    <row r="1293" spans="1:27" ht="26.25" x14ac:dyDescent="0.2">
      <c r="A1293" s="341"/>
      <c r="B1293" s="345"/>
      <c r="C1293" s="440" t="s">
        <v>1406</v>
      </c>
      <c r="D1293" s="440"/>
      <c r="E1293" s="437"/>
      <c r="F1293" s="2109"/>
      <c r="G1293" s="2109"/>
      <c r="H1293" s="2109"/>
      <c r="I1293" s="2109"/>
      <c r="J1293" s="2109"/>
      <c r="K1293" s="2109"/>
      <c r="L1293" s="2109"/>
      <c r="M1293" s="2109"/>
      <c r="N1293" s="2109"/>
      <c r="O1293" s="2109"/>
      <c r="P1293" s="2109"/>
      <c r="Q1293" s="2109"/>
      <c r="R1293" s="2109"/>
      <c r="S1293" s="346"/>
      <c r="T1293" s="341"/>
      <c r="U1293" s="511"/>
      <c r="V1293" s="511"/>
      <c r="W1293" s="511"/>
      <c r="X1293" s="342"/>
      <c r="Y1293" s="342"/>
      <c r="Z1293" s="342"/>
      <c r="AA1293" s="342"/>
    </row>
    <row r="1294" spans="1:27" ht="26.25" x14ac:dyDescent="0.2">
      <c r="A1294" s="341"/>
      <c r="B1294" s="345"/>
      <c r="C1294" s="525" t="s">
        <v>160</v>
      </c>
      <c r="D1294" s="526"/>
      <c r="E1294" s="527"/>
      <c r="F1294" s="526"/>
      <c r="G1294" s="526"/>
      <c r="H1294" s="526"/>
      <c r="I1294" s="526"/>
      <c r="J1294" s="526"/>
      <c r="K1294" s="526"/>
      <c r="L1294" s="526"/>
      <c r="M1294" s="526"/>
      <c r="N1294" s="526"/>
      <c r="O1294" s="526"/>
      <c r="P1294" s="526"/>
      <c r="Q1294" s="528"/>
      <c r="R1294" s="2109"/>
      <c r="S1294" s="346"/>
      <c r="T1294" s="341"/>
      <c r="U1294" s="511"/>
      <c r="V1294" s="511"/>
      <c r="W1294" s="511"/>
      <c r="X1294" s="342"/>
      <c r="Y1294" s="342"/>
      <c r="Z1294" s="342"/>
      <c r="AA1294" s="342"/>
    </row>
    <row r="1295" spans="1:27" ht="26.25" x14ac:dyDescent="0.2">
      <c r="A1295" s="341"/>
      <c r="B1295" s="345"/>
      <c r="C1295" s="517" t="str">
        <f>C1243</f>
        <v>Crude</v>
      </c>
      <c r="D1295" s="533">
        <f ca="1">D1243/D1098</f>
        <v>1.825850910665068</v>
      </c>
      <c r="E1295" s="534">
        <f ca="1">E1243/E1098</f>
        <v>1.5494745319714134</v>
      </c>
      <c r="F1295" s="533">
        <f ca="1">F1243/F1098</f>
        <v>1.5287223920773192</v>
      </c>
      <c r="G1295" s="533">
        <f ca="1">G1243/G1098</f>
        <v>0</v>
      </c>
      <c r="H1295" s="533">
        <f ca="1">H1243/H1098</f>
        <v>0</v>
      </c>
      <c r="I1295" s="533">
        <f ca="1">IF($I$1098&lt;1,0,I1243/$I$1098)</f>
        <v>0</v>
      </c>
      <c r="J1295" s="533">
        <f ca="1">IF(J1098&gt;1,J1243/J1098,0)</f>
        <v>0</v>
      </c>
      <c r="K1295" s="533">
        <f ca="1">IF(K$1098=0,0,K1243/K$1098)</f>
        <v>0</v>
      </c>
      <c r="L1295" s="533">
        <f ca="1">IF(L$1098=0,0,L1243/L$1098)</f>
        <v>0</v>
      </c>
      <c r="M1295" s="533">
        <f ca="1">M1243/M1098</f>
        <v>0</v>
      </c>
      <c r="N1295" s="533" t="e">
        <f ca="1">N1243/N$1098</f>
        <v>#DIV/0!</v>
      </c>
      <c r="O1295" s="533" t="e">
        <f ca="1">O1243/O$1098</f>
        <v>#DIV/0!</v>
      </c>
      <c r="P1295" s="533">
        <f ca="1">IF(P$1098&lt;&gt;0, P1243/P$1098, 0)</f>
        <v>0</v>
      </c>
      <c r="Q1295" s="535">
        <f ca="1">Q1243/Q1098</f>
        <v>0.98095402046027413</v>
      </c>
      <c r="R1295" s="2109"/>
      <c r="S1295" s="346"/>
      <c r="T1295" s="341"/>
      <c r="U1295" s="511"/>
      <c r="V1295" s="511"/>
      <c r="W1295" s="511"/>
      <c r="X1295" s="342"/>
      <c r="Y1295" s="342"/>
      <c r="Z1295" s="342"/>
      <c r="AA1295" s="342"/>
    </row>
    <row r="1296" spans="1:27" ht="26.25" x14ac:dyDescent="0.2">
      <c r="A1296" s="341"/>
      <c r="B1296" s="345"/>
      <c r="C1296" s="529" t="str">
        <f>C1244</f>
        <v>Process Energy</v>
      </c>
      <c r="D1296" s="537"/>
      <c r="E1296" s="538"/>
      <c r="F1296" s="537"/>
      <c r="G1296" s="537"/>
      <c r="H1296" s="537"/>
      <c r="I1296" s="537"/>
      <c r="J1296" s="537"/>
      <c r="K1296" s="537"/>
      <c r="L1296" s="537"/>
      <c r="M1296" s="537"/>
      <c r="N1296" s="537"/>
      <c r="O1296" s="537"/>
      <c r="P1296" s="537"/>
      <c r="Q1296" s="539"/>
      <c r="R1296" s="2109"/>
      <c r="S1296" s="346"/>
      <c r="T1296" s="341"/>
      <c r="U1296" s="511"/>
      <c r="V1296" s="511"/>
      <c r="W1296" s="511"/>
      <c r="X1296" s="342"/>
      <c r="Y1296" s="342"/>
      <c r="Z1296" s="342"/>
      <c r="AA1296" s="342"/>
    </row>
    <row r="1297" spans="1:27" ht="26.25" x14ac:dyDescent="0.2">
      <c r="A1297" s="341"/>
      <c r="B1297" s="345"/>
      <c r="C1297" s="517" t="s">
        <v>392</v>
      </c>
      <c r="D1297" s="533">
        <f ca="1">D1245/D1098</f>
        <v>5.1483981475435488E-3</v>
      </c>
      <c r="E1297" s="534">
        <f ca="1">E1245/E1098</f>
        <v>2.1157491153671985E-3</v>
      </c>
      <c r="F1297" s="533">
        <f ca="1">F1245/F1098</f>
        <v>1.9861576532102117E-3</v>
      </c>
      <c r="G1297" s="533">
        <f ca="1">G1245/G1098</f>
        <v>0</v>
      </c>
      <c r="H1297" s="533">
        <f ca="1">H1245/H1098</f>
        <v>0</v>
      </c>
      <c r="I1297" s="533">
        <f ca="1">IF($I$1098&lt;1,0,I1245/$I$1098)</f>
        <v>0</v>
      </c>
      <c r="J1297" s="533">
        <f ca="1">IF(J1098&gt;1,J1245/J1098,0)</f>
        <v>0</v>
      </c>
      <c r="K1297" s="533">
        <f t="shared" ref="K1297:K1315" ca="1" si="294">IF(K$1098=0,0,K1245/K$1098)</f>
        <v>0</v>
      </c>
      <c r="L1297" s="533">
        <f t="shared" ref="L1297:L1316" ca="1" si="295">IF(L$1098=0,0,L1245/L$1098)</f>
        <v>0</v>
      </c>
      <c r="M1297" s="533">
        <f ca="1">M1245/M1098</f>
        <v>0</v>
      </c>
      <c r="N1297" s="533" t="e">
        <f t="shared" ref="N1297:O1297" ca="1" si="296">N1245/N$1098</f>
        <v>#DIV/0!</v>
      </c>
      <c r="O1297" s="533" t="e">
        <f t="shared" ca="1" si="296"/>
        <v>#DIV/0!</v>
      </c>
      <c r="P1297" s="533">
        <f t="shared" ref="P1297:P1315" ca="1" si="297">IF(P$1098&lt;&gt;0, P1245/P$1098, 0)</f>
        <v>0</v>
      </c>
      <c r="Q1297" s="535">
        <f ca="1">Q1245/Q1098</f>
        <v>1.8760598987776565E-3</v>
      </c>
      <c r="R1297" s="2109"/>
      <c r="S1297" s="346"/>
      <c r="T1297" s="341"/>
      <c r="U1297" s="511"/>
      <c r="V1297" s="511"/>
      <c r="W1297" s="511"/>
      <c r="X1297" s="342"/>
      <c r="Y1297" s="342"/>
      <c r="Z1297" s="342"/>
      <c r="AA1297" s="342"/>
    </row>
    <row r="1298" spans="1:27" ht="26.25" x14ac:dyDescent="0.2">
      <c r="A1298" s="341"/>
      <c r="B1298" s="345"/>
      <c r="C1298" s="517" t="s">
        <v>1023</v>
      </c>
      <c r="D1298" s="533">
        <f ca="1">D1246/D1098</f>
        <v>0</v>
      </c>
      <c r="E1298" s="534">
        <f ca="1">E1246/E1098</f>
        <v>0</v>
      </c>
      <c r="F1298" s="533">
        <f ca="1">F1246/F1098</f>
        <v>0</v>
      </c>
      <c r="G1298" s="533">
        <f ca="1">G1246/G1098</f>
        <v>0</v>
      </c>
      <c r="H1298" s="533">
        <f ca="1">H1246/H1098</f>
        <v>0</v>
      </c>
      <c r="I1298" s="533">
        <f ca="1">IF($I$1098&lt;1,0,I1246/$I$1098)</f>
        <v>0</v>
      </c>
      <c r="J1298" s="533">
        <f ca="1">IF(J1098&gt;1,J1246/J1098,0)</f>
        <v>0</v>
      </c>
      <c r="K1298" s="533">
        <f t="shared" ca="1" si="294"/>
        <v>0</v>
      </c>
      <c r="L1298" s="533">
        <f t="shared" ca="1" si="295"/>
        <v>0</v>
      </c>
      <c r="M1298" s="533">
        <f ca="1">M1246/M1098</f>
        <v>0</v>
      </c>
      <c r="N1298" s="533" t="e">
        <f t="shared" ref="N1298:O1298" ca="1" si="298">N1246/N$1098</f>
        <v>#DIV/0!</v>
      </c>
      <c r="O1298" s="533" t="e">
        <f t="shared" ca="1" si="298"/>
        <v>#DIV/0!</v>
      </c>
      <c r="P1298" s="533">
        <f t="shared" ca="1" si="297"/>
        <v>0</v>
      </c>
      <c r="Q1298" s="535">
        <f ca="1">Q1246/Q1098</f>
        <v>0</v>
      </c>
      <c r="R1298" s="2109"/>
      <c r="S1298" s="346"/>
      <c r="T1298" s="341"/>
      <c r="U1298" s="511"/>
      <c r="V1298" s="511"/>
      <c r="W1298" s="511"/>
      <c r="X1298" s="342"/>
      <c r="Y1298" s="342"/>
      <c r="Z1298" s="342"/>
      <c r="AA1298" s="342"/>
    </row>
    <row r="1299" spans="1:27" ht="26.25" x14ac:dyDescent="0.2">
      <c r="A1299" s="341"/>
      <c r="B1299" s="345"/>
      <c r="C1299" s="517" t="s">
        <v>971</v>
      </c>
      <c r="D1299" s="533">
        <f ca="1">D1247/D1098</f>
        <v>5.6504225329004419E-2</v>
      </c>
      <c r="E1299" s="534">
        <f ca="1">E1247/E1098</f>
        <v>2.1654089849511709E-2</v>
      </c>
      <c r="F1299" s="533">
        <f ca="1">F1247/F1098</f>
        <v>2.1076061999092031E-2</v>
      </c>
      <c r="G1299" s="533">
        <f ca="1">G1247/G1098</f>
        <v>0</v>
      </c>
      <c r="H1299" s="533">
        <f ca="1">H1247/H1098</f>
        <v>0</v>
      </c>
      <c r="I1299" s="533">
        <f ca="1">IF($I$1098&lt;1,0,I1247/$I$1098)</f>
        <v>0</v>
      </c>
      <c r="J1299" s="533">
        <f ca="1">IF(J1098&gt;1,J1247/J1098,0)</f>
        <v>0</v>
      </c>
      <c r="K1299" s="533">
        <f t="shared" ca="1" si="294"/>
        <v>0</v>
      </c>
      <c r="L1299" s="533">
        <f t="shared" ca="1" si="295"/>
        <v>0</v>
      </c>
      <c r="M1299" s="533">
        <f ca="1">M1247/M1098</f>
        <v>0</v>
      </c>
      <c r="N1299" s="533" t="e">
        <f t="shared" ref="N1299:O1299" ca="1" si="299">N1247/N$1098</f>
        <v>#DIV/0!</v>
      </c>
      <c r="O1299" s="533" t="e">
        <f t="shared" ca="1" si="299"/>
        <v>#DIV/0!</v>
      </c>
      <c r="P1299" s="533">
        <f t="shared" ca="1" si="297"/>
        <v>0</v>
      </c>
      <c r="Q1299" s="535">
        <f ca="1">Q1247/Q1098</f>
        <v>2.008527483186431E-2</v>
      </c>
      <c r="R1299" s="2109"/>
      <c r="S1299" s="346"/>
      <c r="T1299" s="341"/>
      <c r="U1299" s="511"/>
      <c r="V1299" s="511"/>
      <c r="W1299" s="511"/>
      <c r="X1299" s="342"/>
      <c r="Y1299" s="342"/>
      <c r="Z1299" s="342"/>
      <c r="AA1299" s="342"/>
    </row>
    <row r="1300" spans="1:27" ht="26.25" x14ac:dyDescent="0.2">
      <c r="A1300" s="341"/>
      <c r="B1300" s="345"/>
      <c r="C1300" s="517" t="s">
        <v>90</v>
      </c>
      <c r="D1300" s="533">
        <f ca="1">D1248/D1098</f>
        <v>4.8219469457969795E-2</v>
      </c>
      <c r="E1300" s="534">
        <f ca="1">E1248/E1098</f>
        <v>1.8479126438048638E-2</v>
      </c>
      <c r="F1300" s="533">
        <f ca="1">F1248/F1098</f>
        <v>1.7985850119032188E-2</v>
      </c>
      <c r="G1300" s="533">
        <f ca="1">G1248/G1098</f>
        <v>0</v>
      </c>
      <c r="H1300" s="533">
        <f ca="1">H1248/H1098</f>
        <v>0</v>
      </c>
      <c r="I1300" s="533">
        <f ca="1">IF($I$1098&lt;1,0,I1248/$I$1098)</f>
        <v>0</v>
      </c>
      <c r="J1300" s="533">
        <f ca="1">IF(J1098&gt;1,J1248/J1098,0)</f>
        <v>0</v>
      </c>
      <c r="K1300" s="533">
        <f t="shared" ca="1" si="294"/>
        <v>0</v>
      </c>
      <c r="L1300" s="533">
        <f t="shared" ca="1" si="295"/>
        <v>0</v>
      </c>
      <c r="M1300" s="533">
        <f ca="1">M1248/M1098</f>
        <v>0</v>
      </c>
      <c r="N1300" s="533" t="e">
        <f t="shared" ref="N1300:O1300" ca="1" si="300">N1248/N$1098</f>
        <v>#DIV/0!</v>
      </c>
      <c r="O1300" s="533" t="e">
        <f t="shared" ca="1" si="300"/>
        <v>#DIV/0!</v>
      </c>
      <c r="P1300" s="533">
        <f t="shared" ca="1" si="297"/>
        <v>0</v>
      </c>
      <c r="Q1300" s="535">
        <f ca="1">Q1248/Q1098</f>
        <v>1.7140334031141295E-2</v>
      </c>
      <c r="R1300" s="2109"/>
      <c r="S1300" s="346"/>
      <c r="T1300" s="341"/>
      <c r="U1300" s="511"/>
      <c r="V1300" s="511"/>
      <c r="W1300" s="511"/>
      <c r="X1300" s="342"/>
      <c r="Y1300" s="342"/>
      <c r="Z1300" s="342"/>
      <c r="AA1300" s="342"/>
    </row>
    <row r="1301" spans="1:27" ht="26.25" x14ac:dyDescent="0.2">
      <c r="A1301" s="341"/>
      <c r="B1301" s="345"/>
      <c r="C1301" s="517" t="s">
        <v>485</v>
      </c>
      <c r="D1301" s="533"/>
      <c r="E1301" s="534"/>
      <c r="F1301" s="533"/>
      <c r="G1301" s="533"/>
      <c r="H1301" s="533"/>
      <c r="I1301" s="533"/>
      <c r="J1301" s="533"/>
      <c r="K1301" s="533"/>
      <c r="L1301" s="533"/>
      <c r="M1301" s="533"/>
      <c r="N1301" s="533" t="e">
        <f t="shared" ref="N1301:O1301" ca="1" si="301">N1249/N$1098</f>
        <v>#DIV/0!</v>
      </c>
      <c r="O1301" s="533" t="e">
        <f t="shared" ca="1" si="301"/>
        <v>#DIV/0!</v>
      </c>
      <c r="P1301" s="533">
        <f t="shared" ca="1" si="297"/>
        <v>0</v>
      </c>
      <c r="Q1301" s="535"/>
      <c r="R1301" s="2109"/>
      <c r="S1301" s="346"/>
      <c r="T1301" s="341"/>
      <c r="U1301" s="511"/>
      <c r="V1301" s="511"/>
      <c r="W1301" s="511"/>
      <c r="X1301" s="342"/>
      <c r="Y1301" s="342"/>
      <c r="Z1301" s="342"/>
      <c r="AA1301" s="342"/>
    </row>
    <row r="1302" spans="1:27" ht="26.25" x14ac:dyDescent="0.2">
      <c r="A1302" s="341"/>
      <c r="B1302" s="345"/>
      <c r="C1302" s="517" t="s">
        <v>971</v>
      </c>
      <c r="D1302" s="533">
        <f t="shared" ref="D1302:I1302" ca="1" si="302">D1250/D1098</f>
        <v>0</v>
      </c>
      <c r="E1302" s="534">
        <f t="shared" ca="1" si="302"/>
        <v>0</v>
      </c>
      <c r="F1302" s="533">
        <f t="shared" ca="1" si="302"/>
        <v>0</v>
      </c>
      <c r="G1302" s="533">
        <f t="shared" ca="1" si="302"/>
        <v>0</v>
      </c>
      <c r="H1302" s="533">
        <f t="shared" ca="1" si="302"/>
        <v>0</v>
      </c>
      <c r="I1302" s="533">
        <f t="shared" ca="1" si="302"/>
        <v>0</v>
      </c>
      <c r="J1302" s="533">
        <f ca="1">IF(J1098&gt;1,J1250/J1098,0)</f>
        <v>0</v>
      </c>
      <c r="K1302" s="533">
        <f t="shared" ca="1" si="294"/>
        <v>0</v>
      </c>
      <c r="L1302" s="533">
        <f t="shared" ca="1" si="295"/>
        <v>0</v>
      </c>
      <c r="M1302" s="533">
        <f ca="1">M1250/M1098</f>
        <v>0</v>
      </c>
      <c r="N1302" s="533" t="e">
        <f t="shared" ref="N1302:O1302" ca="1" si="303">N1250/N$1098</f>
        <v>#DIV/0!</v>
      </c>
      <c r="O1302" s="533" t="e">
        <f t="shared" ca="1" si="303"/>
        <v>#DIV/0!</v>
      </c>
      <c r="P1302" s="533">
        <f t="shared" ca="1" si="297"/>
        <v>0</v>
      </c>
      <c r="Q1302" s="535">
        <f ca="1">Q1250/Q1098</f>
        <v>0</v>
      </c>
      <c r="R1302" s="2109"/>
      <c r="S1302" s="346"/>
      <c r="T1302" s="341"/>
      <c r="U1302" s="511"/>
      <c r="V1302" s="511"/>
      <c r="W1302" s="511"/>
      <c r="X1302" s="342"/>
      <c r="Y1302" s="342"/>
      <c r="Z1302" s="342"/>
      <c r="AA1302" s="342"/>
    </row>
    <row r="1303" spans="1:27" ht="26.25" x14ac:dyDescent="0.2">
      <c r="A1303" s="341"/>
      <c r="B1303" s="345"/>
      <c r="C1303" s="517" t="s">
        <v>90</v>
      </c>
      <c r="D1303" s="533">
        <f ca="1">D1251/D1098</f>
        <v>1.2321963863719082E-2</v>
      </c>
      <c r="E1303" s="534">
        <f ca="1">E1251/E1098</f>
        <v>4.5601607570658681E-3</v>
      </c>
      <c r="F1303" s="533">
        <f ca="1">F1251/F1098</f>
        <v>4.277191678517824E-3</v>
      </c>
      <c r="G1303" s="533">
        <f ca="1">G1251/G1098</f>
        <v>0</v>
      </c>
      <c r="H1303" s="533">
        <f ca="1">H1251/H1098</f>
        <v>0</v>
      </c>
      <c r="I1303" s="533">
        <f ca="1">IF($I$1098&lt;1,0,I1251/$I$1098)</f>
        <v>0</v>
      </c>
      <c r="J1303" s="533">
        <f ca="1">IF(J1098&gt;1,J1251/J1098,0)</f>
        <v>0</v>
      </c>
      <c r="K1303" s="533">
        <f t="shared" ca="1" si="294"/>
        <v>0</v>
      </c>
      <c r="L1303" s="533">
        <f t="shared" ca="1" si="295"/>
        <v>0</v>
      </c>
      <c r="M1303" s="533">
        <f ca="1">M1251/M1098</f>
        <v>0</v>
      </c>
      <c r="N1303" s="533" t="e">
        <f t="shared" ref="N1303:O1303" ca="1" si="304">N1251/N$1098</f>
        <v>#DIV/0!</v>
      </c>
      <c r="O1303" s="533" t="e">
        <f t="shared" ca="1" si="304"/>
        <v>#DIV/0!</v>
      </c>
      <c r="P1303" s="533">
        <f t="shared" ca="1" si="297"/>
        <v>0</v>
      </c>
      <c r="Q1303" s="535">
        <f ca="1">Q1251/Q1098</f>
        <v>4.2966872332189498E-3</v>
      </c>
      <c r="R1303" s="2109"/>
      <c r="S1303" s="346"/>
      <c r="T1303" s="341"/>
      <c r="U1303" s="511"/>
      <c r="V1303" s="511"/>
      <c r="W1303" s="511"/>
      <c r="X1303" s="342"/>
      <c r="Y1303" s="342"/>
      <c r="Z1303" s="342"/>
      <c r="AA1303" s="342"/>
    </row>
    <row r="1304" spans="1:27" ht="26.25" x14ac:dyDescent="0.2">
      <c r="A1304" s="341"/>
      <c r="B1304" s="345"/>
      <c r="C1304" s="517" t="s">
        <v>392</v>
      </c>
      <c r="D1304" s="533">
        <f ca="1">D1252/D1098</f>
        <v>6.1413286546993954E-5</v>
      </c>
      <c r="E1304" s="534">
        <f ca="1">E1252/E1098</f>
        <v>2.2728070165717518E-5</v>
      </c>
      <c r="F1304" s="533">
        <f ca="1">F1252/F1098</f>
        <v>2.1317738071173886E-5</v>
      </c>
      <c r="G1304" s="533">
        <f ca="1">G1252/G1098</f>
        <v>0</v>
      </c>
      <c r="H1304" s="533">
        <f ca="1">H1252/H1098</f>
        <v>0</v>
      </c>
      <c r="I1304" s="533">
        <f ca="1">IF($I$1098&lt;1,0,I1252/$I$1098)</f>
        <v>0</v>
      </c>
      <c r="J1304" s="533">
        <f ca="1">IF(J1098&gt;1,J1252/J1098,0)</f>
        <v>0</v>
      </c>
      <c r="K1304" s="533">
        <f t="shared" ca="1" si="294"/>
        <v>0</v>
      </c>
      <c r="L1304" s="533">
        <f t="shared" ca="1" si="295"/>
        <v>0</v>
      </c>
      <c r="M1304" s="533">
        <f ca="1">M1252/M1098</f>
        <v>0</v>
      </c>
      <c r="N1304" s="533" t="e">
        <f t="shared" ref="N1304:O1304" ca="1" si="305">N1252/N$1098</f>
        <v>#DIV/0!</v>
      </c>
      <c r="O1304" s="533" t="e">
        <f t="shared" ca="1" si="305"/>
        <v>#DIV/0!</v>
      </c>
      <c r="P1304" s="533">
        <f t="shared" ca="1" si="297"/>
        <v>0</v>
      </c>
      <c r="Q1304" s="535">
        <f ca="1">Q1252/Q1098</f>
        <v>2.1414904894619792E-5</v>
      </c>
      <c r="R1304" s="2109"/>
      <c r="S1304" s="346"/>
      <c r="T1304" s="341"/>
      <c r="U1304" s="511"/>
      <c r="V1304" s="511"/>
      <c r="W1304" s="511"/>
      <c r="X1304" s="342"/>
      <c r="Y1304" s="342"/>
      <c r="Z1304" s="342"/>
      <c r="AA1304" s="342"/>
    </row>
    <row r="1305" spans="1:27" ht="26.25" x14ac:dyDescent="0.2">
      <c r="A1305" s="341"/>
      <c r="B1305" s="345"/>
      <c r="C1305" s="517" t="s">
        <v>1027</v>
      </c>
      <c r="D1305" s="533"/>
      <c r="E1305" s="534"/>
      <c r="F1305" s="533"/>
      <c r="G1305" s="533"/>
      <c r="H1305" s="533"/>
      <c r="I1305" s="533"/>
      <c r="J1305" s="533"/>
      <c r="K1305" s="533"/>
      <c r="L1305" s="533"/>
      <c r="M1305" s="533"/>
      <c r="N1305" s="533" t="e">
        <f t="shared" ref="N1305:O1305" ca="1" si="306">N1253/N$1098</f>
        <v>#DIV/0!</v>
      </c>
      <c r="O1305" s="533" t="e">
        <f t="shared" ca="1" si="306"/>
        <v>#DIV/0!</v>
      </c>
      <c r="P1305" s="533">
        <f t="shared" ca="1" si="297"/>
        <v>0</v>
      </c>
      <c r="Q1305" s="535"/>
      <c r="R1305" s="2109"/>
      <c r="S1305" s="346"/>
      <c r="T1305" s="341"/>
      <c r="U1305" s="511"/>
      <c r="V1305" s="511"/>
      <c r="W1305" s="511"/>
      <c r="X1305" s="342"/>
      <c r="Y1305" s="342"/>
      <c r="Z1305" s="342"/>
      <c r="AA1305" s="342"/>
    </row>
    <row r="1306" spans="1:27" ht="26.25" x14ac:dyDescent="0.2">
      <c r="A1306" s="341"/>
      <c r="B1306" s="345"/>
      <c r="C1306" s="517" t="s">
        <v>1036</v>
      </c>
      <c r="D1306" s="533">
        <f ca="1">D1254/D1098</f>
        <v>0</v>
      </c>
      <c r="E1306" s="534">
        <f ca="1">E1254/E1098</f>
        <v>0</v>
      </c>
      <c r="F1306" s="533">
        <f ca="1">F1254/F1098</f>
        <v>0</v>
      </c>
      <c r="G1306" s="533">
        <f ca="1">G1254/G1098</f>
        <v>0</v>
      </c>
      <c r="H1306" s="533">
        <f ca="1">H1254/H1098</f>
        <v>0</v>
      </c>
      <c r="I1306" s="533">
        <f t="shared" ref="I1306:I1315" ca="1" si="307">IF($I$1098&lt;1,0,I1254/$I$1098)</f>
        <v>0</v>
      </c>
      <c r="J1306" s="533">
        <f ca="1">IF(J1098&gt;1,J1254/J1098,0)</f>
        <v>0</v>
      </c>
      <c r="K1306" s="533">
        <f t="shared" ca="1" si="294"/>
        <v>0</v>
      </c>
      <c r="L1306" s="533">
        <f t="shared" ca="1" si="295"/>
        <v>0</v>
      </c>
      <c r="M1306" s="533">
        <f ca="1">M1254/M1098</f>
        <v>0</v>
      </c>
      <c r="N1306" s="533" t="e">
        <f t="shared" ref="N1306:O1306" ca="1" si="308">N1254/N$1098</f>
        <v>#DIV/0!</v>
      </c>
      <c r="O1306" s="533" t="e">
        <f t="shared" ca="1" si="308"/>
        <v>#DIV/0!</v>
      </c>
      <c r="P1306" s="533">
        <f t="shared" ca="1" si="297"/>
        <v>0</v>
      </c>
      <c r="Q1306" s="535">
        <f ca="1">Q1254/Q1098</f>
        <v>0</v>
      </c>
      <c r="R1306" s="2109"/>
      <c r="S1306" s="346"/>
      <c r="T1306" s="341"/>
      <c r="U1306" s="511"/>
      <c r="V1306" s="511"/>
      <c r="W1306" s="511"/>
      <c r="X1306" s="342"/>
      <c r="Y1306" s="342"/>
      <c r="Z1306" s="342"/>
      <c r="AA1306" s="342"/>
    </row>
    <row r="1307" spans="1:27" ht="26.25" x14ac:dyDescent="0.2">
      <c r="A1307" s="341"/>
      <c r="B1307" s="345"/>
      <c r="C1307" s="517" t="s">
        <v>1037</v>
      </c>
      <c r="D1307" s="533">
        <f ca="1">D1255/D1098</f>
        <v>0</v>
      </c>
      <c r="E1307" s="534">
        <f ca="1">E1255/E1098</f>
        <v>0</v>
      </c>
      <c r="F1307" s="533">
        <f ca="1">F1255/F1098</f>
        <v>0</v>
      </c>
      <c r="G1307" s="533">
        <f ca="1">G1255/G1098</f>
        <v>0</v>
      </c>
      <c r="H1307" s="533">
        <f ca="1">H1255/H1098</f>
        <v>0</v>
      </c>
      <c r="I1307" s="533">
        <f t="shared" ca="1" si="307"/>
        <v>0</v>
      </c>
      <c r="J1307" s="533">
        <f ca="1">IF(J1098&gt;1,J1255/J1098,0)</f>
        <v>0</v>
      </c>
      <c r="K1307" s="533">
        <f t="shared" ca="1" si="294"/>
        <v>0</v>
      </c>
      <c r="L1307" s="533">
        <f t="shared" ca="1" si="295"/>
        <v>0</v>
      </c>
      <c r="M1307" s="533">
        <f ca="1">M1255/M1098</f>
        <v>0</v>
      </c>
      <c r="N1307" s="533" t="e">
        <f t="shared" ref="N1307:O1307" ca="1" si="309">N1255/N$1098</f>
        <v>#DIV/0!</v>
      </c>
      <c r="O1307" s="533" t="e">
        <f t="shared" ca="1" si="309"/>
        <v>#DIV/0!</v>
      </c>
      <c r="P1307" s="533">
        <f t="shared" ca="1" si="297"/>
        <v>0</v>
      </c>
      <c r="Q1307" s="535">
        <f ca="1">Q1255/Q1098</f>
        <v>0</v>
      </c>
      <c r="R1307" s="2109"/>
      <c r="S1307" s="346"/>
      <c r="T1307" s="341"/>
      <c r="U1307" s="511"/>
      <c r="V1307" s="511"/>
      <c r="W1307" s="511"/>
      <c r="X1307" s="342"/>
      <c r="Y1307" s="342"/>
      <c r="Z1307" s="342"/>
      <c r="AA1307" s="342"/>
    </row>
    <row r="1308" spans="1:27" ht="26.25" x14ac:dyDescent="0.2">
      <c r="A1308" s="341"/>
      <c r="B1308" s="345"/>
      <c r="C1308" s="517" t="s">
        <v>1034</v>
      </c>
      <c r="D1308" s="533">
        <f ca="1">D1256/D1098</f>
        <v>1.9691332753680224E-4</v>
      </c>
      <c r="E1308" s="534">
        <f ca="1">E1256/E1098</f>
        <v>4.7060912909040273E-5</v>
      </c>
      <c r="F1308" s="533">
        <f ca="1">F1256/F1098</f>
        <v>5.1861280962734358E-5</v>
      </c>
      <c r="G1308" s="533">
        <f ca="1">G1256/G1098</f>
        <v>0</v>
      </c>
      <c r="H1308" s="533">
        <f ca="1">H1256/H1098</f>
        <v>0</v>
      </c>
      <c r="I1308" s="533">
        <f t="shared" ca="1" si="307"/>
        <v>0</v>
      </c>
      <c r="J1308" s="533">
        <f ca="1">IF(J1098&gt;1,J1256/J1098,0)</f>
        <v>0</v>
      </c>
      <c r="K1308" s="533">
        <f t="shared" ca="1" si="294"/>
        <v>0</v>
      </c>
      <c r="L1308" s="533">
        <f t="shared" ca="1" si="295"/>
        <v>0</v>
      </c>
      <c r="M1308" s="533">
        <f ca="1">M1256/M1098</f>
        <v>0</v>
      </c>
      <c r="N1308" s="533" t="e">
        <f t="shared" ref="N1308:O1308" ca="1" si="310">N1256/N$1098</f>
        <v>#DIV/0!</v>
      </c>
      <c r="O1308" s="533" t="e">
        <f t="shared" ca="1" si="310"/>
        <v>#DIV/0!</v>
      </c>
      <c r="P1308" s="533">
        <f t="shared" ca="1" si="297"/>
        <v>0</v>
      </c>
      <c r="Q1308" s="535">
        <f ca="1">Q1256/Q1098</f>
        <v>5.9761959066274883E-5</v>
      </c>
      <c r="R1308" s="2109"/>
      <c r="S1308" s="346"/>
      <c r="T1308" s="341"/>
      <c r="U1308" s="511"/>
      <c r="V1308" s="511"/>
      <c r="W1308" s="511"/>
      <c r="X1308" s="342"/>
      <c r="Y1308" s="342"/>
      <c r="Z1308" s="342"/>
      <c r="AA1308" s="342"/>
    </row>
    <row r="1309" spans="1:27" ht="26.25" x14ac:dyDescent="0.2">
      <c r="A1309" s="341"/>
      <c r="B1309" s="345"/>
      <c r="C1309" s="517" t="s">
        <v>1028</v>
      </c>
      <c r="D1309" s="533">
        <f ca="1">D1257/D1098</f>
        <v>0</v>
      </c>
      <c r="E1309" s="534">
        <f ca="1">E1257/E1098</f>
        <v>0</v>
      </c>
      <c r="F1309" s="533">
        <f ca="1">F1257/F1098</f>
        <v>0</v>
      </c>
      <c r="G1309" s="533">
        <f ca="1">G1257/G1098</f>
        <v>0</v>
      </c>
      <c r="H1309" s="533">
        <f ca="1">H1257/H1098</f>
        <v>0</v>
      </c>
      <c r="I1309" s="533">
        <f t="shared" ca="1" si="307"/>
        <v>0</v>
      </c>
      <c r="J1309" s="533">
        <f ca="1">IF(J1098&gt;1,J1257/J1098,0)</f>
        <v>0</v>
      </c>
      <c r="K1309" s="533">
        <f t="shared" ca="1" si="294"/>
        <v>0</v>
      </c>
      <c r="L1309" s="533">
        <f t="shared" ca="1" si="295"/>
        <v>0</v>
      </c>
      <c r="M1309" s="533">
        <f ca="1">M1257/M1098</f>
        <v>0</v>
      </c>
      <c r="N1309" s="533" t="e">
        <f t="shared" ref="N1309:O1309" ca="1" si="311">N1257/N$1098</f>
        <v>#DIV/0!</v>
      </c>
      <c r="O1309" s="533" t="e">
        <f t="shared" ca="1" si="311"/>
        <v>#DIV/0!</v>
      </c>
      <c r="P1309" s="533">
        <f t="shared" ca="1" si="297"/>
        <v>0</v>
      </c>
      <c r="Q1309" s="535">
        <f ca="1">Q1257/Q1098</f>
        <v>0</v>
      </c>
      <c r="R1309" s="2109"/>
      <c r="S1309" s="346"/>
      <c r="T1309" s="341"/>
      <c r="U1309" s="511"/>
      <c r="V1309" s="511"/>
      <c r="W1309" s="511"/>
      <c r="X1309" s="342"/>
      <c r="Y1309" s="342"/>
      <c r="Z1309" s="342"/>
      <c r="AA1309" s="342"/>
    </row>
    <row r="1310" spans="1:27" ht="26.25" x14ac:dyDescent="0.2">
      <c r="A1310" s="341"/>
      <c r="B1310" s="345"/>
      <c r="C1310" s="517" t="s">
        <v>1029</v>
      </c>
      <c r="D1310" s="533">
        <f ca="1">D1258/D1098</f>
        <v>1.7403955716636554E-2</v>
      </c>
      <c r="E1310" s="534">
        <f ca="1">E1258/E1098</f>
        <v>4.1594241207485077E-3</v>
      </c>
      <c r="F1310" s="533">
        <f ca="1">F1258/F1098</f>
        <v>4.5836990749891461E-3</v>
      </c>
      <c r="G1310" s="533">
        <f ca="1">G1258/G1098</f>
        <v>0</v>
      </c>
      <c r="H1310" s="533">
        <f ca="1">H1258/H1098</f>
        <v>0</v>
      </c>
      <c r="I1310" s="533">
        <f t="shared" ca="1" si="307"/>
        <v>0</v>
      </c>
      <c r="J1310" s="533">
        <f ca="1">IF(J1098&gt;1,J1258/J1098,0)</f>
        <v>0</v>
      </c>
      <c r="K1310" s="533">
        <f t="shared" ca="1" si="294"/>
        <v>0</v>
      </c>
      <c r="L1310" s="533">
        <f t="shared" ca="1" si="295"/>
        <v>0</v>
      </c>
      <c r="M1310" s="533">
        <f ca="1">M1258/M1098</f>
        <v>0</v>
      </c>
      <c r="N1310" s="533" t="e">
        <f t="shared" ref="N1310:O1310" ca="1" si="312">N1258/N$1098</f>
        <v>#DIV/0!</v>
      </c>
      <c r="O1310" s="533" t="e">
        <f t="shared" ca="1" si="312"/>
        <v>#DIV/0!</v>
      </c>
      <c r="P1310" s="533">
        <f t="shared" ca="1" si="297"/>
        <v>0</v>
      </c>
      <c r="Q1310" s="535">
        <f ca="1">Q1258/Q1098</f>
        <v>5.2819913316152021E-3</v>
      </c>
      <c r="R1310" s="2109"/>
      <c r="S1310" s="346"/>
      <c r="T1310" s="341"/>
      <c r="U1310" s="511"/>
      <c r="V1310" s="511"/>
      <c r="W1310" s="511"/>
      <c r="X1310" s="342"/>
      <c r="Y1310" s="342"/>
      <c r="Z1310" s="342"/>
      <c r="AA1310" s="342"/>
    </row>
    <row r="1311" spans="1:27" ht="26.25" x14ac:dyDescent="0.2">
      <c r="A1311" s="341"/>
      <c r="B1311" s="345"/>
      <c r="C1311" s="517" t="s">
        <v>1038</v>
      </c>
      <c r="D1311" s="533">
        <f ca="1">D1259/D1098</f>
        <v>0</v>
      </c>
      <c r="E1311" s="534">
        <f ca="1">E1259/E1098</f>
        <v>0</v>
      </c>
      <c r="F1311" s="533">
        <f ca="1">F1259/F1098</f>
        <v>0</v>
      </c>
      <c r="G1311" s="533">
        <f ca="1">G1259/G1098</f>
        <v>0</v>
      </c>
      <c r="H1311" s="533">
        <f ca="1">H1259/H1098</f>
        <v>0</v>
      </c>
      <c r="I1311" s="533">
        <f t="shared" ca="1" si="307"/>
        <v>0</v>
      </c>
      <c r="J1311" s="533">
        <f ca="1">IF(J1098&gt;1,J1259/J1098,0)</f>
        <v>0</v>
      </c>
      <c r="K1311" s="533">
        <f t="shared" ca="1" si="294"/>
        <v>0</v>
      </c>
      <c r="L1311" s="533">
        <f t="shared" ca="1" si="295"/>
        <v>0</v>
      </c>
      <c r="M1311" s="533">
        <f ca="1">M1259/M1098</f>
        <v>0</v>
      </c>
      <c r="N1311" s="533" t="e">
        <f t="shared" ref="N1311:O1311" ca="1" si="313">N1259/N$1098</f>
        <v>#DIV/0!</v>
      </c>
      <c r="O1311" s="533" t="e">
        <f t="shared" ca="1" si="313"/>
        <v>#DIV/0!</v>
      </c>
      <c r="P1311" s="533">
        <f t="shared" ca="1" si="297"/>
        <v>0</v>
      </c>
      <c r="Q1311" s="535">
        <f ca="1">Q1259/Q1098</f>
        <v>0</v>
      </c>
      <c r="R1311" s="2109"/>
      <c r="S1311" s="346"/>
      <c r="T1311" s="341"/>
      <c r="U1311" s="511"/>
      <c r="V1311" s="511"/>
      <c r="W1311" s="511"/>
      <c r="X1311" s="342"/>
      <c r="Y1311" s="342"/>
      <c r="Z1311" s="342"/>
      <c r="AA1311" s="342"/>
    </row>
    <row r="1312" spans="1:27" ht="26.25" x14ac:dyDescent="0.2">
      <c r="A1312" s="341"/>
      <c r="B1312" s="345"/>
      <c r="C1312" s="517" t="s">
        <v>1039</v>
      </c>
      <c r="D1312" s="533">
        <f ca="1">D1260/D1098</f>
        <v>1.5417882497155816E-2</v>
      </c>
      <c r="E1312" s="534">
        <f ca="1">E1260/E1098</f>
        <v>3.6847664630768003E-3</v>
      </c>
      <c r="F1312" s="533">
        <f ca="1">F1260/F1098</f>
        <v>4.0606247735363778E-3</v>
      </c>
      <c r="G1312" s="533">
        <f ca="1">G1260/G1098</f>
        <v>0</v>
      </c>
      <c r="H1312" s="533">
        <f ca="1">H1260/H1098</f>
        <v>0</v>
      </c>
      <c r="I1312" s="533">
        <f t="shared" ca="1" si="307"/>
        <v>0</v>
      </c>
      <c r="J1312" s="533">
        <f ca="1">IF(J1098&gt;1,J1260/J1098,0)</f>
        <v>0</v>
      </c>
      <c r="K1312" s="533">
        <f t="shared" ca="1" si="294"/>
        <v>0</v>
      </c>
      <c r="L1312" s="533">
        <f t="shared" ca="1" si="295"/>
        <v>0</v>
      </c>
      <c r="M1312" s="533">
        <f ca="1">M1260/M1098</f>
        <v>0</v>
      </c>
      <c r="N1312" s="533" t="e">
        <f t="shared" ref="N1312:O1312" ca="1" si="314">N1260/N$1098</f>
        <v>#DIV/0!</v>
      </c>
      <c r="O1312" s="533" t="e">
        <f t="shared" ca="1" si="314"/>
        <v>#DIV/0!</v>
      </c>
      <c r="P1312" s="533">
        <f t="shared" ca="1" si="297"/>
        <v>0</v>
      </c>
      <c r="Q1312" s="535">
        <f ca="1">Q1260/Q1098</f>
        <v>4.6792305742304587E-3</v>
      </c>
      <c r="R1312" s="2109"/>
      <c r="S1312" s="346"/>
      <c r="T1312" s="341"/>
      <c r="U1312" s="511"/>
      <c r="V1312" s="511"/>
      <c r="W1312" s="511"/>
      <c r="X1312" s="342"/>
      <c r="Y1312" s="342"/>
      <c r="Z1312" s="342"/>
      <c r="AA1312" s="342"/>
    </row>
    <row r="1313" spans="1:27" ht="26.25" x14ac:dyDescent="0.2">
      <c r="A1313" s="341"/>
      <c r="B1313" s="345"/>
      <c r="C1313" s="517" t="s">
        <v>1053</v>
      </c>
      <c r="D1313" s="533">
        <f ca="1">D1261/D1098</f>
        <v>3.6719360132289457E-2</v>
      </c>
      <c r="E1313" s="534">
        <f ca="1">E1261/E1098</f>
        <v>8.7756711588675776E-3</v>
      </c>
      <c r="F1313" s="533">
        <f ca="1">F1261/F1098</f>
        <v>9.670818508902515E-3</v>
      </c>
      <c r="G1313" s="533">
        <f ca="1">G1261/G1098</f>
        <v>0</v>
      </c>
      <c r="H1313" s="533">
        <f ca="1">H1261/H1098</f>
        <v>0</v>
      </c>
      <c r="I1313" s="533">
        <f t="shared" ca="1" si="307"/>
        <v>0</v>
      </c>
      <c r="J1313" s="533">
        <f ca="1">IF(J1098&gt;1,J1261/J1098,0)</f>
        <v>0</v>
      </c>
      <c r="K1313" s="533">
        <f t="shared" ca="1" si="294"/>
        <v>0</v>
      </c>
      <c r="L1313" s="533">
        <f t="shared" ca="1" si="295"/>
        <v>0</v>
      </c>
      <c r="M1313" s="533">
        <f ca="1">M1261/M1098</f>
        <v>0</v>
      </c>
      <c r="N1313" s="533" t="e">
        <f t="shared" ref="N1313:O1313" ca="1" si="315">N1261/N$1098</f>
        <v>#DIV/0!</v>
      </c>
      <c r="O1313" s="533" t="e">
        <f t="shared" ca="1" si="315"/>
        <v>#DIV/0!</v>
      </c>
      <c r="P1313" s="533">
        <f t="shared" ca="1" si="297"/>
        <v>0</v>
      </c>
      <c r="Q1313" s="535">
        <f ca="1">Q1261/Q1098</f>
        <v>1.1144095347002659E-2</v>
      </c>
      <c r="R1313" s="2109"/>
      <c r="S1313" s="346"/>
      <c r="T1313" s="341"/>
      <c r="U1313" s="511"/>
      <c r="V1313" s="511"/>
      <c r="W1313" s="511"/>
      <c r="X1313" s="342"/>
      <c r="Y1313" s="342"/>
      <c r="Z1313" s="342"/>
      <c r="AA1313" s="342"/>
    </row>
    <row r="1314" spans="1:27" ht="26.25" x14ac:dyDescent="0.2">
      <c r="A1314" s="341"/>
      <c r="B1314" s="345"/>
      <c r="C1314" s="517" t="s">
        <v>1051</v>
      </c>
      <c r="D1314" s="533">
        <f ca="1">D1262/D1098</f>
        <v>2.7923001614085446E-22</v>
      </c>
      <c r="E1314" s="534">
        <f ca="1">E1262/E1098</f>
        <v>0</v>
      </c>
      <c r="F1314" s="533">
        <f ca="1">F1262/F1098</f>
        <v>1.0733097384548451E-22</v>
      </c>
      <c r="G1314" s="533">
        <f ca="1">G1262/G1098</f>
        <v>0</v>
      </c>
      <c r="H1314" s="533">
        <f ca="1">H1262/H1098</f>
        <v>0</v>
      </c>
      <c r="I1314" s="533">
        <f t="shared" ca="1" si="307"/>
        <v>0</v>
      </c>
      <c r="J1314" s="533">
        <f ca="1">IF(J1098&gt;1,J1262/J1098,0)</f>
        <v>0</v>
      </c>
      <c r="K1314" s="533">
        <f t="shared" ca="1" si="294"/>
        <v>0</v>
      </c>
      <c r="L1314" s="533">
        <f t="shared" ca="1" si="295"/>
        <v>0</v>
      </c>
      <c r="M1314" s="533">
        <f ca="1">M1262/M1098</f>
        <v>0</v>
      </c>
      <c r="N1314" s="533" t="e">
        <f t="shared" ref="N1314:O1314" ca="1" si="316">N1262/N$1098</f>
        <v>#DIV/0!</v>
      </c>
      <c r="O1314" s="533" t="e">
        <f t="shared" ca="1" si="316"/>
        <v>#DIV/0!</v>
      </c>
      <c r="P1314" s="533">
        <f t="shared" ca="1" si="297"/>
        <v>0</v>
      </c>
      <c r="Q1314" s="535">
        <f ca="1">Q1262/Q1098</f>
        <v>7.1479731013869106E-23</v>
      </c>
      <c r="R1314" s="2109"/>
      <c r="S1314" s="346"/>
      <c r="T1314" s="341"/>
      <c r="U1314" s="511"/>
      <c r="V1314" s="511"/>
      <c r="W1314" s="511"/>
      <c r="X1314" s="342"/>
      <c r="Y1314" s="342"/>
      <c r="Z1314" s="342"/>
      <c r="AA1314" s="342"/>
    </row>
    <row r="1315" spans="1:27" ht="26.25" x14ac:dyDescent="0.2">
      <c r="A1315" s="341"/>
      <c r="B1315" s="345"/>
      <c r="C1315" s="517" t="s">
        <v>976</v>
      </c>
      <c r="D1315" s="533">
        <f ca="1">D1263/D1098</f>
        <v>0</v>
      </c>
      <c r="E1315" s="534">
        <f ca="1">E1263/E1098</f>
        <v>0</v>
      </c>
      <c r="F1315" s="533">
        <f ca="1">F1263/F1098</f>
        <v>0</v>
      </c>
      <c r="G1315" s="533">
        <f ca="1">G1263/G1098</f>
        <v>0</v>
      </c>
      <c r="H1315" s="533">
        <f ca="1">H1263/H1098</f>
        <v>0</v>
      </c>
      <c r="I1315" s="533">
        <f t="shared" ca="1" si="307"/>
        <v>0</v>
      </c>
      <c r="J1315" s="533">
        <f ca="1">IF(J1098&gt;1,J1263/J1098,0)</f>
        <v>0</v>
      </c>
      <c r="K1315" s="533">
        <f t="shared" ca="1" si="294"/>
        <v>0</v>
      </c>
      <c r="L1315" s="533">
        <f t="shared" ca="1" si="295"/>
        <v>0</v>
      </c>
      <c r="M1315" s="533">
        <f ca="1">M1263/M1098</f>
        <v>0</v>
      </c>
      <c r="N1315" s="533" t="e">
        <f t="shared" ref="N1315:O1315" ca="1" si="317">N1263/N$1098</f>
        <v>#DIV/0!</v>
      </c>
      <c r="O1315" s="533" t="e">
        <f t="shared" ca="1" si="317"/>
        <v>#DIV/0!</v>
      </c>
      <c r="P1315" s="533">
        <f t="shared" ca="1" si="297"/>
        <v>0</v>
      </c>
      <c r="Q1315" s="535">
        <f ca="1">Q1263/Q1098</f>
        <v>0</v>
      </c>
      <c r="R1315" s="2109"/>
      <c r="S1315" s="346"/>
      <c r="T1315" s="341"/>
      <c r="U1315" s="511"/>
      <c r="V1315" s="511"/>
      <c r="W1315" s="511"/>
      <c r="X1315" s="342"/>
      <c r="Y1315" s="342"/>
      <c r="Z1315" s="342"/>
      <c r="AA1315" s="342"/>
    </row>
    <row r="1316" spans="1:27" ht="26.25" x14ac:dyDescent="0.2">
      <c r="A1316" s="341"/>
      <c r="B1316" s="345"/>
      <c r="C1316" s="517" t="s">
        <v>979</v>
      </c>
      <c r="D1316" s="2013">
        <f t="shared" ref="D1316:I1316" ca="1" si="318">IF(D1098=0,0,D1266/D1098)</f>
        <v>0</v>
      </c>
      <c r="E1316" s="2013">
        <f t="shared" ca="1" si="318"/>
        <v>0</v>
      </c>
      <c r="F1316" s="2013">
        <f t="shared" ca="1" si="318"/>
        <v>0</v>
      </c>
      <c r="G1316" s="2013">
        <f t="shared" ca="1" si="318"/>
        <v>0</v>
      </c>
      <c r="H1316" s="2013">
        <f t="shared" ca="1" si="318"/>
        <v>0</v>
      </c>
      <c r="I1316" s="2013">
        <f t="shared" ca="1" si="318"/>
        <v>0</v>
      </c>
      <c r="J1316" s="2013">
        <f ca="1">IF(J1098&lt;1,0,J1266/J1098)</f>
        <v>0</v>
      </c>
      <c r="K1316" s="2013">
        <f ca="1">IF(K1098=0,0,K1266/K1098)</f>
        <v>0</v>
      </c>
      <c r="L1316" s="533">
        <f t="shared" ca="1" si="295"/>
        <v>0</v>
      </c>
      <c r="M1316" s="2013">
        <f ca="1">IF(M1098=0,0,M1266/M1098)</f>
        <v>0</v>
      </c>
      <c r="N1316" s="533"/>
      <c r="O1316" s="533"/>
      <c r="P1316" s="533"/>
      <c r="Q1316" s="2013">
        <f ca="1">IF(Q1098=0,0,Q1266/Q1098)</f>
        <v>0</v>
      </c>
      <c r="R1316" s="2109"/>
      <c r="S1316" s="346"/>
      <c r="T1316" s="341"/>
      <c r="U1316" s="511"/>
      <c r="V1316" s="511"/>
      <c r="W1316" s="511"/>
      <c r="X1316" s="342"/>
      <c r="Y1316" s="342"/>
      <c r="Z1316" s="342"/>
      <c r="AA1316" s="342"/>
    </row>
    <row r="1317" spans="1:27" ht="26.25" x14ac:dyDescent="0.2">
      <c r="A1317" s="341"/>
      <c r="B1317" s="345"/>
      <c r="C1317" s="529" t="str">
        <f>C1264</f>
        <v xml:space="preserve">Total Refinery Processes </v>
      </c>
      <c r="D1317" s="554">
        <f t="shared" ref="D1317:Q1317" ca="1" si="319">SUM(D1297:D1315)</f>
        <v>0.19199358175840248</v>
      </c>
      <c r="E1317" s="555">
        <f t="shared" ca="1" si="319"/>
        <v>6.3498776885761055E-2</v>
      </c>
      <c r="F1317" s="554">
        <f t="shared" ca="1" si="319"/>
        <v>6.3713582826314202E-2</v>
      </c>
      <c r="G1317" s="554">
        <f t="shared" ca="1" si="319"/>
        <v>0</v>
      </c>
      <c r="H1317" s="554">
        <f t="shared" ca="1" si="319"/>
        <v>0</v>
      </c>
      <c r="I1317" s="554">
        <f t="shared" ca="1" si="319"/>
        <v>0</v>
      </c>
      <c r="J1317" s="554">
        <f t="shared" ca="1" si="319"/>
        <v>0</v>
      </c>
      <c r="K1317" s="554">
        <f t="shared" ca="1" si="319"/>
        <v>0</v>
      </c>
      <c r="L1317" s="554">
        <f t="shared" ref="L1317" ca="1" si="320">SUM(L1297:L1315)</f>
        <v>0</v>
      </c>
      <c r="M1317" s="554">
        <f t="shared" ca="1" si="319"/>
        <v>0</v>
      </c>
      <c r="N1317" s="554" t="e">
        <f t="shared" ref="N1317:P1317" ca="1" si="321">SUM(N1297:N1315)</f>
        <v>#DIV/0!</v>
      </c>
      <c r="O1317" s="554" t="e">
        <f t="shared" ca="1" si="321"/>
        <v>#DIV/0!</v>
      </c>
      <c r="P1317" s="554">
        <f t="shared" ca="1" si="321"/>
        <v>0</v>
      </c>
      <c r="Q1317" s="556">
        <f t="shared" ca="1" si="319"/>
        <v>6.4584850111811434E-2</v>
      </c>
      <c r="R1317" s="2109"/>
      <c r="S1317" s="346"/>
      <c r="T1317" s="341"/>
      <c r="U1317" s="511"/>
      <c r="V1317" s="511"/>
      <c r="W1317" s="511"/>
      <c r="X1317" s="342"/>
      <c r="Y1317" s="342"/>
      <c r="Z1317" s="342"/>
      <c r="AA1317" s="342"/>
    </row>
    <row r="1318" spans="1:27" ht="26.25" x14ac:dyDescent="0.2">
      <c r="A1318" s="341"/>
      <c r="B1318" s="345"/>
      <c r="C1318" s="489" t="str">
        <f>C1265</f>
        <v>Total included Feedstock</v>
      </c>
      <c r="D1318" s="567">
        <f t="shared" ref="D1318:Q1318" ca="1" si="322">D1317+D1295</f>
        <v>2.0178444924234706</v>
      </c>
      <c r="E1318" s="568">
        <f t="shared" ca="1" si="322"/>
        <v>1.6129733088571745</v>
      </c>
      <c r="F1318" s="567">
        <f t="shared" ca="1" si="322"/>
        <v>1.5924359749036334</v>
      </c>
      <c r="G1318" s="567">
        <f t="shared" ca="1" si="322"/>
        <v>0</v>
      </c>
      <c r="H1318" s="567">
        <f t="shared" ca="1" si="322"/>
        <v>0</v>
      </c>
      <c r="I1318" s="567">
        <f t="shared" ca="1" si="322"/>
        <v>0</v>
      </c>
      <c r="J1318" s="567">
        <f t="shared" ca="1" si="322"/>
        <v>0</v>
      </c>
      <c r="K1318" s="567">
        <f t="shared" ca="1" si="322"/>
        <v>0</v>
      </c>
      <c r="L1318" s="567">
        <f t="shared" ref="L1318" ca="1" si="323">L1317+L1295</f>
        <v>0</v>
      </c>
      <c r="M1318" s="567">
        <f t="shared" ca="1" si="322"/>
        <v>0</v>
      </c>
      <c r="N1318" s="567" t="e">
        <f t="shared" ref="N1318:P1318" ca="1" si="324">N1317+N1295</f>
        <v>#DIV/0!</v>
      </c>
      <c r="O1318" s="567" t="e">
        <f t="shared" ca="1" si="324"/>
        <v>#DIV/0!</v>
      </c>
      <c r="P1318" s="567">
        <f t="shared" ca="1" si="324"/>
        <v>0</v>
      </c>
      <c r="Q1318" s="569">
        <f t="shared" ca="1" si="322"/>
        <v>1.0455388705720856</v>
      </c>
      <c r="R1318" s="2109"/>
      <c r="S1318" s="346"/>
      <c r="T1318" s="341"/>
      <c r="U1318" s="511"/>
      <c r="V1318" s="511"/>
      <c r="W1318" s="511"/>
      <c r="X1318" s="342"/>
      <c r="Y1318" s="342"/>
      <c r="Z1318" s="342"/>
      <c r="AA1318" s="342"/>
    </row>
    <row r="1319" spans="1:27" ht="26.25" x14ac:dyDescent="0.2">
      <c r="A1319" s="341"/>
      <c r="B1319" s="345"/>
      <c r="C1319" s="437"/>
      <c r="D1319" s="2109"/>
      <c r="E1319" s="437"/>
      <c r="F1319" s="2109"/>
      <c r="G1319" s="2109"/>
      <c r="H1319" s="2109"/>
      <c r="I1319" s="2109"/>
      <c r="J1319" s="2109"/>
      <c r="K1319" s="2109"/>
      <c r="L1319" s="2109"/>
      <c r="M1319" s="2109"/>
      <c r="N1319" s="2109"/>
      <c r="O1319" s="2109"/>
      <c r="P1319" s="2109"/>
      <c r="Q1319" s="2109"/>
      <c r="R1319" s="2109"/>
      <c r="S1319" s="346"/>
      <c r="T1319" s="341"/>
      <c r="U1319" s="511"/>
      <c r="V1319" s="511"/>
      <c r="W1319" s="511"/>
      <c r="X1319" s="342"/>
      <c r="Y1319" s="342"/>
      <c r="Z1319" s="342"/>
      <c r="AA1319" s="342"/>
    </row>
    <row r="1320" spans="1:27" ht="26.25" x14ac:dyDescent="0.2">
      <c r="A1320" s="341"/>
      <c r="B1320" s="345"/>
      <c r="C1320" s="440" t="s">
        <v>1408</v>
      </c>
      <c r="D1320" s="440"/>
      <c r="E1320" s="440"/>
      <c r="F1320" s="440"/>
      <c r="G1320" s="2109"/>
      <c r="H1320" s="2109"/>
      <c r="I1320" s="2109"/>
      <c r="J1320" s="2109"/>
      <c r="K1320" s="2109"/>
      <c r="L1320" s="2109"/>
      <c r="M1320" s="2109"/>
      <c r="N1320" s="2109"/>
      <c r="O1320" s="2109"/>
      <c r="P1320" s="2109"/>
      <c r="Q1320" s="2109"/>
      <c r="R1320" s="2109"/>
      <c r="S1320" s="346"/>
      <c r="T1320" s="341"/>
      <c r="U1320" s="511"/>
      <c r="V1320" s="511"/>
      <c r="W1320" s="511"/>
      <c r="X1320" s="342"/>
      <c r="Y1320" s="342"/>
      <c r="Z1320" s="342"/>
      <c r="AA1320" s="342"/>
    </row>
    <row r="1321" spans="1:27" ht="26.25" x14ac:dyDescent="0.2">
      <c r="A1321" s="341"/>
      <c r="B1321" s="345"/>
      <c r="C1321" s="525" t="s">
        <v>160</v>
      </c>
      <c r="D1321" s="526"/>
      <c r="E1321" s="527"/>
      <c r="F1321" s="526"/>
      <c r="G1321" s="526"/>
      <c r="H1321" s="526"/>
      <c r="I1321" s="526"/>
      <c r="J1321" s="526"/>
      <c r="K1321" s="526"/>
      <c r="L1321" s="526"/>
      <c r="M1321" s="526"/>
      <c r="N1321" s="526"/>
      <c r="O1321" s="526"/>
      <c r="P1321" s="526"/>
      <c r="Q1321" s="528"/>
      <c r="R1321" s="2109"/>
      <c r="S1321" s="346"/>
      <c r="T1321" s="341"/>
      <c r="U1321" s="511"/>
      <c r="V1321" s="511"/>
      <c r="W1321" s="511"/>
      <c r="X1321" s="342"/>
      <c r="Y1321" s="342"/>
      <c r="Z1321" s="342"/>
      <c r="AA1321" s="342"/>
    </row>
    <row r="1322" spans="1:27" ht="26.25" x14ac:dyDescent="0.2">
      <c r="A1322" s="341"/>
      <c r="B1322" s="345"/>
      <c r="C1322" s="517" t="s">
        <v>263</v>
      </c>
      <c r="D1322" s="518">
        <v>0</v>
      </c>
      <c r="E1322" s="518">
        <v>0</v>
      </c>
      <c r="F1322" s="518">
        <v>0</v>
      </c>
      <c r="G1322" s="518">
        <v>0</v>
      </c>
      <c r="H1322" s="518">
        <v>0</v>
      </c>
      <c r="I1322" s="518">
        <v>0</v>
      </c>
      <c r="J1322" s="518">
        <v>0</v>
      </c>
      <c r="K1322" s="518">
        <v>0</v>
      </c>
      <c r="L1322" s="518">
        <v>0</v>
      </c>
      <c r="M1322" s="518">
        <v>0</v>
      </c>
      <c r="N1322" s="518">
        <v>0</v>
      </c>
      <c r="O1322" s="518">
        <v>0</v>
      </c>
      <c r="P1322" s="518">
        <v>0</v>
      </c>
      <c r="Q1322" s="518">
        <v>0</v>
      </c>
      <c r="R1322" s="2109"/>
      <c r="S1322" s="346"/>
      <c r="T1322" s="341"/>
      <c r="U1322" s="511"/>
      <c r="V1322" s="511"/>
      <c r="W1322" s="511"/>
      <c r="X1322" s="342"/>
      <c r="Y1322" s="342"/>
      <c r="Z1322" s="342"/>
      <c r="AA1322" s="342"/>
    </row>
    <row r="1323" spans="1:27" ht="26.25" x14ac:dyDescent="0.2">
      <c r="A1323" s="341"/>
      <c r="B1323" s="345"/>
      <c r="C1323" s="529" t="str">
        <f>C1296</f>
        <v>Process Energy</v>
      </c>
      <c r="D1323" s="530"/>
      <c r="E1323" s="531"/>
      <c r="F1323" s="530"/>
      <c r="G1323" s="530"/>
      <c r="H1323" s="530"/>
      <c r="I1323" s="530"/>
      <c r="J1323" s="530"/>
      <c r="K1323" s="530"/>
      <c r="L1323" s="530"/>
      <c r="M1323" s="530"/>
      <c r="N1323" s="530"/>
      <c r="O1323" s="530"/>
      <c r="P1323" s="530"/>
      <c r="Q1323" s="532"/>
      <c r="R1323" s="2109"/>
      <c r="S1323" s="346"/>
      <c r="T1323" s="341"/>
      <c r="U1323" s="511"/>
      <c r="V1323" s="511"/>
      <c r="W1323" s="511"/>
      <c r="X1323" s="342"/>
      <c r="Y1323" s="342"/>
      <c r="Z1323" s="342"/>
      <c r="AA1323" s="342"/>
    </row>
    <row r="1324" spans="1:27" ht="26.25" x14ac:dyDescent="0.2">
      <c r="A1324" s="341"/>
      <c r="B1324" s="345"/>
      <c r="C1324" s="517" t="s">
        <v>392</v>
      </c>
      <c r="D1324" s="518">
        <f ca="1">D1297*'Emission Factors'!$G$53</f>
        <v>0.79166721814557428</v>
      </c>
      <c r="E1324" s="519">
        <f ca="1">E1297*'Emission Factors'!$G$53</f>
        <v>0.32533793394667554</v>
      </c>
      <c r="F1324" s="518">
        <f ca="1">F1297*'Emission Factors'!$G$53</f>
        <v>0.30541070427229816</v>
      </c>
      <c r="G1324" s="518">
        <f ca="1">G1297*'Emission Factors'!$G$53</f>
        <v>0</v>
      </c>
      <c r="H1324" s="518">
        <f ca="1">H1297*'Emission Factors'!$G$53</f>
        <v>0</v>
      </c>
      <c r="I1324" s="518">
        <f ca="1">I1297*'Emission Factors'!$G$53</f>
        <v>0</v>
      </c>
      <c r="J1324" s="518">
        <f ca="1">J1297*'Emission Factors'!$G$53</f>
        <v>0</v>
      </c>
      <c r="K1324" s="518">
        <f ca="1">K1297*'Emission Factors'!$G$53</f>
        <v>0</v>
      </c>
      <c r="L1324" s="518">
        <f ca="1">L1297*'Emission Factors'!$G$53</f>
        <v>0</v>
      </c>
      <c r="M1324" s="518">
        <f ca="1">M1297*'Emission Factors'!$G$53</f>
        <v>0</v>
      </c>
      <c r="N1324" s="518" t="e">
        <f ca="1">N1297*'Emission Factors'!$G$53</f>
        <v>#DIV/0!</v>
      </c>
      <c r="O1324" s="518" t="e">
        <f ca="1">O1297*'Emission Factors'!$G$53</f>
        <v>#DIV/0!</v>
      </c>
      <c r="P1324" s="518">
        <f ca="1">P1297*'Emission Factors'!$G$53</f>
        <v>0</v>
      </c>
      <c r="Q1324" s="520">
        <f ca="1">Q1297*'Emission Factors'!$G$53</f>
        <v>0.28848101459449371</v>
      </c>
      <c r="R1324" s="2109"/>
      <c r="S1324" s="346"/>
      <c r="T1324" s="341"/>
      <c r="U1324" s="511"/>
      <c r="V1324" s="511"/>
      <c r="W1324" s="511"/>
      <c r="X1324" s="342"/>
      <c r="Y1324" s="342"/>
      <c r="Z1324" s="342"/>
      <c r="AA1324" s="342"/>
    </row>
    <row r="1325" spans="1:27" ht="26.25" x14ac:dyDescent="0.2">
      <c r="A1325" s="341"/>
      <c r="B1325" s="345"/>
      <c r="C1325" s="517" t="s">
        <v>1023</v>
      </c>
      <c r="D1325" s="518"/>
      <c r="E1325" s="519"/>
      <c r="F1325" s="518"/>
      <c r="G1325" s="518"/>
      <c r="H1325" s="518"/>
      <c r="I1325" s="518"/>
      <c r="J1325" s="518"/>
      <c r="K1325" s="518"/>
      <c r="L1325" s="518"/>
      <c r="M1325" s="518"/>
      <c r="N1325" s="518"/>
      <c r="O1325" s="518"/>
      <c r="P1325" s="518"/>
      <c r="Q1325" s="520"/>
      <c r="R1325" s="2109"/>
      <c r="S1325" s="346"/>
      <c r="T1325" s="341"/>
      <c r="U1325" s="511"/>
      <c r="V1325" s="511"/>
      <c r="W1325" s="511"/>
      <c r="X1325" s="342"/>
      <c r="Y1325" s="342"/>
      <c r="Z1325" s="342"/>
      <c r="AA1325" s="342"/>
    </row>
    <row r="1326" spans="1:27" ht="26.25" x14ac:dyDescent="0.2">
      <c r="A1326" s="341"/>
      <c r="B1326" s="345"/>
      <c r="C1326" s="517" t="s">
        <v>971</v>
      </c>
      <c r="D1326" s="518">
        <f ca="1">D1299*('Emission Factors'!$J$203+'Emission Factors'!$K$203)</f>
        <v>3.3828167462767684</v>
      </c>
      <c r="E1326" s="519">
        <f ca="1">E1299*('Emission Factors'!$J$203+'Emission Factors'!$K$203)</f>
        <v>1.2963953994907493</v>
      </c>
      <c r="F1326" s="518">
        <f ca="1">F1299*('Emission Factors'!$J$203+'Emission Factors'!$K$203)</f>
        <v>1.2617898052926402</v>
      </c>
      <c r="G1326" s="518">
        <f ca="1">G1299*('Emission Factors'!$J$203+'Emission Factors'!$K$203)</f>
        <v>0</v>
      </c>
      <c r="H1326" s="518">
        <f ca="1">H1299*('Emission Factors'!$J$203+'Emission Factors'!$K$203)</f>
        <v>0</v>
      </c>
      <c r="I1326" s="518">
        <f ca="1">I1299*('Emission Factors'!$J$203+'Emission Factors'!$K$203)</f>
        <v>0</v>
      </c>
      <c r="J1326" s="518">
        <f ca="1">J1299*('Emission Factors'!$J$203+'Emission Factors'!$K$203)</f>
        <v>0</v>
      </c>
      <c r="K1326" s="518">
        <f ca="1">K1299*('Emission Factors'!$J$203+'Emission Factors'!$K$203)</f>
        <v>0</v>
      </c>
      <c r="L1326" s="518">
        <f ca="1">L1299*('Emission Factors'!$J$203+'Emission Factors'!$K$203)</f>
        <v>0</v>
      </c>
      <c r="M1326" s="518">
        <f ca="1">M1299*('Emission Factors'!$J$203+'Emission Factors'!$K$203)</f>
        <v>0</v>
      </c>
      <c r="N1326" s="518" t="e">
        <f ca="1">N1299*('Emission Factors'!$J$203+'Emission Factors'!$K$203)</f>
        <v>#DIV/0!</v>
      </c>
      <c r="O1326" s="518" t="e">
        <f ca="1">O1299*('Emission Factors'!$J$203+'Emission Factors'!$K$203)</f>
        <v>#DIV/0!</v>
      </c>
      <c r="P1326" s="518">
        <f ca="1">P1299*('Emission Factors'!$J$203+'Emission Factors'!$K$203)</f>
        <v>0</v>
      </c>
      <c r="Q1326" s="520">
        <f ca="1">Q1299*('Emission Factors'!$J$203+'Emission Factors'!$K$203)</f>
        <v>1.2024729771832632</v>
      </c>
      <c r="R1326" s="2109"/>
      <c r="S1326" s="346"/>
      <c r="T1326" s="341"/>
      <c r="U1326" s="511"/>
      <c r="V1326" s="511"/>
      <c r="W1326" s="511"/>
      <c r="X1326" s="342"/>
      <c r="Y1326" s="342"/>
      <c r="Z1326" s="342"/>
      <c r="AA1326" s="342"/>
    </row>
    <row r="1327" spans="1:27" ht="26.25" x14ac:dyDescent="0.2">
      <c r="A1327" s="341"/>
      <c r="B1327" s="345"/>
      <c r="C1327" s="517" t="s">
        <v>90</v>
      </c>
      <c r="D1327" s="518">
        <f ca="1">D1300*('Emission Factors'!$J$76+'Emission Factors'!$K$76)</f>
        <v>3.2505354586717647</v>
      </c>
      <c r="E1327" s="519">
        <f ca="1">E1300*('Emission Factors'!$J$76+'Emission Factors'!$K$76)</f>
        <v>1.2457012988189977</v>
      </c>
      <c r="F1327" s="518">
        <f ca="1">F1300*('Emission Factors'!$J$76+'Emission Factors'!$K$76)</f>
        <v>1.2124489179050255</v>
      </c>
      <c r="G1327" s="518">
        <f ca="1">G1300*('Emission Factors'!$J$76+'Emission Factors'!$K$76)</f>
        <v>0</v>
      </c>
      <c r="H1327" s="518">
        <f ca="1">H1300*('Emission Factors'!$J$76+'Emission Factors'!$K$76)</f>
        <v>0</v>
      </c>
      <c r="I1327" s="518">
        <f ca="1">I1300*('Emission Factors'!$J$76+'Emission Factors'!$K$76)</f>
        <v>0</v>
      </c>
      <c r="J1327" s="518">
        <f ca="1">J1300*('Emission Factors'!$J$76+'Emission Factors'!$K$76)</f>
        <v>0</v>
      </c>
      <c r="K1327" s="518">
        <f ca="1">K1300*('Emission Factors'!$J$76+'Emission Factors'!$K$76)</f>
        <v>0</v>
      </c>
      <c r="L1327" s="518">
        <f ca="1">L1300*('Emission Factors'!$J$76+'Emission Factors'!$K$76)</f>
        <v>0</v>
      </c>
      <c r="M1327" s="518">
        <f ca="1">M1300*('Emission Factors'!$J$76+'Emission Factors'!$K$76)</f>
        <v>0</v>
      </c>
      <c r="N1327" s="518" t="e">
        <f ca="1">N1300*('Emission Factors'!$J$76+'Emission Factors'!$K$76)</f>
        <v>#DIV/0!</v>
      </c>
      <c r="O1327" s="518" t="e">
        <f ca="1">O1300*('Emission Factors'!$J$76+'Emission Factors'!$K$76)</f>
        <v>#DIV/0!</v>
      </c>
      <c r="P1327" s="518">
        <f ca="1">P1300*('Emission Factors'!$J$76+'Emission Factors'!$K$76)</f>
        <v>0</v>
      </c>
      <c r="Q1327" s="520">
        <f ca="1">Q1300*('Emission Factors'!$J$76+'Emission Factors'!$K$76)</f>
        <v>1.1554516084061646</v>
      </c>
      <c r="R1327" s="2109"/>
      <c r="S1327" s="346"/>
      <c r="T1327" s="341"/>
      <c r="U1327" s="511"/>
      <c r="V1327" s="511"/>
      <c r="W1327" s="511"/>
      <c r="X1327" s="342"/>
      <c r="Y1327" s="342"/>
      <c r="Z1327" s="342"/>
      <c r="AA1327" s="342"/>
    </row>
    <row r="1328" spans="1:27" ht="26.25" x14ac:dyDescent="0.2">
      <c r="A1328" s="341"/>
      <c r="B1328" s="345"/>
      <c r="C1328" s="517" t="s">
        <v>485</v>
      </c>
      <c r="D1328" s="533"/>
      <c r="E1328" s="534"/>
      <c r="F1328" s="533"/>
      <c r="G1328" s="533"/>
      <c r="H1328" s="533"/>
      <c r="I1328" s="533"/>
      <c r="J1328" s="533"/>
      <c r="K1328" s="533"/>
      <c r="L1328" s="533"/>
      <c r="M1328" s="533"/>
      <c r="N1328" s="533"/>
      <c r="O1328" s="533"/>
      <c r="P1328" s="533"/>
      <c r="Q1328" s="535"/>
      <c r="R1328" s="2109"/>
      <c r="S1328" s="346"/>
      <c r="T1328" s="341"/>
      <c r="U1328" s="511"/>
      <c r="V1328" s="511"/>
      <c r="W1328" s="511"/>
      <c r="X1328" s="342"/>
      <c r="Y1328" s="342"/>
      <c r="Z1328" s="342"/>
      <c r="AA1328" s="342"/>
    </row>
    <row r="1329" spans="1:27" ht="26.25" x14ac:dyDescent="0.2">
      <c r="A1329" s="341"/>
      <c r="B1329" s="345"/>
      <c r="C1329" s="517" t="s">
        <v>971</v>
      </c>
      <c r="D1329" s="518">
        <f ca="1">D1302*('Emission Factors'!$J$203+'Emission Factors'!$K$203)</f>
        <v>0</v>
      </c>
      <c r="E1329" s="519">
        <f ca="1">E1302*('Emission Factors'!$J$203+'Emission Factors'!$K$203)</f>
        <v>0</v>
      </c>
      <c r="F1329" s="518">
        <f ca="1">F1302*('Emission Factors'!$J$203+'Emission Factors'!$K$203)</f>
        <v>0</v>
      </c>
      <c r="G1329" s="518">
        <f ca="1">G1302*('Emission Factors'!$J$203+'Emission Factors'!$K$203)</f>
        <v>0</v>
      </c>
      <c r="H1329" s="518">
        <f ca="1">H1302*('Emission Factors'!$J$203+'Emission Factors'!$K$203)</f>
        <v>0</v>
      </c>
      <c r="I1329" s="518">
        <f ca="1">I1302*('Emission Factors'!$J$203+'Emission Factors'!$K$203)</f>
        <v>0</v>
      </c>
      <c r="J1329" s="518">
        <f ca="1">J1302*('Emission Factors'!$J$203+'Emission Factors'!$K$203)</f>
        <v>0</v>
      </c>
      <c r="K1329" s="518">
        <f ca="1">K1302*('Emission Factors'!$J$203+'Emission Factors'!$K$203)</f>
        <v>0</v>
      </c>
      <c r="L1329" s="518">
        <f ca="1">L1302*('Emission Factors'!$J$203+'Emission Factors'!$K$203)</f>
        <v>0</v>
      </c>
      <c r="M1329" s="518">
        <f ca="1">M1302*('Emission Factors'!$J$203+'Emission Factors'!$K$203)</f>
        <v>0</v>
      </c>
      <c r="N1329" s="518" t="e">
        <f ca="1">N1302*('Emission Factors'!$J$203+'Emission Factors'!$K$203)</f>
        <v>#DIV/0!</v>
      </c>
      <c r="O1329" s="518" t="e">
        <f ca="1">O1302*('Emission Factors'!$J$203+'Emission Factors'!$K$203)</f>
        <v>#DIV/0!</v>
      </c>
      <c r="P1329" s="518">
        <f ca="1">P1302*('Emission Factors'!$J$203+'Emission Factors'!$K$203)</f>
        <v>0</v>
      </c>
      <c r="Q1329" s="520">
        <f ca="1">Q1302*('Emission Factors'!$J$203+'Emission Factors'!$K$203)</f>
        <v>0</v>
      </c>
      <c r="R1329" s="2109"/>
      <c r="S1329" s="346"/>
      <c r="T1329" s="341"/>
      <c r="U1329" s="511"/>
      <c r="V1329" s="511"/>
      <c r="W1329" s="511"/>
      <c r="X1329" s="342"/>
      <c r="Y1329" s="342"/>
      <c r="Z1329" s="342"/>
      <c r="AA1329" s="342"/>
    </row>
    <row r="1330" spans="1:27" ht="26.25" x14ac:dyDescent="0.2">
      <c r="A1330" s="341"/>
      <c r="B1330" s="345"/>
      <c r="C1330" s="517" t="s">
        <v>90</v>
      </c>
      <c r="D1330" s="518">
        <f ca="1">D1303*('Emission Factors'!$J$76+'Emission Factors'!$K$76)</f>
        <v>0.83063917769570139</v>
      </c>
      <c r="E1330" s="519">
        <f ca="1">E1303*('Emission Factors'!$J$76+'Emission Factors'!$K$76)</f>
        <v>0.30740620759020232</v>
      </c>
      <c r="F1330" s="518">
        <f ca="1">F1303*('Emission Factors'!$J$76+'Emission Factors'!$K$76)</f>
        <v>0.28833090390338278</v>
      </c>
      <c r="G1330" s="518">
        <f ca="1">G1303*('Emission Factors'!$J$76+'Emission Factors'!$K$76)</f>
        <v>0</v>
      </c>
      <c r="H1330" s="518">
        <f ca="1">H1303*('Emission Factors'!$J$76+'Emission Factors'!$K$76)</f>
        <v>0</v>
      </c>
      <c r="I1330" s="518">
        <f ca="1">I1303*('Emission Factors'!$J$76+'Emission Factors'!$K$76)</f>
        <v>0</v>
      </c>
      <c r="J1330" s="518">
        <f ca="1">J1303*('Emission Factors'!$J$76+'Emission Factors'!$K$76)</f>
        <v>0</v>
      </c>
      <c r="K1330" s="518">
        <f ca="1">K1303*('Emission Factors'!$J$76+'Emission Factors'!$K$76)</f>
        <v>0</v>
      </c>
      <c r="L1330" s="518">
        <f ca="1">L1303*('Emission Factors'!$J$76+'Emission Factors'!$K$76)</f>
        <v>0</v>
      </c>
      <c r="M1330" s="518">
        <f ca="1">M1303*('Emission Factors'!$J$76+'Emission Factors'!$K$76)</f>
        <v>0</v>
      </c>
      <c r="N1330" s="518" t="e">
        <f ca="1">N1303*('Emission Factors'!$J$76+'Emission Factors'!$K$76)</f>
        <v>#DIV/0!</v>
      </c>
      <c r="O1330" s="518" t="e">
        <f ca="1">O1303*('Emission Factors'!$J$76+'Emission Factors'!$K$76)</f>
        <v>#DIV/0!</v>
      </c>
      <c r="P1330" s="518">
        <f ca="1">P1303*('Emission Factors'!$J$76+'Emission Factors'!$K$76)</f>
        <v>0</v>
      </c>
      <c r="Q1330" s="520">
        <f ca="1">Q1303*('Emission Factors'!$J$76+'Emission Factors'!$K$76)</f>
        <v>0.28964512391772201</v>
      </c>
      <c r="R1330" s="2109"/>
      <c r="S1330" s="346"/>
      <c r="T1330" s="341"/>
      <c r="U1330" s="511"/>
      <c r="V1330" s="511"/>
      <c r="W1330" s="511"/>
      <c r="X1330" s="342"/>
      <c r="Y1330" s="342"/>
      <c r="Z1330" s="342"/>
      <c r="AA1330" s="342"/>
    </row>
    <row r="1331" spans="1:27" ht="26.25" x14ac:dyDescent="0.2">
      <c r="A1331" s="341"/>
      <c r="B1331" s="345"/>
      <c r="C1331" s="517" t="s">
        <v>392</v>
      </c>
      <c r="D1331" s="518">
        <f ca="1">D1304*'Emission Factors'!$G$53</f>
        <v>9.4434976325662029E-3</v>
      </c>
      <c r="E1331" s="519">
        <f ca="1">E1304*'Emission Factors'!$G$53</f>
        <v>3.4948866747021167E-3</v>
      </c>
      <c r="F1331" s="518">
        <f ca="1">F1304*'Emission Factors'!$G$53</f>
        <v>3.2780204468091747E-3</v>
      </c>
      <c r="G1331" s="518">
        <f ca="1">G1304*'Emission Factors'!$G$53</f>
        <v>0</v>
      </c>
      <c r="H1331" s="518">
        <f ca="1">H1304*'Emission Factors'!$G$53</f>
        <v>0</v>
      </c>
      <c r="I1331" s="518">
        <f ca="1">I1304*'Emission Factors'!$G$53</f>
        <v>0</v>
      </c>
      <c r="J1331" s="518">
        <f ca="1">J1304*'Emission Factors'!$G$53</f>
        <v>0</v>
      </c>
      <c r="K1331" s="518">
        <f ca="1">K1304*'Emission Factors'!$G$53</f>
        <v>0</v>
      </c>
      <c r="L1331" s="518">
        <f ca="1">L1304*'Emission Factors'!$G$53</f>
        <v>0</v>
      </c>
      <c r="M1331" s="518">
        <f ca="1">M1304*'Emission Factors'!$G$53</f>
        <v>0</v>
      </c>
      <c r="N1331" s="518" t="e">
        <f ca="1">N1304*'Emission Factors'!$G$53</f>
        <v>#DIV/0!</v>
      </c>
      <c r="O1331" s="518" t="e">
        <f ca="1">O1304*'Emission Factors'!$G$53</f>
        <v>#DIV/0!</v>
      </c>
      <c r="P1331" s="518">
        <f ca="1">P1304*'Emission Factors'!$G$53</f>
        <v>0</v>
      </c>
      <c r="Q1331" s="520">
        <f ca="1">Q1304*'Emission Factors'!$G$53</f>
        <v>3.2929617521645434E-3</v>
      </c>
      <c r="R1331" s="2109"/>
      <c r="S1331" s="346"/>
      <c r="T1331" s="341"/>
      <c r="U1331" s="511"/>
      <c r="V1331" s="511"/>
      <c r="W1331" s="511"/>
      <c r="X1331" s="342"/>
      <c r="Y1331" s="342"/>
      <c r="Z1331" s="342"/>
      <c r="AA1331" s="342"/>
    </row>
    <row r="1332" spans="1:27" ht="26.25" x14ac:dyDescent="0.2">
      <c r="A1332" s="341"/>
      <c r="B1332" s="345"/>
      <c r="C1332" s="517" t="s">
        <v>1027</v>
      </c>
      <c r="D1332" s="533"/>
      <c r="E1332" s="534"/>
      <c r="F1332" s="533"/>
      <c r="G1332" s="533"/>
      <c r="H1332" s="533"/>
      <c r="I1332" s="533"/>
      <c r="J1332" s="533"/>
      <c r="K1332" s="533"/>
      <c r="L1332" s="533"/>
      <c r="M1332" s="533"/>
      <c r="N1332" s="533"/>
      <c r="O1332" s="533"/>
      <c r="P1332" s="533"/>
      <c r="Q1332" s="535"/>
      <c r="R1332" s="2109"/>
      <c r="S1332" s="346"/>
      <c r="T1332" s="341"/>
      <c r="U1332" s="511"/>
      <c r="V1332" s="511"/>
      <c r="W1332" s="511"/>
      <c r="X1332" s="342"/>
      <c r="Y1332" s="342"/>
      <c r="Z1332" s="342"/>
      <c r="AA1332" s="342"/>
    </row>
    <row r="1333" spans="1:27" ht="26.25" x14ac:dyDescent="0.2">
      <c r="A1333" s="341"/>
      <c r="B1333" s="345"/>
      <c r="C1333" s="517" t="s">
        <v>1036</v>
      </c>
      <c r="D1333" s="518">
        <f ca="1">D1306*('Emission Factors'!$J$203+'Emission Factors'!$K$203)</f>
        <v>0</v>
      </c>
      <c r="E1333" s="519">
        <f ca="1">E1306*('Emission Factors'!$J$203+'Emission Factors'!$K$203)</f>
        <v>0</v>
      </c>
      <c r="F1333" s="518">
        <f ca="1">F1306*('Emission Factors'!$J$203+'Emission Factors'!$K$203)</f>
        <v>0</v>
      </c>
      <c r="G1333" s="518">
        <f ca="1">G1306*('Emission Factors'!$J$203+'Emission Factors'!$K$203)</f>
        <v>0</v>
      </c>
      <c r="H1333" s="518">
        <f ca="1">H1306*('Emission Factors'!$J$203+'Emission Factors'!$K$203)</f>
        <v>0</v>
      </c>
      <c r="I1333" s="518">
        <f ca="1">I1306*('Emission Factors'!$J$203+'Emission Factors'!$K$203)</f>
        <v>0</v>
      </c>
      <c r="J1333" s="518">
        <f ca="1">J1306*('Emission Factors'!$J$203+'Emission Factors'!$K$203)</f>
        <v>0</v>
      </c>
      <c r="K1333" s="518">
        <f ca="1">K1306*('Emission Factors'!$J$203+'Emission Factors'!$K$203)</f>
        <v>0</v>
      </c>
      <c r="L1333" s="518">
        <f ca="1">L1306*('Emission Factors'!$J$203+'Emission Factors'!$K$203)</f>
        <v>0</v>
      </c>
      <c r="M1333" s="518">
        <f ca="1">M1306*('Emission Factors'!$J$203+'Emission Factors'!$K$203)</f>
        <v>0</v>
      </c>
      <c r="N1333" s="518" t="e">
        <f ca="1">N1306*('Emission Factors'!$J$203+'Emission Factors'!$K$203)</f>
        <v>#DIV/0!</v>
      </c>
      <c r="O1333" s="518" t="e">
        <f ca="1">O1306*('Emission Factors'!$J$203+'Emission Factors'!$K$203)</f>
        <v>#DIV/0!</v>
      </c>
      <c r="P1333" s="518">
        <f ca="1">P1306*('Emission Factors'!$J$203+'Emission Factors'!$K$203)</f>
        <v>0</v>
      </c>
      <c r="Q1333" s="520">
        <f ca="1">Q1306*('Emission Factors'!$J$203+'Emission Factors'!$K$203)</f>
        <v>0</v>
      </c>
      <c r="R1333" s="2109"/>
      <c r="S1333" s="346"/>
      <c r="T1333" s="341"/>
      <c r="U1333" s="511"/>
      <c r="V1333" s="511"/>
      <c r="W1333" s="511"/>
      <c r="X1333" s="342"/>
      <c r="Y1333" s="342"/>
      <c r="Z1333" s="342"/>
      <c r="AA1333" s="342"/>
    </row>
    <row r="1334" spans="1:27" ht="26.25" x14ac:dyDescent="0.2">
      <c r="A1334" s="341"/>
      <c r="B1334" s="345"/>
      <c r="C1334" s="517" t="s">
        <v>1037</v>
      </c>
      <c r="D1334" s="518">
        <f ca="1">D1307*('Emission Factors'!$J$76+'Emission Factors'!$K$76)</f>
        <v>0</v>
      </c>
      <c r="E1334" s="519">
        <f ca="1">E1307*('Emission Factors'!$J$76+'Emission Factors'!$K$76)</f>
        <v>0</v>
      </c>
      <c r="F1334" s="518">
        <f ca="1">F1307*('Emission Factors'!$J$76+'Emission Factors'!$K$76)</f>
        <v>0</v>
      </c>
      <c r="G1334" s="518">
        <f ca="1">G1307*('Emission Factors'!$J$76+'Emission Factors'!$K$76)</f>
        <v>0</v>
      </c>
      <c r="H1334" s="518">
        <f ca="1">H1307*('Emission Factors'!$J$76+'Emission Factors'!$K$76)</f>
        <v>0</v>
      </c>
      <c r="I1334" s="518">
        <f ca="1">I1307*('Emission Factors'!$J$76+'Emission Factors'!$K$76)</f>
        <v>0</v>
      </c>
      <c r="J1334" s="518">
        <f ca="1">J1307*('Emission Factors'!$J$76+'Emission Factors'!$K$76)</f>
        <v>0</v>
      </c>
      <c r="K1334" s="518">
        <f ca="1">K1307*('Emission Factors'!$J$76+'Emission Factors'!$K$76)</f>
        <v>0</v>
      </c>
      <c r="L1334" s="518">
        <f ca="1">L1307*('Emission Factors'!$J$76+'Emission Factors'!$K$76)</f>
        <v>0</v>
      </c>
      <c r="M1334" s="518">
        <f ca="1">M1307*('Emission Factors'!$J$76+'Emission Factors'!$K$76)</f>
        <v>0</v>
      </c>
      <c r="N1334" s="518" t="e">
        <f ca="1">N1307*('Emission Factors'!$J$76+'Emission Factors'!$K$76)</f>
        <v>#DIV/0!</v>
      </c>
      <c r="O1334" s="518" t="e">
        <f ca="1">O1307*('Emission Factors'!$J$76+'Emission Factors'!$K$76)</f>
        <v>#DIV/0!</v>
      </c>
      <c r="P1334" s="518">
        <f ca="1">P1307*('Emission Factors'!$J$76+'Emission Factors'!$K$76)</f>
        <v>0</v>
      </c>
      <c r="Q1334" s="520">
        <f ca="1">Q1307*('Emission Factors'!$J$76+'Emission Factors'!$K$76)</f>
        <v>0</v>
      </c>
      <c r="R1334" s="2109"/>
      <c r="S1334" s="346"/>
      <c r="T1334" s="341"/>
      <c r="U1334" s="511"/>
      <c r="V1334" s="511"/>
      <c r="W1334" s="511"/>
      <c r="X1334" s="342"/>
      <c r="Y1334" s="342"/>
      <c r="Z1334" s="342"/>
      <c r="AA1334" s="342"/>
    </row>
    <row r="1335" spans="1:27" ht="26.25" x14ac:dyDescent="0.2">
      <c r="A1335" s="341"/>
      <c r="B1335" s="345"/>
      <c r="C1335" s="517" t="s">
        <v>1034</v>
      </c>
      <c r="D1335" s="518">
        <f ca="1">D1308*'Emission Factors'!$G$53</f>
        <v>3.0279287218924224E-2</v>
      </c>
      <c r="E1335" s="519">
        <f ca="1">E1308*'Emission Factors'!$G$53</f>
        <v>7.2365386161649644E-3</v>
      </c>
      <c r="F1335" s="518">
        <f ca="1">F1308*'Emission Factors'!$G$53</f>
        <v>7.974689379612836E-3</v>
      </c>
      <c r="G1335" s="518">
        <f ca="1">G1308*'Emission Factors'!$G$53</f>
        <v>0</v>
      </c>
      <c r="H1335" s="518">
        <f ca="1">H1308*'Emission Factors'!$G$53</f>
        <v>0</v>
      </c>
      <c r="I1335" s="518">
        <f ca="1">I1308*'Emission Factors'!$G$53</f>
        <v>0</v>
      </c>
      <c r="J1335" s="518">
        <f ca="1">J1308*'Emission Factors'!$G$53</f>
        <v>0</v>
      </c>
      <c r="K1335" s="518">
        <f ca="1">K1308*'Emission Factors'!$G$53</f>
        <v>0</v>
      </c>
      <c r="L1335" s="518">
        <f ca="1">L1308*'Emission Factors'!$G$53</f>
        <v>0</v>
      </c>
      <c r="M1335" s="518">
        <f ca="1">M1308*'Emission Factors'!$G$53</f>
        <v>0</v>
      </c>
      <c r="N1335" s="518" t="e">
        <f ca="1">N1308*'Emission Factors'!$G$53</f>
        <v>#DIV/0!</v>
      </c>
      <c r="O1335" s="518" t="e">
        <f ca="1">O1308*'Emission Factors'!$G$53</f>
        <v>#DIV/0!</v>
      </c>
      <c r="P1335" s="518">
        <f ca="1">P1308*'Emission Factors'!$G$53</f>
        <v>0</v>
      </c>
      <c r="Q1335" s="520">
        <f ca="1">Q1308*'Emission Factors'!$G$53</f>
        <v>9.1895736361223852E-3</v>
      </c>
      <c r="R1335" s="2109"/>
      <c r="S1335" s="346"/>
      <c r="T1335" s="341"/>
      <c r="U1335" s="511"/>
      <c r="V1335" s="511"/>
      <c r="W1335" s="511"/>
      <c r="X1335" s="342"/>
      <c r="Y1335" s="342"/>
      <c r="Z1335" s="342"/>
      <c r="AA1335" s="342"/>
    </row>
    <row r="1336" spans="1:27" ht="26.25" x14ac:dyDescent="0.2">
      <c r="A1336" s="341"/>
      <c r="B1336" s="345"/>
      <c r="C1336" s="517" t="s">
        <v>1028</v>
      </c>
      <c r="D1336" s="518">
        <f ca="1">D1309*('Emission Factors'!$J$203+'Emission Factors'!$K$203)</f>
        <v>0</v>
      </c>
      <c r="E1336" s="519">
        <f ca="1">E1309*('Emission Factors'!$J$203+'Emission Factors'!$K$203)</f>
        <v>0</v>
      </c>
      <c r="F1336" s="518">
        <f ca="1">F1309*('Emission Factors'!$J$203+'Emission Factors'!$K$203)</f>
        <v>0</v>
      </c>
      <c r="G1336" s="518">
        <f ca="1">G1309*('Emission Factors'!$J$203+'Emission Factors'!$K$203)</f>
        <v>0</v>
      </c>
      <c r="H1336" s="518">
        <f ca="1">H1309*('Emission Factors'!$J$203+'Emission Factors'!$K$203)</f>
        <v>0</v>
      </c>
      <c r="I1336" s="518">
        <f ca="1">I1309*('Emission Factors'!$J$203+'Emission Factors'!$K$203)</f>
        <v>0</v>
      </c>
      <c r="J1336" s="518">
        <f ca="1">J1309*('Emission Factors'!$J$203+'Emission Factors'!$K$203)</f>
        <v>0</v>
      </c>
      <c r="K1336" s="518">
        <f ca="1">K1309*('Emission Factors'!$J$203+'Emission Factors'!$K$203)</f>
        <v>0</v>
      </c>
      <c r="L1336" s="518">
        <f ca="1">L1309*('Emission Factors'!$J$203+'Emission Factors'!$K$203)</f>
        <v>0</v>
      </c>
      <c r="M1336" s="518">
        <f ca="1">M1309*('Emission Factors'!$J$203+'Emission Factors'!$K$203)</f>
        <v>0</v>
      </c>
      <c r="N1336" s="518" t="e">
        <f ca="1">N1309*('Emission Factors'!$J$203+'Emission Factors'!$K$203)</f>
        <v>#DIV/0!</v>
      </c>
      <c r="O1336" s="518" t="e">
        <f ca="1">O1309*('Emission Factors'!$J$203+'Emission Factors'!$K$203)</f>
        <v>#DIV/0!</v>
      </c>
      <c r="P1336" s="518">
        <f ca="1">P1309*('Emission Factors'!$J$203+'Emission Factors'!$K$203)</f>
        <v>0</v>
      </c>
      <c r="Q1336" s="520">
        <f ca="1">Q1309*('Emission Factors'!$J$203+'Emission Factors'!$K$203)</f>
        <v>0</v>
      </c>
      <c r="R1336" s="2109"/>
      <c r="S1336" s="346"/>
      <c r="T1336" s="341"/>
      <c r="U1336" s="511"/>
      <c r="V1336" s="511"/>
      <c r="W1336" s="511"/>
      <c r="X1336" s="342"/>
      <c r="Y1336" s="342"/>
      <c r="Z1336" s="342"/>
      <c r="AA1336" s="342"/>
    </row>
    <row r="1337" spans="1:27" ht="26.25" x14ac:dyDescent="0.2">
      <c r="A1337" s="341"/>
      <c r="B1337" s="345"/>
      <c r="C1337" s="517" t="s">
        <v>1029</v>
      </c>
      <c r="D1337" s="518">
        <f ca="1">D1310*('Emission Factors'!$J$76+'Emission Factors'!$K$76)</f>
        <v>1.1732226798428604</v>
      </c>
      <c r="E1337" s="519">
        <f ca="1">E1310*('Emission Factors'!$J$76+'Emission Factors'!$K$76)</f>
        <v>0.28039204379742477</v>
      </c>
      <c r="F1337" s="518">
        <f ca="1">F1310*('Emission Factors'!$J$76+'Emission Factors'!$K$76)</f>
        <v>0.30899295538952837</v>
      </c>
      <c r="G1337" s="518">
        <f ca="1">G1310*('Emission Factors'!$J$76+'Emission Factors'!$K$76)</f>
        <v>0</v>
      </c>
      <c r="H1337" s="518">
        <f ca="1">H1310*('Emission Factors'!$J$76+'Emission Factors'!$K$76)</f>
        <v>0</v>
      </c>
      <c r="I1337" s="518">
        <f ca="1">I1310*('Emission Factors'!$J$76+'Emission Factors'!$K$76)</f>
        <v>0</v>
      </c>
      <c r="J1337" s="518">
        <f ca="1">J1310*('Emission Factors'!$J$76+'Emission Factors'!$K$76)</f>
        <v>0</v>
      </c>
      <c r="K1337" s="518">
        <f ca="1">K1310*('Emission Factors'!$J$76+'Emission Factors'!$K$76)</f>
        <v>0</v>
      </c>
      <c r="L1337" s="518">
        <f ca="1">L1310*('Emission Factors'!$J$76+'Emission Factors'!$K$76)</f>
        <v>0</v>
      </c>
      <c r="M1337" s="518">
        <f ca="1">M1310*('Emission Factors'!$J$76+'Emission Factors'!$K$76)</f>
        <v>0</v>
      </c>
      <c r="N1337" s="518" t="e">
        <f ca="1">N1310*('Emission Factors'!$J$76+'Emission Factors'!$K$76)</f>
        <v>#DIV/0!</v>
      </c>
      <c r="O1337" s="518" t="e">
        <f ca="1">O1310*('Emission Factors'!$J$76+'Emission Factors'!$K$76)</f>
        <v>#DIV/0!</v>
      </c>
      <c r="P1337" s="518">
        <f ca="1">P1310*('Emission Factors'!$J$76+'Emission Factors'!$K$76)</f>
        <v>0</v>
      </c>
      <c r="Q1337" s="520">
        <f ca="1">Q1310*('Emission Factors'!$J$76+'Emission Factors'!$K$76)</f>
        <v>0.35606572010871296</v>
      </c>
      <c r="R1337" s="2109"/>
      <c r="S1337" s="346"/>
      <c r="T1337" s="341"/>
      <c r="U1337" s="511"/>
      <c r="V1337" s="511"/>
      <c r="W1337" s="511"/>
      <c r="X1337" s="342"/>
      <c r="Y1337" s="342"/>
      <c r="Z1337" s="342"/>
      <c r="AA1337" s="342"/>
    </row>
    <row r="1338" spans="1:27" ht="26.25" x14ac:dyDescent="0.2">
      <c r="A1338" s="341"/>
      <c r="B1338" s="345"/>
      <c r="C1338" s="517" t="s">
        <v>1038</v>
      </c>
      <c r="D1338" s="518">
        <f ca="1">D1311*('Emission Factors'!$J$203+'Emission Factors'!$I$119)</f>
        <v>0</v>
      </c>
      <c r="E1338" s="519">
        <f ca="1">E1311*('Emission Factors'!$J$203+'Emission Factors'!$I$119)</f>
        <v>0</v>
      </c>
      <c r="F1338" s="518">
        <f ca="1">F1311*('Emission Factors'!$J$203+'Emission Factors'!$I$119)</f>
        <v>0</v>
      </c>
      <c r="G1338" s="518">
        <f ca="1">G1311*('Emission Factors'!$J$203+'Emission Factors'!$I$119)</f>
        <v>0</v>
      </c>
      <c r="H1338" s="518">
        <f ca="1">H1311*('Emission Factors'!$J$203+'Emission Factors'!$I$119)</f>
        <v>0</v>
      </c>
      <c r="I1338" s="518">
        <f ca="1">I1311*('Emission Factors'!$J$203+'Emission Factors'!$I$119)</f>
        <v>0</v>
      </c>
      <c r="J1338" s="518">
        <f ca="1">J1311*('Emission Factors'!$J$203+'Emission Factors'!$I$119)</f>
        <v>0</v>
      </c>
      <c r="K1338" s="518">
        <f ca="1">K1311*('Emission Factors'!$J$203+'Emission Factors'!$I$119)</f>
        <v>0</v>
      </c>
      <c r="L1338" s="518">
        <f ca="1">L1311*('Emission Factors'!$J$203+'Emission Factors'!$I$119)</f>
        <v>0</v>
      </c>
      <c r="M1338" s="518">
        <f ca="1">M1311*('Emission Factors'!$J$203+'Emission Factors'!$I$119)</f>
        <v>0</v>
      </c>
      <c r="N1338" s="518" t="e">
        <f ca="1">N1311*('Emission Factors'!$J$203+'Emission Factors'!$I$119)</f>
        <v>#DIV/0!</v>
      </c>
      <c r="O1338" s="518" t="e">
        <f ca="1">O1311*('Emission Factors'!$J$203+'Emission Factors'!$I$119)</f>
        <v>#DIV/0!</v>
      </c>
      <c r="P1338" s="518">
        <f ca="1">P1311*('Emission Factors'!$J$203+'Emission Factors'!$I$119)</f>
        <v>0</v>
      </c>
      <c r="Q1338" s="520">
        <f ca="1">Q1311*('Emission Factors'!$J$203+'Emission Factors'!$I$119)</f>
        <v>0</v>
      </c>
      <c r="R1338" s="2109"/>
      <c r="S1338" s="346"/>
      <c r="T1338" s="341"/>
      <c r="U1338" s="511"/>
      <c r="V1338" s="511"/>
      <c r="W1338" s="511"/>
      <c r="X1338" s="342"/>
      <c r="Y1338" s="342"/>
      <c r="Z1338" s="342"/>
      <c r="AA1338" s="342"/>
    </row>
    <row r="1339" spans="1:27" ht="26.25" x14ac:dyDescent="0.2">
      <c r="A1339" s="341"/>
      <c r="B1339" s="345"/>
      <c r="C1339" s="517" t="s">
        <v>1039</v>
      </c>
      <c r="D1339" s="518">
        <f ca="1">D1312*('Emission Factors'!$J$76+IF('Emission Factors'!$D$105=0,0,'Emission Factors'!$D$109/'Emission Factors'!$D$105))</f>
        <v>1.0349262125046392</v>
      </c>
      <c r="E1339" s="519">
        <f ca="1">E1312*('Emission Factors'!$J$76+IF('Emission Factors'!$D$105=0,0,'Emission Factors'!$D$109/'Emission Factors'!$D$105))</f>
        <v>0.24734015195015718</v>
      </c>
      <c r="F1339" s="518">
        <f ca="1">F1312*('Emission Factors'!$J$76+IF('Emission Factors'!$D$105=0,0,'Emission Factors'!$D$109/'Emission Factors'!$D$105))</f>
        <v>0.27256966175827002</v>
      </c>
      <c r="G1339" s="518">
        <f ca="1">G1312*('Emission Factors'!$J$76+IF('Emission Factors'!$D$105=0,0,'Emission Factors'!$D$109/'Emission Factors'!$D$105))</f>
        <v>0</v>
      </c>
      <c r="H1339" s="518">
        <f ca="1">H1312*('Emission Factors'!$J$76+IF('Emission Factors'!$D$105=0,0,'Emission Factors'!$D$109/'Emission Factors'!$D$105))</f>
        <v>0</v>
      </c>
      <c r="I1339" s="518">
        <f ca="1">I1312*('Emission Factors'!$J$76+IF('Emission Factors'!$D$105=0,0,'Emission Factors'!$D$109/'Emission Factors'!$D$105))</f>
        <v>0</v>
      </c>
      <c r="J1339" s="518">
        <f ca="1">J1312*('Emission Factors'!$J$76+IF('Emission Factors'!$D$105=0,0,'Emission Factors'!$D$109/'Emission Factors'!$D$105))</f>
        <v>0</v>
      </c>
      <c r="K1339" s="518">
        <f ca="1">K1312*('Emission Factors'!$J$76+IF('Emission Factors'!$D$105=0,0,'Emission Factors'!$D$109/'Emission Factors'!$D$105))</f>
        <v>0</v>
      </c>
      <c r="L1339" s="518">
        <f ca="1">L1312*('Emission Factors'!$J$76+IF('Emission Factors'!$D$105=0,0,'Emission Factors'!$D$109/'Emission Factors'!$D$105))</f>
        <v>0</v>
      </c>
      <c r="M1339" s="518">
        <f ca="1">M1312*('Emission Factors'!$J$76+IF('Emission Factors'!$D$105=0,0,'Emission Factors'!$D$109/'Emission Factors'!$D$105))</f>
        <v>0</v>
      </c>
      <c r="N1339" s="518" t="e">
        <f ca="1">N1312*('Emission Factors'!$J$76+IF('Emission Factors'!$D$105=0,0,'Emission Factors'!$D$109/'Emission Factors'!$D$105))</f>
        <v>#DIV/0!</v>
      </c>
      <c r="O1339" s="518" t="e">
        <f ca="1">O1312*('Emission Factors'!$J$76+IF('Emission Factors'!$D$105=0,0,'Emission Factors'!$D$109/'Emission Factors'!$D$105))</f>
        <v>#DIV/0!</v>
      </c>
      <c r="P1339" s="518">
        <f ca="1">P1312*('Emission Factors'!$J$76+IF('Emission Factors'!$D$105=0,0,'Emission Factors'!$D$109/'Emission Factors'!$D$105))</f>
        <v>0</v>
      </c>
      <c r="Q1339" s="520">
        <f ca="1">Q1312*('Emission Factors'!$J$76+IF('Emission Factors'!$D$105=0,0,'Emission Factors'!$D$109/'Emission Factors'!$D$105))</f>
        <v>0.31409361022939281</v>
      </c>
      <c r="R1339" s="2109"/>
      <c r="S1339" s="346"/>
      <c r="T1339" s="341"/>
      <c r="U1339" s="511"/>
      <c r="V1339" s="511"/>
      <c r="W1339" s="511"/>
      <c r="X1339" s="342"/>
      <c r="Y1339" s="342"/>
      <c r="Z1339" s="342"/>
      <c r="AA1339" s="342"/>
    </row>
    <row r="1340" spans="1:27" ht="26.25" x14ac:dyDescent="0.2">
      <c r="A1340" s="341"/>
      <c r="B1340" s="345"/>
      <c r="C1340" s="517" t="s">
        <v>1053</v>
      </c>
      <c r="D1340" s="518">
        <f ca="1">D1313*'Emission Factors'!$I$247</f>
        <v>0</v>
      </c>
      <c r="E1340" s="519">
        <f ca="1">E1313*'Emission Factors'!$I$247</f>
        <v>0</v>
      </c>
      <c r="F1340" s="518">
        <f ca="1">F1313*'Emission Factors'!$I$247</f>
        <v>0</v>
      </c>
      <c r="G1340" s="518">
        <f ca="1">G1313*'Emission Factors'!$I$247</f>
        <v>0</v>
      </c>
      <c r="H1340" s="518">
        <f ca="1">H1313*'Emission Factors'!$I$247</f>
        <v>0</v>
      </c>
      <c r="I1340" s="518">
        <f ca="1">I1313*'Emission Factors'!$I$247</f>
        <v>0</v>
      </c>
      <c r="J1340" s="518">
        <f ca="1">J1313*'Emission Factors'!$I$247</f>
        <v>0</v>
      </c>
      <c r="K1340" s="518">
        <f ca="1">K1313*'Emission Factors'!$I$247</f>
        <v>0</v>
      </c>
      <c r="L1340" s="518">
        <f ca="1">L1313*'Emission Factors'!$I$247</f>
        <v>0</v>
      </c>
      <c r="M1340" s="518">
        <f ca="1">M1313*'Emission Factors'!$I$247</f>
        <v>0</v>
      </c>
      <c r="N1340" s="518" t="e">
        <f ca="1">N1313*'Emission Factors'!$I$247</f>
        <v>#DIV/0!</v>
      </c>
      <c r="O1340" s="518" t="e">
        <f ca="1">O1313*'Emission Factors'!$I$247</f>
        <v>#DIV/0!</v>
      </c>
      <c r="P1340" s="518">
        <f ca="1">P1313*'Emission Factors'!$I$247</f>
        <v>0</v>
      </c>
      <c r="Q1340" s="520">
        <f ca="1">Q1313*'Emission Factors'!$I$247</f>
        <v>0</v>
      </c>
      <c r="R1340" s="2109"/>
      <c r="S1340" s="346"/>
      <c r="T1340" s="341"/>
      <c r="U1340" s="511"/>
      <c r="V1340" s="511"/>
      <c r="W1340" s="511"/>
      <c r="X1340" s="342"/>
      <c r="Y1340" s="342"/>
      <c r="Z1340" s="342"/>
      <c r="AA1340" s="342"/>
    </row>
    <row r="1341" spans="1:27" ht="26.25" x14ac:dyDescent="0.2">
      <c r="A1341" s="341"/>
      <c r="B1341" s="345"/>
      <c r="C1341" s="517" t="s">
        <v>1051</v>
      </c>
      <c r="D1341" s="518">
        <f ca="1">D1314*'Emission Factors'!$E$177</f>
        <v>2.7994746793013855E-20</v>
      </c>
      <c r="E1341" s="519">
        <f ca="1">E1314*'Emission Factors'!$E$177</f>
        <v>0</v>
      </c>
      <c r="F1341" s="518">
        <f ca="1">F1314*'Emission Factors'!$E$177</f>
        <v>1.0760674935234192E-20</v>
      </c>
      <c r="G1341" s="518">
        <f ca="1">G1314*'Emission Factors'!$E$177</f>
        <v>0</v>
      </c>
      <c r="H1341" s="518">
        <f ca="1">H1314*'Emission Factors'!$E$177</f>
        <v>0</v>
      </c>
      <c r="I1341" s="518">
        <f ca="1">I1314*'Emission Factors'!$E$177</f>
        <v>0</v>
      </c>
      <c r="J1341" s="518">
        <f ca="1">J1314*'Emission Factors'!$E$177</f>
        <v>0</v>
      </c>
      <c r="K1341" s="518">
        <f ca="1">K1314*'Emission Factors'!$E$177</f>
        <v>0</v>
      </c>
      <c r="L1341" s="518">
        <f ca="1">L1314*'Emission Factors'!$E$177</f>
        <v>0</v>
      </c>
      <c r="M1341" s="518">
        <f ca="1">M1314*'Emission Factors'!$E$177</f>
        <v>0</v>
      </c>
      <c r="N1341" s="518" t="e">
        <f ca="1">N1314*'Emission Factors'!$E$177</f>
        <v>#DIV/0!</v>
      </c>
      <c r="O1341" s="518" t="e">
        <f ca="1">O1314*'Emission Factors'!$E$177</f>
        <v>#DIV/0!</v>
      </c>
      <c r="P1341" s="518">
        <f ca="1">P1314*'Emission Factors'!$E$177</f>
        <v>0</v>
      </c>
      <c r="Q1341" s="520">
        <f ca="1">Q1314*'Emission Factors'!$E$177</f>
        <v>7.1663390570324444E-21</v>
      </c>
      <c r="R1341" s="2109"/>
      <c r="S1341" s="346"/>
      <c r="T1341" s="341"/>
      <c r="U1341" s="511"/>
      <c r="V1341" s="511"/>
      <c r="W1341" s="511"/>
      <c r="X1341" s="342"/>
      <c r="Y1341" s="342"/>
      <c r="Z1341" s="342"/>
      <c r="AA1341" s="342"/>
    </row>
    <row r="1342" spans="1:27" ht="26.25" x14ac:dyDescent="0.2">
      <c r="A1342" s="341"/>
      <c r="B1342" s="345"/>
      <c r="C1342" s="517" t="s">
        <v>976</v>
      </c>
      <c r="D1342" s="518">
        <f ca="1">D1315*('Emission Factors'!$J$203+'Emission Factors'!$K$203)</f>
        <v>0</v>
      </c>
      <c r="E1342" s="519">
        <f ca="1">E1315*('Emission Factors'!$J$203+'Emission Factors'!$K$203)</f>
        <v>0</v>
      </c>
      <c r="F1342" s="518">
        <f ca="1">F1315*('Emission Factors'!$J$203+'Emission Factors'!$K$203)</f>
        <v>0</v>
      </c>
      <c r="G1342" s="518">
        <f ca="1">G1315*('Emission Factors'!$J$203+'Emission Factors'!$K$203)</f>
        <v>0</v>
      </c>
      <c r="H1342" s="518">
        <f ca="1">H1315*('Emission Factors'!$J$203+'Emission Factors'!$K$203)</f>
        <v>0</v>
      </c>
      <c r="I1342" s="518">
        <f ca="1">I1315*('Emission Factors'!$J$203+'Emission Factors'!$K$203)</f>
        <v>0</v>
      </c>
      <c r="J1342" s="518">
        <f ca="1">J1315*('Emission Factors'!$J$203+'Emission Factors'!$K$203)</f>
        <v>0</v>
      </c>
      <c r="K1342" s="518">
        <f ca="1">K1315*('Emission Factors'!$J$203+'Emission Factors'!$K$203)</f>
        <v>0</v>
      </c>
      <c r="L1342" s="518">
        <f ca="1">L1315*('Emission Factors'!$J$203+'Emission Factors'!$K$203)</f>
        <v>0</v>
      </c>
      <c r="M1342" s="518">
        <f ca="1">M1315*('Emission Factors'!$J$203+'Emission Factors'!$K$203)</f>
        <v>0</v>
      </c>
      <c r="N1342" s="518" t="e">
        <f ca="1">N1315*('Emission Factors'!$J$203+'Emission Factors'!$K$203)</f>
        <v>#DIV/0!</v>
      </c>
      <c r="O1342" s="518" t="e">
        <f ca="1">O1315*('Emission Factors'!$J$203+'Emission Factors'!$K$203)</f>
        <v>#DIV/0!</v>
      </c>
      <c r="P1342" s="518">
        <f ca="1">P1315*('Emission Factors'!$J$203+'Emission Factors'!$K$203)</f>
        <v>0</v>
      </c>
      <c r="Q1342" s="520">
        <f ca="1">Q1315*('Emission Factors'!$J$203+'Emission Factors'!$K$203)</f>
        <v>0</v>
      </c>
      <c r="R1342" s="2109"/>
      <c r="S1342" s="346"/>
      <c r="T1342" s="341"/>
      <c r="U1342" s="511"/>
      <c r="V1342" s="511"/>
      <c r="W1342" s="511"/>
      <c r="X1342" s="342"/>
      <c r="Y1342" s="342"/>
      <c r="Z1342" s="342"/>
      <c r="AA1342" s="342"/>
    </row>
    <row r="1343" spans="1:27" ht="26.25" x14ac:dyDescent="0.2">
      <c r="A1343" s="341"/>
      <c r="B1343" s="345"/>
      <c r="C1343" s="517" t="s">
        <v>979</v>
      </c>
      <c r="D1343" s="518">
        <f ca="1">D1316*'Emission Factors'!$H$135</f>
        <v>0</v>
      </c>
      <c r="E1343" s="519">
        <f ca="1">E1316*'Emission Factors'!$H$135</f>
        <v>0</v>
      </c>
      <c r="F1343" s="518">
        <f ca="1">F1316*'Emission Factors'!$H$135</f>
        <v>0</v>
      </c>
      <c r="G1343" s="518">
        <f ca="1">G1316*'Emission Factors'!$H$135</f>
        <v>0</v>
      </c>
      <c r="H1343" s="518">
        <f ca="1">H1316*'Emission Factors'!$H$135</f>
        <v>0</v>
      </c>
      <c r="I1343" s="518">
        <f ca="1">I1316*'Emission Factors'!$H$135</f>
        <v>0</v>
      </c>
      <c r="J1343" s="518">
        <f ca="1">J1316*'Emission Factors'!$H$135</f>
        <v>0</v>
      </c>
      <c r="K1343" s="518">
        <f ca="1">K1316*'Emission Factors'!$H$135</f>
        <v>0</v>
      </c>
      <c r="L1343" s="518">
        <f ca="1">L1316*'Emission Factors'!$H$135</f>
        <v>0</v>
      </c>
      <c r="M1343" s="518">
        <f ca="1">M1316*'Emission Factors'!$H$135</f>
        <v>0</v>
      </c>
      <c r="N1343" s="518">
        <f>N1316*'Emission Factors'!$H$135</f>
        <v>0</v>
      </c>
      <c r="O1343" s="518">
        <f>O1316*'Emission Factors'!$H$135</f>
        <v>0</v>
      </c>
      <c r="P1343" s="518">
        <f>P1316*'Emission Factors'!$H$135</f>
        <v>0</v>
      </c>
      <c r="Q1343" s="518">
        <f ca="1">Q1316*'Emission Factors'!$H$135</f>
        <v>0</v>
      </c>
      <c r="R1343" s="2109"/>
      <c r="S1343" s="346"/>
      <c r="T1343" s="341"/>
      <c r="U1343" s="511"/>
      <c r="V1343" s="511"/>
      <c r="W1343" s="511"/>
      <c r="X1343" s="342"/>
      <c r="Y1343" s="342"/>
      <c r="Z1343" s="342"/>
      <c r="AA1343" s="342"/>
    </row>
    <row r="1344" spans="1:27" ht="26.25" x14ac:dyDescent="0.2">
      <c r="A1344" s="341"/>
      <c r="B1344" s="345"/>
      <c r="C1344" s="529" t="str">
        <f>C1317</f>
        <v xml:space="preserve">Total Refinery Processes </v>
      </c>
      <c r="D1344" s="530">
        <f t="shared" ref="D1344:Q1344" ca="1" si="325">SUM(D1324:D1342)</f>
        <v>10.503530277988798</v>
      </c>
      <c r="E1344" s="531">
        <f t="shared" ca="1" si="325"/>
        <v>3.7133044608850736</v>
      </c>
      <c r="F1344" s="530">
        <f t="shared" ca="1" si="325"/>
        <v>3.6607956583475669</v>
      </c>
      <c r="G1344" s="530">
        <f t="shared" ca="1" si="325"/>
        <v>0</v>
      </c>
      <c r="H1344" s="530">
        <f t="shared" ca="1" si="325"/>
        <v>0</v>
      </c>
      <c r="I1344" s="530">
        <f t="shared" ca="1" si="325"/>
        <v>0</v>
      </c>
      <c r="J1344" s="530">
        <f t="shared" ca="1" si="325"/>
        <v>0</v>
      </c>
      <c r="K1344" s="530">
        <f t="shared" ca="1" si="325"/>
        <v>0</v>
      </c>
      <c r="L1344" s="530">
        <f t="shared" ref="L1344" ca="1" si="326">SUM(L1324:L1342)</f>
        <v>0</v>
      </c>
      <c r="M1344" s="530">
        <f t="shared" ca="1" si="325"/>
        <v>0</v>
      </c>
      <c r="N1344" s="530" t="e">
        <f t="shared" ref="N1344:P1344" ca="1" si="327">SUM(N1324:N1342)</f>
        <v>#DIV/0!</v>
      </c>
      <c r="O1344" s="530" t="e">
        <f t="shared" ca="1" si="327"/>
        <v>#DIV/0!</v>
      </c>
      <c r="P1344" s="530">
        <f t="shared" ca="1" si="327"/>
        <v>0</v>
      </c>
      <c r="Q1344" s="532">
        <f t="shared" ca="1" si="325"/>
        <v>3.6186925898280364</v>
      </c>
      <c r="R1344" s="2109"/>
      <c r="S1344" s="346"/>
      <c r="T1344" s="341"/>
      <c r="U1344" s="511"/>
      <c r="V1344" s="511"/>
      <c r="W1344" s="511"/>
      <c r="X1344" s="342"/>
      <c r="Y1344" s="342"/>
      <c r="Z1344" s="342"/>
      <c r="AA1344" s="342"/>
    </row>
    <row r="1345" spans="1:27" ht="26.25" x14ac:dyDescent="0.2">
      <c r="A1345" s="341"/>
      <c r="B1345" s="345"/>
      <c r="C1345" s="489" t="str">
        <f>C1318</f>
        <v>Total included Feedstock</v>
      </c>
      <c r="D1345" s="570">
        <f t="shared" ref="D1345:Q1345" ca="1" si="328">D1344+D1322</f>
        <v>10.503530277988798</v>
      </c>
      <c r="E1345" s="571">
        <f t="shared" ca="1" si="328"/>
        <v>3.7133044608850736</v>
      </c>
      <c r="F1345" s="570">
        <f t="shared" ca="1" si="328"/>
        <v>3.6607956583475669</v>
      </c>
      <c r="G1345" s="570">
        <f t="shared" ca="1" si="328"/>
        <v>0</v>
      </c>
      <c r="H1345" s="570">
        <f t="shared" ca="1" si="328"/>
        <v>0</v>
      </c>
      <c r="I1345" s="570">
        <f t="shared" ca="1" si="328"/>
        <v>0</v>
      </c>
      <c r="J1345" s="570">
        <f t="shared" ca="1" si="328"/>
        <v>0</v>
      </c>
      <c r="K1345" s="570">
        <f t="shared" ca="1" si="328"/>
        <v>0</v>
      </c>
      <c r="L1345" s="570">
        <f t="shared" ref="L1345" ca="1" si="329">L1344+L1322</f>
        <v>0</v>
      </c>
      <c r="M1345" s="570">
        <f t="shared" ca="1" si="328"/>
        <v>0</v>
      </c>
      <c r="N1345" s="570" t="e">
        <f t="shared" ref="N1345:P1345" ca="1" si="330">N1344+N1322</f>
        <v>#DIV/0!</v>
      </c>
      <c r="O1345" s="570" t="e">
        <f t="shared" ca="1" si="330"/>
        <v>#DIV/0!</v>
      </c>
      <c r="P1345" s="570">
        <f t="shared" ca="1" si="330"/>
        <v>0</v>
      </c>
      <c r="Q1345" s="572">
        <f t="shared" ca="1" si="328"/>
        <v>3.6186925898280364</v>
      </c>
      <c r="R1345" s="2109"/>
      <c r="S1345" s="346"/>
      <c r="T1345" s="341"/>
      <c r="U1345" s="511"/>
      <c r="V1345" s="511"/>
      <c r="W1345" s="511"/>
      <c r="X1345" s="342"/>
      <c r="Y1345" s="342"/>
      <c r="Z1345" s="342"/>
      <c r="AA1345" s="342"/>
    </row>
    <row r="1346" spans="1:27" ht="26.25" x14ac:dyDescent="0.2">
      <c r="A1346" s="341"/>
      <c r="B1346" s="345"/>
      <c r="C1346" s="437"/>
      <c r="D1346" s="2109"/>
      <c r="E1346" s="437"/>
      <c r="F1346" s="2109"/>
      <c r="G1346" s="2109"/>
      <c r="H1346" s="2109"/>
      <c r="I1346" s="2109"/>
      <c r="J1346" s="2109"/>
      <c r="K1346" s="2109"/>
      <c r="L1346" s="2109"/>
      <c r="M1346" s="2109"/>
      <c r="N1346" s="2109"/>
      <c r="O1346" s="2109"/>
      <c r="P1346" s="2109"/>
      <c r="Q1346" s="2109"/>
      <c r="R1346" s="2109"/>
      <c r="S1346" s="346"/>
      <c r="T1346" s="341"/>
      <c r="U1346" s="511"/>
      <c r="V1346" s="511"/>
      <c r="W1346" s="511"/>
      <c r="X1346" s="342"/>
      <c r="Y1346" s="342"/>
      <c r="Z1346" s="342"/>
      <c r="AA1346" s="342"/>
    </row>
    <row r="1347" spans="1:27" ht="26.25" x14ac:dyDescent="0.2">
      <c r="A1347" s="341"/>
      <c r="B1347" s="345"/>
      <c r="C1347" s="440" t="s">
        <v>1407</v>
      </c>
      <c r="D1347" s="440"/>
      <c r="E1347" s="437"/>
      <c r="F1347" s="2109"/>
      <c r="G1347" s="2109"/>
      <c r="H1347" s="2109"/>
      <c r="I1347" s="2109"/>
      <c r="J1347" s="2109"/>
      <c r="K1347" s="2109"/>
      <c r="L1347" s="2109"/>
      <c r="M1347" s="2109"/>
      <c r="N1347" s="2109"/>
      <c r="O1347" s="2109"/>
      <c r="P1347" s="2109"/>
      <c r="Q1347" s="2109"/>
      <c r="R1347" s="2109"/>
      <c r="S1347" s="346"/>
      <c r="T1347" s="341"/>
      <c r="U1347" s="511"/>
      <c r="V1347" s="511"/>
      <c r="W1347" s="511"/>
      <c r="X1347" s="342"/>
      <c r="Y1347" s="342"/>
      <c r="Z1347" s="342"/>
      <c r="AA1347" s="342"/>
    </row>
    <row r="1348" spans="1:27" ht="26.25" x14ac:dyDescent="0.2">
      <c r="A1348" s="341"/>
      <c r="B1348" s="345"/>
      <c r="C1348" s="525" t="s">
        <v>160</v>
      </c>
      <c r="D1348" s="526"/>
      <c r="E1348" s="527"/>
      <c r="F1348" s="526"/>
      <c r="G1348" s="526"/>
      <c r="H1348" s="526"/>
      <c r="I1348" s="526"/>
      <c r="J1348" s="526"/>
      <c r="K1348" s="526"/>
      <c r="L1348" s="526"/>
      <c r="M1348" s="526"/>
      <c r="N1348" s="526"/>
      <c r="O1348" s="526"/>
      <c r="P1348" s="526"/>
      <c r="Q1348" s="528"/>
      <c r="R1348" s="2109"/>
      <c r="S1348" s="346"/>
      <c r="T1348" s="341"/>
      <c r="U1348" s="511"/>
      <c r="V1348" s="511"/>
      <c r="W1348" s="511"/>
      <c r="X1348" s="342"/>
      <c r="Y1348" s="342"/>
      <c r="Z1348" s="342"/>
      <c r="AA1348" s="342"/>
    </row>
    <row r="1349" spans="1:27" ht="26.25" x14ac:dyDescent="0.2">
      <c r="A1349" s="341"/>
      <c r="B1349" s="345"/>
      <c r="C1349" s="517" t="str">
        <f>C1295</f>
        <v>Crude</v>
      </c>
      <c r="D1349" s="518">
        <f ca="1">D1243/CokingRefineryPFD!$E$95</f>
        <v>2169.6440650033583</v>
      </c>
      <c r="E1349" s="519">
        <f ca="1">E1243/CokingRefineryPFD!$E$95</f>
        <v>2343.0718589889079</v>
      </c>
      <c r="F1349" s="518">
        <f ca="1">F1243/CokingRefineryPFD!$E$95</f>
        <v>1119.7166453220761</v>
      </c>
      <c r="G1349" s="518">
        <f ca="1">G1243/CokingRefineryPFD!$E$95</f>
        <v>0</v>
      </c>
      <c r="H1349" s="518">
        <f ca="1">H1243/CokingRefineryPFD!$E$95</f>
        <v>0</v>
      </c>
      <c r="I1349" s="518">
        <f ca="1">I1243/CokingRefineryPFD!$E$95</f>
        <v>0</v>
      </c>
      <c r="J1349" s="518">
        <f ca="1">J1243/CokingRefineryPFD!$E$95</f>
        <v>0</v>
      </c>
      <c r="K1349" s="518">
        <f ca="1">K1243/CokingRefineryPFD!$E$95</f>
        <v>0</v>
      </c>
      <c r="L1349" s="518">
        <f ca="1">L1243/CokingRefineryPFD!$E$95</f>
        <v>0</v>
      </c>
      <c r="M1349" s="518">
        <f ca="1">M1243/CokingRefineryPFD!$E$95</f>
        <v>0</v>
      </c>
      <c r="N1349" s="518">
        <f ca="1">N1243/CokingRefineryPFD!$E$95</f>
        <v>0</v>
      </c>
      <c r="O1349" s="518">
        <f ca="1">O1243/CokingRefineryPFD!$E$95</f>
        <v>0</v>
      </c>
      <c r="P1349" s="518">
        <f ca="1">P1243/CokingRefineryPFD!$E$95</f>
        <v>0</v>
      </c>
      <c r="Q1349" s="520">
        <f ca="1">Q1243/CokingRefineryPFD!$E$95</f>
        <v>5632.4325693143419</v>
      </c>
      <c r="R1349" s="2109"/>
      <c r="S1349" s="346"/>
      <c r="T1349" s="341"/>
      <c r="U1349" s="511"/>
      <c r="V1349" s="511"/>
      <c r="W1349" s="511"/>
      <c r="X1349" s="342"/>
      <c r="Y1349" s="342"/>
      <c r="Z1349" s="342"/>
      <c r="AA1349" s="342"/>
    </row>
    <row r="1350" spans="1:27" ht="26.25" x14ac:dyDescent="0.2">
      <c r="A1350" s="341"/>
      <c r="B1350" s="345"/>
      <c r="C1350" s="529" t="s">
        <v>201</v>
      </c>
      <c r="D1350" s="530"/>
      <c r="E1350" s="531"/>
      <c r="F1350" s="530"/>
      <c r="G1350" s="530"/>
      <c r="H1350" s="530"/>
      <c r="I1350" s="530"/>
      <c r="J1350" s="530"/>
      <c r="K1350" s="530"/>
      <c r="L1350" s="530"/>
      <c r="M1350" s="530"/>
      <c r="N1350" s="530"/>
      <c r="O1350" s="530"/>
      <c r="P1350" s="530"/>
      <c r="Q1350" s="532"/>
      <c r="R1350" s="2109"/>
      <c r="S1350" s="346"/>
      <c r="T1350" s="341"/>
      <c r="U1350" s="511"/>
      <c r="V1350" s="511"/>
      <c r="W1350" s="511"/>
      <c r="X1350" s="342"/>
      <c r="Y1350" s="342"/>
      <c r="Z1350" s="342"/>
      <c r="AA1350" s="342"/>
    </row>
    <row r="1351" spans="1:27" ht="26.25" x14ac:dyDescent="0.2">
      <c r="A1351" s="341"/>
      <c r="B1351" s="345"/>
      <c r="C1351" s="517" t="s">
        <v>392</v>
      </c>
      <c r="D1351" s="518">
        <f ca="1">D1245/CokingRefineryPFD!$E$95</f>
        <v>6.1178004292932062</v>
      </c>
      <c r="E1351" s="519">
        <f ca="1">E1245/CokingRefineryPFD!$E$95</f>
        <v>3.199376376061029</v>
      </c>
      <c r="F1351" s="518">
        <f ca="1">F1245/CokingRefineryPFD!$E$95</f>
        <v>1.4547662780757022</v>
      </c>
      <c r="G1351" s="518">
        <f ca="1">G1245/CokingRefineryPFD!$E$95</f>
        <v>0</v>
      </c>
      <c r="H1351" s="518">
        <f ca="1">H1245/CokingRefineryPFD!$E$95</f>
        <v>0</v>
      </c>
      <c r="I1351" s="518">
        <f ca="1">I1245/CokingRefineryPFD!$E$95</f>
        <v>0</v>
      </c>
      <c r="J1351" s="518">
        <f ca="1">J1245/CokingRefineryPFD!$E$95</f>
        <v>0</v>
      </c>
      <c r="K1351" s="518">
        <f ca="1">K1245/CokingRefineryPFD!$E$95</f>
        <v>0</v>
      </c>
      <c r="L1351" s="518">
        <f ca="1">L1245/CokingRefineryPFD!$E$95</f>
        <v>0</v>
      </c>
      <c r="M1351" s="518">
        <f ca="1">M1245/CokingRefineryPFD!$E$95</f>
        <v>0</v>
      </c>
      <c r="N1351" s="518">
        <f ca="1">N1245/CokingRefineryPFD!$E$95</f>
        <v>0</v>
      </c>
      <c r="O1351" s="518">
        <f ca="1">O1245/CokingRefineryPFD!$E$95</f>
        <v>0</v>
      </c>
      <c r="P1351" s="518">
        <f ca="1">P1245/CokingRefineryPFD!$E$95</f>
        <v>0</v>
      </c>
      <c r="Q1351" s="520">
        <f ca="1">Q1245/CokingRefineryPFD!$E$95</f>
        <v>10.771943083429937</v>
      </c>
      <c r="R1351" s="2109"/>
      <c r="S1351" s="346"/>
      <c r="T1351" s="341"/>
      <c r="U1351" s="511"/>
      <c r="V1351" s="511"/>
      <c r="W1351" s="511"/>
      <c r="X1351" s="342"/>
      <c r="Y1351" s="342"/>
      <c r="Z1351" s="342"/>
      <c r="AA1351" s="342"/>
    </row>
    <row r="1352" spans="1:27" ht="26.25" x14ac:dyDescent="0.2">
      <c r="A1352" s="341"/>
      <c r="B1352" s="345"/>
      <c r="C1352" s="517" t="s">
        <v>1023</v>
      </c>
      <c r="D1352" s="518"/>
      <c r="E1352" s="519"/>
      <c r="F1352" s="518"/>
      <c r="G1352" s="518"/>
      <c r="H1352" s="518"/>
      <c r="I1352" s="518"/>
      <c r="J1352" s="518"/>
      <c r="K1352" s="518"/>
      <c r="L1352" s="518"/>
      <c r="M1352" s="518"/>
      <c r="N1352" s="518"/>
      <c r="O1352" s="518"/>
      <c r="P1352" s="518"/>
      <c r="Q1352" s="520"/>
      <c r="R1352" s="2109"/>
      <c r="S1352" s="346"/>
      <c r="T1352" s="341"/>
      <c r="U1352" s="511"/>
      <c r="V1352" s="511"/>
      <c r="W1352" s="511"/>
      <c r="X1352" s="342"/>
      <c r="Y1352" s="342"/>
      <c r="Z1352" s="342"/>
      <c r="AA1352" s="342"/>
    </row>
    <row r="1353" spans="1:27" ht="26.25" x14ac:dyDescent="0.2">
      <c r="A1353" s="341"/>
      <c r="B1353" s="345"/>
      <c r="C1353" s="517" t="s">
        <v>971</v>
      </c>
      <c r="D1353" s="518">
        <f ca="1">D1247/CokingRefineryPFD!$E$95</f>
        <v>67.143519997496313</v>
      </c>
      <c r="E1353" s="519">
        <f ca="1">E1247/CokingRefineryPFD!$E$95</f>
        <v>32.744706357874037</v>
      </c>
      <c r="F1353" s="518">
        <f ca="1">F1247/CokingRefineryPFD!$E$95</f>
        <v>15.43721578262185</v>
      </c>
      <c r="G1353" s="518">
        <f ca="1">G1247/CokingRefineryPFD!$E$95</f>
        <v>0</v>
      </c>
      <c r="H1353" s="518">
        <f ca="1">H1247/CokingRefineryPFD!$E$95</f>
        <v>0</v>
      </c>
      <c r="I1353" s="518">
        <f ca="1">I1247/CokingRefineryPFD!$E$95</f>
        <v>0</v>
      </c>
      <c r="J1353" s="518">
        <f ca="1">J1247/CokingRefineryPFD!$E$95</f>
        <v>0</v>
      </c>
      <c r="K1353" s="518">
        <f ca="1">K1247/CokingRefineryPFD!$E$95</f>
        <v>0</v>
      </c>
      <c r="L1353" s="518">
        <f ca="1">L1247/CokingRefineryPFD!$E$95</f>
        <v>0</v>
      </c>
      <c r="M1353" s="518">
        <f ca="1">M1247/CokingRefineryPFD!$E$95</f>
        <v>0</v>
      </c>
      <c r="N1353" s="518">
        <f ca="1">N1247/CokingRefineryPFD!$E$95</f>
        <v>0</v>
      </c>
      <c r="O1353" s="518">
        <f ca="1">O1247/CokingRefineryPFD!$E$95</f>
        <v>0</v>
      </c>
      <c r="P1353" s="518">
        <f ca="1">P1247/CokingRefineryPFD!$E$95</f>
        <v>0</v>
      </c>
      <c r="Q1353" s="520">
        <f ca="1">Q1247/CokingRefineryPFD!$E$95</f>
        <v>115.32544213799221</v>
      </c>
      <c r="R1353" s="2109"/>
      <c r="S1353" s="346"/>
      <c r="T1353" s="341"/>
      <c r="U1353" s="511"/>
      <c r="V1353" s="511"/>
      <c r="W1353" s="511"/>
      <c r="X1353" s="342"/>
      <c r="Y1353" s="342"/>
      <c r="Z1353" s="342"/>
      <c r="AA1353" s="342"/>
    </row>
    <row r="1354" spans="1:27" ht="26.25" x14ac:dyDescent="0.2">
      <c r="A1354" s="341"/>
      <c r="B1354" s="345"/>
      <c r="C1354" s="517" t="s">
        <v>90</v>
      </c>
      <c r="D1354" s="518">
        <f ca="1">D1248/CokingRefineryPFD!$E$95</f>
        <v>57.298810716690582</v>
      </c>
      <c r="E1354" s="519">
        <f ca="1">E1248/CokingRefineryPFD!$E$95</f>
        <v>27.943615878991746</v>
      </c>
      <c r="F1354" s="518">
        <f ca="1">F1248/CokingRefineryPFD!$E$95</f>
        <v>13.17378214836131</v>
      </c>
      <c r="G1354" s="518">
        <f ca="1">G1248/CokingRefineryPFD!$E$95</f>
        <v>0</v>
      </c>
      <c r="H1354" s="518">
        <f ca="1">H1248/CokingRefineryPFD!$E$95</f>
        <v>0</v>
      </c>
      <c r="I1354" s="518">
        <f ca="1">I1248/CokingRefineryPFD!$E$95</f>
        <v>0</v>
      </c>
      <c r="J1354" s="518">
        <f ca="1">J1248/CokingRefineryPFD!$E$95</f>
        <v>0</v>
      </c>
      <c r="K1354" s="518">
        <f ca="1">K1248/CokingRefineryPFD!$E$95</f>
        <v>0</v>
      </c>
      <c r="L1354" s="518">
        <f ca="1">L1248/CokingRefineryPFD!$E$95</f>
        <v>0</v>
      </c>
      <c r="M1354" s="518">
        <f ca="1">M1248/CokingRefineryPFD!$E$95</f>
        <v>0</v>
      </c>
      <c r="N1354" s="518">
        <f ca="1">N1248/CokingRefineryPFD!$E$95</f>
        <v>0</v>
      </c>
      <c r="O1354" s="518">
        <f ca="1">O1248/CokingRefineryPFD!$E$95</f>
        <v>0</v>
      </c>
      <c r="P1354" s="518">
        <f ca="1">P1248/CokingRefineryPFD!$E$95</f>
        <v>0</v>
      </c>
      <c r="Q1354" s="520">
        <f ca="1">Q1248/CokingRefineryPFD!$E$95</f>
        <v>98.416208744043644</v>
      </c>
      <c r="R1354" s="2109"/>
      <c r="S1354" s="346"/>
      <c r="T1354" s="341"/>
      <c r="U1354" s="511"/>
      <c r="V1354" s="511"/>
      <c r="W1354" s="511"/>
      <c r="X1354" s="342"/>
      <c r="Y1354" s="342"/>
      <c r="Z1354" s="342"/>
      <c r="AA1354" s="342"/>
    </row>
    <row r="1355" spans="1:27" ht="26.25" x14ac:dyDescent="0.2">
      <c r="A1355" s="341"/>
      <c r="B1355" s="345"/>
      <c r="C1355" s="517" t="s">
        <v>485</v>
      </c>
      <c r="D1355" s="518"/>
      <c r="E1355" s="519"/>
      <c r="F1355" s="518"/>
      <c r="G1355" s="518"/>
      <c r="H1355" s="518"/>
      <c r="I1355" s="518"/>
      <c r="J1355" s="518"/>
      <c r="K1355" s="518"/>
      <c r="L1355" s="518"/>
      <c r="M1355" s="518"/>
      <c r="N1355" s="518"/>
      <c r="O1355" s="518"/>
      <c r="P1355" s="518"/>
      <c r="Q1355" s="520"/>
      <c r="R1355" s="2109"/>
      <c r="S1355" s="346"/>
      <c r="T1355" s="341"/>
      <c r="U1355" s="511"/>
      <c r="V1355" s="511"/>
      <c r="W1355" s="511"/>
      <c r="X1355" s="342"/>
      <c r="Y1355" s="342"/>
      <c r="Z1355" s="342"/>
      <c r="AA1355" s="342"/>
    </row>
    <row r="1356" spans="1:27" ht="26.25" x14ac:dyDescent="0.2">
      <c r="A1356" s="341"/>
      <c r="B1356" s="345"/>
      <c r="C1356" s="517" t="s">
        <v>971</v>
      </c>
      <c r="D1356" s="518">
        <f ca="1">D1250/CokingRefineryPFD!$E$95</f>
        <v>0</v>
      </c>
      <c r="E1356" s="519">
        <f ca="1">E1250/CokingRefineryPFD!$E$95</f>
        <v>0</v>
      </c>
      <c r="F1356" s="518">
        <f ca="1">F1250/CokingRefineryPFD!$E$95</f>
        <v>0</v>
      </c>
      <c r="G1356" s="518">
        <f ca="1">G1250/CokingRefineryPFD!$E$95</f>
        <v>0</v>
      </c>
      <c r="H1356" s="518">
        <f ca="1">H1250/CokingRefineryPFD!$E$95</f>
        <v>0</v>
      </c>
      <c r="I1356" s="518">
        <f ca="1">I1250/CokingRefineryPFD!$E$95</f>
        <v>0</v>
      </c>
      <c r="J1356" s="518">
        <f ca="1">J1250/CokingRefineryPFD!$E$95</f>
        <v>0</v>
      </c>
      <c r="K1356" s="518">
        <f ca="1">K1250/CokingRefineryPFD!$E$95</f>
        <v>0</v>
      </c>
      <c r="L1356" s="518">
        <f ca="1">L1250/CokingRefineryPFD!$E$95</f>
        <v>0</v>
      </c>
      <c r="M1356" s="518">
        <f ca="1">M1250/CokingRefineryPFD!$E$95</f>
        <v>0</v>
      </c>
      <c r="N1356" s="518">
        <f ca="1">N1250/CokingRefineryPFD!$E$95</f>
        <v>0</v>
      </c>
      <c r="O1356" s="518">
        <f ca="1">O1250/CokingRefineryPFD!$E$95</f>
        <v>0</v>
      </c>
      <c r="P1356" s="518">
        <f ca="1">P1250/CokingRefineryPFD!$E$95</f>
        <v>0</v>
      </c>
      <c r="Q1356" s="520">
        <f ca="1">Q1250/CokingRefineryPFD!$E$95</f>
        <v>0</v>
      </c>
      <c r="R1356" s="2109"/>
      <c r="S1356" s="346"/>
      <c r="T1356" s="341"/>
      <c r="U1356" s="511"/>
      <c r="V1356" s="511"/>
      <c r="W1356" s="511"/>
      <c r="X1356" s="342"/>
      <c r="Y1356" s="342"/>
      <c r="Z1356" s="342"/>
      <c r="AA1356" s="342"/>
    </row>
    <row r="1357" spans="1:27" ht="26.25" x14ac:dyDescent="0.2">
      <c r="A1357" s="341"/>
      <c r="B1357" s="345"/>
      <c r="C1357" s="517" t="s">
        <v>90</v>
      </c>
      <c r="D1357" s="518">
        <f ca="1">D1251/CokingRefineryPFD!$E$95</f>
        <v>14.642091317503009</v>
      </c>
      <c r="E1357" s="519">
        <f ca="1">E1251/CokingRefineryPFD!$E$95</f>
        <v>6.8957469915637928</v>
      </c>
      <c r="F1357" s="518">
        <f ca="1">F1251/CokingRefineryPFD!$E$95</f>
        <v>3.132840038511878</v>
      </c>
      <c r="G1357" s="518">
        <f ca="1">G1251/CokingRefineryPFD!$E$95</f>
        <v>0</v>
      </c>
      <c r="H1357" s="518">
        <f ca="1">H1251/CokingRefineryPFD!$E$95</f>
        <v>0</v>
      </c>
      <c r="I1357" s="518">
        <f ca="1">I1251/CokingRefineryPFD!$E$95</f>
        <v>0</v>
      </c>
      <c r="J1357" s="518">
        <f ca="1">J1251/CokingRefineryPFD!$E$95</f>
        <v>0</v>
      </c>
      <c r="K1357" s="518">
        <f ca="1">K1251/CokingRefineryPFD!$E$95</f>
        <v>0</v>
      </c>
      <c r="L1357" s="518">
        <f ca="1">L1251/CokingRefineryPFD!$E$95</f>
        <v>0</v>
      </c>
      <c r="M1357" s="518">
        <f ca="1">M1251/CokingRefineryPFD!$E$95</f>
        <v>0</v>
      </c>
      <c r="N1357" s="518">
        <f ca="1">N1251/CokingRefineryPFD!$E$95</f>
        <v>0</v>
      </c>
      <c r="O1357" s="518">
        <f ca="1">O1251/CokingRefineryPFD!$E$95</f>
        <v>0</v>
      </c>
      <c r="P1357" s="518">
        <f ca="1">P1251/CokingRefineryPFD!$E$95</f>
        <v>0</v>
      </c>
      <c r="Q1357" s="520">
        <f ca="1">Q1251/CokingRefineryPFD!$E$95</f>
        <v>24.670678347578679</v>
      </c>
      <c r="R1357" s="2109"/>
      <c r="S1357" s="346"/>
      <c r="T1357" s="341"/>
      <c r="U1357" s="511"/>
      <c r="V1357" s="511"/>
      <c r="W1357" s="511"/>
      <c r="X1357" s="342"/>
      <c r="Y1357" s="342"/>
      <c r="Z1357" s="342"/>
      <c r="AA1357" s="342"/>
    </row>
    <row r="1358" spans="1:27" ht="26.25" x14ac:dyDescent="0.2">
      <c r="A1358" s="341"/>
      <c r="B1358" s="345"/>
      <c r="C1358" s="517" t="s">
        <v>392</v>
      </c>
      <c r="D1358" s="518">
        <f ca="1">D1252/CokingRefineryPFD!$E$95</f>
        <v>7.2976918263551641E-2</v>
      </c>
      <c r="E1358" s="519">
        <f ca="1">E1252/CokingRefineryPFD!$E$95</f>
        <v>3.4368749221494507E-2</v>
      </c>
      <c r="F1358" s="518">
        <f ca="1">F1252/CokingRefineryPFD!$E$95</f>
        <v>1.5614232042793453E-2</v>
      </c>
      <c r="G1358" s="518">
        <f ca="1">G1252/CokingRefineryPFD!$E$95</f>
        <v>0</v>
      </c>
      <c r="H1358" s="518">
        <f ca="1">H1252/CokingRefineryPFD!$E$95</f>
        <v>0</v>
      </c>
      <c r="I1358" s="518">
        <f ca="1">I1252/CokingRefineryPFD!$E$95</f>
        <v>0</v>
      </c>
      <c r="J1358" s="518">
        <f ca="1">J1252/CokingRefineryPFD!$E$95</f>
        <v>0</v>
      </c>
      <c r="K1358" s="518">
        <f ca="1">K1252/CokingRefineryPFD!$E$95</f>
        <v>0</v>
      </c>
      <c r="L1358" s="518">
        <f ca="1">L1252/CokingRefineryPFD!$E$95</f>
        <v>0</v>
      </c>
      <c r="M1358" s="518">
        <f ca="1">M1252/CokingRefineryPFD!$E$95</f>
        <v>0</v>
      </c>
      <c r="N1358" s="518">
        <f ca="1">N1252/CokingRefineryPFD!$E$95</f>
        <v>0</v>
      </c>
      <c r="O1358" s="518">
        <f ca="1">O1252/CokingRefineryPFD!$E$95</f>
        <v>0</v>
      </c>
      <c r="P1358" s="518">
        <f ca="1">P1252/CokingRefineryPFD!$E$95</f>
        <v>0</v>
      </c>
      <c r="Q1358" s="520">
        <f ca="1">Q1252/CokingRefineryPFD!$E$95</f>
        <v>0.1229598995278396</v>
      </c>
      <c r="R1358" s="2109"/>
      <c r="S1358" s="346"/>
      <c r="T1358" s="341"/>
      <c r="U1358" s="511"/>
      <c r="V1358" s="511"/>
      <c r="W1358" s="511"/>
      <c r="X1358" s="342"/>
      <c r="Y1358" s="342"/>
      <c r="Z1358" s="342"/>
      <c r="AA1358" s="342"/>
    </row>
    <row r="1359" spans="1:27" ht="26.25" x14ac:dyDescent="0.2">
      <c r="A1359" s="341"/>
      <c r="B1359" s="345"/>
      <c r="C1359" s="517" t="s">
        <v>1027</v>
      </c>
      <c r="D1359" s="518">
        <f ca="1">D1253/CokingRefineryPFD!$E$95</f>
        <v>0</v>
      </c>
      <c r="E1359" s="519">
        <f ca="1">E1253/CokingRefineryPFD!$E$95</f>
        <v>0</v>
      </c>
      <c r="F1359" s="518">
        <f ca="1">F1253/CokingRefineryPFD!$E$95</f>
        <v>0</v>
      </c>
      <c r="G1359" s="518">
        <f ca="1">G1253/CokingRefineryPFD!$E$95</f>
        <v>0</v>
      </c>
      <c r="H1359" s="518">
        <f ca="1">H1253/CokingRefineryPFD!$E$95</f>
        <v>0</v>
      </c>
      <c r="I1359" s="518">
        <f ca="1">I1253/CokingRefineryPFD!$E$95</f>
        <v>0</v>
      </c>
      <c r="J1359" s="518">
        <f ca="1">J1253/CokingRefineryPFD!$E$95</f>
        <v>0</v>
      </c>
      <c r="K1359" s="518">
        <f ca="1">K1253/CokingRefineryPFD!$E$95</f>
        <v>0</v>
      </c>
      <c r="L1359" s="518">
        <f ca="1">L1253/CokingRefineryPFD!$E$95</f>
        <v>0</v>
      </c>
      <c r="M1359" s="518">
        <f ca="1">M1253/CokingRefineryPFD!$E$95</f>
        <v>0</v>
      </c>
      <c r="N1359" s="518">
        <f ca="1">N1253/CokingRefineryPFD!$E$95</f>
        <v>0</v>
      </c>
      <c r="O1359" s="518">
        <f ca="1">O1253/CokingRefineryPFD!$E$95</f>
        <v>0</v>
      </c>
      <c r="P1359" s="518">
        <f ca="1">P1253/CokingRefineryPFD!$E$95</f>
        <v>0</v>
      </c>
      <c r="Q1359" s="520">
        <f ca="1">Q1253/CokingRefineryPFD!$E$95</f>
        <v>0</v>
      </c>
      <c r="R1359" s="2109"/>
      <c r="S1359" s="346"/>
      <c r="T1359" s="341"/>
      <c r="U1359" s="511"/>
      <c r="V1359" s="511"/>
      <c r="W1359" s="511"/>
      <c r="X1359" s="342"/>
      <c r="Y1359" s="342"/>
      <c r="Z1359" s="342"/>
      <c r="AA1359" s="342"/>
    </row>
    <row r="1360" spans="1:27" ht="26.25" x14ac:dyDescent="0.2">
      <c r="A1360" s="341"/>
      <c r="B1360" s="345"/>
      <c r="C1360" s="517" t="s">
        <v>1036</v>
      </c>
      <c r="D1360" s="518">
        <f ca="1">D1254/CokingRefineryPFD!$E$95</f>
        <v>0</v>
      </c>
      <c r="E1360" s="519">
        <f ca="1">E1254/CokingRefineryPFD!$E$95</f>
        <v>0</v>
      </c>
      <c r="F1360" s="518">
        <f ca="1">F1254/CokingRefineryPFD!$E$95</f>
        <v>0</v>
      </c>
      <c r="G1360" s="518">
        <f ca="1">G1254/CokingRefineryPFD!$E$95</f>
        <v>0</v>
      </c>
      <c r="H1360" s="518">
        <f ca="1">H1254/CokingRefineryPFD!$E$95</f>
        <v>0</v>
      </c>
      <c r="I1360" s="518">
        <f ca="1">I1254/CokingRefineryPFD!$E$95</f>
        <v>0</v>
      </c>
      <c r="J1360" s="518">
        <f ca="1">J1254/CokingRefineryPFD!$E$95</f>
        <v>0</v>
      </c>
      <c r="K1360" s="518">
        <f ca="1">K1254/CokingRefineryPFD!$E$95</f>
        <v>0</v>
      </c>
      <c r="L1360" s="518">
        <f ca="1">L1254/CokingRefineryPFD!$E$95</f>
        <v>0</v>
      </c>
      <c r="M1360" s="518">
        <f ca="1">M1254/CokingRefineryPFD!$E$95</f>
        <v>0</v>
      </c>
      <c r="N1360" s="518">
        <f ca="1">N1254/CokingRefineryPFD!$E$95</f>
        <v>0</v>
      </c>
      <c r="O1360" s="518">
        <f ca="1">O1254/CokingRefineryPFD!$E$95</f>
        <v>0</v>
      </c>
      <c r="P1360" s="518">
        <f ca="1">P1254/CokingRefineryPFD!$E$95</f>
        <v>0</v>
      </c>
      <c r="Q1360" s="520">
        <f ca="1">Q1254/CokingRefineryPFD!$E$95</f>
        <v>0</v>
      </c>
      <c r="R1360" s="2109"/>
      <c r="S1360" s="346"/>
      <c r="T1360" s="341"/>
      <c r="U1360" s="511"/>
      <c r="V1360" s="511"/>
      <c r="W1360" s="511"/>
      <c r="X1360" s="342"/>
      <c r="Y1360" s="342"/>
      <c r="Z1360" s="342"/>
      <c r="AA1360" s="342"/>
    </row>
    <row r="1361" spans="1:27" ht="26.25" x14ac:dyDescent="0.2">
      <c r="A1361" s="341"/>
      <c r="B1361" s="345"/>
      <c r="C1361" s="517" t="s">
        <v>1037</v>
      </c>
      <c r="D1361" s="518">
        <f ca="1">D1255/CokingRefineryPFD!$E$95</f>
        <v>0</v>
      </c>
      <c r="E1361" s="519">
        <f ca="1">E1255/CokingRefineryPFD!$E$95</f>
        <v>0</v>
      </c>
      <c r="F1361" s="518">
        <f ca="1">F1255/CokingRefineryPFD!$E$95</f>
        <v>0</v>
      </c>
      <c r="G1361" s="518">
        <f ca="1">G1255/CokingRefineryPFD!$E$95</f>
        <v>0</v>
      </c>
      <c r="H1361" s="518">
        <f ca="1">H1255/CokingRefineryPFD!$E$95</f>
        <v>0</v>
      </c>
      <c r="I1361" s="518">
        <f ca="1">I1255/CokingRefineryPFD!$E$95</f>
        <v>0</v>
      </c>
      <c r="J1361" s="518">
        <f ca="1">J1255/CokingRefineryPFD!$E$95</f>
        <v>0</v>
      </c>
      <c r="K1361" s="518">
        <f ca="1">K1255/CokingRefineryPFD!$E$95</f>
        <v>0</v>
      </c>
      <c r="L1361" s="518">
        <f ca="1">L1255/CokingRefineryPFD!$E$95</f>
        <v>0</v>
      </c>
      <c r="M1361" s="518">
        <f ca="1">M1255/CokingRefineryPFD!$E$95</f>
        <v>0</v>
      </c>
      <c r="N1361" s="518">
        <f ca="1">N1255/CokingRefineryPFD!$E$95</f>
        <v>0</v>
      </c>
      <c r="O1361" s="518">
        <f ca="1">O1255/CokingRefineryPFD!$E$95</f>
        <v>0</v>
      </c>
      <c r="P1361" s="518">
        <f ca="1">P1255/CokingRefineryPFD!$E$95</f>
        <v>0</v>
      </c>
      <c r="Q1361" s="520">
        <f ca="1">Q1255/CokingRefineryPFD!$E$95</f>
        <v>0</v>
      </c>
      <c r="R1361" s="2109"/>
      <c r="S1361" s="346"/>
      <c r="T1361" s="341"/>
      <c r="U1361" s="511"/>
      <c r="V1361" s="511"/>
      <c r="W1361" s="511"/>
      <c r="X1361" s="342"/>
      <c r="Y1361" s="342"/>
      <c r="Z1361" s="342"/>
      <c r="AA1361" s="342"/>
    </row>
    <row r="1362" spans="1:27" ht="26.25" x14ac:dyDescent="0.2">
      <c r="A1362" s="341"/>
      <c r="B1362" s="345"/>
      <c r="C1362" s="517" t="s">
        <v>1034</v>
      </c>
      <c r="D1362" s="518">
        <f ca="1">D1256/CokingRefineryPFD!$E$95</f>
        <v>0.23399053554414564</v>
      </c>
      <c r="E1362" s="519">
        <f ca="1">E1256/CokingRefineryPFD!$E$95</f>
        <v>7.116419045313771E-2</v>
      </c>
      <c r="F1362" s="518">
        <f ca="1">F1256/CokingRefineryPFD!$E$95</f>
        <v>3.7985928539183408E-2</v>
      </c>
      <c r="G1362" s="518">
        <f ca="1">G1256/CokingRefineryPFD!$E$95</f>
        <v>0</v>
      </c>
      <c r="H1362" s="518">
        <f ca="1">H1256/CokingRefineryPFD!$E$95</f>
        <v>0</v>
      </c>
      <c r="I1362" s="518">
        <f ca="1">I1256/CokingRefineryPFD!$E$95</f>
        <v>0</v>
      </c>
      <c r="J1362" s="518">
        <f ca="1">J1256/CokingRefineryPFD!$E$95</f>
        <v>0</v>
      </c>
      <c r="K1362" s="518">
        <f ca="1">K1256/CokingRefineryPFD!$E$95</f>
        <v>0</v>
      </c>
      <c r="L1362" s="518">
        <f ca="1">L1256/CokingRefineryPFD!$E$95</f>
        <v>0</v>
      </c>
      <c r="M1362" s="518">
        <f ca="1">M1256/CokingRefineryPFD!$E$95</f>
        <v>0</v>
      </c>
      <c r="N1362" s="518">
        <f ca="1">N1256/CokingRefineryPFD!$E$95</f>
        <v>0</v>
      </c>
      <c r="O1362" s="518">
        <f ca="1">O1256/CokingRefineryPFD!$E$95</f>
        <v>0</v>
      </c>
      <c r="P1362" s="518">
        <f ca="1">P1256/CokingRefineryPFD!$E$95</f>
        <v>0</v>
      </c>
      <c r="Q1362" s="520">
        <f ca="1">Q1256/CokingRefineryPFD!$E$95</f>
        <v>0.3431406545364668</v>
      </c>
      <c r="R1362" s="2109"/>
      <c r="S1362" s="346"/>
      <c r="T1362" s="341"/>
      <c r="U1362" s="511"/>
      <c r="V1362" s="511"/>
      <c r="W1362" s="511"/>
      <c r="X1362" s="342"/>
      <c r="Y1362" s="342"/>
      <c r="Z1362" s="342"/>
      <c r="AA1362" s="342"/>
    </row>
    <row r="1363" spans="1:27" ht="26.25" x14ac:dyDescent="0.2">
      <c r="A1363" s="341"/>
      <c r="B1363" s="345"/>
      <c r="C1363" s="517" t="s">
        <v>1028</v>
      </c>
      <c r="D1363" s="518">
        <f ca="1">D1257/CokingRefineryPFD!$E$95</f>
        <v>0</v>
      </c>
      <c r="E1363" s="519">
        <f ca="1">E1257/CokingRefineryPFD!$E$95</f>
        <v>0</v>
      </c>
      <c r="F1363" s="518">
        <f ca="1">F1257/CokingRefineryPFD!$E$95</f>
        <v>0</v>
      </c>
      <c r="G1363" s="518">
        <f ca="1">G1257/CokingRefineryPFD!$E$95</f>
        <v>0</v>
      </c>
      <c r="H1363" s="518">
        <f ca="1">H1257/CokingRefineryPFD!$E$95</f>
        <v>0</v>
      </c>
      <c r="I1363" s="518">
        <f ca="1">I1257/CokingRefineryPFD!$E$95</f>
        <v>0</v>
      </c>
      <c r="J1363" s="518">
        <f ca="1">J1257/CokingRefineryPFD!$E$95</f>
        <v>0</v>
      </c>
      <c r="K1363" s="518">
        <f ca="1">K1257/CokingRefineryPFD!$E$95</f>
        <v>0</v>
      </c>
      <c r="L1363" s="518">
        <f ca="1">L1257/CokingRefineryPFD!$E$95</f>
        <v>0</v>
      </c>
      <c r="M1363" s="518">
        <f ca="1">M1257/CokingRefineryPFD!$E$95</f>
        <v>0</v>
      </c>
      <c r="N1363" s="518">
        <f ca="1">N1257/CokingRefineryPFD!$E$95</f>
        <v>0</v>
      </c>
      <c r="O1363" s="518">
        <f ca="1">O1257/CokingRefineryPFD!$E$95</f>
        <v>0</v>
      </c>
      <c r="P1363" s="518">
        <f ca="1">P1257/CokingRefineryPFD!$E$95</f>
        <v>0</v>
      </c>
      <c r="Q1363" s="520">
        <f ca="1">Q1257/CokingRefineryPFD!$E$95</f>
        <v>0</v>
      </c>
      <c r="R1363" s="2109"/>
      <c r="S1363" s="346"/>
      <c r="T1363" s="341"/>
      <c r="U1363" s="511"/>
      <c r="V1363" s="511"/>
      <c r="W1363" s="511"/>
      <c r="X1363" s="342"/>
      <c r="Y1363" s="342"/>
      <c r="Z1363" s="342"/>
      <c r="AA1363" s="342"/>
    </row>
    <row r="1364" spans="1:27" ht="26.25" x14ac:dyDescent="0.2">
      <c r="A1364" s="341"/>
      <c r="B1364" s="345"/>
      <c r="C1364" s="517" t="s">
        <v>1029</v>
      </c>
      <c r="D1364" s="518">
        <f ca="1">D1258/CokingRefineryPFD!$E$95</f>
        <v>20.680981676881554</v>
      </c>
      <c r="E1364" s="519">
        <f ca="1">E1258/CokingRefineryPFD!$E$95</f>
        <v>6.2897643077268164</v>
      </c>
      <c r="F1364" s="518">
        <f ca="1">F1258/CokingRefineryPFD!$E$95</f>
        <v>3.3573421688672194</v>
      </c>
      <c r="G1364" s="518">
        <f ca="1">G1258/CokingRefineryPFD!$E$95</f>
        <v>0</v>
      </c>
      <c r="H1364" s="518">
        <f ca="1">H1258/CokingRefineryPFD!$E$95</f>
        <v>0</v>
      </c>
      <c r="I1364" s="518">
        <f ca="1">I1258/CokingRefineryPFD!$E$95</f>
        <v>0</v>
      </c>
      <c r="J1364" s="518">
        <f ca="1">J1258/CokingRefineryPFD!$E$95</f>
        <v>0</v>
      </c>
      <c r="K1364" s="518">
        <f ca="1">K1258/CokingRefineryPFD!$E$95</f>
        <v>0</v>
      </c>
      <c r="L1364" s="518">
        <f ca="1">L1258/CokingRefineryPFD!$E$95</f>
        <v>0</v>
      </c>
      <c r="M1364" s="518">
        <f ca="1">M1258/CokingRefineryPFD!$E$95</f>
        <v>0</v>
      </c>
      <c r="N1364" s="518">
        <f ca="1">N1258/CokingRefineryPFD!$E$95</f>
        <v>0</v>
      </c>
      <c r="O1364" s="518">
        <f ca="1">O1258/CokingRefineryPFD!$E$95</f>
        <v>0</v>
      </c>
      <c r="P1364" s="518">
        <f ca="1">P1258/CokingRefineryPFD!$E$95</f>
        <v>0</v>
      </c>
      <c r="Q1364" s="520">
        <f ca="1">Q1258/CokingRefineryPFD!$E$95</f>
        <v>30.328088153475587</v>
      </c>
      <c r="R1364" s="2109"/>
      <c r="S1364" s="346"/>
      <c r="T1364" s="341"/>
      <c r="U1364" s="511"/>
      <c r="V1364" s="511"/>
      <c r="W1364" s="511"/>
      <c r="X1364" s="342"/>
      <c r="Y1364" s="342"/>
      <c r="Z1364" s="342"/>
      <c r="AA1364" s="342"/>
    </row>
    <row r="1365" spans="1:27" ht="26.25" x14ac:dyDescent="0.2">
      <c r="A1365" s="341"/>
      <c r="B1365" s="345"/>
      <c r="C1365" s="517" t="s">
        <v>1038</v>
      </c>
      <c r="D1365" s="518">
        <f ca="1">D1259/CokingRefineryPFD!$E$95</f>
        <v>0</v>
      </c>
      <c r="E1365" s="519">
        <f ca="1">E1259/CokingRefineryPFD!$E$95</f>
        <v>0</v>
      </c>
      <c r="F1365" s="518">
        <f ca="1">F1259/CokingRefineryPFD!$E$95</f>
        <v>0</v>
      </c>
      <c r="G1365" s="518">
        <f ca="1">G1259/CokingRefineryPFD!$E$95</f>
        <v>0</v>
      </c>
      <c r="H1365" s="518">
        <f ca="1">H1259/CokingRefineryPFD!$E$95</f>
        <v>0</v>
      </c>
      <c r="I1365" s="518">
        <f ca="1">I1259/CokingRefineryPFD!$E$95</f>
        <v>0</v>
      </c>
      <c r="J1365" s="518">
        <f ca="1">J1259/CokingRefineryPFD!$E$95</f>
        <v>0</v>
      </c>
      <c r="K1365" s="518">
        <f ca="1">K1259/CokingRefineryPFD!$E$95</f>
        <v>0</v>
      </c>
      <c r="L1365" s="518">
        <f ca="1">L1259/CokingRefineryPFD!$E$95</f>
        <v>0</v>
      </c>
      <c r="M1365" s="518">
        <f ca="1">M1259/CokingRefineryPFD!$E$95</f>
        <v>0</v>
      </c>
      <c r="N1365" s="518">
        <f ca="1">N1259/CokingRefineryPFD!$E$95</f>
        <v>0</v>
      </c>
      <c r="O1365" s="518">
        <f ca="1">O1259/CokingRefineryPFD!$E$95</f>
        <v>0</v>
      </c>
      <c r="P1365" s="518">
        <f ca="1">P1259/CokingRefineryPFD!$E$95</f>
        <v>0</v>
      </c>
      <c r="Q1365" s="520">
        <f ca="1">Q1259/CokingRefineryPFD!$E$95</f>
        <v>0</v>
      </c>
      <c r="R1365" s="2109"/>
      <c r="S1365" s="346"/>
      <c r="T1365" s="341"/>
      <c r="U1365" s="511"/>
      <c r="V1365" s="511"/>
      <c r="W1365" s="511"/>
      <c r="X1365" s="342"/>
      <c r="Y1365" s="342"/>
      <c r="Z1365" s="342"/>
      <c r="AA1365" s="342"/>
    </row>
    <row r="1366" spans="1:27" ht="26.25" x14ac:dyDescent="0.2">
      <c r="A1366" s="341"/>
      <c r="B1366" s="345"/>
      <c r="C1366" s="517" t="s">
        <v>1039</v>
      </c>
      <c r="D1366" s="518">
        <f ca="1">D1260/CokingRefineryPFD!$E$95</f>
        <v>18.32094672104887</v>
      </c>
      <c r="E1366" s="519">
        <f ca="1">E1260/CokingRefineryPFD!$E$95</f>
        <v>5.5720003320071516</v>
      </c>
      <c r="F1366" s="518">
        <f ca="1">F1260/CokingRefineryPFD!$E$95</f>
        <v>2.9742150523205688</v>
      </c>
      <c r="G1366" s="518">
        <f ca="1">G1260/CokingRefineryPFD!$E$95</f>
        <v>0</v>
      </c>
      <c r="H1366" s="518">
        <f ca="1">H1260/CokingRefineryPFD!$E$95</f>
        <v>0</v>
      </c>
      <c r="I1366" s="518">
        <f ca="1">I1260/CokingRefineryPFD!$E$95</f>
        <v>0</v>
      </c>
      <c r="J1366" s="518">
        <f ca="1">J1260/CokingRefineryPFD!$E$95</f>
        <v>0</v>
      </c>
      <c r="K1366" s="518">
        <f ca="1">K1260/CokingRefineryPFD!$E$95</f>
        <v>0</v>
      </c>
      <c r="L1366" s="518">
        <f ca="1">L1260/CokingRefineryPFD!$E$95</f>
        <v>0</v>
      </c>
      <c r="M1366" s="518">
        <f ca="1">M1260/CokingRefineryPFD!$E$95</f>
        <v>0</v>
      </c>
      <c r="N1366" s="518">
        <f ca="1">N1260/CokingRefineryPFD!$E$95</f>
        <v>0</v>
      </c>
      <c r="O1366" s="518">
        <f ca="1">O1260/CokingRefineryPFD!$E$95</f>
        <v>0</v>
      </c>
      <c r="P1366" s="518">
        <f ca="1">P1260/CokingRefineryPFD!$E$95</f>
        <v>0</v>
      </c>
      <c r="Q1366" s="520">
        <f ca="1">Q1260/CokingRefineryPFD!$E$95</f>
        <v>26.867162105376586</v>
      </c>
      <c r="R1366" s="2109"/>
      <c r="S1366" s="346"/>
      <c r="T1366" s="341"/>
      <c r="U1366" s="511"/>
      <c r="V1366" s="511"/>
      <c r="W1366" s="511"/>
      <c r="X1366" s="342"/>
      <c r="Y1366" s="342"/>
      <c r="Z1366" s="342"/>
      <c r="AA1366" s="342"/>
    </row>
    <row r="1367" spans="1:27" ht="26.25" x14ac:dyDescent="0.2">
      <c r="A1367" s="341"/>
      <c r="B1367" s="345"/>
      <c r="C1367" s="517" t="s">
        <v>1053</v>
      </c>
      <c r="D1367" s="518">
        <f ca="1">D1261/CokingRefineryPFD!$E$95</f>
        <v>43.633322587507223</v>
      </c>
      <c r="E1367" s="519">
        <f ca="1">E1261/CokingRefineryPFD!$E$95</f>
        <v>13.27032339790826</v>
      </c>
      <c r="F1367" s="518">
        <f ca="1">F1261/CokingRefineryPFD!$E$95</f>
        <v>7.0834158735599164</v>
      </c>
      <c r="G1367" s="518">
        <f ca="1">G1261/CokingRefineryPFD!$E$95</f>
        <v>0</v>
      </c>
      <c r="H1367" s="518">
        <f ca="1">H1261/CokingRefineryPFD!$E$95</f>
        <v>0</v>
      </c>
      <c r="I1367" s="518">
        <f ca="1">I1261/CokingRefineryPFD!$E$95</f>
        <v>0</v>
      </c>
      <c r="J1367" s="518">
        <f ca="1">J1261/CokingRefineryPFD!$E$95</f>
        <v>0</v>
      </c>
      <c r="K1367" s="518">
        <f ca="1">K1261/CokingRefineryPFD!$E$95</f>
        <v>0</v>
      </c>
      <c r="L1367" s="518">
        <f ca="1">L1261/CokingRefineryPFD!$E$95</f>
        <v>0</v>
      </c>
      <c r="M1367" s="518">
        <f ca="1">M1261/CokingRefineryPFD!$E$95</f>
        <v>0</v>
      </c>
      <c r="N1367" s="518">
        <f ca="1">N1261/CokingRefineryPFD!$E$95</f>
        <v>0</v>
      </c>
      <c r="O1367" s="518">
        <f ca="1">O1261/CokingRefineryPFD!$E$95</f>
        <v>0</v>
      </c>
      <c r="P1367" s="518">
        <f ca="1">P1261/CokingRefineryPFD!$E$95</f>
        <v>0</v>
      </c>
      <c r="Q1367" s="520">
        <f ca="1">Q1261/CokingRefineryPFD!$E$95</f>
        <v>63.987061858975409</v>
      </c>
      <c r="R1367" s="2109"/>
      <c r="S1367" s="346"/>
      <c r="T1367" s="341"/>
      <c r="U1367" s="511"/>
      <c r="V1367" s="511"/>
      <c r="W1367" s="511"/>
      <c r="X1367" s="342"/>
      <c r="Y1367" s="342"/>
      <c r="Z1367" s="342"/>
      <c r="AA1367" s="342"/>
    </row>
    <row r="1368" spans="1:27" ht="26.25" x14ac:dyDescent="0.2">
      <c r="A1368" s="341"/>
      <c r="B1368" s="345"/>
      <c r="C1368" s="517" t="s">
        <v>1051</v>
      </c>
      <c r="D1368" s="518">
        <f ca="1">D1262/CokingRefineryPFD!$E$95</f>
        <v>3.3180679964177509E-19</v>
      </c>
      <c r="E1368" s="519">
        <f ca="1">E1262/CokingRefineryPFD!$E$95</f>
        <v>0</v>
      </c>
      <c r="F1368" s="518">
        <f ca="1">F1262/CokingRefineryPFD!$E$95</f>
        <v>7.8614847663812454E-20</v>
      </c>
      <c r="G1368" s="518">
        <f ca="1">G1262/CokingRefineryPFD!$E$95</f>
        <v>0</v>
      </c>
      <c r="H1368" s="518">
        <f ca="1">H1262/CokingRefineryPFD!$E$95</f>
        <v>0</v>
      </c>
      <c r="I1368" s="518">
        <f ca="1">I1262/CokingRefineryPFD!$E$95</f>
        <v>0</v>
      </c>
      <c r="J1368" s="518">
        <f ca="1">J1262/CokingRefineryPFD!$E$95</f>
        <v>0</v>
      </c>
      <c r="K1368" s="518">
        <f ca="1">K1262/CokingRefineryPFD!$E$95</f>
        <v>0</v>
      </c>
      <c r="L1368" s="518">
        <f ca="1">L1262/CokingRefineryPFD!$E$95</f>
        <v>0</v>
      </c>
      <c r="M1368" s="518">
        <f ca="1">M1262/CokingRefineryPFD!$E$95</f>
        <v>0</v>
      </c>
      <c r="N1368" s="518">
        <f ca="1">N1262/CokingRefineryPFD!$E$95</f>
        <v>0</v>
      </c>
      <c r="O1368" s="518">
        <f ca="1">O1262/CokingRefineryPFD!$E$95</f>
        <v>0</v>
      </c>
      <c r="P1368" s="518">
        <f ca="1">P1262/CokingRefineryPFD!$E$95</f>
        <v>0</v>
      </c>
      <c r="Q1368" s="520">
        <f ca="1">Q1262/CokingRefineryPFD!$E$95</f>
        <v>4.1042164730558755E-19</v>
      </c>
      <c r="R1368" s="2109"/>
      <c r="S1368" s="346"/>
      <c r="T1368" s="341"/>
      <c r="U1368" s="511"/>
      <c r="V1368" s="511"/>
      <c r="W1368" s="511"/>
      <c r="X1368" s="342"/>
      <c r="Y1368" s="342"/>
      <c r="Z1368" s="342"/>
      <c r="AA1368" s="342"/>
    </row>
    <row r="1369" spans="1:27" ht="26.25" x14ac:dyDescent="0.2">
      <c r="A1369" s="341"/>
      <c r="B1369" s="345"/>
      <c r="C1369" s="517" t="s">
        <v>976</v>
      </c>
      <c r="D1369" s="518">
        <f ca="1">D1263/CokingRefineryPFD!$E$95</f>
        <v>0</v>
      </c>
      <c r="E1369" s="519">
        <f ca="1">E1263/CokingRefineryPFD!$E$95</f>
        <v>0</v>
      </c>
      <c r="F1369" s="518">
        <f ca="1">F1263/CokingRefineryPFD!$E$95</f>
        <v>0</v>
      </c>
      <c r="G1369" s="518">
        <f ca="1">G1263/CokingRefineryPFD!$E$95</f>
        <v>0</v>
      </c>
      <c r="H1369" s="518">
        <f ca="1">H1263/CokingRefineryPFD!$E$95</f>
        <v>0</v>
      </c>
      <c r="I1369" s="518">
        <f ca="1">I1263/CokingRefineryPFD!$E$95</f>
        <v>0</v>
      </c>
      <c r="J1369" s="518">
        <f ca="1">J1263/CokingRefineryPFD!$E$95</f>
        <v>0</v>
      </c>
      <c r="K1369" s="518">
        <f ca="1">K1263/CokingRefineryPFD!$E$95</f>
        <v>0</v>
      </c>
      <c r="L1369" s="518">
        <f ca="1">L1263/CokingRefineryPFD!$E$95</f>
        <v>0</v>
      </c>
      <c r="M1369" s="518">
        <f ca="1">M1263/CokingRefineryPFD!$E$95</f>
        <v>0</v>
      </c>
      <c r="N1369" s="518">
        <f ca="1">N1263/CokingRefineryPFD!$E$95</f>
        <v>0</v>
      </c>
      <c r="O1369" s="518">
        <f ca="1">O1263/CokingRefineryPFD!$E$95</f>
        <v>0</v>
      </c>
      <c r="P1369" s="518">
        <f ca="1">P1263/CokingRefineryPFD!$E$95</f>
        <v>0</v>
      </c>
      <c r="Q1369" s="520">
        <f ca="1">Q1263/CokingRefineryPFD!$E$95</f>
        <v>0</v>
      </c>
      <c r="R1369" s="2109"/>
      <c r="S1369" s="346"/>
      <c r="T1369" s="341"/>
      <c r="U1369" s="511"/>
      <c r="V1369" s="511"/>
      <c r="W1369" s="511"/>
      <c r="X1369" s="342"/>
      <c r="Y1369" s="342"/>
      <c r="Z1369" s="342"/>
      <c r="AA1369" s="342"/>
    </row>
    <row r="1370" spans="1:27" ht="26.25" x14ac:dyDescent="0.2">
      <c r="A1370" s="341"/>
      <c r="B1370" s="345"/>
      <c r="C1370" s="529" t="str">
        <f>C1344</f>
        <v xml:space="preserve">Total Refinery Processes </v>
      </c>
      <c r="D1370" s="554">
        <f ca="1">D1264/CokingRefineryPFD!$E$95</f>
        <v>228.14444090022843</v>
      </c>
      <c r="E1370" s="555">
        <f ca="1">E1264/CokingRefineryPFD!$E$95</f>
        <v>96.021066581807474</v>
      </c>
      <c r="F1370" s="554">
        <f ca="1">F1264/CokingRefineryPFD!$E$95</f>
        <v>46.667177502900429</v>
      </c>
      <c r="G1370" s="554">
        <f ca="1">G1264/CokingRefineryPFD!$E$95</f>
        <v>0</v>
      </c>
      <c r="H1370" s="554">
        <f ca="1">H1264/CokingRefineryPFD!$E$95</f>
        <v>0</v>
      </c>
      <c r="I1370" s="554">
        <f ca="1">I1264/CokingRefineryPFD!$E$95</f>
        <v>0</v>
      </c>
      <c r="J1370" s="554">
        <f ca="1">J1264/CokingRefineryPFD!$E$95</f>
        <v>0</v>
      </c>
      <c r="K1370" s="554">
        <f ca="1">K1264/CokingRefineryPFD!$E$95</f>
        <v>0</v>
      </c>
      <c r="L1370" s="554">
        <f ca="1">L1264/CokingRefineryPFD!$E$95</f>
        <v>0</v>
      </c>
      <c r="M1370" s="554">
        <f ca="1">M1264/CokingRefineryPFD!$E$95</f>
        <v>0</v>
      </c>
      <c r="N1370" s="554">
        <f ca="1">N1264/CokingRefineryPFD!$E$95</f>
        <v>0</v>
      </c>
      <c r="O1370" s="554">
        <f ca="1">O1264/CokingRefineryPFD!$E$95</f>
        <v>0</v>
      </c>
      <c r="P1370" s="554">
        <f ca="1">P1264/CokingRefineryPFD!$E$95</f>
        <v>0</v>
      </c>
      <c r="Q1370" s="556">
        <f ca="1">Q1264/CokingRefineryPFD!$E$95</f>
        <v>370.83268498493641</v>
      </c>
      <c r="R1370" s="2109"/>
      <c r="S1370" s="346"/>
      <c r="T1370" s="341"/>
      <c r="U1370" s="511"/>
      <c r="V1370" s="511"/>
      <c r="W1370" s="511"/>
      <c r="X1370" s="342"/>
      <c r="Y1370" s="342"/>
      <c r="Z1370" s="342"/>
      <c r="AA1370" s="342"/>
    </row>
    <row r="1371" spans="1:27" ht="26.25" x14ac:dyDescent="0.2">
      <c r="A1371" s="341"/>
      <c r="B1371" s="345"/>
      <c r="C1371" s="529" t="str">
        <f>C1345</f>
        <v>Total included Feedstock</v>
      </c>
      <c r="D1371" s="554">
        <f ca="1">D1265/CokingRefineryPFD!$E$95</f>
        <v>2397.7885059035866</v>
      </c>
      <c r="E1371" s="555">
        <f ca="1">E1265/CokingRefineryPFD!$E$95</f>
        <v>2439.0929255707156</v>
      </c>
      <c r="F1371" s="554">
        <f ca="1">F1265/CokingRefineryPFD!$E$95</f>
        <v>1166.3838228249767</v>
      </c>
      <c r="G1371" s="554">
        <f ca="1">G1265/CokingRefineryPFD!$E$95</f>
        <v>0</v>
      </c>
      <c r="H1371" s="554">
        <f ca="1">H1265/CokingRefineryPFD!$E$95</f>
        <v>0</v>
      </c>
      <c r="I1371" s="554">
        <f ca="1">I1265/CokingRefineryPFD!$E$95</f>
        <v>0</v>
      </c>
      <c r="J1371" s="554">
        <f ca="1">J1265/CokingRefineryPFD!$E$95</f>
        <v>0</v>
      </c>
      <c r="K1371" s="554">
        <f ca="1">K1265/CokingRefineryPFD!$E$95</f>
        <v>0</v>
      </c>
      <c r="L1371" s="554">
        <f ca="1">L1265/CokingRefineryPFD!$E$95</f>
        <v>0</v>
      </c>
      <c r="M1371" s="554">
        <f ca="1">M1265/CokingRefineryPFD!$E$95</f>
        <v>0</v>
      </c>
      <c r="N1371" s="554">
        <f ca="1">N1265/CokingRefineryPFD!$E$95</f>
        <v>0</v>
      </c>
      <c r="O1371" s="554">
        <f ca="1">O1265/CokingRefineryPFD!$E$95</f>
        <v>0</v>
      </c>
      <c r="P1371" s="554">
        <f ca="1">P1265/CokingRefineryPFD!$E$95</f>
        <v>0</v>
      </c>
      <c r="Q1371" s="556">
        <f ca="1">Q1265/CokingRefineryPFD!$E$95</f>
        <v>6003.2652542992782</v>
      </c>
      <c r="R1371" s="2109"/>
      <c r="S1371" s="346"/>
      <c r="T1371" s="341"/>
      <c r="U1371" s="511"/>
      <c r="V1371" s="511"/>
      <c r="W1371" s="511"/>
      <c r="X1371" s="342"/>
      <c r="Y1371" s="342"/>
      <c r="Z1371" s="342"/>
      <c r="AA1371" s="342"/>
    </row>
    <row r="1372" spans="1:27" ht="26.25" x14ac:dyDescent="0.2">
      <c r="A1372" s="341"/>
      <c r="B1372" s="345"/>
      <c r="C1372" s="521" t="s">
        <v>979</v>
      </c>
      <c r="D1372" s="548">
        <f ca="1">D1266/CokingRefineryPFD!$E$95</f>
        <v>0</v>
      </c>
      <c r="E1372" s="549">
        <f ca="1">E1266/CokingRefineryPFD!$E$95</f>
        <v>0</v>
      </c>
      <c r="F1372" s="548">
        <f ca="1">F1266/CokingRefineryPFD!$E$95</f>
        <v>0</v>
      </c>
      <c r="G1372" s="548">
        <f ca="1">G1266/CokingRefineryPFD!$E$95</f>
        <v>0</v>
      </c>
      <c r="H1372" s="548">
        <f ca="1">H1266/CokingRefineryPFD!$E$95</f>
        <v>0</v>
      </c>
      <c r="I1372" s="548">
        <f ca="1">I1266/CokingRefineryPFD!$E$95</f>
        <v>0</v>
      </c>
      <c r="J1372" s="548">
        <f ca="1">J1266/CokingRefineryPFD!$E$95</f>
        <v>0</v>
      </c>
      <c r="K1372" s="548">
        <f ca="1">K1266/CokingRefineryPFD!$E$95</f>
        <v>0</v>
      </c>
      <c r="L1372" s="548">
        <f ca="1">L1266/CokingRefineryPFD!$E$95</f>
        <v>0</v>
      </c>
      <c r="M1372" s="548">
        <f ca="1">M1266/CokingRefineryPFD!$E$95</f>
        <v>0</v>
      </c>
      <c r="N1372" s="548">
        <f ca="1">N1266/CokingRefineryPFD!$E$95</f>
        <v>0</v>
      </c>
      <c r="O1372" s="548">
        <f ca="1">O1266/CokingRefineryPFD!$E$95</f>
        <v>0</v>
      </c>
      <c r="P1372" s="548">
        <f ca="1">P1266/CokingRefineryPFD!$E$95</f>
        <v>0</v>
      </c>
      <c r="Q1372" s="550">
        <f ca="1">Q1266/CokingRefineryPFD!$E$95</f>
        <v>0</v>
      </c>
      <c r="R1372" s="2109"/>
      <c r="S1372" s="346"/>
      <c r="T1372" s="341"/>
      <c r="U1372" s="511"/>
      <c r="V1372" s="511"/>
      <c r="W1372" s="511"/>
      <c r="X1372" s="342"/>
      <c r="Y1372" s="342"/>
      <c r="Z1372" s="342"/>
      <c r="AA1372" s="342"/>
    </row>
    <row r="1373" spans="1:27" ht="26.25" x14ac:dyDescent="0.2">
      <c r="A1373" s="341"/>
      <c r="B1373" s="345"/>
      <c r="C1373" s="437"/>
      <c r="D1373" s="2109"/>
      <c r="E1373" s="437"/>
      <c r="F1373" s="2109"/>
      <c r="G1373" s="2109"/>
      <c r="H1373" s="2109"/>
      <c r="I1373" s="2109"/>
      <c r="J1373" s="2109"/>
      <c r="K1373" s="2109"/>
      <c r="L1373" s="2109"/>
      <c r="M1373" s="2109"/>
      <c r="N1373" s="2109"/>
      <c r="O1373" s="2109"/>
      <c r="P1373" s="2109"/>
      <c r="Q1373" s="2109"/>
      <c r="R1373" s="2109"/>
      <c r="S1373" s="346"/>
      <c r="T1373" s="341"/>
      <c r="U1373" s="511"/>
      <c r="V1373" s="511"/>
      <c r="W1373" s="511"/>
      <c r="X1373" s="342"/>
      <c r="Y1373" s="342"/>
      <c r="Z1373" s="342"/>
      <c r="AA1373" s="342"/>
    </row>
    <row r="1374" spans="1:27" ht="26.25" x14ac:dyDescent="0.2">
      <c r="A1374" s="341"/>
      <c r="B1374" s="345"/>
      <c r="C1374" s="440" t="s">
        <v>1409</v>
      </c>
      <c r="D1374" s="440"/>
      <c r="E1374" s="440"/>
      <c r="F1374" s="440"/>
      <c r="G1374" s="2109"/>
      <c r="H1374" s="2109"/>
      <c r="I1374" s="2109"/>
      <c r="J1374" s="2109"/>
      <c r="K1374" s="2109"/>
      <c r="L1374" s="2109"/>
      <c r="M1374" s="2109"/>
      <c r="N1374" s="2109"/>
      <c r="O1374" s="2109"/>
      <c r="P1374" s="2109"/>
      <c r="Q1374" s="2109"/>
      <c r="R1374" s="2109"/>
      <c r="S1374" s="346"/>
      <c r="T1374" s="341"/>
      <c r="U1374" s="511"/>
      <c r="V1374" s="511"/>
      <c r="W1374" s="511"/>
      <c r="X1374" s="342"/>
      <c r="Y1374" s="342"/>
      <c r="Z1374" s="342"/>
      <c r="AA1374" s="342"/>
    </row>
    <row r="1375" spans="1:27" ht="26.25" x14ac:dyDescent="0.2">
      <c r="A1375" s="341"/>
      <c r="B1375" s="345"/>
      <c r="C1375" s="525" t="s">
        <v>160</v>
      </c>
      <c r="D1375" s="526"/>
      <c r="E1375" s="527"/>
      <c r="F1375" s="526"/>
      <c r="G1375" s="526"/>
      <c r="H1375" s="526"/>
      <c r="I1375" s="526"/>
      <c r="J1375" s="526"/>
      <c r="K1375" s="526"/>
      <c r="L1375" s="526"/>
      <c r="M1375" s="526"/>
      <c r="N1375" s="526"/>
      <c r="O1375" s="526"/>
      <c r="P1375" s="526"/>
      <c r="Q1375" s="528"/>
      <c r="R1375" s="2109"/>
      <c r="S1375" s="346"/>
      <c r="T1375" s="341"/>
      <c r="U1375" s="511"/>
      <c r="V1375" s="511"/>
      <c r="W1375" s="511"/>
      <c r="X1375" s="342"/>
      <c r="Y1375" s="342"/>
      <c r="Z1375" s="342"/>
      <c r="AA1375" s="342"/>
    </row>
    <row r="1376" spans="1:27" ht="26.25" x14ac:dyDescent="0.2">
      <c r="A1376" s="341"/>
      <c r="B1376" s="345"/>
      <c r="C1376" s="517" t="s">
        <v>263</v>
      </c>
      <c r="D1376" s="518">
        <v>0</v>
      </c>
      <c r="E1376" s="518">
        <v>0</v>
      </c>
      <c r="F1376" s="518">
        <v>0</v>
      </c>
      <c r="G1376" s="518">
        <v>0</v>
      </c>
      <c r="H1376" s="518">
        <v>0</v>
      </c>
      <c r="I1376" s="518">
        <v>0</v>
      </c>
      <c r="J1376" s="518">
        <v>0</v>
      </c>
      <c r="K1376" s="518">
        <v>0</v>
      </c>
      <c r="L1376" s="518">
        <v>0</v>
      </c>
      <c r="M1376" s="518">
        <v>0</v>
      </c>
      <c r="N1376" s="518">
        <v>0</v>
      </c>
      <c r="O1376" s="518">
        <v>0</v>
      </c>
      <c r="P1376" s="518">
        <v>0</v>
      </c>
      <c r="Q1376" s="518">
        <v>0</v>
      </c>
      <c r="R1376" s="2109"/>
      <c r="S1376" s="346"/>
      <c r="T1376" s="341"/>
      <c r="U1376" s="511"/>
      <c r="V1376" s="511"/>
      <c r="W1376" s="511"/>
      <c r="X1376" s="342"/>
      <c r="Y1376" s="342"/>
      <c r="Z1376" s="342"/>
      <c r="AA1376" s="342"/>
    </row>
    <row r="1377" spans="1:27" ht="26.25" x14ac:dyDescent="0.2">
      <c r="A1377" s="341"/>
      <c r="B1377" s="345"/>
      <c r="C1377" s="529" t="str">
        <f>C1350</f>
        <v>Process Energy</v>
      </c>
      <c r="D1377" s="530"/>
      <c r="E1377" s="531"/>
      <c r="F1377" s="530"/>
      <c r="G1377" s="530"/>
      <c r="H1377" s="530"/>
      <c r="I1377" s="530"/>
      <c r="J1377" s="530"/>
      <c r="K1377" s="530"/>
      <c r="L1377" s="530"/>
      <c r="M1377" s="530"/>
      <c r="N1377" s="530"/>
      <c r="O1377" s="530"/>
      <c r="P1377" s="530"/>
      <c r="Q1377" s="532"/>
      <c r="R1377" s="2109"/>
      <c r="S1377" s="346"/>
      <c r="T1377" s="341"/>
      <c r="U1377" s="511"/>
      <c r="V1377" s="511"/>
      <c r="W1377" s="511"/>
      <c r="X1377" s="342"/>
      <c r="Y1377" s="342"/>
      <c r="Z1377" s="342"/>
      <c r="AA1377" s="342"/>
    </row>
    <row r="1378" spans="1:27" ht="26.25" x14ac:dyDescent="0.2">
      <c r="A1378" s="341"/>
      <c r="B1378" s="345"/>
      <c r="C1378" s="517" t="s">
        <v>392</v>
      </c>
      <c r="D1378" s="518">
        <f ca="1">D1351*'Emission Factors'!$G$53</f>
        <v>940.73183701598805</v>
      </c>
      <c r="E1378" s="519">
        <f ca="1">E1351*'Emission Factors'!$G$53</f>
        <v>491.96688423279699</v>
      </c>
      <c r="F1378" s="518">
        <f ca="1">F1351*'Emission Factors'!$G$53</f>
        <v>223.69885533536046</v>
      </c>
      <c r="G1378" s="518">
        <f ca="1">G1351*'Emission Factors'!$G$53</f>
        <v>0</v>
      </c>
      <c r="H1378" s="518">
        <f ca="1">H1351*'Emission Factors'!$G$53</f>
        <v>0</v>
      </c>
      <c r="I1378" s="518">
        <f ca="1">I1351*'Emission Factors'!$G$53</f>
        <v>0</v>
      </c>
      <c r="J1378" s="518">
        <f ca="1">J1351*'Emission Factors'!$G$53</f>
        <v>0</v>
      </c>
      <c r="K1378" s="518">
        <f ca="1">K1351*'Emission Factors'!$G$53</f>
        <v>0</v>
      </c>
      <c r="L1378" s="518">
        <f ca="1">L1351*'Emission Factors'!$G$53</f>
        <v>0</v>
      </c>
      <c r="M1378" s="518">
        <f ca="1">M1351*'Emission Factors'!$G$53</f>
        <v>0</v>
      </c>
      <c r="N1378" s="518">
        <f ca="1">N1351*'Emission Factors'!$G$53</f>
        <v>0</v>
      </c>
      <c r="O1378" s="518">
        <f ca="1">O1351*'Emission Factors'!$G$53</f>
        <v>0</v>
      </c>
      <c r="P1378" s="518">
        <f ca="1">P1351*'Emission Factors'!$G$53</f>
        <v>0</v>
      </c>
      <c r="Q1378" s="520">
        <f ca="1">Q1351*'Emission Factors'!$G$53</f>
        <v>1656.3975765841456</v>
      </c>
      <c r="R1378" s="2109"/>
      <c r="S1378" s="346"/>
      <c r="T1378" s="341"/>
      <c r="U1378" s="511"/>
      <c r="V1378" s="511"/>
      <c r="W1378" s="511"/>
      <c r="X1378" s="342"/>
      <c r="Y1378" s="342"/>
      <c r="Z1378" s="342"/>
      <c r="AA1378" s="342"/>
    </row>
    <row r="1379" spans="1:27" ht="26.25" x14ac:dyDescent="0.2">
      <c r="A1379" s="341"/>
      <c r="B1379" s="345"/>
      <c r="C1379" s="517" t="s">
        <v>1023</v>
      </c>
      <c r="D1379" s="518"/>
      <c r="E1379" s="519"/>
      <c r="F1379" s="518"/>
      <c r="G1379" s="518"/>
      <c r="H1379" s="518"/>
      <c r="I1379" s="518"/>
      <c r="J1379" s="518"/>
      <c r="K1379" s="518"/>
      <c r="L1379" s="518"/>
      <c r="M1379" s="518"/>
      <c r="N1379" s="518"/>
      <c r="O1379" s="518"/>
      <c r="P1379" s="518"/>
      <c r="Q1379" s="520"/>
      <c r="R1379" s="2109"/>
      <c r="S1379" s="346"/>
      <c r="T1379" s="341"/>
      <c r="U1379" s="511"/>
      <c r="V1379" s="511"/>
      <c r="W1379" s="511"/>
      <c r="X1379" s="342"/>
      <c r="Y1379" s="342"/>
      <c r="Z1379" s="342"/>
      <c r="AA1379" s="342"/>
    </row>
    <row r="1380" spans="1:27" ht="26.25" x14ac:dyDescent="0.2">
      <c r="A1380" s="341"/>
      <c r="B1380" s="345"/>
      <c r="C1380" s="517" t="s">
        <v>971</v>
      </c>
      <c r="D1380" s="518">
        <f ca="1">D1353*('Emission Factors'!$J$203+'Emission Factors'!$K$203)</f>
        <v>4019.7741412960918</v>
      </c>
      <c r="E1380" s="519">
        <f ca="1">E1353*('Emission Factors'!$J$203+'Emission Factors'!$K$203)</f>
        <v>1960.3727044191896</v>
      </c>
      <c r="F1380" s="518">
        <f ca="1">F1353*('Emission Factors'!$J$203+'Emission Factors'!$K$203)</f>
        <v>924.20118604006962</v>
      </c>
      <c r="G1380" s="518">
        <f ca="1">G1353*('Emission Factors'!$J$203+'Emission Factors'!$K$203)</f>
        <v>0</v>
      </c>
      <c r="H1380" s="518">
        <f ca="1">H1353*('Emission Factors'!$J$203+'Emission Factors'!$K$203)</f>
        <v>0</v>
      </c>
      <c r="I1380" s="518">
        <f ca="1">I1353*('Emission Factors'!$J$203+'Emission Factors'!$K$203)</f>
        <v>0</v>
      </c>
      <c r="J1380" s="518">
        <f ca="1">J1353*('Emission Factors'!$J$203+'Emission Factors'!$K$203)</f>
        <v>0</v>
      </c>
      <c r="K1380" s="518">
        <f ca="1">K1353*('Emission Factors'!$J$203+'Emission Factors'!$K$203)</f>
        <v>0</v>
      </c>
      <c r="L1380" s="518">
        <f ca="1">L1353*('Emission Factors'!$J$203+'Emission Factors'!$K$203)</f>
        <v>0</v>
      </c>
      <c r="M1380" s="518">
        <f ca="1">M1353*('Emission Factors'!$J$203+'Emission Factors'!$K$203)</f>
        <v>0</v>
      </c>
      <c r="N1380" s="518">
        <f ca="1">N1353*('Emission Factors'!$J$203+'Emission Factors'!$K$203)</f>
        <v>0</v>
      </c>
      <c r="O1380" s="518">
        <f ca="1">O1353*('Emission Factors'!$J$203+'Emission Factors'!$K$203)</f>
        <v>0</v>
      </c>
      <c r="P1380" s="518">
        <f ca="1">P1353*('Emission Factors'!$J$203+'Emission Factors'!$K$203)</f>
        <v>0</v>
      </c>
      <c r="Q1380" s="520">
        <f ca="1">Q1353*('Emission Factors'!$J$203+'Emission Factors'!$K$203)</f>
        <v>6904.3480317553513</v>
      </c>
      <c r="R1380" s="2109"/>
      <c r="S1380" s="346"/>
      <c r="T1380" s="341"/>
      <c r="U1380" s="511"/>
      <c r="V1380" s="511"/>
      <c r="W1380" s="511"/>
      <c r="X1380" s="342"/>
      <c r="Y1380" s="342"/>
      <c r="Z1380" s="342"/>
      <c r="AA1380" s="342"/>
    </row>
    <row r="1381" spans="1:27" ht="26.25" x14ac:dyDescent="0.2">
      <c r="A1381" s="341"/>
      <c r="B1381" s="345"/>
      <c r="C1381" s="517" t="s">
        <v>90</v>
      </c>
      <c r="D1381" s="518">
        <f ca="1">D1354*('Emission Factors'!$J$76+'Emission Factors'!$K$76)</f>
        <v>3862.5853429737485</v>
      </c>
      <c r="E1381" s="519">
        <f ca="1">E1354*('Emission Factors'!$J$76+'Emission Factors'!$K$76)</f>
        <v>1883.7145094957743</v>
      </c>
      <c r="F1381" s="518">
        <f ca="1">F1354*('Emission Factors'!$J$76+'Emission Factors'!$K$76)</f>
        <v>888.06132625310067</v>
      </c>
      <c r="G1381" s="518">
        <f ca="1">G1354*('Emission Factors'!$J$76+'Emission Factors'!$K$76)</f>
        <v>0</v>
      </c>
      <c r="H1381" s="518">
        <f ca="1">H1354*('Emission Factors'!$J$76+'Emission Factors'!$K$76)</f>
        <v>0</v>
      </c>
      <c r="I1381" s="518">
        <f ca="1">I1354*('Emission Factors'!$J$76+'Emission Factors'!$K$76)</f>
        <v>0</v>
      </c>
      <c r="J1381" s="518">
        <f ca="1">J1354*('Emission Factors'!$J$76+'Emission Factors'!$K$76)</f>
        <v>0</v>
      </c>
      <c r="K1381" s="518">
        <f ca="1">K1354*('Emission Factors'!$J$76+'Emission Factors'!$K$76)</f>
        <v>0</v>
      </c>
      <c r="L1381" s="518">
        <f ca="1">L1354*('Emission Factors'!$J$76+'Emission Factors'!$K$76)</f>
        <v>0</v>
      </c>
      <c r="M1381" s="518">
        <f ca="1">M1354*('Emission Factors'!$J$76+'Emission Factors'!$K$76)</f>
        <v>0</v>
      </c>
      <c r="N1381" s="518">
        <f ca="1">N1354*('Emission Factors'!$J$76+'Emission Factors'!$K$76)</f>
        <v>0</v>
      </c>
      <c r="O1381" s="518">
        <f ca="1">O1354*('Emission Factors'!$J$76+'Emission Factors'!$K$76)</f>
        <v>0</v>
      </c>
      <c r="P1381" s="518">
        <f ca="1">P1354*('Emission Factors'!$J$76+'Emission Factors'!$K$76)</f>
        <v>0</v>
      </c>
      <c r="Q1381" s="520">
        <f ca="1">Q1354*('Emission Factors'!$J$76+'Emission Factors'!$K$76)</f>
        <v>6634.3611787226237</v>
      </c>
      <c r="R1381" s="2109"/>
      <c r="S1381" s="346"/>
      <c r="T1381" s="341"/>
      <c r="U1381" s="511"/>
      <c r="V1381" s="511"/>
      <c r="W1381" s="511"/>
      <c r="X1381" s="342"/>
      <c r="Y1381" s="342"/>
      <c r="Z1381" s="342"/>
      <c r="AA1381" s="342"/>
    </row>
    <row r="1382" spans="1:27" ht="26.25" x14ac:dyDescent="0.2">
      <c r="A1382" s="341"/>
      <c r="B1382" s="345"/>
      <c r="C1382" s="517" t="s">
        <v>485</v>
      </c>
      <c r="D1382" s="518"/>
      <c r="E1382" s="519"/>
      <c r="F1382" s="518"/>
      <c r="G1382" s="518"/>
      <c r="H1382" s="518"/>
      <c r="I1382" s="518"/>
      <c r="J1382" s="518"/>
      <c r="K1382" s="518"/>
      <c r="L1382" s="518"/>
      <c r="M1382" s="518"/>
      <c r="N1382" s="518"/>
      <c r="O1382" s="518"/>
      <c r="P1382" s="518"/>
      <c r="Q1382" s="520"/>
      <c r="R1382" s="2109"/>
      <c r="S1382" s="346"/>
      <c r="T1382" s="341"/>
      <c r="U1382" s="511"/>
      <c r="V1382" s="511"/>
      <c r="W1382" s="511"/>
      <c r="X1382" s="342"/>
      <c r="Y1382" s="342"/>
      <c r="Z1382" s="342"/>
      <c r="AA1382" s="342"/>
    </row>
    <row r="1383" spans="1:27" ht="26.25" x14ac:dyDescent="0.2">
      <c r="A1383" s="341"/>
      <c r="B1383" s="345"/>
      <c r="C1383" s="517" t="s">
        <v>971</v>
      </c>
      <c r="D1383" s="518">
        <f ca="1">D1356*('Emission Factors'!$J$203+'Emission Factors'!$K$203)</f>
        <v>0</v>
      </c>
      <c r="E1383" s="519">
        <f ca="1">E1356*('Emission Factors'!$J$203+'Emission Factors'!$K$203)</f>
        <v>0</v>
      </c>
      <c r="F1383" s="518">
        <f ca="1">F1356*('Emission Factors'!$J$203+'Emission Factors'!$K$203)</f>
        <v>0</v>
      </c>
      <c r="G1383" s="518">
        <f ca="1">G1356*('Emission Factors'!$J$203+'Emission Factors'!$K$203)</f>
        <v>0</v>
      </c>
      <c r="H1383" s="518">
        <f ca="1">H1356*('Emission Factors'!$J$203+'Emission Factors'!$K$203)</f>
        <v>0</v>
      </c>
      <c r="I1383" s="518">
        <f ca="1">I1356*('Emission Factors'!$J$203+'Emission Factors'!$K$203)</f>
        <v>0</v>
      </c>
      <c r="J1383" s="518">
        <f ca="1">J1356*('Emission Factors'!$J$203+'Emission Factors'!$K$203)</f>
        <v>0</v>
      </c>
      <c r="K1383" s="518">
        <f ca="1">K1356*('Emission Factors'!$J$203+'Emission Factors'!$K$203)</f>
        <v>0</v>
      </c>
      <c r="L1383" s="518">
        <f ca="1">L1356*('Emission Factors'!$J$203+'Emission Factors'!$K$203)</f>
        <v>0</v>
      </c>
      <c r="M1383" s="518">
        <f ca="1">M1356*('Emission Factors'!$J$203+'Emission Factors'!$K$203)</f>
        <v>0</v>
      </c>
      <c r="N1383" s="518">
        <f ca="1">N1356*('Emission Factors'!$J$203+'Emission Factors'!$K$203)</f>
        <v>0</v>
      </c>
      <c r="O1383" s="518">
        <f ca="1">O1356*('Emission Factors'!$J$203+'Emission Factors'!$K$203)</f>
        <v>0</v>
      </c>
      <c r="P1383" s="518">
        <f ca="1">P1356*('Emission Factors'!$J$203+'Emission Factors'!$K$203)</f>
        <v>0</v>
      </c>
      <c r="Q1383" s="520">
        <f ca="1">Q1356*('Emission Factors'!$J$203+'Emission Factors'!$K$203)</f>
        <v>0</v>
      </c>
      <c r="R1383" s="2109"/>
      <c r="S1383" s="346"/>
      <c r="T1383" s="341"/>
      <c r="U1383" s="511"/>
      <c r="V1383" s="511"/>
      <c r="W1383" s="511"/>
      <c r="X1383" s="342"/>
      <c r="Y1383" s="342"/>
      <c r="Z1383" s="342"/>
      <c r="AA1383" s="342"/>
    </row>
    <row r="1384" spans="1:27" ht="26.25" x14ac:dyDescent="0.2">
      <c r="A1384" s="341"/>
      <c r="B1384" s="345"/>
      <c r="C1384" s="517" t="s">
        <v>90</v>
      </c>
      <c r="D1384" s="518">
        <f ca="1">D1357*('Emission Factors'!$J$76+'Emission Factors'!$K$76)</f>
        <v>987.0419055136864</v>
      </c>
      <c r="E1384" s="519">
        <f ca="1">E1357*('Emission Factors'!$J$76+'Emission Factors'!$K$76)</f>
        <v>464.85103137945219</v>
      </c>
      <c r="F1384" s="518">
        <f ca="1">F1357*('Emission Factors'!$J$76+'Emission Factors'!$K$76)</f>
        <v>211.18871165527403</v>
      </c>
      <c r="G1384" s="518">
        <f ca="1">G1357*('Emission Factors'!$J$76+'Emission Factors'!$K$76)</f>
        <v>0</v>
      </c>
      <c r="H1384" s="518">
        <f ca="1">H1357*('Emission Factors'!$J$76+'Emission Factors'!$K$76)</f>
        <v>0</v>
      </c>
      <c r="I1384" s="518">
        <f ca="1">I1357*('Emission Factors'!$J$76+'Emission Factors'!$K$76)</f>
        <v>0</v>
      </c>
      <c r="J1384" s="518">
        <f ca="1">J1357*('Emission Factors'!$J$76+'Emission Factors'!$K$76)</f>
        <v>0</v>
      </c>
      <c r="K1384" s="518">
        <f ca="1">K1357*('Emission Factors'!$J$76+'Emission Factors'!$K$76)</f>
        <v>0</v>
      </c>
      <c r="L1384" s="518">
        <f ca="1">L1357*('Emission Factors'!$J$76+'Emission Factors'!$K$76)</f>
        <v>0</v>
      </c>
      <c r="M1384" s="518">
        <f ca="1">M1357*('Emission Factors'!$J$76+'Emission Factors'!$K$76)</f>
        <v>0</v>
      </c>
      <c r="N1384" s="518">
        <f ca="1">N1357*('Emission Factors'!$J$76+'Emission Factors'!$K$76)</f>
        <v>0</v>
      </c>
      <c r="O1384" s="518">
        <f ca="1">O1357*('Emission Factors'!$J$76+'Emission Factors'!$K$76)</f>
        <v>0</v>
      </c>
      <c r="P1384" s="518">
        <f ca="1">P1357*('Emission Factors'!$J$76+'Emission Factors'!$K$76)</f>
        <v>0</v>
      </c>
      <c r="Q1384" s="520">
        <f ca="1">Q1357*('Emission Factors'!$J$76+'Emission Factors'!$K$76)</f>
        <v>1663.0816485484127</v>
      </c>
      <c r="R1384" s="2109"/>
      <c r="S1384" s="346"/>
      <c r="T1384" s="341"/>
      <c r="U1384" s="511"/>
      <c r="V1384" s="511"/>
      <c r="W1384" s="511"/>
      <c r="X1384" s="342"/>
      <c r="Y1384" s="342"/>
      <c r="Z1384" s="342"/>
      <c r="AA1384" s="342"/>
    </row>
    <row r="1385" spans="1:27" ht="26.25" x14ac:dyDescent="0.2">
      <c r="A1385" s="341"/>
      <c r="B1385" s="345"/>
      <c r="C1385" s="517" t="s">
        <v>392</v>
      </c>
      <c r="D1385" s="518">
        <f ca="1">D1358*'Emission Factors'!$G$53</f>
        <v>11.22163286810059</v>
      </c>
      <c r="E1385" s="519">
        <f ca="1">E1358*'Emission Factors'!$G$53</f>
        <v>5.2848694501814029</v>
      </c>
      <c r="F1385" s="518">
        <f ca="1">F1358*'Emission Factors'!$G$53</f>
        <v>2.4009945016967476</v>
      </c>
      <c r="G1385" s="518">
        <f ca="1">G1358*'Emission Factors'!$G$53</f>
        <v>0</v>
      </c>
      <c r="H1385" s="518">
        <f ca="1">H1358*'Emission Factors'!$G$53</f>
        <v>0</v>
      </c>
      <c r="I1385" s="518">
        <f ca="1">I1358*'Emission Factors'!$G$53</f>
        <v>0</v>
      </c>
      <c r="J1385" s="518">
        <f ca="1">J1358*'Emission Factors'!$G$53</f>
        <v>0</v>
      </c>
      <c r="K1385" s="518">
        <f ca="1">K1358*'Emission Factors'!$G$53</f>
        <v>0</v>
      </c>
      <c r="L1385" s="518">
        <f ca="1">L1358*'Emission Factors'!$G$53</f>
        <v>0</v>
      </c>
      <c r="M1385" s="518">
        <f ca="1">M1358*'Emission Factors'!$G$53</f>
        <v>0</v>
      </c>
      <c r="N1385" s="518">
        <f ca="1">N1358*'Emission Factors'!$G$53</f>
        <v>0</v>
      </c>
      <c r="O1385" s="518">
        <f ca="1">O1358*'Emission Factors'!$G$53</f>
        <v>0</v>
      </c>
      <c r="P1385" s="518">
        <f ca="1">P1358*'Emission Factors'!$G$53</f>
        <v>0</v>
      </c>
      <c r="Q1385" s="520">
        <f ca="1">Q1358*'Emission Factors'!$G$53</f>
        <v>18.907496819978743</v>
      </c>
      <c r="R1385" s="2109"/>
      <c r="S1385" s="346"/>
      <c r="T1385" s="341"/>
      <c r="U1385" s="511"/>
      <c r="V1385" s="511"/>
      <c r="W1385" s="511"/>
      <c r="X1385" s="342"/>
      <c r="Y1385" s="342"/>
      <c r="Z1385" s="342"/>
      <c r="AA1385" s="342"/>
    </row>
    <row r="1386" spans="1:27" ht="26.25" x14ac:dyDescent="0.2">
      <c r="A1386" s="341"/>
      <c r="B1386" s="345"/>
      <c r="C1386" s="517" t="s">
        <v>1027</v>
      </c>
      <c r="D1386" s="518"/>
      <c r="E1386" s="519"/>
      <c r="F1386" s="518"/>
      <c r="G1386" s="518"/>
      <c r="H1386" s="518"/>
      <c r="I1386" s="518"/>
      <c r="J1386" s="518"/>
      <c r="K1386" s="518"/>
      <c r="L1386" s="518"/>
      <c r="M1386" s="518"/>
      <c r="N1386" s="518"/>
      <c r="O1386" s="518"/>
      <c r="P1386" s="518"/>
      <c r="Q1386" s="520"/>
      <c r="R1386" s="2109"/>
      <c r="S1386" s="346"/>
      <c r="T1386" s="341"/>
      <c r="U1386" s="511"/>
      <c r="V1386" s="511"/>
      <c r="W1386" s="511"/>
      <c r="X1386" s="342"/>
      <c r="Y1386" s="342"/>
      <c r="Z1386" s="342"/>
      <c r="AA1386" s="342"/>
    </row>
    <row r="1387" spans="1:27" ht="26.25" x14ac:dyDescent="0.2">
      <c r="A1387" s="341"/>
      <c r="B1387" s="345"/>
      <c r="C1387" s="517" t="s">
        <v>1036</v>
      </c>
      <c r="D1387" s="518">
        <f ca="1">D1360*('Emission Factors'!$J$203+'Emission Factors'!$K$203)</f>
        <v>0</v>
      </c>
      <c r="E1387" s="519">
        <f ca="1">E1360*('Emission Factors'!$J$203+'Emission Factors'!$K$203)</f>
        <v>0</v>
      </c>
      <c r="F1387" s="518">
        <f ca="1">F1360*('Emission Factors'!$J$203+'Emission Factors'!$K$203)</f>
        <v>0</v>
      </c>
      <c r="G1387" s="518">
        <f ca="1">G1360*('Emission Factors'!$J$203+'Emission Factors'!$K$203)</f>
        <v>0</v>
      </c>
      <c r="H1387" s="518">
        <f ca="1">H1360*('Emission Factors'!$J$203+'Emission Factors'!$K$203)</f>
        <v>0</v>
      </c>
      <c r="I1387" s="518">
        <f ca="1">I1360*('Emission Factors'!$J$203+'Emission Factors'!$K$203)</f>
        <v>0</v>
      </c>
      <c r="J1387" s="518">
        <f ca="1">J1360*('Emission Factors'!$J$203+'Emission Factors'!$K$203)</f>
        <v>0</v>
      </c>
      <c r="K1387" s="518">
        <f ca="1">K1360*('Emission Factors'!$J$203+'Emission Factors'!$K$203)</f>
        <v>0</v>
      </c>
      <c r="L1387" s="518">
        <f ca="1">L1360*('Emission Factors'!$J$203+'Emission Factors'!$K$203)</f>
        <v>0</v>
      </c>
      <c r="M1387" s="518">
        <f ca="1">M1360*('Emission Factors'!$J$203+'Emission Factors'!$K$203)</f>
        <v>0</v>
      </c>
      <c r="N1387" s="518">
        <f ca="1">N1360*('Emission Factors'!$J$203+'Emission Factors'!$K$203)</f>
        <v>0</v>
      </c>
      <c r="O1387" s="518">
        <f ca="1">O1360*('Emission Factors'!$J$203+'Emission Factors'!$K$203)</f>
        <v>0</v>
      </c>
      <c r="P1387" s="518">
        <f ca="1">P1360*('Emission Factors'!$J$203+'Emission Factors'!$K$203)</f>
        <v>0</v>
      </c>
      <c r="Q1387" s="520">
        <f ca="1">Q1360*('Emission Factors'!$J$203+'Emission Factors'!$K$203)</f>
        <v>0</v>
      </c>
      <c r="R1387" s="2109"/>
      <c r="S1387" s="346"/>
      <c r="T1387" s="341"/>
      <c r="U1387" s="511"/>
      <c r="V1387" s="511"/>
      <c r="W1387" s="511"/>
      <c r="X1387" s="342"/>
      <c r="Y1387" s="342"/>
      <c r="Z1387" s="342"/>
      <c r="AA1387" s="342"/>
    </row>
    <row r="1388" spans="1:27" ht="26.25" x14ac:dyDescent="0.2">
      <c r="A1388" s="341"/>
      <c r="B1388" s="345"/>
      <c r="C1388" s="517" t="s">
        <v>1037</v>
      </c>
      <c r="D1388" s="518">
        <f ca="1">D1361*('Emission Factors'!$J$76+'Emission Factors'!$K$76)</f>
        <v>0</v>
      </c>
      <c r="E1388" s="519">
        <f ca="1">E1361*('Emission Factors'!$J$76+'Emission Factors'!$K$76)</f>
        <v>0</v>
      </c>
      <c r="F1388" s="518">
        <f ca="1">F1361*('Emission Factors'!$J$76+'Emission Factors'!$K$76)</f>
        <v>0</v>
      </c>
      <c r="G1388" s="518">
        <f ca="1">G1361*('Emission Factors'!$J$76+'Emission Factors'!$K$76)</f>
        <v>0</v>
      </c>
      <c r="H1388" s="518">
        <f ca="1">H1361*('Emission Factors'!$J$76+'Emission Factors'!$K$76)</f>
        <v>0</v>
      </c>
      <c r="I1388" s="518">
        <f ca="1">I1361*('Emission Factors'!$J$76+'Emission Factors'!$K$76)</f>
        <v>0</v>
      </c>
      <c r="J1388" s="518">
        <f ca="1">J1361*('Emission Factors'!$J$76+'Emission Factors'!$K$76)</f>
        <v>0</v>
      </c>
      <c r="K1388" s="518">
        <f ca="1">K1361*('Emission Factors'!$J$76+'Emission Factors'!$K$76)</f>
        <v>0</v>
      </c>
      <c r="L1388" s="518">
        <f ca="1">L1361*('Emission Factors'!$J$76+'Emission Factors'!$K$76)</f>
        <v>0</v>
      </c>
      <c r="M1388" s="518">
        <f ca="1">M1361*('Emission Factors'!$J$76+'Emission Factors'!$K$76)</f>
        <v>0</v>
      </c>
      <c r="N1388" s="518">
        <f ca="1">N1361*('Emission Factors'!$J$76+'Emission Factors'!$K$76)</f>
        <v>0</v>
      </c>
      <c r="O1388" s="518">
        <f ca="1">O1361*('Emission Factors'!$J$76+'Emission Factors'!$K$76)</f>
        <v>0</v>
      </c>
      <c r="P1388" s="518">
        <f ca="1">P1361*('Emission Factors'!$J$76+'Emission Factors'!$K$76)</f>
        <v>0</v>
      </c>
      <c r="Q1388" s="520">
        <f ca="1">Q1361*('Emission Factors'!$J$76+'Emission Factors'!$K$76)</f>
        <v>0</v>
      </c>
      <c r="R1388" s="2109"/>
      <c r="S1388" s="346"/>
      <c r="T1388" s="341"/>
      <c r="U1388" s="511"/>
      <c r="V1388" s="511"/>
      <c r="W1388" s="511"/>
      <c r="X1388" s="342"/>
      <c r="Y1388" s="342"/>
      <c r="Z1388" s="342"/>
      <c r="AA1388" s="342"/>
    </row>
    <row r="1389" spans="1:27" ht="26.25" x14ac:dyDescent="0.2">
      <c r="A1389" s="341"/>
      <c r="B1389" s="345"/>
      <c r="C1389" s="517" t="s">
        <v>1034</v>
      </c>
      <c r="D1389" s="518">
        <f ca="1">D1362*'Emission Factors'!$G$53</f>
        <v>35.98063534286127</v>
      </c>
      <c r="E1389" s="519">
        <f ca="1">E1362*'Emission Factors'!$G$53</f>
        <v>10.942890404561668</v>
      </c>
      <c r="F1389" s="518">
        <f ca="1">F1362*'Emission Factors'!$G$53</f>
        <v>5.8410817332844083</v>
      </c>
      <c r="G1389" s="518">
        <f ca="1">G1362*'Emission Factors'!$G$53</f>
        <v>0</v>
      </c>
      <c r="H1389" s="518">
        <f ca="1">H1362*'Emission Factors'!$G$53</f>
        <v>0</v>
      </c>
      <c r="I1389" s="518">
        <f ca="1">I1362*'Emission Factors'!$G$53</f>
        <v>0</v>
      </c>
      <c r="J1389" s="518">
        <f ca="1">J1362*'Emission Factors'!$G$53</f>
        <v>0</v>
      </c>
      <c r="K1389" s="518">
        <f ca="1">K1362*'Emission Factors'!$G$53</f>
        <v>0</v>
      </c>
      <c r="L1389" s="518">
        <f ca="1">L1362*'Emission Factors'!$G$53</f>
        <v>0</v>
      </c>
      <c r="M1389" s="518">
        <f ca="1">M1362*'Emission Factors'!$G$53</f>
        <v>0</v>
      </c>
      <c r="N1389" s="518">
        <f ca="1">N1362*'Emission Factors'!$G$53</f>
        <v>0</v>
      </c>
      <c r="O1389" s="518">
        <f ca="1">O1362*'Emission Factors'!$G$53</f>
        <v>0</v>
      </c>
      <c r="P1389" s="518">
        <f ca="1">P1362*'Emission Factors'!$G$53</f>
        <v>0</v>
      </c>
      <c r="Q1389" s="520">
        <f ca="1">Q1362*'Emission Factors'!$G$53</f>
        <v>52.764607480707355</v>
      </c>
      <c r="R1389" s="2109"/>
      <c r="S1389" s="346"/>
      <c r="T1389" s="341"/>
      <c r="U1389" s="511"/>
      <c r="V1389" s="511"/>
      <c r="W1389" s="511"/>
      <c r="X1389" s="342"/>
      <c r="Y1389" s="342"/>
      <c r="Z1389" s="342"/>
      <c r="AA1389" s="342"/>
    </row>
    <row r="1390" spans="1:27" ht="26.25" x14ac:dyDescent="0.2">
      <c r="A1390" s="341"/>
      <c r="B1390" s="345"/>
      <c r="C1390" s="517" t="s">
        <v>1028</v>
      </c>
      <c r="D1390" s="518">
        <f ca="1">D1363*('Emission Factors'!$J$203+'Emission Factors'!$K$203)</f>
        <v>0</v>
      </c>
      <c r="E1390" s="519">
        <f ca="1">E1363*('Emission Factors'!$J$203+'Emission Factors'!$K$203)</f>
        <v>0</v>
      </c>
      <c r="F1390" s="518">
        <f ca="1">F1363*('Emission Factors'!$J$203+'Emission Factors'!$K$203)</f>
        <v>0</v>
      </c>
      <c r="G1390" s="518">
        <f ca="1">G1363*('Emission Factors'!$J$203+'Emission Factors'!$K$203)</f>
        <v>0</v>
      </c>
      <c r="H1390" s="518">
        <f ca="1">H1363*('Emission Factors'!$J$203+'Emission Factors'!$K$203)</f>
        <v>0</v>
      </c>
      <c r="I1390" s="518">
        <f ca="1">I1363*('Emission Factors'!$J$203+'Emission Factors'!$K$203)</f>
        <v>0</v>
      </c>
      <c r="J1390" s="518">
        <f ca="1">J1363*('Emission Factors'!$J$203+'Emission Factors'!$K$203)</f>
        <v>0</v>
      </c>
      <c r="K1390" s="518">
        <f ca="1">K1363*('Emission Factors'!$J$203+'Emission Factors'!$K$203)</f>
        <v>0</v>
      </c>
      <c r="L1390" s="518">
        <f ca="1">L1363*('Emission Factors'!$J$203+'Emission Factors'!$K$203)</f>
        <v>0</v>
      </c>
      <c r="M1390" s="518">
        <f ca="1">M1363*('Emission Factors'!$J$203+'Emission Factors'!$K$203)</f>
        <v>0</v>
      </c>
      <c r="N1390" s="518">
        <f ca="1">N1363*('Emission Factors'!$J$203+'Emission Factors'!$K$203)</f>
        <v>0</v>
      </c>
      <c r="O1390" s="518">
        <f ca="1">O1363*('Emission Factors'!$J$203+'Emission Factors'!$K$203)</f>
        <v>0</v>
      </c>
      <c r="P1390" s="518">
        <f ca="1">P1363*('Emission Factors'!$J$203+'Emission Factors'!$K$203)</f>
        <v>0</v>
      </c>
      <c r="Q1390" s="520">
        <f ca="1">Q1363*('Emission Factors'!$J$203+'Emission Factors'!$K$203)</f>
        <v>0</v>
      </c>
      <c r="R1390" s="2109"/>
      <c r="S1390" s="346"/>
      <c r="T1390" s="341"/>
      <c r="U1390" s="511"/>
      <c r="V1390" s="511"/>
      <c r="W1390" s="511"/>
      <c r="X1390" s="342"/>
      <c r="Y1390" s="342"/>
      <c r="Z1390" s="342"/>
      <c r="AA1390" s="342"/>
    </row>
    <row r="1391" spans="1:27" ht="26.25" x14ac:dyDescent="0.2">
      <c r="A1391" s="341"/>
      <c r="B1391" s="345"/>
      <c r="C1391" s="517" t="s">
        <v>1029</v>
      </c>
      <c r="D1391" s="518">
        <f ca="1">D1364*('Emission Factors'!$J$76+'Emission Factors'!$K$76)</f>
        <v>1394.131146951755</v>
      </c>
      <c r="E1391" s="519">
        <f ca="1">E1364*('Emission Factors'!$J$76+'Emission Factors'!$K$76)</f>
        <v>424.00097178122064</v>
      </c>
      <c r="F1391" s="518">
        <f ca="1">F1364*('Emission Factors'!$J$76+'Emission Factors'!$K$76)</f>
        <v>226.32268437356518</v>
      </c>
      <c r="G1391" s="518">
        <f ca="1">G1364*('Emission Factors'!$J$76+'Emission Factors'!$K$76)</f>
        <v>0</v>
      </c>
      <c r="H1391" s="518">
        <f ca="1">H1364*('Emission Factors'!$J$76+'Emission Factors'!$K$76)</f>
        <v>0</v>
      </c>
      <c r="I1391" s="518">
        <f ca="1">I1364*('Emission Factors'!$J$76+'Emission Factors'!$K$76)</f>
        <v>0</v>
      </c>
      <c r="J1391" s="518">
        <f ca="1">J1364*('Emission Factors'!$J$76+'Emission Factors'!$K$76)</f>
        <v>0</v>
      </c>
      <c r="K1391" s="518">
        <f ca="1">K1364*('Emission Factors'!$J$76+'Emission Factors'!$K$76)</f>
        <v>0</v>
      </c>
      <c r="L1391" s="518">
        <f ca="1">L1364*('Emission Factors'!$J$76+'Emission Factors'!$K$76)</f>
        <v>0</v>
      </c>
      <c r="M1391" s="518">
        <f ca="1">M1364*('Emission Factors'!$J$76+'Emission Factors'!$K$76)</f>
        <v>0</v>
      </c>
      <c r="N1391" s="518">
        <f ca="1">N1364*('Emission Factors'!$J$76+'Emission Factors'!$K$76)</f>
        <v>0</v>
      </c>
      <c r="O1391" s="518">
        <f ca="1">O1364*('Emission Factors'!$J$76+'Emission Factors'!$K$76)</f>
        <v>0</v>
      </c>
      <c r="P1391" s="518">
        <f ca="1">P1364*('Emission Factors'!$J$76+'Emission Factors'!$K$76)</f>
        <v>0</v>
      </c>
      <c r="Q1391" s="520">
        <f ca="1">Q1364*('Emission Factors'!$J$76+'Emission Factors'!$K$76)</f>
        <v>2044.4548031065406</v>
      </c>
      <c r="R1391" s="2109"/>
      <c r="S1391" s="346"/>
      <c r="T1391" s="341"/>
      <c r="U1391" s="511"/>
      <c r="V1391" s="511"/>
      <c r="W1391" s="511"/>
      <c r="X1391" s="342"/>
      <c r="Y1391" s="342"/>
      <c r="Z1391" s="342"/>
      <c r="AA1391" s="342"/>
    </row>
    <row r="1392" spans="1:27" ht="26.25" x14ac:dyDescent="0.2">
      <c r="A1392" s="341"/>
      <c r="B1392" s="345"/>
      <c r="C1392" s="517" t="s">
        <v>1038</v>
      </c>
      <c r="D1392" s="518">
        <f ca="1">D1365*('Emission Factors'!$J$203+'Emission Factors'!$I$119)</f>
        <v>0</v>
      </c>
      <c r="E1392" s="519">
        <f ca="1">E1365*('Emission Factors'!$J$203+'Emission Factors'!$I$119)</f>
        <v>0</v>
      </c>
      <c r="F1392" s="518">
        <f ca="1">F1365*('Emission Factors'!$J$203+'Emission Factors'!$I$119)</f>
        <v>0</v>
      </c>
      <c r="G1392" s="518">
        <f ca="1">G1365*('Emission Factors'!$J$203+'Emission Factors'!$I$119)</f>
        <v>0</v>
      </c>
      <c r="H1392" s="518">
        <f ca="1">H1365*('Emission Factors'!$J$203+'Emission Factors'!$I$119)</f>
        <v>0</v>
      </c>
      <c r="I1392" s="518">
        <f ca="1">I1365*('Emission Factors'!$J$203+'Emission Factors'!$I$119)</f>
        <v>0</v>
      </c>
      <c r="J1392" s="518">
        <f ca="1">J1365*('Emission Factors'!$J$203+'Emission Factors'!$I$119)</f>
        <v>0</v>
      </c>
      <c r="K1392" s="518">
        <f ca="1">K1365*('Emission Factors'!$J$203+'Emission Factors'!$I$119)</f>
        <v>0</v>
      </c>
      <c r="L1392" s="518">
        <f ca="1">L1365*('Emission Factors'!$J$203+'Emission Factors'!$I$119)</f>
        <v>0</v>
      </c>
      <c r="M1392" s="518">
        <f ca="1">M1365*('Emission Factors'!$J$203+'Emission Factors'!$I$119)</f>
        <v>0</v>
      </c>
      <c r="N1392" s="518">
        <f ca="1">N1365*('Emission Factors'!$J$203+'Emission Factors'!$I$119)</f>
        <v>0</v>
      </c>
      <c r="O1392" s="518">
        <f ca="1">O1365*('Emission Factors'!$J$203+'Emission Factors'!$I$119)</f>
        <v>0</v>
      </c>
      <c r="P1392" s="518">
        <f ca="1">P1365*('Emission Factors'!$J$203+'Emission Factors'!$I$119)</f>
        <v>0</v>
      </c>
      <c r="Q1392" s="520">
        <f ca="1">Q1365*('Emission Factors'!$J$203+'Emission Factors'!$I$119)</f>
        <v>0</v>
      </c>
      <c r="R1392" s="2109"/>
      <c r="S1392" s="346"/>
      <c r="T1392" s="341"/>
      <c r="U1392" s="511"/>
      <c r="V1392" s="511"/>
      <c r="W1392" s="511"/>
      <c r="X1392" s="342"/>
      <c r="Y1392" s="342"/>
      <c r="Z1392" s="342"/>
      <c r="AA1392" s="342"/>
    </row>
    <row r="1393" spans="1:27" ht="26.25" x14ac:dyDescent="0.2">
      <c r="A1393" s="341"/>
      <c r="B1393" s="345"/>
      <c r="C1393" s="517" t="s">
        <v>1039</v>
      </c>
      <c r="D1393" s="518">
        <f ca="1">D1366*('Emission Factors'!$J$76+IF('Emission Factors'!$D$105=0,0,'Emission Factors'!$D$109/'Emission Factors'!$D$105))</f>
        <v>1229.7945585596567</v>
      </c>
      <c r="E1393" s="519">
        <f ca="1">E1366*('Emission Factors'!$J$76+IF('Emission Factors'!$D$105=0,0,'Emission Factors'!$D$109/'Emission Factors'!$D$105))</f>
        <v>374.02082943248126</v>
      </c>
      <c r="F1393" s="518">
        <f ca="1">F1366*('Emission Factors'!$J$76+IF('Emission Factors'!$D$105=0,0,'Emission Factors'!$D$109/'Emission Factors'!$D$105))</f>
        <v>199.64434933527602</v>
      </c>
      <c r="G1393" s="518">
        <f ca="1">G1366*('Emission Factors'!$J$76+IF('Emission Factors'!$D$105=0,0,'Emission Factors'!$D$109/'Emission Factors'!$D$105))</f>
        <v>0</v>
      </c>
      <c r="H1393" s="518">
        <f ca="1">H1366*('Emission Factors'!$J$76+IF('Emission Factors'!$D$105=0,0,'Emission Factors'!$D$109/'Emission Factors'!$D$105))</f>
        <v>0</v>
      </c>
      <c r="I1393" s="518">
        <f ca="1">I1366*('Emission Factors'!$J$76+IF('Emission Factors'!$D$105=0,0,'Emission Factors'!$D$109/'Emission Factors'!$D$105))</f>
        <v>0</v>
      </c>
      <c r="J1393" s="518">
        <f ca="1">J1366*('Emission Factors'!$J$76+IF('Emission Factors'!$D$105=0,0,'Emission Factors'!$D$109/'Emission Factors'!$D$105))</f>
        <v>0</v>
      </c>
      <c r="K1393" s="518">
        <f ca="1">K1366*('Emission Factors'!$J$76+IF('Emission Factors'!$D$105=0,0,'Emission Factors'!$D$109/'Emission Factors'!$D$105))</f>
        <v>0</v>
      </c>
      <c r="L1393" s="518">
        <f ca="1">L1366*('Emission Factors'!$J$76+IF('Emission Factors'!$D$105=0,0,'Emission Factors'!$D$109/'Emission Factors'!$D$105))</f>
        <v>0</v>
      </c>
      <c r="M1393" s="518">
        <f ca="1">M1366*('Emission Factors'!$J$76+IF('Emission Factors'!$D$105=0,0,'Emission Factors'!$D$109/'Emission Factors'!$D$105))</f>
        <v>0</v>
      </c>
      <c r="N1393" s="518">
        <f ca="1">N1366*('Emission Factors'!$J$76+IF('Emission Factors'!$D$105=0,0,'Emission Factors'!$D$109/'Emission Factors'!$D$105))</f>
        <v>0</v>
      </c>
      <c r="O1393" s="518">
        <f ca="1">O1366*('Emission Factors'!$J$76+IF('Emission Factors'!$D$105=0,0,'Emission Factors'!$D$109/'Emission Factors'!$D$105))</f>
        <v>0</v>
      </c>
      <c r="P1393" s="518">
        <f ca="1">P1366*('Emission Factors'!$J$76+IF('Emission Factors'!$D$105=0,0,'Emission Factors'!$D$109/'Emission Factors'!$D$105))</f>
        <v>0</v>
      </c>
      <c r="Q1393" s="520">
        <f ca="1">Q1366*('Emission Factors'!$J$76+IF('Emission Factors'!$D$105=0,0,'Emission Factors'!$D$109/'Emission Factors'!$D$105))</f>
        <v>1803.4597373274139</v>
      </c>
      <c r="R1393" s="2109"/>
      <c r="S1393" s="346"/>
      <c r="T1393" s="341"/>
      <c r="U1393" s="511"/>
      <c r="V1393" s="511"/>
      <c r="W1393" s="511"/>
      <c r="X1393" s="342"/>
      <c r="Y1393" s="342"/>
      <c r="Z1393" s="342"/>
      <c r="AA1393" s="342"/>
    </row>
    <row r="1394" spans="1:27" ht="26.25" x14ac:dyDescent="0.2">
      <c r="A1394" s="341"/>
      <c r="B1394" s="345"/>
      <c r="C1394" s="517" t="s">
        <v>1053</v>
      </c>
      <c r="D1394" s="518">
        <f ca="1">D1367*'Emission Factors'!$I$247</f>
        <v>0</v>
      </c>
      <c r="E1394" s="519">
        <f ca="1">E1367*'Emission Factors'!$I$247</f>
        <v>0</v>
      </c>
      <c r="F1394" s="518">
        <f ca="1">F1367*'Emission Factors'!$I$247</f>
        <v>0</v>
      </c>
      <c r="G1394" s="518">
        <f ca="1">G1367*'Emission Factors'!$I$247</f>
        <v>0</v>
      </c>
      <c r="H1394" s="518">
        <f ca="1">H1367*'Emission Factors'!$I$247</f>
        <v>0</v>
      </c>
      <c r="I1394" s="518">
        <f ca="1">I1367*'Emission Factors'!$I$247</f>
        <v>0</v>
      </c>
      <c r="J1394" s="518">
        <f ca="1">J1367*'Emission Factors'!$I$247</f>
        <v>0</v>
      </c>
      <c r="K1394" s="518">
        <f ca="1">K1367*'Emission Factors'!$I$247</f>
        <v>0</v>
      </c>
      <c r="L1394" s="518">
        <f ca="1">L1367*'Emission Factors'!$I$247</f>
        <v>0</v>
      </c>
      <c r="M1394" s="518">
        <f ca="1">M1367*'Emission Factors'!$I$247</f>
        <v>0</v>
      </c>
      <c r="N1394" s="518">
        <f ca="1">N1367*'Emission Factors'!$I$247</f>
        <v>0</v>
      </c>
      <c r="O1394" s="518">
        <f ca="1">O1367*'Emission Factors'!$I$247</f>
        <v>0</v>
      </c>
      <c r="P1394" s="518">
        <f ca="1">P1367*'Emission Factors'!$I$247</f>
        <v>0</v>
      </c>
      <c r="Q1394" s="520">
        <f ca="1">Q1367*'Emission Factors'!$I$247</f>
        <v>0</v>
      </c>
      <c r="R1394" s="2109"/>
      <c r="S1394" s="346"/>
      <c r="T1394" s="341"/>
      <c r="U1394" s="511"/>
      <c r="V1394" s="511"/>
      <c r="W1394" s="511"/>
      <c r="X1394" s="342"/>
      <c r="Y1394" s="342"/>
      <c r="Z1394" s="342"/>
      <c r="AA1394" s="342"/>
    </row>
    <row r="1395" spans="1:27" ht="26.25" x14ac:dyDescent="0.2">
      <c r="A1395" s="341"/>
      <c r="B1395" s="345"/>
      <c r="C1395" s="517" t="s">
        <v>1051</v>
      </c>
      <c r="D1395" s="545">
        <f ca="1">D1368*'Emission Factors'!$E$177</f>
        <v>3.3265934187698932E-17</v>
      </c>
      <c r="E1395" s="546">
        <f ca="1">E1368*'Emission Factors'!$E$177</f>
        <v>0</v>
      </c>
      <c r="F1395" s="545">
        <f ca="1">F1368*'Emission Factors'!$E$177</f>
        <v>7.8816840142630523E-18</v>
      </c>
      <c r="G1395" s="545">
        <f ca="1">G1368*'Emission Factors'!$E$177</f>
        <v>0</v>
      </c>
      <c r="H1395" s="545">
        <f ca="1">H1368*'Emission Factors'!$E$177</f>
        <v>0</v>
      </c>
      <c r="I1395" s="545">
        <f ca="1">I1368*'Emission Factors'!$E$177</f>
        <v>0</v>
      </c>
      <c r="J1395" s="545">
        <f ca="1">J1368*'Emission Factors'!$E$177</f>
        <v>0</v>
      </c>
      <c r="K1395" s="545">
        <f ca="1">K1368*'Emission Factors'!$E$177</f>
        <v>0</v>
      </c>
      <c r="L1395" s="545">
        <f ca="1">L1368*'Emission Factors'!$E$177</f>
        <v>0</v>
      </c>
      <c r="M1395" s="545">
        <f ca="1">M1368*'Emission Factors'!$E$177</f>
        <v>0</v>
      </c>
      <c r="N1395" s="545">
        <f ca="1">N1368*'Emission Factors'!$E$177</f>
        <v>0</v>
      </c>
      <c r="O1395" s="545">
        <f ca="1">O1368*'Emission Factors'!$E$177</f>
        <v>0</v>
      </c>
      <c r="P1395" s="545">
        <f ca="1">P1368*'Emission Factors'!$E$177</f>
        <v>0</v>
      </c>
      <c r="Q1395" s="547">
        <f ca="1">Q1368*'Emission Factors'!$E$177</f>
        <v>4.1147618201961983E-17</v>
      </c>
      <c r="R1395" s="2109"/>
      <c r="S1395" s="346"/>
      <c r="T1395" s="341"/>
      <c r="U1395" s="511"/>
      <c r="V1395" s="511"/>
      <c r="W1395" s="511"/>
      <c r="X1395" s="342"/>
      <c r="Y1395" s="342"/>
      <c r="Z1395" s="342"/>
      <c r="AA1395" s="342"/>
    </row>
    <row r="1396" spans="1:27" ht="26.25" x14ac:dyDescent="0.2">
      <c r="A1396" s="341"/>
      <c r="B1396" s="345"/>
      <c r="C1396" s="517" t="s">
        <v>976</v>
      </c>
      <c r="D1396" s="518">
        <f ca="1">D1369*('Emission Factors'!$J$203+'Emission Factors'!$K$203)</f>
        <v>0</v>
      </c>
      <c r="E1396" s="519">
        <f ca="1">E1369*('Emission Factors'!$J$203+'Emission Factors'!$K$203)</f>
        <v>0</v>
      </c>
      <c r="F1396" s="518">
        <f ca="1">F1369*('Emission Factors'!$J$203+'Emission Factors'!$K$203)</f>
        <v>0</v>
      </c>
      <c r="G1396" s="518">
        <f ca="1">G1369*('Emission Factors'!$J$203+'Emission Factors'!$K$203)</f>
        <v>0</v>
      </c>
      <c r="H1396" s="518">
        <f ca="1">H1369*('Emission Factors'!$J$203+'Emission Factors'!$K$203)</f>
        <v>0</v>
      </c>
      <c r="I1396" s="518">
        <f ca="1">I1369*('Emission Factors'!$J$203+'Emission Factors'!$K$203)</f>
        <v>0</v>
      </c>
      <c r="J1396" s="518">
        <f ca="1">J1369*('Emission Factors'!$J$203+'Emission Factors'!$K$203)</f>
        <v>0</v>
      </c>
      <c r="K1396" s="518">
        <f ca="1">K1369*('Emission Factors'!$J$203+'Emission Factors'!$K$203)</f>
        <v>0</v>
      </c>
      <c r="L1396" s="518">
        <f ca="1">L1369*('Emission Factors'!$J$203+'Emission Factors'!$K$203)</f>
        <v>0</v>
      </c>
      <c r="M1396" s="518">
        <f ca="1">M1369*('Emission Factors'!$J$203+'Emission Factors'!$K$203)</f>
        <v>0</v>
      </c>
      <c r="N1396" s="518">
        <f ca="1">N1369*('Emission Factors'!$J$203+'Emission Factors'!$K$203)</f>
        <v>0</v>
      </c>
      <c r="O1396" s="518">
        <f ca="1">O1369*('Emission Factors'!$J$203+'Emission Factors'!$K$203)</f>
        <v>0</v>
      </c>
      <c r="P1396" s="518">
        <f ca="1">P1369*('Emission Factors'!$J$203+'Emission Factors'!$K$203)</f>
        <v>0</v>
      </c>
      <c r="Q1396" s="520">
        <f ca="1">Q1369*('Emission Factors'!$J$203+'Emission Factors'!$K$203)</f>
        <v>0</v>
      </c>
      <c r="R1396" s="2109"/>
      <c r="S1396" s="346"/>
      <c r="T1396" s="341"/>
      <c r="U1396" s="511"/>
      <c r="V1396" s="511"/>
      <c r="W1396" s="511"/>
      <c r="X1396" s="342"/>
      <c r="Y1396" s="342"/>
      <c r="Z1396" s="342"/>
      <c r="AA1396" s="342"/>
    </row>
    <row r="1397" spans="1:27" ht="26.25" x14ac:dyDescent="0.2">
      <c r="A1397" s="341"/>
      <c r="B1397" s="345"/>
      <c r="C1397" s="517" t="s">
        <v>979</v>
      </c>
      <c r="D1397" s="518">
        <f ca="1">D1372*'Emission Factors'!$H$135</f>
        <v>0</v>
      </c>
      <c r="E1397" s="546">
        <f ca="1">E1372*'Emission Factors'!$H$135</f>
        <v>0</v>
      </c>
      <c r="F1397" s="518">
        <f ca="1">F1372*'Emission Factors'!$H$135</f>
        <v>0</v>
      </c>
      <c r="G1397" s="518">
        <f ca="1">G1372*'Emission Factors'!$H$135</f>
        <v>0</v>
      </c>
      <c r="H1397" s="518">
        <f ca="1">H1372*'Emission Factors'!$H$135</f>
        <v>0</v>
      </c>
      <c r="I1397" s="518">
        <f ca="1">I1372*'Emission Factors'!$H$135</f>
        <v>0</v>
      </c>
      <c r="J1397" s="518">
        <f ca="1">J1372*'Emission Factors'!$H$135</f>
        <v>0</v>
      </c>
      <c r="K1397" s="518">
        <f ca="1">K1372*'Emission Factors'!$H$135</f>
        <v>0</v>
      </c>
      <c r="L1397" s="518">
        <f ca="1">L1372*'Emission Factors'!$H$135</f>
        <v>0</v>
      </c>
      <c r="M1397" s="518">
        <f ca="1">M1372*'Emission Factors'!$H$135</f>
        <v>0</v>
      </c>
      <c r="N1397" s="518">
        <f ca="1">N1372*'Emission Factors'!$H$135</f>
        <v>0</v>
      </c>
      <c r="O1397" s="518">
        <f ca="1">O1372*'Emission Factors'!$H$135</f>
        <v>0</v>
      </c>
      <c r="P1397" s="518">
        <f ca="1">P1372*'Emission Factors'!$H$135</f>
        <v>0</v>
      </c>
      <c r="Q1397" s="518">
        <f ca="1">Q1372*'Emission Factors'!$H$135</f>
        <v>0</v>
      </c>
      <c r="R1397" s="2109"/>
      <c r="S1397" s="346"/>
      <c r="T1397" s="341"/>
      <c r="U1397" s="511"/>
      <c r="V1397" s="511"/>
      <c r="W1397" s="511"/>
      <c r="X1397" s="342"/>
      <c r="Y1397" s="342"/>
      <c r="Z1397" s="342"/>
      <c r="AA1397" s="342"/>
    </row>
    <row r="1398" spans="1:27" ht="26.25" x14ac:dyDescent="0.2">
      <c r="A1398" s="341"/>
      <c r="B1398" s="345"/>
      <c r="C1398" s="529" t="s">
        <v>12</v>
      </c>
      <c r="D1398" s="530">
        <f t="shared" ref="D1398:Q1398" ca="1" si="331">SUM(D1378:D1396)</f>
        <v>12481.261200521889</v>
      </c>
      <c r="E1398" s="531">
        <f t="shared" ca="1" si="331"/>
        <v>5615.1546905956584</v>
      </c>
      <c r="F1398" s="530">
        <f t="shared" ca="1" si="331"/>
        <v>2681.3591892276268</v>
      </c>
      <c r="G1398" s="530">
        <f t="shared" ca="1" si="331"/>
        <v>0</v>
      </c>
      <c r="H1398" s="530">
        <f t="shared" ca="1" si="331"/>
        <v>0</v>
      </c>
      <c r="I1398" s="530">
        <f t="shared" ca="1" si="331"/>
        <v>0</v>
      </c>
      <c r="J1398" s="530">
        <f t="shared" ca="1" si="331"/>
        <v>0</v>
      </c>
      <c r="K1398" s="530">
        <f t="shared" ca="1" si="331"/>
        <v>0</v>
      </c>
      <c r="L1398" s="530">
        <f t="shared" ref="L1398" ca="1" si="332">SUM(L1378:L1396)</f>
        <v>0</v>
      </c>
      <c r="M1398" s="530">
        <f t="shared" ca="1" si="331"/>
        <v>0</v>
      </c>
      <c r="N1398" s="530">
        <f t="shared" ref="N1398:P1398" ca="1" si="333">SUM(N1378:N1396)</f>
        <v>0</v>
      </c>
      <c r="O1398" s="530">
        <f t="shared" ca="1" si="333"/>
        <v>0</v>
      </c>
      <c r="P1398" s="530">
        <f t="shared" ca="1" si="333"/>
        <v>0</v>
      </c>
      <c r="Q1398" s="532">
        <f t="shared" ca="1" si="331"/>
        <v>20777.775080345178</v>
      </c>
      <c r="R1398" s="2109"/>
      <c r="S1398" s="346"/>
      <c r="T1398" s="341"/>
      <c r="U1398" s="511"/>
      <c r="V1398" s="511"/>
      <c r="W1398" s="511"/>
      <c r="X1398" s="342"/>
      <c r="Y1398" s="342"/>
      <c r="Z1398" s="342"/>
      <c r="AA1398" s="342"/>
    </row>
    <row r="1399" spans="1:27" ht="26.25" x14ac:dyDescent="0.2">
      <c r="A1399" s="341"/>
      <c r="B1399" s="345"/>
      <c r="C1399" s="489" t="s">
        <v>13</v>
      </c>
      <c r="D1399" s="570">
        <f ca="1">D1398*CokingRefineryPFD!$E$95/CokingRefineryPFD!$E$118</f>
        <v>2.2159628272374117</v>
      </c>
      <c r="E1399" s="571">
        <f ca="1">E1398*CokingRefineryPFD!$E$95/CokingRefineryPFD!$E$118</f>
        <v>0.99693243043639546</v>
      </c>
      <c r="F1399" s="570">
        <f ca="1">F1398*CokingRefineryPFD!$E$95/CokingRefineryPFD!$E$118</f>
        <v>0.47605704218027395</v>
      </c>
      <c r="G1399" s="570">
        <f ca="1">G1398*CokingRefineryPFD!$E$95/CokingRefineryPFD!$E$118</f>
        <v>0</v>
      </c>
      <c r="H1399" s="570">
        <f ca="1">H1398*CokingRefineryPFD!$E$95/CokingRefineryPFD!$E$118</f>
        <v>0</v>
      </c>
      <c r="I1399" s="570">
        <f ca="1">I1398*CokingRefineryPFD!$E$95/CokingRefineryPFD!$E$118</f>
        <v>0</v>
      </c>
      <c r="J1399" s="570">
        <f ca="1">J1398*CokingRefineryPFD!$E$95/CokingRefineryPFD!$E$118</f>
        <v>0</v>
      </c>
      <c r="K1399" s="570">
        <f ca="1">K1398*CokingRefineryPFD!$E$95/CokingRefineryPFD!$E$118</f>
        <v>0</v>
      </c>
      <c r="L1399" s="570">
        <f ca="1">L1398*CokingRefineryPFD!$E$95/CokingRefineryPFD!$E$118</f>
        <v>0</v>
      </c>
      <c r="M1399" s="570">
        <f ca="1">M1398*CokingRefineryPFD!$E$95/CokingRefineryPFD!$E$118</f>
        <v>0</v>
      </c>
      <c r="N1399" s="570">
        <f ca="1">N1398*CokingRefineryPFD!$E$95/CokingRefineryPFD!$E$118</f>
        <v>0</v>
      </c>
      <c r="O1399" s="570">
        <f ca="1">O1398*CokingRefineryPFD!$E$95/CokingRefineryPFD!$E$118</f>
        <v>0</v>
      </c>
      <c r="P1399" s="570">
        <f ca="1">P1398*CokingRefineryPFD!$E$95/CokingRefineryPFD!$E$118</f>
        <v>0</v>
      </c>
      <c r="Q1399" s="572">
        <f ca="1">Q1398*CokingRefineryPFD!$E$95/CokingRefineryPFD!$E$118</f>
        <v>3.6889522998540811</v>
      </c>
      <c r="R1399" s="2109"/>
      <c r="S1399" s="346"/>
      <c r="T1399" s="341"/>
      <c r="U1399" s="511"/>
      <c r="V1399" s="511"/>
      <c r="W1399" s="511"/>
      <c r="X1399" s="342"/>
      <c r="Y1399" s="342"/>
      <c r="Z1399" s="342"/>
      <c r="AA1399" s="342"/>
    </row>
    <row r="1400" spans="1:27" ht="26.25" x14ac:dyDescent="0.2">
      <c r="A1400" s="341"/>
      <c r="B1400" s="345"/>
      <c r="C1400" s="437"/>
      <c r="D1400" s="2109"/>
      <c r="E1400" s="437"/>
      <c r="F1400" s="2109"/>
      <c r="G1400" s="2109"/>
      <c r="H1400" s="2109"/>
      <c r="I1400" s="2109"/>
      <c r="J1400" s="2109"/>
      <c r="K1400" s="2109"/>
      <c r="L1400" s="2109"/>
      <c r="M1400" s="2109"/>
      <c r="N1400" s="2109"/>
      <c r="O1400" s="2109"/>
      <c r="P1400" s="2109"/>
      <c r="Q1400" s="2109"/>
      <c r="R1400" s="2109"/>
      <c r="S1400" s="346"/>
      <c r="T1400" s="341"/>
      <c r="U1400" s="511"/>
      <c r="V1400" s="511"/>
      <c r="W1400" s="511"/>
      <c r="X1400" s="342"/>
      <c r="Y1400" s="342"/>
      <c r="Z1400" s="342"/>
      <c r="AA1400" s="342"/>
    </row>
    <row r="1401" spans="1:27" ht="26.25" x14ac:dyDescent="0.2">
      <c r="A1401" s="341"/>
      <c r="B1401" s="1824"/>
      <c r="C1401" s="438" t="str">
        <f>'Emission Factors'!C264</f>
        <v>Non-combustion and Fugitive Emissions</v>
      </c>
      <c r="D1401" s="438"/>
      <c r="E1401" s="438"/>
      <c r="F1401" s="2109"/>
      <c r="G1401" s="2109"/>
      <c r="H1401" s="2109"/>
      <c r="I1401" s="2109"/>
      <c r="J1401" s="2109"/>
      <c r="K1401" s="2109"/>
      <c r="L1401" s="2109"/>
      <c r="M1401" s="2109"/>
      <c r="N1401" s="2109"/>
      <c r="O1401" s="2109"/>
      <c r="P1401" s="2109"/>
      <c r="Q1401" s="2109"/>
      <c r="R1401" s="2109"/>
      <c r="S1401" s="346"/>
      <c r="T1401" s="341"/>
      <c r="U1401" s="511"/>
      <c r="V1401" s="511"/>
      <c r="W1401" s="511"/>
      <c r="X1401" s="342"/>
      <c r="Y1401" s="342"/>
      <c r="Z1401" s="342"/>
      <c r="AA1401" s="342"/>
    </row>
    <row r="1402" spans="1:27" ht="10.5" customHeight="1" x14ac:dyDescent="0.2">
      <c r="A1402" s="341"/>
      <c r="B1402" s="2014"/>
      <c r="C1402" s="439"/>
      <c r="D1402" s="439"/>
      <c r="E1402" s="439"/>
      <c r="F1402" s="2109"/>
      <c r="G1402" s="2109"/>
      <c r="H1402" s="2109"/>
      <c r="I1402" s="2109"/>
      <c r="J1402" s="2109"/>
      <c r="K1402" s="2109"/>
      <c r="L1402" s="2109"/>
      <c r="M1402" s="2109"/>
      <c r="N1402" s="2109"/>
      <c r="O1402" s="2109"/>
      <c r="P1402" s="2109"/>
      <c r="Q1402" s="2109"/>
      <c r="R1402" s="2109"/>
      <c r="S1402" s="346"/>
      <c r="T1402" s="341"/>
      <c r="U1402" s="511"/>
      <c r="V1402" s="511"/>
      <c r="W1402" s="511"/>
      <c r="X1402" s="342"/>
      <c r="Y1402" s="342"/>
      <c r="Z1402" s="342"/>
      <c r="AA1402" s="342"/>
    </row>
    <row r="1403" spans="1:27" ht="26.25" x14ac:dyDescent="0.2">
      <c r="A1403" s="341"/>
      <c r="B1403" s="345"/>
      <c r="C1403" s="440" t="s">
        <v>29</v>
      </c>
      <c r="D1403" s="2109"/>
      <c r="E1403" s="437"/>
      <c r="F1403" s="2109"/>
      <c r="G1403" s="2109"/>
      <c r="H1403" s="2109"/>
      <c r="I1403" s="2109"/>
      <c r="J1403" s="2109"/>
      <c r="K1403" s="2109"/>
      <c r="L1403" s="2109"/>
      <c r="M1403" s="2109"/>
      <c r="N1403" s="2109"/>
      <c r="O1403" s="2109"/>
      <c r="P1403" s="2109"/>
      <c r="Q1403" s="2109"/>
      <c r="R1403" s="2109"/>
      <c r="S1403" s="346"/>
      <c r="T1403" s="341"/>
      <c r="U1403" s="511"/>
      <c r="V1403" s="511"/>
      <c r="W1403" s="511"/>
      <c r="X1403" s="342"/>
      <c r="Y1403" s="342"/>
      <c r="Z1403" s="342"/>
      <c r="AA1403" s="342"/>
    </row>
    <row r="1404" spans="1:27" ht="26.25" x14ac:dyDescent="0.2">
      <c r="A1404" s="341"/>
      <c r="B1404" s="345"/>
      <c r="C1404" s="562" t="s">
        <v>17</v>
      </c>
      <c r="D1404" s="514">
        <f ca="1">D1106/CokingRefineryPFD!$E$104/CokingRefineryPFD!$U$104</f>
        <v>6124.7676219855557</v>
      </c>
      <c r="E1404" s="515">
        <f ca="1">E1106/CokingRefineryPFD!$E$104/CokingRefineryPFD!$U$104</f>
        <v>6614.3432876390052</v>
      </c>
      <c r="F1404" s="514">
        <f ca="1">F1106/CokingRefineryPFD!$E$104/CokingRefineryPFD!$U$104</f>
        <v>3160.88909037544</v>
      </c>
      <c r="G1404" s="514">
        <f ca="1">G1106/CokingRefineryPFD!$E$104/CokingRefineryPFD!$U$104</f>
        <v>0</v>
      </c>
      <c r="H1404" s="514">
        <f ca="1">H1106/CokingRefineryPFD!$E$104/CokingRefineryPFD!$U$104</f>
        <v>0</v>
      </c>
      <c r="I1404" s="514">
        <f ca="1">I1106/CokingRefineryPFD!$E$104/CokingRefineryPFD!$U$104</f>
        <v>0</v>
      </c>
      <c r="J1404" s="514">
        <f ca="1">J1106/CokingRefineryPFD!$E$104/CokingRefineryPFD!$U$104</f>
        <v>0</v>
      </c>
      <c r="K1404" s="514">
        <f ca="1">K1106/CokingRefineryPFD!$E$104/CokingRefineryPFD!$U$104</f>
        <v>0</v>
      </c>
      <c r="L1404" s="514">
        <f ca="1">L1106/CokingRefineryPFD!$E$104/CokingRefineryPFD!$U$104</f>
        <v>0</v>
      </c>
      <c r="M1404" s="514">
        <f ca="1">M1106/CokingRefineryPFD!$E$104/CokingRefineryPFD!$U$104</f>
        <v>0</v>
      </c>
      <c r="N1404" s="514">
        <f ca="1">N1106/CokingRefineryPFD!$E$104/CokingRefineryPFD!$U$104</f>
        <v>0</v>
      </c>
      <c r="O1404" s="514">
        <f ca="1">O1106/CokingRefineryPFD!$E$104/CokingRefineryPFD!$U$104</f>
        <v>0</v>
      </c>
      <c r="P1404" s="514">
        <f ca="1">P1106/CokingRefineryPFD!$E$104/CokingRefineryPFD!$U$104</f>
        <v>0</v>
      </c>
      <c r="Q1404" s="516">
        <f ca="1">Q1106/CokingRefineryPFD!$E$104/CokingRefineryPFD!$U$104</f>
        <v>15899.999999999998</v>
      </c>
      <c r="R1404" s="2109"/>
      <c r="S1404" s="346"/>
      <c r="T1404" s="341"/>
      <c r="U1404" s="511"/>
      <c r="V1404" s="511"/>
      <c r="W1404" s="511"/>
      <c r="X1404" s="342"/>
      <c r="Y1404" s="342"/>
      <c r="Z1404" s="342"/>
      <c r="AA1404" s="342"/>
    </row>
    <row r="1405" spans="1:27" ht="26.25" x14ac:dyDescent="0.2">
      <c r="A1405" s="341"/>
      <c r="B1405" s="345"/>
      <c r="C1405" s="517"/>
      <c r="D1405" s="518"/>
      <c r="E1405" s="519"/>
      <c r="F1405" s="518"/>
      <c r="G1405" s="518"/>
      <c r="H1405" s="518"/>
      <c r="I1405" s="518"/>
      <c r="J1405" s="518"/>
      <c r="K1405" s="518"/>
      <c r="L1405" s="518"/>
      <c r="M1405" s="518"/>
      <c r="N1405" s="518"/>
      <c r="O1405" s="518"/>
      <c r="P1405" s="518"/>
      <c r="Q1405" s="520"/>
      <c r="R1405" s="2109"/>
      <c r="S1405" s="346"/>
      <c r="T1405" s="341"/>
      <c r="U1405" s="511"/>
      <c r="V1405" s="511"/>
      <c r="W1405" s="511"/>
      <c r="X1405" s="342"/>
      <c r="Y1405" s="342"/>
      <c r="Z1405" s="342"/>
      <c r="AA1405" s="342"/>
    </row>
    <row r="1406" spans="1:27" ht="26.25" x14ac:dyDescent="0.2">
      <c r="A1406" s="341"/>
      <c r="B1406" s="345"/>
      <c r="C1406" s="517" t="str">
        <f>'Emission Factors'!C267</f>
        <v>Blowdown Systems</v>
      </c>
      <c r="D1406" s="518">
        <f ca="1">CokingRefineryCalcs!D1404*'Emission Factors'!$D$281</f>
        <v>87701.305883773894</v>
      </c>
      <c r="E1406" s="519">
        <f ca="1">CokingRefineryCalcs!E1404*'Emission Factors'!$D$281</f>
        <v>94711.600454395666</v>
      </c>
      <c r="F1406" s="518">
        <f ca="1">CokingRefineryCalcs!F1404*'Emission Factors'!$D$281</f>
        <v>45261.16223325902</v>
      </c>
      <c r="G1406" s="518">
        <f ca="1">CokingRefineryCalcs!G1404*'Emission Factors'!$D$281</f>
        <v>0</v>
      </c>
      <c r="H1406" s="518">
        <f ca="1">CokingRefineryCalcs!H1404*'Emission Factors'!$D$281</f>
        <v>0</v>
      </c>
      <c r="I1406" s="518">
        <f ca="1">CokingRefineryCalcs!I1404*'Emission Factors'!$D$281</f>
        <v>0</v>
      </c>
      <c r="J1406" s="518">
        <f ca="1">CokingRefineryCalcs!J1404*'Emission Factors'!$D$281</f>
        <v>0</v>
      </c>
      <c r="K1406" s="518">
        <f ca="1">CokingRefineryCalcs!K1404*'Emission Factors'!$D$281</f>
        <v>0</v>
      </c>
      <c r="L1406" s="518">
        <f ca="1">CokingRefineryCalcs!L1404*'Emission Factors'!$D$281</f>
        <v>0</v>
      </c>
      <c r="M1406" s="518">
        <f ca="1">CokingRefineryCalcs!M1404*'Emission Factors'!$D$281</f>
        <v>0</v>
      </c>
      <c r="N1406" s="518">
        <f ca="1">CokingRefineryCalcs!N1404*'Emission Factors'!$D$281</f>
        <v>0</v>
      </c>
      <c r="O1406" s="518">
        <f ca="1">CokingRefineryCalcs!O1404*'Emission Factors'!$D$281</f>
        <v>0</v>
      </c>
      <c r="P1406" s="518">
        <f ca="1">CokingRefineryCalcs!P1404*'Emission Factors'!$D$281</f>
        <v>0</v>
      </c>
      <c r="Q1406" s="520">
        <f ca="1">CokingRefineryCalcs!Q1404*'Emission Factors'!$D$281</f>
        <v>227674.06857142854</v>
      </c>
      <c r="R1406" s="2109"/>
      <c r="S1406" s="346"/>
      <c r="T1406" s="341"/>
      <c r="U1406" s="511"/>
      <c r="V1406" s="511"/>
      <c r="W1406" s="511"/>
      <c r="X1406" s="342"/>
      <c r="Y1406" s="342"/>
      <c r="Z1406" s="342"/>
      <c r="AA1406" s="342"/>
    </row>
    <row r="1407" spans="1:27" ht="26.25" x14ac:dyDescent="0.2">
      <c r="A1407" s="341"/>
      <c r="B1407" s="345"/>
      <c r="C1407" s="517" t="str">
        <f>'Emission Factors'!F267</f>
        <v>Cooling Towers</v>
      </c>
      <c r="D1407" s="518">
        <f ca="1">CokingRefineryCalcs!D1404*'Emission Factors'!$F$269*'Emission Factors'!$F$281/'Energy &amp; Unit Conversions'!$E$93</f>
        <v>22.212490575734286</v>
      </c>
      <c r="E1407" s="519">
        <f ca="1">CokingRefineryCalcs!E1404*'Emission Factors'!$F$269*'Emission Factors'!$F$281/'Energy &amp; Unit Conversions'!$E$93</f>
        <v>23.988018323170795</v>
      </c>
      <c r="F1407" s="518">
        <f ca="1">CokingRefineryCalcs!F1404*'Emission Factors'!$F$269*'Emission Factors'!$F$281/'Energy &amp; Unit Conversions'!$E$93</f>
        <v>11.463491101094929</v>
      </c>
      <c r="G1407" s="518">
        <f ca="1">CokingRefineryCalcs!G1404*'Emission Factors'!$F$269*'Emission Factors'!$F$281/'Energy &amp; Unit Conversions'!$E$93</f>
        <v>0</v>
      </c>
      <c r="H1407" s="518">
        <f ca="1">CokingRefineryCalcs!H1404*'Emission Factors'!$F$269*'Emission Factors'!$F$281/'Energy &amp; Unit Conversions'!$E$93</f>
        <v>0</v>
      </c>
      <c r="I1407" s="518">
        <f ca="1">CokingRefineryCalcs!I1404*'Emission Factors'!$F$269*'Emission Factors'!$F$281/'Energy &amp; Unit Conversions'!$E$93</f>
        <v>0</v>
      </c>
      <c r="J1407" s="518">
        <f ca="1">CokingRefineryCalcs!J1404*'Emission Factors'!$F$269*'Emission Factors'!$F$281/'Energy &amp; Unit Conversions'!$E$93</f>
        <v>0</v>
      </c>
      <c r="K1407" s="518">
        <f ca="1">CokingRefineryCalcs!K1404*'Emission Factors'!$F$269*'Emission Factors'!$F$281/'Energy &amp; Unit Conversions'!$E$93</f>
        <v>0</v>
      </c>
      <c r="L1407" s="518">
        <f ca="1">CokingRefineryCalcs!L1404*'Emission Factors'!$F$269*'Emission Factors'!$F$281/'Energy &amp; Unit Conversions'!$E$93</f>
        <v>0</v>
      </c>
      <c r="M1407" s="518">
        <f ca="1">CokingRefineryCalcs!M1404*'Emission Factors'!$F$269*'Emission Factors'!$F$281/'Energy &amp; Unit Conversions'!$E$93</f>
        <v>0</v>
      </c>
      <c r="N1407" s="518">
        <f ca="1">CokingRefineryCalcs!N1404*'Emission Factors'!$F$269*'Emission Factors'!$F$281/'Energy &amp; Unit Conversions'!$E$93</f>
        <v>0</v>
      </c>
      <c r="O1407" s="518">
        <f ca="1">CokingRefineryCalcs!O1404*'Emission Factors'!$F$269*'Emission Factors'!$F$281/'Energy &amp; Unit Conversions'!$E$93</f>
        <v>0</v>
      </c>
      <c r="P1407" s="518">
        <f ca="1">CokingRefineryCalcs!P1404*'Emission Factors'!$F$269*'Emission Factors'!$F$281/'Energy &amp; Unit Conversions'!$E$93</f>
        <v>0</v>
      </c>
      <c r="Q1407" s="520">
        <f ca="1">CokingRefineryCalcs!Q1404*'Emission Factors'!$F$269*'Emission Factors'!$F$281/'Energy &amp; Unit Conversions'!$E$93</f>
        <v>57.663999999999994</v>
      </c>
      <c r="R1407" s="2109"/>
      <c r="S1407" s="346"/>
      <c r="T1407" s="341"/>
      <c r="U1407" s="511"/>
      <c r="V1407" s="511"/>
      <c r="W1407" s="511"/>
      <c r="X1407" s="342"/>
      <c r="Y1407" s="342"/>
      <c r="Z1407" s="342"/>
      <c r="AA1407" s="342"/>
    </row>
    <row r="1408" spans="1:27" ht="26.25" x14ac:dyDescent="0.2">
      <c r="A1408" s="341"/>
      <c r="B1408" s="345"/>
      <c r="C1408" s="517" t="str">
        <f>'Emission Factors'!G267</f>
        <v>Oil/Water separators</v>
      </c>
      <c r="D1408" s="518">
        <f ca="1">CokingRefineryCalcs!D1404*'Emission Factors'!$G$269*'Emission Factors'!$G$281/'Energy &amp; Unit Conversions'!$E$93</f>
        <v>0.15826399535210678</v>
      </c>
      <c r="E1408" s="519">
        <f ca="1">CokingRefineryCalcs!E1404*'Emission Factors'!$G$269*'Emission Factors'!$G$281/'Energy &amp; Unit Conversions'!$E$93</f>
        <v>0.17091463055259193</v>
      </c>
      <c r="F1408" s="518">
        <f ca="1">CokingRefineryCalcs!F1404*'Emission Factors'!$G$269*'Emission Factors'!$G$281/'Energy &amp; Unit Conversions'!$E$93</f>
        <v>8.1677374095301375E-2</v>
      </c>
      <c r="G1408" s="518">
        <f ca="1">CokingRefineryCalcs!G1404*'Emission Factors'!$G$269*'Emission Factors'!$G$281/'Energy &amp; Unit Conversions'!$E$93</f>
        <v>0</v>
      </c>
      <c r="H1408" s="518">
        <f ca="1">CokingRefineryCalcs!H1404*'Emission Factors'!$G$269*'Emission Factors'!$G$281/'Energy &amp; Unit Conversions'!$E$93</f>
        <v>0</v>
      </c>
      <c r="I1408" s="518">
        <f ca="1">CokingRefineryCalcs!I1404*'Emission Factors'!$G$269*'Emission Factors'!$G$281/'Energy &amp; Unit Conversions'!$E$93</f>
        <v>0</v>
      </c>
      <c r="J1408" s="518">
        <f ca="1">CokingRefineryCalcs!J1404*'Emission Factors'!$G$269*'Emission Factors'!$G$281/'Energy &amp; Unit Conversions'!$E$93</f>
        <v>0</v>
      </c>
      <c r="K1408" s="518">
        <f ca="1">CokingRefineryCalcs!K1404*'Emission Factors'!$G$269*'Emission Factors'!$G$281/'Energy &amp; Unit Conversions'!$E$93</f>
        <v>0</v>
      </c>
      <c r="L1408" s="518">
        <f ca="1">CokingRefineryCalcs!L1404*'Emission Factors'!$G$269*'Emission Factors'!$G$281/'Energy &amp; Unit Conversions'!$E$93</f>
        <v>0</v>
      </c>
      <c r="M1408" s="518">
        <f ca="1">CokingRefineryCalcs!M1404*'Emission Factors'!$G$269*'Emission Factors'!$G$281/'Energy &amp; Unit Conversions'!$E$93</f>
        <v>0</v>
      </c>
      <c r="N1408" s="518">
        <f ca="1">CokingRefineryCalcs!N1404*'Emission Factors'!$G$269*'Emission Factors'!$G$281/'Energy &amp; Unit Conversions'!$E$93</f>
        <v>0</v>
      </c>
      <c r="O1408" s="518">
        <f ca="1">CokingRefineryCalcs!O1404*'Emission Factors'!$G$269*'Emission Factors'!$G$281/'Energy &amp; Unit Conversions'!$E$93</f>
        <v>0</v>
      </c>
      <c r="P1408" s="518">
        <f ca="1">CokingRefineryCalcs!P1404*'Emission Factors'!$G$269*'Emission Factors'!$G$281/'Energy &amp; Unit Conversions'!$E$93</f>
        <v>0</v>
      </c>
      <c r="Q1408" s="520">
        <f ca="1">CokingRefineryCalcs!Q1404*'Emission Factors'!$G$269*'Emission Factors'!$G$281/'Energy &amp; Unit Conversions'!$E$93</f>
        <v>0.410856</v>
      </c>
      <c r="R1408" s="2109"/>
      <c r="S1408" s="346"/>
      <c r="T1408" s="341"/>
      <c r="U1408" s="511"/>
      <c r="V1408" s="511"/>
      <c r="W1408" s="511"/>
      <c r="X1408" s="342"/>
      <c r="Y1408" s="342"/>
      <c r="Z1408" s="342"/>
      <c r="AA1408" s="342"/>
    </row>
    <row r="1409" spans="1:27" ht="26.25" x14ac:dyDescent="0.2">
      <c r="A1409" s="341"/>
      <c r="B1409" s="345"/>
      <c r="C1409" s="517"/>
      <c r="D1409" s="518"/>
      <c r="E1409" s="519"/>
      <c r="F1409" s="518"/>
      <c r="G1409" s="518"/>
      <c r="H1409" s="518"/>
      <c r="I1409" s="518"/>
      <c r="J1409" s="518"/>
      <c r="K1409" s="518"/>
      <c r="L1409" s="518"/>
      <c r="M1409" s="518"/>
      <c r="N1409" s="518"/>
      <c r="O1409" s="518"/>
      <c r="P1409" s="518"/>
      <c r="Q1409" s="520"/>
      <c r="R1409" s="2109"/>
      <c r="S1409" s="346"/>
      <c r="T1409" s="341"/>
      <c r="U1409" s="511"/>
      <c r="V1409" s="511"/>
      <c r="W1409" s="511"/>
      <c r="X1409" s="342"/>
      <c r="Y1409" s="342"/>
      <c r="Z1409" s="342"/>
      <c r="AA1409" s="342"/>
    </row>
    <row r="1410" spans="1:27" ht="26.25" x14ac:dyDescent="0.2">
      <c r="A1410" s="341"/>
      <c r="B1410" s="345"/>
      <c r="C1410" s="487" t="s">
        <v>18</v>
      </c>
      <c r="D1410" s="551">
        <f t="shared" ref="D1410:Q1410" ca="1" si="334">SUM(D1404:D1408)</f>
        <v>93848.444260330536</v>
      </c>
      <c r="E1410" s="552">
        <f t="shared" ca="1" si="334"/>
        <v>101350.10267498839</v>
      </c>
      <c r="F1410" s="551">
        <f t="shared" ca="1" si="334"/>
        <v>48433.596492109646</v>
      </c>
      <c r="G1410" s="551">
        <f t="shared" ca="1" si="334"/>
        <v>0</v>
      </c>
      <c r="H1410" s="551">
        <f t="shared" ca="1" si="334"/>
        <v>0</v>
      </c>
      <c r="I1410" s="551">
        <f t="shared" ca="1" si="334"/>
        <v>0</v>
      </c>
      <c r="J1410" s="551">
        <f t="shared" ca="1" si="334"/>
        <v>0</v>
      </c>
      <c r="K1410" s="551">
        <f t="shared" ca="1" si="334"/>
        <v>0</v>
      </c>
      <c r="L1410" s="551">
        <f t="shared" ref="L1410" ca="1" si="335">SUM(L1404:L1408)</f>
        <v>0</v>
      </c>
      <c r="M1410" s="551">
        <f t="shared" ca="1" si="334"/>
        <v>0</v>
      </c>
      <c r="N1410" s="551">
        <f t="shared" ref="N1410:P1410" ca="1" si="336">SUM(N1404:N1408)</f>
        <v>0</v>
      </c>
      <c r="O1410" s="551">
        <f t="shared" ca="1" si="336"/>
        <v>0</v>
      </c>
      <c r="P1410" s="551">
        <f t="shared" ca="1" si="336"/>
        <v>0</v>
      </c>
      <c r="Q1410" s="553">
        <f t="shared" ca="1" si="334"/>
        <v>243632.14342742853</v>
      </c>
      <c r="R1410" s="2109"/>
      <c r="S1410" s="346"/>
      <c r="T1410" s="341"/>
      <c r="U1410" s="511"/>
      <c r="V1410" s="511"/>
      <c r="W1410" s="511"/>
      <c r="X1410" s="342"/>
      <c r="Y1410" s="342"/>
      <c r="Z1410" s="342"/>
      <c r="AA1410" s="342"/>
    </row>
    <row r="1411" spans="1:27" ht="26.25" x14ac:dyDescent="0.2">
      <c r="A1411" s="341"/>
      <c r="B1411" s="345"/>
      <c r="C1411" s="517"/>
      <c r="D1411" s="518"/>
      <c r="E1411" s="519"/>
      <c r="F1411" s="518"/>
      <c r="G1411" s="518"/>
      <c r="H1411" s="518"/>
      <c r="I1411" s="518"/>
      <c r="J1411" s="518"/>
      <c r="K1411" s="518"/>
      <c r="L1411" s="518"/>
      <c r="M1411" s="518"/>
      <c r="N1411" s="518"/>
      <c r="O1411" s="518"/>
      <c r="P1411" s="518"/>
      <c r="Q1411" s="520"/>
      <c r="R1411" s="2109"/>
      <c r="S1411" s="346"/>
      <c r="T1411" s="341"/>
      <c r="U1411" s="511"/>
      <c r="V1411" s="511"/>
      <c r="W1411" s="511"/>
      <c r="X1411" s="342"/>
      <c r="Y1411" s="342"/>
      <c r="Z1411" s="342"/>
      <c r="AA1411" s="342"/>
    </row>
    <row r="1412" spans="1:27" ht="26.25" x14ac:dyDescent="0.2">
      <c r="A1412" s="341"/>
      <c r="B1412" s="345"/>
      <c r="C1412" s="487" t="s">
        <v>14</v>
      </c>
      <c r="D1412" s="551">
        <f ca="1">D1410*'Energy &amp; Unit Conversions'!$E$93/D1098</f>
        <v>0.7963245809015439</v>
      </c>
      <c r="E1412" s="552">
        <f ca="1">E1410*'Energy &amp; Unit Conversions'!$E$93/E1098</f>
        <v>0.67578609517482879</v>
      </c>
      <c r="F1412" s="551">
        <f ca="1">F1410*'Energy &amp; Unit Conversions'!$E$93/F1098</f>
        <v>0.66673528001382787</v>
      </c>
      <c r="G1412" s="551">
        <f ca="1">G1410*'Energy &amp; Unit Conversions'!$E$93/G1098</f>
        <v>0</v>
      </c>
      <c r="H1412" s="551">
        <f ca="1">H1410*'Energy &amp; Unit Conversions'!$E$93/H1098</f>
        <v>0</v>
      </c>
      <c r="I1412" s="551">
        <f ca="1">I1410*'Energy &amp; Unit Conversions'!$E$93/I1098</f>
        <v>0</v>
      </c>
      <c r="J1412" s="551" t="e">
        <f ca="1">J1410*'Energy &amp; Unit Conversions'!$E$93/J1098</f>
        <v>#DIV/0!</v>
      </c>
      <c r="K1412" s="551">
        <f ca="1">IF(K1098=0,0,K1410*'Energy &amp; Unit Conversions'!$E$93/K1098)</f>
        <v>0</v>
      </c>
      <c r="L1412" s="551">
        <f ca="1">IF(L1098=0,0,L1410*'Energy &amp; Unit Conversions'!$E$93/L1098)</f>
        <v>0</v>
      </c>
      <c r="M1412" s="551">
        <f ca="1">M1410*'Energy &amp; Unit Conversions'!$E$93/M1098</f>
        <v>0</v>
      </c>
      <c r="N1412" s="551" t="e">
        <f ca="1">N1410*'Energy &amp; Unit Conversions'!$E$93/N1098</f>
        <v>#DIV/0!</v>
      </c>
      <c r="O1412" s="551" t="e">
        <f ca="1">O1410*'Energy &amp; Unit Conversions'!$E$93/O1098</f>
        <v>#DIV/0!</v>
      </c>
      <c r="P1412" s="551">
        <f ca="1">IF(P1098=0,0,P1410*'Energy &amp; Unit Conversions'!$E$93/P1098)</f>
        <v>0</v>
      </c>
      <c r="Q1412" s="553">
        <f ca="1">Q1410*'Energy &amp; Unit Conversions'!$E$93/Q1098</f>
        <v>0.42783219301414627</v>
      </c>
      <c r="R1412" s="2109"/>
      <c r="S1412" s="346"/>
      <c r="T1412" s="341"/>
      <c r="U1412" s="511"/>
      <c r="V1412" s="511"/>
      <c r="W1412" s="511"/>
      <c r="X1412" s="342"/>
      <c r="Y1412" s="342"/>
      <c r="Z1412" s="342"/>
      <c r="AA1412" s="342"/>
    </row>
    <row r="1413" spans="1:27" ht="26.25" x14ac:dyDescent="0.2">
      <c r="A1413" s="341"/>
      <c r="B1413" s="345"/>
      <c r="C1413" s="487" t="s">
        <v>12</v>
      </c>
      <c r="D1413" s="551">
        <f ca="1">D1410*'Energy &amp; Unit Conversions'!$E$93/CokingRefineryPFD!$E$95</f>
        <v>946.2661440084338</v>
      </c>
      <c r="E1413" s="552">
        <f ca="1">E1410*'Energy &amp; Unit Conversions'!$E$93/CokingRefineryPFD!$E$95</f>
        <v>1021.904748757338</v>
      </c>
      <c r="F1413" s="551">
        <f ca="1">F1410*'Energy &amp; Unit Conversions'!$E$93/CokingRefineryPFD!$E$95</f>
        <v>488.35196954268173</v>
      </c>
      <c r="G1413" s="551">
        <f ca="1">G1410*'Energy &amp; Unit Conversions'!$E$93/CokingRefineryPFD!$E$95</f>
        <v>0</v>
      </c>
      <c r="H1413" s="551">
        <f ca="1">H1410*'Energy &amp; Unit Conversions'!$E$93/CokingRefineryPFD!$E$95</f>
        <v>0</v>
      </c>
      <c r="I1413" s="551">
        <f ca="1">I1410*'Energy &amp; Unit Conversions'!$E$93/CokingRefineryPFD!$E$95</f>
        <v>0</v>
      </c>
      <c r="J1413" s="551">
        <f ca="1">J1410*'Energy &amp; Unit Conversions'!$E$93/CokingRefineryPFD!$E$95</f>
        <v>0</v>
      </c>
      <c r="K1413" s="551">
        <f ca="1">K1410*'Energy &amp; Unit Conversions'!$E$93/CokingRefineryPFD!$E$95</f>
        <v>0</v>
      </c>
      <c r="L1413" s="551">
        <f ca="1">L1410*'Energy &amp; Unit Conversions'!$E$93/CokingRefineryPFD!$E$95</f>
        <v>0</v>
      </c>
      <c r="M1413" s="551">
        <f ca="1">M1410*'Energy &amp; Unit Conversions'!$E$93/CokingRefineryPFD!$E$95</f>
        <v>0</v>
      </c>
      <c r="N1413" s="551">
        <f ca="1">N1410*'Energy &amp; Unit Conversions'!$E$93/CokingRefineryPFD!$E$95</f>
        <v>0</v>
      </c>
      <c r="O1413" s="551">
        <f ca="1">O1410*'Energy &amp; Unit Conversions'!$E$93/CokingRefineryPFD!$E$95</f>
        <v>0</v>
      </c>
      <c r="P1413" s="551">
        <f ca="1">P1410*'Energy &amp; Unit Conversions'!$E$93/CokingRefineryPFD!$E$95</f>
        <v>0</v>
      </c>
      <c r="Q1413" s="553">
        <f ca="1">Q1410*'Energy &amp; Unit Conversions'!$E$93/CokingRefineryPFD!$E$95</f>
        <v>2456.5228623084527</v>
      </c>
      <c r="R1413" s="2109"/>
      <c r="S1413" s="346"/>
      <c r="T1413" s="341"/>
      <c r="U1413" s="511"/>
      <c r="V1413" s="511"/>
      <c r="W1413" s="511"/>
      <c r="X1413" s="342"/>
      <c r="Y1413" s="342"/>
      <c r="Z1413" s="342"/>
      <c r="AA1413" s="342"/>
    </row>
    <row r="1414" spans="1:27" ht="26.25" x14ac:dyDescent="0.2">
      <c r="A1414" s="341"/>
      <c r="B1414" s="345"/>
      <c r="C1414" s="536" t="s">
        <v>13</v>
      </c>
      <c r="D1414" s="564">
        <f ca="1">D1410*'Energy &amp; Unit Conversions'!$E$93/CokingRefineryPFD!$U$111</f>
        <v>0.16800310209903258</v>
      </c>
      <c r="E1414" s="565">
        <f ca="1">E1410*'Energy &amp; Unit Conversions'!$E$93/CokingRefineryPFD!$U$111</f>
        <v>0.18143222065803413</v>
      </c>
      <c r="F1414" s="564">
        <f ca="1">F1410*'Energy &amp; Unit Conversions'!$E$93/CokingRefineryPFD!$U$111</f>
        <v>8.6703562542983212E-2</v>
      </c>
      <c r="G1414" s="564">
        <f ca="1">G1410*'Energy &amp; Unit Conversions'!$E$93/CokingRefineryPFD!$U$111</f>
        <v>0</v>
      </c>
      <c r="H1414" s="564">
        <f ca="1">H1410*'Energy &amp; Unit Conversions'!$E$93/CokingRefineryPFD!$U$111</f>
        <v>0</v>
      </c>
      <c r="I1414" s="564">
        <f ca="1">I1410*'Energy &amp; Unit Conversions'!$E$93/CokingRefineryPFD!$U$111</f>
        <v>0</v>
      </c>
      <c r="J1414" s="564">
        <f ca="1">J1410*'Energy &amp; Unit Conversions'!$E$93/CokingRefineryPFD!$U$111</f>
        <v>0</v>
      </c>
      <c r="K1414" s="564">
        <f ca="1">K1410*'Energy &amp; Unit Conversions'!$E$93/CokingRefineryPFD!$U$111</f>
        <v>0</v>
      </c>
      <c r="L1414" s="564">
        <f ca="1">L1410*'Energy &amp; Unit Conversions'!$E$93/CokingRefineryPFD!$U$111</f>
        <v>0</v>
      </c>
      <c r="M1414" s="564">
        <f ca="1">M1410*'Energy &amp; Unit Conversions'!$E$93/CokingRefineryPFD!$U$111</f>
        <v>0</v>
      </c>
      <c r="N1414" s="564">
        <f ca="1">N1410*'Energy &amp; Unit Conversions'!$E$93/CokingRefineryPFD!$U$111</f>
        <v>0</v>
      </c>
      <c r="O1414" s="564">
        <f ca="1">O1410*'Energy &amp; Unit Conversions'!$E$93/CokingRefineryPFD!$U$111</f>
        <v>0</v>
      </c>
      <c r="P1414" s="564">
        <f ca="1">P1410*'Energy &amp; Unit Conversions'!$E$93/CokingRefineryPFD!$U$111</f>
        <v>0</v>
      </c>
      <c r="Q1414" s="566">
        <f ca="1">Q1410*'Energy &amp; Unit Conversions'!$E$93/CokingRefineryPFD!$U$111</f>
        <v>0.43613888530004979</v>
      </c>
      <c r="R1414" s="2109"/>
      <c r="S1414" s="346"/>
      <c r="T1414" s="341"/>
      <c r="U1414" s="511"/>
      <c r="V1414" s="511"/>
      <c r="W1414" s="511"/>
      <c r="X1414" s="342"/>
      <c r="Y1414" s="342"/>
      <c r="Z1414" s="342"/>
      <c r="AA1414" s="342"/>
    </row>
    <row r="1415" spans="1:27" ht="26.25" x14ac:dyDescent="0.2">
      <c r="A1415" s="341"/>
      <c r="B1415" s="345"/>
      <c r="C1415" s="552"/>
      <c r="D1415" s="551"/>
      <c r="E1415" s="552"/>
      <c r="F1415" s="551"/>
      <c r="G1415" s="551"/>
      <c r="H1415" s="551"/>
      <c r="I1415" s="551"/>
      <c r="J1415" s="551"/>
      <c r="K1415" s="551"/>
      <c r="L1415" s="551"/>
      <c r="M1415" s="551"/>
      <c r="N1415" s="551"/>
      <c r="O1415" s="551"/>
      <c r="P1415" s="551"/>
      <c r="Q1415" s="2109"/>
      <c r="R1415" s="2109"/>
      <c r="S1415" s="346"/>
      <c r="T1415" s="341"/>
      <c r="U1415" s="511"/>
      <c r="V1415" s="511"/>
      <c r="W1415" s="511"/>
      <c r="X1415" s="342"/>
      <c r="Y1415" s="342"/>
      <c r="Z1415" s="342"/>
    </row>
    <row r="1416" spans="1:27" ht="26.25" x14ac:dyDescent="0.2">
      <c r="A1416" s="184"/>
      <c r="B1416" s="1824"/>
      <c r="C1416" s="438" t="s">
        <v>1885</v>
      </c>
      <c r="D1416" s="438"/>
      <c r="E1416" s="438"/>
      <c r="F1416" s="2109"/>
      <c r="G1416" s="2109"/>
      <c r="H1416" s="2109"/>
      <c r="I1416" s="2109"/>
      <c r="J1416" s="2109"/>
      <c r="K1416" s="2109"/>
      <c r="L1416" s="2109"/>
      <c r="M1416" s="2109"/>
      <c r="N1416" s="2109"/>
      <c r="O1416" s="2109"/>
      <c r="P1416" s="2109"/>
      <c r="Q1416" s="2109"/>
      <c r="R1416" s="2109"/>
      <c r="S1416" s="1626"/>
      <c r="T1416" s="341"/>
      <c r="U1416" s="511"/>
      <c r="V1416" s="511"/>
      <c r="W1416" s="511"/>
    </row>
    <row r="1417" spans="1:27" ht="26.25" x14ac:dyDescent="0.2">
      <c r="A1417" s="184"/>
      <c r="B1417" s="2014"/>
      <c r="C1417" s="439"/>
      <c r="D1417" s="439"/>
      <c r="E1417" s="439"/>
      <c r="F1417" s="2109"/>
      <c r="G1417" s="2109"/>
      <c r="H1417" s="2109"/>
      <c r="I1417" s="2109"/>
      <c r="J1417" s="2109"/>
      <c r="K1417" s="2109"/>
      <c r="L1417" s="2109"/>
      <c r="M1417" s="2109"/>
      <c r="N1417" s="2109"/>
      <c r="O1417" s="2109"/>
      <c r="P1417" s="329"/>
      <c r="Q1417" s="329"/>
      <c r="R1417" s="329"/>
      <c r="S1417" s="1626"/>
      <c r="T1417" s="341"/>
      <c r="U1417" s="511"/>
      <c r="V1417" s="511"/>
      <c r="W1417" s="511"/>
    </row>
    <row r="1418" spans="1:27" ht="12.75" customHeight="1" x14ac:dyDescent="0.2">
      <c r="A1418" s="184"/>
      <c r="B1418" s="1632"/>
      <c r="C1418" s="2124" t="s">
        <v>1859</v>
      </c>
      <c r="D1418" s="1039"/>
      <c r="E1418" s="2435" t="s">
        <v>1850</v>
      </c>
      <c r="F1418" s="2435"/>
      <c r="G1418" s="2435"/>
      <c r="H1418" s="2435"/>
      <c r="I1418" s="2435"/>
      <c r="J1418" s="2435"/>
      <c r="K1418" s="2435"/>
      <c r="L1418" s="2435"/>
      <c r="M1418" s="2436"/>
      <c r="N1418" s="329"/>
      <c r="O1418" s="329"/>
      <c r="P1418" s="329"/>
      <c r="Q1418" s="329"/>
      <c r="R1418" s="329"/>
      <c r="S1418" s="1626"/>
      <c r="T1418" s="341"/>
      <c r="U1418" s="511"/>
      <c r="V1418" s="511"/>
      <c r="W1418" s="511"/>
    </row>
    <row r="1419" spans="1:27" ht="12.75" customHeight="1" x14ac:dyDescent="0.2">
      <c r="A1419" s="184"/>
      <c r="B1419" s="1632"/>
      <c r="C1419" s="2023" t="s">
        <v>170</v>
      </c>
      <c r="D1419" s="2123" t="s">
        <v>1843</v>
      </c>
      <c r="E1419" s="2123" t="s">
        <v>258</v>
      </c>
      <c r="F1419" s="2123" t="s">
        <v>1829</v>
      </c>
      <c r="G1419" s="2123" t="s">
        <v>1830</v>
      </c>
      <c r="H1419" s="2123" t="s">
        <v>1831</v>
      </c>
      <c r="I1419" s="2123" t="s">
        <v>1832</v>
      </c>
      <c r="J1419" s="2123" t="s">
        <v>1833</v>
      </c>
      <c r="K1419" s="2123" t="s">
        <v>1834</v>
      </c>
      <c r="L1419" s="2123" t="s">
        <v>1835</v>
      </c>
      <c r="M1419" s="2125" t="s">
        <v>849</v>
      </c>
      <c r="N1419" s="2108"/>
      <c r="O1419" s="2108"/>
      <c r="P1419" s="329"/>
      <c r="Q1419" s="329"/>
      <c r="R1419" s="329"/>
      <c r="S1419" s="1626"/>
      <c r="T1419" s="341"/>
      <c r="U1419" s="511"/>
      <c r="V1419" s="511"/>
      <c r="W1419" s="511"/>
    </row>
    <row r="1420" spans="1:27" ht="12.75" customHeight="1" x14ac:dyDescent="0.2">
      <c r="A1420" s="184"/>
      <c r="B1420" s="1632"/>
      <c r="C1420" s="1996" t="s">
        <v>539</v>
      </c>
      <c r="D1420" s="1997">
        <f ca="1">H200</f>
        <v>219014.26865078407</v>
      </c>
      <c r="E1420" s="1998">
        <f ca="1">IF(Constants!D372&lt;&gt;"", $D1420*Constants!D372/100, 0)</f>
        <v>32328.257973422558</v>
      </c>
      <c r="F1420" s="1998">
        <f ca="1">IF(Constants!E372&lt;&gt;"", $D1420*Constants!E372/100, 0)</f>
        <v>14518.678730578993</v>
      </c>
      <c r="G1420" s="1998">
        <f ca="1">IF(Constants!F372&lt;&gt;"", $D1420*Constants!F372/100, 0)</f>
        <v>61172.033051506151</v>
      </c>
      <c r="H1420" s="1998">
        <f ca="1">IF(Constants!G372&lt;&gt;"", $D1420*Constants!G372/100, 0)</f>
        <v>9063.8037218043119</v>
      </c>
      <c r="I1420" s="1998">
        <f ca="1">IF(Constants!H372&lt;&gt;"", $D1420*Constants!H372/100, 0)</f>
        <v>71563.258828677688</v>
      </c>
      <c r="J1420" s="1998">
        <f>IF(Constants!I372&lt;&gt;"", $D1420*Constants!I372/100, 0)</f>
        <v>0</v>
      </c>
      <c r="K1420" s="1998">
        <f ca="1">IF(Constants!J372&lt;&gt;"", $D1420*Constants!J372/100, 0)</f>
        <v>30368.23634479439</v>
      </c>
      <c r="L1420" s="1998">
        <f>IF(Constants!K372&lt;&gt;"", $D1420*Constants!K372/100, 0)</f>
        <v>0</v>
      </c>
      <c r="M1420" s="1999">
        <f>IF(Constants!L372&lt;&gt;"", $D1420*Constants!L372/100, 0)</f>
        <v>0</v>
      </c>
      <c r="N1420" s="2108"/>
      <c r="O1420" s="2108"/>
      <c r="P1420" s="329"/>
      <c r="Q1420" s="329"/>
      <c r="R1420" s="329"/>
      <c r="S1420" s="1626"/>
      <c r="T1420" s="341"/>
      <c r="U1420" s="511"/>
      <c r="V1420" s="511"/>
      <c r="W1420" s="511"/>
    </row>
    <row r="1421" spans="1:27" ht="12.75" customHeight="1" x14ac:dyDescent="0.2">
      <c r="A1421" s="184"/>
      <c r="B1421" s="1632"/>
      <c r="C1421" s="1984" t="s">
        <v>172</v>
      </c>
      <c r="D1421" s="1997">
        <f ca="1">L988</f>
        <v>8544.5148145949242</v>
      </c>
      <c r="E1421" s="1998">
        <f>IF(Constants!D373&lt;&gt;"", $D1421*Constants!D373/100, 0)</f>
        <v>0</v>
      </c>
      <c r="F1421" s="1998">
        <f>IF(Constants!E373&lt;&gt;"", $D1421*Constants!E373/100, 0)</f>
        <v>0</v>
      </c>
      <c r="G1421" s="1998">
        <f>IF(Constants!F373&lt;&gt;"", $D1421*Constants!F373/100, 0)</f>
        <v>0</v>
      </c>
      <c r="H1421" s="1998">
        <f>IF(Constants!G373&lt;&gt;"", $D1421*Constants!G373/100, 0)</f>
        <v>0</v>
      </c>
      <c r="I1421" s="1998">
        <f ca="1">IF(Constants!H373&lt;&gt;"", $D1421*Constants!H373/100, 0)</f>
        <v>1115.7907910815741</v>
      </c>
      <c r="J1421" s="1998">
        <f>IF(Constants!I373&lt;&gt;"", $D1421*Constants!I373/100, 0)</f>
        <v>0</v>
      </c>
      <c r="K1421" s="1998">
        <f ca="1">IF(Constants!J373&lt;&gt;"", $D1421*Constants!J373/100, 0)</f>
        <v>4464.3489143699535</v>
      </c>
      <c r="L1421" s="1998">
        <f ca="1">IF(Constants!K373&lt;&gt;"", $D1421*Constants!K373/100, 0)</f>
        <v>2964.3751091433965</v>
      </c>
      <c r="M1421" s="1999">
        <f>IF(Constants!L373&lt;&gt;"", $D1421*Constants!L373/100, 0)</f>
        <v>0</v>
      </c>
      <c r="N1421" s="2108"/>
      <c r="O1421" s="2108"/>
      <c r="P1421" s="329"/>
      <c r="Q1421" s="329"/>
      <c r="R1421" s="329"/>
      <c r="S1421" s="1626"/>
      <c r="T1421" s="341"/>
      <c r="U1421" s="511"/>
      <c r="V1421" s="511"/>
      <c r="W1421" s="511"/>
    </row>
    <row r="1422" spans="1:27" ht="12.75" customHeight="1" x14ac:dyDescent="0.2">
      <c r="A1422" s="184"/>
      <c r="B1422" s="1632"/>
      <c r="C1422" s="1984" t="s">
        <v>1801</v>
      </c>
      <c r="D1422" s="1997">
        <f ca="1">D153</f>
        <v>4314.1135318237602</v>
      </c>
      <c r="E1422" s="1998">
        <f ca="1">IF(Constants!D374&lt;&gt;"", $D1422*Constants!D374/100, 0)</f>
        <v>235.2184691224501</v>
      </c>
      <c r="F1422" s="1998">
        <f>IF(Constants!E374&lt;&gt;"", $D1422*Constants!E374/100, 0)</f>
        <v>0</v>
      </c>
      <c r="G1422" s="1998">
        <f ca="1">IF(Constants!F374&lt;&gt;"", $D1422*Constants!F374/100, 0)</f>
        <v>445.08404935745051</v>
      </c>
      <c r="H1422" s="1998">
        <f>IF(Constants!G374&lt;&gt;"", $D1422*Constants!G374/100, 0)</f>
        <v>0</v>
      </c>
      <c r="I1422" s="1998">
        <f ca="1">IF(Constants!H374&lt;&gt;"", $D1422*Constants!H374/100, 0)</f>
        <v>1224.5445332638208</v>
      </c>
      <c r="J1422" s="1998">
        <f>IF(Constants!I374&lt;&gt;"", $D1422*Constants!I374/100, 0)</f>
        <v>0</v>
      </c>
      <c r="K1422" s="1998">
        <f ca="1">IF(Constants!J374&lt;&gt;"", $D1422*Constants!J374/100, 0)</f>
        <v>982.29046570756361</v>
      </c>
      <c r="L1422" s="1998">
        <f ca="1">IF(Constants!K374&lt;&gt;"", $D1422*Constants!K374/100, 0)</f>
        <v>1426.9760143724748</v>
      </c>
      <c r="M1422" s="1999">
        <f>IF(Constants!L374&lt;&gt;"", $D1422*Constants!L374/100, 0)</f>
        <v>0</v>
      </c>
      <c r="N1422" s="2108"/>
      <c r="O1422" s="2108"/>
      <c r="P1422" s="329"/>
      <c r="Q1422" s="329"/>
      <c r="R1422" s="329"/>
      <c r="S1422" s="1626"/>
      <c r="T1422" s="341"/>
      <c r="U1422" s="511"/>
      <c r="V1422" s="511"/>
      <c r="W1422" s="511"/>
    </row>
    <row r="1423" spans="1:27" ht="12.75" customHeight="1" x14ac:dyDescent="0.2">
      <c r="A1423" s="184"/>
      <c r="B1423" s="1632"/>
      <c r="C1423" s="1984" t="s">
        <v>1838</v>
      </c>
      <c r="D1423" s="1997">
        <f ca="1">D281</f>
        <v>7214.4939445638938</v>
      </c>
      <c r="E1423" s="1998">
        <f ca="1">IF(Constants!D375&lt;&gt;"", $D1423*Constants!D375/100, 0)</f>
        <v>424.50623034465536</v>
      </c>
      <c r="F1423" s="1998">
        <f>IF(Constants!E375&lt;&gt;"", $D1423*Constants!E375/100, 0)</f>
        <v>0</v>
      </c>
      <c r="G1423" s="1998">
        <f ca="1">IF(Constants!F375&lt;&gt;"", $D1423*Constants!F375/100, 0)</f>
        <v>424.50623034465536</v>
      </c>
      <c r="H1423" s="1998">
        <f>IF(Constants!G375&lt;&gt;"", $D1423*Constants!G375/100, 0)</f>
        <v>0</v>
      </c>
      <c r="I1423" s="1998">
        <f ca="1">IF(Constants!H375&lt;&gt;"", $D1423*Constants!H375/100, 0)</f>
        <v>1532.4463718312534</v>
      </c>
      <c r="J1423" s="1998">
        <f>IF(Constants!I375&lt;&gt;"", $D1423*Constants!I375/100, 0)</f>
        <v>0</v>
      </c>
      <c r="K1423" s="1998">
        <f ca="1">IF(Constants!J375&lt;&gt;"", $D1423*Constants!J375/100, 0)</f>
        <v>3192.4558098954276</v>
      </c>
      <c r="L1423" s="1998">
        <f ca="1">IF(Constants!K375&lt;&gt;"", $D1423*Constants!K375/100, 0)</f>
        <v>1640.5793021479019</v>
      </c>
      <c r="M1423" s="1999">
        <f>IF(Constants!L375&lt;&gt;"", $D1423*Constants!L375/100, 0)</f>
        <v>0</v>
      </c>
      <c r="N1423" s="2108"/>
      <c r="O1423" s="2108"/>
      <c r="P1423" s="329"/>
      <c r="Q1423" s="329"/>
      <c r="R1423" s="329"/>
      <c r="S1423" s="1626"/>
      <c r="T1423" s="341"/>
      <c r="U1423" s="511"/>
      <c r="V1423" s="511"/>
      <c r="W1423" s="511"/>
    </row>
    <row r="1424" spans="1:27" ht="12.75" customHeight="1" x14ac:dyDescent="0.2">
      <c r="A1424" s="184"/>
      <c r="B1424" s="1632"/>
      <c r="C1424" s="1984" t="s">
        <v>1839</v>
      </c>
      <c r="D1424" s="1997">
        <f ca="1">L982</f>
        <v>3.6555541191970266E-8</v>
      </c>
      <c r="E1424" s="1998">
        <f ca="1">IF(Constants!D376&lt;&gt;"", $D1424*Constants!D376/100, 0)</f>
        <v>1.6333679082853272E-8</v>
      </c>
      <c r="F1424" s="1998">
        <f ca="1">IF(Constants!E376&lt;&gt;"", $D1424*Constants!E376/100, 0)</f>
        <v>1.3542433141011461E-9</v>
      </c>
      <c r="G1424" s="1998">
        <f ca="1">IF(Constants!F376&lt;&gt;"", $D1424*Constants!F376/100, 0)</f>
        <v>7.6078379956615492E-9</v>
      </c>
      <c r="H1424" s="1998">
        <f ca="1">IF(Constants!G376&lt;&gt;"", $D1424*Constants!G376/100, 0)</f>
        <v>1.3151207294715576E-9</v>
      </c>
      <c r="I1424" s="1998">
        <f ca="1">IF(Constants!H376&lt;&gt;"", $D1424*Constants!H376/100, 0)</f>
        <v>4.9557781722134716E-9</v>
      </c>
      <c r="J1424" s="1998">
        <f ca="1">IF(Constants!I376&lt;&gt;"", $D1424*Constants!I376/100, 0)</f>
        <v>9.4195146069701953E-10</v>
      </c>
      <c r="K1424" s="1998">
        <f ca="1">IF(Constants!J376&lt;&gt;"", $D1424*Constants!J376/100, 0)</f>
        <v>2.8326255986615633E-9</v>
      </c>
      <c r="L1424" s="1998">
        <f>IF(Constants!K376&lt;&gt;"", $D1424*Constants!K376/100, 0)</f>
        <v>0</v>
      </c>
      <c r="M1424" s="1999">
        <f ca="1">IF(Constants!L376&lt;&gt;"", $D1424*Constants!L376/100, 0)</f>
        <v>1.2143048383106942E-9</v>
      </c>
      <c r="N1424" s="2108"/>
      <c r="O1424" s="2108"/>
      <c r="P1424" s="329"/>
      <c r="Q1424" s="329"/>
      <c r="R1424" s="329"/>
      <c r="S1424" s="1626"/>
      <c r="T1424" s="341"/>
      <c r="U1424" s="511"/>
      <c r="V1424" s="511"/>
      <c r="W1424" s="511"/>
    </row>
    <row r="1425" spans="1:23" ht="12.75" customHeight="1" x14ac:dyDescent="0.2">
      <c r="A1425" s="184"/>
      <c r="B1425" s="1632"/>
      <c r="C1425" s="1984" t="s">
        <v>1799</v>
      </c>
      <c r="D1425" s="1997">
        <f ca="1">D343</f>
        <v>3515.4639126487614</v>
      </c>
      <c r="E1425" s="1998">
        <f ca="1">IF(Constants!D377&lt;&gt;"", $D1425*Constants!D377/100, 0)</f>
        <v>206.85253115995346</v>
      </c>
      <c r="F1425" s="1998">
        <f>IF(Constants!E377&lt;&gt;"", $D1425*Constants!E377/100, 0)</f>
        <v>0</v>
      </c>
      <c r="G1425" s="1998">
        <f ca="1">IF(Constants!F377&lt;&gt;"", $D1425*Constants!F377/100, 0)</f>
        <v>206.85253115995346</v>
      </c>
      <c r="H1425" s="1998">
        <f>IF(Constants!G377&lt;&gt;"", $D1425*Constants!G377/100, 0)</f>
        <v>0</v>
      </c>
      <c r="I1425" s="1998">
        <f ca="1">IF(Constants!H377&lt;&gt;"", $D1425*Constants!H377/100, 0)</f>
        <v>746.72734631672768</v>
      </c>
      <c r="J1425" s="1998">
        <f>IF(Constants!I377&lt;&gt;"", $D1425*Constants!I377/100, 0)</f>
        <v>0</v>
      </c>
      <c r="K1425" s="1998">
        <f ca="1">IF(Constants!J377&lt;&gt;"", $D1425*Constants!J377/100, 0)</f>
        <v>1555.6133636884856</v>
      </c>
      <c r="L1425" s="1998">
        <f ca="1">IF(Constants!K377&lt;&gt;"", $D1425*Constants!K377/100, 0)</f>
        <v>799.41814032364096</v>
      </c>
      <c r="M1425" s="1999">
        <f>IF(Constants!L377&lt;&gt;"", $D1425*Constants!L377/100, 0)</f>
        <v>0</v>
      </c>
      <c r="N1425" s="2108"/>
      <c r="O1425" s="2108"/>
      <c r="P1425" s="329"/>
      <c r="Q1425" s="329"/>
      <c r="R1425" s="329"/>
      <c r="S1425" s="1626"/>
      <c r="T1425" s="341"/>
      <c r="U1425" s="511"/>
      <c r="V1425" s="511"/>
      <c r="W1425" s="511"/>
    </row>
    <row r="1426" spans="1:23" ht="12.75" customHeight="1" x14ac:dyDescent="0.2">
      <c r="A1426" s="184"/>
      <c r="B1426" s="1632"/>
      <c r="C1426" s="1996" t="s">
        <v>473</v>
      </c>
      <c r="D1426" s="1997">
        <f ca="1">L983</f>
        <v>9.3585669599724856E-16</v>
      </c>
      <c r="E1426" s="1998">
        <f ca="1">IF(Constants!D378&lt;&gt;"", $D1426*Constants!D378/100, 0)</f>
        <v>2.0606585016107526E-16</v>
      </c>
      <c r="F1426" s="1998">
        <f ca="1">IF(Constants!E378&lt;&gt;"", $D1426*Constants!E378/100, 0)</f>
        <v>2.7763363045653848E-17</v>
      </c>
      <c r="G1426" s="1998">
        <f ca="1">IF(Constants!F378&lt;&gt;"", $D1426*Constants!F378/100, 0)</f>
        <v>2.047085301899544E-16</v>
      </c>
      <c r="H1426" s="1998">
        <f ca="1">IF(Constants!G378&lt;&gt;"", $D1426*Constants!G378/100, 0)</f>
        <v>1.3480655167723039E-17</v>
      </c>
      <c r="I1426" s="1998">
        <f ca="1">IF(Constants!H378&lt;&gt;"", $D1426*Constants!H378/100, 0)</f>
        <v>3.4833766167947026E-16</v>
      </c>
      <c r="J1426" s="1998">
        <f>IF(Constants!I378&lt;&gt;"", $D1426*Constants!I378/100, 0)</f>
        <v>0</v>
      </c>
      <c r="K1426" s="1998">
        <f ca="1">IF(Constants!J378&lt;&gt;"", $D1426*Constants!J378/100, 0)</f>
        <v>1.355006357533717E-16</v>
      </c>
      <c r="L1426" s="1998">
        <f>IF(Constants!K378&lt;&gt;"", $D1426*Constants!K378/100, 0)</f>
        <v>0</v>
      </c>
      <c r="M1426" s="1999">
        <f>IF(Constants!L378&lt;&gt;"", $D1426*Constants!L378/100, 0)</f>
        <v>0</v>
      </c>
      <c r="N1426" s="2108"/>
      <c r="O1426" s="2108"/>
      <c r="P1426" s="329"/>
      <c r="Q1426" s="329"/>
      <c r="R1426" s="329"/>
      <c r="S1426" s="1626"/>
      <c r="T1426" s="341"/>
      <c r="U1426" s="511"/>
      <c r="V1426" s="511"/>
      <c r="W1426" s="511"/>
    </row>
    <row r="1427" spans="1:23" ht="12.75" customHeight="1" x14ac:dyDescent="0.2">
      <c r="A1427" s="184"/>
      <c r="B1427" s="1632"/>
      <c r="C1427" s="1984" t="s">
        <v>1840</v>
      </c>
      <c r="D1427" s="1997">
        <f ca="1">D945</f>
        <v>3.0004839823245577E-18</v>
      </c>
      <c r="E1427" s="1998">
        <f ca="1">IF(Constants!D379&lt;&gt;"", $D1427*Constants!D379/100, 0)</f>
        <v>1.6359542783067564E-19</v>
      </c>
      <c r="F1427" s="1998">
        <f>IF(Constants!E379&lt;&gt;"", $D1427*Constants!E379/100, 0)</f>
        <v>0</v>
      </c>
      <c r="G1427" s="1998">
        <f ca="1">IF(Constants!F379&lt;&gt;"", $D1427*Constants!F379/100, 0)</f>
        <v>3.0955781553588917E-19</v>
      </c>
      <c r="H1427" s="1998">
        <f>IF(Constants!G379&lt;&gt;"", $D1427*Constants!G379/100, 0)</f>
        <v>0</v>
      </c>
      <c r="I1427" s="1998">
        <f ca="1">IF(Constants!H379&lt;&gt;"", $D1427*Constants!H379/100, 0)</f>
        <v>8.5167583805981654E-19</v>
      </c>
      <c r="J1427" s="1998">
        <f>IF(Constants!I379&lt;&gt;"", $D1427*Constants!I379/100, 0)</f>
        <v>0</v>
      </c>
      <c r="K1427" s="1998">
        <f ca="1">IF(Constants!J379&lt;&gt;"", $D1427*Constants!J379/100, 0)</f>
        <v>6.8318712212928372E-19</v>
      </c>
      <c r="L1427" s="1998">
        <f ca="1">IF(Constants!K379&lt;&gt;"", $D1427*Constants!K379/100, 0)</f>
        <v>9.9246777876889234E-19</v>
      </c>
      <c r="M1427" s="1999">
        <f>IF(Constants!L379&lt;&gt;"", $D1427*Constants!L379/100, 0)</f>
        <v>0</v>
      </c>
      <c r="N1427" s="2108"/>
      <c r="O1427" s="2108"/>
      <c r="P1427" s="329"/>
      <c r="Q1427" s="329"/>
      <c r="R1427" s="329"/>
      <c r="S1427" s="1626"/>
      <c r="T1427" s="341"/>
      <c r="U1427" s="511"/>
      <c r="V1427" s="511"/>
      <c r="W1427" s="511"/>
    </row>
    <row r="1428" spans="1:23" ht="12.75" customHeight="1" x14ac:dyDescent="0.2">
      <c r="A1428" s="184"/>
      <c r="B1428" s="1632"/>
      <c r="C1428" s="1984" t="s">
        <v>1841</v>
      </c>
      <c r="D1428" s="1997">
        <f ca="1">D688</f>
        <v>5.1664320492357097E-17</v>
      </c>
      <c r="E1428" s="1998">
        <f ca="1">IF(Constants!D380&lt;&gt;"", $D1428*Constants!D380/100, 0)</f>
        <v>2.9093292733874028E-18</v>
      </c>
      <c r="F1428" s="1998">
        <f>IF(Constants!E380&lt;&gt;"", $D1428*Constants!E380/100, 0)</f>
        <v>0</v>
      </c>
      <c r="G1428" s="1998">
        <f ca="1">IF(Constants!F380&lt;&gt;"", $D1428*Constants!F380/100, 0)</f>
        <v>5.5050781460504145E-18</v>
      </c>
      <c r="H1428" s="1998">
        <f>IF(Constants!G380&lt;&gt;"", $D1428*Constants!G380/100, 0)</f>
        <v>0</v>
      </c>
      <c r="I1428" s="1998">
        <f ca="1">IF(Constants!H380&lt;&gt;"", $D1428*Constants!H380/100, 0)</f>
        <v>1.0410448743579393E-17</v>
      </c>
      <c r="J1428" s="1998">
        <f>IF(Constants!I380&lt;&gt;"", $D1428*Constants!I380/100, 0)</f>
        <v>0</v>
      </c>
      <c r="K1428" s="1998">
        <f ca="1">IF(Constants!J380&lt;&gt;"", $D1428*Constants!J380/100, 0)</f>
        <v>2.1695488032012348E-17</v>
      </c>
      <c r="L1428" s="1998">
        <f ca="1">IF(Constants!K380&lt;&gt;"", $D1428*Constants!K380/100, 0)</f>
        <v>1.1143976297327534E-17</v>
      </c>
      <c r="M1428" s="1999">
        <f>IF(Constants!L380&lt;&gt;"", $D1428*Constants!L380/100, 0)</f>
        <v>0</v>
      </c>
      <c r="N1428" s="2108"/>
      <c r="O1428" s="2108"/>
      <c r="P1428" s="329"/>
      <c r="Q1428" s="329"/>
      <c r="R1428" s="329"/>
      <c r="S1428" s="1626"/>
      <c r="T1428" s="341"/>
      <c r="U1428" s="511"/>
      <c r="V1428" s="511"/>
      <c r="W1428" s="511"/>
    </row>
    <row r="1429" spans="1:23" ht="12.75" customHeight="1" x14ac:dyDescent="0.2">
      <c r="A1429" s="184"/>
      <c r="B1429" s="1632"/>
      <c r="C1429" s="1984" t="s">
        <v>531</v>
      </c>
      <c r="D1429" s="1997">
        <f ca="1">L986</f>
        <v>9.4845461792606004E-16</v>
      </c>
      <c r="E1429" s="1998">
        <f ca="1">IF(Constants!D381&lt;&gt;"", $D1429*Constants!D381/100, 0)</f>
        <v>1.7718765545775691E-16</v>
      </c>
      <c r="F1429" s="1998">
        <f ca="1">IF(Constants!E381&lt;&gt;"", $D1429*Constants!E381/100, 0)</f>
        <v>6.9628382571349072E-17</v>
      </c>
      <c r="G1429" s="1998">
        <f ca="1">IF(Constants!F381&lt;&gt;"", $D1429*Constants!F381/100, 0)</f>
        <v>9.4296723825198459E-17</v>
      </c>
      <c r="H1429" s="1998">
        <f ca="1">IF(Constants!G381&lt;&gt;"", $D1429*Constants!G381/100, 0)</f>
        <v>2.173400227405682E-16</v>
      </c>
      <c r="I1429" s="1998">
        <f ca="1">IF(Constants!H381&lt;&gt;"", $D1429*Constants!H381/100, 0)</f>
        <v>3.9000183333118733E-16</v>
      </c>
      <c r="J1429" s="1998">
        <f>IF(Constants!I381&lt;&gt;"", $D1429*Constants!I381/100, 0)</f>
        <v>0</v>
      </c>
      <c r="K1429" s="1998">
        <f>IF(Constants!J381&lt;&gt;"", $D1429*Constants!J381/100, 0)</f>
        <v>0</v>
      </c>
      <c r="L1429" s="1998">
        <f>IF(Constants!K381&lt;&gt;"", $D1429*Constants!K381/100, 0)</f>
        <v>0</v>
      </c>
      <c r="M1429" s="1999">
        <f>IF(Constants!L381&lt;&gt;"", $D1429*Constants!L381/100, 0)</f>
        <v>0</v>
      </c>
      <c r="N1429" s="2108"/>
      <c r="O1429" s="2108"/>
      <c r="P1429" s="329"/>
      <c r="Q1429" s="329"/>
      <c r="R1429" s="329"/>
      <c r="S1429" s="1626"/>
      <c r="T1429" s="341"/>
      <c r="U1429" s="511"/>
      <c r="V1429" s="511"/>
      <c r="W1429" s="511"/>
    </row>
    <row r="1430" spans="1:23" ht="12.75" customHeight="1" x14ac:dyDescent="0.2">
      <c r="A1430" s="184"/>
      <c r="B1430" s="1632"/>
      <c r="C1430" s="1984" t="s">
        <v>598</v>
      </c>
      <c r="D1430" s="1997">
        <f t="shared" ref="D1430:I1430" ca="1" si="337">SUM(D1420:D1429)</f>
        <v>242602.85485445199</v>
      </c>
      <c r="E1430" s="1997">
        <f t="shared" ca="1" si="337"/>
        <v>33194.835204065952</v>
      </c>
      <c r="F1430" s="1997">
        <f t="shared" ca="1" si="337"/>
        <v>14518.678730580348</v>
      </c>
      <c r="G1430" s="1997">
        <f t="shared" ca="1" si="337"/>
        <v>62248.475862375817</v>
      </c>
      <c r="H1430" s="1997">
        <f t="shared" ca="1" si="337"/>
        <v>9063.803721805627</v>
      </c>
      <c r="I1430" s="1997">
        <f t="shared" ca="1" si="337"/>
        <v>76182.767871176009</v>
      </c>
      <c r="J1430" s="1997">
        <f t="shared" ref="J1430:M1430" ca="1" si="338">SUM(J1420:J1429)</f>
        <v>9.4195146069701953E-10</v>
      </c>
      <c r="K1430" s="1997">
        <f ca="1">SUM(K1420:K1429)</f>
        <v>40562.944898458649</v>
      </c>
      <c r="L1430" s="1997">
        <f ca="1">SUM(L1420:L1429)</f>
        <v>6831.3485659874141</v>
      </c>
      <c r="M1430" s="2000">
        <f t="shared" ca="1" si="338"/>
        <v>1.2143048383106942E-9</v>
      </c>
      <c r="N1430" s="1997"/>
      <c r="O1430" s="2108"/>
      <c r="P1430" s="329"/>
      <c r="Q1430" s="329"/>
      <c r="R1430" s="2111"/>
      <c r="S1430" s="1626"/>
      <c r="T1430" s="341"/>
      <c r="U1430" s="511"/>
      <c r="V1430" s="511"/>
      <c r="W1430" s="511"/>
    </row>
    <row r="1431" spans="1:23" ht="12.75" customHeight="1" x14ac:dyDescent="0.2">
      <c r="A1431" s="184"/>
      <c r="B1431" s="1632"/>
      <c r="C1431" s="1984" t="s">
        <v>1844</v>
      </c>
      <c r="D1431" s="2110"/>
      <c r="E1431" s="2110"/>
      <c r="F1431" s="2110"/>
      <c r="G1431" s="2110"/>
      <c r="H1431" s="2110"/>
      <c r="I1431" s="2110"/>
      <c r="J1431" s="2110"/>
      <c r="K1431" s="2110"/>
      <c r="L1431" s="2110"/>
      <c r="M1431" s="2000"/>
      <c r="O1431" s="2108"/>
      <c r="P1431" s="329"/>
      <c r="Q1431" s="329"/>
      <c r="R1431" s="329"/>
      <c r="S1431" s="1626"/>
      <c r="T1431" s="341"/>
      <c r="U1431" s="511"/>
      <c r="V1431" s="511"/>
      <c r="W1431" s="511"/>
    </row>
    <row r="1432" spans="1:23" ht="12.75" customHeight="1" x14ac:dyDescent="0.2">
      <c r="A1432" s="184"/>
      <c r="B1432" s="1632"/>
      <c r="C1432" s="2001" t="s">
        <v>1845</v>
      </c>
      <c r="D1432" s="2110"/>
      <c r="E1432" s="2110">
        <v>0.66800000000000004</v>
      </c>
      <c r="F1432" s="2110">
        <v>1.2</v>
      </c>
      <c r="G1432" s="2110">
        <v>1.264</v>
      </c>
      <c r="H1432" s="2110">
        <v>1.748</v>
      </c>
      <c r="I1432" s="2110">
        <v>1.8819999999999999</v>
      </c>
      <c r="J1432" s="2110">
        <v>2.504</v>
      </c>
      <c r="K1432" s="2110">
        <v>2.5099999999999998</v>
      </c>
      <c r="L1432" s="2110">
        <v>2.5</v>
      </c>
      <c r="M1432" s="2002">
        <v>3.2280000000000002</v>
      </c>
      <c r="O1432" s="2108"/>
      <c r="P1432" s="329"/>
      <c r="Q1432" s="329"/>
      <c r="R1432" s="329"/>
      <c r="S1432" s="1626"/>
      <c r="T1432" s="341"/>
      <c r="U1432" s="511"/>
      <c r="V1432" s="511"/>
      <c r="W1432" s="511"/>
    </row>
    <row r="1433" spans="1:23" ht="12.75" customHeight="1" x14ac:dyDescent="0.2">
      <c r="A1433" s="184"/>
      <c r="B1433" s="1632"/>
      <c r="C1433" s="1984" t="s">
        <v>1846</v>
      </c>
      <c r="D1433" s="2003"/>
      <c r="E1433" s="2003">
        <v>25.187032418952622</v>
      </c>
      <c r="F1433" s="2003">
        <v>14.407988587731813</v>
      </c>
      <c r="G1433" s="2003">
        <v>20.159680638722556</v>
      </c>
      <c r="H1433" s="2003">
        <v>14.407988587731813</v>
      </c>
      <c r="I1433" s="2003">
        <v>18.330308529945555</v>
      </c>
      <c r="J1433" s="2003">
        <v>14.407988587731813</v>
      </c>
      <c r="K1433" s="2003">
        <v>17.383820998278829</v>
      </c>
      <c r="L1433" s="2003">
        <v>17.383820998278829</v>
      </c>
      <c r="M1433" s="2004">
        <v>16.805324459234608</v>
      </c>
      <c r="O1433" s="2108"/>
      <c r="P1433" s="329"/>
      <c r="Q1433" s="329"/>
      <c r="R1433" s="329"/>
      <c r="S1433" s="1626"/>
      <c r="T1433" s="341"/>
      <c r="U1433" s="511"/>
      <c r="V1433" s="511"/>
      <c r="W1433" s="511"/>
    </row>
    <row r="1434" spans="1:23" ht="12.75" customHeight="1" x14ac:dyDescent="0.2">
      <c r="A1434" s="184"/>
      <c r="B1434" s="1632"/>
      <c r="C1434" s="1984" t="s">
        <v>1855</v>
      </c>
      <c r="D1434" s="2003"/>
      <c r="E1434" s="2003"/>
      <c r="F1434" s="2003"/>
      <c r="G1434" s="2003"/>
      <c r="H1434" s="2003"/>
      <c r="I1434" s="2003">
        <v>50.234999999999999</v>
      </c>
      <c r="J1434" s="2003"/>
      <c r="K1434" s="2003"/>
      <c r="L1434" s="2003"/>
      <c r="M1434" s="2004"/>
      <c r="O1434" s="2108"/>
      <c r="P1434" s="329"/>
      <c r="Q1434" s="329"/>
      <c r="R1434" s="329"/>
      <c r="S1434" s="1626"/>
      <c r="T1434" s="341"/>
      <c r="U1434" s="511"/>
      <c r="V1434" s="511"/>
      <c r="W1434" s="511"/>
    </row>
    <row r="1435" spans="1:23" ht="12.75" customHeight="1" x14ac:dyDescent="0.2">
      <c r="A1435" s="184"/>
      <c r="B1435" s="1632"/>
      <c r="C1435" s="2005" t="s">
        <v>1856</v>
      </c>
      <c r="D1435" s="2006"/>
      <c r="E1435" s="2006">
        <v>50.12</v>
      </c>
      <c r="F1435" s="2006">
        <v>47.195</v>
      </c>
      <c r="G1435" s="2006">
        <v>47.59</v>
      </c>
      <c r="H1435" s="2006">
        <v>45.8</v>
      </c>
      <c r="I1435" s="2006">
        <v>46.45</v>
      </c>
      <c r="J1435" s="2006">
        <v>45.09</v>
      </c>
      <c r="K1435" s="2006">
        <v>45.84</v>
      </c>
      <c r="L1435" s="2006">
        <v>45.84</v>
      </c>
      <c r="M1435" s="2007">
        <v>45.36</v>
      </c>
      <c r="O1435" s="2108"/>
      <c r="P1435" s="329"/>
      <c r="Q1435" s="329"/>
      <c r="R1435" s="329"/>
      <c r="S1435" s="1626"/>
      <c r="T1435" s="341"/>
      <c r="U1435" s="511"/>
      <c r="V1435" s="511"/>
      <c r="W1435" s="511"/>
    </row>
    <row r="1436" spans="1:23" ht="12.75" customHeight="1" x14ac:dyDescent="0.2">
      <c r="A1436" s="184"/>
      <c r="B1436" s="1632"/>
      <c r="C1436" s="2108"/>
      <c r="D1436" s="2108"/>
      <c r="E1436" s="2108"/>
      <c r="F1436" s="2108"/>
      <c r="G1436" s="2108"/>
      <c r="H1436" s="2108"/>
      <c r="I1436" s="2108"/>
      <c r="J1436" s="2108"/>
      <c r="K1436" s="2108"/>
      <c r="L1436" s="2108"/>
      <c r="M1436" s="2108"/>
      <c r="O1436" s="2108"/>
      <c r="P1436" s="329"/>
      <c r="Q1436" s="329"/>
      <c r="R1436" s="329"/>
      <c r="S1436" s="1626"/>
      <c r="T1436" s="341"/>
      <c r="U1436" s="511"/>
      <c r="V1436" s="511"/>
      <c r="W1436" s="511"/>
    </row>
    <row r="1437" spans="1:23" ht="12.75" customHeight="1" x14ac:dyDescent="0.2">
      <c r="A1437" s="184"/>
      <c r="B1437" s="1632"/>
      <c r="C1437" s="2018" t="s">
        <v>1901</v>
      </c>
      <c r="D1437" s="2149" t="s">
        <v>1949</v>
      </c>
      <c r="E1437" s="2105" t="s">
        <v>1948</v>
      </c>
      <c r="F1437" s="2172" t="s">
        <v>1988</v>
      </c>
      <c r="G1437" s="2105" t="s">
        <v>1883</v>
      </c>
      <c r="H1437" s="2172" t="s">
        <v>1856</v>
      </c>
      <c r="I1437" s="2172" t="s">
        <v>1852</v>
      </c>
      <c r="J1437" s="2172" t="s">
        <v>1990</v>
      </c>
      <c r="K1437" s="2105" t="s">
        <v>1895</v>
      </c>
      <c r="L1437" s="2139" t="s">
        <v>1954</v>
      </c>
      <c r="M1437" s="2105" t="s">
        <v>1953</v>
      </c>
      <c r="N1437" s="2105" t="s">
        <v>1897</v>
      </c>
      <c r="O1437" s="2105" t="s">
        <v>1887</v>
      </c>
      <c r="P1437" s="2105" t="s">
        <v>1888</v>
      </c>
      <c r="Q1437" s="2107" t="s">
        <v>1889</v>
      </c>
      <c r="R1437" s="2108"/>
      <c r="S1437" s="1626"/>
      <c r="T1437" s="341"/>
      <c r="U1437" s="511"/>
      <c r="V1437" s="511"/>
      <c r="W1437" s="511"/>
    </row>
    <row r="1438" spans="1:23" ht="12.75" customHeight="1" x14ac:dyDescent="0.2">
      <c r="A1438" s="184"/>
      <c r="B1438" s="1632"/>
      <c r="C1438" s="1984" t="s">
        <v>1849</v>
      </c>
      <c r="D1438" s="1988">
        <f ca="1">I1430+K1430+L1430</f>
        <v>123577.06133562207</v>
      </c>
      <c r="E1438" s="2126">
        <f ca="1">D1438*'Main Input &amp; Output'!E137</f>
        <v>0</v>
      </c>
      <c r="F1438" s="2126">
        <f ca="1">E1438/E1457</f>
        <v>0</v>
      </c>
      <c r="G1438" s="2126">
        <f ca="1">E1438*H1438</f>
        <v>0</v>
      </c>
      <c r="H1438" s="2126">
        <f ca="1">SUM(G1447:G1456)/D1438</f>
        <v>46.216052706701021</v>
      </c>
      <c r="I1438" s="2126">
        <f ca="1">E1457</f>
        <v>2.0813763762271065</v>
      </c>
      <c r="J1438" s="2126">
        <f ca="1">I1438*1000*'Energy &amp; Unit Conversions'!$G$81</f>
        <v>58.93802263916654</v>
      </c>
      <c r="K1438" s="2126">
        <f ca="1">E1438/E1457/'Energy &amp; Unit Conversions'!$G$80</f>
        <v>0</v>
      </c>
      <c r="L1438" s="2126">
        <f ca="1">(I1430*I1433+K1430*K1433+L1430*L1433)/D1438</f>
        <v>17.967311487036255</v>
      </c>
      <c r="M1438" s="2126">
        <f ca="1">IF(E1438=0,0,(I1430*I1433+K1430*K1433+L1430*L1433)/E1438)</f>
        <v>0</v>
      </c>
      <c r="N1438" s="2126">
        <f ca="1">Constants!G360*CokingRefineryCalcs!K1438</f>
        <v>0</v>
      </c>
      <c r="O1438" s="2126">
        <f ca="1">SUM(G1447:G1456)</f>
        <v>5711243.9800263345</v>
      </c>
      <c r="P1438" s="2126">
        <f>IF(CokingRefineryPFD!E52=FALSE, 0, IF(allocationMethod=1, E1438, IF(allocationMethod=2, O1438, IF(allocationMethod=3, N1438, M1438*E1438))))</f>
        <v>0</v>
      </c>
      <c r="Q1438" s="2127">
        <f ca="1">P1438/SUM(P$1438:P$1442)</f>
        <v>0</v>
      </c>
      <c r="R1438" s="2108"/>
      <c r="S1438" s="1626"/>
      <c r="T1438" s="341"/>
      <c r="U1438" s="511"/>
      <c r="V1438" s="511"/>
      <c r="W1438" s="511"/>
    </row>
    <row r="1439" spans="1:23" ht="12.75" customHeight="1" x14ac:dyDescent="0.2">
      <c r="A1439" s="184"/>
      <c r="B1439" s="1632"/>
      <c r="C1439" s="1984" t="s">
        <v>1848</v>
      </c>
      <c r="D1439" s="1988">
        <f ca="1">F1430+H1430+J1430+G1430</f>
        <v>85830.958314762742</v>
      </c>
      <c r="E1439" s="2126">
        <f ca="1">D1439*'Main Input &amp; Output'!E143</f>
        <v>0</v>
      </c>
      <c r="F1439" s="2126">
        <f ca="1">E1439/I1457</f>
        <v>0</v>
      </c>
      <c r="G1439" s="2126">
        <f ca="1">E1439*H1439</f>
        <v>0</v>
      </c>
      <c r="H1439" s="2126">
        <f ca="1">SUM(K1447:K1456)/D1439</f>
        <v>47.334158900334252</v>
      </c>
      <c r="I1439" s="2126">
        <f ca="1">I1457</f>
        <v>1.2900828572701448</v>
      </c>
      <c r="J1439" s="2126">
        <f ca="1">I1439*1000*'Energy &amp; Unit Conversions'!$G$81</f>
        <v>36.5310827568901</v>
      </c>
      <c r="K1439" s="2126">
        <f ca="1">E1439/I1457/'Energy &amp; Unit Conversions'!$G$80</f>
        <v>0</v>
      </c>
      <c r="L1439" s="2126">
        <f ca="1">(F1430*F1433+H1430*H1433+J1430*J1433+G1430*G1433)/D1439</f>
        <v>18.579374656741074</v>
      </c>
      <c r="M1439" s="2126">
        <f ca="1">IF(E1439=0,0,(F1430*F1433+H1430*H1433+J1430*J1433+G1430*G1433)/E1439)</f>
        <v>0</v>
      </c>
      <c r="N1439" s="2126">
        <f ca="1">Constants!G361*CokingRefineryCalcs!E1439</f>
        <v>0</v>
      </c>
      <c r="O1439" s="2126">
        <f ca="1">SUM(K1447:K1456)</f>
        <v>4062736.2194389449</v>
      </c>
      <c r="P1439" s="2126">
        <f>IF(CokingRefineryPFD!E53=FALSE, 0, IF(allocationMethod=1, E1439, IF(allocationMethod=2, O1439, IF(allocationMethod=3, N1439, M1439*E1439))))</f>
        <v>0</v>
      </c>
      <c r="Q1439" s="2127">
        <f ca="1">P1439/SUM(P$1438:P$1442)</f>
        <v>0</v>
      </c>
      <c r="R1439" s="2108"/>
      <c r="S1439" s="1626"/>
      <c r="T1439" s="341"/>
      <c r="U1439" s="511"/>
      <c r="V1439" s="511"/>
      <c r="W1439" s="511"/>
    </row>
    <row r="1440" spans="1:23" ht="12.75" customHeight="1" x14ac:dyDescent="0.2">
      <c r="A1440" s="184"/>
      <c r="B1440" s="1632"/>
      <c r="C1440" s="1984" t="s">
        <v>1926</v>
      </c>
      <c r="D1440" s="329">
        <f ca="1">IF(CokingRefineryPFD!E32=1, D1430-SUM(D1438:D1439), 0)</f>
        <v>33194.835204067174</v>
      </c>
      <c r="E1440" s="2126">
        <f ca="1">IF(CokingRefineryPFD!E32=1, D1430-SUM(E1438:E1439), 0)</f>
        <v>242602.85485445199</v>
      </c>
      <c r="F1440" s="2126">
        <f ca="1">D1440/M1457+(D1438-E1438)/E1457+(D1439-E1439)/I1457</f>
        <v>175596.98094940514</v>
      </c>
      <c r="G1440" s="2126">
        <f ca="1">SUM(O1447:O1456)+H1438*(D1438-E1438)+H1439*(D1439-E1439)</f>
        <v>11437705.339893121</v>
      </c>
      <c r="H1440" s="2126">
        <f ca="1">G1440/E1440</f>
        <v>47.145798621187282</v>
      </c>
      <c r="I1440" s="2126">
        <f ca="1">E1440/F1440</f>
        <v>1.3815889859994419</v>
      </c>
      <c r="J1440" s="2126">
        <f ca="1">I1440*1000*'Energy &amp; Unit Conversions'!$G$81</f>
        <v>39.122248078198304</v>
      </c>
      <c r="K1440" s="2126">
        <f ca="1">E1440/I1440/'Energy &amp; Unit Conversions'!$G$80</f>
        <v>1104471.74679616</v>
      </c>
      <c r="L1440" s="2126">
        <f ca="1">IF(E1440=0,0,(E1430*E1433+M1430*M1433)/D1440)</f>
        <v>25.18703241895231</v>
      </c>
      <c r="M1440" s="2126">
        <f ca="1">(D1440*L1440+(D1439-E1439)*L1439+(D1438-E1438)*L1438)/E1440</f>
        <v>19.171713698768436</v>
      </c>
      <c r="N1440" s="2126">
        <f ca="1">Constants!G$353*CokingRefineryCalcs!K1440</f>
        <v>37504548.968202814</v>
      </c>
      <c r="O1440" s="2126">
        <f ca="1">'Energy &amp; Unit Conversions'!Q27*CokingRefineryCalcs!E1440</f>
        <v>11377714.671218034</v>
      </c>
      <c r="P1440" s="2126">
        <f ca="1">IF(allocationMethod=1, E1440, IF(allocationMethod=2, O1440,IF(allocationMethod=3, N1440, M1440*E1440)))</f>
        <v>4651112.4757734276</v>
      </c>
      <c r="Q1440" s="2127">
        <f ca="1">IF(D1438+D1439+D1441+D1442=0,0,P1440/SUM(P$1438:P$1442))</f>
        <v>1</v>
      </c>
      <c r="R1440" s="2108"/>
      <c r="S1440" s="1626"/>
      <c r="T1440" s="341"/>
      <c r="U1440" s="511"/>
      <c r="V1440" s="511"/>
      <c r="W1440" s="511"/>
    </row>
    <row r="1441" spans="1:23" ht="12.75" customHeight="1" x14ac:dyDescent="0.2">
      <c r="A1441" s="184"/>
      <c r="B1441" s="1632"/>
      <c r="C1441" s="1984" t="s">
        <v>1486</v>
      </c>
      <c r="D1441" s="1988">
        <f ca="1">D1430-E1438-E1439-E1440</f>
        <v>0</v>
      </c>
      <c r="E1441" s="2126">
        <f ca="1">D1430-E1438-E1439-E1440</f>
        <v>0</v>
      </c>
      <c r="F1441" s="2126"/>
      <c r="G1441" s="2126">
        <f ca="1">E1441*'Energy &amp; Unit Conversions'!$Q$27</f>
        <v>0</v>
      </c>
      <c r="H1441" s="2126"/>
      <c r="I1441" s="2126"/>
      <c r="J1441" s="2126"/>
      <c r="K1441" s="2126">
        <f ca="1">E1441/M1457/'Energy &amp; Unit Conversions'!$G$80</f>
        <v>0</v>
      </c>
      <c r="L1441" s="2126"/>
      <c r="M1441" s="2126">
        <f ca="1">IF(E1441=0,0,(E1430*E1433+G1430*G1433+M1430*M1433)/E1441)</f>
        <v>0</v>
      </c>
      <c r="N1441" s="2126">
        <f ca="1">Constants!G$353*CokingRefineryCalcs!K1441</f>
        <v>0</v>
      </c>
      <c r="O1441" s="2126">
        <f ca="1">'Energy &amp; Unit Conversions'!Q27*CokingRefineryCalcs!E1441</f>
        <v>0</v>
      </c>
      <c r="P1441" s="2126">
        <f>IF(CokingRefineryPFD!E55=FALSE, 0, IF(allocationMethod=1, E1441, IF(allocationMethod=2, O1441,IF(allocationMethod=3, N1441, M1441*E1441))))</f>
        <v>0</v>
      </c>
      <c r="Q1441" s="2127">
        <f ca="1">P1441/SUM(P$1438:P$1442)</f>
        <v>0</v>
      </c>
      <c r="R1441" s="2108"/>
      <c r="S1441" s="1626"/>
      <c r="T1441" s="341"/>
      <c r="U1441" s="511"/>
      <c r="V1441" s="511"/>
      <c r="W1441" s="511"/>
    </row>
    <row r="1442" spans="1:23" ht="12.75" customHeight="1" x14ac:dyDescent="0.2">
      <c r="A1442" s="184"/>
      <c r="B1442" s="1632"/>
      <c r="C1442" s="2005" t="s">
        <v>142</v>
      </c>
      <c r="D1442" s="1611"/>
      <c r="E1442" s="2128"/>
      <c r="F1442" s="2128"/>
      <c r="G1442" s="2128"/>
      <c r="H1442" s="2128"/>
      <c r="I1442" s="2128"/>
      <c r="J1442" s="2128"/>
      <c r="K1442" s="2128"/>
      <c r="L1442" s="2128"/>
      <c r="M1442" s="2128"/>
      <c r="N1442" s="2128"/>
      <c r="O1442" s="2128"/>
      <c r="P1442" s="2128">
        <f>IF(allocationMethod=1, CokingRefineryPFD!EB122,0)</f>
        <v>0</v>
      </c>
      <c r="Q1442" s="2129">
        <f ca="1">P1442/SUM(P$1438:P$1442)</f>
        <v>0</v>
      </c>
      <c r="R1442" s="2108"/>
      <c r="S1442" s="1626"/>
      <c r="T1442" s="341"/>
      <c r="U1442" s="511"/>
      <c r="V1442" s="511"/>
      <c r="W1442" s="511"/>
    </row>
    <row r="1443" spans="1:23" ht="12.75" customHeight="1" x14ac:dyDescent="0.2">
      <c r="A1443" s="184"/>
      <c r="B1443" s="1632"/>
      <c r="C1443" s="2108"/>
      <c r="D1443" s="1997"/>
      <c r="E1443" s="2108"/>
      <c r="F1443" s="2108"/>
      <c r="G1443" s="2108"/>
      <c r="H1443" s="2138"/>
      <c r="I1443" s="2108"/>
      <c r="J1443" s="2108"/>
      <c r="K1443" s="2108"/>
      <c r="L1443" s="2108"/>
      <c r="M1443" s="2108"/>
      <c r="N1443" s="2108"/>
      <c r="O1443" s="2108"/>
      <c r="P1443" s="329"/>
      <c r="Q1443" s="329"/>
      <c r="R1443" s="329"/>
      <c r="S1443" s="1626"/>
      <c r="T1443" s="341"/>
      <c r="U1443" s="511"/>
      <c r="V1443" s="511"/>
      <c r="W1443" s="511"/>
    </row>
    <row r="1444" spans="1:23" ht="12.75" customHeight="1" x14ac:dyDescent="0.2">
      <c r="A1444" s="184"/>
      <c r="B1444" s="1632"/>
      <c r="C1444" s="2027" t="s">
        <v>1913</v>
      </c>
      <c r="D1444" s="2108"/>
      <c r="E1444" s="2108"/>
      <c r="F1444" s="2108"/>
      <c r="G1444" s="2108"/>
      <c r="H1444" s="2108"/>
      <c r="I1444" s="2108"/>
      <c r="J1444" s="2108"/>
      <c r="K1444" s="2108"/>
      <c r="L1444" s="2108"/>
      <c r="M1444" s="2108"/>
      <c r="N1444" s="2108"/>
      <c r="O1444" s="2108"/>
      <c r="P1444" s="329"/>
      <c r="Q1444" s="329"/>
      <c r="R1444" s="329"/>
      <c r="S1444" s="1626"/>
      <c r="T1444" s="341"/>
      <c r="U1444" s="511"/>
      <c r="V1444" s="511"/>
      <c r="W1444" s="511"/>
    </row>
    <row r="1445" spans="1:23" ht="12.75" customHeight="1" x14ac:dyDescent="0.2">
      <c r="A1445" s="184"/>
      <c r="B1445" s="1632"/>
      <c r="C1445" s="2022"/>
      <c r="D1445" s="2435" t="s">
        <v>1851</v>
      </c>
      <c r="E1445" s="2435"/>
      <c r="F1445" s="2435"/>
      <c r="G1445" s="2106"/>
      <c r="H1445" s="2435" t="s">
        <v>1884</v>
      </c>
      <c r="I1445" s="2435"/>
      <c r="J1445" s="2435"/>
      <c r="K1445" s="2106"/>
      <c r="L1445" s="2435" t="s">
        <v>1989</v>
      </c>
      <c r="M1445" s="2435"/>
      <c r="N1445" s="2435"/>
      <c r="O1445" s="2436"/>
      <c r="P1445" s="329"/>
      <c r="Q1445" s="329"/>
      <c r="R1445" s="329"/>
      <c r="S1445" s="1626"/>
      <c r="T1445" s="341"/>
      <c r="U1445" s="511"/>
      <c r="V1445" s="511"/>
      <c r="W1445" s="511"/>
    </row>
    <row r="1446" spans="1:23" ht="12.75" customHeight="1" x14ac:dyDescent="0.2">
      <c r="A1446" s="184"/>
      <c r="B1446" s="1632"/>
      <c r="C1446" s="2023" t="s">
        <v>170</v>
      </c>
      <c r="D1446" s="2095" t="s">
        <v>1842</v>
      </c>
      <c r="E1446" s="2095" t="s">
        <v>1852</v>
      </c>
      <c r="F1446" s="2095" t="s">
        <v>1846</v>
      </c>
      <c r="G1446" s="2095" t="s">
        <v>1857</v>
      </c>
      <c r="H1446" s="2095" t="s">
        <v>1842</v>
      </c>
      <c r="I1446" s="2095" t="s">
        <v>1852</v>
      </c>
      <c r="J1446" s="2095" t="s">
        <v>1846</v>
      </c>
      <c r="K1446" s="2095" t="s">
        <v>1857</v>
      </c>
      <c r="L1446" s="2095" t="s">
        <v>1842</v>
      </c>
      <c r="M1446" s="2095" t="s">
        <v>1852</v>
      </c>
      <c r="N1446" s="2095" t="s">
        <v>1846</v>
      </c>
      <c r="O1446" s="2024" t="s">
        <v>1857</v>
      </c>
      <c r="P1446" s="1973" t="s">
        <v>1955</v>
      </c>
      <c r="Q1446" s="1973" t="s">
        <v>1956</v>
      </c>
      <c r="R1446" s="1973" t="s">
        <v>1872</v>
      </c>
      <c r="S1446" s="1626"/>
      <c r="T1446" s="341"/>
      <c r="U1446" s="511"/>
      <c r="V1446" s="511"/>
      <c r="W1446" s="511"/>
    </row>
    <row r="1447" spans="1:23" ht="12.75" customHeight="1" x14ac:dyDescent="0.2">
      <c r="A1447" s="184"/>
      <c r="B1447" s="1632"/>
      <c r="C1447" s="1996" t="s">
        <v>539</v>
      </c>
      <c r="D1447" s="1997">
        <f t="shared" ref="D1447:D1456" ca="1" si="339">SUM(I1420,K1420,L1420)</f>
        <v>101931.49517347208</v>
      </c>
      <c r="E1447" s="2108">
        <f ca="1">((I1420/I$1432+K1420/K$1432+L1420/L$1432)/D1447)^-1</f>
        <v>2.033586206896552</v>
      </c>
      <c r="F1447" s="2108">
        <f ca="1">(I1420*I$1433+K1420*K$1433+L1420*L$1433)/D1447</f>
        <v>18.048323486852251</v>
      </c>
      <c r="G1447" s="2108">
        <f t="shared" ref="G1447:G1456" ca="1" si="340">(I1420*I$1435+K1420*K$1435+L1420*L$1435)</f>
        <v>4716193.3266374543</v>
      </c>
      <c r="H1447" s="2015">
        <f ca="1">F1420+H1420+J1420+G1420</f>
        <v>84754.515503889459</v>
      </c>
      <c r="I1447" s="2108">
        <f ca="1">IF(H1447=0, 0, ((F1420/F$1432+H1420/H$1432+J1420/J$1432+G1420/G$1432)/H1447)^-1)</f>
        <v>1.2904210526315791</v>
      </c>
      <c r="J1447" s="2108">
        <f ca="1">IF(H1447=0, 0, (F1420*F$1433+H1420*H$1433+J1420*J$1433+G1420*G$1433)/H1447)</f>
        <v>18.559303643377959</v>
      </c>
      <c r="K1447" s="2108">
        <f ca="1">(F1420*F$1435+H1420*H$1435+J1420*J$1435+G1420*G$1435)</f>
        <v>4011508.306069491</v>
      </c>
      <c r="L1447" s="2108"/>
      <c r="M1447" s="2108"/>
      <c r="N1447" s="2108"/>
      <c r="O1447" s="2002">
        <f ca="1">E1420*E$1435+M1420*M$1435</f>
        <v>1620292.2896279385</v>
      </c>
      <c r="P1447" s="329">
        <f ca="1">IF(allocationMethod=1,D1447,IF(allocationMethod=2, G1447, IF(allocationMethod=3,Constants!$G$360*CokingRefineryCalcs!D1447/CokingRefineryCalcs!E1447/'Energy &amp; Unit Conversions'!$G$80, F1447*D1447/100)))</f>
        <v>18396.92598389343</v>
      </c>
      <c r="Q1447" s="329">
        <f ca="1">IF(allocationMethod=1,H1447,IF(allocationMethod=2, K1447, IF(allocationMethod=3,Constants!$G$361*CokingRefineryCalcs!H1447,J1447*H1447/100)))</f>
        <v>15729.847883840692</v>
      </c>
      <c r="R1447" s="329">
        <f ca="1">P1447*E$1438/D$1438+Q1447*E$1439/D$1439</f>
        <v>0</v>
      </c>
      <c r="S1447" s="1626"/>
      <c r="T1447" s="341"/>
      <c r="U1447" s="511"/>
      <c r="V1447" s="511"/>
      <c r="W1447" s="511"/>
    </row>
    <row r="1448" spans="1:23" ht="12.75" customHeight="1" x14ac:dyDescent="0.2">
      <c r="A1448" s="184"/>
      <c r="B1448" s="1632"/>
      <c r="C1448" s="1984" t="s">
        <v>172</v>
      </c>
      <c r="D1448" s="1997">
        <f t="shared" ca="1" si="339"/>
        <v>8544.5148145949242</v>
      </c>
      <c r="E1448" s="2108">
        <f ca="1">((I1421/I$1432+K1421/K$1432+L1421/L$1432)/D1448)^-1</f>
        <v>2.4019999999999997</v>
      </c>
      <c r="F1448" s="2108">
        <f ca="1">(I1421*I$1433+K1421*K$1433+L1421*L$1433)/D1448</f>
        <v>17.507418662350211</v>
      </c>
      <c r="G1448" s="2108">
        <f t="shared" ca="1" si="340"/>
        <v>392361.1914835911</v>
      </c>
      <c r="H1448" s="2015">
        <f t="shared" ref="H1448:H1455" si="341">F1421+H1421+J1421+G1421</f>
        <v>0</v>
      </c>
      <c r="I1448" s="2154">
        <f t="shared" ref="I1448:I1457" si="342">IF(H1448=0, 0, ((F1421/F$1432+H1421/H$1432+J1421/J$1432+G1421/G$1432)/H1448)^-1)</f>
        <v>0</v>
      </c>
      <c r="J1448" s="2154">
        <f t="shared" ref="J1448:J1456" si="343">IF(H1448=0, 0, (F1421*F$1433+H1421*H$1433+J1421*J$1433+G1421*G$1433)/H1448)</f>
        <v>0</v>
      </c>
      <c r="K1448" s="2154">
        <f t="shared" ref="K1448:K1456" si="344">(F1421*F$1435+H1421*H$1435+J1421*J$1435+G1421*G$1435)</f>
        <v>0</v>
      </c>
      <c r="L1448" s="2108"/>
      <c r="M1448" s="2108"/>
      <c r="N1448" s="2108"/>
      <c r="O1448" s="2002">
        <f t="shared" ref="O1448:O1456" si="345">E1421*E$1435+M1421*M$1435</f>
        <v>0</v>
      </c>
      <c r="P1448" s="329">
        <f ca="1">IF(allocationMethod=1,D1448,IF(allocationMethod=2, G1448, IF(allocationMethod=3,Constants!$G$360*CokingRefineryCalcs!D1448/CokingRefineryCalcs!E1448/'Energy &amp; Unit Conversions'!$G$80, F1448*D1448/100)))</f>
        <v>1495.9239812576704</v>
      </c>
      <c r="Q1448" s="329">
        <f>IF(allocationMethod=1,H1448,IF(allocationMethod=2, K1448, IF(allocationMethod=3,Constants!$G$361*CokingRefineryCalcs!H1448,J1448*H1448/100)))</f>
        <v>0</v>
      </c>
      <c r="R1448" s="329">
        <f t="shared" ref="R1448:R1456" ca="1" si="346">P1448*E$1438/D$1438+Q1448*E$1439/D$1439</f>
        <v>0</v>
      </c>
      <c r="S1448" s="1626"/>
      <c r="T1448" s="341"/>
      <c r="U1448" s="511"/>
      <c r="V1448" s="511"/>
      <c r="W1448" s="511"/>
    </row>
    <row r="1449" spans="1:23" ht="12.75" customHeight="1" x14ac:dyDescent="0.2">
      <c r="A1449" s="184"/>
      <c r="B1449" s="1632"/>
      <c r="C1449" s="1984" t="s">
        <v>1801</v>
      </c>
      <c r="D1449" s="1997">
        <f t="shared" ca="1" si="339"/>
        <v>3633.811013343859</v>
      </c>
      <c r="E1449" s="2108">
        <f ca="1">((I1422/I$1432+K1422/K$1432+L1422/L$1432)/D1449)^-1</f>
        <v>2.2531035748420707</v>
      </c>
      <c r="F1449" s="2108">
        <f ca="1">(I1422*I$1433+K1422*K$1433+L1422*L$1433)/D1449</f>
        <v>17.702774330867889</v>
      </c>
      <c r="G1449" s="2108">
        <f t="shared" ca="1" si="340"/>
        <v>167320.86901697345</v>
      </c>
      <c r="H1449" s="2015">
        <f t="shared" ca="1" si="341"/>
        <v>445.08404935745051</v>
      </c>
      <c r="I1449" s="2154">
        <f t="shared" ca="1" si="342"/>
        <v>1.264</v>
      </c>
      <c r="J1449" s="2154">
        <f t="shared" ca="1" si="343"/>
        <v>20.159680638722556</v>
      </c>
      <c r="K1449" s="2154">
        <f t="shared" ca="1" si="344"/>
        <v>21181.549908921072</v>
      </c>
      <c r="L1449" s="2108"/>
      <c r="M1449" s="2108"/>
      <c r="N1449" s="2108"/>
      <c r="O1449" s="2002">
        <f t="shared" ca="1" si="345"/>
        <v>11789.149672417199</v>
      </c>
      <c r="P1449" s="329">
        <f ca="1">IF(allocationMethod=1,D1449,IF(allocationMethod=2, G1449, IF(allocationMethod=3,Constants!$G$360*CokingRefineryCalcs!D1449/CokingRefineryCalcs!E1449/'Energy &amp; Unit Conversions'!$G$80, F1449*D1449/100)))</f>
        <v>643.28536330248699</v>
      </c>
      <c r="Q1449" s="329">
        <f ca="1">IF(allocationMethod=1,H1449,IF(allocationMethod=2, K1449, IF(allocationMethod=3,Constants!$G$361*CokingRefineryCalcs!H1449,J1449*H1449/100)))</f>
        <v>89.727522924356293</v>
      </c>
      <c r="R1449" s="329">
        <f t="shared" ca="1" si="346"/>
        <v>0</v>
      </c>
      <c r="S1449" s="1626"/>
      <c r="T1449" s="341"/>
      <c r="U1449" s="511"/>
      <c r="V1449" s="511"/>
      <c r="W1449" s="511"/>
    </row>
    <row r="1450" spans="1:23" ht="12.75" customHeight="1" x14ac:dyDescent="0.2">
      <c r="A1450" s="184"/>
      <c r="B1450" s="1632"/>
      <c r="C1450" s="1984" t="s">
        <v>1838</v>
      </c>
      <c r="D1450" s="1997">
        <f t="shared" ca="1" si="339"/>
        <v>6365.4814838745833</v>
      </c>
      <c r="E1450" s="2108">
        <f ca="1">((I1423/I$1432+K1423/K$1432+L1423/L$1432)/D1450)^-1</f>
        <v>2.3211426978657297</v>
      </c>
      <c r="F1450" s="2108">
        <f ca="1">(I1423*I$1433+K1423*K$1433+L1423*L$1433)/D1450</f>
        <v>17.611681433905034</v>
      </c>
      <c r="G1450" s="2108">
        <f t="shared" ca="1" si="340"/>
        <v>292728.46350762795</v>
      </c>
      <c r="H1450" s="2015">
        <f t="shared" ca="1" si="341"/>
        <v>424.50623034465536</v>
      </c>
      <c r="I1450" s="2154">
        <f t="shared" ca="1" si="342"/>
        <v>1.2640000000000002</v>
      </c>
      <c r="J1450" s="2154">
        <f t="shared" ca="1" si="343"/>
        <v>20.159680638722556</v>
      </c>
      <c r="K1450" s="2154">
        <f t="shared" ca="1" si="344"/>
        <v>20202.25150210215</v>
      </c>
      <c r="L1450" s="2108"/>
      <c r="M1450" s="2108"/>
      <c r="N1450" s="2108"/>
      <c r="O1450" s="2002">
        <f t="shared" ca="1" si="345"/>
        <v>21276.252264874125</v>
      </c>
      <c r="P1450" s="329">
        <f ca="1">IF(allocationMethod=1,D1450,IF(allocationMethod=2, G1450, IF(allocationMethod=3,Constants!$G$360*CokingRefineryCalcs!D1450/CokingRefineryCalcs!E1450/'Energy &amp; Unit Conversions'!$G$80, F1450*D1450/100)))</f>
        <v>1121.0683206742026</v>
      </c>
      <c r="Q1450" s="329">
        <f ca="1">IF(allocationMethod=1,H1450,IF(allocationMethod=2, K1450, IF(allocationMethod=3,Constants!$G$361*CokingRefineryCalcs!H1450,J1450*H1450/100)))</f>
        <v>85.579100328962468</v>
      </c>
      <c r="R1450" s="329">
        <f t="shared" ca="1" si="346"/>
        <v>0</v>
      </c>
      <c r="S1450" s="1626"/>
      <c r="T1450" s="341"/>
      <c r="U1450" s="511"/>
      <c r="V1450" s="511"/>
      <c r="W1450" s="511"/>
    </row>
    <row r="1451" spans="1:23" ht="12.75" customHeight="1" x14ac:dyDescent="0.2">
      <c r="A1451" s="184"/>
      <c r="B1451" s="1632"/>
      <c r="C1451" s="1984" t="s">
        <v>1839</v>
      </c>
      <c r="D1451" s="1997">
        <f t="shared" ca="1" si="339"/>
        <v>7.7884037708750348E-9</v>
      </c>
      <c r="E1451" s="2108">
        <f ca="1">IF(D1451=0, 0, ((I1424/I$1432+K1424/K$1432+L1424/L$1432)/D1451)^-1)</f>
        <v>2.0703999999999998</v>
      </c>
      <c r="F1451" s="2108">
        <f ca="1">IF(D1451=0, 0, (I1424*I$1433+K1424*K$1433+L1424*L$1433)/D1451)</f>
        <v>17.986073062719395</v>
      </c>
      <c r="G1451" s="2108">
        <f t="shared" ca="1" si="340"/>
        <v>3.6004345354196187E-7</v>
      </c>
      <c r="H1451" s="2015">
        <f t="shared" ca="1" si="341"/>
        <v>1.1219153499931272E-8</v>
      </c>
      <c r="I1451" s="2154">
        <f t="shared" ca="1" si="342"/>
        <v>1.3556363636363635</v>
      </c>
      <c r="J1451" s="2154">
        <f t="shared" ca="1" si="343"/>
        <v>18.308277618017382</v>
      </c>
      <c r="K1451" s="2154">
        <f t="shared" ca="1" si="344"/>
        <v>5.2867564419516271E-7</v>
      </c>
      <c r="L1451" s="2108"/>
      <c r="M1451" s="2108"/>
      <c r="N1451" s="2108"/>
      <c r="O1451" s="2002">
        <f t="shared" ca="1" si="345"/>
        <v>8.7372486309837904E-7</v>
      </c>
      <c r="P1451" s="329">
        <f ca="1">IF(allocationMethod=1,D1451,IF(allocationMethod=2, G1451, IF(allocationMethod=3,Constants!$G$360*CokingRefineryCalcs!D1451/CokingRefineryCalcs!E1451/'Energy &amp; Unit Conversions'!$G$80, F1451*D1451/100)))</f>
        <v>1.4008279926491763E-9</v>
      </c>
      <c r="Q1451" s="329">
        <f ca="1">IF(allocationMethod=1,H1451,IF(allocationMethod=2, K1451, IF(allocationMethod=3,Constants!$G$361*CokingRefineryCalcs!H1451,J1451*H1451/100)))</f>
        <v>2.0540337691589304E-9</v>
      </c>
      <c r="R1451" s="329">
        <f t="shared" ca="1" si="346"/>
        <v>0</v>
      </c>
      <c r="S1451" s="1626"/>
      <c r="T1451" s="341"/>
      <c r="U1451" s="511"/>
      <c r="V1451" s="511"/>
      <c r="W1451" s="511"/>
    </row>
    <row r="1452" spans="1:23" ht="12.75" customHeight="1" x14ac:dyDescent="0.2">
      <c r="A1452" s="184"/>
      <c r="B1452" s="1632"/>
      <c r="C1452" s="1984" t="s">
        <v>1799</v>
      </c>
      <c r="D1452" s="1997">
        <f t="shared" ca="1" si="339"/>
        <v>3101.7588503288544</v>
      </c>
      <c r="E1452" s="2108">
        <f ca="1">((I1425/I$1432+K1425/K$1432+L1425/L$1432)/D1452)^-1</f>
        <v>2.3211426978657297</v>
      </c>
      <c r="F1452" s="2108">
        <f t="shared" ref="F1452:F1457" ca="1" si="347">(I1425*I$1433+K1425*K$1433+L1425*L$1433)/D1452</f>
        <v>17.611681433905034</v>
      </c>
      <c r="G1452" s="2108">
        <f t="shared" ca="1" si="340"/>
        <v>142640.12938032788</v>
      </c>
      <c r="H1452" s="2015">
        <f t="shared" ca="1" si="341"/>
        <v>206.85253115995346</v>
      </c>
      <c r="I1452" s="2154">
        <f t="shared" ca="1" si="342"/>
        <v>1.264</v>
      </c>
      <c r="J1452" s="2154">
        <f t="shared" ca="1" si="343"/>
        <v>20.159680638722559</v>
      </c>
      <c r="K1452" s="2154">
        <f t="shared" ca="1" si="344"/>
        <v>9844.1119579021852</v>
      </c>
      <c r="L1452" s="2108"/>
      <c r="M1452" s="2108"/>
      <c r="N1452" s="2108"/>
      <c r="O1452" s="2002">
        <f t="shared" ca="1" si="345"/>
        <v>10367.448861736866</v>
      </c>
      <c r="P1452" s="329">
        <f ca="1">IF(allocationMethod=1,D1452,IF(allocationMethod=2, G1452, IF(allocationMethod=3,Constants!$G$360*CokingRefineryCalcs!D1452/CokingRefineryCalcs!E1452/'Energy &amp; Unit Conversions'!$G$80, F1452*D1452/100)))</f>
        <v>546.27188756787302</v>
      </c>
      <c r="Q1452" s="329">
        <f ca="1">IF(allocationMethod=1,H1452,IF(allocationMethod=2, K1452, IF(allocationMethod=3,Constants!$G$361*CokingRefineryCalcs!H1452,J1452*H1452/100)))</f>
        <v>41.700809674960681</v>
      </c>
      <c r="R1452" s="329">
        <f t="shared" ca="1" si="346"/>
        <v>0</v>
      </c>
      <c r="S1452" s="1626"/>
      <c r="T1452" s="341"/>
      <c r="U1452" s="511"/>
      <c r="V1452" s="511"/>
      <c r="W1452" s="511"/>
    </row>
    <row r="1453" spans="1:23" ht="12.75" customHeight="1" x14ac:dyDescent="0.2">
      <c r="A1453" s="184"/>
      <c r="B1453" s="1632"/>
      <c r="C1453" s="1996" t="s">
        <v>473</v>
      </c>
      <c r="D1453" s="1997">
        <f t="shared" ca="1" si="339"/>
        <v>4.83838297432842E-16</v>
      </c>
      <c r="E1453" s="2108">
        <f ca="1">((I1426/I$1432+K1426/K$1432+L1426/L$1432)/D1453)^-1</f>
        <v>2.0238064516129035</v>
      </c>
      <c r="F1453" s="2108">
        <f t="shared" ca="1" si="347"/>
        <v>18.065241330937226</v>
      </c>
      <c r="G1453" s="2108">
        <f t="shared" ca="1" si="340"/>
        <v>2.2391633527945952E-14</v>
      </c>
      <c r="H1453" s="2015">
        <f t="shared" ca="1" si="341"/>
        <v>2.459525484033313E-16</v>
      </c>
      <c r="I1453" s="2154">
        <f t="shared" ca="1" si="342"/>
        <v>1.2756799999999999</v>
      </c>
      <c r="J1453" s="2154">
        <f t="shared" ca="1" si="343"/>
        <v>19.195173894438767</v>
      </c>
      <c r="K1453" s="2154">
        <f t="shared" ca="1" si="344"/>
        <v>1.1669784877361279E-14</v>
      </c>
      <c r="L1453" s="2108"/>
      <c r="M1453" s="2108"/>
      <c r="N1453" s="2108"/>
      <c r="O1453" s="2002">
        <f t="shared" ca="1" si="345"/>
        <v>1.0328020410073091E-14</v>
      </c>
      <c r="P1453" s="329">
        <f ca="1">IF(allocationMethod=1,D1453,IF(allocationMethod=2, G1453, IF(allocationMethod=3,Constants!$G$360*CokingRefineryCalcs!D1453/CokingRefineryCalcs!E1453/'Energy &amp; Unit Conversions'!$G$80, F1453*D1453/100)))</f>
        <v>8.7406556082740759E-17</v>
      </c>
      <c r="Q1453" s="329">
        <f ca="1">IF(allocationMethod=1,H1453,IF(allocationMethod=2, K1453, IF(allocationMethod=3,Constants!$G$361*CokingRefineryCalcs!H1453,J1453*H1453/100)))</f>
        <v>4.7211019363823119E-17</v>
      </c>
      <c r="R1453" s="329">
        <f t="shared" ca="1" si="346"/>
        <v>0</v>
      </c>
      <c r="S1453" s="1626"/>
      <c r="T1453" s="341"/>
      <c r="U1453" s="511"/>
      <c r="V1453" s="511"/>
      <c r="W1453" s="511"/>
    </row>
    <row r="1454" spans="1:23" ht="12.75" customHeight="1" x14ac:dyDescent="0.2">
      <c r="A1454" s="184"/>
      <c r="B1454" s="1632"/>
      <c r="C1454" s="1984" t="s">
        <v>1840</v>
      </c>
      <c r="D1454" s="1997">
        <f t="shared" ca="1" si="339"/>
        <v>2.5273307389579927E-18</v>
      </c>
      <c r="E1454" s="2108">
        <f ca="1">((I1427/I$1432+K1427/K$1432+L1427/L$1432)/D1454)^-1</f>
        <v>2.2531035748420707</v>
      </c>
      <c r="F1454" s="2108">
        <f t="shared" ca="1" si="347"/>
        <v>17.702774330867886</v>
      </c>
      <c r="G1454" s="2108">
        <f t="shared" ca="1" si="340"/>
        <v>1.1637236333505088E-16</v>
      </c>
      <c r="H1454" s="2015">
        <f t="shared" ca="1" si="341"/>
        <v>3.0955781553588917E-19</v>
      </c>
      <c r="I1454" s="2154">
        <f t="shared" ca="1" si="342"/>
        <v>1.2639999999999998</v>
      </c>
      <c r="J1454" s="2154">
        <f t="shared" ca="1" si="343"/>
        <v>20.159680638722556</v>
      </c>
      <c r="K1454" s="2154">
        <f t="shared" ca="1" si="344"/>
        <v>1.4731856441352966E-17</v>
      </c>
      <c r="L1454" s="2108"/>
      <c r="M1454" s="2108"/>
      <c r="N1454" s="2108"/>
      <c r="O1454" s="2002">
        <f t="shared" ca="1" si="345"/>
        <v>8.1994028428734628E-18</v>
      </c>
      <c r="P1454" s="329">
        <f ca="1">IF(allocationMethod=1,D1454,IF(allocationMethod=2, G1454, IF(allocationMethod=3,Constants!$G$360*CokingRefineryCalcs!D1454/CokingRefineryCalcs!E1454/'Energy &amp; Unit Conversions'!$G$80, F1454*D1454/100)))</f>
        <v>4.4740765731238917E-19</v>
      </c>
      <c r="Q1454" s="329">
        <f ca="1">IF(allocationMethod=1,H1454,IF(allocationMethod=2, K1454, IF(allocationMethod=3,Constants!$G$361*CokingRefineryCalcs!H1454,J1454*H1454/100)))</f>
        <v>6.2405867004241135E-20</v>
      </c>
      <c r="R1454" s="329">
        <f t="shared" ca="1" si="346"/>
        <v>0</v>
      </c>
      <c r="S1454" s="1626"/>
      <c r="T1454" s="341"/>
      <c r="U1454" s="511"/>
      <c r="V1454" s="511"/>
      <c r="W1454" s="511"/>
    </row>
    <row r="1455" spans="1:23" ht="12.75" customHeight="1" x14ac:dyDescent="0.2">
      <c r="A1455" s="184"/>
      <c r="B1455" s="1632"/>
      <c r="C1455" s="1984" t="s">
        <v>1841</v>
      </c>
      <c r="D1455" s="1997">
        <f t="shared" ca="1" si="339"/>
        <v>4.3249913072919271E-17</v>
      </c>
      <c r="E1455" s="2108">
        <f ca="1">((I1428/I$1432+K1428/K$1432+L1428/L$1432)/D1455)^-1</f>
        <v>2.3211709812370844</v>
      </c>
      <c r="F1455" s="2108">
        <f t="shared" ca="1" si="347"/>
        <v>17.611644807271016</v>
      </c>
      <c r="G1455" s="2108">
        <f t="shared" ca="1" si="340"/>
        <v>1.9889263889962029E-15</v>
      </c>
      <c r="H1455" s="2015">
        <f t="shared" ca="1" si="341"/>
        <v>5.5050781460504145E-18</v>
      </c>
      <c r="I1455" s="2154">
        <f t="shared" ca="1" si="342"/>
        <v>1.264</v>
      </c>
      <c r="J1455" s="2154">
        <f t="shared" ca="1" si="343"/>
        <v>20.159680638722556</v>
      </c>
      <c r="K1455" s="2154">
        <f t="shared" ca="1" si="344"/>
        <v>2.6198666897053923E-16</v>
      </c>
      <c r="L1455" s="2108"/>
      <c r="M1455" s="2108"/>
      <c r="N1455" s="2108"/>
      <c r="O1455" s="2002">
        <f t="shared" ca="1" si="345"/>
        <v>1.4581558318217662E-16</v>
      </c>
      <c r="P1455" s="329">
        <f ca="1">IF(allocationMethod=1,D1455,IF(allocationMethod=2, G1455, IF(allocationMethod=3,Constants!$G$360*CokingRefineryCalcs!D1455/CokingRefineryCalcs!E1455/'Energy &amp; Unit Conversions'!$G$80, F1455*D1455/100)))</f>
        <v>7.6170210698560145E-18</v>
      </c>
      <c r="Q1455" s="329">
        <f ca="1">IF(allocationMethod=1,H1455,IF(allocationMethod=2, K1455, IF(allocationMethod=3,Constants!$G$361*CokingRefineryCalcs!H1455,J1455*H1455/100)))</f>
        <v>1.109806173155872E-18</v>
      </c>
      <c r="R1455" s="329">
        <f t="shared" ca="1" si="346"/>
        <v>0</v>
      </c>
      <c r="S1455" s="1626"/>
      <c r="T1455" s="341"/>
      <c r="U1455" s="511"/>
      <c r="V1455" s="511"/>
      <c r="W1455" s="511"/>
    </row>
    <row r="1456" spans="1:23" ht="12.75" customHeight="1" x14ac:dyDescent="0.2">
      <c r="A1456" s="184"/>
      <c r="B1456" s="1632"/>
      <c r="C1456" s="1984" t="s">
        <v>531</v>
      </c>
      <c r="D1456" s="1997">
        <f t="shared" ca="1" si="339"/>
        <v>3.9000183333118733E-16</v>
      </c>
      <c r="E1456" s="2108">
        <f ca="1">((I1429/I$1432+K1429/K$1432+L1429/L$1432)/D1456)^-1</f>
        <v>1.8819999999999997</v>
      </c>
      <c r="F1456" s="2108">
        <f t="shared" ca="1" si="347"/>
        <v>18.330308529945555</v>
      </c>
      <c r="G1456" s="2108">
        <f t="shared" ca="1" si="340"/>
        <v>1.8115585158233651E-14</v>
      </c>
      <c r="H1456" s="2015">
        <f t="shared" ref="H1456" ca="1" si="348">F1429+H1429+J1429</f>
        <v>2.8696840531191728E-16</v>
      </c>
      <c r="I1456" s="2154">
        <f t="shared" ca="1" si="342"/>
        <v>1.116774193548387</v>
      </c>
      <c r="J1456" s="2154">
        <f t="shared" ca="1" si="343"/>
        <v>21.032382780282585</v>
      </c>
      <c r="K1456" s="2154">
        <f t="shared" ca="1" si="344"/>
        <v>1.7727865643814038E-14</v>
      </c>
      <c r="L1456" s="2108"/>
      <c r="M1456" s="2108"/>
      <c r="N1456" s="2108"/>
      <c r="O1456" s="2002">
        <f t="shared" ca="1" si="345"/>
        <v>8.880645291542775E-15</v>
      </c>
      <c r="P1456" s="329">
        <f ca="1">IF(allocationMethod=1,D1456,IF(allocationMethod=2, G1456, IF(allocationMethod=3,Constants!$G$360*CokingRefineryCalcs!D1456/CokingRefineryCalcs!E1456/'Energy &amp; Unit Conversions'!$G$80, F1456*D1456/100)))</f>
        <v>7.1488539322050678E-17</v>
      </c>
      <c r="Q1456" s="329">
        <f ca="1">IF(allocationMethod=1,H1456,IF(allocationMethod=2, K1456, IF(allocationMethod=3,Constants!$G$361*CokingRefineryCalcs!H1456,J1456*H1456/100)))</f>
        <v>6.0356293463675229E-17</v>
      </c>
      <c r="R1456" s="329">
        <f t="shared" ca="1" si="346"/>
        <v>0</v>
      </c>
      <c r="S1456" s="2153" t="s">
        <v>1866</v>
      </c>
      <c r="T1456" s="341"/>
      <c r="U1456" s="511"/>
      <c r="V1456" s="511"/>
      <c r="W1456" s="511"/>
    </row>
    <row r="1457" spans="1:23" ht="12.75" customHeight="1" x14ac:dyDescent="0.2">
      <c r="A1457" s="184"/>
      <c r="B1457" s="1632"/>
      <c r="C1457" s="2005" t="s">
        <v>1896</v>
      </c>
      <c r="D1457" s="2025">
        <f ca="1">SUM(D1447:D1456)</f>
        <v>123577.06133562209</v>
      </c>
      <c r="E1457" s="2020">
        <f ca="1">((I1430/I1432+K1430/K1432+L1430/L1432)/D1457)^-1</f>
        <v>2.0813763762271065</v>
      </c>
      <c r="F1457" s="2020">
        <f t="shared" ca="1" si="347"/>
        <v>17.967311487036255</v>
      </c>
      <c r="G1457" s="2020"/>
      <c r="H1457" s="2026">
        <f ca="1">SUM(H1447:H1456)</f>
        <v>85830.958314762742</v>
      </c>
      <c r="I1457" s="2020">
        <f t="shared" ca="1" si="342"/>
        <v>1.2900828572701448</v>
      </c>
      <c r="J1457" s="2020">
        <f ca="1">IF(H1457=0, 0, (F1430*F$1433+H1430*H$1433+J1430*J$1433+G1430*G$1433)/H1457)</f>
        <v>18.579374656741074</v>
      </c>
      <c r="K1457" s="2020"/>
      <c r="L1457" s="2025">
        <f ca="1">E1430+M1430</f>
        <v>33194.835204067167</v>
      </c>
      <c r="M1457" s="2020">
        <f ca="1">((E1430/E1432+M1430/M1432)/L1457)^-1</f>
        <v>0.66800000000001936</v>
      </c>
      <c r="N1457" s="2020"/>
      <c r="O1457" s="2021"/>
      <c r="P1457" s="329"/>
      <c r="Q1457" s="329"/>
      <c r="R1457" s="329"/>
      <c r="S1457" s="1626"/>
      <c r="T1457" s="341"/>
      <c r="U1457" s="511"/>
      <c r="V1457" s="511"/>
      <c r="W1457" s="511"/>
    </row>
    <row r="1458" spans="1:23" ht="12.75" customHeight="1" x14ac:dyDescent="0.2">
      <c r="A1458" s="184"/>
      <c r="B1458" s="1632"/>
      <c r="C1458" s="2095"/>
      <c r="D1458" s="1997"/>
      <c r="E1458" s="2108"/>
      <c r="F1458" s="2108"/>
      <c r="G1458" s="2108"/>
      <c r="H1458" s="2015"/>
      <c r="I1458" s="2108"/>
      <c r="J1458" s="2108"/>
      <c r="K1458" s="2108"/>
      <c r="L1458" s="1997"/>
      <c r="M1458" s="2108"/>
      <c r="N1458" s="2108"/>
      <c r="O1458" s="2108"/>
      <c r="P1458" s="329"/>
      <c r="Q1458" s="329"/>
      <c r="R1458" s="329"/>
      <c r="S1458" s="1626"/>
      <c r="T1458" s="341"/>
      <c r="U1458" s="511"/>
      <c r="V1458" s="511"/>
      <c r="W1458" s="511"/>
    </row>
    <row r="1459" spans="1:23" ht="24.75" customHeight="1" x14ac:dyDescent="0.2">
      <c r="A1459" s="184"/>
      <c r="B1459" s="1824"/>
      <c r="C1459" s="438" t="s">
        <v>1909</v>
      </c>
      <c r="D1459" s="438"/>
      <c r="E1459" s="438"/>
      <c r="F1459" s="2108"/>
      <c r="G1459" s="2108"/>
      <c r="H1459" s="2108"/>
      <c r="I1459" s="2108"/>
      <c r="J1459" s="2108"/>
      <c r="K1459" s="2108"/>
      <c r="L1459" s="2108"/>
      <c r="M1459" s="2108"/>
      <c r="N1459" s="2108"/>
      <c r="O1459" s="2108"/>
      <c r="P1459" s="329"/>
      <c r="Q1459" s="329"/>
      <c r="R1459" s="329"/>
      <c r="S1459" s="1626"/>
      <c r="T1459" s="341"/>
      <c r="U1459" s="511"/>
      <c r="V1459" s="511"/>
      <c r="W1459" s="511"/>
    </row>
    <row r="1460" spans="1:23" ht="12.75" customHeight="1" x14ac:dyDescent="0.2">
      <c r="A1460" s="184"/>
      <c r="B1460" s="1632"/>
      <c r="C1460" s="2108"/>
      <c r="D1460" s="2108"/>
      <c r="E1460" s="2108"/>
      <c r="F1460" s="2108"/>
      <c r="G1460" s="2108"/>
      <c r="H1460" s="2108"/>
      <c r="I1460" s="2108"/>
      <c r="J1460" s="2108"/>
      <c r="K1460" s="2108"/>
      <c r="L1460" s="2108"/>
      <c r="M1460" s="2108"/>
      <c r="N1460" s="2108"/>
      <c r="O1460" s="2108"/>
      <c r="P1460" s="329"/>
      <c r="Q1460" s="329"/>
      <c r="R1460" s="329"/>
      <c r="S1460" s="1626"/>
      <c r="T1460" s="341"/>
      <c r="U1460" s="511"/>
      <c r="V1460" s="511"/>
      <c r="W1460" s="511"/>
    </row>
    <row r="1461" spans="1:23" ht="12.75" customHeight="1" x14ac:dyDescent="0.2">
      <c r="A1461" s="184"/>
      <c r="B1461" s="1632"/>
      <c r="C1461" s="2018" t="s">
        <v>1860</v>
      </c>
      <c r="D1461" s="2028"/>
      <c r="E1461" s="2108"/>
      <c r="F1461" s="2283" t="s">
        <v>1920</v>
      </c>
      <c r="G1461" s="2284"/>
      <c r="H1461" s="2284"/>
      <c r="I1461" s="2284"/>
      <c r="J1461" s="2284"/>
      <c r="K1461" s="2284"/>
      <c r="L1461" s="2108"/>
      <c r="M1461" s="2108"/>
      <c r="N1461" s="2108"/>
      <c r="O1461" s="2108"/>
      <c r="P1461" s="329"/>
      <c r="Q1461" s="329"/>
      <c r="R1461" s="329"/>
      <c r="S1461" s="1626"/>
      <c r="T1461" s="341"/>
      <c r="U1461" s="511"/>
      <c r="V1461" s="511"/>
      <c r="W1461" s="511"/>
    </row>
    <row r="1462" spans="1:23" ht="12.75" customHeight="1" x14ac:dyDescent="0.2">
      <c r="A1462" s="184"/>
      <c r="B1462" s="1632"/>
      <c r="C1462" s="1984" t="s">
        <v>1864</v>
      </c>
      <c r="D1462" s="2002">
        <f ca="1">(0.0049*E540-38.424)*1000</f>
        <v>-38424</v>
      </c>
      <c r="E1462" s="2108"/>
      <c r="F1462" s="2283"/>
      <c r="G1462" s="2284"/>
      <c r="H1462" s="2284"/>
      <c r="I1462" s="2284"/>
      <c r="J1462" s="2284"/>
      <c r="K1462" s="2284"/>
      <c r="L1462" s="2108"/>
      <c r="M1462" s="2108"/>
      <c r="N1462" s="2108"/>
      <c r="O1462" s="2108"/>
      <c r="P1462" s="329"/>
      <c r="Q1462" s="329"/>
      <c r="R1462" s="329"/>
      <c r="S1462" s="1626"/>
      <c r="T1462" s="341"/>
      <c r="U1462" s="511"/>
      <c r="V1462" s="511"/>
      <c r="W1462" s="511"/>
    </row>
    <row r="1463" spans="1:23" ht="12.75" customHeight="1" x14ac:dyDescent="0.2">
      <c r="A1463" s="184"/>
      <c r="B1463" s="1632"/>
      <c r="C1463" s="1984" t="s">
        <v>1865</v>
      </c>
      <c r="D1463" s="2002">
        <f ca="1">IF(CokingRefineryConfig=0, 0, IF(0.15*E542&lt;0.99*E565,0.15*E542,0.99*E565))</f>
        <v>0</v>
      </c>
      <c r="E1463" s="2108"/>
      <c r="F1463" s="2108"/>
      <c r="G1463" s="2108"/>
      <c r="H1463" s="2108"/>
      <c r="I1463" s="2108"/>
      <c r="J1463" s="2108"/>
      <c r="K1463" s="2108"/>
      <c r="L1463" s="2108"/>
      <c r="M1463" s="2108"/>
      <c r="N1463" s="2108"/>
      <c r="O1463" s="2108"/>
      <c r="P1463" s="329"/>
      <c r="Q1463" s="329"/>
      <c r="R1463" s="329"/>
      <c r="S1463" s="1626"/>
      <c r="T1463" s="341"/>
      <c r="U1463" s="511"/>
      <c r="V1463" s="511"/>
      <c r="W1463" s="511"/>
    </row>
    <row r="1464" spans="1:23" ht="12.75" customHeight="1" x14ac:dyDescent="0.2">
      <c r="A1464" s="184"/>
      <c r="B1464" s="1632"/>
      <c r="C1464" s="1984" t="s">
        <v>1861</v>
      </c>
      <c r="D1464" s="2002">
        <f ca="1">IF(CokingRefineryConfig=0,0,D1462/D1463*100)</f>
        <v>0</v>
      </c>
      <c r="E1464" s="2108"/>
      <c r="F1464" s="2108"/>
      <c r="G1464" s="2108"/>
      <c r="H1464" s="2108"/>
      <c r="I1464" s="2108"/>
      <c r="J1464" s="2108"/>
      <c r="K1464" s="2108"/>
      <c r="L1464" s="2108"/>
      <c r="M1464" s="2108"/>
      <c r="N1464" s="2108"/>
      <c r="O1464" s="2108"/>
      <c r="P1464" s="329"/>
      <c r="Q1464" s="329"/>
      <c r="R1464" s="329"/>
      <c r="S1464" s="1626"/>
      <c r="T1464" s="341"/>
      <c r="U1464" s="511"/>
      <c r="V1464" s="511"/>
      <c r="W1464" s="511"/>
    </row>
    <row r="1465" spans="1:23" ht="12.75" customHeight="1" x14ac:dyDescent="0.2">
      <c r="A1465" s="184"/>
      <c r="B1465" s="1632"/>
      <c r="C1465" s="1984" t="s">
        <v>1862</v>
      </c>
      <c r="D1465" s="2024">
        <f>'Main Input &amp; Output'!$E$121</f>
        <v>0</v>
      </c>
      <c r="E1465" s="2108"/>
      <c r="F1465" s="2108"/>
      <c r="G1465" s="2108"/>
      <c r="H1465" s="2108"/>
      <c r="I1465" s="2108"/>
      <c r="J1465" s="2108"/>
      <c r="K1465" s="2108"/>
      <c r="L1465" s="2108"/>
      <c r="M1465" s="2108"/>
      <c r="N1465" s="2108"/>
      <c r="O1465" s="2108"/>
      <c r="P1465" s="329"/>
      <c r="Q1465" s="329"/>
      <c r="R1465" s="329"/>
      <c r="S1465" s="1626"/>
      <c r="T1465" s="341"/>
      <c r="U1465" s="511"/>
      <c r="V1465" s="511"/>
      <c r="W1465" s="511"/>
    </row>
    <row r="1466" spans="1:23" ht="12.75" customHeight="1" x14ac:dyDescent="0.2">
      <c r="A1466" s="184"/>
      <c r="B1466" s="1632"/>
      <c r="C1466" s="1984" t="s">
        <v>1910</v>
      </c>
      <c r="D1466" s="2002">
        <f ca="1">D1465*D1463/100</f>
        <v>0</v>
      </c>
      <c r="E1466" s="2108"/>
      <c r="F1466" s="2108"/>
      <c r="G1466" s="2108"/>
      <c r="H1466" s="2108"/>
      <c r="I1466" s="2108"/>
      <c r="J1466" s="2108"/>
      <c r="K1466" s="2108"/>
      <c r="L1466" s="2108"/>
      <c r="M1466" s="2108"/>
      <c r="N1466" s="2108"/>
      <c r="O1466" s="2108"/>
      <c r="P1466" s="329"/>
      <c r="Q1466" s="329"/>
      <c r="R1466" s="329"/>
      <c r="S1466" s="1626"/>
      <c r="T1466" s="341"/>
      <c r="U1466" s="511"/>
      <c r="V1466" s="511"/>
      <c r="W1466" s="511"/>
    </row>
    <row r="1467" spans="1:23" ht="12.75" customHeight="1" x14ac:dyDescent="0.2">
      <c r="A1467" s="184"/>
      <c r="B1467" s="1632"/>
      <c r="C1467" s="1984" t="s">
        <v>1911</v>
      </c>
      <c r="D1467" s="2002">
        <f ca="1">IF(D1470=0,0,D1466/D1470)</f>
        <v>0</v>
      </c>
      <c r="E1467" s="1917"/>
      <c r="F1467" s="2108"/>
      <c r="G1467" s="2108"/>
      <c r="H1467" s="2108"/>
      <c r="I1467" s="2108"/>
      <c r="J1467" s="2108"/>
      <c r="K1467" s="2108"/>
      <c r="L1467" s="2108"/>
      <c r="M1467" s="2108"/>
      <c r="N1467" s="2108"/>
      <c r="O1467" s="2108"/>
      <c r="P1467" s="329"/>
      <c r="Q1467" s="329"/>
      <c r="R1467" s="329"/>
      <c r="S1467" s="1626"/>
      <c r="T1467" s="341"/>
      <c r="U1467" s="511"/>
      <c r="V1467" s="511"/>
      <c r="W1467" s="511"/>
    </row>
    <row r="1468" spans="1:23" ht="12.75" customHeight="1" x14ac:dyDescent="0.2">
      <c r="A1468" s="184"/>
      <c r="B1468" s="1632"/>
      <c r="C1468" s="1984" t="s">
        <v>1912</v>
      </c>
      <c r="D1468" s="2002">
        <f ca="1">D1467/'Energy &amp; Unit Conversions'!G80</f>
        <v>0</v>
      </c>
      <c r="E1468" s="1917"/>
      <c r="F1468" s="2108"/>
      <c r="G1468" s="2108"/>
      <c r="H1468" s="2108"/>
      <c r="I1468" s="2108"/>
      <c r="J1468" s="2108"/>
      <c r="K1468" s="2108"/>
      <c r="L1468" s="2108"/>
      <c r="M1468" s="2108"/>
      <c r="N1468" s="2108"/>
      <c r="O1468" s="2108"/>
      <c r="P1468" s="329"/>
      <c r="Q1468" s="329"/>
      <c r="R1468" s="329"/>
      <c r="S1468" s="1626"/>
      <c r="T1468" s="341"/>
      <c r="U1468" s="511"/>
      <c r="V1468" s="511"/>
      <c r="W1468" s="511"/>
    </row>
    <row r="1469" spans="1:23" ht="12.75" customHeight="1" x14ac:dyDescent="0.2">
      <c r="A1469" s="184"/>
      <c r="B1469" s="1632"/>
      <c r="C1469" s="2029" t="s">
        <v>1863</v>
      </c>
      <c r="D1469" s="2002"/>
      <c r="E1469" s="1917"/>
      <c r="F1469" s="2108"/>
      <c r="G1469" s="2108"/>
      <c r="H1469" s="2108"/>
      <c r="I1469" s="2108"/>
      <c r="J1469" s="2108"/>
      <c r="K1469" s="2108"/>
      <c r="L1469" s="2108"/>
      <c r="M1469" s="2108"/>
      <c r="N1469" s="2108"/>
      <c r="O1469" s="2108"/>
      <c r="P1469" s="329"/>
      <c r="Q1469" s="329"/>
      <c r="R1469" s="329"/>
      <c r="S1469" s="1626"/>
      <c r="T1469" s="341"/>
      <c r="U1469" s="511"/>
      <c r="V1469" s="511"/>
      <c r="W1469" s="511"/>
    </row>
    <row r="1470" spans="1:23" ht="12.75" customHeight="1" x14ac:dyDescent="0.2">
      <c r="A1470" s="184"/>
      <c r="B1470" s="1632"/>
      <c r="C1470" s="1984" t="s">
        <v>1852</v>
      </c>
      <c r="D1470" s="2000">
        <f ca="1">F565</f>
        <v>1055.1979728481299</v>
      </c>
      <c r="E1470" s="2108"/>
      <c r="F1470" s="2108"/>
      <c r="G1470" s="2108"/>
      <c r="H1470" s="2108"/>
      <c r="I1470" s="2108"/>
      <c r="J1470" s="2108"/>
      <c r="K1470" s="2108"/>
      <c r="L1470" s="2108"/>
      <c r="M1470" s="2108"/>
      <c r="N1470" s="2108"/>
      <c r="O1470" s="2108"/>
      <c r="P1470" s="329"/>
      <c r="Q1470" s="329"/>
      <c r="R1470" s="329"/>
      <c r="S1470" s="1626"/>
      <c r="T1470" s="341"/>
      <c r="U1470" s="511"/>
      <c r="V1470" s="511"/>
      <c r="W1470" s="511"/>
    </row>
    <row r="1471" spans="1:23" ht="12.75" customHeight="1" x14ac:dyDescent="0.2">
      <c r="A1471" s="184"/>
      <c r="B1471" s="1632"/>
      <c r="C1471" s="2005" t="s">
        <v>1846</v>
      </c>
      <c r="D1471" s="2021">
        <f ca="1">CokingRefineryPFD!AL241</f>
        <v>0</v>
      </c>
      <c r="E1471" s="2108"/>
      <c r="F1471" s="2108"/>
      <c r="G1471" s="2108"/>
      <c r="H1471" s="2108"/>
      <c r="I1471" s="2108"/>
      <c r="J1471" s="2108"/>
      <c r="K1471" s="2108"/>
      <c r="L1471" s="2108"/>
      <c r="M1471" s="2108"/>
      <c r="N1471" s="2108"/>
      <c r="O1471" s="2108"/>
      <c r="P1471" s="329"/>
      <c r="Q1471" s="329"/>
      <c r="R1471" s="329"/>
      <c r="S1471" s="1626"/>
      <c r="T1471" s="341"/>
      <c r="U1471" s="511"/>
      <c r="V1471" s="511"/>
      <c r="W1471" s="511"/>
    </row>
    <row r="1472" spans="1:23" ht="12.75" customHeight="1" x14ac:dyDescent="0.2">
      <c r="A1472" s="184"/>
      <c r="B1472" s="1632"/>
      <c r="C1472" s="329"/>
      <c r="D1472" s="329"/>
      <c r="E1472" s="329"/>
      <c r="F1472" s="329"/>
      <c r="G1472" s="329"/>
      <c r="H1472" s="329"/>
      <c r="I1472" s="329"/>
      <c r="J1472" s="329"/>
      <c r="K1472" s="329"/>
      <c r="L1472" s="329"/>
      <c r="M1472" s="329"/>
      <c r="N1472" s="329"/>
      <c r="O1472" s="329"/>
      <c r="P1472" s="329"/>
      <c r="Q1472" s="329"/>
      <c r="R1472" s="329"/>
      <c r="S1472" s="1626"/>
      <c r="T1472" s="341"/>
      <c r="U1472" s="511"/>
      <c r="V1472" s="511"/>
      <c r="W1472" s="511"/>
    </row>
    <row r="1473" spans="2:23" ht="12.75" customHeight="1" thickBot="1" x14ac:dyDescent="0.25">
      <c r="B1473" s="2016"/>
      <c r="C1473" s="2017"/>
      <c r="D1473" s="2017"/>
      <c r="E1473" s="2017"/>
      <c r="F1473" s="2017"/>
      <c r="G1473" s="2017"/>
      <c r="H1473" s="2017"/>
      <c r="I1473" s="2017"/>
      <c r="J1473" s="2017"/>
      <c r="K1473" s="2017"/>
      <c r="L1473" s="2017"/>
      <c r="M1473" s="2017"/>
      <c r="N1473" s="2017"/>
      <c r="O1473" s="2017"/>
      <c r="P1473" s="2017"/>
      <c r="Q1473" s="2017"/>
      <c r="R1473" s="2017"/>
      <c r="S1473" s="2056"/>
      <c r="T1473" s="341"/>
      <c r="U1473" s="511"/>
      <c r="V1473" s="511"/>
      <c r="W1473" s="511"/>
    </row>
  </sheetData>
  <mergeCells count="35">
    <mergeCell ref="F1461:K1462"/>
    <mergeCell ref="R1098:R1099"/>
    <mergeCell ref="I1098:I1099"/>
    <mergeCell ref="J1098:J1099"/>
    <mergeCell ref="K1098:K1099"/>
    <mergeCell ref="M1098:M1099"/>
    <mergeCell ref="Q1098:Q1099"/>
    <mergeCell ref="D1445:F1445"/>
    <mergeCell ref="H1445:J1445"/>
    <mergeCell ref="L1445:O1445"/>
    <mergeCell ref="L1098:L1099"/>
    <mergeCell ref="O582:P584"/>
    <mergeCell ref="E7:F7"/>
    <mergeCell ref="K144:L144"/>
    <mergeCell ref="F515:H515"/>
    <mergeCell ref="N977:O977"/>
    <mergeCell ref="J976:M976"/>
    <mergeCell ref="P976:U976"/>
    <mergeCell ref="L977:M977"/>
    <mergeCell ref="K145:L145"/>
    <mergeCell ref="K272:L272"/>
    <mergeCell ref="K273:L273"/>
    <mergeCell ref="C2:F3"/>
    <mergeCell ref="C530:D530"/>
    <mergeCell ref="L866:M866"/>
    <mergeCell ref="E1418:M1418"/>
    <mergeCell ref="K1013:N1013"/>
    <mergeCell ref="C1194:H1194"/>
    <mergeCell ref="G1003:I1003"/>
    <mergeCell ref="C1098:C1099"/>
    <mergeCell ref="D1098:D1099"/>
    <mergeCell ref="E1098:E1099"/>
    <mergeCell ref="F1098:F1099"/>
    <mergeCell ref="G1098:G1099"/>
    <mergeCell ref="H1098:H1099"/>
  </mergeCells>
  <phoneticPr fontId="23" type="noConversion"/>
  <pageMargins left="0.75" right="0.75" top="1" bottom="1" header="0.5" footer="0.5"/>
  <pageSetup orientation="portrait" r:id="rId1"/>
  <headerFooter alignWithMargins="0"/>
  <legacyDrawing r:id="rId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tabColor rgb="FF0450FF"/>
  </sheetPr>
  <dimension ref="A1:G82"/>
  <sheetViews>
    <sheetView workbookViewId="0">
      <pane ySplit="3" topLeftCell="A4" activePane="bottomLeft" state="frozen"/>
      <selection pane="bottomLeft" activeCell="B15" sqref="B15"/>
    </sheetView>
  </sheetViews>
  <sheetFormatPr defaultRowHeight="12.75" x14ac:dyDescent="0.2"/>
  <cols>
    <col min="1" max="1" width="24.7109375" customWidth="1"/>
    <col min="2" max="2" width="22.5703125" customWidth="1"/>
    <col min="3" max="3" width="23.5703125" customWidth="1"/>
    <col min="4" max="4" width="24.42578125" customWidth="1"/>
    <col min="5" max="5" width="25.7109375" customWidth="1"/>
    <col min="6" max="6" width="22.5703125" customWidth="1"/>
    <col min="7" max="7" width="13.85546875" bestFit="1" customWidth="1"/>
  </cols>
  <sheetData>
    <row r="1" spans="1:7" x14ac:dyDescent="0.2">
      <c r="A1" s="1949" t="s">
        <v>1858</v>
      </c>
      <c r="B1" t="str">
        <f>IF(allocationMethod=1,CokingRefineryPFD!$C$21,IF(allocationMethod=2,CokingRefineryPFD!$C$22,IF(allocationMethod=3,CokingRefineryPFD!$C$23,CokingRefineryPFD!$C$24)))</f>
        <v>Hydrogen Content Basis</v>
      </c>
      <c r="C1">
        <f>allocationMethod</f>
        <v>4</v>
      </c>
    </row>
    <row r="3" spans="1:7" x14ac:dyDescent="0.2">
      <c r="A3" s="1949" t="s">
        <v>170</v>
      </c>
      <c r="B3" s="1949" t="s">
        <v>1867</v>
      </c>
      <c r="C3" s="1949" t="s">
        <v>1868</v>
      </c>
      <c r="D3" s="1949" t="s">
        <v>1869</v>
      </c>
      <c r="E3" s="1949" t="s">
        <v>1870</v>
      </c>
      <c r="F3" s="1949" t="s">
        <v>1871</v>
      </c>
      <c r="G3" s="1949" t="s">
        <v>1872</v>
      </c>
    </row>
    <row r="4" spans="1:7" x14ac:dyDescent="0.2">
      <c r="A4" s="1949" t="s">
        <v>524</v>
      </c>
      <c r="B4" s="1949" t="s">
        <v>1876</v>
      </c>
    </row>
    <row r="5" spans="1:7" x14ac:dyDescent="0.2">
      <c r="A5" s="1949" t="s">
        <v>1877</v>
      </c>
      <c r="G5">
        <f>SUM(B5:F5)</f>
        <v>0</v>
      </c>
    </row>
    <row r="6" spans="1:7" x14ac:dyDescent="0.2">
      <c r="A6" s="1949" t="s">
        <v>1881</v>
      </c>
      <c r="B6">
        <v>1</v>
      </c>
    </row>
    <row r="7" spans="1:7" x14ac:dyDescent="0.2">
      <c r="A7" s="1949" t="s">
        <v>1882</v>
      </c>
    </row>
    <row r="9" spans="1:7" x14ac:dyDescent="0.2">
      <c r="A9" s="1949" t="s">
        <v>1299</v>
      </c>
      <c r="B9" s="1949" t="s">
        <v>1880</v>
      </c>
    </row>
    <row r="10" spans="1:7" x14ac:dyDescent="0.2">
      <c r="A10" s="1949" t="s">
        <v>1877</v>
      </c>
      <c r="G10">
        <f>SUM(B10:F10)</f>
        <v>0</v>
      </c>
    </row>
    <row r="11" spans="1:7" x14ac:dyDescent="0.2">
      <c r="A11" s="1949" t="s">
        <v>1881</v>
      </c>
      <c r="B11">
        <v>1</v>
      </c>
    </row>
    <row r="12" spans="1:7" x14ac:dyDescent="0.2">
      <c r="A12" s="1949" t="s">
        <v>1882</v>
      </c>
    </row>
    <row r="13" spans="1:7" x14ac:dyDescent="0.2">
      <c r="A13" s="1949"/>
    </row>
    <row r="14" spans="1:7" x14ac:dyDescent="0.2">
      <c r="A14" s="1949" t="s">
        <v>1306</v>
      </c>
      <c r="B14" s="1949" t="s">
        <v>950</v>
      </c>
      <c r="C14" s="1949" t="s">
        <v>230</v>
      </c>
      <c r="D14" s="1949" t="s">
        <v>1378</v>
      </c>
      <c r="E14" s="1949" t="s">
        <v>574</v>
      </c>
      <c r="F14" s="1949" t="s">
        <v>607</v>
      </c>
    </row>
    <row r="15" spans="1:7" x14ac:dyDescent="0.2">
      <c r="A15" s="1949" t="s">
        <v>1877</v>
      </c>
      <c r="B15" s="1972">
        <f ca="1">CokingRefineryPFD!AA53</f>
        <v>422156.63812343997</v>
      </c>
      <c r="C15" s="1972">
        <f ca="1">CokingRefineryPFD!AA70</f>
        <v>455901.2027951529</v>
      </c>
      <c r="D15" s="1972">
        <f ca="1">CokingRefineryPFD!AA87</f>
        <v>217867.90850382741</v>
      </c>
      <c r="E15" s="1972">
        <f ca="1">CokingRefineryPFD!AA102</f>
        <v>198472.01341060203</v>
      </c>
      <c r="F15" s="1972">
        <f ca="1">CokingRefineryPFD!W140</f>
        <v>9.9999999999999991E-31</v>
      </c>
      <c r="G15">
        <f ca="1">SUM(B15:F15)</f>
        <v>1294397.7628330223</v>
      </c>
    </row>
    <row r="16" spans="1:7" x14ac:dyDescent="0.2">
      <c r="A16" s="1949" t="s">
        <v>1881</v>
      </c>
      <c r="B16" s="1972">
        <f ca="1">B15/$G15</f>
        <v>0.32614135333444511</v>
      </c>
      <c r="C16" s="1972">
        <f t="shared" ref="C16:F16" ca="1" si="0">C15/$G15</f>
        <v>0.35221105589469742</v>
      </c>
      <c r="D16" s="1972">
        <f t="shared" ca="1" si="0"/>
        <v>0.16831604222413388</v>
      </c>
      <c r="E16" s="1972">
        <f t="shared" ca="1" si="0"/>
        <v>0.15333154854672365</v>
      </c>
      <c r="F16" s="1972">
        <f t="shared" ca="1" si="0"/>
        <v>7.7256004971093289E-37</v>
      </c>
    </row>
    <row r="17" spans="1:7" x14ac:dyDescent="0.2">
      <c r="A17" s="1949" t="s">
        <v>1882</v>
      </c>
      <c r="B17" s="1949" t="s">
        <v>142</v>
      </c>
    </row>
    <row r="19" spans="1:7" x14ac:dyDescent="0.2">
      <c r="A19" s="1949" t="s">
        <v>524</v>
      </c>
      <c r="B19" s="1949"/>
    </row>
    <row r="20" spans="1:7" x14ac:dyDescent="0.2">
      <c r="A20" s="1949" t="s">
        <v>1877</v>
      </c>
      <c r="G20">
        <f>SUM(B20:F20)</f>
        <v>0</v>
      </c>
    </row>
    <row r="21" spans="1:7" x14ac:dyDescent="0.2">
      <c r="A21" s="1949" t="s">
        <v>1881</v>
      </c>
    </row>
    <row r="22" spans="1:7" x14ac:dyDescent="0.2">
      <c r="A22" s="1949" t="s">
        <v>1882</v>
      </c>
    </row>
    <row r="24" spans="1:7" x14ac:dyDescent="0.2">
      <c r="A24" s="1949" t="s">
        <v>524</v>
      </c>
      <c r="B24" s="1949"/>
    </row>
    <row r="25" spans="1:7" x14ac:dyDescent="0.2">
      <c r="A25" s="1949" t="s">
        <v>1877</v>
      </c>
      <c r="G25">
        <f>SUM(B25:F25)</f>
        <v>0</v>
      </c>
    </row>
    <row r="26" spans="1:7" x14ac:dyDescent="0.2">
      <c r="A26" s="1949" t="s">
        <v>1881</v>
      </c>
    </row>
    <row r="27" spans="1:7" x14ac:dyDescent="0.2">
      <c r="A27" s="1949" t="s">
        <v>1882</v>
      </c>
    </row>
    <row r="29" spans="1:7" x14ac:dyDescent="0.2">
      <c r="A29" s="1949" t="s">
        <v>524</v>
      </c>
      <c r="B29" s="1949"/>
    </row>
    <row r="30" spans="1:7" x14ac:dyDescent="0.2">
      <c r="A30" s="1949" t="s">
        <v>1877</v>
      </c>
      <c r="G30">
        <f>SUM(B30:F30)</f>
        <v>0</v>
      </c>
    </row>
    <row r="31" spans="1:7" x14ac:dyDescent="0.2">
      <c r="A31" s="1949" t="s">
        <v>1881</v>
      </c>
    </row>
    <row r="32" spans="1:7" x14ac:dyDescent="0.2">
      <c r="A32" s="1949" t="s">
        <v>1882</v>
      </c>
    </row>
    <row r="33" spans="1:7" x14ac:dyDescent="0.2">
      <c r="A33" s="1949"/>
      <c r="B33" s="1949"/>
    </row>
    <row r="34" spans="1:7" x14ac:dyDescent="0.2">
      <c r="A34" s="1949" t="s">
        <v>524</v>
      </c>
      <c r="B34" s="1949"/>
    </row>
    <row r="35" spans="1:7" x14ac:dyDescent="0.2">
      <c r="A35" s="1949" t="s">
        <v>1877</v>
      </c>
      <c r="G35">
        <f>SUM(B35:F35)</f>
        <v>0</v>
      </c>
    </row>
    <row r="36" spans="1:7" x14ac:dyDescent="0.2">
      <c r="A36" s="1949" t="s">
        <v>1881</v>
      </c>
    </row>
    <row r="37" spans="1:7" x14ac:dyDescent="0.2">
      <c r="A37" s="1949" t="s">
        <v>1882</v>
      </c>
    </row>
    <row r="39" spans="1:7" x14ac:dyDescent="0.2">
      <c r="A39" s="1949" t="s">
        <v>524</v>
      </c>
      <c r="B39" s="1949"/>
    </row>
    <row r="40" spans="1:7" x14ac:dyDescent="0.2">
      <c r="A40" s="1949" t="s">
        <v>1877</v>
      </c>
      <c r="G40">
        <f>SUM(B40:F40)</f>
        <v>0</v>
      </c>
    </row>
    <row r="41" spans="1:7" x14ac:dyDescent="0.2">
      <c r="A41" s="1949" t="s">
        <v>1881</v>
      </c>
    </row>
    <row r="42" spans="1:7" x14ac:dyDescent="0.2">
      <c r="A42" s="1949" t="s">
        <v>1882</v>
      </c>
    </row>
    <row r="43" spans="1:7" x14ac:dyDescent="0.2">
      <c r="A43" s="1949"/>
    </row>
    <row r="44" spans="1:7" x14ac:dyDescent="0.2">
      <c r="A44" s="1949" t="s">
        <v>524</v>
      </c>
      <c r="B44" s="1949"/>
    </row>
    <row r="45" spans="1:7" x14ac:dyDescent="0.2">
      <c r="A45" s="1949" t="s">
        <v>1877</v>
      </c>
      <c r="G45">
        <f>SUM(B45:F45)</f>
        <v>0</v>
      </c>
    </row>
    <row r="46" spans="1:7" x14ac:dyDescent="0.2">
      <c r="A46" s="1949" t="s">
        <v>1881</v>
      </c>
    </row>
    <row r="47" spans="1:7" x14ac:dyDescent="0.2">
      <c r="A47" s="1949" t="s">
        <v>1882</v>
      </c>
    </row>
    <row r="49" spans="1:7" x14ac:dyDescent="0.2">
      <c r="A49" s="1949" t="s">
        <v>524</v>
      </c>
      <c r="B49" s="1949"/>
    </row>
    <row r="50" spans="1:7" x14ac:dyDescent="0.2">
      <c r="A50" s="1949" t="s">
        <v>1877</v>
      </c>
      <c r="G50">
        <f>SUM(B50:F50)</f>
        <v>0</v>
      </c>
    </row>
    <row r="51" spans="1:7" x14ac:dyDescent="0.2">
      <c r="A51" s="1949" t="s">
        <v>1881</v>
      </c>
    </row>
    <row r="52" spans="1:7" x14ac:dyDescent="0.2">
      <c r="A52" s="1949" t="s">
        <v>1882</v>
      </c>
    </row>
    <row r="53" spans="1:7" x14ac:dyDescent="0.2">
      <c r="A53" s="1949"/>
    </row>
    <row r="54" spans="1:7" x14ac:dyDescent="0.2">
      <c r="A54" s="1949" t="s">
        <v>524</v>
      </c>
      <c r="B54" s="1949"/>
    </row>
    <row r="55" spans="1:7" x14ac:dyDescent="0.2">
      <c r="A55" s="1949" t="s">
        <v>1877</v>
      </c>
      <c r="G55">
        <f>SUM(B55:F55)</f>
        <v>0</v>
      </c>
    </row>
    <row r="56" spans="1:7" x14ac:dyDescent="0.2">
      <c r="A56" s="1949" t="s">
        <v>1881</v>
      </c>
    </row>
    <row r="57" spans="1:7" x14ac:dyDescent="0.2">
      <c r="A57" s="1949" t="s">
        <v>1882</v>
      </c>
    </row>
    <row r="59" spans="1:7" x14ac:dyDescent="0.2">
      <c r="A59" s="1949" t="s">
        <v>524</v>
      </c>
      <c r="B59" s="1949"/>
    </row>
    <row r="60" spans="1:7" x14ac:dyDescent="0.2">
      <c r="A60" s="1949" t="s">
        <v>1877</v>
      </c>
      <c r="G60">
        <f>SUM(B60:F60)</f>
        <v>0</v>
      </c>
    </row>
    <row r="61" spans="1:7" x14ac:dyDescent="0.2">
      <c r="A61" s="1949" t="s">
        <v>1881</v>
      </c>
    </row>
    <row r="62" spans="1:7" x14ac:dyDescent="0.2">
      <c r="A62" s="1949" t="s">
        <v>1882</v>
      </c>
    </row>
    <row r="64" spans="1:7" x14ac:dyDescent="0.2">
      <c r="A64" s="1949" t="s">
        <v>524</v>
      </c>
      <c r="B64" s="1949"/>
    </row>
    <row r="65" spans="1:7" x14ac:dyDescent="0.2">
      <c r="A65" s="1949" t="s">
        <v>1877</v>
      </c>
      <c r="G65">
        <f>SUM(B65:F65)</f>
        <v>0</v>
      </c>
    </row>
    <row r="66" spans="1:7" x14ac:dyDescent="0.2">
      <c r="A66" s="1949" t="s">
        <v>1881</v>
      </c>
    </row>
    <row r="67" spans="1:7" x14ac:dyDescent="0.2">
      <c r="A67" s="1949" t="s">
        <v>1882</v>
      </c>
    </row>
    <row r="69" spans="1:7" x14ac:dyDescent="0.2">
      <c r="A69" s="1949" t="s">
        <v>524</v>
      </c>
      <c r="B69" s="1949"/>
    </row>
    <row r="70" spans="1:7" x14ac:dyDescent="0.2">
      <c r="A70" s="1949" t="s">
        <v>1877</v>
      </c>
      <c r="G70">
        <f>SUM(B70:F70)</f>
        <v>0</v>
      </c>
    </row>
    <row r="71" spans="1:7" x14ac:dyDescent="0.2">
      <c r="A71" s="1949" t="s">
        <v>1881</v>
      </c>
    </row>
    <row r="72" spans="1:7" x14ac:dyDescent="0.2">
      <c r="A72" s="1949" t="s">
        <v>1882</v>
      </c>
    </row>
    <row r="73" spans="1:7" x14ac:dyDescent="0.2">
      <c r="A73" s="1949"/>
      <c r="B73" s="1949"/>
    </row>
    <row r="74" spans="1:7" x14ac:dyDescent="0.2">
      <c r="A74" s="1949" t="s">
        <v>524</v>
      </c>
      <c r="B74" s="1949"/>
    </row>
    <row r="75" spans="1:7" x14ac:dyDescent="0.2">
      <c r="A75" s="1949" t="s">
        <v>1877</v>
      </c>
      <c r="G75">
        <f>SUM(B75:F75)</f>
        <v>0</v>
      </c>
    </row>
    <row r="76" spans="1:7" x14ac:dyDescent="0.2">
      <c r="A76" s="1949" t="s">
        <v>1881</v>
      </c>
    </row>
    <row r="77" spans="1:7" x14ac:dyDescent="0.2">
      <c r="A77" s="1949" t="s">
        <v>1882</v>
      </c>
    </row>
    <row r="79" spans="1:7" x14ac:dyDescent="0.2">
      <c r="A79" s="1949" t="s">
        <v>524</v>
      </c>
      <c r="B79" s="1949"/>
    </row>
    <row r="80" spans="1:7" x14ac:dyDescent="0.2">
      <c r="A80" s="1949" t="s">
        <v>1877</v>
      </c>
      <c r="G80">
        <f>SUM(B80:F80)</f>
        <v>0</v>
      </c>
    </row>
    <row r="81" spans="1:1" x14ac:dyDescent="0.2">
      <c r="A81" s="1949" t="s">
        <v>1881</v>
      </c>
    </row>
    <row r="82" spans="1:1" x14ac:dyDescent="0.2">
      <c r="A82" s="1949" t="s">
        <v>1882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tabColor rgb="FF0450FF"/>
  </sheetPr>
  <dimension ref="A1:I151"/>
  <sheetViews>
    <sheetView workbookViewId="0">
      <pane ySplit="4" topLeftCell="A19" activePane="bottomLeft" state="frozen"/>
      <selection activeCell="B15" sqref="B15"/>
      <selection pane="bottomLeft" activeCell="B15" sqref="B15"/>
    </sheetView>
  </sheetViews>
  <sheetFormatPr defaultRowHeight="12.75" x14ac:dyDescent="0.2"/>
  <cols>
    <col min="1" max="1" width="19" style="1971" customWidth="1"/>
    <col min="2" max="2" width="16" style="1971" customWidth="1"/>
    <col min="3" max="3" width="12.140625" style="1971" customWidth="1"/>
    <col min="5" max="5" width="12" bestFit="1" customWidth="1"/>
  </cols>
  <sheetData>
    <row r="1" spans="1:9" ht="38.25" x14ac:dyDescent="0.2">
      <c r="A1" s="1970" t="s">
        <v>1873</v>
      </c>
    </row>
    <row r="2" spans="1:9" x14ac:dyDescent="0.2">
      <c r="A2" s="1970"/>
    </row>
    <row r="3" spans="1:9" x14ac:dyDescent="0.2">
      <c r="E3" s="2462" t="s">
        <v>522</v>
      </c>
      <c r="F3" s="2462"/>
      <c r="G3" s="2462"/>
      <c r="H3" s="2462"/>
      <c r="I3" s="2462"/>
    </row>
    <row r="4" spans="1:9" ht="25.5" x14ac:dyDescent="0.2">
      <c r="B4" s="1970" t="s">
        <v>1874</v>
      </c>
      <c r="C4" s="1970" t="s">
        <v>1875</v>
      </c>
      <c r="D4" s="1970" t="s">
        <v>1853</v>
      </c>
      <c r="E4" s="1949" t="s">
        <v>263</v>
      </c>
      <c r="F4" s="1949" t="s">
        <v>392</v>
      </c>
      <c r="G4" s="1949" t="s">
        <v>224</v>
      </c>
      <c r="H4" s="1949" t="s">
        <v>485</v>
      </c>
      <c r="I4" s="1949" t="s">
        <v>541</v>
      </c>
    </row>
    <row r="5" spans="1:9" x14ac:dyDescent="0.2">
      <c r="A5" s="1970" t="s">
        <v>598</v>
      </c>
      <c r="B5" s="1970" t="s">
        <v>1876</v>
      </c>
      <c r="C5" s="1970" t="s">
        <v>524</v>
      </c>
      <c r="D5" s="1949">
        <f>CokingRefineryAllocation!B6</f>
        <v>1</v>
      </c>
      <c r="E5">
        <f ca="1">SUM(E6:E7)*$D5</f>
        <v>558611377.33641267</v>
      </c>
      <c r="F5">
        <f t="shared" ref="F5:I5" ca="1" si="0">SUM(F6:F7)*$D5</f>
        <v>5356.0204412908206</v>
      </c>
      <c r="G5">
        <f t="shared" si="0"/>
        <v>0</v>
      </c>
      <c r="H5">
        <f t="shared" si="0"/>
        <v>0</v>
      </c>
      <c r="I5">
        <f t="shared" si="0"/>
        <v>0</v>
      </c>
    </row>
    <row r="6" spans="1:9" ht="25.5" x14ac:dyDescent="0.2">
      <c r="A6" s="1970" t="s">
        <v>1878</v>
      </c>
      <c r="E6">
        <f ca="1">CokingRefineryPFD!E118</f>
        <v>558611377.33641267</v>
      </c>
    </row>
    <row r="7" spans="1:9" ht="25.5" x14ac:dyDescent="0.2">
      <c r="A7" s="1970" t="s">
        <v>1879</v>
      </c>
      <c r="F7">
        <f ca="1">VLOOKUP($C5, 'CokingRefinery Detailed Results'!$C$9:$P$31, 4, FALSE)</f>
        <v>5356.0204412908206</v>
      </c>
      <c r="G7">
        <f>VLOOKUP($C5, 'CokingRefinery Detailed Results'!$C$9:$P$31, 6, FALSE)</f>
        <v>0</v>
      </c>
      <c r="H7">
        <f>VLOOKUP($C5, 'CokingRefinery Detailed Results'!$C$9:$P$31, 8, FALSE)</f>
        <v>0</v>
      </c>
      <c r="I7">
        <f>VLOOKUP($C5, 'CokingRefinery Detailed Results'!$C$9:$P$31, 10, FALSE)</f>
        <v>0</v>
      </c>
    </row>
    <row r="9" spans="1:9" ht="38.25" x14ac:dyDescent="0.2">
      <c r="A9" s="1970" t="s">
        <v>598</v>
      </c>
      <c r="B9" s="1970" t="s">
        <v>1880</v>
      </c>
      <c r="C9" s="1970" t="s">
        <v>1299</v>
      </c>
      <c r="D9" s="1949">
        <v>1</v>
      </c>
      <c r="E9">
        <f ca="1">SUM(E10:E11)*$D9</f>
        <v>558611377.33641267</v>
      </c>
      <c r="F9">
        <f t="shared" ref="F9" ca="1" si="1">SUM(F10:F11)*$D9</f>
        <v>5356.0204412908206</v>
      </c>
      <c r="G9">
        <f t="shared" ref="G9" ca="1" si="2">SUM(G10:G11)*$D9</f>
        <v>4212432.3875972163</v>
      </c>
      <c r="H9">
        <f t="shared" ref="H9" si="3">SUM(H10:H11)*$D9</f>
        <v>0</v>
      </c>
      <c r="I9">
        <f t="shared" ref="I9" si="4">SUM(I10:I11)*$D9</f>
        <v>0</v>
      </c>
    </row>
    <row r="10" spans="1:9" ht="25.5" x14ac:dyDescent="0.2">
      <c r="A10" s="1970" t="s">
        <v>1878</v>
      </c>
      <c r="E10">
        <f ca="1">E5</f>
        <v>558611377.33641267</v>
      </c>
      <c r="F10">
        <f t="shared" ref="F10:I10" ca="1" si="5">F5</f>
        <v>5356.0204412908206</v>
      </c>
      <c r="G10">
        <f t="shared" si="5"/>
        <v>0</v>
      </c>
      <c r="H10">
        <f t="shared" si="5"/>
        <v>0</v>
      </c>
      <c r="I10">
        <f t="shared" si="5"/>
        <v>0</v>
      </c>
    </row>
    <row r="11" spans="1:9" ht="25.5" x14ac:dyDescent="0.2">
      <c r="A11" s="1970" t="s">
        <v>1879</v>
      </c>
      <c r="F11">
        <f>VLOOKUP($C9, 'CokingRefinery Detailed Results'!$C$9:$P$31, 4, FALSE)</f>
        <v>0</v>
      </c>
      <c r="G11">
        <f ca="1">VLOOKUP($C9, 'CokingRefinery Detailed Results'!$C$9:$P$31, 6, FALSE)</f>
        <v>4212432.3875972163</v>
      </c>
      <c r="H11">
        <f>VLOOKUP($C9, 'CokingRefinery Detailed Results'!$C$9:$P$31, 8, FALSE)</f>
        <v>0</v>
      </c>
      <c r="I11">
        <f>VLOOKUP($C9, 'CokingRefinery Detailed Results'!$C$9:$P$31, 10, FALSE)</f>
        <v>0</v>
      </c>
    </row>
    <row r="13" spans="1:9" ht="25.5" x14ac:dyDescent="0.2">
      <c r="A13" s="1970" t="s">
        <v>598</v>
      </c>
      <c r="B13" s="1970" t="s">
        <v>950</v>
      </c>
      <c r="C13" s="1970" t="s">
        <v>1306</v>
      </c>
      <c r="D13" s="1972">
        <f ca="1">CokingRefineryAllocation!B16</f>
        <v>0.32614135333444511</v>
      </c>
      <c r="E13">
        <f ca="1">SUM(E14:E15)*$D13</f>
        <v>182186270.59251601</v>
      </c>
      <c r="F13">
        <f t="shared" ref="F13" ca="1" si="6">SUM(F14:F15)*$D13</f>
        <v>12227.738286466778</v>
      </c>
      <c r="G13">
        <f t="shared" ref="G13" ca="1" si="7">SUM(G14:G15)*$D13</f>
        <v>1373848.3997208038</v>
      </c>
      <c r="H13">
        <f t="shared" ref="H13" ca="1" si="8">SUM(H14:H15)*$D13</f>
        <v>262760.34901914693</v>
      </c>
      <c r="I13">
        <f t="shared" ref="I13" ca="1" si="9">SUM(I14:I15)*$D13</f>
        <v>0</v>
      </c>
    </row>
    <row r="14" spans="1:9" ht="25.5" x14ac:dyDescent="0.2">
      <c r="A14" s="1970" t="s">
        <v>1878</v>
      </c>
      <c r="E14">
        <f ca="1">E9</f>
        <v>558611377.33641267</v>
      </c>
      <c r="F14">
        <f t="shared" ref="F14:I14" ca="1" si="10">F9</f>
        <v>5356.0204412908206</v>
      </c>
      <c r="G14">
        <f t="shared" ca="1" si="10"/>
        <v>4212432.3875972163</v>
      </c>
      <c r="H14">
        <f t="shared" si="10"/>
        <v>0</v>
      </c>
      <c r="I14">
        <f t="shared" si="10"/>
        <v>0</v>
      </c>
    </row>
    <row r="15" spans="1:9" ht="25.5" x14ac:dyDescent="0.2">
      <c r="A15" s="1970" t="s">
        <v>1879</v>
      </c>
      <c r="F15">
        <f ca="1">VLOOKUP($C13, 'CokingRefinery Detailed Results'!$C$9:$P$31, 4, FALSE)</f>
        <v>32136.122647744916</v>
      </c>
      <c r="G15">
        <f>VLOOKUP($C13, 'CokingRefinery Detailed Results'!$C$9:$P$31, 6, FALSE)</f>
        <v>0</v>
      </c>
      <c r="H15">
        <f ca="1">VLOOKUP($C13, 'CokingRefinery Detailed Results'!$C$9:$P$31, 8, FALSE)</f>
        <v>805664.00529311772</v>
      </c>
      <c r="I15">
        <f>VLOOKUP($C13, 'CokingRefinery Detailed Results'!$C$9:$P$31, 10, FALSE)</f>
        <v>0</v>
      </c>
    </row>
    <row r="17" spans="1:9" ht="25.5" x14ac:dyDescent="0.2">
      <c r="A17" s="1970" t="s">
        <v>598</v>
      </c>
      <c r="B17" s="1970" t="s">
        <v>230</v>
      </c>
      <c r="C17" s="1970" t="s">
        <v>1306</v>
      </c>
      <c r="D17" s="1972">
        <f ca="1">CokingRefineryAllocation!C16</f>
        <v>0.35221105589469742</v>
      </c>
      <c r="E17">
        <f ca="1">SUM(E18:E19)*$D17</f>
        <v>196749103.04644915</v>
      </c>
      <c r="F17">
        <f t="shared" ref="F17" ca="1" si="11">SUM(F18:F19)*$D17</f>
        <v>13205.147305144359</v>
      </c>
      <c r="G17">
        <f t="shared" ref="G17" ca="1" si="12">SUM(G18:G19)*$D17</f>
        <v>1483665.2591206369</v>
      </c>
      <c r="H17">
        <f t="shared" ref="H17" ca="1" si="13">SUM(H18:H19)*$D17</f>
        <v>283763.77000064007</v>
      </c>
      <c r="I17">
        <f t="shared" ref="I17" ca="1" si="14">SUM(I18:I19)*$D17</f>
        <v>0</v>
      </c>
    </row>
    <row r="18" spans="1:9" ht="25.5" x14ac:dyDescent="0.2">
      <c r="A18" s="1970" t="s">
        <v>1878</v>
      </c>
      <c r="E18">
        <f ca="1">E9</f>
        <v>558611377.33641267</v>
      </c>
      <c r="F18">
        <f t="shared" ref="F18:I18" ca="1" si="15">F9</f>
        <v>5356.0204412908206</v>
      </c>
      <c r="G18">
        <f t="shared" ca="1" si="15"/>
        <v>4212432.3875972163</v>
      </c>
      <c r="H18">
        <f t="shared" si="15"/>
        <v>0</v>
      </c>
      <c r="I18">
        <f t="shared" si="15"/>
        <v>0</v>
      </c>
    </row>
    <row r="19" spans="1:9" ht="25.5" x14ac:dyDescent="0.2">
      <c r="A19" s="1970" t="s">
        <v>1879</v>
      </c>
      <c r="F19">
        <f ca="1">VLOOKUP($C17, 'CokingRefinery Detailed Results'!$C$9:$P$31, 4, FALSE)</f>
        <v>32136.122647744916</v>
      </c>
      <c r="G19">
        <f>VLOOKUP($C17, 'CokingRefinery Detailed Results'!$C$9:$P$31, 6, FALSE)</f>
        <v>0</v>
      </c>
      <c r="H19">
        <f ca="1">VLOOKUP($C17, 'CokingRefinery Detailed Results'!$C$9:$P$31, 8, FALSE)</f>
        <v>805664.00529311772</v>
      </c>
      <c r="I19">
        <f>VLOOKUP($C17, 'CokingRefinery Detailed Results'!$C$9:$P$31, 10, FALSE)</f>
        <v>0</v>
      </c>
    </row>
    <row r="21" spans="1:9" ht="25.5" x14ac:dyDescent="0.2">
      <c r="A21" s="1970" t="s">
        <v>598</v>
      </c>
      <c r="B21" s="1970" t="s">
        <v>1378</v>
      </c>
      <c r="C21" s="1970" t="s">
        <v>1306</v>
      </c>
      <c r="D21" s="1972">
        <f ca="1">CokingRefineryAllocation!D16</f>
        <v>0.16831604222413388</v>
      </c>
      <c r="E21">
        <f ca="1">SUM(E22:E23)*$D21</f>
        <v>94023256.174637213</v>
      </c>
      <c r="F21">
        <f t="shared" ref="F21" ca="1" si="16">SUM(F22:F23)*$D21</f>
        <v>6310.5291392474082</v>
      </c>
      <c r="G21">
        <f t="shared" ref="G21" ca="1" si="17">SUM(G22:G23)*$D21</f>
        <v>709019.94761712209</v>
      </c>
      <c r="H21">
        <f t="shared" ref="H21" ca="1" si="18">SUM(H22:H23)*$D21</f>
        <v>135606.17673338123</v>
      </c>
      <c r="I21">
        <f t="shared" ref="I21" ca="1" si="19">SUM(I22:I23)*$D21</f>
        <v>0</v>
      </c>
    </row>
    <row r="22" spans="1:9" ht="25.5" x14ac:dyDescent="0.2">
      <c r="A22" s="1970" t="s">
        <v>1878</v>
      </c>
      <c r="E22">
        <f ca="1">E9</f>
        <v>558611377.33641267</v>
      </c>
      <c r="F22">
        <f t="shared" ref="F22:I22" ca="1" si="20">F9</f>
        <v>5356.0204412908206</v>
      </c>
      <c r="G22">
        <f t="shared" ca="1" si="20"/>
        <v>4212432.3875972163</v>
      </c>
      <c r="H22">
        <f t="shared" si="20"/>
        <v>0</v>
      </c>
      <c r="I22">
        <f t="shared" si="20"/>
        <v>0</v>
      </c>
    </row>
    <row r="23" spans="1:9" ht="25.5" x14ac:dyDescent="0.2">
      <c r="A23" s="1970" t="s">
        <v>1879</v>
      </c>
      <c r="F23">
        <f ca="1">VLOOKUP($C21, 'CokingRefinery Detailed Results'!$C$9:$P$31, 4, FALSE)</f>
        <v>32136.122647744916</v>
      </c>
      <c r="G23">
        <f>VLOOKUP($C21, 'CokingRefinery Detailed Results'!$C$9:$P$31, 6, FALSE)</f>
        <v>0</v>
      </c>
      <c r="H23">
        <f ca="1">VLOOKUP($C21, 'CokingRefinery Detailed Results'!$C$9:$P$31, 8, FALSE)</f>
        <v>805664.00529311772</v>
      </c>
      <c r="I23">
        <f>VLOOKUP($C21, 'CokingRefinery Detailed Results'!$C$9:$P$31, 10, FALSE)</f>
        <v>0</v>
      </c>
    </row>
    <row r="25" spans="1:9" ht="25.5" x14ac:dyDescent="0.2">
      <c r="A25" s="1970" t="s">
        <v>598</v>
      </c>
      <c r="B25" s="1970" t="s">
        <v>574</v>
      </c>
      <c r="C25" s="1970" t="s">
        <v>1306</v>
      </c>
      <c r="D25" s="1972">
        <f ca="1">CokingRefineryAllocation!E16</f>
        <v>0.15333154854672365</v>
      </c>
      <c r="E25">
        <f ca="1">SUM(E26:E27)*$D25</f>
        <v>85652747.522810325</v>
      </c>
      <c r="F25">
        <f t="shared" ref="F25" ca="1" si="21">SUM(F26:F27)*$D25</f>
        <v>5748.7283581771926</v>
      </c>
      <c r="G25">
        <f t="shared" ref="G25" ca="1" si="22">SUM(G26:G27)*$D25</f>
        <v>645898.78113865363</v>
      </c>
      <c r="H25">
        <f t="shared" ref="H25" ca="1" si="23">SUM(H26:H27)*$D25</f>
        <v>123533.7095399495</v>
      </c>
      <c r="I25">
        <f t="shared" ref="I25" ca="1" si="24">SUM(I26:I27)*$D25</f>
        <v>0</v>
      </c>
    </row>
    <row r="26" spans="1:9" ht="25.5" x14ac:dyDescent="0.2">
      <c r="A26" s="1970" t="s">
        <v>1878</v>
      </c>
      <c r="E26">
        <f ca="1">E9</f>
        <v>558611377.33641267</v>
      </c>
      <c r="F26">
        <f t="shared" ref="F26:I26" ca="1" si="25">F9</f>
        <v>5356.0204412908206</v>
      </c>
      <c r="G26">
        <f t="shared" ca="1" si="25"/>
        <v>4212432.3875972163</v>
      </c>
      <c r="H26">
        <f t="shared" si="25"/>
        <v>0</v>
      </c>
      <c r="I26">
        <f t="shared" si="25"/>
        <v>0</v>
      </c>
    </row>
    <row r="27" spans="1:9" ht="25.5" x14ac:dyDescent="0.2">
      <c r="A27" s="1970" t="s">
        <v>1879</v>
      </c>
      <c r="F27">
        <f ca="1">VLOOKUP($C25, 'CokingRefinery Detailed Results'!$C$9:$P$31, 4, FALSE)</f>
        <v>32136.122647744916</v>
      </c>
      <c r="G27">
        <f>VLOOKUP($C25, 'CokingRefinery Detailed Results'!$C$9:$P$31, 6, FALSE)</f>
        <v>0</v>
      </c>
      <c r="H27">
        <f ca="1">VLOOKUP($C25, 'CokingRefinery Detailed Results'!$C$9:$P$31, 8, FALSE)</f>
        <v>805664.00529311772</v>
      </c>
      <c r="I27">
        <f>VLOOKUP($C25, 'CokingRefinery Detailed Results'!$C$9:$P$31, 10, FALSE)</f>
        <v>0</v>
      </c>
    </row>
    <row r="29" spans="1:9" ht="25.5" x14ac:dyDescent="0.2">
      <c r="A29" s="1970" t="s">
        <v>598</v>
      </c>
      <c r="B29" s="1970" t="s">
        <v>607</v>
      </c>
      <c r="C29" s="1970" t="s">
        <v>1306</v>
      </c>
      <c r="D29" s="1972">
        <f ca="1">CokingRefineryAllocation!F16</f>
        <v>7.7256004971093289E-37</v>
      </c>
      <c r="E29">
        <f ca="1">SUM(E30:E31)*$D29</f>
        <v>4.315608334441117E-28</v>
      </c>
      <c r="F29">
        <f t="shared" ref="F29" ca="1" si="26">SUM(F30:F31)*$D29</f>
        <v>2.8964931928634858E-32</v>
      </c>
      <c r="G29">
        <f t="shared" ref="G29" ca="1" si="27">SUM(G30:G31)*$D29</f>
        <v>3.2543569747660489E-30</v>
      </c>
      <c r="H29">
        <f t="shared" ref="H29" ca="1" si="28">SUM(H30:H31)*$D29</f>
        <v>6.2242382397956034E-31</v>
      </c>
      <c r="I29">
        <f t="shared" ref="I29" ca="1" si="29">SUM(I30:I31)*$D29</f>
        <v>0</v>
      </c>
    </row>
    <row r="30" spans="1:9" ht="25.5" x14ac:dyDescent="0.2">
      <c r="A30" s="1970" t="s">
        <v>1878</v>
      </c>
      <c r="E30">
        <f ca="1">E9</f>
        <v>558611377.33641267</v>
      </c>
      <c r="F30">
        <f t="shared" ref="F30:I30" ca="1" si="30">F9</f>
        <v>5356.0204412908206</v>
      </c>
      <c r="G30">
        <f t="shared" ca="1" si="30"/>
        <v>4212432.3875972163</v>
      </c>
      <c r="H30">
        <f t="shared" si="30"/>
        <v>0</v>
      </c>
      <c r="I30">
        <f t="shared" si="30"/>
        <v>0</v>
      </c>
    </row>
    <row r="31" spans="1:9" ht="25.5" x14ac:dyDescent="0.2">
      <c r="A31" s="1970" t="s">
        <v>1879</v>
      </c>
      <c r="F31">
        <f ca="1">VLOOKUP($C29, 'CokingRefinery Detailed Results'!$C$9:$P$31, 4, FALSE)</f>
        <v>32136.122647744916</v>
      </c>
      <c r="G31">
        <f>VLOOKUP($C29, 'CokingRefinery Detailed Results'!$C$9:$P$31, 6, FALSE)</f>
        <v>0</v>
      </c>
      <c r="H31">
        <f ca="1">VLOOKUP($C29, 'CokingRefinery Detailed Results'!$C$9:$P$31, 8, FALSE)</f>
        <v>805664.00529311772</v>
      </c>
      <c r="I31">
        <f>VLOOKUP($C29, 'CokingRefinery Detailed Results'!$C$9:$P$31, 10, FALSE)</f>
        <v>0</v>
      </c>
    </row>
    <row r="33" spans="1:9" x14ac:dyDescent="0.2">
      <c r="A33" s="1970" t="s">
        <v>598</v>
      </c>
      <c r="E33">
        <f>SUM(E34:E35)*$D33</f>
        <v>0</v>
      </c>
      <c r="F33" t="e">
        <f t="shared" ref="F33" si="31">SUM(F34:F35)*$D33</f>
        <v>#N/A</v>
      </c>
      <c r="G33" t="e">
        <f t="shared" ref="G33" si="32">SUM(G34:G35)*$D33</f>
        <v>#N/A</v>
      </c>
      <c r="H33" t="e">
        <f t="shared" ref="H33" si="33">SUM(H34:H35)*$D33</f>
        <v>#N/A</v>
      </c>
      <c r="I33" t="e">
        <f t="shared" ref="I33" si="34">SUM(I34:I35)*$D33</f>
        <v>#N/A</v>
      </c>
    </row>
    <row r="34" spans="1:9" ht="25.5" x14ac:dyDescent="0.2">
      <c r="A34" s="1970" t="s">
        <v>1878</v>
      </c>
    </row>
    <row r="35" spans="1:9" ht="25.5" x14ac:dyDescent="0.2">
      <c r="A35" s="1970" t="s">
        <v>1879</v>
      </c>
      <c r="F35" t="e">
        <f>VLOOKUP($C33, 'CokingRefinery Detailed Results'!$C$9:$P$31, 4, FALSE)</f>
        <v>#N/A</v>
      </c>
      <c r="G35" t="e">
        <f>VLOOKUP($C33, 'CokingRefinery Detailed Results'!$C$9:$P$31, 6, FALSE)</f>
        <v>#N/A</v>
      </c>
      <c r="H35" t="e">
        <f>VLOOKUP($C33, 'CokingRefinery Detailed Results'!$C$9:$P$31, 8, FALSE)</f>
        <v>#N/A</v>
      </c>
      <c r="I35" t="e">
        <f>VLOOKUP($C33, 'CokingRefinery Detailed Results'!$C$9:$P$31, 10, FALSE)</f>
        <v>#N/A</v>
      </c>
    </row>
    <row r="37" spans="1:9" x14ac:dyDescent="0.2">
      <c r="A37" s="1970" t="s">
        <v>598</v>
      </c>
      <c r="E37">
        <f>SUM(E38:E39)*$D37</f>
        <v>0</v>
      </c>
      <c r="F37" t="e">
        <f t="shared" ref="F37" si="35">SUM(F38:F39)*$D37</f>
        <v>#N/A</v>
      </c>
      <c r="G37" t="e">
        <f t="shared" ref="G37" si="36">SUM(G38:G39)*$D37</f>
        <v>#N/A</v>
      </c>
      <c r="H37" t="e">
        <f t="shared" ref="H37" si="37">SUM(H38:H39)*$D37</f>
        <v>#N/A</v>
      </c>
      <c r="I37" t="e">
        <f t="shared" ref="I37" si="38">SUM(I38:I39)*$D37</f>
        <v>#N/A</v>
      </c>
    </row>
    <row r="38" spans="1:9" ht="25.5" x14ac:dyDescent="0.2">
      <c r="A38" s="1970" t="s">
        <v>1878</v>
      </c>
    </row>
    <row r="39" spans="1:9" ht="25.5" x14ac:dyDescent="0.2">
      <c r="A39" s="1970" t="s">
        <v>1879</v>
      </c>
      <c r="F39" t="e">
        <f>VLOOKUP($C37, 'CokingRefinery Detailed Results'!$C$9:$P$31, 4, FALSE)</f>
        <v>#N/A</v>
      </c>
      <c r="G39" t="e">
        <f>VLOOKUP($C37, 'CokingRefinery Detailed Results'!$C$9:$P$31, 6, FALSE)</f>
        <v>#N/A</v>
      </c>
      <c r="H39" t="e">
        <f>VLOOKUP($C37, 'CokingRefinery Detailed Results'!$C$9:$P$31, 8, FALSE)</f>
        <v>#N/A</v>
      </c>
      <c r="I39" t="e">
        <f>VLOOKUP($C37, 'CokingRefinery Detailed Results'!$C$9:$P$31, 10, FALSE)</f>
        <v>#N/A</v>
      </c>
    </row>
    <row r="41" spans="1:9" x14ac:dyDescent="0.2">
      <c r="A41" s="1970" t="s">
        <v>598</v>
      </c>
      <c r="E41">
        <f>SUM(E42:E43)*$D41</f>
        <v>0</v>
      </c>
      <c r="F41" t="e">
        <f t="shared" ref="F41" si="39">SUM(F42:F43)*$D41</f>
        <v>#N/A</v>
      </c>
      <c r="G41" t="e">
        <f t="shared" ref="G41" si="40">SUM(G42:G43)*$D41</f>
        <v>#N/A</v>
      </c>
      <c r="H41" t="e">
        <f t="shared" ref="H41" si="41">SUM(H42:H43)*$D41</f>
        <v>#N/A</v>
      </c>
      <c r="I41" t="e">
        <f t="shared" ref="I41" si="42">SUM(I42:I43)*$D41</f>
        <v>#N/A</v>
      </c>
    </row>
    <row r="42" spans="1:9" ht="25.5" x14ac:dyDescent="0.2">
      <c r="A42" s="1970" t="s">
        <v>1878</v>
      </c>
    </row>
    <row r="43" spans="1:9" ht="25.5" x14ac:dyDescent="0.2">
      <c r="A43" s="1970" t="s">
        <v>1879</v>
      </c>
      <c r="F43" t="e">
        <f>VLOOKUP($C41, 'CokingRefinery Detailed Results'!$C$9:$P$31, 4, FALSE)</f>
        <v>#N/A</v>
      </c>
      <c r="G43" t="e">
        <f>VLOOKUP($C41, 'CokingRefinery Detailed Results'!$C$9:$P$31, 6, FALSE)</f>
        <v>#N/A</v>
      </c>
      <c r="H43" t="e">
        <f>VLOOKUP($C41, 'CokingRefinery Detailed Results'!$C$9:$P$31, 8, FALSE)</f>
        <v>#N/A</v>
      </c>
      <c r="I43" t="e">
        <f>VLOOKUP($C41, 'CokingRefinery Detailed Results'!$C$9:$P$31, 10, FALSE)</f>
        <v>#N/A</v>
      </c>
    </row>
    <row r="45" spans="1:9" x14ac:dyDescent="0.2">
      <c r="A45" s="1970" t="s">
        <v>598</v>
      </c>
      <c r="E45">
        <f>SUM(E46:E47)*$D45</f>
        <v>0</v>
      </c>
      <c r="F45" t="e">
        <f t="shared" ref="F45" si="43">SUM(F46:F47)*$D45</f>
        <v>#N/A</v>
      </c>
      <c r="G45" t="e">
        <f t="shared" ref="G45" si="44">SUM(G46:G47)*$D45</f>
        <v>#N/A</v>
      </c>
      <c r="H45" t="e">
        <f t="shared" ref="H45" si="45">SUM(H46:H47)*$D45</f>
        <v>#N/A</v>
      </c>
      <c r="I45" t="e">
        <f t="shared" ref="I45" si="46">SUM(I46:I47)*$D45</f>
        <v>#N/A</v>
      </c>
    </row>
    <row r="46" spans="1:9" ht="25.5" x14ac:dyDescent="0.2">
      <c r="A46" s="1970" t="s">
        <v>1878</v>
      </c>
    </row>
    <row r="47" spans="1:9" ht="25.5" x14ac:dyDescent="0.2">
      <c r="A47" s="1970" t="s">
        <v>1879</v>
      </c>
      <c r="F47" t="e">
        <f>VLOOKUP($C45, 'CokingRefinery Detailed Results'!$C$9:$P$31, 4, FALSE)</f>
        <v>#N/A</v>
      </c>
      <c r="G47" t="e">
        <f>VLOOKUP($C45, 'CokingRefinery Detailed Results'!$C$9:$P$31, 6, FALSE)</f>
        <v>#N/A</v>
      </c>
      <c r="H47" t="e">
        <f>VLOOKUP($C45, 'CokingRefinery Detailed Results'!$C$9:$P$31, 8, FALSE)</f>
        <v>#N/A</v>
      </c>
      <c r="I47" t="e">
        <f>VLOOKUP($C45, 'CokingRefinery Detailed Results'!$C$9:$P$31, 10, FALSE)</f>
        <v>#N/A</v>
      </c>
    </row>
    <row r="49" spans="1:9" x14ac:dyDescent="0.2">
      <c r="A49" s="1970" t="s">
        <v>598</v>
      </c>
      <c r="E49">
        <f>SUM(E50:E51)*$D49</f>
        <v>0</v>
      </c>
      <c r="F49" t="e">
        <f t="shared" ref="F49" si="47">SUM(F50:F51)*$D49</f>
        <v>#N/A</v>
      </c>
      <c r="G49" t="e">
        <f t="shared" ref="G49" si="48">SUM(G50:G51)*$D49</f>
        <v>#N/A</v>
      </c>
      <c r="H49" t="e">
        <f t="shared" ref="H49" si="49">SUM(H50:H51)*$D49</f>
        <v>#N/A</v>
      </c>
      <c r="I49" t="e">
        <f t="shared" ref="I49" si="50">SUM(I50:I51)*$D49</f>
        <v>#N/A</v>
      </c>
    </row>
    <row r="50" spans="1:9" ht="25.5" x14ac:dyDescent="0.2">
      <c r="A50" s="1970" t="s">
        <v>1878</v>
      </c>
    </row>
    <row r="51" spans="1:9" ht="25.5" x14ac:dyDescent="0.2">
      <c r="A51" s="1970" t="s">
        <v>1879</v>
      </c>
      <c r="F51" t="e">
        <f>VLOOKUP($C49, 'CokingRefinery Detailed Results'!$C$9:$P$31, 4, FALSE)</f>
        <v>#N/A</v>
      </c>
      <c r="G51" t="e">
        <f>VLOOKUP($C49, 'CokingRefinery Detailed Results'!$C$9:$P$31, 6, FALSE)</f>
        <v>#N/A</v>
      </c>
      <c r="H51" t="e">
        <f>VLOOKUP($C49, 'CokingRefinery Detailed Results'!$C$9:$P$31, 8, FALSE)</f>
        <v>#N/A</v>
      </c>
      <c r="I51" t="e">
        <f>VLOOKUP($C49, 'CokingRefinery Detailed Results'!$C$9:$P$31, 10, FALSE)</f>
        <v>#N/A</v>
      </c>
    </row>
    <row r="53" spans="1:9" x14ac:dyDescent="0.2">
      <c r="A53" s="1970" t="s">
        <v>598</v>
      </c>
      <c r="E53">
        <f>SUM(E54:E55)*$D53</f>
        <v>0</v>
      </c>
      <c r="F53" t="e">
        <f t="shared" ref="F53" si="51">SUM(F54:F55)*$D53</f>
        <v>#N/A</v>
      </c>
      <c r="G53" t="e">
        <f t="shared" ref="G53" si="52">SUM(G54:G55)*$D53</f>
        <v>#N/A</v>
      </c>
      <c r="H53" t="e">
        <f t="shared" ref="H53" si="53">SUM(H54:H55)*$D53</f>
        <v>#N/A</v>
      </c>
      <c r="I53" t="e">
        <f t="shared" ref="I53" si="54">SUM(I54:I55)*$D53</f>
        <v>#N/A</v>
      </c>
    </row>
    <row r="54" spans="1:9" ht="25.5" x14ac:dyDescent="0.2">
      <c r="A54" s="1970" t="s">
        <v>1878</v>
      </c>
    </row>
    <row r="55" spans="1:9" ht="25.5" x14ac:dyDescent="0.2">
      <c r="A55" s="1970" t="s">
        <v>1879</v>
      </c>
      <c r="F55" t="e">
        <f>VLOOKUP($C53, 'CokingRefinery Detailed Results'!$C$9:$P$31, 4, FALSE)</f>
        <v>#N/A</v>
      </c>
      <c r="G55" t="e">
        <f>VLOOKUP($C53, 'CokingRefinery Detailed Results'!$C$9:$P$31, 6, FALSE)</f>
        <v>#N/A</v>
      </c>
      <c r="H55" t="e">
        <f>VLOOKUP($C53, 'CokingRefinery Detailed Results'!$C$9:$P$31, 8, FALSE)</f>
        <v>#N/A</v>
      </c>
      <c r="I55" t="e">
        <f>VLOOKUP($C53, 'CokingRefinery Detailed Results'!$C$9:$P$31, 10, FALSE)</f>
        <v>#N/A</v>
      </c>
    </row>
    <row r="57" spans="1:9" x14ac:dyDescent="0.2">
      <c r="A57" s="1970" t="s">
        <v>598</v>
      </c>
      <c r="E57">
        <f>SUM(E58:E59)*$D57</f>
        <v>0</v>
      </c>
      <c r="F57" t="e">
        <f t="shared" ref="F57" si="55">SUM(F58:F59)*$D57</f>
        <v>#N/A</v>
      </c>
      <c r="G57" t="e">
        <f t="shared" ref="G57" si="56">SUM(G58:G59)*$D57</f>
        <v>#N/A</v>
      </c>
      <c r="H57" t="e">
        <f t="shared" ref="H57" si="57">SUM(H58:H59)*$D57</f>
        <v>#N/A</v>
      </c>
      <c r="I57" t="e">
        <f t="shared" ref="I57" si="58">SUM(I58:I59)*$D57</f>
        <v>#N/A</v>
      </c>
    </row>
    <row r="58" spans="1:9" ht="25.5" x14ac:dyDescent="0.2">
      <c r="A58" s="1970" t="s">
        <v>1878</v>
      </c>
    </row>
    <row r="59" spans="1:9" ht="25.5" x14ac:dyDescent="0.2">
      <c r="A59" s="1970" t="s">
        <v>1879</v>
      </c>
      <c r="F59" t="e">
        <f>VLOOKUP($C57, 'CokingRefinery Detailed Results'!$C$9:$P$31, 4, FALSE)</f>
        <v>#N/A</v>
      </c>
      <c r="G59" t="e">
        <f>VLOOKUP($C57, 'CokingRefinery Detailed Results'!$C$9:$P$31, 6, FALSE)</f>
        <v>#N/A</v>
      </c>
      <c r="H59" t="e">
        <f>VLOOKUP($C57, 'CokingRefinery Detailed Results'!$C$9:$P$31, 8, FALSE)</f>
        <v>#N/A</v>
      </c>
      <c r="I59" t="e">
        <f>VLOOKUP($C57, 'CokingRefinery Detailed Results'!$C$9:$P$31, 10, FALSE)</f>
        <v>#N/A</v>
      </c>
    </row>
    <row r="61" spans="1:9" x14ac:dyDescent="0.2">
      <c r="A61" s="1970" t="s">
        <v>598</v>
      </c>
      <c r="E61">
        <f>SUM(E62:E63)*$D61</f>
        <v>0</v>
      </c>
      <c r="F61" t="e">
        <f t="shared" ref="F61" si="59">SUM(F62:F63)*$D61</f>
        <v>#N/A</v>
      </c>
      <c r="G61" t="e">
        <f t="shared" ref="G61" si="60">SUM(G62:G63)*$D61</f>
        <v>#N/A</v>
      </c>
      <c r="H61" t="e">
        <f t="shared" ref="H61" si="61">SUM(H62:H63)*$D61</f>
        <v>#N/A</v>
      </c>
      <c r="I61" t="e">
        <f t="shared" ref="I61" si="62">SUM(I62:I63)*$D61</f>
        <v>#N/A</v>
      </c>
    </row>
    <row r="62" spans="1:9" ht="25.5" x14ac:dyDescent="0.2">
      <c r="A62" s="1970" t="s">
        <v>1878</v>
      </c>
    </row>
    <row r="63" spans="1:9" ht="25.5" x14ac:dyDescent="0.2">
      <c r="A63" s="1970" t="s">
        <v>1879</v>
      </c>
      <c r="F63" t="e">
        <f>VLOOKUP($C61, 'CokingRefinery Detailed Results'!$C$9:$P$31, 4, FALSE)</f>
        <v>#N/A</v>
      </c>
      <c r="G63" t="e">
        <f>VLOOKUP($C61, 'CokingRefinery Detailed Results'!$C$9:$P$31, 6, FALSE)</f>
        <v>#N/A</v>
      </c>
      <c r="H63" t="e">
        <f>VLOOKUP($C61, 'CokingRefinery Detailed Results'!$C$9:$P$31, 8, FALSE)</f>
        <v>#N/A</v>
      </c>
      <c r="I63" t="e">
        <f>VLOOKUP($C61, 'CokingRefinery Detailed Results'!$C$9:$P$31, 10, FALSE)</f>
        <v>#N/A</v>
      </c>
    </row>
    <row r="65" spans="1:9" x14ac:dyDescent="0.2">
      <c r="A65" s="1970" t="s">
        <v>598</v>
      </c>
      <c r="E65">
        <f>SUM(E66:E67)*$D65</f>
        <v>0</v>
      </c>
      <c r="F65" t="e">
        <f t="shared" ref="F65" si="63">SUM(F66:F67)*$D65</f>
        <v>#N/A</v>
      </c>
      <c r="G65" t="e">
        <f t="shared" ref="G65" si="64">SUM(G66:G67)*$D65</f>
        <v>#N/A</v>
      </c>
      <c r="H65" t="e">
        <f t="shared" ref="H65" si="65">SUM(H66:H67)*$D65</f>
        <v>#N/A</v>
      </c>
      <c r="I65" t="e">
        <f t="shared" ref="I65" si="66">SUM(I66:I67)*$D65</f>
        <v>#N/A</v>
      </c>
    </row>
    <row r="66" spans="1:9" ht="25.5" x14ac:dyDescent="0.2">
      <c r="A66" s="1970" t="s">
        <v>1878</v>
      </c>
    </row>
    <row r="67" spans="1:9" ht="25.5" x14ac:dyDescent="0.2">
      <c r="A67" s="1970" t="s">
        <v>1879</v>
      </c>
      <c r="F67" t="e">
        <f>VLOOKUP($C65, 'CokingRefinery Detailed Results'!$C$9:$P$31, 4, FALSE)</f>
        <v>#N/A</v>
      </c>
      <c r="G67" t="e">
        <f>VLOOKUP($C65, 'CokingRefinery Detailed Results'!$C$9:$P$31, 6, FALSE)</f>
        <v>#N/A</v>
      </c>
      <c r="H67" t="e">
        <f>VLOOKUP($C65, 'CokingRefinery Detailed Results'!$C$9:$P$31, 8, FALSE)</f>
        <v>#N/A</v>
      </c>
      <c r="I67" t="e">
        <f>VLOOKUP($C65, 'CokingRefinery Detailed Results'!$C$9:$P$31, 10, FALSE)</f>
        <v>#N/A</v>
      </c>
    </row>
    <row r="69" spans="1:9" x14ac:dyDescent="0.2">
      <c r="A69" s="1970" t="s">
        <v>598</v>
      </c>
      <c r="E69">
        <f>SUM(E70:E71)*$D69</f>
        <v>0</v>
      </c>
      <c r="F69" t="e">
        <f t="shared" ref="F69" si="67">SUM(F70:F71)*$D69</f>
        <v>#N/A</v>
      </c>
      <c r="G69" t="e">
        <f t="shared" ref="G69" si="68">SUM(G70:G71)*$D69</f>
        <v>#N/A</v>
      </c>
      <c r="H69" t="e">
        <f t="shared" ref="H69" si="69">SUM(H70:H71)*$D69</f>
        <v>#N/A</v>
      </c>
      <c r="I69" t="e">
        <f t="shared" ref="I69" si="70">SUM(I70:I71)*$D69</f>
        <v>#N/A</v>
      </c>
    </row>
    <row r="70" spans="1:9" ht="25.5" x14ac:dyDescent="0.2">
      <c r="A70" s="1970" t="s">
        <v>1878</v>
      </c>
    </row>
    <row r="71" spans="1:9" ht="25.5" x14ac:dyDescent="0.2">
      <c r="A71" s="1970" t="s">
        <v>1879</v>
      </c>
      <c r="F71" t="e">
        <f>VLOOKUP($C69, 'CokingRefinery Detailed Results'!$C$9:$P$31, 4, FALSE)</f>
        <v>#N/A</v>
      </c>
      <c r="G71" t="e">
        <f>VLOOKUP($C69, 'CokingRefinery Detailed Results'!$C$9:$P$31, 6, FALSE)</f>
        <v>#N/A</v>
      </c>
      <c r="H71" t="e">
        <f>VLOOKUP($C69, 'CokingRefinery Detailed Results'!$C$9:$P$31, 8, FALSE)</f>
        <v>#N/A</v>
      </c>
      <c r="I71" t="e">
        <f>VLOOKUP($C69, 'CokingRefinery Detailed Results'!$C$9:$P$31, 10, FALSE)</f>
        <v>#N/A</v>
      </c>
    </row>
    <row r="73" spans="1:9" x14ac:dyDescent="0.2">
      <c r="A73" s="1970" t="s">
        <v>598</v>
      </c>
      <c r="E73">
        <f>SUM(E74:E75)*$D73</f>
        <v>0</v>
      </c>
      <c r="F73" t="e">
        <f t="shared" ref="F73" si="71">SUM(F74:F75)*$D73</f>
        <v>#N/A</v>
      </c>
      <c r="G73" t="e">
        <f t="shared" ref="G73" si="72">SUM(G74:G75)*$D73</f>
        <v>#N/A</v>
      </c>
      <c r="H73" t="e">
        <f t="shared" ref="H73" si="73">SUM(H74:H75)*$D73</f>
        <v>#N/A</v>
      </c>
      <c r="I73" t="e">
        <f t="shared" ref="I73" si="74">SUM(I74:I75)*$D73</f>
        <v>#N/A</v>
      </c>
    </row>
    <row r="74" spans="1:9" ht="25.5" x14ac:dyDescent="0.2">
      <c r="A74" s="1970" t="s">
        <v>1878</v>
      </c>
    </row>
    <row r="75" spans="1:9" ht="25.5" x14ac:dyDescent="0.2">
      <c r="A75" s="1970" t="s">
        <v>1879</v>
      </c>
      <c r="F75" t="e">
        <f>VLOOKUP($C73, 'CokingRefinery Detailed Results'!$C$9:$P$31, 4, FALSE)</f>
        <v>#N/A</v>
      </c>
      <c r="G75" t="e">
        <f>VLOOKUP($C73, 'CokingRefinery Detailed Results'!$C$9:$P$31, 6, FALSE)</f>
        <v>#N/A</v>
      </c>
      <c r="H75" t="e">
        <f>VLOOKUP($C73, 'CokingRefinery Detailed Results'!$C$9:$P$31, 8, FALSE)</f>
        <v>#N/A</v>
      </c>
      <c r="I75" t="e">
        <f>VLOOKUP($C73, 'CokingRefinery Detailed Results'!$C$9:$P$31, 10, FALSE)</f>
        <v>#N/A</v>
      </c>
    </row>
    <row r="77" spans="1:9" x14ac:dyDescent="0.2">
      <c r="A77" s="1970" t="s">
        <v>598</v>
      </c>
      <c r="E77">
        <f>SUM(E78:E79)*$D77</f>
        <v>0</v>
      </c>
      <c r="F77" t="e">
        <f t="shared" ref="F77" si="75">SUM(F78:F79)*$D77</f>
        <v>#N/A</v>
      </c>
      <c r="G77" t="e">
        <f t="shared" ref="G77" si="76">SUM(G78:G79)*$D77</f>
        <v>#N/A</v>
      </c>
      <c r="H77" t="e">
        <f t="shared" ref="H77" si="77">SUM(H78:H79)*$D77</f>
        <v>#N/A</v>
      </c>
      <c r="I77" t="e">
        <f t="shared" ref="I77" si="78">SUM(I78:I79)*$D77</f>
        <v>#N/A</v>
      </c>
    </row>
    <row r="78" spans="1:9" ht="25.5" x14ac:dyDescent="0.2">
      <c r="A78" s="1970" t="s">
        <v>1878</v>
      </c>
    </row>
    <row r="79" spans="1:9" ht="25.5" x14ac:dyDescent="0.2">
      <c r="A79" s="1970" t="s">
        <v>1879</v>
      </c>
      <c r="F79" t="e">
        <f>VLOOKUP($C77, 'CokingRefinery Detailed Results'!$C$9:$P$31, 4, FALSE)</f>
        <v>#N/A</v>
      </c>
      <c r="G79" t="e">
        <f>VLOOKUP($C77, 'CokingRefinery Detailed Results'!$C$9:$P$31, 6, FALSE)</f>
        <v>#N/A</v>
      </c>
      <c r="H79" t="e">
        <f>VLOOKUP($C77, 'CokingRefinery Detailed Results'!$C$9:$P$31, 8, FALSE)</f>
        <v>#N/A</v>
      </c>
      <c r="I79" t="e">
        <f>VLOOKUP($C77, 'CokingRefinery Detailed Results'!$C$9:$P$31, 10, FALSE)</f>
        <v>#N/A</v>
      </c>
    </row>
    <row r="81" spans="1:9" x14ac:dyDescent="0.2">
      <c r="A81" s="1970" t="s">
        <v>598</v>
      </c>
      <c r="E81">
        <f>SUM(E82:E83)*$D81</f>
        <v>0</v>
      </c>
      <c r="F81" t="e">
        <f t="shared" ref="F81" si="79">SUM(F82:F83)*$D81</f>
        <v>#N/A</v>
      </c>
      <c r="G81" t="e">
        <f t="shared" ref="G81" si="80">SUM(G82:G83)*$D81</f>
        <v>#N/A</v>
      </c>
      <c r="H81" t="e">
        <f t="shared" ref="H81" si="81">SUM(H82:H83)*$D81</f>
        <v>#N/A</v>
      </c>
      <c r="I81" t="e">
        <f t="shared" ref="I81" si="82">SUM(I82:I83)*$D81</f>
        <v>#N/A</v>
      </c>
    </row>
    <row r="82" spans="1:9" ht="25.5" x14ac:dyDescent="0.2">
      <c r="A82" s="1970" t="s">
        <v>1878</v>
      </c>
    </row>
    <row r="83" spans="1:9" ht="25.5" x14ac:dyDescent="0.2">
      <c r="A83" s="1970" t="s">
        <v>1879</v>
      </c>
      <c r="F83" t="e">
        <f>VLOOKUP($C81, 'CokingRefinery Detailed Results'!$C$9:$P$31, 4, FALSE)</f>
        <v>#N/A</v>
      </c>
      <c r="G83" t="e">
        <f>VLOOKUP($C81, 'CokingRefinery Detailed Results'!$C$9:$P$31, 6, FALSE)</f>
        <v>#N/A</v>
      </c>
      <c r="H83" t="e">
        <f>VLOOKUP($C81, 'CokingRefinery Detailed Results'!$C$9:$P$31, 8, FALSE)</f>
        <v>#N/A</v>
      </c>
      <c r="I83" t="e">
        <f>VLOOKUP($C81, 'CokingRefinery Detailed Results'!$C$9:$P$31, 10, FALSE)</f>
        <v>#N/A</v>
      </c>
    </row>
    <row r="85" spans="1:9" x14ac:dyDescent="0.2">
      <c r="A85" s="1970" t="s">
        <v>598</v>
      </c>
      <c r="E85">
        <f>SUM(E86:E87)*$D85</f>
        <v>0</v>
      </c>
      <c r="F85" t="e">
        <f t="shared" ref="F85" si="83">SUM(F86:F87)*$D85</f>
        <v>#N/A</v>
      </c>
      <c r="G85" t="e">
        <f t="shared" ref="G85" si="84">SUM(G86:G87)*$D85</f>
        <v>#N/A</v>
      </c>
      <c r="H85" t="e">
        <f t="shared" ref="H85" si="85">SUM(H86:H87)*$D85</f>
        <v>#N/A</v>
      </c>
      <c r="I85" t="e">
        <f t="shared" ref="I85" si="86">SUM(I86:I87)*$D85</f>
        <v>#N/A</v>
      </c>
    </row>
    <row r="86" spans="1:9" ht="25.5" x14ac:dyDescent="0.2">
      <c r="A86" s="1970" t="s">
        <v>1878</v>
      </c>
    </row>
    <row r="87" spans="1:9" ht="25.5" x14ac:dyDescent="0.2">
      <c r="A87" s="1970" t="s">
        <v>1879</v>
      </c>
      <c r="F87" t="e">
        <f>VLOOKUP($C85, 'CokingRefinery Detailed Results'!$C$9:$P$31, 4, FALSE)</f>
        <v>#N/A</v>
      </c>
      <c r="G87" t="e">
        <f>VLOOKUP($C85, 'CokingRefinery Detailed Results'!$C$9:$P$31, 6, FALSE)</f>
        <v>#N/A</v>
      </c>
      <c r="H87" t="e">
        <f>VLOOKUP($C85, 'CokingRefinery Detailed Results'!$C$9:$P$31, 8, FALSE)</f>
        <v>#N/A</v>
      </c>
      <c r="I87" t="e">
        <f>VLOOKUP($C85, 'CokingRefinery Detailed Results'!$C$9:$P$31, 10, FALSE)</f>
        <v>#N/A</v>
      </c>
    </row>
    <row r="89" spans="1:9" x14ac:dyDescent="0.2">
      <c r="A89" s="1970" t="s">
        <v>598</v>
      </c>
      <c r="E89">
        <f>SUM(E90:E91)*$D89</f>
        <v>0</v>
      </c>
      <c r="F89" t="e">
        <f t="shared" ref="F89" si="87">SUM(F90:F91)*$D89</f>
        <v>#N/A</v>
      </c>
      <c r="G89" t="e">
        <f t="shared" ref="G89" si="88">SUM(G90:G91)*$D89</f>
        <v>#N/A</v>
      </c>
      <c r="H89" t="e">
        <f t="shared" ref="H89" si="89">SUM(H90:H91)*$D89</f>
        <v>#N/A</v>
      </c>
      <c r="I89" t="e">
        <f t="shared" ref="I89" si="90">SUM(I90:I91)*$D89</f>
        <v>#N/A</v>
      </c>
    </row>
    <row r="90" spans="1:9" ht="25.5" x14ac:dyDescent="0.2">
      <c r="A90" s="1970" t="s">
        <v>1878</v>
      </c>
    </row>
    <row r="91" spans="1:9" ht="25.5" x14ac:dyDescent="0.2">
      <c r="A91" s="1970" t="s">
        <v>1879</v>
      </c>
      <c r="F91" t="e">
        <f>VLOOKUP($C89, 'CokingRefinery Detailed Results'!$C$9:$P$31, 4, FALSE)</f>
        <v>#N/A</v>
      </c>
      <c r="G91" t="e">
        <f>VLOOKUP($C89, 'CokingRefinery Detailed Results'!$C$9:$P$31, 6, FALSE)</f>
        <v>#N/A</v>
      </c>
      <c r="H91" t="e">
        <f>VLOOKUP($C89, 'CokingRefinery Detailed Results'!$C$9:$P$31, 8, FALSE)</f>
        <v>#N/A</v>
      </c>
      <c r="I91" t="e">
        <f>VLOOKUP($C89, 'CokingRefinery Detailed Results'!$C$9:$P$31, 10, FALSE)</f>
        <v>#N/A</v>
      </c>
    </row>
    <row r="93" spans="1:9" x14ac:dyDescent="0.2">
      <c r="A93" s="1970" t="s">
        <v>598</v>
      </c>
      <c r="E93">
        <f>SUM(E94:E95)*$D93</f>
        <v>0</v>
      </c>
      <c r="F93" t="e">
        <f t="shared" ref="F93" si="91">SUM(F94:F95)*$D93</f>
        <v>#N/A</v>
      </c>
      <c r="G93" t="e">
        <f t="shared" ref="G93" si="92">SUM(G94:G95)*$D93</f>
        <v>#N/A</v>
      </c>
      <c r="H93" t="e">
        <f t="shared" ref="H93" si="93">SUM(H94:H95)*$D93</f>
        <v>#N/A</v>
      </c>
      <c r="I93" t="e">
        <f t="shared" ref="I93" si="94">SUM(I94:I95)*$D93</f>
        <v>#N/A</v>
      </c>
    </row>
    <row r="94" spans="1:9" ht="25.5" x14ac:dyDescent="0.2">
      <c r="A94" s="1970" t="s">
        <v>1878</v>
      </c>
    </row>
    <row r="95" spans="1:9" ht="25.5" x14ac:dyDescent="0.2">
      <c r="A95" s="1970" t="s">
        <v>1879</v>
      </c>
      <c r="F95" t="e">
        <f>VLOOKUP($C93, 'CokingRefinery Detailed Results'!$C$9:$P$31, 4, FALSE)</f>
        <v>#N/A</v>
      </c>
      <c r="G95" t="e">
        <f>VLOOKUP($C93, 'CokingRefinery Detailed Results'!$C$9:$P$31, 6, FALSE)</f>
        <v>#N/A</v>
      </c>
      <c r="H95" t="e">
        <f>VLOOKUP($C93, 'CokingRefinery Detailed Results'!$C$9:$P$31, 8, FALSE)</f>
        <v>#N/A</v>
      </c>
      <c r="I95" t="e">
        <f>VLOOKUP($C93, 'CokingRefinery Detailed Results'!$C$9:$P$31, 10, FALSE)</f>
        <v>#N/A</v>
      </c>
    </row>
    <row r="97" spans="1:9" x14ac:dyDescent="0.2">
      <c r="A97" s="1970" t="s">
        <v>598</v>
      </c>
      <c r="E97">
        <f>SUM(E98:E99)*$D97</f>
        <v>0</v>
      </c>
      <c r="F97" t="e">
        <f t="shared" ref="F97" si="95">SUM(F98:F99)*$D97</f>
        <v>#N/A</v>
      </c>
      <c r="G97" t="e">
        <f t="shared" ref="G97" si="96">SUM(G98:G99)*$D97</f>
        <v>#N/A</v>
      </c>
      <c r="H97" t="e">
        <f t="shared" ref="H97" si="97">SUM(H98:H99)*$D97</f>
        <v>#N/A</v>
      </c>
      <c r="I97" t="e">
        <f t="shared" ref="I97" si="98">SUM(I98:I99)*$D97</f>
        <v>#N/A</v>
      </c>
    </row>
    <row r="98" spans="1:9" ht="25.5" x14ac:dyDescent="0.2">
      <c r="A98" s="1970" t="s">
        <v>1878</v>
      </c>
    </row>
    <row r="99" spans="1:9" ht="25.5" x14ac:dyDescent="0.2">
      <c r="A99" s="1970" t="s">
        <v>1879</v>
      </c>
      <c r="F99" t="e">
        <f>VLOOKUP($C97, 'CokingRefinery Detailed Results'!$C$9:$P$31, 4, FALSE)</f>
        <v>#N/A</v>
      </c>
      <c r="G99" t="e">
        <f>VLOOKUP($C97, 'CokingRefinery Detailed Results'!$C$9:$P$31, 6, FALSE)</f>
        <v>#N/A</v>
      </c>
      <c r="H99" t="e">
        <f>VLOOKUP($C97, 'CokingRefinery Detailed Results'!$C$9:$P$31, 8, FALSE)</f>
        <v>#N/A</v>
      </c>
      <c r="I99" t="e">
        <f>VLOOKUP($C97, 'CokingRefinery Detailed Results'!$C$9:$P$31, 10, FALSE)</f>
        <v>#N/A</v>
      </c>
    </row>
    <row r="101" spans="1:9" x14ac:dyDescent="0.2">
      <c r="A101" s="1970" t="s">
        <v>598</v>
      </c>
      <c r="E101">
        <f>SUM(E102:E103)*$D101</f>
        <v>0</v>
      </c>
      <c r="F101" t="e">
        <f t="shared" ref="F101" si="99">SUM(F102:F103)*$D101</f>
        <v>#N/A</v>
      </c>
      <c r="G101" t="e">
        <f t="shared" ref="G101" si="100">SUM(G102:G103)*$D101</f>
        <v>#N/A</v>
      </c>
      <c r="H101" t="e">
        <f t="shared" ref="H101" si="101">SUM(H102:H103)*$D101</f>
        <v>#N/A</v>
      </c>
      <c r="I101" t="e">
        <f t="shared" ref="I101" si="102">SUM(I102:I103)*$D101</f>
        <v>#N/A</v>
      </c>
    </row>
    <row r="102" spans="1:9" ht="25.5" x14ac:dyDescent="0.2">
      <c r="A102" s="1970" t="s">
        <v>1878</v>
      </c>
    </row>
    <row r="103" spans="1:9" ht="25.5" x14ac:dyDescent="0.2">
      <c r="A103" s="1970" t="s">
        <v>1879</v>
      </c>
      <c r="F103" t="e">
        <f>VLOOKUP($C101, 'CokingRefinery Detailed Results'!$C$9:$P$31, 4, FALSE)</f>
        <v>#N/A</v>
      </c>
      <c r="G103" t="e">
        <f>VLOOKUP($C101, 'CokingRefinery Detailed Results'!$C$9:$P$31, 6, FALSE)</f>
        <v>#N/A</v>
      </c>
      <c r="H103" t="e">
        <f>VLOOKUP($C101, 'CokingRefinery Detailed Results'!$C$9:$P$31, 8, FALSE)</f>
        <v>#N/A</v>
      </c>
      <c r="I103" t="e">
        <f>VLOOKUP($C101, 'CokingRefinery Detailed Results'!$C$9:$P$31, 10, FALSE)</f>
        <v>#N/A</v>
      </c>
    </row>
    <row r="105" spans="1:9" x14ac:dyDescent="0.2">
      <c r="A105" s="1970" t="s">
        <v>598</v>
      </c>
      <c r="E105">
        <f>SUM(E106:E107)*$D105</f>
        <v>0</v>
      </c>
      <c r="F105" t="e">
        <f t="shared" ref="F105" si="103">SUM(F106:F107)*$D105</f>
        <v>#N/A</v>
      </c>
      <c r="G105" t="e">
        <f t="shared" ref="G105" si="104">SUM(G106:G107)*$D105</f>
        <v>#N/A</v>
      </c>
      <c r="H105" t="e">
        <f t="shared" ref="H105" si="105">SUM(H106:H107)*$D105</f>
        <v>#N/A</v>
      </c>
      <c r="I105" t="e">
        <f t="shared" ref="I105" si="106">SUM(I106:I107)*$D105</f>
        <v>#N/A</v>
      </c>
    </row>
    <row r="106" spans="1:9" ht="25.5" x14ac:dyDescent="0.2">
      <c r="A106" s="1970" t="s">
        <v>1878</v>
      </c>
    </row>
    <row r="107" spans="1:9" ht="25.5" x14ac:dyDescent="0.2">
      <c r="A107" s="1970" t="s">
        <v>1879</v>
      </c>
      <c r="F107" t="e">
        <f>VLOOKUP($C105, 'CokingRefinery Detailed Results'!$C$9:$P$31, 4, FALSE)</f>
        <v>#N/A</v>
      </c>
      <c r="G107" t="e">
        <f>VLOOKUP($C105, 'CokingRefinery Detailed Results'!$C$9:$P$31, 6, FALSE)</f>
        <v>#N/A</v>
      </c>
      <c r="H107" t="e">
        <f>VLOOKUP($C105, 'CokingRefinery Detailed Results'!$C$9:$P$31, 8, FALSE)</f>
        <v>#N/A</v>
      </c>
      <c r="I107" t="e">
        <f>VLOOKUP($C105, 'CokingRefinery Detailed Results'!$C$9:$P$31, 10, FALSE)</f>
        <v>#N/A</v>
      </c>
    </row>
    <row r="109" spans="1:9" x14ac:dyDescent="0.2">
      <c r="A109" s="1970" t="s">
        <v>598</v>
      </c>
      <c r="E109">
        <f>SUM(E110:E111)*$D109</f>
        <v>0</v>
      </c>
      <c r="F109" t="e">
        <f t="shared" ref="F109" si="107">SUM(F110:F111)*$D109</f>
        <v>#N/A</v>
      </c>
      <c r="G109" t="e">
        <f t="shared" ref="G109" si="108">SUM(G110:G111)*$D109</f>
        <v>#N/A</v>
      </c>
      <c r="H109" t="e">
        <f t="shared" ref="H109" si="109">SUM(H110:H111)*$D109</f>
        <v>#N/A</v>
      </c>
      <c r="I109" t="e">
        <f t="shared" ref="I109" si="110">SUM(I110:I111)*$D109</f>
        <v>#N/A</v>
      </c>
    </row>
    <row r="110" spans="1:9" ht="25.5" x14ac:dyDescent="0.2">
      <c r="A110" s="1970" t="s">
        <v>1878</v>
      </c>
    </row>
    <row r="111" spans="1:9" ht="25.5" x14ac:dyDescent="0.2">
      <c r="A111" s="1970" t="s">
        <v>1879</v>
      </c>
      <c r="F111" t="e">
        <f>VLOOKUP($C109, 'CokingRefinery Detailed Results'!$C$9:$P$31, 4, FALSE)</f>
        <v>#N/A</v>
      </c>
      <c r="G111" t="e">
        <f>VLOOKUP($C109, 'CokingRefinery Detailed Results'!$C$9:$P$31, 6, FALSE)</f>
        <v>#N/A</v>
      </c>
      <c r="H111" t="e">
        <f>VLOOKUP($C109, 'CokingRefinery Detailed Results'!$C$9:$P$31, 8, FALSE)</f>
        <v>#N/A</v>
      </c>
      <c r="I111" t="e">
        <f>VLOOKUP($C109, 'CokingRefinery Detailed Results'!$C$9:$P$31, 10, FALSE)</f>
        <v>#N/A</v>
      </c>
    </row>
    <row r="113" spans="1:9" x14ac:dyDescent="0.2">
      <c r="A113" s="1970" t="s">
        <v>598</v>
      </c>
      <c r="E113">
        <f>SUM(E114:E115)*$D113</f>
        <v>0</v>
      </c>
      <c r="F113" t="e">
        <f t="shared" ref="F113" si="111">SUM(F114:F115)*$D113</f>
        <v>#N/A</v>
      </c>
      <c r="G113" t="e">
        <f t="shared" ref="G113" si="112">SUM(G114:G115)*$D113</f>
        <v>#N/A</v>
      </c>
      <c r="H113" t="e">
        <f t="shared" ref="H113" si="113">SUM(H114:H115)*$D113</f>
        <v>#N/A</v>
      </c>
      <c r="I113" t="e">
        <f t="shared" ref="I113" si="114">SUM(I114:I115)*$D113</f>
        <v>#N/A</v>
      </c>
    </row>
    <row r="114" spans="1:9" ht="25.5" x14ac:dyDescent="0.2">
      <c r="A114" s="1970" t="s">
        <v>1878</v>
      </c>
    </row>
    <row r="115" spans="1:9" ht="25.5" x14ac:dyDescent="0.2">
      <c r="A115" s="1970" t="s">
        <v>1879</v>
      </c>
      <c r="F115" t="e">
        <f>VLOOKUP($C113, 'CokingRefinery Detailed Results'!$C$9:$P$31, 4, FALSE)</f>
        <v>#N/A</v>
      </c>
      <c r="G115" t="e">
        <f>VLOOKUP($C113, 'CokingRefinery Detailed Results'!$C$9:$P$31, 6, FALSE)</f>
        <v>#N/A</v>
      </c>
      <c r="H115" t="e">
        <f>VLOOKUP($C113, 'CokingRefinery Detailed Results'!$C$9:$P$31, 8, FALSE)</f>
        <v>#N/A</v>
      </c>
      <c r="I115" t="e">
        <f>VLOOKUP($C113, 'CokingRefinery Detailed Results'!$C$9:$P$31, 10, FALSE)</f>
        <v>#N/A</v>
      </c>
    </row>
    <row r="117" spans="1:9" x14ac:dyDescent="0.2">
      <c r="A117" s="1970" t="s">
        <v>598</v>
      </c>
      <c r="E117">
        <f>SUM(E118:E119)*$D117</f>
        <v>0</v>
      </c>
      <c r="F117" t="e">
        <f t="shared" ref="F117" si="115">SUM(F118:F119)*$D117</f>
        <v>#N/A</v>
      </c>
      <c r="G117" t="e">
        <f t="shared" ref="G117" si="116">SUM(G118:G119)*$D117</f>
        <v>#N/A</v>
      </c>
      <c r="H117" t="e">
        <f t="shared" ref="H117" si="117">SUM(H118:H119)*$D117</f>
        <v>#N/A</v>
      </c>
      <c r="I117" t="e">
        <f t="shared" ref="I117" si="118">SUM(I118:I119)*$D117</f>
        <v>#N/A</v>
      </c>
    </row>
    <row r="118" spans="1:9" ht="25.5" x14ac:dyDescent="0.2">
      <c r="A118" s="1970" t="s">
        <v>1878</v>
      </c>
    </row>
    <row r="119" spans="1:9" ht="25.5" x14ac:dyDescent="0.2">
      <c r="A119" s="1970" t="s">
        <v>1879</v>
      </c>
      <c r="F119" t="e">
        <f>VLOOKUP($C117, 'CokingRefinery Detailed Results'!$C$9:$P$31, 4, FALSE)</f>
        <v>#N/A</v>
      </c>
      <c r="G119" t="e">
        <f>VLOOKUP($C117, 'CokingRefinery Detailed Results'!$C$9:$P$31, 6, FALSE)</f>
        <v>#N/A</v>
      </c>
      <c r="H119" t="e">
        <f>VLOOKUP($C117, 'CokingRefinery Detailed Results'!$C$9:$P$31, 8, FALSE)</f>
        <v>#N/A</v>
      </c>
      <c r="I119" t="e">
        <f>VLOOKUP($C117, 'CokingRefinery Detailed Results'!$C$9:$P$31, 10, FALSE)</f>
        <v>#N/A</v>
      </c>
    </row>
    <row r="121" spans="1:9" x14ac:dyDescent="0.2">
      <c r="A121" s="1970" t="s">
        <v>598</v>
      </c>
      <c r="E121">
        <f>SUM(E122:E123)*$D121</f>
        <v>0</v>
      </c>
      <c r="F121" t="e">
        <f t="shared" ref="F121" si="119">SUM(F122:F123)*$D121</f>
        <v>#N/A</v>
      </c>
      <c r="G121" t="e">
        <f t="shared" ref="G121" si="120">SUM(G122:G123)*$D121</f>
        <v>#N/A</v>
      </c>
      <c r="H121" t="e">
        <f t="shared" ref="H121" si="121">SUM(H122:H123)*$D121</f>
        <v>#N/A</v>
      </c>
      <c r="I121" t="e">
        <f t="shared" ref="I121" si="122">SUM(I122:I123)*$D121</f>
        <v>#N/A</v>
      </c>
    </row>
    <row r="122" spans="1:9" ht="25.5" x14ac:dyDescent="0.2">
      <c r="A122" s="1970" t="s">
        <v>1878</v>
      </c>
    </row>
    <row r="123" spans="1:9" ht="25.5" x14ac:dyDescent="0.2">
      <c r="A123" s="1970" t="s">
        <v>1879</v>
      </c>
      <c r="F123" t="e">
        <f>VLOOKUP($C121, 'CokingRefinery Detailed Results'!$C$9:$P$31, 4, FALSE)</f>
        <v>#N/A</v>
      </c>
      <c r="G123" t="e">
        <f>VLOOKUP($C121, 'CokingRefinery Detailed Results'!$C$9:$P$31, 6, FALSE)</f>
        <v>#N/A</v>
      </c>
      <c r="H123" t="e">
        <f>VLOOKUP($C121, 'CokingRefinery Detailed Results'!$C$9:$P$31, 8, FALSE)</f>
        <v>#N/A</v>
      </c>
      <c r="I123" t="e">
        <f>VLOOKUP($C121, 'CokingRefinery Detailed Results'!$C$9:$P$31, 10, FALSE)</f>
        <v>#N/A</v>
      </c>
    </row>
    <row r="125" spans="1:9" x14ac:dyDescent="0.2">
      <c r="A125" s="1970" t="s">
        <v>598</v>
      </c>
      <c r="E125">
        <f>SUM(E126:E127)*$D125</f>
        <v>0</v>
      </c>
      <c r="F125" t="e">
        <f t="shared" ref="F125" si="123">SUM(F126:F127)*$D125</f>
        <v>#N/A</v>
      </c>
      <c r="G125" t="e">
        <f t="shared" ref="G125" si="124">SUM(G126:G127)*$D125</f>
        <v>#N/A</v>
      </c>
      <c r="H125" t="e">
        <f t="shared" ref="H125" si="125">SUM(H126:H127)*$D125</f>
        <v>#N/A</v>
      </c>
      <c r="I125" t="e">
        <f t="shared" ref="I125" si="126">SUM(I126:I127)*$D125</f>
        <v>#N/A</v>
      </c>
    </row>
    <row r="126" spans="1:9" ht="25.5" x14ac:dyDescent="0.2">
      <c r="A126" s="1970" t="s">
        <v>1878</v>
      </c>
    </row>
    <row r="127" spans="1:9" ht="25.5" x14ac:dyDescent="0.2">
      <c r="A127" s="1970" t="s">
        <v>1879</v>
      </c>
      <c r="F127" t="e">
        <f>VLOOKUP($C125, 'CokingRefinery Detailed Results'!$C$9:$P$31, 4, FALSE)</f>
        <v>#N/A</v>
      </c>
      <c r="G127" t="e">
        <f>VLOOKUP($C125, 'CokingRefinery Detailed Results'!$C$9:$P$31, 6, FALSE)</f>
        <v>#N/A</v>
      </c>
      <c r="H127" t="e">
        <f>VLOOKUP($C125, 'CokingRefinery Detailed Results'!$C$9:$P$31, 8, FALSE)</f>
        <v>#N/A</v>
      </c>
      <c r="I127" t="e">
        <f>VLOOKUP($C125, 'CokingRefinery Detailed Results'!$C$9:$P$31, 10, FALSE)</f>
        <v>#N/A</v>
      </c>
    </row>
    <row r="129" spans="1:9" x14ac:dyDescent="0.2">
      <c r="A129" s="1970" t="s">
        <v>598</v>
      </c>
      <c r="E129">
        <f>SUM(E130:E131)*$D129</f>
        <v>0</v>
      </c>
      <c r="F129" t="e">
        <f t="shared" ref="F129" si="127">SUM(F130:F131)*$D129</f>
        <v>#N/A</v>
      </c>
      <c r="G129" t="e">
        <f t="shared" ref="G129" si="128">SUM(G130:G131)*$D129</f>
        <v>#N/A</v>
      </c>
      <c r="H129" t="e">
        <f t="shared" ref="H129" si="129">SUM(H130:H131)*$D129</f>
        <v>#N/A</v>
      </c>
      <c r="I129" t="e">
        <f t="shared" ref="I129" si="130">SUM(I130:I131)*$D129</f>
        <v>#N/A</v>
      </c>
    </row>
    <row r="130" spans="1:9" ht="25.5" x14ac:dyDescent="0.2">
      <c r="A130" s="1970" t="s">
        <v>1878</v>
      </c>
    </row>
    <row r="131" spans="1:9" ht="25.5" x14ac:dyDescent="0.2">
      <c r="A131" s="1970" t="s">
        <v>1879</v>
      </c>
      <c r="F131" t="e">
        <f>VLOOKUP($C129, 'CokingRefinery Detailed Results'!$C$9:$P$31, 4, FALSE)</f>
        <v>#N/A</v>
      </c>
      <c r="G131" t="e">
        <f>VLOOKUP($C129, 'CokingRefinery Detailed Results'!$C$9:$P$31, 6, FALSE)</f>
        <v>#N/A</v>
      </c>
      <c r="H131" t="e">
        <f>VLOOKUP($C129, 'CokingRefinery Detailed Results'!$C$9:$P$31, 8, FALSE)</f>
        <v>#N/A</v>
      </c>
      <c r="I131" t="e">
        <f>VLOOKUP($C129, 'CokingRefinery Detailed Results'!$C$9:$P$31, 10, FALSE)</f>
        <v>#N/A</v>
      </c>
    </row>
    <row r="133" spans="1:9" x14ac:dyDescent="0.2">
      <c r="A133" s="1970" t="s">
        <v>598</v>
      </c>
      <c r="E133">
        <f>SUM(E134:E135)*$D133</f>
        <v>0</v>
      </c>
      <c r="F133" t="e">
        <f t="shared" ref="F133" si="131">SUM(F134:F135)*$D133</f>
        <v>#N/A</v>
      </c>
      <c r="G133" t="e">
        <f t="shared" ref="G133" si="132">SUM(G134:G135)*$D133</f>
        <v>#N/A</v>
      </c>
      <c r="H133" t="e">
        <f t="shared" ref="H133" si="133">SUM(H134:H135)*$D133</f>
        <v>#N/A</v>
      </c>
      <c r="I133" t="e">
        <f t="shared" ref="I133" si="134">SUM(I134:I135)*$D133</f>
        <v>#N/A</v>
      </c>
    </row>
    <row r="134" spans="1:9" ht="25.5" x14ac:dyDescent="0.2">
      <c r="A134" s="1970" t="s">
        <v>1878</v>
      </c>
    </row>
    <row r="135" spans="1:9" ht="25.5" x14ac:dyDescent="0.2">
      <c r="A135" s="1970" t="s">
        <v>1879</v>
      </c>
      <c r="F135" t="e">
        <f>VLOOKUP($C133, 'CokingRefinery Detailed Results'!$C$9:$P$31, 4, FALSE)</f>
        <v>#N/A</v>
      </c>
      <c r="G135" t="e">
        <f>VLOOKUP($C133, 'CokingRefinery Detailed Results'!$C$9:$P$31, 6, FALSE)</f>
        <v>#N/A</v>
      </c>
      <c r="H135" t="e">
        <f>VLOOKUP($C133, 'CokingRefinery Detailed Results'!$C$9:$P$31, 8, FALSE)</f>
        <v>#N/A</v>
      </c>
      <c r="I135" t="e">
        <f>VLOOKUP($C133, 'CokingRefinery Detailed Results'!$C$9:$P$31, 10, FALSE)</f>
        <v>#N/A</v>
      </c>
    </row>
    <row r="137" spans="1:9" x14ac:dyDescent="0.2">
      <c r="A137" s="1970" t="s">
        <v>598</v>
      </c>
      <c r="E137">
        <f>SUM(E138:E139)*$D137</f>
        <v>0</v>
      </c>
      <c r="F137" t="e">
        <f t="shared" ref="F137" si="135">SUM(F138:F139)*$D137</f>
        <v>#N/A</v>
      </c>
      <c r="G137" t="e">
        <f t="shared" ref="G137" si="136">SUM(G138:G139)*$D137</f>
        <v>#N/A</v>
      </c>
      <c r="H137" t="e">
        <f t="shared" ref="H137" si="137">SUM(H138:H139)*$D137</f>
        <v>#N/A</v>
      </c>
      <c r="I137" t="e">
        <f t="shared" ref="I137" si="138">SUM(I138:I139)*$D137</f>
        <v>#N/A</v>
      </c>
    </row>
    <row r="138" spans="1:9" ht="25.5" x14ac:dyDescent="0.2">
      <c r="A138" s="1970" t="s">
        <v>1878</v>
      </c>
    </row>
    <row r="139" spans="1:9" ht="25.5" x14ac:dyDescent="0.2">
      <c r="A139" s="1970" t="s">
        <v>1879</v>
      </c>
      <c r="F139" t="e">
        <f>VLOOKUP($C137, 'CokingRefinery Detailed Results'!$C$9:$P$31, 4, FALSE)</f>
        <v>#N/A</v>
      </c>
      <c r="G139" t="e">
        <f>VLOOKUP($C137, 'CokingRefinery Detailed Results'!$C$9:$P$31, 6, FALSE)</f>
        <v>#N/A</v>
      </c>
      <c r="H139" t="e">
        <f>VLOOKUP($C137, 'CokingRefinery Detailed Results'!$C$9:$P$31, 8, FALSE)</f>
        <v>#N/A</v>
      </c>
      <c r="I139" t="e">
        <f>VLOOKUP($C137, 'CokingRefinery Detailed Results'!$C$9:$P$31, 10, FALSE)</f>
        <v>#N/A</v>
      </c>
    </row>
    <row r="141" spans="1:9" x14ac:dyDescent="0.2">
      <c r="A141" s="1970" t="s">
        <v>598</v>
      </c>
      <c r="E141">
        <f>SUM(E142:E143)*$D141</f>
        <v>0</v>
      </c>
      <c r="F141" t="e">
        <f t="shared" ref="F141" si="139">SUM(F142:F143)*$D141</f>
        <v>#N/A</v>
      </c>
      <c r="G141" t="e">
        <f t="shared" ref="G141" si="140">SUM(G142:G143)*$D141</f>
        <v>#N/A</v>
      </c>
      <c r="H141" t="e">
        <f t="shared" ref="H141" si="141">SUM(H142:H143)*$D141</f>
        <v>#N/A</v>
      </c>
      <c r="I141" t="e">
        <f t="shared" ref="I141" si="142">SUM(I142:I143)*$D141</f>
        <v>#N/A</v>
      </c>
    </row>
    <row r="142" spans="1:9" ht="25.5" x14ac:dyDescent="0.2">
      <c r="A142" s="1970" t="s">
        <v>1878</v>
      </c>
    </row>
    <row r="143" spans="1:9" ht="25.5" x14ac:dyDescent="0.2">
      <c r="A143" s="1970" t="s">
        <v>1879</v>
      </c>
      <c r="F143" t="e">
        <f>VLOOKUP($C141, 'CokingRefinery Detailed Results'!$C$9:$P$31, 4, FALSE)</f>
        <v>#N/A</v>
      </c>
      <c r="G143" t="e">
        <f>VLOOKUP($C141, 'CokingRefinery Detailed Results'!$C$9:$P$31, 6, FALSE)</f>
        <v>#N/A</v>
      </c>
      <c r="H143" t="e">
        <f>VLOOKUP($C141, 'CokingRefinery Detailed Results'!$C$9:$P$31, 8, FALSE)</f>
        <v>#N/A</v>
      </c>
      <c r="I143" t="e">
        <f>VLOOKUP($C141, 'CokingRefinery Detailed Results'!$C$9:$P$31, 10, FALSE)</f>
        <v>#N/A</v>
      </c>
    </row>
    <row r="145" spans="1:9" x14ac:dyDescent="0.2">
      <c r="A145" s="1970" t="s">
        <v>598</v>
      </c>
      <c r="E145">
        <f>SUM(E146:E147)*$D145</f>
        <v>0</v>
      </c>
      <c r="F145" t="e">
        <f t="shared" ref="F145" si="143">SUM(F146:F147)*$D145</f>
        <v>#N/A</v>
      </c>
      <c r="G145" t="e">
        <f t="shared" ref="G145" si="144">SUM(G146:G147)*$D145</f>
        <v>#N/A</v>
      </c>
      <c r="H145" t="e">
        <f t="shared" ref="H145" si="145">SUM(H146:H147)*$D145</f>
        <v>#N/A</v>
      </c>
      <c r="I145" t="e">
        <f t="shared" ref="I145" si="146">SUM(I146:I147)*$D145</f>
        <v>#N/A</v>
      </c>
    </row>
    <row r="146" spans="1:9" ht="25.5" x14ac:dyDescent="0.2">
      <c r="A146" s="1970" t="s">
        <v>1878</v>
      </c>
    </row>
    <row r="147" spans="1:9" ht="25.5" x14ac:dyDescent="0.2">
      <c r="A147" s="1970" t="s">
        <v>1879</v>
      </c>
      <c r="F147" t="e">
        <f>VLOOKUP($C145, 'CokingRefinery Detailed Results'!$C$9:$P$31, 4, FALSE)</f>
        <v>#N/A</v>
      </c>
      <c r="G147" t="e">
        <f>VLOOKUP($C145, 'CokingRefinery Detailed Results'!$C$9:$P$31, 6, FALSE)</f>
        <v>#N/A</v>
      </c>
      <c r="H147" t="e">
        <f>VLOOKUP($C145, 'CokingRefinery Detailed Results'!$C$9:$P$31, 8, FALSE)</f>
        <v>#N/A</v>
      </c>
      <c r="I147" t="e">
        <f>VLOOKUP($C145, 'CokingRefinery Detailed Results'!$C$9:$P$31, 10, FALSE)</f>
        <v>#N/A</v>
      </c>
    </row>
    <row r="149" spans="1:9" x14ac:dyDescent="0.2">
      <c r="A149" s="1970" t="s">
        <v>598</v>
      </c>
      <c r="E149">
        <f>SUM(E150:E151)*$D149</f>
        <v>0</v>
      </c>
      <c r="F149" t="e">
        <f t="shared" ref="F149" si="147">SUM(F150:F151)*$D149</f>
        <v>#N/A</v>
      </c>
      <c r="G149" t="e">
        <f t="shared" ref="G149" si="148">SUM(G150:G151)*$D149</f>
        <v>#N/A</v>
      </c>
      <c r="H149" t="e">
        <f t="shared" ref="H149" si="149">SUM(H150:H151)*$D149</f>
        <v>#N/A</v>
      </c>
      <c r="I149" t="e">
        <f t="shared" ref="I149" si="150">SUM(I150:I151)*$D149</f>
        <v>#N/A</v>
      </c>
    </row>
    <row r="150" spans="1:9" ht="25.5" x14ac:dyDescent="0.2">
      <c r="A150" s="1970" t="s">
        <v>1878</v>
      </c>
    </row>
    <row r="151" spans="1:9" ht="25.5" x14ac:dyDescent="0.2">
      <c r="A151" s="1970" t="s">
        <v>1879</v>
      </c>
      <c r="F151" t="e">
        <f>VLOOKUP($C149, 'CokingRefinery Detailed Results'!$C$9:$P$31, 4, FALSE)</f>
        <v>#N/A</v>
      </c>
      <c r="G151" t="e">
        <f>VLOOKUP($C149, 'CokingRefinery Detailed Results'!$C$9:$P$31, 6, FALSE)</f>
        <v>#N/A</v>
      </c>
      <c r="H151" t="e">
        <f>VLOOKUP($C149, 'CokingRefinery Detailed Results'!$C$9:$P$31, 8, FALSE)</f>
        <v>#N/A</v>
      </c>
      <c r="I151" t="e">
        <f>VLOOKUP($C149, 'CokingRefinery Detailed Results'!$C$9:$P$31, 10, FALSE)</f>
        <v>#N/A</v>
      </c>
    </row>
  </sheetData>
  <mergeCells count="1">
    <mergeCell ref="E3:I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rgb="FF0450FF"/>
    <pageSetUpPr fitToPage="1"/>
  </sheetPr>
  <dimension ref="A1:EG323"/>
  <sheetViews>
    <sheetView zoomScale="55" zoomScaleNormal="55" zoomScaleSheetLayoutView="10" zoomScalePageLayoutView="25" workbookViewId="0"/>
  </sheetViews>
  <sheetFormatPr defaultColWidth="8.85546875" defaultRowHeight="12.75" customHeight="1" x14ac:dyDescent="0.2"/>
  <cols>
    <col min="2" max="2" width="2.7109375" customWidth="1"/>
    <col min="3" max="3" width="14.7109375" customWidth="1"/>
    <col min="4" max="4" width="12.7109375" customWidth="1"/>
    <col min="5" max="6" width="10.7109375" customWidth="1"/>
    <col min="7" max="7" width="15" customWidth="1"/>
    <col min="8" max="13" width="10.7109375" customWidth="1"/>
    <col min="14" max="14" width="15.42578125" customWidth="1"/>
    <col min="15" max="15" width="13.85546875" customWidth="1"/>
    <col min="16" max="16" width="13.42578125" customWidth="1"/>
    <col min="17" max="17" width="13.85546875" customWidth="1"/>
    <col min="18" max="18" width="13.42578125" customWidth="1"/>
    <col min="19" max="19" width="13.85546875" customWidth="1"/>
    <col min="20" max="20" width="15.7109375" customWidth="1"/>
    <col min="21" max="21" width="15.42578125" customWidth="1"/>
    <col min="22" max="22" width="15.7109375" customWidth="1"/>
    <col min="23" max="23" width="17.42578125" customWidth="1"/>
    <col min="24" max="24" width="9.140625" customWidth="1"/>
    <col min="25" max="25" width="13" customWidth="1"/>
    <col min="26" max="26" width="11.42578125" customWidth="1"/>
    <col min="27" max="27" width="15.28515625" customWidth="1"/>
    <col min="28" max="28" width="9.140625" customWidth="1"/>
    <col min="29" max="29" width="15.42578125" customWidth="1"/>
    <col min="30" max="30" width="9.140625" customWidth="1"/>
    <col min="31" max="31" width="15.42578125" customWidth="1"/>
    <col min="32" max="32" width="9.140625" customWidth="1"/>
    <col min="33" max="33" width="15.7109375" customWidth="1"/>
    <col min="34" max="34" width="11.42578125" customWidth="1"/>
    <col min="35" max="35" width="21" customWidth="1"/>
    <col min="36" max="36" width="12.7109375" customWidth="1"/>
    <col min="37" max="37" width="14.7109375" customWidth="1"/>
    <col min="38" max="38" width="25.85546875" customWidth="1"/>
    <col min="39" max="39" width="14.7109375" customWidth="1"/>
    <col min="40" max="40" width="14.140625" customWidth="1"/>
    <col min="41" max="42" width="9.140625" customWidth="1"/>
    <col min="43" max="43" width="14.28515625" customWidth="1"/>
    <col min="44" max="44" width="13.7109375" customWidth="1"/>
    <col min="45" max="45" width="17.42578125" customWidth="1"/>
    <col min="46" max="46" width="16.42578125" customWidth="1"/>
    <col min="47" max="47" width="14.28515625" customWidth="1"/>
    <col min="48" max="48" width="15.7109375" customWidth="1"/>
    <col min="49" max="50" width="15.28515625" customWidth="1"/>
    <col min="51" max="51" width="9.140625" customWidth="1"/>
    <col min="52" max="52" width="16.28515625" customWidth="1"/>
    <col min="53" max="53" width="11.42578125" customWidth="1"/>
    <col min="54" max="54" width="15.42578125" customWidth="1"/>
    <col min="55" max="55" width="13.42578125" customWidth="1"/>
    <col min="56" max="56" width="15.140625" customWidth="1"/>
    <col min="57" max="62" width="13.42578125" customWidth="1"/>
    <col min="63" max="63" width="14.42578125" customWidth="1"/>
    <col min="64" max="64" width="15.7109375" customWidth="1"/>
    <col min="65" max="68" width="13.42578125" customWidth="1"/>
    <col min="69" max="69" width="17.28515625" customWidth="1"/>
    <col min="70" max="70" width="14" customWidth="1"/>
    <col min="71" max="71" width="15.140625" customWidth="1"/>
    <col min="72" max="72" width="18" customWidth="1"/>
    <col min="73" max="73" width="13.28515625" customWidth="1"/>
    <col min="74" max="74" width="24.28515625" customWidth="1"/>
    <col min="75" max="75" width="10.85546875" customWidth="1"/>
    <col min="76" max="76" width="13" customWidth="1"/>
    <col min="77" max="77" width="15.42578125" customWidth="1"/>
    <col min="78" max="79" width="9.140625" customWidth="1"/>
    <col min="80" max="80" width="14.7109375" customWidth="1"/>
    <col min="81" max="81" width="16.85546875" customWidth="1"/>
    <col min="82" max="82" width="9.140625" customWidth="1"/>
    <col min="83" max="83" width="16.140625" customWidth="1"/>
    <col min="84" max="84" width="13" customWidth="1"/>
    <col min="85" max="85" width="32.28515625" customWidth="1"/>
    <col min="86" max="86" width="16.42578125" customWidth="1"/>
    <col min="87" max="87" width="20.28515625" customWidth="1"/>
    <col min="88" max="88" width="11" customWidth="1"/>
    <col min="89" max="89" width="9.140625" customWidth="1"/>
    <col min="90" max="90" width="14.85546875" customWidth="1"/>
    <col min="91" max="91" width="14.7109375" customWidth="1"/>
    <col min="92" max="92" width="15.42578125" customWidth="1"/>
    <col min="93" max="93" width="14.85546875" customWidth="1"/>
    <col min="94" max="96" width="14.28515625" customWidth="1"/>
    <col min="97" max="97" width="9.140625" customWidth="1"/>
    <col min="98" max="98" width="15.7109375" customWidth="1"/>
    <col min="99" max="99" width="15.140625" customWidth="1"/>
    <col min="100" max="100" width="26.42578125" customWidth="1"/>
    <col min="101" max="101" width="21.7109375" customWidth="1"/>
    <col min="102" max="102" width="16.42578125" customWidth="1"/>
    <col min="103" max="103" width="16.85546875" customWidth="1"/>
    <col min="104" max="104" width="16.42578125" customWidth="1"/>
    <col min="105" max="105" width="19.85546875" customWidth="1"/>
    <col min="106" max="106" width="14" customWidth="1"/>
    <col min="107" max="107" width="15.42578125" customWidth="1"/>
    <col min="108" max="108" width="20.28515625" customWidth="1"/>
    <col min="109" max="109" width="13.42578125" customWidth="1"/>
    <col min="110" max="110" width="9.42578125" customWidth="1"/>
    <col min="111" max="111" width="15" customWidth="1"/>
    <col min="112" max="112" width="14" customWidth="1"/>
    <col min="113" max="113" width="64.140625" customWidth="1"/>
    <col min="114" max="114" width="9.140625" customWidth="1"/>
    <col min="115" max="115" width="25.7109375" customWidth="1"/>
    <col min="116" max="119" width="21.85546875" customWidth="1"/>
    <col min="120" max="120" width="17.7109375" customWidth="1"/>
    <col min="121" max="121" width="20.85546875" customWidth="1"/>
    <col min="122" max="131" width="21.85546875" customWidth="1"/>
    <col min="132" max="132" width="13.140625" customWidth="1"/>
    <col min="133" max="133" width="21.85546875" customWidth="1"/>
    <col min="134" max="134" width="8.85546875" customWidth="1"/>
    <col min="135" max="135" width="17.5703125" bestFit="1" customWidth="1"/>
    <col min="136" max="136" width="10.5703125" bestFit="1" customWidth="1"/>
    <col min="137" max="137" width="15" bestFit="1" customWidth="1"/>
  </cols>
  <sheetData>
    <row r="1" spans="1:133" ht="12.75" customHeight="1" x14ac:dyDescent="0.2">
      <c r="A1" s="1160"/>
      <c r="B1" s="1160"/>
      <c r="C1" s="1160"/>
      <c r="D1" s="1160"/>
      <c r="E1" s="1160"/>
      <c r="F1" s="1160"/>
      <c r="G1" s="1160"/>
      <c r="H1" s="1160"/>
      <c r="I1" s="1160"/>
      <c r="J1" s="1160"/>
      <c r="K1" s="1160"/>
      <c r="L1" s="1160"/>
      <c r="M1" s="1160"/>
      <c r="N1" s="1160"/>
      <c r="O1" s="1160"/>
      <c r="P1" s="1160"/>
      <c r="Q1" s="1160"/>
      <c r="R1" s="1160"/>
      <c r="S1" s="1160"/>
      <c r="T1" s="1160"/>
      <c r="U1" s="1160"/>
      <c r="V1" s="1160"/>
      <c r="W1" s="1160"/>
      <c r="X1" s="1160"/>
      <c r="Y1" s="1160"/>
      <c r="Z1" s="1160"/>
      <c r="AA1" s="1160"/>
      <c r="AB1" s="1160"/>
      <c r="AC1" s="1160"/>
      <c r="AD1" s="1160"/>
      <c r="AE1" s="1160"/>
      <c r="AF1" s="1160"/>
      <c r="AG1" s="1160"/>
      <c r="AH1" s="1160"/>
      <c r="AI1" s="1160"/>
      <c r="AJ1" s="1160"/>
      <c r="AK1" s="1160"/>
      <c r="AL1" s="1160"/>
      <c r="AM1" s="1160"/>
      <c r="AN1" s="1160"/>
      <c r="AO1" s="1160"/>
      <c r="AP1" s="1160"/>
      <c r="AQ1" s="1160"/>
      <c r="AR1" s="1160"/>
      <c r="AS1" s="1160"/>
      <c r="AT1" s="1160"/>
      <c r="AU1" s="1160"/>
      <c r="AV1" s="1160"/>
      <c r="AW1" s="1160"/>
      <c r="AX1" s="1160"/>
      <c r="AY1" s="1160"/>
      <c r="AZ1" s="1160"/>
      <c r="BA1" s="1160"/>
      <c r="BB1" s="1160"/>
      <c r="BC1" s="1160"/>
      <c r="BD1" s="1160"/>
      <c r="BE1" s="1160"/>
      <c r="BF1" s="1160"/>
      <c r="BG1" s="1160"/>
      <c r="BH1" s="1160"/>
      <c r="BI1" s="1160"/>
      <c r="BJ1" s="1160"/>
      <c r="BK1" s="1160"/>
      <c r="BL1" s="1160"/>
      <c r="BM1" s="1160"/>
      <c r="BN1" s="1160"/>
      <c r="BO1" s="1160"/>
      <c r="BP1" s="1160"/>
      <c r="BQ1" s="1160"/>
      <c r="BR1" s="1160"/>
      <c r="BS1" s="1160"/>
      <c r="BT1" s="1160"/>
      <c r="BU1" s="1160"/>
      <c r="BV1" s="1160"/>
      <c r="BW1" s="1160"/>
      <c r="BX1" s="1160"/>
      <c r="BY1" s="1160"/>
      <c r="BZ1" s="1160"/>
      <c r="CA1" s="1160"/>
      <c r="CB1" s="1160"/>
      <c r="CC1" s="1160"/>
      <c r="CD1" s="1160"/>
      <c r="CE1" s="1160"/>
      <c r="CF1" s="1160"/>
      <c r="CG1" s="1160"/>
      <c r="CH1" s="1160"/>
      <c r="CI1" s="1160"/>
      <c r="CJ1" s="1160"/>
      <c r="CK1" s="1160"/>
      <c r="CL1" s="1160"/>
      <c r="CM1" s="1160"/>
      <c r="CN1" s="1160"/>
      <c r="CO1" s="1160"/>
      <c r="CP1" s="1160"/>
      <c r="CQ1" s="1160"/>
      <c r="CR1" s="1160"/>
      <c r="CS1" s="1160"/>
      <c r="CT1" s="1160"/>
      <c r="CU1" s="1160"/>
      <c r="CV1" s="1160"/>
      <c r="CW1" s="1160"/>
      <c r="CX1" s="1160"/>
      <c r="CY1" s="1160"/>
      <c r="CZ1" s="1160"/>
      <c r="DA1" s="1160"/>
      <c r="DB1" s="1160"/>
      <c r="DC1" s="1160"/>
      <c r="DD1" s="1160"/>
      <c r="DE1" s="1160"/>
      <c r="DF1" s="1160"/>
      <c r="DG1" s="1160"/>
      <c r="DH1" s="1160"/>
      <c r="DI1" s="1160"/>
      <c r="DJ1" s="1160"/>
      <c r="DK1" s="1160"/>
      <c r="DL1" s="1160"/>
      <c r="DM1" s="1160"/>
      <c r="DN1" s="1160"/>
      <c r="DO1" s="1160"/>
      <c r="DP1" s="1160"/>
      <c r="DQ1" s="1160"/>
      <c r="DR1" s="1160"/>
      <c r="DS1" s="1160"/>
      <c r="DT1" s="1160"/>
      <c r="DU1" s="1160"/>
      <c r="DV1" s="1160"/>
      <c r="DW1" s="1160"/>
      <c r="DX1" s="1160"/>
      <c r="DY1" s="1160"/>
      <c r="DZ1" s="1160"/>
      <c r="EA1" s="1160"/>
      <c r="EB1" s="1160"/>
      <c r="EC1" s="1160"/>
    </row>
    <row r="2" spans="1:133" ht="12" customHeight="1" x14ac:dyDescent="0.2">
      <c r="A2" s="1160"/>
      <c r="B2" s="1160"/>
      <c r="C2" s="1160"/>
      <c r="D2" s="1160"/>
      <c r="E2" s="1160"/>
      <c r="F2" s="1160"/>
      <c r="G2" s="1160"/>
      <c r="H2" s="1160"/>
      <c r="I2" s="1160"/>
      <c r="J2" s="1160"/>
      <c r="K2" s="1160"/>
      <c r="L2" s="1160"/>
      <c r="M2" s="1160"/>
      <c r="N2" s="1160"/>
      <c r="O2" s="1160"/>
      <c r="P2" s="1160"/>
      <c r="Q2" s="1160"/>
      <c r="R2" s="1160"/>
      <c r="S2" s="1160"/>
      <c r="T2" s="1160"/>
      <c r="U2" s="1160"/>
      <c r="V2" s="1160"/>
      <c r="W2" s="1160"/>
      <c r="X2" s="1160"/>
      <c r="Y2" s="1160"/>
      <c r="Z2" s="1160"/>
      <c r="AA2" s="1160"/>
      <c r="AB2" s="1160"/>
      <c r="AC2" s="1160"/>
      <c r="AD2" s="1160"/>
      <c r="AE2" s="1160"/>
      <c r="AF2" s="1160"/>
      <c r="AG2" s="1160"/>
      <c r="AH2" s="1160"/>
      <c r="AI2" s="1160"/>
      <c r="AJ2" s="1160"/>
      <c r="AK2" s="1160"/>
      <c r="AL2" s="1160"/>
      <c r="AM2" s="1160"/>
      <c r="AN2" s="1160"/>
      <c r="AO2" s="1160"/>
      <c r="AP2" s="1160"/>
      <c r="AQ2" s="1160"/>
      <c r="AR2" s="1160"/>
      <c r="AS2" s="1160"/>
      <c r="AT2" s="1160"/>
      <c r="AU2" s="1160"/>
      <c r="AV2" s="1160"/>
      <c r="AW2" s="1160"/>
      <c r="AX2" s="1160"/>
      <c r="AY2" s="1160"/>
      <c r="AZ2" s="1160"/>
      <c r="BA2" s="1160"/>
      <c r="BB2" s="1160"/>
      <c r="BC2" s="1160"/>
      <c r="BD2" s="1160"/>
      <c r="BE2" s="1160"/>
      <c r="BF2" s="1160"/>
      <c r="BG2" s="1160"/>
      <c r="BH2" s="1160"/>
      <c r="BI2" s="1160"/>
      <c r="BJ2" s="1160"/>
      <c r="BK2" s="1160"/>
      <c r="BL2" s="1160"/>
      <c r="BM2" s="1160"/>
      <c r="BN2" s="1160"/>
      <c r="BO2" s="1160"/>
      <c r="BP2" s="1160"/>
      <c r="BQ2" s="1160"/>
      <c r="BR2" s="1160"/>
      <c r="BS2" s="1160"/>
      <c r="BT2" s="1160"/>
      <c r="BU2" s="1160"/>
      <c r="BV2" s="1160"/>
      <c r="BW2" s="1160"/>
      <c r="BX2" s="1160"/>
      <c r="BY2" s="1160"/>
      <c r="BZ2" s="1160"/>
      <c r="CA2" s="1160"/>
      <c r="CB2" s="1160"/>
      <c r="CC2" s="1160"/>
      <c r="CD2" s="1160"/>
      <c r="CE2" s="1160"/>
      <c r="CF2" s="1160"/>
      <c r="CG2" s="1160"/>
      <c r="CH2" s="1160"/>
      <c r="CI2" s="1160"/>
      <c r="CJ2" s="1160"/>
      <c r="CK2" s="1160"/>
      <c r="CL2" s="1160"/>
      <c r="CM2" s="1160"/>
      <c r="CN2" s="1160"/>
      <c r="CO2" s="1160"/>
      <c r="CP2" s="1160"/>
      <c r="CQ2" s="1160"/>
      <c r="CR2" s="1160"/>
      <c r="CS2" s="1160"/>
      <c r="CT2" s="1160"/>
      <c r="CU2" s="1160"/>
      <c r="CV2" s="1160"/>
      <c r="CW2" s="1160"/>
      <c r="CX2" s="1160"/>
      <c r="CY2" s="1160"/>
      <c r="CZ2" s="1160"/>
      <c r="DA2" s="1160"/>
      <c r="DB2" s="1160"/>
      <c r="DC2" s="1160"/>
      <c r="DD2" s="1160"/>
      <c r="DE2" s="1160"/>
      <c r="DF2" s="1160"/>
      <c r="DG2" s="1160"/>
      <c r="DH2" s="1160"/>
      <c r="DI2" s="1160"/>
      <c r="DJ2" s="1160"/>
      <c r="DK2" s="1160"/>
      <c r="DL2" s="1160"/>
      <c r="DM2" s="1160"/>
      <c r="DN2" s="1160"/>
      <c r="DO2" s="1160"/>
      <c r="DP2" s="1160"/>
      <c r="DQ2" s="1160"/>
      <c r="DR2" s="1160"/>
      <c r="DS2" s="1160"/>
      <c r="DT2" s="1160"/>
      <c r="DU2" s="1160"/>
      <c r="DV2" s="1160"/>
      <c r="DW2" s="1160"/>
      <c r="DX2" s="1160"/>
      <c r="DY2" s="1160"/>
      <c r="DZ2" s="1160"/>
      <c r="EA2" s="1160"/>
      <c r="EB2" s="1160"/>
      <c r="EC2" s="1160"/>
    </row>
    <row r="3" spans="1:133" ht="12.75" customHeight="1" x14ac:dyDescent="0.2">
      <c r="A3" s="1160"/>
      <c r="B3" s="1161"/>
      <c r="C3" s="2430" t="s">
        <v>1692</v>
      </c>
      <c r="D3" s="2430"/>
      <c r="E3" s="2430"/>
      <c r="F3" s="2430"/>
      <c r="G3" s="2430"/>
      <c r="H3" s="2430"/>
      <c r="I3" s="2430"/>
      <c r="J3" s="2430"/>
      <c r="K3" s="2430"/>
      <c r="L3" s="2430"/>
      <c r="M3" s="1160"/>
      <c r="N3" s="1160"/>
      <c r="O3" s="1160"/>
      <c r="P3" s="1160"/>
      <c r="Q3" s="1160"/>
      <c r="R3" s="1160"/>
      <c r="S3" s="1160"/>
      <c r="T3" s="1160"/>
      <c r="U3" s="1160"/>
      <c r="V3" s="1160"/>
      <c r="W3" s="1160"/>
      <c r="X3" s="1160"/>
      <c r="Y3" s="1160"/>
      <c r="Z3" s="1160"/>
      <c r="AA3" s="1160"/>
      <c r="AB3" s="1160"/>
      <c r="AC3" s="1160"/>
      <c r="AD3" s="1160"/>
      <c r="AE3" s="1160"/>
      <c r="AF3" s="1160"/>
      <c r="AG3" s="1160"/>
      <c r="AH3" s="1160"/>
      <c r="AI3" s="1160"/>
      <c r="AJ3" s="1160"/>
      <c r="AK3" s="1160"/>
      <c r="AL3" s="1160"/>
      <c r="AM3" s="1160"/>
      <c r="AN3" s="1160"/>
      <c r="AO3" s="1160"/>
      <c r="AP3" s="1160"/>
      <c r="AQ3" s="1160"/>
      <c r="AR3" s="1160"/>
      <c r="AS3" s="1160"/>
      <c r="AT3" s="1160"/>
      <c r="AU3" s="1160"/>
      <c r="AV3" s="1160"/>
      <c r="AW3" s="1160"/>
      <c r="AX3" s="1160"/>
      <c r="AY3" s="1160"/>
      <c r="AZ3" s="1160"/>
      <c r="BA3" s="1160"/>
      <c r="BB3" s="1160"/>
      <c r="BC3" s="1160"/>
      <c r="BD3" s="1160"/>
      <c r="BE3" s="1160"/>
      <c r="BF3" s="1160"/>
      <c r="BG3" s="1160"/>
      <c r="BH3" s="1160"/>
      <c r="BI3" s="1160"/>
      <c r="BJ3" s="1160"/>
      <c r="BK3" s="1160"/>
      <c r="BL3" s="1160"/>
      <c r="BM3" s="1160"/>
      <c r="BN3" s="1160"/>
      <c r="BO3" s="1160"/>
      <c r="BP3" s="1160"/>
      <c r="BQ3" s="1160"/>
      <c r="BR3" s="1160"/>
      <c r="BS3" s="1160"/>
      <c r="BT3" s="1160"/>
      <c r="BU3" s="1160"/>
      <c r="BV3" s="1160"/>
      <c r="BW3" s="1160"/>
      <c r="BX3" s="1160"/>
      <c r="BY3" s="1160"/>
      <c r="BZ3" s="1160"/>
      <c r="CA3" s="1160"/>
      <c r="CB3" s="1160"/>
      <c r="CC3" s="1160"/>
      <c r="CD3" s="1160"/>
      <c r="CE3" s="1160"/>
      <c r="CF3" s="1160"/>
      <c r="CG3" s="1160"/>
      <c r="CH3" s="1160"/>
      <c r="CI3" s="1160"/>
      <c r="CJ3" s="1160"/>
      <c r="CK3" s="1160"/>
      <c r="CL3" s="1160"/>
      <c r="CM3" s="1160"/>
      <c r="CN3" s="1160"/>
      <c r="CO3" s="1160"/>
      <c r="CP3" s="1160"/>
      <c r="CQ3" s="1160"/>
      <c r="CR3" s="1160"/>
      <c r="CS3" s="1160"/>
      <c r="CT3" s="1160"/>
      <c r="CU3" s="1160"/>
      <c r="CV3" s="1160"/>
      <c r="CW3" s="1160"/>
      <c r="CX3" s="1160"/>
      <c r="CY3" s="1160"/>
      <c r="CZ3" s="1160"/>
      <c r="DA3" s="1160"/>
      <c r="DB3" s="1160"/>
      <c r="DC3" s="1160"/>
      <c r="DD3" s="1160"/>
      <c r="DE3" s="1160"/>
      <c r="DF3" s="1160"/>
      <c r="DG3" s="1160"/>
      <c r="DH3" s="1160"/>
      <c r="DI3" s="1160"/>
      <c r="DJ3" s="1160"/>
      <c r="DK3" s="1160"/>
      <c r="DL3" s="1160"/>
      <c r="DM3" s="1160"/>
      <c r="DN3" s="1160"/>
      <c r="DO3" s="1160"/>
      <c r="DP3" s="1160"/>
      <c r="DQ3" s="1160"/>
      <c r="DR3" s="1160"/>
      <c r="DS3" s="1160"/>
      <c r="DT3" s="1160"/>
      <c r="DU3" s="1160"/>
      <c r="DV3" s="1160"/>
      <c r="DW3" s="1160"/>
      <c r="DX3" s="1160"/>
      <c r="DY3" s="1160"/>
      <c r="DZ3" s="1160"/>
      <c r="EA3" s="1160"/>
      <c r="EB3" s="1160"/>
      <c r="EC3" s="1160"/>
    </row>
    <row r="4" spans="1:133" ht="12.75" customHeight="1" x14ac:dyDescent="0.2">
      <c r="A4" s="1160"/>
      <c r="B4" s="1161"/>
      <c r="C4" s="2430"/>
      <c r="D4" s="2430"/>
      <c r="E4" s="2430"/>
      <c r="F4" s="2430"/>
      <c r="G4" s="2430"/>
      <c r="H4" s="2430"/>
      <c r="I4" s="2430"/>
      <c r="J4" s="2430"/>
      <c r="K4" s="2430"/>
      <c r="L4" s="2430"/>
      <c r="M4" s="1160"/>
      <c r="N4" s="1160"/>
      <c r="O4" s="1160"/>
      <c r="P4" s="1160"/>
      <c r="Q4" s="1160"/>
      <c r="R4" s="1160"/>
      <c r="S4" s="1160"/>
      <c r="T4" s="1160"/>
      <c r="U4" s="1160"/>
      <c r="V4" s="1160"/>
      <c r="W4" s="1160"/>
      <c r="X4" s="1160"/>
      <c r="Y4" s="1160"/>
      <c r="Z4" s="1160"/>
      <c r="AA4" s="1160"/>
      <c r="AB4" s="1160"/>
      <c r="AC4" s="1160"/>
      <c r="AD4" s="1160"/>
      <c r="AE4" s="1160"/>
      <c r="AF4" s="1160"/>
      <c r="AG4" s="1160"/>
      <c r="AH4" s="1160"/>
      <c r="AI4" s="1160"/>
      <c r="AJ4" s="1160"/>
      <c r="AK4" s="1160"/>
      <c r="AL4" s="1160"/>
      <c r="AM4" s="1160"/>
      <c r="AN4" s="1160"/>
      <c r="AO4" s="1160"/>
      <c r="AP4" s="1160"/>
      <c r="AQ4" s="1160"/>
      <c r="AR4" s="1160"/>
      <c r="AS4" s="1160"/>
      <c r="AT4" s="1160"/>
      <c r="AU4" s="1160"/>
      <c r="AV4" s="1160"/>
      <c r="AW4" s="1160"/>
      <c r="AX4" s="1160"/>
      <c r="AY4" s="1160"/>
      <c r="AZ4" s="1160"/>
      <c r="BA4" s="1160"/>
      <c r="BB4" s="1160"/>
      <c r="BC4" s="1160"/>
      <c r="BD4" s="1160"/>
      <c r="BE4" s="1160"/>
      <c r="BF4" s="1160"/>
      <c r="BG4" s="1160"/>
      <c r="BH4" s="1160"/>
      <c r="BI4" s="1160"/>
      <c r="BJ4" s="1160"/>
      <c r="BK4" s="1160"/>
      <c r="BL4" s="1160"/>
      <c r="BM4" s="1160"/>
      <c r="BN4" s="1160"/>
      <c r="BO4" s="1160"/>
      <c r="BP4" s="1160"/>
      <c r="BQ4" s="1160"/>
      <c r="BR4" s="1160"/>
      <c r="BS4" s="1160"/>
      <c r="BT4" s="1160"/>
      <c r="BU4" s="1160"/>
      <c r="BV4" s="1160"/>
      <c r="BW4" s="1160"/>
      <c r="BX4" s="1160"/>
      <c r="BY4" s="1160"/>
      <c r="BZ4" s="1160"/>
      <c r="CA4" s="1160"/>
      <c r="CB4" s="1160"/>
      <c r="CC4" s="1160"/>
      <c r="CD4" s="1160"/>
      <c r="CE4" s="1160"/>
      <c r="CF4" s="1160"/>
      <c r="CG4" s="1160"/>
      <c r="CH4" s="1160"/>
      <c r="CI4" s="1160"/>
      <c r="CJ4" s="1160"/>
      <c r="CK4" s="1160"/>
      <c r="CL4" s="1160"/>
      <c r="CM4" s="1160"/>
      <c r="CN4" s="1160"/>
      <c r="CO4" s="1160"/>
      <c r="CP4" s="1160"/>
      <c r="CQ4" s="1160"/>
      <c r="CR4" s="1160"/>
      <c r="CS4" s="1160"/>
      <c r="CT4" s="1160"/>
      <c r="CU4" s="1160"/>
      <c r="CV4" s="1160"/>
      <c r="CW4" s="1160"/>
      <c r="CX4" s="1160"/>
      <c r="CY4" s="1160"/>
      <c r="CZ4" s="1160"/>
      <c r="DA4" s="1160"/>
      <c r="DB4" s="1160"/>
      <c r="DC4" s="1160"/>
      <c r="DD4" s="1160"/>
      <c r="DE4" s="1160"/>
      <c r="DF4" s="1160"/>
      <c r="DG4" s="1160"/>
      <c r="DH4" s="1160"/>
      <c r="DI4" s="1160"/>
      <c r="DJ4" s="1160"/>
      <c r="DK4" s="1160"/>
      <c r="DL4" s="1160"/>
      <c r="DM4" s="1160"/>
      <c r="DN4" s="1160"/>
      <c r="DO4" s="1160"/>
      <c r="DP4" s="1160"/>
      <c r="DQ4" s="1160"/>
      <c r="DR4" s="1160"/>
      <c r="DS4" s="1160"/>
      <c r="DT4" s="1160"/>
      <c r="DU4" s="1160"/>
      <c r="DV4" s="1160"/>
      <c r="DW4" s="1160"/>
      <c r="DX4" s="1160"/>
      <c r="DY4" s="1160"/>
      <c r="DZ4" s="1160"/>
      <c r="EA4" s="1160"/>
      <c r="EB4" s="1160"/>
      <c r="EC4" s="1160"/>
    </row>
    <row r="5" spans="1:133" ht="23.25" customHeight="1" thickBot="1" x14ac:dyDescent="0.25">
      <c r="A5" s="1160"/>
      <c r="B5" s="1160"/>
      <c r="C5" s="1277"/>
      <c r="D5" s="1229"/>
      <c r="E5" s="1170"/>
      <c r="F5" s="1170"/>
      <c r="G5" s="1170"/>
      <c r="H5" s="1170"/>
      <c r="I5" s="1170"/>
      <c r="J5" s="1170"/>
      <c r="K5" s="1170"/>
      <c r="L5" s="1170"/>
      <c r="M5" s="1170"/>
      <c r="N5" s="1170"/>
      <c r="O5" s="1170"/>
      <c r="P5" s="1170"/>
      <c r="Q5" s="1170"/>
      <c r="R5" s="1170"/>
      <c r="S5" s="1170"/>
      <c r="T5" s="1170"/>
      <c r="U5" s="1170"/>
      <c r="V5" s="1170"/>
      <c r="W5" s="1170"/>
      <c r="X5" s="1170"/>
      <c r="Y5" s="1170"/>
      <c r="Z5" s="1170"/>
      <c r="AA5" s="1170"/>
      <c r="AB5" s="1170"/>
      <c r="AC5" s="1170"/>
      <c r="AD5" s="1170"/>
      <c r="AE5" s="1170"/>
      <c r="AF5" s="1170"/>
      <c r="AG5" s="1170"/>
      <c r="AH5" s="1170"/>
      <c r="AI5" s="1170"/>
      <c r="AJ5" s="1170"/>
      <c r="AK5" s="1170"/>
      <c r="AL5" s="1170"/>
      <c r="AM5" s="1170"/>
      <c r="AN5" s="1170"/>
      <c r="AO5" s="1170"/>
      <c r="AP5" s="1170"/>
      <c r="AQ5" s="1170"/>
      <c r="AR5" s="1170"/>
      <c r="AS5" s="1170"/>
      <c r="AT5" s="1170"/>
      <c r="AU5" s="1170"/>
      <c r="AV5" s="1170"/>
      <c r="AW5" s="1170"/>
      <c r="AX5" s="1170"/>
      <c r="AY5" s="1170"/>
      <c r="AZ5" s="1170"/>
      <c r="BA5" s="1170"/>
      <c r="BB5" s="1170"/>
      <c r="BC5" s="1170"/>
      <c r="BD5" s="1170"/>
      <c r="BE5" s="1170"/>
      <c r="BF5" s="1170"/>
      <c r="BG5" s="1170"/>
      <c r="BH5" s="1170"/>
      <c r="BI5" s="1170"/>
      <c r="BJ5" s="1170"/>
      <c r="BK5" s="1170"/>
      <c r="BL5" s="1170"/>
      <c r="BM5" s="1170"/>
      <c r="BN5" s="1170"/>
      <c r="BO5" s="1170"/>
      <c r="BP5" s="1170"/>
      <c r="BQ5" s="1170"/>
      <c r="BR5" s="1170"/>
      <c r="BS5" s="1170"/>
      <c r="BT5" s="1170"/>
      <c r="BU5" s="1170"/>
      <c r="BV5" s="1170"/>
      <c r="BW5" s="1170"/>
      <c r="BX5" s="1170"/>
      <c r="BY5" s="1170"/>
      <c r="BZ5" s="1170"/>
      <c r="CA5" s="1170"/>
      <c r="CB5" s="1170"/>
      <c r="CC5" s="1170"/>
      <c r="CD5" s="1170"/>
      <c r="CE5" s="1160"/>
      <c r="CF5" s="1160"/>
      <c r="CG5" s="1170"/>
      <c r="CH5" s="1170"/>
      <c r="CI5" s="1170"/>
      <c r="CJ5" s="1170"/>
      <c r="CK5" s="1170"/>
      <c r="CL5" s="1170"/>
      <c r="CM5" s="1170"/>
      <c r="CN5" s="1170"/>
      <c r="CO5" s="1170"/>
      <c r="CP5" s="1160"/>
      <c r="CQ5" s="1160"/>
      <c r="CR5" s="1160"/>
      <c r="CS5" s="1160"/>
      <c r="CT5" s="1160"/>
      <c r="CU5" s="1160"/>
      <c r="CV5" s="1160"/>
      <c r="CW5" s="1160"/>
      <c r="CX5" s="1160"/>
      <c r="CY5" s="1160"/>
      <c r="CZ5" s="1171"/>
      <c r="DA5" s="1160"/>
      <c r="DB5" s="1160"/>
      <c r="DC5" s="1160"/>
      <c r="DD5" s="1160"/>
      <c r="DE5" s="1160"/>
      <c r="DF5" s="1160"/>
      <c r="DG5" s="1160"/>
      <c r="DH5" s="1160"/>
      <c r="DI5" s="1160"/>
      <c r="DJ5" s="1160"/>
      <c r="DK5" s="1160"/>
      <c r="DL5" s="1160"/>
      <c r="DM5" s="1160"/>
      <c r="DN5" s="1160"/>
      <c r="DO5" s="1160"/>
      <c r="DP5" s="1160"/>
      <c r="DQ5" s="1160"/>
      <c r="DR5" s="1160"/>
      <c r="DS5" s="1160"/>
      <c r="DT5" s="1160"/>
      <c r="DU5" s="1160"/>
      <c r="DV5" s="1160"/>
      <c r="DW5" s="1160"/>
      <c r="DX5" s="1160"/>
      <c r="DY5" s="1160"/>
      <c r="DZ5" s="1160"/>
      <c r="EA5" s="1160"/>
      <c r="EB5" s="1160"/>
      <c r="EC5" s="1160"/>
    </row>
    <row r="6" spans="1:133" ht="31.5" customHeight="1" x14ac:dyDescent="0.2">
      <c r="A6" s="1160"/>
      <c r="B6" s="1278"/>
      <c r="C6" s="1279" t="s">
        <v>1019</v>
      </c>
      <c r="D6" s="1280"/>
      <c r="E6" s="1281"/>
      <c r="F6" s="1281"/>
      <c r="G6" s="1281"/>
      <c r="H6" s="1281"/>
      <c r="I6" s="1281"/>
      <c r="J6" s="1281"/>
      <c r="K6" s="1281"/>
      <c r="L6" s="1282"/>
      <c r="M6" s="1170"/>
      <c r="N6" s="1170"/>
      <c r="O6" s="1170"/>
      <c r="P6" s="1170"/>
      <c r="Q6" s="1170"/>
      <c r="R6" s="1170"/>
      <c r="S6" s="1170"/>
      <c r="T6" s="1170"/>
      <c r="U6" s="1170"/>
      <c r="V6" s="1170"/>
      <c r="W6" s="1170"/>
      <c r="X6" s="1170"/>
      <c r="Y6" s="1170"/>
      <c r="Z6" s="1170"/>
      <c r="AA6" s="1170"/>
      <c r="AB6" s="1170"/>
      <c r="AC6" s="1170"/>
      <c r="AD6" s="1170"/>
      <c r="AE6" s="1170"/>
      <c r="AF6" s="1170"/>
      <c r="AG6" s="1170"/>
      <c r="AH6" s="1170"/>
      <c r="AI6" s="1170"/>
      <c r="AJ6" s="1170"/>
      <c r="AK6" s="1170"/>
      <c r="AL6" s="1170"/>
      <c r="AM6" s="1170"/>
      <c r="AN6" s="1170"/>
      <c r="AO6" s="1170"/>
      <c r="AP6" s="1170"/>
      <c r="AQ6" s="1170"/>
      <c r="AR6" s="1170"/>
      <c r="AS6" s="1170"/>
      <c r="AT6" s="1170"/>
      <c r="AU6" s="1170"/>
      <c r="AV6" s="1170"/>
      <c r="AW6" s="1170"/>
      <c r="AX6" s="1170"/>
      <c r="AY6" s="1170"/>
      <c r="AZ6" s="1170"/>
      <c r="BA6" s="1170"/>
      <c r="BB6" s="1170"/>
      <c r="BC6" s="1170"/>
      <c r="BD6" s="1170"/>
      <c r="BE6" s="1170"/>
      <c r="BF6" s="1170"/>
      <c r="BG6" s="1170"/>
      <c r="BH6" s="1170"/>
      <c r="BI6" s="1170"/>
      <c r="BJ6" s="1170"/>
      <c r="BK6" s="1170"/>
      <c r="BL6" s="1170"/>
      <c r="BM6" s="1170"/>
      <c r="BN6" s="1170"/>
      <c r="BO6" s="1170"/>
      <c r="BP6" s="1170"/>
      <c r="BQ6" s="1170"/>
      <c r="BR6" s="1170"/>
      <c r="BS6" s="1170"/>
      <c r="BT6" s="1170"/>
      <c r="BU6" s="1170"/>
      <c r="BV6" s="1170"/>
      <c r="BW6" s="1170"/>
      <c r="BX6" s="1170"/>
      <c r="BY6" s="1170"/>
      <c r="BZ6" s="1170"/>
      <c r="CA6" s="1170"/>
      <c r="CB6" s="1170"/>
      <c r="CC6" s="1170"/>
      <c r="CD6" s="1170"/>
      <c r="CE6" s="1160"/>
      <c r="CF6" s="1160"/>
      <c r="CG6" s="1170"/>
      <c r="CH6" s="1170"/>
      <c r="CI6" s="1170"/>
      <c r="CJ6" s="1170"/>
      <c r="CK6" s="1170"/>
      <c r="CL6" s="1170"/>
      <c r="CM6" s="1170"/>
      <c r="CN6" s="1170"/>
      <c r="CO6" s="1170"/>
      <c r="CP6" s="1160"/>
      <c r="CQ6" s="1160"/>
      <c r="CR6" s="1160"/>
      <c r="CS6" s="1160"/>
      <c r="CT6" s="1160"/>
      <c r="CU6" s="1160"/>
      <c r="CV6" s="1160"/>
      <c r="CW6" s="1160"/>
      <c r="CX6" s="1160"/>
      <c r="CY6" s="1160"/>
      <c r="CZ6" s="1171"/>
      <c r="DA6" s="1160"/>
      <c r="DB6" s="1160"/>
      <c r="DC6" s="1160"/>
      <c r="DD6" s="1160"/>
      <c r="DE6" s="1160"/>
      <c r="DF6" s="1160"/>
      <c r="DG6" s="1160"/>
      <c r="DH6" s="1160"/>
      <c r="DI6" s="1160"/>
      <c r="DJ6" s="1160"/>
      <c r="DK6" s="1160"/>
      <c r="DL6" s="1160"/>
      <c r="DM6" s="1160"/>
      <c r="DN6" s="1160"/>
      <c r="DO6" s="1160"/>
      <c r="DP6" s="1160"/>
      <c r="DQ6" s="1160"/>
      <c r="DR6" s="1160"/>
      <c r="DS6" s="1160"/>
      <c r="DT6" s="1160"/>
      <c r="DU6" s="1160"/>
      <c r="DV6" s="1160"/>
      <c r="DW6" s="1160"/>
      <c r="DX6" s="1160"/>
      <c r="DY6" s="1160"/>
      <c r="DZ6" s="1160"/>
      <c r="EA6" s="1160"/>
      <c r="EB6" s="1160"/>
      <c r="EC6" s="1160"/>
    </row>
    <row r="7" spans="1:133" x14ac:dyDescent="0.2">
      <c r="A7" s="1160"/>
      <c r="B7" s="1147"/>
      <c r="C7" s="1102"/>
      <c r="D7" s="1102"/>
      <c r="E7" s="1107"/>
      <c r="F7" s="1107"/>
      <c r="G7" s="1107"/>
      <c r="H7" s="1107"/>
      <c r="I7" s="1107"/>
      <c r="J7" s="1107"/>
      <c r="K7" s="1107"/>
      <c r="L7" s="1150"/>
      <c r="M7" s="1170"/>
      <c r="N7" s="1170"/>
      <c r="O7" s="1170"/>
      <c r="P7" s="1170"/>
      <c r="Q7" s="1170"/>
      <c r="R7" s="1170"/>
      <c r="S7" s="1170"/>
      <c r="T7" s="1170"/>
      <c r="U7" s="1170"/>
      <c r="V7" s="1170"/>
      <c r="W7" s="1170"/>
      <c r="X7" s="1170"/>
      <c r="Y7" s="1170"/>
      <c r="Z7" s="1170"/>
      <c r="AA7" s="1170"/>
      <c r="AB7" s="1170"/>
      <c r="AC7" s="1170"/>
      <c r="AD7" s="1170"/>
      <c r="AE7" s="1170"/>
      <c r="AF7" s="1170"/>
      <c r="AG7" s="1170"/>
      <c r="AH7" s="1170"/>
      <c r="AI7" s="1170"/>
      <c r="AJ7" s="1170"/>
      <c r="AK7" s="1170"/>
      <c r="AL7" s="1170"/>
      <c r="AM7" s="1170"/>
      <c r="AN7" s="1170"/>
      <c r="AO7" s="1170"/>
      <c r="AP7" s="1170"/>
      <c r="AQ7" s="1170"/>
      <c r="AR7" s="1170"/>
      <c r="AS7" s="1170"/>
      <c r="AT7" s="1170"/>
      <c r="AU7" s="1170"/>
      <c r="AV7" s="1170"/>
      <c r="AW7" s="1170"/>
      <c r="AX7" s="1170"/>
      <c r="AY7" s="1170"/>
      <c r="AZ7" s="1170"/>
      <c r="BA7" s="1170"/>
      <c r="BB7" s="1170"/>
      <c r="BC7" s="1170"/>
      <c r="BD7" s="1170"/>
      <c r="BE7" s="1170"/>
      <c r="BF7" s="1170"/>
      <c r="BG7" s="1170"/>
      <c r="BH7" s="1170"/>
      <c r="BI7" s="1170"/>
      <c r="BJ7" s="1170"/>
      <c r="BK7" s="1170"/>
      <c r="BL7" s="1170"/>
      <c r="BM7" s="1170"/>
      <c r="BN7" s="1170"/>
      <c r="BO7" s="1170"/>
      <c r="BP7" s="1170"/>
      <c r="BQ7" s="1170"/>
      <c r="BR7" s="1170"/>
      <c r="BS7" s="1170"/>
      <c r="BT7" s="1170"/>
      <c r="BU7" s="1170"/>
      <c r="BV7" s="1170"/>
      <c r="BW7" s="1170"/>
      <c r="BX7" s="1170"/>
      <c r="BY7" s="1170"/>
      <c r="BZ7" s="1170"/>
      <c r="CA7" s="1170"/>
      <c r="CB7" s="1170"/>
      <c r="CC7" s="1170"/>
      <c r="CD7" s="1170"/>
      <c r="CE7" s="1170"/>
      <c r="CF7" s="1170"/>
      <c r="CG7" s="1170"/>
      <c r="CH7" s="1170"/>
      <c r="CI7" s="1170"/>
      <c r="CJ7" s="1170"/>
      <c r="CK7" s="1170"/>
      <c r="CL7" s="1170"/>
      <c r="CM7" s="1170"/>
      <c r="CN7" s="1170"/>
      <c r="CO7" s="1170"/>
      <c r="CP7" s="1160"/>
      <c r="CQ7" s="1160"/>
      <c r="CR7" s="1160"/>
      <c r="CS7" s="1160"/>
      <c r="CT7" s="1160"/>
      <c r="CU7" s="1160"/>
      <c r="CV7" s="1160"/>
      <c r="CW7" s="1160"/>
      <c r="CX7" s="1160"/>
      <c r="CY7" s="1160"/>
      <c r="CZ7" s="1171"/>
      <c r="DA7" s="1160"/>
      <c r="DB7" s="1160"/>
      <c r="DC7" s="1160"/>
      <c r="DD7" s="1160"/>
      <c r="DE7" s="1160"/>
      <c r="DF7" s="1160"/>
      <c r="DG7" s="1160"/>
      <c r="DH7" s="1160"/>
      <c r="DI7" s="1160"/>
      <c r="DJ7" s="1160"/>
      <c r="DK7" s="1160"/>
      <c r="DL7" s="1160"/>
      <c r="DM7" s="1160"/>
      <c r="DN7" s="1160"/>
      <c r="DO7" s="1160"/>
      <c r="DP7" s="1160"/>
      <c r="DQ7" s="1160"/>
      <c r="DR7" s="1160"/>
      <c r="DS7" s="1160"/>
      <c r="DT7" s="1160"/>
      <c r="DU7" s="1160"/>
      <c r="DV7" s="1160"/>
      <c r="DW7" s="1160"/>
      <c r="DX7" s="1160"/>
      <c r="DY7" s="1160"/>
      <c r="DZ7" s="1160"/>
      <c r="EA7" s="1160"/>
      <c r="EB7" s="1160"/>
      <c r="EC7" s="1160"/>
    </row>
    <row r="8" spans="1:133" ht="15.75" x14ac:dyDescent="0.25">
      <c r="A8" s="1160"/>
      <c r="B8" s="1176"/>
      <c r="C8" s="1177" t="s">
        <v>1260</v>
      </c>
      <c r="D8" s="1178"/>
      <c r="E8" s="1175"/>
      <c r="F8" s="1175"/>
      <c r="G8" s="1175"/>
      <c r="H8" s="1107"/>
      <c r="I8" s="1107"/>
      <c r="J8" s="1107"/>
      <c r="K8" s="1107"/>
      <c r="L8" s="1150"/>
      <c r="M8" s="1170"/>
      <c r="N8" s="1170"/>
      <c r="O8" s="1170"/>
      <c r="P8" s="1170"/>
      <c r="Q8" s="1170"/>
      <c r="R8" s="1170"/>
      <c r="S8" s="1170"/>
      <c r="T8" s="1170"/>
      <c r="U8" s="1170"/>
      <c r="V8" s="1170"/>
      <c r="W8" s="1170"/>
      <c r="X8" s="1170"/>
      <c r="Y8" s="1170"/>
      <c r="Z8" s="1170"/>
      <c r="AA8" s="1170"/>
      <c r="AB8" s="1170"/>
      <c r="AC8" s="1170"/>
      <c r="AD8" s="1170"/>
      <c r="AE8" s="1170"/>
      <c r="AF8" s="1170"/>
      <c r="AG8" s="1170"/>
      <c r="AH8" s="1170"/>
      <c r="AI8" s="1170"/>
      <c r="AJ8" s="1170"/>
      <c r="AK8" s="1170"/>
      <c r="AL8" s="1170"/>
      <c r="AM8" s="1170"/>
      <c r="AN8" s="1170"/>
      <c r="AO8" s="1170"/>
      <c r="AP8" s="1170"/>
      <c r="AQ8" s="1170"/>
      <c r="AR8" s="1170"/>
      <c r="AS8" s="1170"/>
      <c r="AT8" s="1170"/>
      <c r="AU8" s="1170"/>
      <c r="AV8" s="1170"/>
      <c r="AW8" s="1170"/>
      <c r="AX8" s="1170"/>
      <c r="AY8" s="1170"/>
      <c r="AZ8" s="1170"/>
      <c r="BA8" s="1170"/>
      <c r="BB8" s="1170"/>
      <c r="BC8" s="1170"/>
      <c r="BD8" s="1170"/>
      <c r="BE8" s="1170"/>
      <c r="BF8" s="1170"/>
      <c r="BG8" s="1170"/>
      <c r="BH8" s="1170"/>
      <c r="BI8" s="1170"/>
      <c r="BJ8" s="1170"/>
      <c r="BK8" s="1170"/>
      <c r="BL8" s="1170"/>
      <c r="BM8" s="1170"/>
      <c r="BN8" s="1181" t="str">
        <f>HydroRefineryCalcs!G161</f>
        <v>Isom Fuel Gas</v>
      </c>
      <c r="BO8" s="1170"/>
      <c r="BP8" s="1170"/>
      <c r="BQ8" s="1170"/>
      <c r="BR8" s="1170"/>
      <c r="BS8" s="1170"/>
      <c r="BT8" s="1170"/>
      <c r="BU8" s="1170"/>
      <c r="BV8" s="1181" t="str">
        <f>HydroRefineryCalcs!F161</f>
        <v>iC5</v>
      </c>
      <c r="BW8" s="1170"/>
      <c r="BX8" s="1179"/>
      <c r="BY8" s="1170"/>
      <c r="BZ8" s="1180" t="str">
        <f>BV8</f>
        <v>iC5</v>
      </c>
      <c r="CA8" s="1170"/>
      <c r="CB8" s="1170"/>
      <c r="CC8" s="1170"/>
      <c r="CD8" s="1181" t="str">
        <f>HydroRefineryCalcs!G187</f>
        <v>Reformer H2</v>
      </c>
      <c r="CE8" s="1170"/>
      <c r="CF8" s="1170"/>
      <c r="CG8" s="1170"/>
      <c r="CH8" s="1180" t="str">
        <f>CD8</f>
        <v>Reformer H2</v>
      </c>
      <c r="CI8" s="1170"/>
      <c r="CJ8" s="1170"/>
      <c r="CK8" s="1170"/>
      <c r="CL8" s="1170"/>
      <c r="CM8" s="1170"/>
      <c r="CN8" s="1170"/>
      <c r="CO8" s="1170"/>
      <c r="CP8" s="1160"/>
      <c r="CQ8" s="1160"/>
      <c r="CR8" s="1160"/>
      <c r="CS8" s="1160"/>
      <c r="CT8" s="1160"/>
      <c r="CU8" s="1160"/>
      <c r="CV8" s="1160"/>
      <c r="CW8" s="1160"/>
      <c r="CX8" s="1160"/>
      <c r="CY8" s="1160"/>
      <c r="CZ8" s="1171"/>
      <c r="DA8" s="1160"/>
      <c r="DB8" s="1160"/>
      <c r="DC8" s="1160"/>
      <c r="DD8" s="1160"/>
      <c r="DE8" s="1160"/>
      <c r="DF8" s="1160"/>
      <c r="DG8" s="1160"/>
      <c r="DH8" s="1160"/>
      <c r="DI8" s="1160"/>
      <c r="DJ8" s="1160"/>
      <c r="DK8" s="1160"/>
      <c r="DL8" s="1160"/>
      <c r="DM8" s="1160"/>
      <c r="DN8" s="1160"/>
      <c r="DO8" s="1160"/>
      <c r="DP8" s="1160"/>
      <c r="DQ8" s="1160"/>
      <c r="DR8" s="1160"/>
      <c r="DS8" s="1160"/>
      <c r="DT8" s="1160"/>
      <c r="DU8" s="1160"/>
      <c r="DV8" s="1160"/>
      <c r="DW8" s="1160"/>
      <c r="DX8" s="1160"/>
      <c r="DY8" s="1160"/>
      <c r="DZ8" s="1160"/>
      <c r="EA8" s="1160"/>
      <c r="EB8" s="1160"/>
      <c r="EC8" s="1160"/>
    </row>
    <row r="9" spans="1:133" ht="14.1" customHeight="1" x14ac:dyDescent="0.25">
      <c r="A9" s="1160"/>
      <c r="B9" s="1172"/>
      <c r="C9" s="1115" t="s">
        <v>1643</v>
      </c>
      <c r="D9" s="1102"/>
      <c r="E9" s="1210">
        <f ca="1">IF(E10=1,E11,IF(E10=2,E12,IF(E10=3,E13,IF(E10=4,E14,IF(E10=5,E15,IF(E10=6,E16,IF(E10=7,E17,IF(E10=8,E18))))))))</f>
        <v>0</v>
      </c>
      <c r="F9" s="1102"/>
      <c r="G9" s="2428" t="s">
        <v>1646</v>
      </c>
      <c r="H9" s="2429"/>
      <c r="I9" s="2429"/>
      <c r="J9" s="2429"/>
      <c r="K9" s="1107"/>
      <c r="L9" s="1150"/>
      <c r="M9" s="1170"/>
      <c r="N9" s="1170"/>
      <c r="O9" s="1170"/>
      <c r="P9" s="1170"/>
      <c r="Q9" s="1170"/>
      <c r="R9" s="1170"/>
      <c r="S9" s="1170"/>
      <c r="T9" s="1170"/>
      <c r="U9" s="1170"/>
      <c r="V9" s="1170"/>
      <c r="W9" s="1170"/>
      <c r="X9" s="1170"/>
      <c r="Y9" s="1170"/>
      <c r="Z9" s="1170"/>
      <c r="AA9" s="1170"/>
      <c r="AB9" s="1170"/>
      <c r="AC9" s="1170"/>
      <c r="AD9" s="1170"/>
      <c r="AE9" s="1170"/>
      <c r="AF9" s="1170"/>
      <c r="AG9" s="1170"/>
      <c r="AH9" s="1170"/>
      <c r="AI9" s="1170"/>
      <c r="AJ9" s="1170"/>
      <c r="AK9" s="1170"/>
      <c r="AL9" s="1170"/>
      <c r="AM9" s="1170"/>
      <c r="AN9" s="1170"/>
      <c r="AO9" s="1170"/>
      <c r="AP9" s="1170"/>
      <c r="AQ9" s="1170"/>
      <c r="AR9" s="1170"/>
      <c r="AS9" s="1170"/>
      <c r="AT9" s="1170"/>
      <c r="AU9" s="1170"/>
      <c r="AV9" s="1170"/>
      <c r="AW9" s="1170"/>
      <c r="AX9" s="1170"/>
      <c r="AY9" s="1170"/>
      <c r="AZ9" s="1170"/>
      <c r="BA9" s="1170"/>
      <c r="BB9" s="1170"/>
      <c r="BC9" s="1170"/>
      <c r="BD9" s="1170"/>
      <c r="BE9" s="1170"/>
      <c r="BF9" s="1170"/>
      <c r="BG9" s="1170"/>
      <c r="BH9" s="1170"/>
      <c r="BI9" s="1170"/>
      <c r="BJ9" s="1170"/>
      <c r="BK9" s="1170"/>
      <c r="BL9" s="1170"/>
      <c r="BM9" s="1170"/>
      <c r="BN9" s="1182" t="str">
        <f>HydroRefineryCalcs!C161</f>
        <v>Property</v>
      </c>
      <c r="BO9" s="1182" t="str">
        <f>HydroRefineryCalcs!D161</f>
        <v>Units</v>
      </c>
      <c r="BP9" s="1170"/>
      <c r="BQ9" s="1170"/>
      <c r="BR9" s="1170"/>
      <c r="BS9" s="1170"/>
      <c r="BT9" s="1170"/>
      <c r="BU9" s="1170"/>
      <c r="BV9" s="1182" t="str">
        <f>HydroRefineryCalcs!C161</f>
        <v>Property</v>
      </c>
      <c r="BW9" s="1182" t="str">
        <f>HydroRefineryCalcs!D161</f>
        <v>Units</v>
      </c>
      <c r="BX9" s="1170"/>
      <c r="BY9" s="1170"/>
      <c r="BZ9" s="1183" t="s">
        <v>226</v>
      </c>
      <c r="CA9" s="1170"/>
      <c r="CB9" s="1227" t="s">
        <v>522</v>
      </c>
      <c r="CC9" s="1170"/>
      <c r="CD9" s="1182" t="str">
        <f>HydroRefineryCalcs!C187</f>
        <v>Property</v>
      </c>
      <c r="CE9" s="1182" t="str">
        <f>HydroRefineryCalcs!D187</f>
        <v>Units</v>
      </c>
      <c r="CF9" s="1170"/>
      <c r="CG9" s="1170"/>
      <c r="CH9" s="1183" t="s">
        <v>226</v>
      </c>
      <c r="CI9" s="1184" t="s">
        <v>522</v>
      </c>
      <c r="CJ9" s="1170"/>
      <c r="CK9" s="1170"/>
      <c r="CL9" s="1170"/>
      <c r="CM9" s="1170"/>
      <c r="CN9" s="1170"/>
      <c r="CO9" s="1170"/>
      <c r="CP9" s="1160"/>
      <c r="CQ9" s="1160"/>
      <c r="CR9" s="1160"/>
      <c r="CS9" s="1160"/>
      <c r="CT9" s="1160"/>
      <c r="CU9" s="1160"/>
      <c r="CV9" s="1160"/>
      <c r="CW9" s="1160"/>
      <c r="CX9" s="1160"/>
      <c r="CY9" s="1160"/>
      <c r="CZ9" s="1171"/>
      <c r="DA9" s="1160"/>
      <c r="DB9" s="1160"/>
      <c r="DC9" s="1160"/>
      <c r="DD9" s="1160"/>
      <c r="DE9" s="1160"/>
      <c r="DF9" s="1160"/>
      <c r="DG9" s="1160"/>
      <c r="DH9" s="1160"/>
      <c r="DI9" s="1160"/>
      <c r="DJ9" s="1160"/>
      <c r="DK9" s="1160"/>
      <c r="DL9" s="1160"/>
      <c r="DM9" s="1160"/>
      <c r="DN9" s="1160"/>
      <c r="DO9" s="1160"/>
      <c r="DP9" s="1160"/>
      <c r="DQ9" s="1160"/>
      <c r="DR9" s="1160"/>
      <c r="DS9" s="1160"/>
      <c r="DT9" s="1160"/>
      <c r="DU9" s="1160"/>
      <c r="DV9" s="1160"/>
      <c r="DW9" s="1160"/>
      <c r="DX9" s="1160"/>
      <c r="DY9" s="1160"/>
      <c r="DZ9" s="1160"/>
      <c r="EA9" s="1160"/>
      <c r="EB9" s="1160"/>
      <c r="EC9" s="1160"/>
    </row>
    <row r="10" spans="1:133" ht="15" x14ac:dyDescent="0.25">
      <c r="A10" s="1160"/>
      <c r="B10" s="1172"/>
      <c r="C10" s="1159" t="s">
        <v>1647</v>
      </c>
      <c r="D10" s="1159"/>
      <c r="E10" s="2065">
        <v>1</v>
      </c>
      <c r="F10" s="1102"/>
      <c r="G10" s="2428"/>
      <c r="H10" s="2429"/>
      <c r="I10" s="2429"/>
      <c r="J10" s="2429"/>
      <c r="K10" s="1107"/>
      <c r="L10" s="1150"/>
      <c r="M10" s="1170"/>
      <c r="N10" s="1170"/>
      <c r="O10" s="1170"/>
      <c r="P10" s="1170"/>
      <c r="Q10" s="1170"/>
      <c r="R10" s="1170"/>
      <c r="S10" s="1170"/>
      <c r="T10" s="1170"/>
      <c r="U10" s="1170"/>
      <c r="V10" s="1170"/>
      <c r="W10" s="1170"/>
      <c r="X10" s="1170"/>
      <c r="Y10" s="1170"/>
      <c r="Z10" s="1170"/>
      <c r="AA10" s="1170"/>
      <c r="AB10" s="1170"/>
      <c r="AC10" s="1170"/>
      <c r="AD10" s="1170"/>
      <c r="AE10" s="1170"/>
      <c r="AF10" s="1170"/>
      <c r="AG10" s="1170"/>
      <c r="AH10" s="1170"/>
      <c r="AI10" s="1170"/>
      <c r="AJ10" s="1170"/>
      <c r="AK10" s="1170"/>
      <c r="AL10" s="1170"/>
      <c r="AM10" s="1170"/>
      <c r="AN10" s="1170"/>
      <c r="AO10" s="1170"/>
      <c r="AP10" s="1170"/>
      <c r="AQ10" s="1170"/>
      <c r="AR10" s="1170"/>
      <c r="AS10" s="1170"/>
      <c r="AT10" s="1170"/>
      <c r="AU10" s="1170"/>
      <c r="AV10" s="1170"/>
      <c r="AW10" s="1170"/>
      <c r="AX10" s="1170"/>
      <c r="AY10" s="1170"/>
      <c r="AZ10" s="1170"/>
      <c r="BA10" s="1170"/>
      <c r="BB10" s="1170"/>
      <c r="BC10" s="1170"/>
      <c r="BD10" s="1170"/>
      <c r="BE10" s="1179" t="str">
        <f ca="1">CokingRefineryCalcs!F46</f>
        <v>LSR</v>
      </c>
      <c r="BF10" s="1170"/>
      <c r="BG10" s="1170"/>
      <c r="BH10" s="1170"/>
      <c r="BI10" s="1180" t="str">
        <f ca="1">BE10</f>
        <v>LSR</v>
      </c>
      <c r="BJ10" s="1170"/>
      <c r="BK10" s="1170"/>
      <c r="BL10" s="1170"/>
      <c r="BM10" s="1170"/>
      <c r="BN10" s="1186" t="str">
        <f>HydroRefineryCalcs!C162</f>
        <v>Vol Flow</v>
      </c>
      <c r="BO10" s="1170" t="str">
        <f>HydroRefineryCalcs!D162</f>
        <v>bpd</v>
      </c>
      <c r="BP10" s="1187">
        <f ca="1">BP11/'Energy &amp; Unit Conversions'!$G$80</f>
        <v>62252.081382554679</v>
      </c>
      <c r="BQ10" s="1170"/>
      <c r="BR10" s="1170"/>
      <c r="BS10" s="1170"/>
      <c r="BT10" s="1170"/>
      <c r="BU10" s="1170"/>
      <c r="BV10" s="1186" t="str">
        <f>HydroRefineryCalcs!C162</f>
        <v>Vol Flow</v>
      </c>
      <c r="BW10" s="1170" t="str">
        <f>HydroRefineryCalcs!D162</f>
        <v>bpd</v>
      </c>
      <c r="BX10" s="1187">
        <f ca="1">HydroRefineryCalcs!F162</f>
        <v>8512.9513277591104</v>
      </c>
      <c r="BY10" s="1170"/>
      <c r="BZ10" s="1170" t="s">
        <v>263</v>
      </c>
      <c r="CA10" s="1170"/>
      <c r="CB10" s="1187">
        <f ca="1">BK12*CB15</f>
        <v>61315414.57160116</v>
      </c>
      <c r="CC10" s="1170"/>
      <c r="CD10" s="1186" t="str">
        <f>HydroRefineryCalcs!C188</f>
        <v>Vol Flow</v>
      </c>
      <c r="CE10" s="1170" t="str">
        <f>HydroRefineryCalcs!D188</f>
        <v>bpd</v>
      </c>
      <c r="CF10" s="1170">
        <f ca="1">CF11/'Energy &amp; Unit Conversions'!$G$80</f>
        <v>7.3961841666328792E-14</v>
      </c>
      <c r="CG10" s="1170"/>
      <c r="CH10" s="1170" t="s">
        <v>263</v>
      </c>
      <c r="CI10" s="1170">
        <f ca="1">(BK36+IF(reformerFeedstockActive=1,0,CC172))*CI15</f>
        <v>0</v>
      </c>
      <c r="CJ10" s="1170"/>
      <c r="CK10" s="1170"/>
      <c r="CL10" s="1170"/>
      <c r="CM10" s="1170"/>
      <c r="CN10" s="1170"/>
      <c r="CO10" s="1170"/>
      <c r="CP10" s="1160"/>
      <c r="CQ10" s="1160"/>
      <c r="CR10" s="1160"/>
      <c r="CS10" s="1160"/>
      <c r="CT10" s="1160"/>
      <c r="CU10" s="1160"/>
      <c r="CV10" s="1160"/>
      <c r="CW10" s="1160"/>
      <c r="CX10" s="1160"/>
      <c r="CY10" s="1160"/>
      <c r="CZ10" s="1171"/>
      <c r="DA10" s="1160"/>
      <c r="DB10" s="1160"/>
      <c r="DC10" s="1160"/>
      <c r="DD10" s="1160"/>
      <c r="DE10" s="1160"/>
      <c r="DF10" s="1160"/>
      <c r="DG10" s="1160"/>
      <c r="DH10" s="1160"/>
      <c r="DI10" s="1160"/>
      <c r="DJ10" s="1160"/>
      <c r="DK10" s="1160"/>
      <c r="DL10" s="1160"/>
      <c r="DM10" s="1160"/>
      <c r="DN10" s="1160"/>
      <c r="DO10" s="1160"/>
      <c r="DP10" s="1160"/>
      <c r="DQ10" s="1160"/>
      <c r="DR10" s="1160"/>
      <c r="DS10" s="1160"/>
      <c r="DT10" s="1160"/>
      <c r="DU10" s="1160"/>
      <c r="DV10" s="1160"/>
      <c r="DW10" s="1160"/>
      <c r="DX10" s="1160"/>
      <c r="DY10" s="1160"/>
      <c r="DZ10" s="1160"/>
      <c r="EA10" s="1160"/>
      <c r="EB10" s="1160"/>
      <c r="EC10" s="1160"/>
    </row>
    <row r="11" spans="1:133" ht="15" x14ac:dyDescent="0.25">
      <c r="A11" s="1160"/>
      <c r="B11" s="1172"/>
      <c r="C11" s="1102" t="str">
        <f ca="1">IF(CokingRefineryPFD!E10=0,"Default value: "&amp;C12, IF(CokingRefineryPFD!E10=1,"Default value: "&amp;C13,IF(CokingRefineryPFD!E10=2,"Default value: "&amp;C14,IF(CokingRefineryPFD!E10=3,"Default value: "&amp;C15,IF(CokingRefineryPFD!E10=4,"Default value: "&amp;C16, IF(CokingRefineryPFD!E10=5,"Default value: "&amp;C17, IF(CokingRefineryPFD!E10=6,"Default value: "&amp;C18,"Default value: "&amp;C18)))))))</f>
        <v>Default value: Hydroskimming Configuration (0)</v>
      </c>
      <c r="D11" s="1102"/>
      <c r="E11" s="1152">
        <f ca="1">IF(AND('Assay Inventory'!E17&gt;32,'Assay Inventory'!E15&lt;0.5),0,IF(OR(AND('Assay Inventory'!E17&gt;32,'Assay Inventory'!E15&gt;0.5),AND(AND(22&lt;'Assay Inventory'!E17,'Assay Inventory'!E17&lt;32),'Assay Inventory'!E15&lt;0.5),AND(AND(22&lt;'Assay Inventory'!E17,'Assay Inventory'!E17&lt;32),'Assay Inventory'!E15&gt;0.5)),3,IF('Assay Inventory'!E17&lt;22,9)))</f>
        <v>0</v>
      </c>
      <c r="F11" s="1102"/>
      <c r="G11" s="2428"/>
      <c r="H11" s="2429"/>
      <c r="I11" s="2429"/>
      <c r="J11" s="2429"/>
      <c r="K11" s="1107"/>
      <c r="L11" s="1150"/>
      <c r="M11" s="1170"/>
      <c r="N11" s="1170"/>
      <c r="O11" s="1170"/>
      <c r="P11" s="1170"/>
      <c r="Q11" s="1170"/>
      <c r="R11" s="1170"/>
      <c r="S11" s="1170"/>
      <c r="T11" s="1170"/>
      <c r="U11" s="1170"/>
      <c r="V11" s="1170"/>
      <c r="W11" s="1170"/>
      <c r="X11" s="1170"/>
      <c r="Y11" s="1170"/>
      <c r="Z11" s="1170"/>
      <c r="AA11" s="1170"/>
      <c r="AB11" s="1170"/>
      <c r="AC11" s="1170"/>
      <c r="AD11" s="1170"/>
      <c r="AE11" s="1170"/>
      <c r="AF11" s="1170"/>
      <c r="AG11" s="1170"/>
      <c r="AH11" s="1170"/>
      <c r="AI11" s="1170"/>
      <c r="AJ11" s="1170"/>
      <c r="AK11" s="1170"/>
      <c r="AL11" s="1170"/>
      <c r="AM11" s="1170"/>
      <c r="AN11" s="1170"/>
      <c r="AO11" s="1170"/>
      <c r="AP11" s="1170"/>
      <c r="AQ11" s="1170"/>
      <c r="AR11" s="1170"/>
      <c r="AS11" s="1170"/>
      <c r="AT11" s="1170"/>
      <c r="AU11" s="1170"/>
      <c r="AV11" s="1170"/>
      <c r="AW11" s="1170"/>
      <c r="AX11" s="1170"/>
      <c r="AY11" s="1170"/>
      <c r="AZ11" s="1170"/>
      <c r="BA11" s="1170"/>
      <c r="BB11" s="1170"/>
      <c r="BC11" s="1170"/>
      <c r="BD11" s="1170"/>
      <c r="BE11" s="1182" t="str">
        <f>CokingRefineryCalcs!C46</f>
        <v>Property</v>
      </c>
      <c r="BF11" s="1182" t="str">
        <f>CokingRefineryCalcs!D46</f>
        <v>Units</v>
      </c>
      <c r="BG11" s="1170"/>
      <c r="BH11" s="1170"/>
      <c r="BI11" s="1183" t="s">
        <v>226</v>
      </c>
      <c r="BJ11" s="1170"/>
      <c r="BK11" s="1184" t="s">
        <v>522</v>
      </c>
      <c r="BL11" s="1170"/>
      <c r="BM11" s="1170"/>
      <c r="BN11" s="1186" t="str">
        <f>HydroRefineryCalcs!C163</f>
        <v>Vol Flow</v>
      </c>
      <c r="BO11" s="1170" t="str">
        <f>HydroRefineryCalcs!D163</f>
        <v>m^3/d</v>
      </c>
      <c r="BP11" s="1187">
        <f ca="1">BP12*BP15</f>
        <v>9897.290338392635</v>
      </c>
      <c r="BQ11" s="1170"/>
      <c r="BR11" s="1170"/>
      <c r="BS11" s="1170"/>
      <c r="BT11" s="1170"/>
      <c r="BU11" s="1170"/>
      <c r="BV11" s="1186" t="str">
        <f>HydroRefineryCalcs!C163</f>
        <v>Vol Flow</v>
      </c>
      <c r="BW11" s="1170" t="str">
        <f>HydroRefineryCalcs!D163</f>
        <v>m^3/d</v>
      </c>
      <c r="BX11" s="1187">
        <f ca="1">HydroRefineryCalcs!F163</f>
        <v>1353.4511466318361</v>
      </c>
      <c r="BY11" s="1170"/>
      <c r="BZ11" s="1170" t="s">
        <v>392</v>
      </c>
      <c r="CA11" s="1170"/>
      <c r="CB11" s="1187">
        <f ca="1">(BK13+BS23)*$CB$15</f>
        <v>137837.46515968448</v>
      </c>
      <c r="CC11" s="1170"/>
      <c r="CD11" s="1186" t="str">
        <f>HydroRefineryCalcs!C189</f>
        <v>Vol Flow</v>
      </c>
      <c r="CE11" s="1170" t="str">
        <f>HydroRefineryCalcs!D189</f>
        <v>m^3/d</v>
      </c>
      <c r="CF11" s="1170">
        <f ca="1">CF12*'Energy &amp; Unit Conversions'!$E$93/'Energy &amp; Unit Conversions'!$E$26*'Energy &amp; Unit Conversions'!G81</f>
        <v>1.1758993509557115E-14</v>
      </c>
      <c r="CG11" s="1283"/>
      <c r="CH11" s="1170" t="s">
        <v>392</v>
      </c>
      <c r="CI11" s="1170">
        <f ca="1">(BK37+BT47+IF(reformerFeedstockActive=1,0,CC173))*$CI$15</f>
        <v>0</v>
      </c>
      <c r="CJ11" s="1170"/>
      <c r="CK11" s="1170"/>
      <c r="CL11" s="1170"/>
      <c r="CM11" s="1170"/>
      <c r="CN11" s="1170"/>
      <c r="CO11" s="1170"/>
      <c r="CP11" s="1160"/>
      <c r="CQ11" s="1160"/>
      <c r="CR11" s="1160"/>
      <c r="CS11" s="1160"/>
      <c r="CT11" s="1160"/>
      <c r="CU11" s="1160"/>
      <c r="CV11" s="1160"/>
      <c r="CW11" s="1160"/>
      <c r="CX11" s="1160"/>
      <c r="CY11" s="1160"/>
      <c r="CZ11" s="1171"/>
      <c r="DA11" s="1160"/>
      <c r="DB11" s="1160"/>
      <c r="DC11" s="1160"/>
      <c r="DD11" s="1160"/>
      <c r="DE11" s="1160"/>
      <c r="DF11" s="1160"/>
      <c r="DG11" s="1160"/>
      <c r="DH11" s="1160"/>
      <c r="DI11" s="1160"/>
      <c r="DJ11" s="1160"/>
      <c r="DK11" s="1160"/>
      <c r="DL11" s="1160"/>
      <c r="DM11" s="1160"/>
      <c r="DN11" s="1160"/>
      <c r="DO11" s="1160"/>
      <c r="DP11" s="1160"/>
      <c r="DQ11" s="1160"/>
      <c r="DR11" s="1160"/>
      <c r="DS11" s="1160"/>
      <c r="DT11" s="1160"/>
      <c r="DU11" s="1160"/>
      <c r="DV11" s="1160"/>
      <c r="DW11" s="1160"/>
      <c r="DX11" s="1160"/>
      <c r="DY11" s="1160"/>
      <c r="DZ11" s="1160"/>
      <c r="EA11" s="1160"/>
      <c r="EB11" s="1160"/>
      <c r="EC11" s="1160"/>
    </row>
    <row r="12" spans="1:133" ht="15" x14ac:dyDescent="0.25">
      <c r="A12" s="1160"/>
      <c r="B12" s="1172"/>
      <c r="C12" s="1102" t="s">
        <v>1648</v>
      </c>
      <c r="D12" s="1102"/>
      <c r="E12" s="1189">
        <v>0</v>
      </c>
      <c r="F12" s="1102"/>
      <c r="G12" s="2428"/>
      <c r="H12" s="2429"/>
      <c r="I12" s="2429"/>
      <c r="J12" s="2429"/>
      <c r="K12" s="1107"/>
      <c r="L12" s="1150"/>
      <c r="M12" s="1170"/>
      <c r="N12" s="1170"/>
      <c r="O12" s="1170"/>
      <c r="P12" s="1170"/>
      <c r="Q12" s="1170"/>
      <c r="R12" s="1170"/>
      <c r="S12" s="1170"/>
      <c r="T12" s="1170"/>
      <c r="U12" s="1170"/>
      <c r="V12" s="1170"/>
      <c r="W12" s="1170"/>
      <c r="X12" s="1170"/>
      <c r="Y12" s="1170"/>
      <c r="Z12" s="1170"/>
      <c r="AA12" s="1170"/>
      <c r="AB12" s="1170"/>
      <c r="AC12" s="1170"/>
      <c r="AD12" s="1170"/>
      <c r="AE12" s="1170"/>
      <c r="AF12" s="1170"/>
      <c r="AG12" s="1170"/>
      <c r="AH12" s="1170"/>
      <c r="AI12" s="1170"/>
      <c r="AJ12" s="1170"/>
      <c r="AK12" s="1170"/>
      <c r="AL12" s="1170"/>
      <c r="AM12" s="1170"/>
      <c r="AN12" s="1170"/>
      <c r="AO12" s="1170"/>
      <c r="AP12" s="1170"/>
      <c r="AQ12" s="1170"/>
      <c r="AR12" s="1170"/>
      <c r="AS12" s="1170"/>
      <c r="AT12" s="1170"/>
      <c r="AU12" s="1170"/>
      <c r="AV12" s="1170"/>
      <c r="AW12" s="1170"/>
      <c r="AX12" s="1170"/>
      <c r="AY12" s="1170"/>
      <c r="AZ12" s="1170"/>
      <c r="BA12" s="1170"/>
      <c r="BB12" s="1170"/>
      <c r="BC12" s="1170"/>
      <c r="BD12" s="1170"/>
      <c r="BE12" s="1186" t="str">
        <f>CokingRefineryCalcs!C47</f>
        <v>Vol Flow</v>
      </c>
      <c r="BF12" s="1170" t="str">
        <f ca="1">CokingRefineryCalcs!D47</f>
        <v>bpd</v>
      </c>
      <c r="BG12" s="1170">
        <f ca="1">HydroRefineryCalcs!F47</f>
        <v>7538.9890466543711</v>
      </c>
      <c r="BH12" s="1170"/>
      <c r="BI12" s="1170" t="s">
        <v>263</v>
      </c>
      <c r="BJ12" s="1170"/>
      <c r="BK12" s="1187">
        <f ca="1">AE44*BK17</f>
        <v>61315414.57160116</v>
      </c>
      <c r="BL12" s="1170"/>
      <c r="BM12" s="1170"/>
      <c r="BN12" s="1186" t="str">
        <f>HydroRefineryCalcs!C164</f>
        <v>Mass Flow</v>
      </c>
      <c r="BO12" s="1170" t="str">
        <f>HydroRefineryCalcs!D164</f>
        <v>kg/d</v>
      </c>
      <c r="BP12" s="1187">
        <f ca="1">HydroRefineryCalcs!G164</f>
        <v>8544.5148145949242</v>
      </c>
      <c r="BQ12" s="1170"/>
      <c r="BR12" s="1170"/>
      <c r="BS12" s="1170"/>
      <c r="BT12" s="1170"/>
      <c r="BU12" s="1170"/>
      <c r="BV12" s="1186" t="str">
        <f>HydroRefineryCalcs!C164</f>
        <v>Mass Flow</v>
      </c>
      <c r="BW12" s="1170" t="str">
        <f>HydroRefineryCalcs!D164</f>
        <v>kg/d</v>
      </c>
      <c r="BX12" s="1187">
        <f ca="1">HydroRefineryCalcs!F164</f>
        <v>845906.96664489759</v>
      </c>
      <c r="BY12" s="1170"/>
      <c r="BZ12" s="1170" t="s">
        <v>224</v>
      </c>
      <c r="CA12" s="1170"/>
      <c r="CB12" s="1187">
        <f ca="1">(BK14+BS24)*$CB$15</f>
        <v>3064327.8442405444</v>
      </c>
      <c r="CC12" s="1170"/>
      <c r="CD12" s="1186" t="str">
        <f>HydroRefineryCalcs!C190</f>
        <v>Mass Flow</v>
      </c>
      <c r="CE12" s="1170" t="str">
        <f>HydroRefineryCalcs!D190</f>
        <v>kg/d</v>
      </c>
      <c r="CF12" s="1187">
        <f ca="1">IF(HydroRefineryCalcs!G190-'HydroRefinery Detailed Results'!K32&lt;0,0.000000000000001,HydroRefineryCalcs!G190-'HydroRefinery Detailed Results'!K32)</f>
        <v>1.0000000000000001E-15</v>
      </c>
      <c r="CG12" s="1170"/>
      <c r="CH12" s="1170" t="s">
        <v>224</v>
      </c>
      <c r="CI12" s="1170">
        <f ca="1">(BK38+BT48+IF(reformerFeedstockActive=1,0,CC174))*$CI$15</f>
        <v>0</v>
      </c>
      <c r="CJ12" s="1170"/>
      <c r="CK12" s="1170"/>
      <c r="CL12" s="1170"/>
      <c r="CM12" s="1170"/>
      <c r="CN12" s="1170"/>
      <c r="CO12" s="1170"/>
      <c r="CP12" s="1160"/>
      <c r="CQ12" s="1160"/>
      <c r="CR12" s="1160"/>
      <c r="CS12" s="1160"/>
      <c r="CT12" s="1160"/>
      <c r="CU12" s="1160"/>
      <c r="CV12" s="1160"/>
      <c r="CW12" s="1160"/>
      <c r="CX12" s="1160"/>
      <c r="CY12" s="1160"/>
      <c r="CZ12" s="1171"/>
      <c r="DA12" s="1160"/>
      <c r="DB12" s="1160"/>
      <c r="DC12" s="1160"/>
      <c r="DD12" s="1160"/>
      <c r="DE12" s="1160"/>
      <c r="DF12" s="1160"/>
      <c r="DG12" s="1160"/>
      <c r="DH12" s="1160"/>
      <c r="DI12" s="1160"/>
      <c r="DJ12" s="1160"/>
      <c r="DK12" s="1160"/>
      <c r="DL12" s="1160"/>
      <c r="DM12" s="1160"/>
      <c r="DN12" s="1160"/>
      <c r="DO12" s="1160"/>
      <c r="DP12" s="1160"/>
      <c r="DQ12" s="1160"/>
      <c r="DR12" s="1160"/>
      <c r="DS12" s="1160"/>
      <c r="DT12" s="1160"/>
      <c r="DU12" s="1160"/>
      <c r="DV12" s="1160"/>
      <c r="DW12" s="1160"/>
      <c r="DX12" s="1160"/>
      <c r="DY12" s="1160"/>
      <c r="DZ12" s="1160"/>
      <c r="EA12" s="1160"/>
      <c r="EB12" s="1160"/>
      <c r="EC12" s="1160"/>
    </row>
    <row r="13" spans="1:133" ht="15" x14ac:dyDescent="0.25">
      <c r="A13" s="1160"/>
      <c r="B13" s="1172"/>
      <c r="C13" s="1102" t="s">
        <v>1649</v>
      </c>
      <c r="D13" s="1102"/>
      <c r="E13" s="1189">
        <v>1</v>
      </c>
      <c r="F13" s="1192"/>
      <c r="G13" s="1192"/>
      <c r="H13" s="1192"/>
      <c r="I13" s="1192"/>
      <c r="J13" s="1107"/>
      <c r="K13" s="1107"/>
      <c r="L13" s="1150"/>
      <c r="M13" s="1170"/>
      <c r="N13" s="1170"/>
      <c r="O13" s="1170"/>
      <c r="P13" s="1170"/>
      <c r="Q13" s="1170"/>
      <c r="R13" s="1170"/>
      <c r="S13" s="1170"/>
      <c r="T13" s="1170"/>
      <c r="U13" s="1170"/>
      <c r="V13" s="1170"/>
      <c r="W13" s="1170"/>
      <c r="X13" s="1170"/>
      <c r="Y13" s="1170"/>
      <c r="Z13" s="1170"/>
      <c r="AA13" s="1170"/>
      <c r="AB13" s="1170"/>
      <c r="AC13" s="1170"/>
      <c r="AD13" s="1170"/>
      <c r="AE13" s="1170"/>
      <c r="AF13" s="1170"/>
      <c r="AG13" s="1170"/>
      <c r="AH13" s="1170"/>
      <c r="AI13" s="1170"/>
      <c r="AJ13" s="1170"/>
      <c r="AK13" s="1170"/>
      <c r="AL13" s="1170"/>
      <c r="AM13" s="1170"/>
      <c r="AN13" s="1170"/>
      <c r="AO13" s="1170"/>
      <c r="AP13" s="1170"/>
      <c r="AQ13" s="1170"/>
      <c r="AR13" s="1170"/>
      <c r="AS13" s="1170"/>
      <c r="AT13" s="1170"/>
      <c r="AU13" s="1170"/>
      <c r="AV13" s="1170"/>
      <c r="AW13" s="1170"/>
      <c r="AX13" s="1170"/>
      <c r="AY13" s="1170"/>
      <c r="AZ13" s="1170"/>
      <c r="BA13" s="1170"/>
      <c r="BB13" s="1170"/>
      <c r="BC13" s="1170"/>
      <c r="BD13" s="1170"/>
      <c r="BE13" s="1186" t="str">
        <f>CokingRefineryCalcs!C48</f>
        <v>Vol Flow</v>
      </c>
      <c r="BF13" s="1170" t="str">
        <f ca="1">CokingRefineryCalcs!D48</f>
        <v>m^3/d</v>
      </c>
      <c r="BG13" s="1170">
        <f ca="1">HydroRefineryCalcs!F48</f>
        <v>1198.699258418045</v>
      </c>
      <c r="BH13" s="1170"/>
      <c r="BI13" s="1170" t="s">
        <v>392</v>
      </c>
      <c r="BJ13" s="1170"/>
      <c r="BK13" s="1187">
        <f ca="1">(AE45+AZ48)*$BK$17</f>
        <v>110694.93660359879</v>
      </c>
      <c r="BL13" s="1170"/>
      <c r="BM13" s="1170"/>
      <c r="BN13" s="1186" t="str">
        <f>HydroRefineryCalcs!C165</f>
        <v>S</v>
      </c>
      <c r="BO13" s="1170" t="str">
        <f>HydroRefineryCalcs!D165</f>
        <v>wt%</v>
      </c>
      <c r="BP13" s="1187">
        <f ca="1">HydroRefineryCalcs!G165</f>
        <v>0</v>
      </c>
      <c r="BQ13" s="1170"/>
      <c r="BR13" s="1170"/>
      <c r="BS13" s="1170"/>
      <c r="BT13" s="1170"/>
      <c r="BU13" s="1170"/>
      <c r="BV13" s="1186" t="str">
        <f>HydroRefineryCalcs!C165</f>
        <v>S</v>
      </c>
      <c r="BW13" s="1170" t="str">
        <f>HydroRefineryCalcs!D165</f>
        <v>wt%</v>
      </c>
      <c r="BX13" s="1187">
        <f>HydroRefineryCalcs!F165</f>
        <v>0</v>
      </c>
      <c r="BY13" s="1170"/>
      <c r="BZ13" s="1170" t="s">
        <v>485</v>
      </c>
      <c r="CA13" s="1170"/>
      <c r="CB13" s="1187">
        <f ca="1">(BK15+BS25)*$CB$15</f>
        <v>161294.94164421203</v>
      </c>
      <c r="CC13" s="1170"/>
      <c r="CD13" s="1186" t="str">
        <f>HydroRefineryCalcs!C191</f>
        <v>S</v>
      </c>
      <c r="CE13" s="1170" t="str">
        <f>HydroRefineryCalcs!D191</f>
        <v>wt%</v>
      </c>
      <c r="CF13" s="1187">
        <f>HydroRefineryCalcs!G191</f>
        <v>0</v>
      </c>
      <c r="CG13" s="1170"/>
      <c r="CH13" s="1170" t="s">
        <v>485</v>
      </c>
      <c r="CI13" s="1170">
        <f ca="1">(BK39+BT49+IF(reformerFeedstockActive=1,0,CC175))*$CI$15</f>
        <v>0</v>
      </c>
      <c r="CJ13" s="1170"/>
      <c r="CK13" s="1170"/>
      <c r="CL13" s="1170"/>
      <c r="CM13" s="1170"/>
      <c r="CN13" s="1170"/>
      <c r="CO13" s="1170"/>
      <c r="CP13" s="1160"/>
      <c r="CQ13" s="1160"/>
      <c r="CR13" s="1160"/>
      <c r="CS13" s="1160"/>
      <c r="CT13" s="1160"/>
      <c r="CU13" s="1160"/>
      <c r="CV13" s="1160"/>
      <c r="CW13" s="1160"/>
      <c r="CX13" s="1160"/>
      <c r="CY13" s="1160"/>
      <c r="CZ13" s="1171"/>
      <c r="DA13" s="1160"/>
      <c r="DB13" s="1160"/>
      <c r="DC13" s="1160"/>
      <c r="DD13" s="1160"/>
      <c r="DE13" s="1160"/>
      <c r="DF13" s="1160"/>
      <c r="DG13" s="1160"/>
      <c r="DH13" s="1160"/>
      <c r="DI13" s="1160"/>
      <c r="DJ13" s="1160"/>
      <c r="DK13" s="1160"/>
      <c r="DL13" s="1160"/>
      <c r="DM13" s="1160"/>
      <c r="DN13" s="1160"/>
      <c r="DO13" s="1160"/>
      <c r="DP13" s="1160"/>
      <c r="DQ13" s="1160"/>
      <c r="DR13" s="1160"/>
      <c r="DS13" s="1160"/>
      <c r="DT13" s="1160"/>
      <c r="DU13" s="1160"/>
      <c r="DV13" s="1160"/>
      <c r="DW13" s="1160"/>
      <c r="DX13" s="1160"/>
      <c r="DY13" s="1160"/>
      <c r="DZ13" s="1160"/>
      <c r="EA13" s="1160"/>
      <c r="EB13" s="1160"/>
      <c r="EC13" s="1160"/>
    </row>
    <row r="14" spans="1:133" ht="15" x14ac:dyDescent="0.25">
      <c r="A14" s="1160"/>
      <c r="B14" s="1172"/>
      <c r="C14" s="1102" t="s">
        <v>1650</v>
      </c>
      <c r="D14" s="1102"/>
      <c r="E14" s="1189">
        <v>2</v>
      </c>
      <c r="F14" s="1192"/>
      <c r="G14" s="1192"/>
      <c r="H14" s="1192"/>
      <c r="I14" s="1192"/>
      <c r="J14" s="1107"/>
      <c r="K14" s="1107"/>
      <c r="L14" s="1150"/>
      <c r="M14" s="1170"/>
      <c r="N14" s="1170"/>
      <c r="O14" s="1170"/>
      <c r="P14" s="1170"/>
      <c r="Q14" s="1170"/>
      <c r="R14" s="1170"/>
      <c r="S14" s="1170"/>
      <c r="T14" s="1170"/>
      <c r="U14" s="1170"/>
      <c r="V14" s="1170"/>
      <c r="W14" s="1170"/>
      <c r="X14" s="1170"/>
      <c r="Y14" s="1170"/>
      <c r="Z14" s="1170"/>
      <c r="AA14" s="1170"/>
      <c r="AB14" s="1170"/>
      <c r="AC14" s="1170"/>
      <c r="AD14" s="1170"/>
      <c r="AE14" s="1170"/>
      <c r="AF14" s="1170"/>
      <c r="AG14" s="1170"/>
      <c r="AH14" s="1170"/>
      <c r="AI14" s="1170"/>
      <c r="AJ14" s="1170"/>
      <c r="AK14" s="1170"/>
      <c r="AL14" s="1170"/>
      <c r="AM14" s="1170"/>
      <c r="AN14" s="1170"/>
      <c r="AO14" s="1170"/>
      <c r="AP14" s="1170"/>
      <c r="AQ14" s="1170"/>
      <c r="AR14" s="1170"/>
      <c r="AS14" s="1170"/>
      <c r="AT14" s="1170"/>
      <c r="AU14" s="1170"/>
      <c r="AV14" s="1170"/>
      <c r="AW14" s="1170"/>
      <c r="AX14" s="1170"/>
      <c r="AY14" s="1170"/>
      <c r="AZ14" s="1170"/>
      <c r="BA14" s="1170"/>
      <c r="BB14" s="1170"/>
      <c r="BC14" s="1170"/>
      <c r="BD14" s="1170"/>
      <c r="BE14" s="1186" t="str">
        <f>CokingRefineryCalcs!C49</f>
        <v>Mass Flow</v>
      </c>
      <c r="BF14" s="1170" t="str">
        <f>CokingRefineryCalcs!D49</f>
        <v>kg/d</v>
      </c>
      <c r="BG14" s="1170">
        <f ca="1">HydroRefineryCalcs!F49</f>
        <v>854451.48145949247</v>
      </c>
      <c r="BH14" s="1170"/>
      <c r="BI14" s="1170" t="s">
        <v>224</v>
      </c>
      <c r="BJ14" s="1170"/>
      <c r="BK14" s="1187">
        <f ca="1">(AE46+AZ49)*$BK$17</f>
        <v>1503498.6716205161</v>
      </c>
      <c r="BL14" s="1170"/>
      <c r="BM14" s="1170"/>
      <c r="BN14" s="1186" t="str">
        <f>HydroRefineryCalcs!C166</f>
        <v>API</v>
      </c>
      <c r="BO14" s="1170"/>
      <c r="BP14" s="1187">
        <f>HydroRefineryCalcs!G166</f>
        <v>0</v>
      </c>
      <c r="BQ14" s="1170"/>
      <c r="BR14" s="1170"/>
      <c r="BS14" s="1170"/>
      <c r="BT14" s="1170"/>
      <c r="BU14" s="1170"/>
      <c r="BV14" s="1186" t="str">
        <f>HydroRefineryCalcs!C166</f>
        <v>API</v>
      </c>
      <c r="BW14" s="1170"/>
      <c r="BX14" s="1187">
        <f>HydroRefineryCalcs!F166</f>
        <v>94.9</v>
      </c>
      <c r="BY14" s="1170"/>
      <c r="BZ14" s="1170" t="s">
        <v>541</v>
      </c>
      <c r="CA14" s="1170"/>
      <c r="CB14" s="1187">
        <f ca="1">(BK16+BS26)*$CB$15</f>
        <v>3032248.7216237299</v>
      </c>
      <c r="CC14" s="1170"/>
      <c r="CD14" s="1186" t="str">
        <f>HydroRefineryCalcs!C192</f>
        <v>API</v>
      </c>
      <c r="CE14" s="1170"/>
      <c r="CF14" s="1187">
        <f>HydroRefineryCalcs!G192</f>
        <v>0</v>
      </c>
      <c r="CG14" s="1170"/>
      <c r="CH14" s="1170" t="s">
        <v>541</v>
      </c>
      <c r="CI14" s="1170">
        <f ca="1">(BK40+BT50+IF(reformerFeedstockActive=1,0,CC176))*$CI$15</f>
        <v>0</v>
      </c>
      <c r="CJ14" s="1170"/>
      <c r="CK14" s="1170"/>
      <c r="CL14" s="1170"/>
      <c r="CM14" s="1170"/>
      <c r="CN14" s="1170"/>
      <c r="CO14" s="1170"/>
      <c r="CP14" s="1160"/>
      <c r="CQ14" s="1160"/>
      <c r="CR14" s="1160"/>
      <c r="CS14" s="1160"/>
      <c r="CT14" s="1160"/>
      <c r="CU14" s="1160"/>
      <c r="CV14" s="1160"/>
      <c r="CW14" s="1160"/>
      <c r="CX14" s="1160"/>
      <c r="CY14" s="1160"/>
      <c r="CZ14" s="1171"/>
      <c r="DA14" s="1160"/>
      <c r="DB14" s="1160"/>
      <c r="DC14" s="1160"/>
      <c r="DD14" s="1160"/>
      <c r="DE14" s="1160"/>
      <c r="DF14" s="1160"/>
      <c r="DG14" s="1160"/>
      <c r="DH14" s="1160"/>
      <c r="DI14" s="1160"/>
      <c r="DJ14" s="1160"/>
      <c r="DK14" s="1160"/>
      <c r="DL14" s="1160"/>
      <c r="DM14" s="1160"/>
      <c r="DN14" s="1160"/>
      <c r="DO14" s="1160"/>
      <c r="DP14" s="1160"/>
      <c r="DQ14" s="1160"/>
      <c r="DR14" s="1160"/>
      <c r="DS14" s="1160"/>
      <c r="DT14" s="1160"/>
      <c r="DU14" s="1160"/>
      <c r="DV14" s="1160"/>
      <c r="DW14" s="1160"/>
      <c r="DX14" s="1160"/>
      <c r="DY14" s="1160"/>
      <c r="DZ14" s="1160"/>
      <c r="EA14" s="1160"/>
      <c r="EB14" s="1160"/>
      <c r="EC14" s="1160"/>
    </row>
    <row r="15" spans="1:133" ht="15" x14ac:dyDescent="0.25">
      <c r="A15" s="1160"/>
      <c r="B15" s="1172"/>
      <c r="C15" s="1102" t="s">
        <v>1651</v>
      </c>
      <c r="D15" s="1102"/>
      <c r="E15" s="1189">
        <v>3</v>
      </c>
      <c r="F15" s="1192"/>
      <c r="G15" s="1192"/>
      <c r="H15" s="1192"/>
      <c r="I15" s="1192"/>
      <c r="J15" s="1107"/>
      <c r="K15" s="1107"/>
      <c r="L15" s="1150"/>
      <c r="M15" s="1170"/>
      <c r="N15" s="1170"/>
      <c r="O15" s="1170"/>
      <c r="P15" s="1170"/>
      <c r="Q15" s="1170"/>
      <c r="R15" s="1170"/>
      <c r="S15" s="1170"/>
      <c r="T15" s="1170"/>
      <c r="U15" s="1170"/>
      <c r="V15" s="1170"/>
      <c r="W15" s="1170"/>
      <c r="X15" s="1170"/>
      <c r="Y15" s="1170"/>
      <c r="Z15" s="1170"/>
      <c r="AA15" s="1170"/>
      <c r="AB15" s="1170"/>
      <c r="AC15" s="1170"/>
      <c r="AD15" s="1170"/>
      <c r="AE15" s="1170"/>
      <c r="AF15" s="1170"/>
      <c r="AG15" s="1170"/>
      <c r="AH15" s="1170"/>
      <c r="AI15" s="1170"/>
      <c r="AJ15" s="1170"/>
      <c r="AK15" s="1170"/>
      <c r="AL15" s="1170"/>
      <c r="AM15" s="1170"/>
      <c r="AN15" s="1170"/>
      <c r="AO15" s="1170"/>
      <c r="AP15" s="1170"/>
      <c r="AQ15" s="1170"/>
      <c r="AR15" s="1170"/>
      <c r="AS15" s="1170"/>
      <c r="AT15" s="1170"/>
      <c r="AU15" s="1170"/>
      <c r="AV15" s="1170"/>
      <c r="AW15" s="1170"/>
      <c r="AX15" s="1170"/>
      <c r="AY15" s="1170"/>
      <c r="AZ15" s="1170"/>
      <c r="BA15" s="1170"/>
      <c r="BB15" s="1170"/>
      <c r="BC15" s="1170"/>
      <c r="BD15" s="1170"/>
      <c r="BE15" s="1186" t="str">
        <f>CokingRefineryCalcs!C50</f>
        <v xml:space="preserve">Sulphur </v>
      </c>
      <c r="BF15" s="1170" t="str">
        <f ca="1">CokingRefineryCalcs!D50</f>
        <v>wt%</v>
      </c>
      <c r="BG15" s="1170">
        <f ca="1">HydroRefineryCalcs!F50</f>
        <v>0</v>
      </c>
      <c r="BH15" s="1170"/>
      <c r="BI15" s="1170" t="s">
        <v>485</v>
      </c>
      <c r="BJ15" s="1170"/>
      <c r="BK15" s="1187">
        <f ca="1">(AE47+AZ50)*$BK$17</f>
        <v>161294.94164421203</v>
      </c>
      <c r="BL15" s="1170"/>
      <c r="BM15" s="1170"/>
      <c r="BN15" s="1186" t="str">
        <f>HydroRefineryCalcs!C167</f>
        <v>Density</v>
      </c>
      <c r="BO15" s="1170" t="str">
        <f>HydroRefineryCalcs!D167</f>
        <v>kg/m^3</v>
      </c>
      <c r="BP15" s="1170">
        <f>'Energy &amp; Unit Conversions'!$E$27/'Energy &amp; Unit Conversions'!$E$93/'Energy &amp; Unit Conversions'!$G$81</f>
        <v>1.1583209290581402</v>
      </c>
      <c r="BQ15" s="1170"/>
      <c r="BR15" s="1170"/>
      <c r="BS15" s="1170"/>
      <c r="BT15" s="1170"/>
      <c r="BU15" s="1170"/>
      <c r="BV15" s="1186" t="str">
        <f>HydroRefineryCalcs!C167</f>
        <v>Density</v>
      </c>
      <c r="BW15" s="1170" t="str">
        <f>HydroRefineryCalcs!D167</f>
        <v>kg/m^3</v>
      </c>
      <c r="BX15" s="1187">
        <f>HydroRefineryCalcs!F167</f>
        <v>625</v>
      </c>
      <c r="BY15" s="1170"/>
      <c r="BZ15" s="1180" t="s">
        <v>1066</v>
      </c>
      <c r="CA15" s="1170"/>
      <c r="CB15" s="1170">
        <f ca="1">IF('HydroRefineryPFD '!E27=TRUE,CB16,1)</f>
        <v>1</v>
      </c>
      <c r="CC15" s="1170"/>
      <c r="CD15" s="1186" t="str">
        <f>HydroRefineryCalcs!C193</f>
        <v>Density</v>
      </c>
      <c r="CE15" s="1170" t="str">
        <f>HydroRefineryCalcs!D193</f>
        <v>kg/m^3</v>
      </c>
      <c r="CF15" s="1187">
        <f>HydroRefineryCalcs!G193</f>
        <v>0</v>
      </c>
      <c r="CG15" s="1170"/>
      <c r="CH15" s="1180" t="s">
        <v>1066</v>
      </c>
      <c r="CI15" s="1170">
        <f>IF(AND('HydroRefineryPFD '!E26=TRUE,'HydroRefineryPFD '!E27=TRUE),CI16,IF('HydroRefineryPFD '!E26=TRUE,CI18,0))</f>
        <v>0</v>
      </c>
      <c r="CJ15" s="1170"/>
      <c r="CK15" s="1170"/>
      <c r="CL15" s="1170"/>
      <c r="CM15" s="1170"/>
      <c r="CN15" s="1170"/>
      <c r="CO15" s="1170"/>
      <c r="CP15" s="1160"/>
      <c r="CQ15" s="1160"/>
      <c r="CR15" s="1160"/>
      <c r="CS15" s="1160"/>
      <c r="CT15" s="1160"/>
      <c r="CU15" s="1160"/>
      <c r="CV15" s="1160"/>
      <c r="CW15" s="1160"/>
      <c r="CX15" s="1160"/>
      <c r="CY15" s="1160"/>
      <c r="CZ15" s="1171"/>
      <c r="DA15" s="1160"/>
      <c r="DB15" s="1160"/>
      <c r="DC15" s="1160"/>
      <c r="DD15" s="1160"/>
      <c r="DE15" s="1160"/>
      <c r="DF15" s="1160"/>
      <c r="DG15" s="1160"/>
      <c r="DH15" s="1160"/>
      <c r="DI15" s="1160"/>
      <c r="DJ15" s="1160"/>
      <c r="DK15" s="1160"/>
      <c r="DL15" s="1160"/>
      <c r="DM15" s="1160"/>
      <c r="DN15" s="1160"/>
      <c r="DO15" s="1160"/>
      <c r="DP15" s="1160"/>
      <c r="DQ15" s="1160"/>
      <c r="DR15" s="1160"/>
      <c r="DS15" s="1160"/>
      <c r="DT15" s="1160"/>
      <c r="DU15" s="1160"/>
      <c r="DV15" s="1160"/>
      <c r="DW15" s="1160"/>
      <c r="DX15" s="1160"/>
      <c r="DY15" s="1160"/>
      <c r="DZ15" s="1160"/>
      <c r="EA15" s="1160"/>
      <c r="EB15" s="1160"/>
      <c r="EC15" s="1160"/>
    </row>
    <row r="16" spans="1:133" ht="15" x14ac:dyDescent="0.25">
      <c r="A16" s="1160"/>
      <c r="B16" s="1172"/>
      <c r="C16" s="1102" t="s">
        <v>1652</v>
      </c>
      <c r="D16" s="1102"/>
      <c r="E16" s="1189">
        <v>7</v>
      </c>
      <c r="F16" s="1192"/>
      <c r="G16" s="1192"/>
      <c r="H16" s="1192"/>
      <c r="I16" s="1192"/>
      <c r="J16" s="1107"/>
      <c r="K16" s="1107"/>
      <c r="L16" s="1150"/>
      <c r="M16" s="1170"/>
      <c r="N16" s="1170"/>
      <c r="O16" s="1170"/>
      <c r="P16" s="1170"/>
      <c r="Q16" s="1170"/>
      <c r="R16" s="1170"/>
      <c r="S16" s="1170"/>
      <c r="T16" s="1170"/>
      <c r="U16" s="1170"/>
      <c r="V16" s="1170"/>
      <c r="W16" s="1170"/>
      <c r="X16" s="1170"/>
      <c r="Y16" s="1170"/>
      <c r="Z16" s="1170"/>
      <c r="AA16" s="1170"/>
      <c r="AB16" s="1170"/>
      <c r="AC16" s="1170"/>
      <c r="AD16" s="1170"/>
      <c r="AE16" s="1170"/>
      <c r="AF16" s="1170"/>
      <c r="AG16" s="1170"/>
      <c r="AH16" s="1170"/>
      <c r="AI16" s="1170"/>
      <c r="AJ16" s="1170"/>
      <c r="AK16" s="1170"/>
      <c r="AL16" s="1170"/>
      <c r="AM16" s="1170"/>
      <c r="AN16" s="1170"/>
      <c r="AO16" s="1170"/>
      <c r="AP16" s="1170"/>
      <c r="AQ16" s="1170"/>
      <c r="AR16" s="1170"/>
      <c r="AS16" s="1170"/>
      <c r="AT16" s="1170"/>
      <c r="AU16" s="1170"/>
      <c r="AV16" s="1170"/>
      <c r="AW16" s="1170"/>
      <c r="AX16" s="1170"/>
      <c r="AY16" s="1170"/>
      <c r="AZ16" s="1170"/>
      <c r="BA16" s="1170"/>
      <c r="BB16" s="1170"/>
      <c r="BC16" s="1170"/>
      <c r="BD16" s="1170"/>
      <c r="BE16" s="1186" t="str">
        <f>CokingRefineryCalcs!C52</f>
        <v xml:space="preserve">API gravity </v>
      </c>
      <c r="BF16" s="1170"/>
      <c r="BG16" s="1170">
        <f ca="1">HydroRefineryCalcs!F52</f>
        <v>66.810065343505755</v>
      </c>
      <c r="BH16" s="1170"/>
      <c r="BI16" s="1170" t="s">
        <v>541</v>
      </c>
      <c r="BJ16" s="1170"/>
      <c r="BK16" s="1187">
        <f ca="1">(AE48+AZ51)*$BK$17</f>
        <v>1451881.1810662381</v>
      </c>
      <c r="BL16" s="1170"/>
      <c r="BM16" s="1170"/>
      <c r="BN16" s="1186" t="str">
        <f>HydroRefineryCalcs!C168</f>
        <v>H</v>
      </c>
      <c r="BO16" s="1170" t="str">
        <f>HydroRefineryCalcs!D168</f>
        <v>wt%</v>
      </c>
      <c r="BP16" s="1187">
        <f>HydroRefineryCalcs!G168</f>
        <v>17.507418662350211</v>
      </c>
      <c r="BQ16" s="1170"/>
      <c r="BR16" s="1170"/>
      <c r="BS16" s="1170"/>
      <c r="BT16" s="1170"/>
      <c r="BU16" s="1170"/>
      <c r="BV16" s="1186" t="str">
        <f>HydroRefineryCalcs!C168</f>
        <v>H</v>
      </c>
      <c r="BW16" s="1170" t="str">
        <f>HydroRefineryCalcs!D168</f>
        <v>wt%</v>
      </c>
      <c r="BX16" s="1187">
        <f ca="1">HydroRefineryCalcs!F168</f>
        <v>16.7</v>
      </c>
      <c r="BY16" s="1170"/>
      <c r="BZ16" s="1180" t="s">
        <v>1065</v>
      </c>
      <c r="CA16" s="1170"/>
      <c r="CB16" s="1170">
        <f ca="1">BX20/(BX20+BP20)</f>
        <v>1</v>
      </c>
      <c r="CC16" s="1170"/>
      <c r="CD16" s="1186" t="str">
        <f>HydroRefineryCalcs!C194</f>
        <v>H</v>
      </c>
      <c r="CE16" s="1170" t="str">
        <f>HydroRefineryCalcs!D194</f>
        <v>wt%</v>
      </c>
      <c r="CF16" s="1187">
        <f>HydroRefineryCalcs!G194</f>
        <v>100</v>
      </c>
      <c r="CG16" s="1170"/>
      <c r="CH16" s="1180" t="s">
        <v>1065</v>
      </c>
      <c r="CI16" s="1170">
        <f ca="1">CF20/(CF20+BX57+BP42)</f>
        <v>4.2318128793679363E-21</v>
      </c>
      <c r="CJ16" s="1170"/>
      <c r="CK16" s="1170"/>
      <c r="CL16" s="1170"/>
      <c r="CM16" s="1170"/>
      <c r="CN16" s="1170"/>
      <c r="CO16" s="1170"/>
      <c r="CP16" s="1160"/>
      <c r="CQ16" s="1160"/>
      <c r="CR16" s="1160"/>
      <c r="CS16" s="1160"/>
      <c r="CT16" s="1160"/>
      <c r="CU16" s="1160"/>
      <c r="CV16" s="1160"/>
      <c r="CW16" s="1160"/>
      <c r="CX16" s="1160"/>
      <c r="CY16" s="1160"/>
      <c r="CZ16" s="1171"/>
      <c r="DA16" s="1160"/>
      <c r="DB16" s="1160"/>
      <c r="DC16" s="1160"/>
      <c r="DD16" s="1160"/>
      <c r="DE16" s="1160"/>
      <c r="DF16" s="1160"/>
      <c r="DG16" s="1160"/>
      <c r="DH16" s="1160"/>
      <c r="DI16" s="1160"/>
      <c r="DJ16" s="1160"/>
      <c r="DK16" s="1160"/>
      <c r="DL16" s="1160"/>
      <c r="DM16" s="1160"/>
      <c r="DN16" s="1160"/>
      <c r="DO16" s="1160"/>
      <c r="DP16" s="1160"/>
      <c r="DQ16" s="1160"/>
      <c r="DR16" s="1160"/>
      <c r="DS16" s="1160"/>
      <c r="DT16" s="1160"/>
      <c r="DU16" s="1160"/>
      <c r="DV16" s="1160"/>
      <c r="DW16" s="1160"/>
      <c r="DX16" s="1160"/>
      <c r="DY16" s="1160"/>
      <c r="DZ16" s="1160"/>
      <c r="EA16" s="1160"/>
      <c r="EB16" s="1160"/>
      <c r="EC16" s="1160"/>
    </row>
    <row r="17" spans="1:133" ht="15" x14ac:dyDescent="0.25">
      <c r="A17" s="1160"/>
      <c r="B17" s="1172"/>
      <c r="C17" s="1102" t="s">
        <v>1653</v>
      </c>
      <c r="D17" s="1102"/>
      <c r="E17" s="1189">
        <v>8</v>
      </c>
      <c r="F17" s="1192"/>
      <c r="G17" s="1192"/>
      <c r="H17" s="1192"/>
      <c r="I17" s="1192"/>
      <c r="J17" s="1107"/>
      <c r="K17" s="1107"/>
      <c r="L17" s="1150"/>
      <c r="M17" s="1170"/>
      <c r="N17" s="1170"/>
      <c r="O17" s="1170"/>
      <c r="P17" s="1170"/>
      <c r="Q17" s="1170"/>
      <c r="R17" s="1170"/>
      <c r="S17" s="1170"/>
      <c r="T17" s="1170"/>
      <c r="U17" s="1170"/>
      <c r="V17" s="1170"/>
      <c r="W17" s="1170"/>
      <c r="X17" s="1170"/>
      <c r="Y17" s="1170"/>
      <c r="Z17" s="1170"/>
      <c r="AA17" s="1170"/>
      <c r="AB17" s="1170"/>
      <c r="AC17" s="1170"/>
      <c r="AD17" s="1170"/>
      <c r="AE17" s="1170"/>
      <c r="AF17" s="1170"/>
      <c r="AG17" s="1170"/>
      <c r="AH17" s="1170"/>
      <c r="AI17" s="1170"/>
      <c r="AJ17" s="1170"/>
      <c r="AK17" s="1170"/>
      <c r="AL17" s="1170"/>
      <c r="AM17" s="1170"/>
      <c r="AN17" s="1170"/>
      <c r="AO17" s="1170"/>
      <c r="AP17" s="1170"/>
      <c r="AQ17" s="1170"/>
      <c r="AR17" s="1170"/>
      <c r="AS17" s="1170"/>
      <c r="AT17" s="1170"/>
      <c r="AU17" s="1170"/>
      <c r="AV17" s="1170"/>
      <c r="AW17" s="1170"/>
      <c r="AX17" s="1170"/>
      <c r="AY17" s="1170"/>
      <c r="AZ17" s="1170"/>
      <c r="BA17" s="1170"/>
      <c r="BB17" s="1170"/>
      <c r="BC17" s="1170"/>
      <c r="BD17" s="1170"/>
      <c r="BE17" s="1186" t="str">
        <f>CokingRefineryCalcs!C53</f>
        <v>Density</v>
      </c>
      <c r="BF17" s="1170" t="str">
        <f ca="1">CokingRefineryCalcs!D53</f>
        <v>kg/m^3</v>
      </c>
      <c r="BG17" s="1170">
        <f ca="1">HydroRefineryCalcs!F53</f>
        <v>712.81555858066895</v>
      </c>
      <c r="BH17" s="1170"/>
      <c r="BI17" s="1180" t="s">
        <v>1066</v>
      </c>
      <c r="BJ17" s="1170"/>
      <c r="BK17" s="1170">
        <f ca="1">IF('HydroRefineryPFD '!E27=TRUE,BK18,BG22/(BG46+BG22))</f>
        <v>0.2849491728257913</v>
      </c>
      <c r="BL17" s="1170"/>
      <c r="BM17" s="1170"/>
      <c r="BN17" s="1170"/>
      <c r="BO17" s="1170"/>
      <c r="BP17" s="1187"/>
      <c r="BQ17" s="1170"/>
      <c r="BR17" s="1170"/>
      <c r="BS17" s="1170"/>
      <c r="BT17" s="1170"/>
      <c r="BU17" s="1170"/>
      <c r="BV17" s="1186" t="str">
        <f>HydroRefineryCalcs!C169</f>
        <v>MCR</v>
      </c>
      <c r="BW17" s="1170" t="str">
        <f>HydroRefineryCalcs!D169</f>
        <v>wt%</v>
      </c>
      <c r="BX17" s="1187" t="str">
        <f ca="1">HydroRefineryCalcs!F169</f>
        <v/>
      </c>
      <c r="BY17" s="1170"/>
      <c r="BZ17" s="1197" t="s">
        <v>228</v>
      </c>
      <c r="CA17" s="1170"/>
      <c r="CB17" s="1170">
        <f ca="1">BX12/(BG14+BS30)</f>
        <v>0.97646250506251964</v>
      </c>
      <c r="CC17" s="1170"/>
      <c r="CD17" s="1170"/>
      <c r="CE17" s="1170"/>
      <c r="CF17" s="1170"/>
      <c r="CG17" s="1170"/>
      <c r="CH17" s="1197" t="s">
        <v>228</v>
      </c>
      <c r="CI17" s="1170">
        <f ca="1">+CF12/BG38</f>
        <v>4.5659125597633527E-22</v>
      </c>
      <c r="CJ17" s="1170"/>
      <c r="CK17" s="1170"/>
      <c r="CL17" s="1170"/>
      <c r="CM17" s="1170"/>
      <c r="CN17" s="1170"/>
      <c r="CO17" s="1170"/>
      <c r="CP17" s="1160"/>
      <c r="CQ17" s="1160"/>
      <c r="CR17" s="1160"/>
      <c r="CS17" s="1160"/>
      <c r="CT17" s="1160"/>
      <c r="CU17" s="1160"/>
      <c r="CV17" s="1160"/>
      <c r="CW17" s="1160"/>
      <c r="CX17" s="1160"/>
      <c r="CY17" s="1160"/>
      <c r="CZ17" s="1171"/>
      <c r="DA17" s="1160"/>
      <c r="DB17" s="1160"/>
      <c r="DC17" s="1160"/>
      <c r="DD17" s="1160"/>
      <c r="DE17" s="1160"/>
      <c r="DF17" s="1160"/>
      <c r="DG17" s="1160"/>
      <c r="DH17" s="1160"/>
      <c r="DI17" s="1160"/>
      <c r="DJ17" s="1160"/>
      <c r="DK17" s="1160"/>
      <c r="DL17" s="1160"/>
      <c r="DM17" s="1160"/>
      <c r="DN17" s="1160"/>
      <c r="DO17" s="1160"/>
      <c r="DP17" s="1160"/>
      <c r="DQ17" s="1160"/>
      <c r="DR17" s="1160"/>
      <c r="DS17" s="1160"/>
      <c r="DT17" s="1160"/>
      <c r="DU17" s="1160"/>
      <c r="DV17" s="1160"/>
      <c r="DW17" s="1160"/>
      <c r="DX17" s="1160"/>
      <c r="DY17" s="1160"/>
      <c r="DZ17" s="1160"/>
      <c r="EA17" s="1160"/>
      <c r="EB17" s="1160"/>
      <c r="EC17" s="1160"/>
    </row>
    <row r="18" spans="1:133" ht="15" x14ac:dyDescent="0.25">
      <c r="A18" s="1160"/>
      <c r="B18" s="1172"/>
      <c r="C18" s="1102" t="s">
        <v>1662</v>
      </c>
      <c r="D18" s="1102"/>
      <c r="E18" s="1189">
        <v>9</v>
      </c>
      <c r="F18" s="1192"/>
      <c r="G18" s="1192"/>
      <c r="H18" s="1192"/>
      <c r="I18" s="1192"/>
      <c r="J18" s="1107"/>
      <c r="K18" s="1107"/>
      <c r="L18" s="1150"/>
      <c r="M18" s="1170"/>
      <c r="N18" s="1170"/>
      <c r="O18" s="1170"/>
      <c r="P18" s="1170"/>
      <c r="Q18" s="1170"/>
      <c r="R18" s="1170"/>
      <c r="S18" s="1170"/>
      <c r="T18" s="1170"/>
      <c r="U18" s="1170"/>
      <c r="V18" s="1170"/>
      <c r="W18" s="1170"/>
      <c r="X18" s="1170"/>
      <c r="Y18" s="1170"/>
      <c r="Z18" s="1170"/>
      <c r="AA18" s="1170"/>
      <c r="AB18" s="1170"/>
      <c r="AC18" s="1170"/>
      <c r="AD18" s="1170"/>
      <c r="AE18" s="1170"/>
      <c r="AF18" s="1170"/>
      <c r="AG18" s="1170"/>
      <c r="AH18" s="1170"/>
      <c r="AI18" s="1170"/>
      <c r="AJ18" s="1170"/>
      <c r="AK18" s="1170"/>
      <c r="AL18" s="1170"/>
      <c r="AM18" s="1170"/>
      <c r="AN18" s="1170"/>
      <c r="AO18" s="1170"/>
      <c r="AP18" s="1170"/>
      <c r="AQ18" s="1170"/>
      <c r="AR18" s="1170"/>
      <c r="AS18" s="1170"/>
      <c r="AT18" s="1170"/>
      <c r="AU18" s="1170"/>
      <c r="AV18" s="1170"/>
      <c r="AW18" s="1170"/>
      <c r="AX18" s="1170"/>
      <c r="AY18" s="1170"/>
      <c r="AZ18" s="1170"/>
      <c r="BA18" s="1170"/>
      <c r="BB18" s="1170"/>
      <c r="BC18" s="1170"/>
      <c r="BD18" s="1170"/>
      <c r="BE18" s="1186" t="str">
        <f>CokingRefineryCalcs!C54</f>
        <v>Hydrogen</v>
      </c>
      <c r="BF18" s="1170" t="str">
        <f ca="1">CokingRefineryCalcs!D54</f>
        <v>wt%</v>
      </c>
      <c r="BG18" s="1170">
        <f ca="1">HydroRefineryCalcs!F54</f>
        <v>15.321692746753095</v>
      </c>
      <c r="BH18" s="1170"/>
      <c r="BI18" s="1180" t="s">
        <v>1065</v>
      </c>
      <c r="BJ18" s="1170"/>
      <c r="BK18" s="1196">
        <f ca="1">BG22/(BG46+AW37+BG22)</f>
        <v>0.2849491728257913</v>
      </c>
      <c r="BL18" s="1170"/>
      <c r="BM18" s="1170"/>
      <c r="BN18" s="1186" t="s">
        <v>1698</v>
      </c>
      <c r="BO18" s="1199" t="s">
        <v>447</v>
      </c>
      <c r="BP18" s="1252">
        <f>'Energy &amp; Unit Conversions'!$Q$27</f>
        <v>46.898519302437805</v>
      </c>
      <c r="BQ18" s="1170"/>
      <c r="BR18" s="1170"/>
      <c r="BS18" s="1170"/>
      <c r="BT18" s="1170"/>
      <c r="BU18" s="1170"/>
      <c r="BV18" s="1200" t="s">
        <v>1056</v>
      </c>
      <c r="BW18" s="1199" t="s">
        <v>447</v>
      </c>
      <c r="BX18" s="1199">
        <f>('Energy &amp; Unit Conversions'!$D$63-('Energy &amp; Unit Conversions'!$E$63*POWER((BX15/'Energy &amp; Unit Conversions'!$E$54),2)))</f>
        <v>43.593320865501802</v>
      </c>
      <c r="BY18" s="1170"/>
      <c r="BZ18" s="1170"/>
      <c r="CA18" s="1170"/>
      <c r="CB18" s="1170"/>
      <c r="CC18" s="1170"/>
      <c r="CD18" s="1200" t="s">
        <v>1056</v>
      </c>
      <c r="CE18" s="1199" t="s">
        <v>447</v>
      </c>
      <c r="CF18" s="1199">
        <f>'Energy &amp; Unit Conversions'!$Q$26</f>
        <v>127.05701826728111</v>
      </c>
      <c r="CG18" s="1170"/>
      <c r="CH18" s="1180" t="s">
        <v>1699</v>
      </c>
      <c r="CI18" s="1170">
        <f ca="1">CF20/(CF20+BX57)</f>
        <v>4.2318128793679363E-21</v>
      </c>
      <c r="CJ18" s="1170"/>
      <c r="CK18" s="1170"/>
      <c r="CL18" s="1170"/>
      <c r="CM18" s="1170"/>
      <c r="CN18" s="1170"/>
      <c r="CO18" s="1170"/>
      <c r="CP18" s="1160"/>
      <c r="CQ18" s="1160"/>
      <c r="CR18" s="1160"/>
      <c r="CS18" s="1160"/>
      <c r="CT18" s="1160"/>
      <c r="CU18" s="1160"/>
      <c r="CV18" s="1160"/>
      <c r="CW18" s="1160"/>
      <c r="CX18" s="1160"/>
      <c r="CY18" s="1160"/>
      <c r="CZ18" s="1171"/>
      <c r="DA18" s="1160"/>
      <c r="DB18" s="1160"/>
      <c r="DC18" s="1160"/>
      <c r="DD18" s="1160"/>
      <c r="DE18" s="1160"/>
      <c r="DF18" s="1160"/>
      <c r="DG18" s="1160"/>
      <c r="DH18" s="1160"/>
      <c r="DI18" s="1160"/>
      <c r="DJ18" s="1160"/>
      <c r="DK18" s="1160"/>
      <c r="DL18" s="1160"/>
      <c r="DM18" s="1160"/>
      <c r="DN18" s="1160"/>
      <c r="DO18" s="1160"/>
      <c r="DP18" s="1160"/>
      <c r="DQ18" s="1160"/>
      <c r="DR18" s="1160"/>
      <c r="DS18" s="1160"/>
      <c r="DT18" s="1160"/>
      <c r="DU18" s="1160"/>
      <c r="DV18" s="1160"/>
      <c r="DW18" s="1160"/>
      <c r="DX18" s="1160"/>
      <c r="DY18" s="1160"/>
      <c r="DZ18" s="1160"/>
      <c r="EA18" s="1160"/>
      <c r="EB18" s="1160"/>
      <c r="EC18" s="1160"/>
    </row>
    <row r="19" spans="1:133" ht="15" x14ac:dyDescent="0.25">
      <c r="A19" s="1160"/>
      <c r="B19" s="1172"/>
      <c r="C19" s="1102"/>
      <c r="D19" s="1102"/>
      <c r="E19" s="1189"/>
      <c r="F19" s="1192"/>
      <c r="G19" s="1192"/>
      <c r="H19" s="1192"/>
      <c r="I19" s="1192"/>
      <c r="J19" s="1107"/>
      <c r="K19" s="1107"/>
      <c r="L19" s="1150"/>
      <c r="M19" s="1170"/>
      <c r="N19" s="1170"/>
      <c r="O19" s="1170"/>
      <c r="P19" s="1170"/>
      <c r="Q19" s="1170"/>
      <c r="R19" s="1170"/>
      <c r="S19" s="1170"/>
      <c r="T19" s="1170"/>
      <c r="U19" s="1170"/>
      <c r="V19" s="1170"/>
      <c r="W19" s="1170"/>
      <c r="X19" s="1170"/>
      <c r="Y19" s="1170"/>
      <c r="Z19" s="1170"/>
      <c r="AA19" s="1170"/>
      <c r="AB19" s="1170"/>
      <c r="AC19" s="1170"/>
      <c r="AD19" s="1170"/>
      <c r="AE19" s="1170"/>
      <c r="AF19" s="1170"/>
      <c r="AG19" s="1170"/>
      <c r="AH19" s="1170"/>
      <c r="AI19" s="1170"/>
      <c r="AJ19" s="1170"/>
      <c r="AK19" s="1170"/>
      <c r="AL19" s="1170"/>
      <c r="AM19" s="1170"/>
      <c r="AN19" s="1170"/>
      <c r="AO19" s="1170"/>
      <c r="AP19" s="1170"/>
      <c r="AQ19" s="1170"/>
      <c r="AR19" s="1170"/>
      <c r="AS19" s="1170"/>
      <c r="AT19" s="1170"/>
      <c r="AU19" s="1170"/>
      <c r="AV19" s="1170"/>
      <c r="AW19" s="1170"/>
      <c r="AX19" s="1170"/>
      <c r="AY19" s="1170"/>
      <c r="AZ19" s="1170"/>
      <c r="BA19" s="1170"/>
      <c r="BB19" s="1170"/>
      <c r="BC19" s="1170"/>
      <c r="BD19" s="1170"/>
      <c r="BE19" s="1186" t="str">
        <f>CokingRefineryCalcs!C55</f>
        <v>MCR</v>
      </c>
      <c r="BF19" s="1170" t="str">
        <f ca="1">CokingRefineryCalcs!D55</f>
        <v>wt%</v>
      </c>
      <c r="BG19" s="1170" t="str">
        <f ca="1">HydroRefineryCalcs!F55</f>
        <v/>
      </c>
      <c r="BH19" s="1170"/>
      <c r="BI19" s="1197" t="s">
        <v>228</v>
      </c>
      <c r="BJ19" s="1170"/>
      <c r="BK19" s="1170">
        <f ca="1">BG14/($AA$46+$AZ$53)</f>
        <v>0.28017553545017604</v>
      </c>
      <c r="BL19" s="1170"/>
      <c r="BM19" s="1170"/>
      <c r="BN19" s="1200" t="s">
        <v>1021</v>
      </c>
      <c r="BO19" s="1199" t="s">
        <v>1022</v>
      </c>
      <c r="BP19" s="1252">
        <f>Constants!$G$353</f>
        <v>33.957001686096191</v>
      </c>
      <c r="BQ19" s="1170"/>
      <c r="BR19" s="1170"/>
      <c r="BS19" s="1170"/>
      <c r="BT19" s="1170"/>
      <c r="BU19" s="1170"/>
      <c r="BV19" s="1200" t="s">
        <v>1021</v>
      </c>
      <c r="BW19" s="1199" t="s">
        <v>1022</v>
      </c>
      <c r="BX19" s="1252">
        <f>Constants!G348</f>
        <v>69.294178009033203</v>
      </c>
      <c r="BY19" s="1170"/>
      <c r="BZ19" s="1170"/>
      <c r="CA19" s="1170"/>
      <c r="CB19" s="1170"/>
      <c r="CC19" s="1170"/>
      <c r="CD19" s="1200" t="s">
        <v>1021</v>
      </c>
      <c r="CE19" s="1199" t="s">
        <v>1022</v>
      </c>
      <c r="CF19" s="1252">
        <f>Constants!G347</f>
        <v>87.138671875</v>
      </c>
      <c r="CG19" s="1170"/>
      <c r="CH19" s="1170"/>
      <c r="CI19" s="1170"/>
      <c r="CJ19" s="1170"/>
      <c r="CK19" s="1170"/>
      <c r="CL19" s="1170"/>
      <c r="CM19" s="1170"/>
      <c r="CN19" s="1170"/>
      <c r="CO19" s="1170"/>
      <c r="CP19" s="1160"/>
      <c r="CQ19" s="1160"/>
      <c r="CR19" s="1160"/>
      <c r="CS19" s="1160"/>
      <c r="CT19" s="1160"/>
      <c r="CU19" s="1160"/>
      <c r="CV19" s="1160"/>
      <c r="CW19" s="1160"/>
      <c r="CX19" s="1160"/>
      <c r="CY19" s="1160"/>
      <c r="CZ19" s="1171"/>
      <c r="DA19" s="1160"/>
      <c r="DB19" s="1160"/>
      <c r="DC19" s="1160"/>
      <c r="DD19" s="1160"/>
      <c r="DE19" s="1160"/>
      <c r="DF19" s="1160"/>
      <c r="DG19" s="1160"/>
      <c r="DH19" s="1160"/>
      <c r="DI19" s="1160"/>
      <c r="DJ19" s="1160"/>
      <c r="DK19" s="1160"/>
      <c r="DL19" s="1160"/>
      <c r="DM19" s="1160"/>
      <c r="DN19" s="1160"/>
      <c r="DO19" s="1160"/>
      <c r="DP19" s="1160"/>
      <c r="DQ19" s="1160"/>
      <c r="DR19" s="1160"/>
      <c r="DS19" s="1160"/>
      <c r="DT19" s="1160"/>
      <c r="DU19" s="1160"/>
      <c r="DV19" s="1160"/>
      <c r="DW19" s="1160"/>
      <c r="DX19" s="1160"/>
      <c r="DY19" s="1160"/>
      <c r="DZ19" s="1160"/>
      <c r="EA19" s="1160"/>
      <c r="EB19" s="1160"/>
      <c r="EC19" s="1160"/>
    </row>
    <row r="20" spans="1:133" ht="15.75" x14ac:dyDescent="0.2">
      <c r="A20" s="1160"/>
      <c r="B20" s="1218" t="s">
        <v>1302</v>
      </c>
      <c r="C20" s="1219"/>
      <c r="D20" s="1219"/>
      <c r="E20" s="1219"/>
      <c r="F20" s="1107"/>
      <c r="G20" s="1107"/>
      <c r="H20" s="1107"/>
      <c r="I20" s="1107"/>
      <c r="J20" s="1107"/>
      <c r="K20" s="1107"/>
      <c r="L20" s="1150"/>
      <c r="M20" s="1170"/>
      <c r="N20" s="1170"/>
      <c r="O20" s="1170"/>
      <c r="P20" s="1170"/>
      <c r="Q20" s="1170"/>
      <c r="R20" s="1170"/>
      <c r="S20" s="1170"/>
      <c r="T20" s="1170"/>
      <c r="U20" s="1170"/>
      <c r="V20" s="1170"/>
      <c r="W20" s="1170"/>
      <c r="X20" s="1170"/>
      <c r="Y20" s="1170"/>
      <c r="Z20" s="1170"/>
      <c r="AA20" s="1170"/>
      <c r="AB20" s="1170"/>
      <c r="AC20" s="1170"/>
      <c r="AD20" s="1170"/>
      <c r="AE20" s="1170"/>
      <c r="AF20" s="1170"/>
      <c r="AG20" s="1170"/>
      <c r="AH20" s="1170"/>
      <c r="AI20" s="1170"/>
      <c r="AJ20" s="1170"/>
      <c r="AK20" s="1170"/>
      <c r="AL20" s="1170"/>
      <c r="AM20" s="1170"/>
      <c r="AN20" s="1170"/>
      <c r="AO20" s="1170"/>
      <c r="AP20" s="1170"/>
      <c r="AQ20" s="1170"/>
      <c r="AR20" s="1170"/>
      <c r="AS20" s="1170"/>
      <c r="AT20" s="1170"/>
      <c r="AU20" s="1170"/>
      <c r="AV20" s="1170"/>
      <c r="AW20" s="1170"/>
      <c r="AX20" s="1170"/>
      <c r="AY20" s="1170"/>
      <c r="AZ20" s="1170"/>
      <c r="BA20" s="1170"/>
      <c r="BB20" s="1170"/>
      <c r="BC20" s="1170"/>
      <c r="BD20" s="1170"/>
      <c r="BE20" s="1200" t="s">
        <v>1056</v>
      </c>
      <c r="BF20" s="1199" t="s">
        <v>447</v>
      </c>
      <c r="BG20" s="1199">
        <f ca="1">('Energy &amp; Unit Conversions'!$D$63-('Energy &amp; Unit Conversions'!$E$63*POWER((BG17/'Energy &amp; Unit Conversions'!$E$54),2)))</f>
        <v>42.660955656511312</v>
      </c>
      <c r="BH20" s="1170"/>
      <c r="BI20" s="1170"/>
      <c r="BJ20" s="1170"/>
      <c r="BK20" s="1170"/>
      <c r="BL20" s="1170"/>
      <c r="BM20" s="1170"/>
      <c r="BN20" s="1204" t="s">
        <v>1054</v>
      </c>
      <c r="BO20" s="1204" t="str">
        <f>IF(allocationMethod=1,CokingRefineryPFD!$C$21,IF(allocationMethod=2,CokingRefineryPFD!$C$22,IF(allocationMethod=3,CokingRefineryPFD!$C$23,CokingRefineryPFD!$C$24)))</f>
        <v>Hydrogen Content Basis</v>
      </c>
      <c r="BP20" s="1250">
        <f ca="1">HydroRefineryCalcs!R1509</f>
        <v>0</v>
      </c>
      <c r="BQ20" s="1170"/>
      <c r="BR20" s="1170"/>
      <c r="BS20" s="1170"/>
      <c r="BT20" s="1170"/>
      <c r="BU20" s="1170"/>
      <c r="BV20" s="1204" t="s">
        <v>1054</v>
      </c>
      <c r="BW20" s="1204" t="str">
        <f>IF(allocationMethod=1,CokingRefineryPFD!$C$21,IF(allocationMethod=2,CokingRefineryPFD!$C$22,IF(allocationMethod=3,CokingRefineryPFD!$C$23,CokingRefineryPFD!$C$24)))</f>
        <v>Hydrogen Content Basis</v>
      </c>
      <c r="BX20" s="1250">
        <f ca="1">IF(allocationMethod=1,BX12,IF(allocationMethod=2,BX18*BX12,IF(allocationMethod=3,BX19*BX10,BX16*BX12/100)))</f>
        <v>141266.46342969791</v>
      </c>
      <c r="BY20" s="1170"/>
      <c r="BZ20" s="1170"/>
      <c r="CA20" s="1170"/>
      <c r="CB20" s="1170"/>
      <c r="CC20" s="1170"/>
      <c r="CD20" s="1204" t="s">
        <v>1054</v>
      </c>
      <c r="CE20" s="1204" t="str">
        <f>IF(allocationMethod=1,CokingRefineryPFD!$C$21,IF(allocationMethod=2,CokingRefineryPFD!$C$22,IF(allocationMethod=3,CokingRefineryPFD!$C$23,CokingRefineryPFD!$C$24)))</f>
        <v>Hydrogen Content Basis</v>
      </c>
      <c r="CF20" s="1250">
        <f ca="1">IF(allocationMethod=1,CF12,IF(allocationMethod=2,CF18*CF12,IF(allocationMethod=3,CF19*CF10,CF16*CF12/100)))</f>
        <v>1.0000000000000001E-15</v>
      </c>
      <c r="CG20" s="1170"/>
      <c r="CH20" s="1170"/>
      <c r="CI20" s="1170"/>
      <c r="CJ20" s="1170"/>
      <c r="CK20" s="1170"/>
      <c r="CL20" s="1170"/>
      <c r="CM20" s="1170"/>
      <c r="CN20" s="1170"/>
      <c r="CO20" s="1170"/>
      <c r="CP20" s="1160"/>
      <c r="CQ20" s="1160"/>
      <c r="CR20" s="1160"/>
      <c r="CS20" s="1160"/>
      <c r="CT20" s="1160"/>
      <c r="CU20" s="1160"/>
      <c r="CV20" s="1160"/>
      <c r="CW20" s="1160"/>
      <c r="CX20" s="1160"/>
      <c r="CY20" s="1160"/>
      <c r="CZ20" s="1171"/>
      <c r="DA20" s="1160"/>
      <c r="DB20" s="1160"/>
      <c r="DC20" s="1160"/>
      <c r="DD20" s="1160"/>
      <c r="DE20" s="1160"/>
      <c r="DF20" s="1160"/>
      <c r="DG20" s="1160"/>
      <c r="DH20" s="1160"/>
      <c r="DI20" s="1160"/>
      <c r="DJ20" s="1160"/>
      <c r="DK20" s="1160"/>
      <c r="DL20" s="1160"/>
      <c r="DM20" s="1160"/>
      <c r="DN20" s="1160"/>
      <c r="DO20" s="1160"/>
      <c r="DP20" s="1160"/>
      <c r="DQ20" s="1160"/>
      <c r="DR20" s="1160"/>
      <c r="DS20" s="1160"/>
      <c r="DT20" s="1160"/>
      <c r="DU20" s="1160"/>
      <c r="DV20" s="1160"/>
      <c r="DW20" s="1160"/>
      <c r="DX20" s="1160"/>
      <c r="DY20" s="1160"/>
      <c r="DZ20" s="1160"/>
      <c r="EA20" s="1160"/>
      <c r="EB20" s="1160"/>
      <c r="EC20" s="1160"/>
    </row>
    <row r="21" spans="1:133" x14ac:dyDescent="0.2">
      <c r="A21" s="1160"/>
      <c r="B21" s="1147"/>
      <c r="C21" s="1123" t="s">
        <v>1073</v>
      </c>
      <c r="D21" s="1102"/>
      <c r="E21" s="1107"/>
      <c r="F21" s="1107"/>
      <c r="G21" s="1107"/>
      <c r="H21" s="1107"/>
      <c r="I21" s="1107"/>
      <c r="J21" s="1107"/>
      <c r="K21" s="1107"/>
      <c r="L21" s="1150"/>
      <c r="M21" s="1170"/>
      <c r="N21" s="1170"/>
      <c r="O21" s="1170"/>
      <c r="P21" s="1170"/>
      <c r="Q21" s="1170"/>
      <c r="R21" s="1170"/>
      <c r="S21" s="1170"/>
      <c r="T21" s="1170"/>
      <c r="U21" s="1170"/>
      <c r="V21" s="1170"/>
      <c r="W21" s="1170"/>
      <c r="X21" s="1170"/>
      <c r="Y21" s="1170"/>
      <c r="Z21" s="1170"/>
      <c r="AA21" s="1170"/>
      <c r="AB21" s="1170"/>
      <c r="AC21" s="1170"/>
      <c r="AD21" s="1170"/>
      <c r="AE21" s="1170"/>
      <c r="AF21" s="1170"/>
      <c r="AG21" s="1170"/>
      <c r="AH21" s="1170"/>
      <c r="AI21" s="1170"/>
      <c r="AJ21" s="1170"/>
      <c r="AK21" s="1170"/>
      <c r="AL21" s="1170"/>
      <c r="AM21" s="1170"/>
      <c r="AN21" s="1170"/>
      <c r="AO21" s="1170"/>
      <c r="AP21" s="1170"/>
      <c r="AQ21" s="1170"/>
      <c r="AR21" s="1170"/>
      <c r="AS21" s="1170"/>
      <c r="AT21" s="1170"/>
      <c r="AU21" s="1170"/>
      <c r="AV21" s="1170"/>
      <c r="AW21" s="1170"/>
      <c r="AX21" s="1170"/>
      <c r="AY21" s="1170"/>
      <c r="AZ21" s="1170"/>
      <c r="BA21" s="1170"/>
      <c r="BB21" s="1170"/>
      <c r="BC21" s="1170"/>
      <c r="BD21" s="1170"/>
      <c r="BE21" s="1200" t="s">
        <v>1021</v>
      </c>
      <c r="BF21" s="1199" t="s">
        <v>1022</v>
      </c>
      <c r="BG21" s="1252">
        <f>Constants!G337</f>
        <v>72.819999999999993</v>
      </c>
      <c r="BH21" s="1170"/>
      <c r="BI21" s="1170"/>
      <c r="BJ21" s="1170"/>
      <c r="BK21" s="1170"/>
      <c r="BL21" s="1170"/>
      <c r="BM21" s="1170"/>
      <c r="BN21" s="1170"/>
      <c r="BO21" s="1170"/>
      <c r="BP21" s="1170"/>
      <c r="BQ21" s="1170"/>
      <c r="BR21" s="1184" t="str">
        <f>'HydroRefinery Detailed Results'!C29</f>
        <v>Isomerisation Unit</v>
      </c>
      <c r="BS21" s="1170"/>
      <c r="BT21" s="1170"/>
      <c r="BU21" s="1170"/>
      <c r="BV21" s="1170"/>
      <c r="BW21" s="1170"/>
      <c r="BX21" s="1170"/>
      <c r="BY21" s="1170"/>
      <c r="BZ21" s="1170"/>
      <c r="CA21" s="1170"/>
      <c r="CB21" s="1170"/>
      <c r="CC21" s="1170"/>
      <c r="CD21" s="1170"/>
      <c r="CE21" s="1170"/>
      <c r="CF21" s="1170"/>
      <c r="CG21" s="1170"/>
      <c r="CH21" s="1170"/>
      <c r="CI21" s="1170"/>
      <c r="CJ21" s="1170"/>
      <c r="CK21" s="1170"/>
      <c r="CL21" s="1170"/>
      <c r="CM21" s="1170"/>
      <c r="CN21" s="1170"/>
      <c r="CO21" s="1170"/>
      <c r="CP21" s="1160"/>
      <c r="CQ21" s="1160"/>
      <c r="CR21" s="1160"/>
      <c r="CS21" s="1160"/>
      <c r="CT21" s="1160"/>
      <c r="CU21" s="1160"/>
      <c r="CV21" s="1160"/>
      <c r="CW21" s="1160"/>
      <c r="CX21" s="1160"/>
      <c r="CY21" s="1160"/>
      <c r="CZ21" s="1171"/>
      <c r="DA21" s="1160"/>
      <c r="DB21" s="1160"/>
      <c r="DC21" s="1160"/>
      <c r="DD21" s="1160"/>
      <c r="DE21" s="1160"/>
      <c r="DF21" s="1160"/>
      <c r="DG21" s="1160"/>
      <c r="DH21" s="1160"/>
      <c r="DI21" s="1160"/>
      <c r="DJ21" s="1160"/>
      <c r="DK21" s="1160"/>
      <c r="DL21" s="1160"/>
      <c r="DM21" s="1160"/>
      <c r="DN21" s="1160"/>
      <c r="DO21" s="1160"/>
      <c r="DP21" s="1160"/>
      <c r="DQ21" s="1160"/>
      <c r="DR21" s="1160"/>
      <c r="DS21" s="1160"/>
      <c r="DT21" s="1160"/>
      <c r="DU21" s="1160"/>
      <c r="DV21" s="1160"/>
      <c r="DW21" s="1160"/>
      <c r="DX21" s="1160"/>
      <c r="DY21" s="1160"/>
      <c r="DZ21" s="1160"/>
      <c r="EA21" s="1160"/>
      <c r="EB21" s="1160"/>
      <c r="EC21" s="1160"/>
    </row>
    <row r="22" spans="1:133" x14ac:dyDescent="0.2">
      <c r="A22" s="1160"/>
      <c r="B22" s="1147"/>
      <c r="C22" s="1102"/>
      <c r="D22" s="1102"/>
      <c r="E22" s="1107"/>
      <c r="F22" s="1107"/>
      <c r="G22" s="1107"/>
      <c r="H22" s="1107"/>
      <c r="I22" s="1107"/>
      <c r="J22" s="1107"/>
      <c r="K22" s="1107"/>
      <c r="L22" s="1150"/>
      <c r="M22" s="1170"/>
      <c r="N22" s="1170"/>
      <c r="O22" s="1170"/>
      <c r="P22" s="1170"/>
      <c r="Q22" s="1170"/>
      <c r="R22" s="1170"/>
      <c r="S22" s="1170"/>
      <c r="T22" s="1170"/>
      <c r="U22" s="1170"/>
      <c r="V22" s="1170"/>
      <c r="W22" s="1170"/>
      <c r="X22" s="1170"/>
      <c r="Y22" s="1170"/>
      <c r="Z22" s="1170"/>
      <c r="AA22" s="1170"/>
      <c r="AB22" s="1170"/>
      <c r="AC22" s="1170"/>
      <c r="AD22" s="1170"/>
      <c r="AE22" s="1170"/>
      <c r="AF22" s="1170"/>
      <c r="AG22" s="1170"/>
      <c r="AH22" s="1170"/>
      <c r="AI22" s="1170"/>
      <c r="AJ22" s="1170"/>
      <c r="AK22" s="1170"/>
      <c r="AL22" s="1170"/>
      <c r="AM22" s="1170"/>
      <c r="AN22" s="1170"/>
      <c r="AO22" s="1170"/>
      <c r="AP22" s="1170"/>
      <c r="AQ22" s="1170"/>
      <c r="AR22" s="1170"/>
      <c r="AS22" s="1170"/>
      <c r="AT22" s="1170"/>
      <c r="AU22" s="1170"/>
      <c r="AV22" s="1170"/>
      <c r="AW22" s="1170"/>
      <c r="AX22" s="1170"/>
      <c r="AY22" s="1170"/>
      <c r="AZ22" s="1170"/>
      <c r="BA22" s="1170"/>
      <c r="BB22" s="1170"/>
      <c r="BC22" s="1170"/>
      <c r="BD22" s="1170"/>
      <c r="BE22" s="1204" t="s">
        <v>1054</v>
      </c>
      <c r="BF22" s="1204" t="str">
        <f>IF(allocationMethod=1,CokingRefineryPFD!$C$21,IF(allocationMethod=2,CokingRefineryPFD!$C$22,IF(allocationMethod=3,CokingRefineryPFD!$C$23,CokingRefineryPFD!$C$24)))</f>
        <v>Hydrogen Content Basis</v>
      </c>
      <c r="BG22" s="1250">
        <f ca="1">IF(allocationMethod=1,BG14,IF(allocationMethod=2,BG20*BG14,IF(allocationMethod=3,BG21*BG12,BG18*BG14/100)))</f>
        <v>130916.43065930343</v>
      </c>
      <c r="BH22" s="1170"/>
      <c r="BI22" s="1170"/>
      <c r="BJ22" s="1170"/>
      <c r="BK22" s="1170"/>
      <c r="BL22" s="1170"/>
      <c r="BM22" s="1170"/>
      <c r="BN22" s="1170"/>
      <c r="BO22" s="1170"/>
      <c r="BP22" s="1170"/>
      <c r="BQ22" s="1170"/>
      <c r="BR22" s="1184" t="s">
        <v>225</v>
      </c>
      <c r="BS22" s="1227" t="s">
        <v>522</v>
      </c>
      <c r="BT22" s="1187"/>
      <c r="BU22" s="1187"/>
      <c r="BV22" s="1170"/>
      <c r="BW22" s="1170"/>
      <c r="BX22" s="1170"/>
      <c r="BY22" s="1170"/>
      <c r="BZ22" s="1170"/>
      <c r="CA22" s="1170"/>
      <c r="CB22" s="1170"/>
      <c r="CC22" s="1170"/>
      <c r="CD22" s="1170"/>
      <c r="CE22" s="1170"/>
      <c r="CF22" s="1170"/>
      <c r="CG22" s="1170"/>
      <c r="CH22" s="1170"/>
      <c r="CI22" s="1170"/>
      <c r="CJ22" s="1170"/>
      <c r="CK22" s="1170"/>
      <c r="CL22" s="1170"/>
      <c r="CM22" s="1170"/>
      <c r="CN22" s="1170"/>
      <c r="CO22" s="1170"/>
      <c r="CP22" s="1160"/>
      <c r="CQ22" s="1160"/>
      <c r="CR22" s="1160"/>
      <c r="CS22" s="1160"/>
      <c r="CT22" s="1160"/>
      <c r="CU22" s="1160"/>
      <c r="CV22" s="1160"/>
      <c r="CW22" s="1160"/>
      <c r="CX22" s="1160"/>
      <c r="CY22" s="1160"/>
      <c r="CZ22" s="1171"/>
      <c r="DA22" s="1160"/>
      <c r="DB22" s="1160"/>
      <c r="DC22" s="1160"/>
      <c r="DD22" s="1160"/>
      <c r="DE22" s="1160"/>
      <c r="DF22" s="1160"/>
      <c r="DG22" s="1160"/>
      <c r="DH22" s="1160"/>
      <c r="DI22" s="1160"/>
      <c r="DJ22" s="1160"/>
      <c r="DK22" s="1160"/>
      <c r="DL22" s="1160"/>
      <c r="DM22" s="1160"/>
      <c r="DN22" s="1160"/>
      <c r="DO22" s="1160"/>
      <c r="DP22" s="1160"/>
      <c r="DQ22" s="1160"/>
      <c r="DR22" s="1160"/>
      <c r="DS22" s="1160"/>
      <c r="DT22" s="1160"/>
      <c r="DU22" s="1160"/>
      <c r="DV22" s="1160"/>
      <c r="DW22" s="1160"/>
      <c r="DX22" s="1160"/>
      <c r="DY22" s="1160"/>
      <c r="DZ22" s="1160"/>
      <c r="EA22" s="1160"/>
      <c r="EB22" s="1160"/>
      <c r="EC22" s="1160"/>
    </row>
    <row r="23" spans="1:133" ht="15" x14ac:dyDescent="0.25">
      <c r="A23" s="1160"/>
      <c r="B23" s="1147"/>
      <c r="C23" s="1228" t="s">
        <v>520</v>
      </c>
      <c r="D23" s="1201"/>
      <c r="E23" s="1201" t="b">
        <f>CokingRefineryPFD!$E$46</f>
        <v>0</v>
      </c>
      <c r="F23" s="1107"/>
      <c r="G23" s="1107"/>
      <c r="H23" s="1107"/>
      <c r="I23" s="1107"/>
      <c r="J23" s="1107"/>
      <c r="K23" s="1107"/>
      <c r="L23" s="1150"/>
      <c r="M23" s="1170"/>
      <c r="N23" s="1170"/>
      <c r="O23" s="1170"/>
      <c r="P23" s="1170"/>
      <c r="Q23" s="1170"/>
      <c r="R23" s="1170"/>
      <c r="S23" s="1170"/>
      <c r="T23" s="1170"/>
      <c r="U23" s="1170"/>
      <c r="V23" s="1170"/>
      <c r="W23" s="1170"/>
      <c r="X23" s="1170"/>
      <c r="Y23" s="1170"/>
      <c r="Z23" s="1170"/>
      <c r="AA23" s="1170"/>
      <c r="AB23" s="1170"/>
      <c r="AC23" s="1170"/>
      <c r="AD23" s="1170"/>
      <c r="AE23" s="1170"/>
      <c r="AF23" s="1170"/>
      <c r="AG23" s="1170"/>
      <c r="AH23" s="1170"/>
      <c r="AI23" s="1170"/>
      <c r="AJ23" s="1170"/>
      <c r="AK23" s="1170"/>
      <c r="AL23" s="1170"/>
      <c r="AM23" s="1170"/>
      <c r="AN23" s="1170"/>
      <c r="AO23" s="1170"/>
      <c r="AP23" s="1170"/>
      <c r="AQ23" s="1170"/>
      <c r="AR23" s="1170"/>
      <c r="AS23" s="1170"/>
      <c r="AT23" s="1170"/>
      <c r="AU23" s="1170"/>
      <c r="AV23" s="1170"/>
      <c r="AW23" s="1170"/>
      <c r="AX23" s="1170"/>
      <c r="AY23" s="1170"/>
      <c r="AZ23" s="1170"/>
      <c r="BA23" s="1170"/>
      <c r="BB23" s="1170"/>
      <c r="BC23" s="1170"/>
      <c r="BD23" s="1170"/>
      <c r="BE23" s="1170"/>
      <c r="BF23" s="1170"/>
      <c r="BG23" s="1170"/>
      <c r="BH23" s="1170"/>
      <c r="BI23" s="1170"/>
      <c r="BJ23" s="1170"/>
      <c r="BK23" s="1170"/>
      <c r="BL23" s="1170"/>
      <c r="BM23" s="1170"/>
      <c r="BN23" s="1170"/>
      <c r="BO23" s="1170"/>
      <c r="BP23" s="1170"/>
      <c r="BQ23" s="1170"/>
      <c r="BR23" s="1170" t="s">
        <v>392</v>
      </c>
      <c r="BS23" s="1187">
        <f ca="1">'HydroRefinery Detailed Results'!F29+IF(AND($EC$147+$EC$164=0,E28=FALSE),'HydroRefinery Detailed Results'!F31*HydroRefineryCalcs!$T$1047,0)</f>
        <v>27142.528556085686</v>
      </c>
      <c r="BT23" s="1187"/>
      <c r="BU23" s="1187"/>
      <c r="BV23" s="1170"/>
      <c r="BW23" s="1170"/>
      <c r="BX23" s="1170"/>
      <c r="BY23" s="1170"/>
      <c r="BZ23" s="1170"/>
      <c r="CA23" s="1170"/>
      <c r="CB23" s="1170"/>
      <c r="CC23" s="1170"/>
      <c r="CD23" s="1170"/>
      <c r="CE23" s="1170"/>
      <c r="CF23" s="1170"/>
      <c r="CG23" s="1170"/>
      <c r="CH23" s="1170"/>
      <c r="CI23" s="1170"/>
      <c r="CJ23" s="1170"/>
      <c r="CK23" s="1170"/>
      <c r="CL23" s="1170"/>
      <c r="CM23" s="1170"/>
      <c r="CN23" s="1170"/>
      <c r="CO23" s="1170"/>
      <c r="CP23" s="1160"/>
      <c r="CQ23" s="1160"/>
      <c r="CR23" s="1160"/>
      <c r="CS23" s="1160"/>
      <c r="CT23" s="1160"/>
      <c r="CU23" s="1160"/>
      <c r="CV23" s="1160"/>
      <c r="CW23" s="1160"/>
      <c r="CX23" s="1160"/>
      <c r="CY23" s="1160"/>
      <c r="CZ23" s="1171"/>
      <c r="DA23" s="1160"/>
      <c r="DB23" s="1160"/>
      <c r="DC23" s="1160"/>
      <c r="DD23" s="1160"/>
      <c r="DE23" s="1160"/>
      <c r="DF23" s="1160"/>
      <c r="DG23" s="1160"/>
      <c r="DH23" s="1160"/>
      <c r="DI23" s="1160"/>
      <c r="DJ23" s="1160"/>
      <c r="DK23" s="1160"/>
      <c r="DL23" s="1160"/>
      <c r="DM23" s="1160"/>
      <c r="DN23" s="1160"/>
      <c r="DO23" s="1160"/>
      <c r="DP23" s="1160"/>
      <c r="DQ23" s="1160"/>
      <c r="DR23" s="1160"/>
      <c r="DS23" s="1160"/>
      <c r="DT23" s="1160"/>
      <c r="DU23" s="1160"/>
      <c r="DV23" s="1160"/>
      <c r="DW23" s="1160"/>
      <c r="DX23" s="1160"/>
      <c r="DY23" s="1160"/>
      <c r="DZ23" s="1160"/>
      <c r="EA23" s="1160"/>
      <c r="EB23" s="1160"/>
      <c r="EC23" s="1160"/>
    </row>
    <row r="24" spans="1:133" ht="15" x14ac:dyDescent="0.25">
      <c r="A24" s="1160"/>
      <c r="B24" s="1147"/>
      <c r="C24" s="1228" t="s">
        <v>1939</v>
      </c>
      <c r="D24" s="1201"/>
      <c r="E24" s="1201" t="b">
        <f>CokingRefineryPFD!$E$47</f>
        <v>0</v>
      </c>
      <c r="F24" s="1107"/>
      <c r="G24" s="1107"/>
      <c r="H24" s="1107"/>
      <c r="I24" s="1107"/>
      <c r="J24" s="1107"/>
      <c r="K24" s="1107"/>
      <c r="L24" s="1150"/>
      <c r="M24" s="1170"/>
      <c r="N24" s="1170"/>
      <c r="O24" s="1170"/>
      <c r="P24" s="1170"/>
      <c r="Q24" s="1170"/>
      <c r="R24" s="1170"/>
      <c r="S24" s="1170"/>
      <c r="T24" s="1170"/>
      <c r="U24" s="1170"/>
      <c r="V24" s="1170"/>
      <c r="W24" s="1170"/>
      <c r="X24" s="1170"/>
      <c r="Y24" s="1170"/>
      <c r="Z24" s="1170"/>
      <c r="AA24" s="1170"/>
      <c r="AB24" s="1170"/>
      <c r="AC24" s="1170"/>
      <c r="AD24" s="1170"/>
      <c r="AE24" s="1170"/>
      <c r="AF24" s="1170"/>
      <c r="AG24" s="1170"/>
      <c r="AH24" s="1170"/>
      <c r="AI24" s="1170"/>
      <c r="AJ24" s="1170"/>
      <c r="AK24" s="1170"/>
      <c r="AL24" s="1170"/>
      <c r="AM24" s="1170"/>
      <c r="AN24" s="1170"/>
      <c r="AO24" s="1170"/>
      <c r="AP24" s="1170"/>
      <c r="AQ24" s="1170"/>
      <c r="AR24" s="1170"/>
      <c r="AS24" s="1170"/>
      <c r="AT24" s="1170"/>
      <c r="AU24" s="1170"/>
      <c r="AV24" s="1170"/>
      <c r="AW24" s="1170"/>
      <c r="AX24" s="1170"/>
      <c r="AY24" s="1170"/>
      <c r="AZ24" s="1170"/>
      <c r="BA24" s="1170"/>
      <c r="BB24" s="1170"/>
      <c r="BC24" s="1170"/>
      <c r="BD24" s="1170"/>
      <c r="BE24" s="1170"/>
      <c r="BF24" s="1170"/>
      <c r="BG24" s="1170"/>
      <c r="BH24" s="1184"/>
      <c r="BI24" s="1170"/>
      <c r="BJ24" s="1170"/>
      <c r="BK24" s="1170"/>
      <c r="BL24" s="1170"/>
      <c r="BM24" s="1170"/>
      <c r="BN24" s="1170"/>
      <c r="BO24" s="1170"/>
      <c r="BP24" s="1170"/>
      <c r="BQ24" s="1170"/>
      <c r="BR24" s="1170" t="s">
        <v>224</v>
      </c>
      <c r="BS24" s="1187">
        <f ca="1">'HydroRefinery Detailed Results'!H29+IF(AND($EC$147+$EC$164=0,E28=FALSE),'HydroRefinery Detailed Results'!H31*HydroRefineryCalcs!$T$1047,0)</f>
        <v>1560829.172620028</v>
      </c>
      <c r="BT24" s="1187"/>
      <c r="BU24" s="1187"/>
      <c r="BV24" s="1170"/>
      <c r="BW24" s="1170"/>
      <c r="BX24" s="1170"/>
      <c r="BY24" s="1170"/>
      <c r="BZ24" s="1170"/>
      <c r="CA24" s="1170"/>
      <c r="CB24" s="1170"/>
      <c r="CC24" s="1170"/>
      <c r="CD24" s="1170"/>
      <c r="CE24" s="1170"/>
      <c r="CF24" s="1170"/>
      <c r="CG24" s="1170"/>
      <c r="CH24" s="1170"/>
      <c r="CI24" s="1170"/>
      <c r="CJ24" s="1170"/>
      <c r="CK24" s="1170"/>
      <c r="CL24" s="1170"/>
      <c r="CM24" s="1170"/>
      <c r="CN24" s="1170"/>
      <c r="CO24" s="1170"/>
      <c r="CP24" s="1160"/>
      <c r="CQ24" s="1160"/>
      <c r="CR24" s="1160"/>
      <c r="CS24" s="1160"/>
      <c r="CT24" s="1160"/>
      <c r="CU24" s="1160"/>
      <c r="CV24" s="1160"/>
      <c r="CW24" s="1160"/>
      <c r="CX24" s="1160"/>
      <c r="CY24" s="1160"/>
      <c r="CZ24" s="1171"/>
      <c r="DA24" s="1160"/>
      <c r="DB24" s="1160"/>
      <c r="DC24" s="1160"/>
      <c r="DD24" s="1160"/>
      <c r="DE24" s="1160"/>
      <c r="DF24" s="1160"/>
      <c r="DG24" s="1160"/>
      <c r="DH24" s="1160"/>
      <c r="DI24" s="1160"/>
      <c r="DJ24" s="1160"/>
      <c r="DK24" s="1160"/>
      <c r="DL24" s="1160"/>
      <c r="DM24" s="1160"/>
      <c r="DN24" s="1160"/>
      <c r="DO24" s="1160"/>
      <c r="DP24" s="1160"/>
      <c r="DQ24" s="1160"/>
      <c r="DR24" s="1160"/>
      <c r="DS24" s="1160"/>
      <c r="DT24" s="1160"/>
      <c r="DU24" s="1160"/>
      <c r="DV24" s="1160"/>
      <c r="DW24" s="1160"/>
      <c r="DX24" s="1160"/>
      <c r="DY24" s="1160"/>
      <c r="DZ24" s="1160"/>
      <c r="EA24" s="1160"/>
      <c r="EB24" s="1160"/>
      <c r="EC24" s="1160"/>
    </row>
    <row r="25" spans="1:133" ht="15" x14ac:dyDescent="0.25">
      <c r="A25" s="1160"/>
      <c r="B25" s="1147"/>
      <c r="C25" s="1228" t="s">
        <v>30</v>
      </c>
      <c r="D25" s="1201"/>
      <c r="E25" s="1201" t="b">
        <f>CokingRefineryPFD!$E$48</f>
        <v>0</v>
      </c>
      <c r="F25" s="1107"/>
      <c r="G25" s="1107"/>
      <c r="H25" s="1107"/>
      <c r="I25" s="1107"/>
      <c r="J25" s="1107"/>
      <c r="K25" s="1107"/>
      <c r="L25" s="1150"/>
      <c r="M25" s="1170"/>
      <c r="N25" s="1170"/>
      <c r="O25" s="1170"/>
      <c r="P25" s="1170"/>
      <c r="Q25" s="1170"/>
      <c r="R25" s="1170"/>
      <c r="S25" s="1170"/>
      <c r="T25" s="1170"/>
      <c r="U25" s="1170"/>
      <c r="V25" s="1170"/>
      <c r="W25" s="1170"/>
      <c r="X25" s="1170"/>
      <c r="Y25" s="1170"/>
      <c r="Z25" s="1170"/>
      <c r="AA25" s="1170"/>
      <c r="AB25" s="1170"/>
      <c r="AC25" s="1170"/>
      <c r="AD25" s="1170"/>
      <c r="AE25" s="1170"/>
      <c r="AF25" s="1170"/>
      <c r="AG25" s="1170"/>
      <c r="AH25" s="1170"/>
      <c r="AI25" s="1170"/>
      <c r="AJ25" s="1170"/>
      <c r="AK25" s="1170"/>
      <c r="AL25" s="1170"/>
      <c r="AM25" s="1170"/>
      <c r="AN25" s="1170"/>
      <c r="AO25" s="1170"/>
      <c r="AP25" s="1170"/>
      <c r="AQ25" s="1170"/>
      <c r="AR25" s="1170"/>
      <c r="AS25" s="1170"/>
      <c r="AT25" s="1170"/>
      <c r="AU25" s="1179" t="str">
        <f>CokingRefineryCalcs!J127</f>
        <v>NHT Fuel Gas</v>
      </c>
      <c r="AV25" s="1170"/>
      <c r="AW25" s="1170"/>
      <c r="AX25" s="1170"/>
      <c r="AY25" s="1170"/>
      <c r="AZ25" s="1170"/>
      <c r="BA25" s="1170"/>
      <c r="BB25" s="1170"/>
      <c r="BC25" s="1170"/>
      <c r="BD25" s="1170"/>
      <c r="BE25" s="1170"/>
      <c r="BF25" s="1170"/>
      <c r="BG25" s="1170"/>
      <c r="BH25" s="1170"/>
      <c r="BI25" s="1170"/>
      <c r="BJ25" s="1170"/>
      <c r="BK25" s="1170"/>
      <c r="BL25" s="1170"/>
      <c r="BM25" s="1170"/>
      <c r="BN25" s="1170"/>
      <c r="BO25" s="1170"/>
      <c r="BP25" s="1170"/>
      <c r="BQ25" s="1170"/>
      <c r="BR25" s="1170" t="s">
        <v>485</v>
      </c>
      <c r="BS25" s="1187">
        <f ca="1">'HydroRefinery Detailed Results'!J29+IF(AND($EC$147+$EC$164=0,E28=FALSE),'HydroRefinery Detailed Results'!J31*HydroRefineryCalcs!$T$1047,0)</f>
        <v>0</v>
      </c>
      <c r="BT25" s="1187"/>
      <c r="BU25" s="1187"/>
      <c r="BV25" s="1170"/>
      <c r="BW25" s="1170"/>
      <c r="BX25" s="1170"/>
      <c r="BY25" s="1170"/>
      <c r="BZ25" s="1170"/>
      <c r="CA25" s="1170"/>
      <c r="CB25" s="1170"/>
      <c r="CC25" s="1170"/>
      <c r="CD25" s="1170"/>
      <c r="CE25" s="1170"/>
      <c r="CF25" s="1170"/>
      <c r="CG25" s="1170"/>
      <c r="CH25" s="1170"/>
      <c r="CI25" s="1170"/>
      <c r="CJ25" s="1170"/>
      <c r="CK25" s="1170"/>
      <c r="CL25" s="1170"/>
      <c r="CM25" s="1170"/>
      <c r="CN25" s="1170"/>
      <c r="CO25" s="1170"/>
      <c r="CP25" s="1160"/>
      <c r="CQ25" s="1160"/>
      <c r="CR25" s="1160"/>
      <c r="CS25" s="1160"/>
      <c r="CT25" s="1160"/>
      <c r="CU25" s="1160"/>
      <c r="CV25" s="1160"/>
      <c r="CW25" s="1160"/>
      <c r="CX25" s="1160"/>
      <c r="CY25" s="1160"/>
      <c r="CZ25" s="1171"/>
      <c r="DA25" s="1160"/>
      <c r="DB25" s="1160"/>
      <c r="DC25" s="1160"/>
      <c r="DD25" s="1160"/>
      <c r="DE25" s="1160"/>
      <c r="DF25" s="1160"/>
      <c r="DG25" s="1160"/>
      <c r="DH25" s="1160"/>
      <c r="DI25" s="1160"/>
      <c r="DJ25" s="1160"/>
      <c r="DK25" s="1160"/>
      <c r="DL25" s="1160"/>
      <c r="DM25" s="1160"/>
      <c r="DN25" s="1160"/>
      <c r="DO25" s="1160"/>
      <c r="DP25" s="1160"/>
      <c r="DQ25" s="1160"/>
      <c r="DR25" s="1160"/>
      <c r="DS25" s="1160"/>
      <c r="DT25" s="1160"/>
      <c r="DU25" s="1160"/>
      <c r="DV25" s="1160"/>
      <c r="DW25" s="1160"/>
      <c r="DX25" s="1160"/>
      <c r="DY25" s="1160"/>
      <c r="DZ25" s="1160"/>
      <c r="EA25" s="1160"/>
      <c r="EB25" s="1160"/>
      <c r="EC25" s="1160"/>
    </row>
    <row r="26" spans="1:133" ht="15" x14ac:dyDescent="0.25">
      <c r="A26" s="1160"/>
      <c r="B26" s="1147"/>
      <c r="C26" s="1228" t="s">
        <v>89</v>
      </c>
      <c r="D26" s="1201"/>
      <c r="E26" s="1201" t="b">
        <f>CokingRefineryPFD!$E$49</f>
        <v>0</v>
      </c>
      <c r="F26" s="1107"/>
      <c r="G26" s="1107"/>
      <c r="H26" s="1107"/>
      <c r="I26" s="1107"/>
      <c r="J26" s="1107"/>
      <c r="K26" s="1107"/>
      <c r="L26" s="1150"/>
      <c r="M26" s="1170"/>
      <c r="N26" s="1170"/>
      <c r="O26" s="1170"/>
      <c r="P26" s="1170"/>
      <c r="Q26" s="1170"/>
      <c r="R26" s="1170"/>
      <c r="S26" s="1170"/>
      <c r="T26" s="1170"/>
      <c r="U26" s="1170"/>
      <c r="V26" s="1170"/>
      <c r="W26" s="1170"/>
      <c r="X26" s="1170"/>
      <c r="Y26" s="1170"/>
      <c r="Z26" s="1170"/>
      <c r="AA26" s="1170"/>
      <c r="AB26" s="1170"/>
      <c r="AC26" s="1170"/>
      <c r="AD26" s="1170"/>
      <c r="AE26" s="1170"/>
      <c r="AF26" s="1170"/>
      <c r="AG26" s="1170"/>
      <c r="AH26" s="1170"/>
      <c r="AI26" s="1170"/>
      <c r="AJ26" s="1170"/>
      <c r="AK26" s="1170"/>
      <c r="AL26" s="1170"/>
      <c r="AM26" s="1170"/>
      <c r="AN26" s="1170"/>
      <c r="AO26" s="1170"/>
      <c r="AP26" s="1170"/>
      <c r="AQ26" s="1170"/>
      <c r="AR26" s="1170"/>
      <c r="AS26" s="1170"/>
      <c r="AT26" s="1170"/>
      <c r="AU26" s="1182" t="str">
        <f>CokingRefineryCalcs!C127</f>
        <v>Property</v>
      </c>
      <c r="AV26" s="1182" t="str">
        <f>CokingRefineryCalcs!D127</f>
        <v>Units</v>
      </c>
      <c r="AW26" s="1170"/>
      <c r="AX26" s="1170"/>
      <c r="AY26" s="1170"/>
      <c r="AZ26" s="1170"/>
      <c r="BA26" s="1170"/>
      <c r="BB26" s="1170"/>
      <c r="BC26" s="1170"/>
      <c r="BD26" s="1170"/>
      <c r="BE26" s="1170"/>
      <c r="BF26" s="1170"/>
      <c r="BG26" s="1170"/>
      <c r="BH26" s="1170"/>
      <c r="BI26" s="1170"/>
      <c r="BJ26" s="1170"/>
      <c r="BK26" s="1170"/>
      <c r="BL26" s="1170"/>
      <c r="BM26" s="1170"/>
      <c r="BN26" s="1170"/>
      <c r="BO26" s="1170"/>
      <c r="BP26" s="1170"/>
      <c r="BQ26" s="1170"/>
      <c r="BR26" s="1170" t="s">
        <v>541</v>
      </c>
      <c r="BS26" s="1187">
        <f ca="1">'HydroRefinery Detailed Results'!L29+IF(AND($EC$147+$EC$164=0,E28=FALSE),'HydroRefinery Detailed Results'!L31*HydroRefineryCalcs!$T$1047,0)</f>
        <v>1580367.5405574918</v>
      </c>
      <c r="BT26" s="1187"/>
      <c r="BU26" s="1187"/>
      <c r="BV26" s="1170"/>
      <c r="BW26" s="1170"/>
      <c r="BX26" s="1170"/>
      <c r="BY26" s="1170"/>
      <c r="BZ26" s="1170"/>
      <c r="CA26" s="1170"/>
      <c r="CB26" s="1170"/>
      <c r="CC26" s="1170"/>
      <c r="CD26" s="1170"/>
      <c r="CE26" s="1170"/>
      <c r="CF26" s="1170"/>
      <c r="CG26" s="1170"/>
      <c r="CH26" s="1170"/>
      <c r="CI26" s="1170"/>
      <c r="CJ26" s="1170"/>
      <c r="CK26" s="1170"/>
      <c r="CL26" s="1170"/>
      <c r="CM26" s="1170"/>
      <c r="CN26" s="1170"/>
      <c r="CO26" s="1170"/>
      <c r="CP26" s="1160"/>
      <c r="CQ26" s="1160"/>
      <c r="CR26" s="1160"/>
      <c r="CS26" s="1160"/>
      <c r="CT26" s="1160"/>
      <c r="CU26" s="1160"/>
      <c r="CV26" s="1160"/>
      <c r="CW26" s="1160"/>
      <c r="CX26" s="1160"/>
      <c r="CY26" s="1160"/>
      <c r="CZ26" s="1171"/>
      <c r="DA26" s="1160"/>
      <c r="DB26" s="1160"/>
      <c r="DC26" s="1160"/>
      <c r="DD26" s="1160"/>
      <c r="DE26" s="1160"/>
      <c r="DF26" s="1160"/>
      <c r="DG26" s="1160"/>
      <c r="DH26" s="1160"/>
      <c r="DI26" s="1160"/>
      <c r="DJ26" s="1160"/>
      <c r="DK26" s="1160"/>
      <c r="DL26" s="1160"/>
      <c r="DM26" s="1160"/>
      <c r="DN26" s="1160"/>
      <c r="DO26" s="1160"/>
      <c r="DP26" s="1160"/>
      <c r="DQ26" s="1160"/>
      <c r="DR26" s="1160"/>
      <c r="DS26" s="1160"/>
      <c r="DT26" s="1160"/>
      <c r="DU26" s="1160"/>
      <c r="DV26" s="1160"/>
      <c r="DW26" s="1160"/>
      <c r="DX26" s="1160"/>
      <c r="DY26" s="1160"/>
      <c r="DZ26" s="1160"/>
      <c r="EA26" s="1160"/>
      <c r="EB26" s="1160"/>
      <c r="EC26" s="1160"/>
    </row>
    <row r="27" spans="1:133" ht="15" x14ac:dyDescent="0.25">
      <c r="A27" s="1160"/>
      <c r="B27" s="1147"/>
      <c r="C27" s="1228" t="s">
        <v>1923</v>
      </c>
      <c r="D27" s="1201"/>
      <c r="E27" s="1201" t="b">
        <f>CokingRefineryPFD!$E$50</f>
        <v>1</v>
      </c>
      <c r="F27" s="1107"/>
      <c r="G27" s="1107"/>
      <c r="H27" s="1107"/>
      <c r="I27" s="1107"/>
      <c r="J27" s="1107"/>
      <c r="K27" s="1107"/>
      <c r="L27" s="1150"/>
      <c r="M27" s="1170"/>
      <c r="N27" s="1170"/>
      <c r="O27" s="1170"/>
      <c r="P27" s="1170"/>
      <c r="Q27" s="1170"/>
      <c r="R27" s="1170"/>
      <c r="S27" s="1170"/>
      <c r="T27" s="1170"/>
      <c r="U27" s="1170"/>
      <c r="V27" s="1170"/>
      <c r="W27" s="1170"/>
      <c r="X27" s="1170"/>
      <c r="Y27" s="1170"/>
      <c r="Z27" s="1170"/>
      <c r="AA27" s="1170"/>
      <c r="AB27" s="1170"/>
      <c r="AC27" s="1170"/>
      <c r="AD27" s="1170"/>
      <c r="AE27" s="1170"/>
      <c r="AF27" s="1170"/>
      <c r="AG27" s="1170"/>
      <c r="AH27" s="1170"/>
      <c r="AI27" s="1170"/>
      <c r="AJ27" s="1170"/>
      <c r="AK27" s="1170"/>
      <c r="AL27" s="1170"/>
      <c r="AM27" s="1170"/>
      <c r="AN27" s="1170"/>
      <c r="AO27" s="1170"/>
      <c r="AP27" s="1170"/>
      <c r="AQ27" s="1170"/>
      <c r="AR27" s="1170"/>
      <c r="AS27" s="1170"/>
      <c r="AT27" s="1170"/>
      <c r="AU27" s="1186" t="str">
        <f>CokingRefineryCalcs!C128</f>
        <v>Vol Flow</v>
      </c>
      <c r="AV27" s="1170" t="str">
        <f ca="1">CokingRefineryCalcs!D128</f>
        <v>bpd</v>
      </c>
      <c r="AW27" s="1187">
        <f ca="1">AW28/'Energy &amp; Unit Conversions'!$G$80</f>
        <v>31430.988476717277</v>
      </c>
      <c r="AX27" s="1170"/>
      <c r="AY27" s="1170"/>
      <c r="AZ27" s="1170"/>
      <c r="BA27" s="1170"/>
      <c r="BB27" s="1170"/>
      <c r="BC27" s="1170"/>
      <c r="BD27" s="1170"/>
      <c r="BE27" s="1170"/>
      <c r="BF27" s="1170"/>
      <c r="BG27" s="1170"/>
      <c r="BH27" s="1170"/>
      <c r="BI27" s="1170"/>
      <c r="BJ27" s="1170"/>
      <c r="BK27" s="1170"/>
      <c r="BL27" s="1170"/>
      <c r="BM27" s="1170"/>
      <c r="BN27" s="1170"/>
      <c r="BO27" s="1170"/>
      <c r="BP27" s="1182"/>
      <c r="BQ27" s="1182"/>
      <c r="BR27" s="1170"/>
      <c r="BS27" s="1170"/>
      <c r="BT27" s="1170"/>
      <c r="BU27" s="1170"/>
      <c r="BV27" s="1170"/>
      <c r="BW27" s="1170"/>
      <c r="BX27" s="1170"/>
      <c r="BY27" s="1170"/>
      <c r="BZ27" s="1170"/>
      <c r="CA27" s="1170"/>
      <c r="CB27" s="1170"/>
      <c r="CC27" s="1170"/>
      <c r="CD27" s="1170"/>
      <c r="CE27" s="1170"/>
      <c r="CF27" s="1170"/>
      <c r="CG27" s="1170"/>
      <c r="CH27" s="1170"/>
      <c r="CI27" s="1170"/>
      <c r="CJ27" s="1170"/>
      <c r="CK27" s="1170"/>
      <c r="CL27" s="1170"/>
      <c r="CM27" s="1170"/>
      <c r="CN27" s="1170"/>
      <c r="CO27" s="1170"/>
      <c r="CP27" s="1160"/>
      <c r="CQ27" s="1160"/>
      <c r="CR27" s="1160"/>
      <c r="CS27" s="1160"/>
      <c r="CT27" s="1160"/>
      <c r="CU27" s="1160"/>
      <c r="CV27" s="1160"/>
      <c r="CW27" s="1160"/>
      <c r="CX27" s="1160"/>
      <c r="CY27" s="1160"/>
      <c r="CZ27" s="1171"/>
      <c r="DA27" s="1160"/>
      <c r="DB27" s="1179" t="str">
        <f>HydroRefineryCalcs!K1022</f>
        <v>Blended Gasoline</v>
      </c>
      <c r="DC27" s="1170"/>
      <c r="DD27" s="1170"/>
      <c r="DE27" s="1170"/>
      <c r="DF27" s="1191" t="str">
        <f>DB27</f>
        <v>Blended Gasoline</v>
      </c>
      <c r="DG27" s="1160"/>
      <c r="DH27" s="1160"/>
      <c r="DI27" s="1160"/>
      <c r="DJ27" s="1160"/>
      <c r="DK27" s="1160"/>
      <c r="DL27" s="1160"/>
      <c r="DM27" s="1160"/>
      <c r="DN27" s="1160"/>
      <c r="DO27" s="1160"/>
      <c r="DP27" s="1160"/>
      <c r="DQ27" s="1160"/>
      <c r="DR27" s="1160"/>
      <c r="DS27" s="1160"/>
      <c r="DT27" s="1160"/>
      <c r="DU27" s="1160"/>
      <c r="DV27" s="1160"/>
      <c r="DW27" s="1160"/>
      <c r="DX27" s="1160"/>
      <c r="DY27" s="1160"/>
      <c r="DZ27" s="1160"/>
      <c r="EA27" s="1160"/>
      <c r="EB27" s="1160"/>
      <c r="EC27" s="1160"/>
    </row>
    <row r="28" spans="1:133" ht="15" x14ac:dyDescent="0.25">
      <c r="A28" s="1160"/>
      <c r="B28" s="1147"/>
      <c r="C28" s="1228" t="s">
        <v>1343</v>
      </c>
      <c r="D28" s="1284"/>
      <c r="E28" s="1201" t="b">
        <f>CokingRefineryPFD!$E$51</f>
        <v>0</v>
      </c>
      <c r="F28" s="1107"/>
      <c r="G28" s="1107"/>
      <c r="H28" s="1107"/>
      <c r="I28" s="1107"/>
      <c r="J28" s="1107"/>
      <c r="K28" s="1107"/>
      <c r="L28" s="1150"/>
      <c r="M28" s="1170"/>
      <c r="N28" s="1170"/>
      <c r="O28" s="1170"/>
      <c r="P28" s="1170"/>
      <c r="Q28" s="1170"/>
      <c r="R28" s="1170"/>
      <c r="S28" s="1170"/>
      <c r="T28" s="1170"/>
      <c r="U28" s="1170"/>
      <c r="V28" s="1170"/>
      <c r="W28" s="1170"/>
      <c r="X28" s="1170"/>
      <c r="Y28" s="1170"/>
      <c r="Z28" s="1170"/>
      <c r="AA28" s="1170"/>
      <c r="AB28" s="1170"/>
      <c r="AC28" s="1170"/>
      <c r="AD28" s="1170"/>
      <c r="AE28" s="1170"/>
      <c r="AF28" s="1170"/>
      <c r="AG28" s="1170"/>
      <c r="AH28" s="1170"/>
      <c r="AI28" s="1170"/>
      <c r="AJ28" s="1170"/>
      <c r="AK28" s="1170"/>
      <c r="AL28" s="1170"/>
      <c r="AM28" s="1170"/>
      <c r="AN28" s="1170"/>
      <c r="AO28" s="1170"/>
      <c r="AP28" s="1170"/>
      <c r="AQ28" s="1170"/>
      <c r="AR28" s="1170"/>
      <c r="AS28" s="1170"/>
      <c r="AT28" s="1170"/>
      <c r="AU28" s="1186" t="str">
        <f>CokingRefineryCalcs!C129</f>
        <v>Vol Flow</v>
      </c>
      <c r="AV28" s="1170" t="str">
        <f ca="1">CokingRefineryCalcs!D129</f>
        <v>m^3/d</v>
      </c>
      <c r="AW28" s="1187">
        <f ca="1">AW29*AW32</f>
        <v>4997.1279942443925</v>
      </c>
      <c r="AX28" s="1170"/>
      <c r="AY28" s="1170"/>
      <c r="AZ28" s="1170"/>
      <c r="BA28" s="1170"/>
      <c r="BB28" s="1170"/>
      <c r="BC28" s="1170"/>
      <c r="BD28" s="1170"/>
      <c r="BE28" s="1170"/>
      <c r="BF28" s="1170"/>
      <c r="BG28" s="1170"/>
      <c r="BH28" s="1170"/>
      <c r="BI28" s="1170"/>
      <c r="BJ28" s="1170"/>
      <c r="BK28" s="1170"/>
      <c r="BL28" s="1170"/>
      <c r="BM28" s="1170"/>
      <c r="BN28" s="1170"/>
      <c r="BO28" s="1170"/>
      <c r="BP28" s="1170"/>
      <c r="BQ28" s="1170"/>
      <c r="BR28" s="1170"/>
      <c r="BS28" s="1170"/>
      <c r="BT28" s="1170"/>
      <c r="BU28" s="1170"/>
      <c r="BV28" s="1170"/>
      <c r="BW28" s="1170"/>
      <c r="BX28" s="1170"/>
      <c r="BY28" s="1170"/>
      <c r="BZ28" s="1170"/>
      <c r="CA28" s="1170"/>
      <c r="CB28" s="1170"/>
      <c r="CC28" s="1170"/>
      <c r="CD28" s="1170"/>
      <c r="CE28" s="1170"/>
      <c r="CF28" s="1170"/>
      <c r="CG28" s="1170"/>
      <c r="CH28" s="1170"/>
      <c r="CI28" s="1170"/>
      <c r="CJ28" s="1170"/>
      <c r="CK28" s="1170"/>
      <c r="CL28" s="1170"/>
      <c r="CM28" s="1170"/>
      <c r="CN28" s="1170"/>
      <c r="CO28" s="1170"/>
      <c r="CP28" s="1160"/>
      <c r="CQ28" s="1160"/>
      <c r="CR28" s="1160"/>
      <c r="CS28" s="1160"/>
      <c r="CT28" s="1160"/>
      <c r="CU28" s="1160"/>
      <c r="CV28" s="1160"/>
      <c r="CW28" s="1160"/>
      <c r="CX28" s="1160"/>
      <c r="CY28" s="1160"/>
      <c r="CZ28" s="1171"/>
      <c r="DA28" s="1160"/>
      <c r="DB28" s="1182" t="str">
        <f>HydroRefineryCalcs!C1022</f>
        <v>Property</v>
      </c>
      <c r="DC28" s="1182" t="str">
        <f>HydroRefineryCalcs!D1022</f>
        <v>Units</v>
      </c>
      <c r="DD28" s="1181"/>
      <c r="DE28" s="1181"/>
      <c r="DF28" s="1193" t="s">
        <v>226</v>
      </c>
      <c r="DG28" s="1160"/>
      <c r="DH28" s="1194" t="s">
        <v>522</v>
      </c>
      <c r="DI28" s="1160"/>
      <c r="DJ28" s="1160"/>
      <c r="DK28" s="1160"/>
      <c r="DL28" s="1160"/>
      <c r="DM28" s="1160"/>
      <c r="DN28" s="1160"/>
      <c r="DO28" s="1160"/>
      <c r="DP28" s="1160"/>
      <c r="DQ28" s="1160"/>
      <c r="DR28" s="1160"/>
      <c r="DS28" s="1160"/>
      <c r="DT28" s="1160"/>
      <c r="DU28" s="1160"/>
      <c r="DV28" s="1160"/>
      <c r="DW28" s="1160"/>
      <c r="DX28" s="1160"/>
      <c r="DY28" s="1160"/>
      <c r="DZ28" s="1160"/>
      <c r="EA28" s="1160"/>
      <c r="EB28" s="1160"/>
      <c r="EC28" s="1160"/>
    </row>
    <row r="29" spans="1:133" ht="15" x14ac:dyDescent="0.25">
      <c r="A29" s="1160"/>
      <c r="B29" s="1632"/>
      <c r="C29" s="1228" t="s">
        <v>1854</v>
      </c>
      <c r="D29" s="329"/>
      <c r="E29" s="1201" t="b">
        <f>CokingRefineryPFD!$E$52</f>
        <v>0</v>
      </c>
      <c r="F29" s="329"/>
      <c r="G29" s="329"/>
      <c r="H29" s="329"/>
      <c r="I29" s="329"/>
      <c r="J29" s="329"/>
      <c r="K29" s="329"/>
      <c r="L29" s="1626"/>
      <c r="M29" s="1160"/>
      <c r="N29" s="1170"/>
      <c r="O29" s="1170"/>
      <c r="P29" s="1170"/>
      <c r="Q29" s="1170"/>
      <c r="R29" s="1170"/>
      <c r="S29" s="1170"/>
      <c r="T29" s="1170"/>
      <c r="U29" s="1170"/>
      <c r="V29" s="1170"/>
      <c r="W29" s="1170"/>
      <c r="X29" s="1170"/>
      <c r="Y29" s="1170"/>
      <c r="Z29" s="1170"/>
      <c r="AA29" s="1170"/>
      <c r="AB29" s="1170"/>
      <c r="AC29" s="1170"/>
      <c r="AD29" s="1170"/>
      <c r="AE29" s="1170"/>
      <c r="AF29" s="1170"/>
      <c r="AG29" s="1170"/>
      <c r="AH29" s="1170"/>
      <c r="AI29" s="1170"/>
      <c r="AJ29" s="1170"/>
      <c r="AK29" s="1170"/>
      <c r="AL29" s="1170"/>
      <c r="AM29" s="1170"/>
      <c r="AN29" s="1170"/>
      <c r="AO29" s="1170"/>
      <c r="AP29" s="1170"/>
      <c r="AQ29" s="1170"/>
      <c r="AR29" s="1170"/>
      <c r="AS29" s="1170"/>
      <c r="AT29" s="1170"/>
      <c r="AU29" s="1186" t="str">
        <f>CokingRefineryCalcs!C130</f>
        <v>Mass Flow</v>
      </c>
      <c r="AV29" s="1170" t="str">
        <f>CokingRefineryCalcs!D130</f>
        <v>kg/d</v>
      </c>
      <c r="AW29" s="1187">
        <f ca="1">HydroRefineryCalcs!J119</f>
        <v>4314.1135318237602</v>
      </c>
      <c r="AX29" s="1170"/>
      <c r="AY29" s="1170"/>
      <c r="AZ29" s="1170"/>
      <c r="BA29" s="1170"/>
      <c r="BB29" s="1170"/>
      <c r="BC29" s="1170"/>
      <c r="BD29" s="1170"/>
      <c r="BE29" s="1170"/>
      <c r="BF29" s="1170"/>
      <c r="BG29" s="1170"/>
      <c r="BH29" s="1170"/>
      <c r="BI29" s="1170"/>
      <c r="BJ29" s="1170"/>
      <c r="BK29" s="1170"/>
      <c r="BL29" s="1170"/>
      <c r="BM29" s="1170"/>
      <c r="BN29" s="1170"/>
      <c r="BO29" s="1170"/>
      <c r="BP29" s="1170"/>
      <c r="BQ29" s="1181" t="str">
        <f>HydroRefineryCalcs!C174</f>
        <v>Hydrogen consumption</v>
      </c>
      <c r="BR29" s="1170"/>
      <c r="BS29" s="1170"/>
      <c r="BT29" s="1170"/>
      <c r="BU29" s="1170"/>
      <c r="BV29" s="1170"/>
      <c r="BW29" s="1170"/>
      <c r="BX29" s="1170"/>
      <c r="BY29" s="1170"/>
      <c r="BZ29" s="1170"/>
      <c r="CA29" s="1170"/>
      <c r="CB29" s="1170"/>
      <c r="CC29" s="1170"/>
      <c r="CD29" s="1170"/>
      <c r="CE29" s="1170"/>
      <c r="CF29" s="1170"/>
      <c r="CG29" s="1170"/>
      <c r="CH29" s="1170"/>
      <c r="CI29" s="1170"/>
      <c r="CJ29" s="1170"/>
      <c r="CK29" s="1170"/>
      <c r="CL29" s="1170"/>
      <c r="CM29" s="1170"/>
      <c r="CN29" s="1170"/>
      <c r="CO29" s="1170"/>
      <c r="CP29" s="1160"/>
      <c r="CQ29" s="1160"/>
      <c r="CR29" s="1160"/>
      <c r="CS29" s="1160"/>
      <c r="CT29" s="1160"/>
      <c r="CU29" s="1160"/>
      <c r="CV29" s="1160"/>
      <c r="CW29" s="1170"/>
      <c r="CX29" s="1170"/>
      <c r="CY29" s="1160"/>
      <c r="CZ29" s="1171"/>
      <c r="DA29" s="1160"/>
      <c r="DB29" s="1186" t="str">
        <f>HydroRefineryCalcs!C1023</f>
        <v>Vol Flow</v>
      </c>
      <c r="DC29" s="1170" t="str">
        <f>HydroRefineryCalcs!D1023</f>
        <v>bpd</v>
      </c>
      <c r="DD29" s="1170">
        <f ca="1">HydroRefineryCalcs!K1023</f>
        <v>24206.28733301266</v>
      </c>
      <c r="DE29" s="1170"/>
      <c r="DF29" s="1160" t="s">
        <v>263</v>
      </c>
      <c r="DG29" s="1160"/>
      <c r="DH29" s="1187">
        <f ca="1">(CB10+CB47+IF(reformerFeedstockActive=1,CC172,0)+CU182+CU243+CI102)</f>
        <v>215180180.95489407</v>
      </c>
      <c r="DI29" s="1160"/>
      <c r="DJ29" s="1160"/>
      <c r="DK29" s="1160"/>
      <c r="DL29" s="1160"/>
      <c r="DM29" s="1160"/>
      <c r="DN29" s="1160"/>
      <c r="DO29" s="1160"/>
      <c r="DP29" s="1160"/>
      <c r="DQ29" s="1160"/>
      <c r="DR29" s="1160"/>
      <c r="DS29" s="1160"/>
      <c r="DT29" s="1160"/>
      <c r="DU29" s="1160"/>
      <c r="DV29" s="1160"/>
      <c r="DW29" s="1160"/>
      <c r="DX29" s="1160"/>
      <c r="DY29" s="1160"/>
      <c r="DZ29" s="1160"/>
      <c r="EA29" s="1160"/>
      <c r="EB29" s="1160"/>
      <c r="EC29" s="1160"/>
    </row>
    <row r="30" spans="1:133" ht="15" x14ac:dyDescent="0.25">
      <c r="A30" s="1160"/>
      <c r="B30" s="1632"/>
      <c r="C30" s="1228" t="s">
        <v>1886</v>
      </c>
      <c r="D30" s="329"/>
      <c r="E30" s="1201" t="b">
        <f>CokingRefineryPFD!$E$53</f>
        <v>0</v>
      </c>
      <c r="F30" s="329"/>
      <c r="G30" s="329"/>
      <c r="H30" s="329"/>
      <c r="I30" s="329"/>
      <c r="J30" s="329"/>
      <c r="K30" s="329"/>
      <c r="L30" s="1626"/>
      <c r="M30" s="1160"/>
      <c r="N30" s="1170"/>
      <c r="O30" s="1170"/>
      <c r="P30" s="1170"/>
      <c r="Q30" s="1170"/>
      <c r="R30" s="1170"/>
      <c r="S30" s="1170"/>
      <c r="T30" s="1170"/>
      <c r="U30" s="1170"/>
      <c r="V30" s="1170"/>
      <c r="W30" s="1170"/>
      <c r="X30" s="1170"/>
      <c r="Y30" s="1170"/>
      <c r="Z30" s="1170"/>
      <c r="AA30" s="1170"/>
      <c r="AB30" s="1170"/>
      <c r="AC30" s="1170"/>
      <c r="AD30" s="1170"/>
      <c r="AE30" s="1170"/>
      <c r="AF30" s="1170"/>
      <c r="AG30" s="1170"/>
      <c r="AH30" s="1170"/>
      <c r="AI30" s="1170"/>
      <c r="AJ30" s="1170"/>
      <c r="AK30" s="1170"/>
      <c r="AL30" s="1170"/>
      <c r="AM30" s="1170"/>
      <c r="AN30" s="1170"/>
      <c r="AO30" s="1170"/>
      <c r="AP30" s="1170"/>
      <c r="AQ30" s="1170"/>
      <c r="AR30" s="1170"/>
      <c r="AS30" s="1170"/>
      <c r="AT30" s="1170"/>
      <c r="AU30" s="1186" t="str">
        <f>CokingRefineryCalcs!C131</f>
        <v xml:space="preserve">Sulphur </v>
      </c>
      <c r="AV30" s="1170" t="str">
        <f ca="1">CokingRefineryCalcs!D131</f>
        <v>wt%</v>
      </c>
      <c r="AW30" s="1187">
        <f ca="1">HydroRefineryCalcs!J120</f>
        <v>0</v>
      </c>
      <c r="AX30" s="1170"/>
      <c r="AY30" s="1170"/>
      <c r="AZ30" s="1170"/>
      <c r="BA30" s="1170"/>
      <c r="BB30" s="1170"/>
      <c r="BC30" s="1170"/>
      <c r="BD30" s="1170"/>
      <c r="BE30" s="1170"/>
      <c r="BF30" s="1170"/>
      <c r="BG30" s="1170"/>
      <c r="BH30" s="1170"/>
      <c r="BI30" s="1170"/>
      <c r="BJ30" s="1170"/>
      <c r="BK30" s="1170"/>
      <c r="BL30" s="1170"/>
      <c r="BM30" s="1170"/>
      <c r="BN30" s="1181" t="str">
        <f>HydroRefineryCalcs!H187</f>
        <v>Reformer Fuel Gas</v>
      </c>
      <c r="BO30" s="1170"/>
      <c r="BP30" s="1170"/>
      <c r="BQ30" s="1170"/>
      <c r="BR30" s="1170" t="str">
        <f>HydroRefineryCalcs!E174</f>
        <v>kg/d</v>
      </c>
      <c r="BS30" s="1187">
        <f ca="1">HydroRefineryCalcs!D174</f>
        <v>11845.956751652135</v>
      </c>
      <c r="BT30" s="1170"/>
      <c r="BU30" s="1170"/>
      <c r="BV30" s="1170"/>
      <c r="BW30" s="1170"/>
      <c r="BX30" s="1170"/>
      <c r="BY30" s="1170"/>
      <c r="BZ30" s="1170"/>
      <c r="CA30" s="1170"/>
      <c r="CB30" s="1170"/>
      <c r="CC30" s="1170"/>
      <c r="CD30" s="1170"/>
      <c r="CE30" s="1170"/>
      <c r="CF30" s="1170"/>
      <c r="CG30" s="1170"/>
      <c r="CH30" s="1170"/>
      <c r="CI30" s="1170"/>
      <c r="CJ30" s="1170"/>
      <c r="CK30" s="1170"/>
      <c r="CL30" s="1170"/>
      <c r="CM30" s="1170"/>
      <c r="CN30" s="1170"/>
      <c r="CO30" s="1170"/>
      <c r="CP30" s="1160"/>
      <c r="CQ30" s="1160"/>
      <c r="CR30" s="1160"/>
      <c r="CS30" s="1160"/>
      <c r="CT30" s="1160"/>
      <c r="CU30" s="1160"/>
      <c r="CV30" s="1160"/>
      <c r="CW30" s="1170"/>
      <c r="CX30" s="1170"/>
      <c r="CY30" s="1160"/>
      <c r="CZ30" s="1171"/>
      <c r="DA30" s="1160"/>
      <c r="DB30" s="1186" t="str">
        <f>HydroRefineryCalcs!C1024</f>
        <v>Vol Flow</v>
      </c>
      <c r="DC30" s="1170" t="str">
        <f>HydroRefineryCalcs!D1024</f>
        <v>m^3/d</v>
      </c>
      <c r="DD30" s="1170">
        <f ca="1">HydroRefineryCalcs!K1024</f>
        <v>3848.4922660998836</v>
      </c>
      <c r="DE30" s="1170"/>
      <c r="DF30" s="1160" t="s">
        <v>392</v>
      </c>
      <c r="DG30" s="1160"/>
      <c r="DH30" s="1187">
        <f ca="1">(CB11+CB48+IF(reformerFeedstockActive=1,CC173,0)+CU183+CU244+CI103)</f>
        <v>606749.01688042691</v>
      </c>
      <c r="DI30" s="1160"/>
      <c r="DJ30" s="1160"/>
      <c r="DK30" s="1160"/>
      <c r="DL30" s="1160"/>
      <c r="DM30" s="1160"/>
      <c r="DN30" s="1160"/>
      <c r="DO30" s="1160"/>
      <c r="DP30" s="1160"/>
      <c r="DQ30" s="1160"/>
      <c r="DR30" s="1160"/>
      <c r="DS30" s="1160"/>
      <c r="DT30" s="1160"/>
      <c r="DU30" s="1160"/>
      <c r="DV30" s="1160"/>
      <c r="DW30" s="1160"/>
      <c r="DX30" s="1160"/>
      <c r="DY30" s="1160"/>
      <c r="DZ30" s="1160"/>
      <c r="EA30" s="1160"/>
      <c r="EB30" s="1160"/>
      <c r="EC30" s="1160"/>
    </row>
    <row r="31" spans="1:133" ht="15" x14ac:dyDescent="0.25">
      <c r="A31" s="1160"/>
      <c r="B31" s="1632"/>
      <c r="C31" s="1228" t="s">
        <v>1909</v>
      </c>
      <c r="D31" s="329"/>
      <c r="E31" s="1201" t="b">
        <f>CokingRefineryPFD!$E$54</f>
        <v>0</v>
      </c>
      <c r="F31" s="329"/>
      <c r="G31" s="329"/>
      <c r="H31" s="329"/>
      <c r="I31" s="329"/>
      <c r="J31" s="329"/>
      <c r="K31" s="329"/>
      <c r="L31" s="1626"/>
      <c r="M31" s="1160"/>
      <c r="N31" s="1170"/>
      <c r="O31" s="1170"/>
      <c r="P31" s="1170"/>
      <c r="Q31" s="1170"/>
      <c r="R31" s="1170"/>
      <c r="S31" s="1170"/>
      <c r="T31" s="1170"/>
      <c r="U31" s="1170"/>
      <c r="V31" s="1170"/>
      <c r="W31" s="1170"/>
      <c r="X31" s="1170"/>
      <c r="Y31" s="1170"/>
      <c r="Z31" s="1170"/>
      <c r="AA31" s="1170"/>
      <c r="AB31" s="1170"/>
      <c r="AC31" s="1170"/>
      <c r="AD31" s="1170"/>
      <c r="AE31" s="1170"/>
      <c r="AF31" s="1170"/>
      <c r="AG31" s="1170"/>
      <c r="AH31" s="1170"/>
      <c r="AI31" s="1170"/>
      <c r="AJ31" s="1170"/>
      <c r="AK31" s="1170"/>
      <c r="AL31" s="1170"/>
      <c r="AM31" s="1170"/>
      <c r="AN31" s="1170"/>
      <c r="AO31" s="1170"/>
      <c r="AP31" s="1170"/>
      <c r="AQ31" s="1170"/>
      <c r="AR31" s="1170"/>
      <c r="AS31" s="1170"/>
      <c r="AT31" s="1170"/>
      <c r="AU31" s="1186" t="str">
        <f>CokingRefineryCalcs!C133</f>
        <v xml:space="preserve">API gravity </v>
      </c>
      <c r="AV31" s="1170"/>
      <c r="AW31" s="1187">
        <f>HydroRefineryCalcs!J122</f>
        <v>0</v>
      </c>
      <c r="AX31" s="1170"/>
      <c r="AY31" s="1170"/>
      <c r="AZ31" s="1170"/>
      <c r="BA31" s="1170"/>
      <c r="BB31" s="1170"/>
      <c r="BC31" s="1170"/>
      <c r="BD31" s="1170"/>
      <c r="BE31" s="1170"/>
      <c r="BF31" s="1170"/>
      <c r="BG31" s="1170"/>
      <c r="BH31" s="1196"/>
      <c r="BI31" s="1170"/>
      <c r="BJ31" s="1170"/>
      <c r="BK31" s="1170"/>
      <c r="BL31" s="1170"/>
      <c r="BM31" s="1170"/>
      <c r="BN31" s="1182" t="str">
        <f>HydroRefineryCalcs!C187</f>
        <v>Property</v>
      </c>
      <c r="BO31" s="1182" t="str">
        <f>HydroRefineryCalcs!D187</f>
        <v>Units</v>
      </c>
      <c r="BP31" s="1170"/>
      <c r="BQ31" s="1170"/>
      <c r="BR31" s="1170"/>
      <c r="BS31" s="1170"/>
      <c r="BT31" s="1170"/>
      <c r="BU31" s="1170"/>
      <c r="BV31" s="1170"/>
      <c r="BW31" s="1170"/>
      <c r="BX31" s="1170"/>
      <c r="BY31" s="1170"/>
      <c r="BZ31" s="1170"/>
      <c r="CA31" s="1170"/>
      <c r="CB31" s="1170"/>
      <c r="CC31" s="1170"/>
      <c r="CD31" s="1170"/>
      <c r="CE31" s="1170"/>
      <c r="CF31" s="1170"/>
      <c r="CG31" s="1170"/>
      <c r="CH31" s="1170"/>
      <c r="CI31" s="1170"/>
      <c r="CJ31" s="1170"/>
      <c r="CK31" s="1170"/>
      <c r="CL31" s="1170"/>
      <c r="CM31" s="1170"/>
      <c r="CN31" s="1170"/>
      <c r="CO31" s="1170"/>
      <c r="CP31" s="1160"/>
      <c r="CQ31" s="1160"/>
      <c r="CR31" s="1160"/>
      <c r="CS31" s="1160"/>
      <c r="CT31" s="1160"/>
      <c r="CU31" s="1160"/>
      <c r="CV31" s="1160"/>
      <c r="CW31" s="1170"/>
      <c r="CX31" s="1170"/>
      <c r="CY31" s="1160"/>
      <c r="CZ31" s="1171"/>
      <c r="DA31" s="1160"/>
      <c r="DB31" s="1186" t="str">
        <f>HydroRefineryCalcs!C1025</f>
        <v>Mass Flow</v>
      </c>
      <c r="DC31" s="1170" t="str">
        <f>HydroRefineryCalcs!D1025</f>
        <v>kg/d</v>
      </c>
      <c r="DD31" s="1170">
        <f ca="1">HydroRefineryCalcs!K1025</f>
        <v>2767088.6286352449</v>
      </c>
      <c r="DE31" s="1170"/>
      <c r="DF31" s="1160" t="s">
        <v>224</v>
      </c>
      <c r="DG31" s="1160"/>
      <c r="DH31" s="1187">
        <f ca="1">(CB12+CB49++IF(reformerFeedstockActive=1,CC174,0)+CU184+CU245+CI104)</f>
        <v>12341896.845410015</v>
      </c>
      <c r="DI31" s="1160"/>
      <c r="DJ31" s="1160"/>
      <c r="DK31" s="1160"/>
      <c r="DL31" s="1160"/>
      <c r="DM31" s="1160"/>
      <c r="DN31" s="1160"/>
      <c r="DO31" s="1160"/>
      <c r="DP31" s="1160"/>
      <c r="DQ31" s="1160"/>
      <c r="DR31" s="1160"/>
      <c r="DS31" s="1160"/>
      <c r="DT31" s="1160"/>
      <c r="DU31" s="1160"/>
      <c r="DV31" s="1160"/>
      <c r="DW31" s="1160"/>
      <c r="DX31" s="1160"/>
      <c r="DY31" s="1160"/>
      <c r="DZ31" s="1160"/>
      <c r="EA31" s="1160"/>
      <c r="EB31" s="1160"/>
      <c r="EC31" s="1160"/>
    </row>
    <row r="32" spans="1:133" ht="15" x14ac:dyDescent="0.25">
      <c r="A32" s="1160"/>
      <c r="B32" s="2069"/>
      <c r="C32" s="1228" t="s">
        <v>1486</v>
      </c>
      <c r="D32" s="1583"/>
      <c r="E32" s="1201" t="b">
        <f>CokingRefineryPFD!$E$55</f>
        <v>0</v>
      </c>
      <c r="F32" s="329"/>
      <c r="G32" s="329"/>
      <c r="H32" s="329"/>
      <c r="I32" s="329"/>
      <c r="J32" s="329"/>
      <c r="K32" s="329"/>
      <c r="L32" s="1626"/>
      <c r="M32" s="1160"/>
      <c r="N32" s="1170"/>
      <c r="O32" s="1170"/>
      <c r="P32" s="1170"/>
      <c r="Q32" s="1170"/>
      <c r="R32" s="1170"/>
      <c r="S32" s="1170"/>
      <c r="T32" s="1170"/>
      <c r="U32" s="1170"/>
      <c r="V32" s="1170"/>
      <c r="W32" s="1170"/>
      <c r="X32" s="1170"/>
      <c r="Y32" s="1170"/>
      <c r="Z32" s="1170"/>
      <c r="AA32" s="1170"/>
      <c r="AB32" s="1170"/>
      <c r="AC32" s="1170"/>
      <c r="AD32" s="1170"/>
      <c r="AE32" s="1170"/>
      <c r="AF32" s="1170"/>
      <c r="AG32" s="1170"/>
      <c r="AH32" s="1170"/>
      <c r="AI32" s="1170"/>
      <c r="AJ32" s="1170"/>
      <c r="AK32" s="1170"/>
      <c r="AL32" s="1170"/>
      <c r="AM32" s="1170"/>
      <c r="AN32" s="1170"/>
      <c r="AO32" s="1170"/>
      <c r="AP32" s="1170"/>
      <c r="AQ32" s="1170"/>
      <c r="AR32" s="1170"/>
      <c r="AS32" s="1170"/>
      <c r="AT32" s="1170"/>
      <c r="AU32" s="1186" t="str">
        <f>CokingRefineryCalcs!C134</f>
        <v>Density</v>
      </c>
      <c r="AV32" s="1170" t="str">
        <f ca="1">CokingRefineryCalcs!D134</f>
        <v>kg/m^3</v>
      </c>
      <c r="AW32" s="1170">
        <f>'Energy &amp; Unit Conversions'!$E$27/'Energy &amp; Unit Conversions'!$E$93/'Energy &amp; Unit Conversions'!$G$81</f>
        <v>1.1583209290581402</v>
      </c>
      <c r="AX32" s="1170"/>
      <c r="AY32" s="1170"/>
      <c r="AZ32" s="1170"/>
      <c r="BA32" s="1170"/>
      <c r="BB32" s="1170"/>
      <c r="BC32" s="1170"/>
      <c r="BD32" s="1170"/>
      <c r="BE32" s="1170"/>
      <c r="BF32" s="1170"/>
      <c r="BG32" s="1170"/>
      <c r="BH32" s="1170"/>
      <c r="BI32" s="1170"/>
      <c r="BJ32" s="1170"/>
      <c r="BK32" s="1170"/>
      <c r="BL32" s="1170"/>
      <c r="BM32" s="1170"/>
      <c r="BN32" s="1186" t="str">
        <f>HydroRefineryCalcs!C188</f>
        <v>Vol Flow</v>
      </c>
      <c r="BO32" s="1170" t="str">
        <f>HydroRefineryCalcs!D188</f>
        <v>bpd</v>
      </c>
      <c r="BP32" s="1187">
        <f ca="1">BP33/'Energy &amp; Unit Conversions'!$G$80</f>
        <v>1595654.5657455993</v>
      </c>
      <c r="BQ32" s="1170"/>
      <c r="BR32" s="1170"/>
      <c r="BS32" s="1170"/>
      <c r="BT32" s="1170"/>
      <c r="BU32" s="1170"/>
      <c r="BV32" s="1170"/>
      <c r="BW32" s="1170"/>
      <c r="BX32" s="1170"/>
      <c r="BY32" s="1170"/>
      <c r="BZ32" s="1170"/>
      <c r="CA32" s="1170"/>
      <c r="CB32" s="1170"/>
      <c r="CC32" s="1170"/>
      <c r="CD32" s="1170"/>
      <c r="CE32" s="1170"/>
      <c r="CF32" s="1170"/>
      <c r="CG32" s="1170"/>
      <c r="CH32" s="1170"/>
      <c r="CI32" s="1170"/>
      <c r="CJ32" s="1170"/>
      <c r="CK32" s="1170"/>
      <c r="CL32" s="1170"/>
      <c r="CM32" s="1170"/>
      <c r="CN32" s="1170"/>
      <c r="CO32" s="1170"/>
      <c r="CP32" s="1160"/>
      <c r="CQ32" s="1160"/>
      <c r="CR32" s="1160"/>
      <c r="CS32" s="1160"/>
      <c r="CT32" s="1160"/>
      <c r="CU32" s="1160"/>
      <c r="CV32" s="1160"/>
      <c r="CW32" s="1170"/>
      <c r="CX32" s="1170"/>
      <c r="CY32" s="1160"/>
      <c r="CZ32" s="1171"/>
      <c r="DA32" s="1160"/>
      <c r="DB32" s="1186" t="str">
        <f>HydroRefineryCalcs!C1026</f>
        <v>S</v>
      </c>
      <c r="DC32" s="1170" t="str">
        <f>HydroRefineryCalcs!D1026</f>
        <v>wt%</v>
      </c>
      <c r="DD32" s="1170">
        <f ca="1">HydroRefineryCalcs!K1026</f>
        <v>0</v>
      </c>
      <c r="DE32" s="1170"/>
      <c r="DF32" s="1160" t="s">
        <v>485</v>
      </c>
      <c r="DG32" s="1160"/>
      <c r="DH32" s="1187">
        <f ca="1">(CB13+CB50++IF(reformerFeedstockActive=1,CC175,0)+CU185+CU246+CI105)</f>
        <v>1350048.1566903843</v>
      </c>
      <c r="DI32" s="1160"/>
      <c r="DJ32" s="1160"/>
      <c r="DK32" s="1160"/>
      <c r="DL32" s="1160"/>
      <c r="DM32" s="1160"/>
      <c r="DN32" s="1160"/>
      <c r="DO32" s="1160"/>
      <c r="DP32" s="1160"/>
      <c r="DQ32" s="1160"/>
      <c r="DR32" s="1160"/>
      <c r="DS32" s="1160"/>
      <c r="DT32" s="1160"/>
      <c r="DU32" s="1160"/>
      <c r="DV32" s="1160"/>
      <c r="DW32" s="1160"/>
      <c r="DX32" s="1160"/>
      <c r="DY32" s="1160"/>
      <c r="DZ32" s="1160"/>
      <c r="EA32" s="1160"/>
      <c r="EB32" s="1160"/>
      <c r="EC32" s="1160"/>
    </row>
    <row r="33" spans="1:133" x14ac:dyDescent="0.2">
      <c r="A33" s="1160"/>
      <c r="B33" s="1147"/>
      <c r="C33" s="1102"/>
      <c r="D33" s="1102"/>
      <c r="E33" s="1107"/>
      <c r="F33" s="1107"/>
      <c r="G33" s="1107"/>
      <c r="H33" s="1107"/>
      <c r="I33" s="1107"/>
      <c r="J33" s="1107"/>
      <c r="K33" s="1107"/>
      <c r="L33" s="1150"/>
      <c r="M33" s="1160"/>
      <c r="N33" s="1170"/>
      <c r="O33" s="1170"/>
      <c r="P33" s="1170"/>
      <c r="Q33" s="1170"/>
      <c r="R33" s="1170"/>
      <c r="S33" s="1170"/>
      <c r="T33" s="1170"/>
      <c r="U33" s="1170"/>
      <c r="V33" s="1170"/>
      <c r="W33" s="1170"/>
      <c r="X33" s="1170"/>
      <c r="Y33" s="1170"/>
      <c r="Z33" s="1170"/>
      <c r="AA33" s="1170"/>
      <c r="AB33" s="1170"/>
      <c r="AC33" s="1170"/>
      <c r="AD33" s="1170"/>
      <c r="AE33" s="1170"/>
      <c r="AF33" s="1170"/>
      <c r="AG33" s="1170"/>
      <c r="AH33" s="1170"/>
      <c r="AI33" s="1170"/>
      <c r="AJ33" s="1170"/>
      <c r="AK33" s="1170"/>
      <c r="AL33" s="1170"/>
      <c r="AM33" s="1170"/>
      <c r="AN33" s="1170"/>
      <c r="AO33" s="1170"/>
      <c r="AP33" s="1170"/>
      <c r="AQ33" s="1170"/>
      <c r="AR33" s="1170"/>
      <c r="AS33" s="1170"/>
      <c r="AT33" s="1170"/>
      <c r="AU33" s="1186" t="str">
        <f>CokingRefineryCalcs!C135</f>
        <v>Hydrogen</v>
      </c>
      <c r="AV33" s="1170" t="str">
        <f ca="1">CokingRefineryCalcs!D135</f>
        <v>wt%</v>
      </c>
      <c r="AW33" s="1187">
        <f ca="1">HydroRefineryCalcs!J124</f>
        <v>18.364315923905643</v>
      </c>
      <c r="AX33" s="1170"/>
      <c r="AY33" s="1170"/>
      <c r="AZ33" s="1170"/>
      <c r="BA33" s="1170"/>
      <c r="BB33" s="1170"/>
      <c r="BC33" s="1170"/>
      <c r="BD33" s="1170"/>
      <c r="BE33" s="1170"/>
      <c r="BF33" s="1170"/>
      <c r="BG33" s="1170"/>
      <c r="BH33" s="1170"/>
      <c r="BI33" s="1170"/>
      <c r="BJ33" s="1170"/>
      <c r="BK33" s="1170"/>
      <c r="BL33" s="1170"/>
      <c r="BM33" s="1170"/>
      <c r="BN33" s="1186" t="str">
        <f>HydroRefineryCalcs!C189</f>
        <v>Vol Flow</v>
      </c>
      <c r="BO33" s="1170" t="str">
        <f>HydroRefineryCalcs!D189</f>
        <v>m^3/d</v>
      </c>
      <c r="BP33" s="1187">
        <f ca="1">BP34*BP37</f>
        <v>253688.81114056532</v>
      </c>
      <c r="BQ33" s="1170"/>
      <c r="BR33" s="1170"/>
      <c r="BS33" s="1170"/>
      <c r="BT33" s="1170"/>
      <c r="BU33" s="1170"/>
      <c r="BV33" s="1170"/>
      <c r="BW33" s="1170"/>
      <c r="BX33" s="1170"/>
      <c r="BY33" s="1170"/>
      <c r="BZ33" s="1170"/>
      <c r="CA33" s="1170"/>
      <c r="CB33" s="1170"/>
      <c r="CC33" s="1170"/>
      <c r="CD33" s="1170"/>
      <c r="CE33" s="1170"/>
      <c r="CF33" s="1170"/>
      <c r="CG33" s="1170"/>
      <c r="CH33" s="1170"/>
      <c r="CI33" s="1170"/>
      <c r="CJ33" s="1170"/>
      <c r="CK33" s="1170"/>
      <c r="CL33" s="1170"/>
      <c r="CM33" s="1170"/>
      <c r="CN33" s="1170"/>
      <c r="CO33" s="1170"/>
      <c r="CP33" s="1160"/>
      <c r="CQ33" s="1160"/>
      <c r="CR33" s="1160"/>
      <c r="CS33" s="1160"/>
      <c r="CT33" s="1160"/>
      <c r="CU33" s="1160"/>
      <c r="CV33" s="1160"/>
      <c r="CW33" s="1170"/>
      <c r="CX33" s="1170"/>
      <c r="CY33" s="1160"/>
      <c r="CZ33" s="1171"/>
      <c r="DA33" s="1160"/>
      <c r="DB33" s="1186" t="str">
        <f>HydroRefineryCalcs!C1028</f>
        <v>API</v>
      </c>
      <c r="DC33" s="1170"/>
      <c r="DD33" s="1170">
        <f ca="1">HydroRefineryCalcs!K1028</f>
        <v>65.299498945473488</v>
      </c>
      <c r="DE33" s="1170"/>
      <c r="DF33" s="1160" t="s">
        <v>541</v>
      </c>
      <c r="DG33" s="1160"/>
      <c r="DH33" s="1187">
        <f ca="1">(CB14+CB51++IF(reformerFeedstockActive=1,CC176,0)+CU186+CU247+CI106)</f>
        <v>6675596.1621006178</v>
      </c>
      <c r="DI33" s="1160"/>
      <c r="DJ33" s="1160"/>
      <c r="DK33" s="1160"/>
      <c r="DL33" s="1160"/>
      <c r="DM33" s="1160"/>
      <c r="DN33" s="1160"/>
      <c r="DO33" s="1160"/>
      <c r="DP33" s="1160"/>
      <c r="DQ33" s="1160"/>
      <c r="DR33" s="1160"/>
      <c r="DS33" s="1160"/>
      <c r="DT33" s="1160"/>
      <c r="DU33" s="1160"/>
      <c r="DV33" s="1160"/>
      <c r="DW33" s="1160"/>
      <c r="DX33" s="1160"/>
      <c r="DY33" s="1160"/>
      <c r="DZ33" s="1160"/>
      <c r="EA33" s="1160"/>
      <c r="EB33" s="1160"/>
      <c r="EC33" s="1160"/>
    </row>
    <row r="34" spans="1:133" ht="14.1" customHeight="1" x14ac:dyDescent="0.2">
      <c r="A34" s="1160"/>
      <c r="B34" s="1147"/>
      <c r="C34" s="1102" t="s">
        <v>227</v>
      </c>
      <c r="D34" s="1102" t="s">
        <v>49</v>
      </c>
      <c r="E34" s="1107"/>
      <c r="F34" s="1107"/>
      <c r="G34" s="1107"/>
      <c r="H34" s="1107"/>
      <c r="I34" s="1107"/>
      <c r="J34" s="1107"/>
      <c r="K34" s="1107"/>
      <c r="L34" s="1150"/>
      <c r="M34" s="1160"/>
      <c r="N34" s="1170"/>
      <c r="O34" s="1170"/>
      <c r="P34" s="1170"/>
      <c r="Q34" s="1170"/>
      <c r="R34" s="1170"/>
      <c r="S34" s="1170"/>
      <c r="T34" s="1170"/>
      <c r="U34" s="1170"/>
      <c r="V34" s="1170"/>
      <c r="W34" s="1170"/>
      <c r="X34" s="1170"/>
      <c r="Y34" s="1170"/>
      <c r="Z34" s="1170"/>
      <c r="AA34" s="1170"/>
      <c r="AB34" s="1170"/>
      <c r="AC34" s="1170"/>
      <c r="AD34" s="1170"/>
      <c r="AE34" s="1170"/>
      <c r="AF34" s="1170"/>
      <c r="AG34" s="1170"/>
      <c r="AH34" s="1170"/>
      <c r="AI34" s="1170"/>
      <c r="AJ34" s="1170"/>
      <c r="AK34" s="1170"/>
      <c r="AL34" s="1170"/>
      <c r="AM34" s="1170"/>
      <c r="AN34" s="1170"/>
      <c r="AO34" s="1170"/>
      <c r="AP34" s="1170"/>
      <c r="AQ34" s="1170"/>
      <c r="AR34" s="1170"/>
      <c r="AS34" s="1170"/>
      <c r="AT34" s="1170"/>
      <c r="AU34" s="1186"/>
      <c r="AV34" s="1170"/>
      <c r="AW34" s="1187"/>
      <c r="AX34" s="1170"/>
      <c r="AY34" s="1170"/>
      <c r="AZ34" s="1170"/>
      <c r="BA34" s="1170"/>
      <c r="BB34" s="1170"/>
      <c r="BC34" s="1170"/>
      <c r="BD34" s="1170"/>
      <c r="BE34" s="1181" t="str">
        <f>HydroRefineryCalcs!H116</f>
        <v>Hydrotreated Naphtha</v>
      </c>
      <c r="BF34" s="1170"/>
      <c r="BG34" s="1170"/>
      <c r="BH34" s="1170"/>
      <c r="BI34" s="1180" t="str">
        <f>BE34</f>
        <v>Hydrotreated Naphtha</v>
      </c>
      <c r="BJ34" s="1180"/>
      <c r="BK34" s="1170"/>
      <c r="BL34" s="1170"/>
      <c r="BM34" s="1170"/>
      <c r="BN34" s="1186" t="str">
        <f>HydroRefineryCalcs!C190</f>
        <v>Mass Flow</v>
      </c>
      <c r="BO34" s="1170" t="str">
        <f>HydroRefineryCalcs!D190</f>
        <v>kg/d</v>
      </c>
      <c r="BP34" s="1170">
        <f ca="1">HydroRefineryCalcs!H190</f>
        <v>219014.26865078407</v>
      </c>
      <c r="BQ34" s="1170"/>
      <c r="BR34" s="1170"/>
      <c r="BS34" s="1170"/>
      <c r="BT34" s="1170"/>
      <c r="BU34" s="1170"/>
      <c r="BV34" s="1170"/>
      <c r="BW34" s="1170"/>
      <c r="BX34" s="1170"/>
      <c r="BY34" s="1170"/>
      <c r="BZ34" s="1170"/>
      <c r="CA34" s="1170"/>
      <c r="CB34" s="1170"/>
      <c r="CC34" s="1170"/>
      <c r="CD34" s="1170"/>
      <c r="CE34" s="1170"/>
      <c r="CF34" s="1170"/>
      <c r="CG34" s="1170"/>
      <c r="CH34" s="1170"/>
      <c r="CI34" s="1170"/>
      <c r="CJ34" s="1170"/>
      <c r="CK34" s="1170"/>
      <c r="CL34" s="1170"/>
      <c r="CM34" s="1170"/>
      <c r="CN34" s="1170"/>
      <c r="CO34" s="1170"/>
      <c r="CP34" s="1160"/>
      <c r="CQ34" s="1160"/>
      <c r="CR34" s="1160"/>
      <c r="CS34" s="1160"/>
      <c r="CT34" s="1160"/>
      <c r="CU34" s="1160"/>
      <c r="CV34" s="1160"/>
      <c r="CW34" s="1160"/>
      <c r="CX34" s="1170"/>
      <c r="CY34" s="1160"/>
      <c r="CZ34" s="1171"/>
      <c r="DA34" s="1160"/>
      <c r="DB34" s="1186" t="str">
        <f>HydroRefineryCalcs!C1029</f>
        <v>Density</v>
      </c>
      <c r="DC34" s="1170" t="str">
        <f>HydroRefineryCalcs!D1029</f>
        <v>kg/m^3</v>
      </c>
      <c r="DD34" s="1170">
        <f ca="1">HydroRefineryCalcs!K1029</f>
        <v>719.0058956359685</v>
      </c>
      <c r="DE34" s="1170"/>
      <c r="DF34" s="1160" t="str">
        <f>CS248</f>
        <v>Catalyst Coke</v>
      </c>
      <c r="DG34" s="1160"/>
      <c r="DH34" s="1187">
        <f ca="1">(CU187+CU248)</f>
        <v>2.9032176520588026E-14</v>
      </c>
      <c r="DI34" s="1160"/>
      <c r="DJ34" s="1160"/>
      <c r="DK34" s="1160"/>
      <c r="DL34" s="1160"/>
      <c r="DM34" s="1160"/>
      <c r="DN34" s="1160"/>
      <c r="DO34" s="1160"/>
      <c r="DP34" s="1160"/>
      <c r="DQ34" s="1160"/>
      <c r="DR34" s="1160"/>
      <c r="DS34" s="1160"/>
      <c r="DT34" s="1160"/>
      <c r="DU34" s="1160"/>
      <c r="DV34" s="1160"/>
      <c r="DW34" s="1160"/>
      <c r="DX34" s="1160"/>
      <c r="DY34" s="1160"/>
      <c r="DZ34" s="1160"/>
      <c r="EA34" s="1160"/>
      <c r="EB34" s="1160"/>
      <c r="EC34" s="1160"/>
    </row>
    <row r="35" spans="1:133" x14ac:dyDescent="0.2">
      <c r="A35" s="1160"/>
      <c r="B35" s="1147"/>
      <c r="C35" s="1102" t="s">
        <v>48</v>
      </c>
      <c r="D35" s="1102" t="s">
        <v>52</v>
      </c>
      <c r="E35" s="1107"/>
      <c r="F35" s="1107"/>
      <c r="G35" s="1107"/>
      <c r="H35" s="1107"/>
      <c r="I35" s="1107"/>
      <c r="J35" s="1107"/>
      <c r="K35" s="1107"/>
      <c r="L35" s="1150"/>
      <c r="M35" s="1160"/>
      <c r="N35" s="1170"/>
      <c r="O35" s="1170"/>
      <c r="P35" s="1170"/>
      <c r="Q35" s="1170"/>
      <c r="R35" s="1170"/>
      <c r="S35" s="1170"/>
      <c r="T35" s="1170"/>
      <c r="U35" s="1170"/>
      <c r="V35" s="1170"/>
      <c r="W35" s="1170"/>
      <c r="X35" s="1170"/>
      <c r="Y35" s="1170"/>
      <c r="Z35" s="1170"/>
      <c r="AA35" s="1170"/>
      <c r="AB35" s="1170"/>
      <c r="AC35" s="1170"/>
      <c r="AD35" s="1170"/>
      <c r="AE35" s="1170"/>
      <c r="AF35" s="1170"/>
      <c r="AG35" s="1170"/>
      <c r="AH35" s="1170"/>
      <c r="AI35" s="1170"/>
      <c r="AJ35" s="1170"/>
      <c r="AK35" s="1170"/>
      <c r="AL35" s="1170"/>
      <c r="AM35" s="1170"/>
      <c r="AN35" s="1170"/>
      <c r="AO35" s="1170"/>
      <c r="AP35" s="1170"/>
      <c r="AQ35" s="1170"/>
      <c r="AR35" s="1170"/>
      <c r="AS35" s="1170"/>
      <c r="AT35" s="1170"/>
      <c r="AU35" s="1186" t="s">
        <v>1698</v>
      </c>
      <c r="AV35" s="1199" t="s">
        <v>447</v>
      </c>
      <c r="AW35" s="1252">
        <f>'Energy &amp; Unit Conversions'!$Q$27</f>
        <v>46.898519302437805</v>
      </c>
      <c r="AX35" s="1170"/>
      <c r="AY35" s="1170"/>
      <c r="AZ35" s="1170"/>
      <c r="BA35" s="1170"/>
      <c r="BB35" s="1170"/>
      <c r="BC35" s="1170"/>
      <c r="BD35" s="1170"/>
      <c r="BE35" s="1182" t="str">
        <f>HydroRefineryCalcs!C116</f>
        <v>Property</v>
      </c>
      <c r="BF35" s="1182" t="str">
        <f>HydroRefineryCalcs!D116</f>
        <v>Units</v>
      </c>
      <c r="BG35" s="1170"/>
      <c r="BH35" s="1170"/>
      <c r="BI35" s="1285" t="s">
        <v>226</v>
      </c>
      <c r="BJ35" s="1183"/>
      <c r="BK35" s="1184" t="s">
        <v>522</v>
      </c>
      <c r="BL35" s="1170"/>
      <c r="BM35" s="1170"/>
      <c r="BN35" s="1186" t="str">
        <f>HydroRefineryCalcs!C191</f>
        <v>S</v>
      </c>
      <c r="BO35" s="1170" t="str">
        <f>HydroRefineryCalcs!D191</f>
        <v>wt%</v>
      </c>
      <c r="BP35" s="1170">
        <f>HydroRefineryCalcs!H191</f>
        <v>0</v>
      </c>
      <c r="BQ35" s="1170"/>
      <c r="BR35" s="1170"/>
      <c r="BS35" s="1170"/>
      <c r="BT35" s="1170"/>
      <c r="BU35" s="1170"/>
      <c r="BV35" s="1170"/>
      <c r="BW35" s="1170"/>
      <c r="BX35" s="1170"/>
      <c r="BY35" s="1170"/>
      <c r="BZ35" s="1170"/>
      <c r="CA35" s="1170"/>
      <c r="CB35" s="1170"/>
      <c r="CC35" s="1170"/>
      <c r="CD35" s="1170"/>
      <c r="CE35" s="1170"/>
      <c r="CF35" s="1170"/>
      <c r="CG35" s="1170"/>
      <c r="CH35" s="1170"/>
      <c r="CI35" s="1170"/>
      <c r="CJ35" s="1170"/>
      <c r="CK35" s="1170"/>
      <c r="CL35" s="1170"/>
      <c r="CM35" s="1170"/>
      <c r="CN35" s="1170"/>
      <c r="CO35" s="1170"/>
      <c r="CP35" s="1160"/>
      <c r="CQ35" s="1160"/>
      <c r="CR35" s="1160"/>
      <c r="CS35" s="1160"/>
      <c r="CT35" s="1160"/>
      <c r="CU35" s="1160"/>
      <c r="CV35" s="1160"/>
      <c r="CW35" s="1160"/>
      <c r="CX35" s="1170"/>
      <c r="CY35" s="1160"/>
      <c r="CZ35" s="1171"/>
      <c r="DA35" s="1160"/>
      <c r="DB35" s="1186" t="str">
        <f>HydroRefineryCalcs!C1030</f>
        <v>H</v>
      </c>
      <c r="DC35" s="1170" t="str">
        <f>HydroRefineryCalcs!D1030</f>
        <v>wt%</v>
      </c>
      <c r="DD35" s="1170">
        <f ca="1">HydroRefineryCalcs!K1030</f>
        <v>13.645092677813897</v>
      </c>
      <c r="DE35" s="1170"/>
      <c r="DF35" s="1286"/>
      <c r="DG35" s="1287"/>
      <c r="DH35" s="1288"/>
      <c r="DI35" s="1160"/>
      <c r="DJ35" s="1160"/>
      <c r="DK35" s="1160"/>
      <c r="DL35" s="1160"/>
      <c r="DM35" s="1160"/>
      <c r="DN35" s="1160"/>
      <c r="DO35" s="1160"/>
      <c r="DP35" s="1160"/>
      <c r="DQ35" s="1160"/>
      <c r="DR35" s="1160"/>
      <c r="DS35" s="1160"/>
      <c r="DT35" s="1160"/>
      <c r="DU35" s="1160"/>
      <c r="DV35" s="1160"/>
      <c r="DW35" s="1160"/>
      <c r="DX35" s="1160"/>
      <c r="DY35" s="1160"/>
      <c r="DZ35" s="1160"/>
      <c r="EA35" s="1160"/>
      <c r="EB35" s="1160"/>
      <c r="EC35" s="1160"/>
    </row>
    <row r="36" spans="1:133" ht="14.1" customHeight="1" x14ac:dyDescent="0.2">
      <c r="A36" s="1160"/>
      <c r="B36" s="1147"/>
      <c r="C36" s="1102" t="s">
        <v>50</v>
      </c>
      <c r="D36" s="1102" t="s">
        <v>51</v>
      </c>
      <c r="E36" s="1107"/>
      <c r="F36" s="1107"/>
      <c r="G36" s="1107"/>
      <c r="H36" s="1107"/>
      <c r="I36" s="1107"/>
      <c r="J36" s="1107"/>
      <c r="K36" s="1107"/>
      <c r="L36" s="1150"/>
      <c r="M36" s="1160"/>
      <c r="N36" s="1170"/>
      <c r="O36" s="1170"/>
      <c r="P36" s="1170"/>
      <c r="Q36" s="1170"/>
      <c r="R36" s="1170"/>
      <c r="S36" s="1170"/>
      <c r="T36" s="1170"/>
      <c r="U36" s="1170"/>
      <c r="V36" s="1170"/>
      <c r="W36" s="1170"/>
      <c r="X36" s="1170"/>
      <c r="Y36" s="1170"/>
      <c r="Z36" s="1170"/>
      <c r="AA36" s="1170"/>
      <c r="AB36" s="1170"/>
      <c r="AC36" s="1170"/>
      <c r="AD36" s="1170"/>
      <c r="AE36" s="1170"/>
      <c r="AF36" s="1170"/>
      <c r="AG36" s="1170"/>
      <c r="AH36" s="1170"/>
      <c r="AI36" s="1170"/>
      <c r="AJ36" s="1170"/>
      <c r="AK36" s="1170"/>
      <c r="AL36" s="1170"/>
      <c r="AM36" s="1170"/>
      <c r="AN36" s="1170"/>
      <c r="AO36" s="1170"/>
      <c r="AP36" s="1170"/>
      <c r="AQ36" s="1170"/>
      <c r="AR36" s="1170"/>
      <c r="AS36" s="1170"/>
      <c r="AT36" s="1170"/>
      <c r="AU36" s="1200" t="s">
        <v>1021</v>
      </c>
      <c r="AV36" s="1199" t="s">
        <v>1022</v>
      </c>
      <c r="AW36" s="1252">
        <f>Constants!$G$353</f>
        <v>33.957001686096191</v>
      </c>
      <c r="AX36" s="1170"/>
      <c r="AY36" s="1170"/>
      <c r="AZ36" s="1170"/>
      <c r="BA36" s="1170"/>
      <c r="BB36" s="1170"/>
      <c r="BC36" s="1170"/>
      <c r="BD36" s="1170"/>
      <c r="BE36" s="1186" t="str">
        <f>HydroRefineryCalcs!C117</f>
        <v>Vol Flow</v>
      </c>
      <c r="BF36" s="1170" t="str">
        <f ca="1">HydroRefineryCalcs!D117</f>
        <v>bpd</v>
      </c>
      <c r="BG36" s="1187">
        <f ca="1">HydroRefineryCalcs!H117</f>
        <v>17697.585317090663</v>
      </c>
      <c r="BH36" s="1170"/>
      <c r="BI36" s="1170" t="s">
        <v>263</v>
      </c>
      <c r="BJ36" s="1170"/>
      <c r="BK36" s="1187">
        <f ca="1">AE44*BK41</f>
        <v>153864766.38329291</v>
      </c>
      <c r="BL36" s="1170"/>
      <c r="BM36" s="1170"/>
      <c r="BN36" s="1186" t="str">
        <f>HydroRefineryCalcs!C192</f>
        <v>API</v>
      </c>
      <c r="BO36" s="1170"/>
      <c r="BP36" s="1170">
        <f>HydroRefineryCalcs!H192</f>
        <v>0</v>
      </c>
      <c r="BQ36" s="1170"/>
      <c r="BR36" s="1170"/>
      <c r="BS36" s="1170"/>
      <c r="BT36" s="1170"/>
      <c r="BU36" s="1170"/>
      <c r="BV36" s="1170"/>
      <c r="BW36" s="1170"/>
      <c r="BX36" s="1170"/>
      <c r="BY36" s="1170"/>
      <c r="BZ36" s="1170"/>
      <c r="CA36" s="1170"/>
      <c r="CB36" s="1170"/>
      <c r="CC36" s="1170"/>
      <c r="CD36" s="1170"/>
      <c r="CE36" s="1170"/>
      <c r="CF36" s="1170"/>
      <c r="CG36" s="1170"/>
      <c r="CH36" s="1170"/>
      <c r="CI36" s="1170"/>
      <c r="CJ36" s="1170"/>
      <c r="CK36" s="1170"/>
      <c r="CL36" s="1170"/>
      <c r="CM36" s="1170"/>
      <c r="CN36" s="1170"/>
      <c r="CO36" s="1170"/>
      <c r="CP36" s="1160"/>
      <c r="CQ36" s="1160"/>
      <c r="CR36" s="1160"/>
      <c r="CS36" s="1160"/>
      <c r="CT36" s="1160"/>
      <c r="CU36" s="1253"/>
      <c r="CV36" s="1274"/>
      <c r="CW36" s="1160"/>
      <c r="CX36" s="1170"/>
      <c r="CY36" s="1160"/>
      <c r="CZ36" s="1171"/>
      <c r="DA36" s="1160"/>
      <c r="DB36" s="1186" t="str">
        <f>HydroRefineryCalcs!C1031</f>
        <v>MCR</v>
      </c>
      <c r="DC36" s="1170" t="str">
        <f>HydroRefineryCalcs!D1031</f>
        <v>wt%</v>
      </c>
      <c r="DD36" s="1170">
        <f>HydroRefineryCalcs!K1031</f>
        <v>0</v>
      </c>
      <c r="DE36" s="1170"/>
      <c r="DF36" s="1160"/>
      <c r="DG36" s="1160"/>
      <c r="DH36" s="1160"/>
      <c r="DI36" s="1160"/>
      <c r="DJ36" s="1160"/>
      <c r="DK36" s="1160"/>
      <c r="DL36" s="1160"/>
      <c r="DM36" s="1160"/>
      <c r="DN36" s="1160"/>
      <c r="DO36" s="1160"/>
      <c r="DP36" s="1160"/>
      <c r="DQ36" s="1160"/>
      <c r="DR36" s="1160"/>
      <c r="DS36" s="1160"/>
      <c r="DT36" s="1160"/>
      <c r="DU36" s="1160"/>
      <c r="DV36" s="1160"/>
      <c r="DW36" s="1160"/>
      <c r="DX36" s="1160"/>
      <c r="DY36" s="1160"/>
      <c r="DZ36" s="1160"/>
      <c r="EA36" s="1160"/>
      <c r="EB36" s="1160"/>
      <c r="EC36" s="1160"/>
    </row>
    <row r="37" spans="1:133" ht="13.5" customHeight="1" thickBot="1" x14ac:dyDescent="0.25">
      <c r="A37" s="1160"/>
      <c r="B37" s="1147"/>
      <c r="C37" s="1102" t="s">
        <v>33</v>
      </c>
      <c r="D37" s="1102" t="s">
        <v>34</v>
      </c>
      <c r="E37" s="1107"/>
      <c r="F37" s="1107"/>
      <c r="G37" s="1107"/>
      <c r="H37" s="1107"/>
      <c r="I37" s="1107"/>
      <c r="J37" s="1107"/>
      <c r="K37" s="1107"/>
      <c r="L37" s="1150"/>
      <c r="M37" s="1160"/>
      <c r="N37" s="1170"/>
      <c r="O37" s="1170"/>
      <c r="P37" s="1170"/>
      <c r="Q37" s="1170"/>
      <c r="R37" s="1170"/>
      <c r="S37" s="1170"/>
      <c r="T37" s="1170"/>
      <c r="U37" s="1170"/>
      <c r="V37" s="1170"/>
      <c r="W37" s="1170"/>
      <c r="X37" s="1170"/>
      <c r="Y37" s="1170"/>
      <c r="Z37" s="1170"/>
      <c r="AA37" s="1170"/>
      <c r="AB37" s="1170"/>
      <c r="AC37" s="1170"/>
      <c r="AD37" s="1170"/>
      <c r="AE37" s="1170"/>
      <c r="AF37" s="1170"/>
      <c r="AG37" s="1170"/>
      <c r="AH37" s="1170"/>
      <c r="AI37" s="1170"/>
      <c r="AJ37" s="1170"/>
      <c r="AK37" s="1170"/>
      <c r="AL37" s="1170"/>
      <c r="AM37" s="1170"/>
      <c r="AN37" s="1170"/>
      <c r="AO37" s="1170"/>
      <c r="AP37" s="1170"/>
      <c r="AQ37" s="1170"/>
      <c r="AR37" s="1170"/>
      <c r="AS37" s="1170"/>
      <c r="AT37" s="1170"/>
      <c r="AU37" s="1204" t="s">
        <v>1054</v>
      </c>
      <c r="AV37" s="1204" t="str">
        <f>IF(allocationMethod=1,CokingRefineryPFD!$C$21,IF(allocationMethod=2,CokingRefineryPFD!$C$22,IF(allocationMethod=3,CokingRefineryPFD!$C$23,CokingRefineryPFD!$C$24)))</f>
        <v>Hydrogen Content Basis</v>
      </c>
      <c r="AW37" s="1250">
        <f ca="1">HydroRefineryCalcs!R1510</f>
        <v>0</v>
      </c>
      <c r="AX37" s="1170"/>
      <c r="AY37" s="1170"/>
      <c r="AZ37" s="1170"/>
      <c r="BA37" s="1170"/>
      <c r="BB37" s="1170"/>
      <c r="BC37" s="1170"/>
      <c r="BD37" s="1170"/>
      <c r="BE37" s="1186" t="str">
        <f>HydroRefineryCalcs!C118</f>
        <v>Vol Flow</v>
      </c>
      <c r="BF37" s="1170" t="str">
        <f ca="1">HydroRefineryCalcs!D118</f>
        <v>m^3/d</v>
      </c>
      <c r="BG37" s="1187">
        <f ca="1">HydroRefineryCalcs!H118</f>
        <v>2813.6913060838883</v>
      </c>
      <c r="BH37" s="1170"/>
      <c r="BI37" s="1170" t="s">
        <v>392</v>
      </c>
      <c r="BJ37" s="1170"/>
      <c r="BK37" s="1187">
        <f ca="1">(AE45+AZ48)*$BK$41</f>
        <v>277777.63029616227</v>
      </c>
      <c r="BL37" s="1170"/>
      <c r="BM37" s="1170"/>
      <c r="BN37" s="1186" t="str">
        <f>HydroRefineryCalcs!C193</f>
        <v>Density</v>
      </c>
      <c r="BO37" s="1170" t="str">
        <f>HydroRefineryCalcs!D193</f>
        <v>kg/m^3</v>
      </c>
      <c r="BP37" s="1170">
        <f>'Energy &amp; Unit Conversions'!$E$27/'Energy &amp; Unit Conversions'!$E$93/'Energy &amp; Unit Conversions'!$G$81</f>
        <v>1.1583209290581402</v>
      </c>
      <c r="BQ37" s="1170"/>
      <c r="BR37" s="1170"/>
      <c r="BS37" s="1170"/>
      <c r="BT37" s="1170"/>
      <c r="BU37" s="1170"/>
      <c r="BV37" s="1170"/>
      <c r="BW37" s="1170"/>
      <c r="BX37" s="1170"/>
      <c r="BY37" s="1170"/>
      <c r="BZ37" s="1170"/>
      <c r="CA37" s="1170"/>
      <c r="CB37" s="1170"/>
      <c r="CC37" s="1170"/>
      <c r="CD37" s="1170"/>
      <c r="CE37" s="1170"/>
      <c r="CF37" s="1170"/>
      <c r="CG37" s="1170"/>
      <c r="CH37" s="1170"/>
      <c r="CI37" s="1170"/>
      <c r="CJ37" s="1170"/>
      <c r="CK37" s="1170"/>
      <c r="CL37" s="1170"/>
      <c r="CM37" s="1170"/>
      <c r="CN37" s="1170"/>
      <c r="CO37" s="1170"/>
      <c r="CP37" s="1160"/>
      <c r="CQ37" s="1160"/>
      <c r="CR37" s="1160"/>
      <c r="CS37" s="1160"/>
      <c r="CT37" s="1160"/>
      <c r="CU37" s="1160"/>
      <c r="CV37" s="1160"/>
      <c r="CW37" s="1160"/>
      <c r="CX37" s="1160"/>
      <c r="CY37" s="1160"/>
      <c r="CZ37" s="1171"/>
      <c r="DA37" s="1160"/>
      <c r="DB37" s="1183" t="s">
        <v>1700</v>
      </c>
      <c r="DC37" s="1184" t="s">
        <v>447</v>
      </c>
      <c r="DD37" s="1170">
        <f ca="1">('Energy &amp; Unit Conversions'!$D$63-('Energy &amp; Unit Conversions'!$E$63*POWER(('HydroRefineryPFD '!DD34/'Energy &amp; Unit Conversions'!$E$54),2)))</f>
        <v>42.590612555332839</v>
      </c>
      <c r="DE37" s="1170"/>
      <c r="DF37" s="1160"/>
      <c r="DG37" s="1160"/>
      <c r="DH37" s="1160"/>
      <c r="DI37" s="1160"/>
      <c r="DJ37" s="1160"/>
      <c r="DK37" s="1160"/>
      <c r="DL37" s="1160"/>
      <c r="DM37" s="1160"/>
      <c r="DN37" s="1160"/>
      <c r="DO37" s="1160"/>
      <c r="DP37" s="1160"/>
      <c r="DQ37" s="1160"/>
      <c r="DR37" s="1160"/>
      <c r="DS37" s="1160"/>
      <c r="DT37" s="1160"/>
      <c r="DU37" s="1160"/>
      <c r="DV37" s="1160"/>
      <c r="DW37" s="1160"/>
      <c r="DX37" s="1160"/>
      <c r="DY37" s="1160"/>
      <c r="DZ37" s="1160"/>
      <c r="EA37" s="1160"/>
      <c r="EB37" s="1160"/>
      <c r="EC37" s="1160"/>
    </row>
    <row r="38" spans="1:133" ht="13.5" customHeight="1" thickBot="1" x14ac:dyDescent="0.25">
      <c r="A38" s="1160"/>
      <c r="B38" s="1147"/>
      <c r="C38" s="1102"/>
      <c r="D38" s="2464" t="s">
        <v>35</v>
      </c>
      <c r="E38" s="2464"/>
      <c r="F38" s="2464"/>
      <c r="G38" s="2464"/>
      <c r="H38" s="2464"/>
      <c r="I38" s="2464"/>
      <c r="J38" s="2464"/>
      <c r="K38" s="2464"/>
      <c r="L38" s="1150"/>
      <c r="M38" s="1160"/>
      <c r="N38" s="1170"/>
      <c r="O38" s="1170"/>
      <c r="P38" s="1170"/>
      <c r="Q38" s="1170"/>
      <c r="R38" s="1170"/>
      <c r="S38" s="1170"/>
      <c r="T38" s="1170"/>
      <c r="U38" s="1170"/>
      <c r="V38" s="1170"/>
      <c r="W38" s="1170"/>
      <c r="X38" s="1170"/>
      <c r="Y38" s="1170"/>
      <c r="Z38" s="1170"/>
      <c r="AA38" s="1170"/>
      <c r="AB38" s="1170"/>
      <c r="AC38" s="1170"/>
      <c r="AD38" s="1170"/>
      <c r="AE38" s="1170"/>
      <c r="AF38" s="1170"/>
      <c r="AG38" s="1170"/>
      <c r="AH38" s="1170"/>
      <c r="AI38" s="1170"/>
      <c r="AJ38" s="1170"/>
      <c r="AK38" s="1170"/>
      <c r="AL38" s="1170"/>
      <c r="AM38" s="1170"/>
      <c r="AN38" s="1170"/>
      <c r="AO38" s="1170"/>
      <c r="AP38" s="1170"/>
      <c r="AQ38" s="1170"/>
      <c r="AR38" s="1170"/>
      <c r="AS38" s="1170"/>
      <c r="AT38" s="1170"/>
      <c r="AU38" s="1170"/>
      <c r="AV38" s="1170"/>
      <c r="AW38" s="1170"/>
      <c r="AX38" s="1170"/>
      <c r="AY38" s="1170"/>
      <c r="AZ38" s="1170"/>
      <c r="BA38" s="1170"/>
      <c r="BB38" s="1170"/>
      <c r="BC38" s="1170"/>
      <c r="BD38" s="1170"/>
      <c r="BE38" s="1186" t="str">
        <f>HydroRefineryCalcs!C119</f>
        <v>Mass Flow</v>
      </c>
      <c r="BF38" s="1170" t="str">
        <f>HydroRefineryCalcs!D119</f>
        <v>kg/d</v>
      </c>
      <c r="BG38" s="1187">
        <f ca="1">HydroRefineryCalcs!H119</f>
        <v>2190142.6865078406</v>
      </c>
      <c r="BH38" s="1170"/>
      <c r="BI38" s="1170" t="s">
        <v>224</v>
      </c>
      <c r="BJ38" s="1170"/>
      <c r="BK38" s="1187">
        <f ca="1">(AE46+AZ49)*$BK$41</f>
        <v>3772876.2576715457</v>
      </c>
      <c r="BL38" s="1170"/>
      <c r="BM38" s="1170"/>
      <c r="BN38" s="1186" t="str">
        <f>HydroRefineryCalcs!C194</f>
        <v>H</v>
      </c>
      <c r="BO38" s="1170" t="str">
        <f>HydroRefineryCalcs!D194</f>
        <v>wt%</v>
      </c>
      <c r="BP38" s="1170">
        <f>HydroRefineryCalcs!H194</f>
        <v>19.299794001723541</v>
      </c>
      <c r="BQ38" s="1170"/>
      <c r="BR38" s="1170"/>
      <c r="BS38" s="1170"/>
      <c r="BT38" s="1170"/>
      <c r="BU38" s="1170"/>
      <c r="BV38" s="1170"/>
      <c r="BW38" s="1170"/>
      <c r="BX38" s="1170"/>
      <c r="BY38" s="1170"/>
      <c r="BZ38" s="1170"/>
      <c r="CA38" s="1170"/>
      <c r="CB38" s="1170"/>
      <c r="CC38" s="1170"/>
      <c r="CD38" s="1170"/>
      <c r="CE38" s="1170"/>
      <c r="CF38" s="1170"/>
      <c r="CG38" s="1170"/>
      <c r="CH38" s="1170"/>
      <c r="CI38" s="1170"/>
      <c r="CJ38" s="1170"/>
      <c r="CK38" s="1170"/>
      <c r="CL38" s="1170"/>
      <c r="CM38" s="1170"/>
      <c r="CN38" s="1170"/>
      <c r="CO38" s="1170"/>
      <c r="CP38" s="1160"/>
      <c r="CQ38" s="1160"/>
      <c r="CR38" s="1160"/>
      <c r="CS38" s="1160"/>
      <c r="CT38" s="1160"/>
      <c r="CU38" s="1160"/>
      <c r="CV38" s="1160"/>
      <c r="CW38" s="1160"/>
      <c r="CX38" s="1160"/>
      <c r="CY38" s="1160"/>
      <c r="CZ38" s="1171"/>
      <c r="DA38" s="1160"/>
      <c r="DB38" s="1200" t="s">
        <v>1021</v>
      </c>
      <c r="DC38" s="1199" t="s">
        <v>1022</v>
      </c>
      <c r="DD38" s="1276">
        <f>Constants!G355</f>
        <v>97.641761779785156</v>
      </c>
      <c r="DE38" s="1107"/>
      <c r="DF38" s="1160"/>
      <c r="DG38" s="1160"/>
      <c r="DH38" s="1160"/>
      <c r="DI38" s="1160"/>
      <c r="DJ38" s="1160"/>
      <c r="DK38" s="1160"/>
      <c r="DL38" s="1160"/>
      <c r="DM38" s="1160"/>
      <c r="DN38" s="1160"/>
      <c r="DO38" s="1160"/>
      <c r="DP38" s="1160"/>
      <c r="DQ38" s="1160"/>
      <c r="DR38" s="1160"/>
      <c r="DS38" s="1160"/>
      <c r="DT38" s="1160"/>
      <c r="DU38" s="1160"/>
      <c r="DV38" s="1160"/>
      <c r="DW38" s="1160"/>
      <c r="DX38" s="1160"/>
      <c r="DY38" s="1160"/>
      <c r="DZ38" s="1160"/>
      <c r="EA38" s="1160"/>
      <c r="EB38" s="1160"/>
      <c r="EC38" s="1160"/>
    </row>
    <row r="39" spans="1:133" ht="12.75" customHeight="1" x14ac:dyDescent="0.2">
      <c r="A39" s="1160"/>
      <c r="B39" s="1147"/>
      <c r="C39" s="1102"/>
      <c r="D39" s="2464"/>
      <c r="E39" s="2464"/>
      <c r="F39" s="2464"/>
      <c r="G39" s="2464"/>
      <c r="H39" s="2464"/>
      <c r="I39" s="2464"/>
      <c r="J39" s="2464"/>
      <c r="K39" s="2464"/>
      <c r="L39" s="1150"/>
      <c r="M39" s="1160"/>
      <c r="N39" s="1170"/>
      <c r="O39" s="1170"/>
      <c r="P39" s="1170"/>
      <c r="Q39" s="1170"/>
      <c r="R39" s="1170"/>
      <c r="S39" s="1170"/>
      <c r="T39" s="1170"/>
      <c r="U39" s="1170"/>
      <c r="V39" s="1170"/>
      <c r="W39" s="1170"/>
      <c r="X39" s="1170"/>
      <c r="Y39" s="1170"/>
      <c r="Z39" s="1170"/>
      <c r="AA39" s="1170"/>
      <c r="AB39" s="1170"/>
      <c r="AC39" s="1170"/>
      <c r="AD39" s="1170"/>
      <c r="AE39" s="1170"/>
      <c r="AF39" s="1170"/>
      <c r="AG39" s="1170"/>
      <c r="AH39" s="1170"/>
      <c r="AI39" s="1170"/>
      <c r="AJ39" s="1170"/>
      <c r="AK39" s="1170"/>
      <c r="AL39" s="1170"/>
      <c r="AM39" s="1170"/>
      <c r="AN39" s="1170"/>
      <c r="AO39" s="1170"/>
      <c r="AP39" s="1170"/>
      <c r="AQ39" s="1170"/>
      <c r="AR39" s="1170"/>
      <c r="AS39" s="1170"/>
      <c r="AT39" s="1170"/>
      <c r="AU39" s="1170"/>
      <c r="AV39" s="1170"/>
      <c r="AW39" s="1170"/>
      <c r="AX39" s="1170"/>
      <c r="AY39" s="1170"/>
      <c r="AZ39" s="1170"/>
      <c r="BA39" s="1170"/>
      <c r="BB39" s="1170"/>
      <c r="BC39" s="1170"/>
      <c r="BD39" s="1170"/>
      <c r="BE39" s="1186" t="str">
        <f>HydroRefineryCalcs!C120</f>
        <v xml:space="preserve">Sulphur </v>
      </c>
      <c r="BF39" s="1170" t="str">
        <f ca="1">HydroRefineryCalcs!D120</f>
        <v>wt%</v>
      </c>
      <c r="BG39" s="1187">
        <f>HydroRefineryCalcs!H120</f>
        <v>0</v>
      </c>
      <c r="BH39" s="1170"/>
      <c r="BI39" s="1170" t="s">
        <v>485</v>
      </c>
      <c r="BJ39" s="1170"/>
      <c r="BK39" s="1187">
        <f ca="1">(AE47+AZ50)*$BK$41</f>
        <v>404753.17158481822</v>
      </c>
      <c r="BL39" s="1170"/>
      <c r="BM39" s="1170"/>
      <c r="BN39" s="1170"/>
      <c r="BO39" s="1170"/>
      <c r="BP39" s="1170"/>
      <c r="BQ39" s="1170"/>
      <c r="BR39" s="1170"/>
      <c r="BS39" s="1170"/>
      <c r="BT39" s="1170"/>
      <c r="BU39" s="1170"/>
      <c r="BV39" s="1170"/>
      <c r="BW39" s="1170"/>
      <c r="BX39" s="1170"/>
      <c r="BY39" s="1170"/>
      <c r="BZ39" s="1170"/>
      <c r="CA39" s="1170"/>
      <c r="CB39" s="1170"/>
      <c r="CC39" s="1170"/>
      <c r="CD39" s="1170"/>
      <c r="CE39" s="1170"/>
      <c r="CF39" s="1170"/>
      <c r="CG39" s="1170"/>
      <c r="CH39" s="1170"/>
      <c r="CI39" s="1170"/>
      <c r="CJ39" s="1170"/>
      <c r="CK39" s="1170"/>
      <c r="CL39" s="1170"/>
      <c r="CM39" s="1170"/>
      <c r="CN39" s="1170"/>
      <c r="CO39" s="1170"/>
      <c r="CP39" s="1160"/>
      <c r="CQ39" s="1160"/>
      <c r="CR39" s="1160"/>
      <c r="CS39" s="1160"/>
      <c r="CT39" s="1160"/>
      <c r="CU39" s="1160"/>
      <c r="CV39" s="1160"/>
      <c r="CW39" s="1160"/>
      <c r="CX39" s="1160"/>
      <c r="CY39" s="1160"/>
      <c r="CZ39" s="1171"/>
      <c r="DA39" s="1160"/>
      <c r="DB39" s="1160"/>
      <c r="DC39" s="1160"/>
      <c r="DD39" s="1160"/>
      <c r="DE39" s="1160"/>
      <c r="DF39" s="1160"/>
      <c r="DG39" s="1160"/>
      <c r="DH39" s="1160"/>
      <c r="DI39" s="1160"/>
      <c r="DJ39" s="1160"/>
      <c r="DK39" s="1160"/>
      <c r="DL39" s="1160"/>
      <c r="DM39" s="1160"/>
      <c r="DN39" s="1160"/>
      <c r="DO39" s="1160"/>
      <c r="DP39" s="1160"/>
      <c r="DQ39" s="1160"/>
      <c r="DR39" s="1160"/>
      <c r="DS39" s="1160"/>
      <c r="DT39" s="1160"/>
      <c r="DU39" s="1160"/>
      <c r="DV39" s="1160"/>
      <c r="DW39" s="1160"/>
      <c r="DX39" s="1160"/>
      <c r="DY39" s="1160"/>
      <c r="DZ39" s="1160"/>
      <c r="EA39" s="1160"/>
      <c r="EB39" s="1160"/>
      <c r="EC39" s="1160"/>
    </row>
    <row r="40" spans="1:133" ht="12.75" customHeight="1" x14ac:dyDescent="0.2">
      <c r="A40" s="1160"/>
      <c r="B40" s="1147"/>
      <c r="C40" s="1102"/>
      <c r="D40" s="2463" t="s">
        <v>1553</v>
      </c>
      <c r="E40" s="2463"/>
      <c r="F40" s="2463"/>
      <c r="G40" s="2463"/>
      <c r="H40" s="2463"/>
      <c r="I40" s="2463"/>
      <c r="J40" s="2463"/>
      <c r="K40" s="2463"/>
      <c r="L40" s="1150"/>
      <c r="M40" s="1160"/>
      <c r="N40" s="1170"/>
      <c r="O40" s="1170"/>
      <c r="P40" s="1170"/>
      <c r="Q40" s="1170"/>
      <c r="R40" s="1170"/>
      <c r="S40" s="1170"/>
      <c r="T40" s="1170"/>
      <c r="U40" s="1170"/>
      <c r="V40" s="1170"/>
      <c r="W40" s="1170"/>
      <c r="X40" s="1170"/>
      <c r="Y40" s="1170"/>
      <c r="Z40" s="1170"/>
      <c r="AA40" s="1170"/>
      <c r="AB40" s="1170"/>
      <c r="AC40" s="1170"/>
      <c r="AD40" s="1170"/>
      <c r="AE40" s="1170"/>
      <c r="AF40" s="1170"/>
      <c r="AG40" s="1170"/>
      <c r="AH40" s="1170"/>
      <c r="AI40" s="1170"/>
      <c r="AJ40" s="1170"/>
      <c r="AK40" s="1170"/>
      <c r="AL40" s="1170"/>
      <c r="AM40" s="1170"/>
      <c r="AN40" s="1170"/>
      <c r="AO40" s="1170"/>
      <c r="AP40" s="1170"/>
      <c r="AQ40" s="1170"/>
      <c r="AR40" s="1170"/>
      <c r="AS40" s="1170"/>
      <c r="AT40" s="1170"/>
      <c r="AU40" s="1170"/>
      <c r="AV40" s="1170"/>
      <c r="AW40" s="1170"/>
      <c r="AX40" s="1170"/>
      <c r="AY40" s="1170"/>
      <c r="AZ40" s="1170"/>
      <c r="BA40" s="1170"/>
      <c r="BB40" s="1170"/>
      <c r="BC40" s="1170"/>
      <c r="BD40" s="1170"/>
      <c r="BE40" s="1186" t="str">
        <f>HydroRefineryCalcs!C122</f>
        <v xml:space="preserve">API gravity </v>
      </c>
      <c r="BF40" s="1170"/>
      <c r="BG40" s="1187">
        <f ca="1">HydroRefineryCalcs!H122</f>
        <v>50.096959674877127</v>
      </c>
      <c r="BH40" s="1170"/>
      <c r="BI40" s="1170" t="s">
        <v>541</v>
      </c>
      <c r="BJ40" s="1170"/>
      <c r="BK40" s="1187">
        <f ca="1">(AE48+AZ51)*$BK$41</f>
        <v>3643347.4404741768</v>
      </c>
      <c r="BL40" s="1170"/>
      <c r="BM40" s="1170"/>
      <c r="BN40" s="1186" t="s">
        <v>1698</v>
      </c>
      <c r="BO40" s="1199" t="s">
        <v>447</v>
      </c>
      <c r="BP40" s="1252">
        <f>'Energy &amp; Unit Conversions'!$Q$27</f>
        <v>46.898519302437805</v>
      </c>
      <c r="BQ40" s="1170"/>
      <c r="BR40" s="1170"/>
      <c r="BS40" s="1170"/>
      <c r="BT40" s="1170"/>
      <c r="BU40" s="1170"/>
      <c r="BV40" s="1170"/>
      <c r="BW40" s="1170"/>
      <c r="BX40" s="1170"/>
      <c r="BY40" s="1170"/>
      <c r="BZ40" s="1170"/>
      <c r="CA40" s="1170"/>
      <c r="CB40" s="1170"/>
      <c r="CC40" s="1170"/>
      <c r="CD40" s="1170"/>
      <c r="CE40" s="1170"/>
      <c r="CF40" s="1170"/>
      <c r="CG40" s="1170"/>
      <c r="CH40" s="1170"/>
      <c r="CI40" s="1170"/>
      <c r="CJ40" s="1170"/>
      <c r="CK40" s="1170"/>
      <c r="CL40" s="1170"/>
      <c r="CM40" s="1170"/>
      <c r="CN40" s="1170"/>
      <c r="CO40" s="1170"/>
      <c r="CP40" s="1160"/>
      <c r="CQ40" s="1160"/>
      <c r="CR40" s="1160"/>
      <c r="CS40" s="1160"/>
      <c r="CT40" s="1160"/>
      <c r="CU40" s="1160"/>
      <c r="CV40" s="1160"/>
      <c r="CW40" s="1160"/>
      <c r="CX40" s="1160"/>
      <c r="CY40" s="1160"/>
      <c r="CZ40" s="1171"/>
      <c r="DA40" s="1160"/>
      <c r="DB40" s="1160"/>
      <c r="DC40" s="1160"/>
      <c r="DD40" s="1160"/>
      <c r="DE40" s="1160"/>
      <c r="DF40" s="1160"/>
      <c r="DG40" s="1160"/>
      <c r="DH40" s="1160"/>
      <c r="DI40" s="1160"/>
      <c r="DJ40" s="1160"/>
      <c r="DK40" s="1160"/>
      <c r="DL40" s="1171"/>
      <c r="DM40" s="1160"/>
      <c r="DN40" s="1160"/>
      <c r="DO40" s="1160"/>
      <c r="DP40" s="1160"/>
      <c r="DQ40" s="1160"/>
      <c r="DR40" s="1160"/>
      <c r="DS40" s="1160"/>
      <c r="DT40" s="1160"/>
      <c r="DU40" s="1160"/>
      <c r="DV40" s="1160"/>
      <c r="DW40" s="1160"/>
      <c r="DX40" s="1160"/>
      <c r="DY40" s="1160"/>
      <c r="DZ40" s="1160"/>
      <c r="EA40" s="1160"/>
      <c r="EB40" s="1160"/>
      <c r="EC40" s="1160"/>
    </row>
    <row r="41" spans="1:133" x14ac:dyDescent="0.2">
      <c r="A41" s="1160"/>
      <c r="B41" s="1147"/>
      <c r="C41" s="1102"/>
      <c r="D41" s="2463"/>
      <c r="E41" s="2463"/>
      <c r="F41" s="2463"/>
      <c r="G41" s="2463"/>
      <c r="H41" s="2463"/>
      <c r="I41" s="2463"/>
      <c r="J41" s="2463"/>
      <c r="K41" s="2463"/>
      <c r="L41" s="1150"/>
      <c r="M41" s="1160"/>
      <c r="N41" s="1170"/>
      <c r="O41" s="1170"/>
      <c r="P41" s="1170"/>
      <c r="Q41" s="1170"/>
      <c r="R41" s="1170"/>
      <c r="S41" s="1170"/>
      <c r="T41" s="1170"/>
      <c r="U41" s="1170"/>
      <c r="V41" s="1170"/>
      <c r="W41" s="1170"/>
      <c r="X41" s="1170"/>
      <c r="Y41" s="1170"/>
      <c r="Z41" s="1170"/>
      <c r="AA41" s="1170"/>
      <c r="AB41" s="1170"/>
      <c r="AC41" s="1170"/>
      <c r="AD41" s="1170"/>
      <c r="AE41" s="1170"/>
      <c r="AF41" s="1170"/>
      <c r="AG41" s="1170"/>
      <c r="AH41" s="1170"/>
      <c r="AI41" s="1170"/>
      <c r="AJ41" s="1170"/>
      <c r="AK41" s="1170"/>
      <c r="AL41" s="1170"/>
      <c r="AM41" s="1170"/>
      <c r="AN41" s="1170"/>
      <c r="AO41" s="1170"/>
      <c r="AP41" s="1170"/>
      <c r="AQ41" s="1170"/>
      <c r="AR41" s="1170"/>
      <c r="AS41" s="1170"/>
      <c r="AT41" s="1170"/>
      <c r="AU41" s="1170"/>
      <c r="AV41" s="1170"/>
      <c r="AW41" s="1170"/>
      <c r="AX41" s="1170"/>
      <c r="AY41" s="1170"/>
      <c r="AZ41" s="1170"/>
      <c r="BA41" s="1170"/>
      <c r="BB41" s="1170"/>
      <c r="BC41" s="1170"/>
      <c r="BD41" s="1170"/>
      <c r="BE41" s="1186" t="str">
        <f>HydroRefineryCalcs!C123</f>
        <v>Density</v>
      </c>
      <c r="BF41" s="1170" t="str">
        <f ca="1">HydroRefineryCalcs!D123</f>
        <v>kg/m^3</v>
      </c>
      <c r="BG41" s="1187">
        <f ca="1">HydroRefineryCalcs!H123</f>
        <v>778.38769369341151</v>
      </c>
      <c r="BH41" s="1170"/>
      <c r="BI41" s="1180" t="s">
        <v>1066</v>
      </c>
      <c r="BJ41" s="1180"/>
      <c r="BK41" s="1170">
        <f ca="1">IF('HydroRefineryPFD '!E27=TRUE,BK42,BG46/(BG46+BG22))</f>
        <v>0.71505082717420865</v>
      </c>
      <c r="BL41" s="1170"/>
      <c r="BM41" s="1170"/>
      <c r="BN41" s="1200" t="s">
        <v>1021</v>
      </c>
      <c r="BO41" s="1199" t="s">
        <v>1022</v>
      </c>
      <c r="BP41" s="1252">
        <f>Constants!$G$353</f>
        <v>33.957001686096191</v>
      </c>
      <c r="BQ41" s="1170"/>
      <c r="BR41" s="1170"/>
      <c r="BS41" s="1170"/>
      <c r="BT41" s="1170"/>
      <c r="BU41" s="1170"/>
      <c r="BV41" s="1170"/>
      <c r="BW41" s="1170"/>
      <c r="BX41" s="1170"/>
      <c r="BY41" s="1170"/>
      <c r="BZ41" s="1170"/>
      <c r="CA41" s="1170"/>
      <c r="CB41" s="1170"/>
      <c r="CC41" s="1170"/>
      <c r="CD41" s="1170"/>
      <c r="CE41" s="1170"/>
      <c r="CF41" s="1170"/>
      <c r="CG41" s="1170"/>
      <c r="CH41" s="1170"/>
      <c r="CI41" s="1170"/>
      <c r="CJ41" s="1170"/>
      <c r="CK41" s="1170"/>
      <c r="CL41" s="1170"/>
      <c r="CM41" s="1170"/>
      <c r="CN41" s="1170"/>
      <c r="CO41" s="1170"/>
      <c r="CP41" s="1160"/>
      <c r="CQ41" s="1160"/>
      <c r="CR41" s="1160"/>
      <c r="CS41" s="1160"/>
      <c r="CT41" s="1160"/>
      <c r="CU41" s="1160"/>
      <c r="CV41" s="1160"/>
      <c r="CW41" s="1160"/>
      <c r="CX41" s="1160"/>
      <c r="CY41" s="1160"/>
      <c r="CZ41" s="1171"/>
      <c r="DA41" s="1160"/>
      <c r="DB41" s="1160"/>
      <c r="DC41" s="1160"/>
      <c r="DD41" s="1160"/>
      <c r="DE41" s="1160"/>
      <c r="DF41" s="1160"/>
      <c r="DG41" s="1160"/>
      <c r="DH41" s="1160"/>
      <c r="DI41" s="1160"/>
      <c r="DJ41" s="1160"/>
      <c r="DK41" s="1160"/>
      <c r="DL41" s="1160"/>
      <c r="DM41" s="1171"/>
      <c r="DN41" s="1194" t="str">
        <f>'HydroRefinery Detailed Results'!C31</f>
        <v>Fuel Gas treatment, Sulfur Recovery and Pollution control</v>
      </c>
      <c r="DO41" s="1160"/>
      <c r="DP41" s="1160"/>
      <c r="DQ41" s="1160"/>
      <c r="DR41" s="1160"/>
      <c r="DS41" s="1160"/>
      <c r="DT41" s="1160"/>
      <c r="DU41" s="1160"/>
      <c r="DV41" s="1160"/>
      <c r="DW41" s="1160"/>
      <c r="DX41" s="1160"/>
      <c r="DY41" s="1160"/>
      <c r="DZ41" s="1160"/>
      <c r="EA41" s="1160"/>
      <c r="EB41" s="1160"/>
      <c r="EC41" s="1160"/>
    </row>
    <row r="42" spans="1:133" x14ac:dyDescent="0.2">
      <c r="A42" s="1160"/>
      <c r="B42" s="1147"/>
      <c r="C42" s="1102"/>
      <c r="D42" s="2068"/>
      <c r="E42" s="2068"/>
      <c r="F42" s="2068"/>
      <c r="G42" s="2068"/>
      <c r="H42" s="2068"/>
      <c r="I42" s="2068"/>
      <c r="J42" s="2068"/>
      <c r="K42" s="2068"/>
      <c r="L42" s="1150"/>
      <c r="M42" s="1160"/>
      <c r="N42" s="1170"/>
      <c r="O42" s="1170"/>
      <c r="P42" s="1170"/>
      <c r="Q42" s="1170"/>
      <c r="R42" s="1170"/>
      <c r="S42" s="1170"/>
      <c r="T42" s="1170"/>
      <c r="U42" s="1170"/>
      <c r="V42" s="1170"/>
      <c r="W42" s="1170"/>
      <c r="X42" s="1170"/>
      <c r="Y42" s="1181" t="str">
        <f>HydroRefineryCalcs!G116</f>
        <v>LSR &amp; HSR Naphtha</v>
      </c>
      <c r="Z42" s="1170"/>
      <c r="AA42" s="1170"/>
      <c r="AB42" s="1170"/>
      <c r="AC42" s="1180" t="str">
        <f>Y42</f>
        <v>LSR &amp; HSR Naphtha</v>
      </c>
      <c r="AD42" s="1170"/>
      <c r="AE42" s="1170"/>
      <c r="AF42" s="1170"/>
      <c r="AG42" s="1170"/>
      <c r="AH42" s="1170"/>
      <c r="AI42" s="1170"/>
      <c r="AJ42" s="1170"/>
      <c r="AK42" s="1170"/>
      <c r="AL42" s="1170"/>
      <c r="AM42" s="1170"/>
      <c r="AN42" s="1170"/>
      <c r="AO42" s="1170"/>
      <c r="AP42" s="1170"/>
      <c r="AQ42" s="1170"/>
      <c r="AR42" s="1170"/>
      <c r="AS42" s="1170"/>
      <c r="AT42" s="1170"/>
      <c r="AU42" s="1170"/>
      <c r="AV42" s="1170"/>
      <c r="AW42" s="1170"/>
      <c r="AX42" s="1170"/>
      <c r="AY42" s="1170"/>
      <c r="AZ42" s="1170"/>
      <c r="BA42" s="1170"/>
      <c r="BB42" s="1170"/>
      <c r="BC42" s="1170"/>
      <c r="BD42" s="1170"/>
      <c r="BE42" s="1186" t="str">
        <f>HydroRefineryCalcs!C124</f>
        <v>Hydrogen</v>
      </c>
      <c r="BF42" s="1170" t="str">
        <f ca="1">HydroRefineryCalcs!D124</f>
        <v>wt%</v>
      </c>
      <c r="BG42" s="1187">
        <f ca="1">HydroRefineryCalcs!H124</f>
        <v>15</v>
      </c>
      <c r="BH42" s="1170"/>
      <c r="BI42" s="1180" t="s">
        <v>1065</v>
      </c>
      <c r="BJ42" s="1180"/>
      <c r="BK42" s="1170">
        <f ca="1">BG46/(BG46+AW37+BG22)</f>
        <v>0.71505082717420865</v>
      </c>
      <c r="BL42" s="1170"/>
      <c r="BM42" s="1170"/>
      <c r="BN42" s="1204" t="s">
        <v>1054</v>
      </c>
      <c r="BO42" s="1204" t="str">
        <f>IF(allocationMethod=1,CokingRefineryPFD!$C$21,IF(allocationMethod=2,CokingRefineryPFD!$C$22,IF(allocationMethod=3,CokingRefineryPFD!$C$23,CokingRefineryPFD!$C$24)))</f>
        <v>Hydrogen Content Basis</v>
      </c>
      <c r="BP42" s="1250">
        <f ca="1">HydroRefineryCalcs!R1508</f>
        <v>0</v>
      </c>
      <c r="BQ42" s="1170"/>
      <c r="BR42" s="1170"/>
      <c r="BS42" s="1170"/>
      <c r="BT42" s="1170"/>
      <c r="BU42" s="1170"/>
      <c r="BV42" s="1170"/>
      <c r="BW42" s="1170"/>
      <c r="BX42" s="1170"/>
      <c r="BY42" s="1170"/>
      <c r="BZ42" s="1170"/>
      <c r="CA42" s="1170"/>
      <c r="CB42" s="1170"/>
      <c r="CC42" s="1170"/>
      <c r="CD42" s="1170"/>
      <c r="CE42" s="1170"/>
      <c r="CF42" s="1170"/>
      <c r="CG42" s="1170"/>
      <c r="CH42" s="1170"/>
      <c r="CI42" s="1170"/>
      <c r="CJ42" s="1170"/>
      <c r="CK42" s="1170"/>
      <c r="CL42" s="1170"/>
      <c r="CM42" s="1170"/>
      <c r="CN42" s="1170"/>
      <c r="CO42" s="1170"/>
      <c r="CP42" s="1160"/>
      <c r="CQ42" s="1160"/>
      <c r="CR42" s="1160"/>
      <c r="CS42" s="1160"/>
      <c r="CT42" s="1160"/>
      <c r="CU42" s="1160"/>
      <c r="CV42" s="1160"/>
      <c r="CW42" s="1160"/>
      <c r="CX42" s="1160"/>
      <c r="CY42" s="1160"/>
      <c r="CZ42" s="1171"/>
      <c r="DA42" s="1160"/>
      <c r="DB42" s="1160"/>
      <c r="DC42" s="1160"/>
      <c r="DD42" s="1160"/>
      <c r="DE42" s="1160"/>
      <c r="DF42" s="1160"/>
      <c r="DG42" s="1160"/>
      <c r="DH42" s="1160"/>
      <c r="DI42" s="1160"/>
      <c r="DJ42" s="1160"/>
      <c r="DK42" s="1160"/>
      <c r="DL42" s="1160"/>
      <c r="DM42" s="1171"/>
      <c r="DN42" s="1194" t="s">
        <v>225</v>
      </c>
      <c r="DO42" s="1194" t="s">
        <v>522</v>
      </c>
      <c r="DP42" s="1160"/>
      <c r="DQ42" s="1160"/>
      <c r="DR42" s="1160"/>
      <c r="DS42" s="1160"/>
      <c r="DT42" s="1160"/>
      <c r="DU42" s="1160"/>
      <c r="DV42" s="1160"/>
      <c r="DW42" s="1160"/>
      <c r="DX42" s="1160"/>
      <c r="DY42" s="1160"/>
      <c r="DZ42" s="1160"/>
      <c r="EA42" s="1160"/>
      <c r="EB42" s="1160"/>
      <c r="EC42" s="1160"/>
    </row>
    <row r="43" spans="1:133" x14ac:dyDescent="0.2">
      <c r="A43" s="1160"/>
      <c r="B43" s="1147"/>
      <c r="C43" s="1102"/>
      <c r="D43" s="1102"/>
      <c r="E43" s="1107"/>
      <c r="F43" s="1107"/>
      <c r="G43" s="1107"/>
      <c r="H43" s="1107"/>
      <c r="I43" s="1107"/>
      <c r="J43" s="1107"/>
      <c r="K43" s="1107"/>
      <c r="L43" s="1150"/>
      <c r="M43" s="1160"/>
      <c r="N43" s="1170"/>
      <c r="O43" s="1170"/>
      <c r="P43" s="1170"/>
      <c r="Q43" s="1170"/>
      <c r="R43" s="1170"/>
      <c r="S43" s="1170"/>
      <c r="T43" s="1170"/>
      <c r="U43" s="1170"/>
      <c r="V43" s="1170"/>
      <c r="W43" s="1170"/>
      <c r="X43" s="1170"/>
      <c r="Y43" s="1182" t="str">
        <f>HydroRefineryCalcs!C116</f>
        <v>Property</v>
      </c>
      <c r="Z43" s="1182" t="str">
        <f>HydroRefineryCalcs!D116</f>
        <v>Units</v>
      </c>
      <c r="AA43" s="1170"/>
      <c r="AB43" s="1170"/>
      <c r="AC43" s="1180" t="s">
        <v>226</v>
      </c>
      <c r="AD43" s="1184" t="s">
        <v>522</v>
      </c>
      <c r="AE43" s="1170"/>
      <c r="AF43" s="1170"/>
      <c r="AG43" s="1170"/>
      <c r="AH43" s="1170"/>
      <c r="AI43" s="1170"/>
      <c r="AJ43" s="1170"/>
      <c r="AK43" s="1170"/>
      <c r="AL43" s="1170"/>
      <c r="AM43" s="1170"/>
      <c r="AN43" s="1170"/>
      <c r="AO43" s="1170"/>
      <c r="AP43" s="1170"/>
      <c r="AQ43" s="1170"/>
      <c r="AR43" s="1170"/>
      <c r="AS43" s="1170"/>
      <c r="AT43" s="1170"/>
      <c r="AU43" s="1170"/>
      <c r="AV43" s="1170"/>
      <c r="AW43" s="1170"/>
      <c r="AX43" s="1170"/>
      <c r="AY43" s="1170"/>
      <c r="AZ43" s="1170"/>
      <c r="BA43" s="1170"/>
      <c r="BB43" s="1170"/>
      <c r="BC43" s="1170"/>
      <c r="BD43" s="1170"/>
      <c r="BE43" s="1186" t="str">
        <f>HydroRefineryCalcs!C125</f>
        <v>MCR</v>
      </c>
      <c r="BF43" s="1170" t="str">
        <f ca="1">HydroRefineryCalcs!D125</f>
        <v>wt%</v>
      </c>
      <c r="BG43" s="1187">
        <f>HydroRefineryCalcs!H125</f>
        <v>0</v>
      </c>
      <c r="BH43" s="1170"/>
      <c r="BI43" s="1197" t="s">
        <v>228</v>
      </c>
      <c r="BJ43" s="1197"/>
      <c r="BK43" s="1170">
        <f ca="1">BG38/(AA46+AZ53)</f>
        <v>0.71815008016193815</v>
      </c>
      <c r="BL43" s="1170"/>
      <c r="BM43" s="1170"/>
      <c r="BN43" s="1170"/>
      <c r="BO43" s="1170"/>
      <c r="BP43" s="1170"/>
      <c r="BQ43" s="1170"/>
      <c r="BR43" s="1170"/>
      <c r="BS43" s="1170"/>
      <c r="BT43" s="1170"/>
      <c r="BU43" s="1170"/>
      <c r="BV43" s="1170"/>
      <c r="BW43" s="1170"/>
      <c r="BX43" s="1170"/>
      <c r="BY43" s="1170"/>
      <c r="BZ43" s="1170"/>
      <c r="CA43" s="1170"/>
      <c r="CB43" s="1170"/>
      <c r="CC43" s="1170"/>
      <c r="CD43" s="1170"/>
      <c r="CE43" s="1170"/>
      <c r="CF43" s="1170"/>
      <c r="CG43" s="1170"/>
      <c r="CH43" s="1170"/>
      <c r="CI43" s="1170"/>
      <c r="CJ43" s="1170"/>
      <c r="CK43" s="1170"/>
      <c r="CL43" s="1170"/>
      <c r="CM43" s="1170"/>
      <c r="CN43" s="1170"/>
      <c r="CO43" s="1170"/>
      <c r="CP43" s="1160"/>
      <c r="CQ43" s="1160"/>
      <c r="CR43" s="1160"/>
      <c r="CS43" s="1160"/>
      <c r="CT43" s="1160"/>
      <c r="CU43" s="1160"/>
      <c r="CV43" s="1160"/>
      <c r="CW43" s="1160"/>
      <c r="CX43" s="1160"/>
      <c r="CY43" s="1160"/>
      <c r="CZ43" s="1171"/>
      <c r="DA43" s="1160"/>
      <c r="DB43" s="1160"/>
      <c r="DC43" s="1160"/>
      <c r="DD43" s="1160"/>
      <c r="DE43" s="1160"/>
      <c r="DF43" s="1160"/>
      <c r="DG43" s="1160"/>
      <c r="DH43" s="1160"/>
      <c r="DI43" s="1160"/>
      <c r="DJ43" s="1160"/>
      <c r="DK43" s="1160"/>
      <c r="DL43" s="1160"/>
      <c r="DM43" s="1171"/>
      <c r="DN43" s="1160" t="s">
        <v>392</v>
      </c>
      <c r="DO43" s="1187">
        <f ca="1">'HydroRefinery Detailed Results'!F31</f>
        <v>2930.2658999919627</v>
      </c>
      <c r="DP43" s="1160"/>
      <c r="DQ43" s="1160"/>
      <c r="DR43" s="1160"/>
      <c r="DS43" s="1160"/>
      <c r="DT43" s="1160"/>
      <c r="DU43" s="1160"/>
      <c r="DV43" s="1160"/>
      <c r="DW43" s="1160"/>
      <c r="DX43" s="1160"/>
      <c r="DY43" s="1160"/>
      <c r="DZ43" s="1160"/>
      <c r="EA43" s="1160"/>
      <c r="EB43" s="1160"/>
      <c r="EC43" s="1160"/>
    </row>
    <row r="44" spans="1:133" ht="13.5" thickBot="1" x14ac:dyDescent="0.25">
      <c r="A44" s="1160"/>
      <c r="B44" s="1939"/>
      <c r="C44" s="2066"/>
      <c r="D44" s="2066"/>
      <c r="E44" s="2063"/>
      <c r="F44" s="2063"/>
      <c r="G44" s="2063"/>
      <c r="H44" s="2063"/>
      <c r="I44" s="2063"/>
      <c r="J44" s="2063"/>
      <c r="K44" s="2063"/>
      <c r="L44" s="2064"/>
      <c r="M44" s="1160"/>
      <c r="N44" s="1170"/>
      <c r="O44" s="1170"/>
      <c r="P44" s="1170"/>
      <c r="Q44" s="1170"/>
      <c r="R44" s="1170"/>
      <c r="S44" s="1170"/>
      <c r="T44" s="1170"/>
      <c r="U44" s="1170"/>
      <c r="V44" s="1170"/>
      <c r="W44" s="1170"/>
      <c r="X44" s="1170"/>
      <c r="Y44" s="1186" t="str">
        <f>HydroRefineryCalcs!C117</f>
        <v>Vol Flow</v>
      </c>
      <c r="Z44" s="1170" t="str">
        <f ca="1">HydroRefineryCalcs!D117</f>
        <v>bpd</v>
      </c>
      <c r="AA44" s="1187">
        <f ca="1">HydroRefineryCalcs!G117</f>
        <v>24855.210656355121</v>
      </c>
      <c r="AB44" s="1170"/>
      <c r="AC44" s="1170" t="s">
        <v>263</v>
      </c>
      <c r="AD44" s="1170"/>
      <c r="AE44" s="1187">
        <f ca="1">U112*AE49</f>
        <v>215180180.9548941</v>
      </c>
      <c r="AF44" s="1170"/>
      <c r="AG44" s="1170"/>
      <c r="AH44" s="1170"/>
      <c r="AI44" s="1170"/>
      <c r="AJ44" s="1170"/>
      <c r="AK44" s="1170"/>
      <c r="AL44" s="1170"/>
      <c r="AM44" s="1170"/>
      <c r="AN44" s="1170"/>
      <c r="AO44" s="1170"/>
      <c r="AP44" s="1170"/>
      <c r="AQ44" s="1170"/>
      <c r="AR44" s="1170"/>
      <c r="AS44" s="1170"/>
      <c r="AT44" s="1170"/>
      <c r="AU44" s="1170"/>
      <c r="AV44" s="1170"/>
      <c r="AW44" s="1170"/>
      <c r="AX44" s="1170"/>
      <c r="AY44" s="1170"/>
      <c r="AZ44" s="1170"/>
      <c r="BA44" s="1170"/>
      <c r="BB44" s="1170"/>
      <c r="BC44" s="1170"/>
      <c r="BD44" s="1170"/>
      <c r="BE44" s="1200" t="s">
        <v>1056</v>
      </c>
      <c r="BF44" s="1199" t="s">
        <v>447</v>
      </c>
      <c r="BG44" s="1199">
        <f ca="1">('Energy &amp; Unit Conversions'!$D$63-('Energy &amp; Unit Conversions'!$E$63*POWER((BG41/'Energy &amp; Unit Conversions'!$E$54),2)))</f>
        <v>41.884932794007184</v>
      </c>
      <c r="BH44" s="1170"/>
      <c r="BI44" s="1170"/>
      <c r="BJ44" s="1170"/>
      <c r="BK44" s="1170"/>
      <c r="BL44" s="1170"/>
      <c r="BM44" s="1170"/>
      <c r="BN44" s="1170"/>
      <c r="BO44" s="1170"/>
      <c r="BP44" s="1170"/>
      <c r="BQ44" s="1170"/>
      <c r="BR44" s="1170"/>
      <c r="BS44" s="1170"/>
      <c r="BT44" s="1170"/>
      <c r="BU44" s="1170"/>
      <c r="BV44" s="1170"/>
      <c r="BW44" s="1170"/>
      <c r="BX44" s="1170"/>
      <c r="BY44" s="1170"/>
      <c r="BZ44" s="1170"/>
      <c r="CA44" s="1170"/>
      <c r="CB44" s="1170"/>
      <c r="CC44" s="1170"/>
      <c r="CD44" s="1170"/>
      <c r="CE44" s="1170"/>
      <c r="CF44" s="1170"/>
      <c r="CG44" s="1170"/>
      <c r="CH44" s="1170"/>
      <c r="CI44" s="1170"/>
      <c r="CJ44" s="1170"/>
      <c r="CK44" s="1170"/>
      <c r="CL44" s="1170"/>
      <c r="CM44" s="1170"/>
      <c r="CN44" s="1170"/>
      <c r="CO44" s="1170"/>
      <c r="CP44" s="1160"/>
      <c r="CQ44" s="1160"/>
      <c r="CR44" s="1160"/>
      <c r="CS44" s="1160"/>
      <c r="CT44" s="1160"/>
      <c r="CU44" s="1160"/>
      <c r="CV44" s="1160"/>
      <c r="CW44" s="1160"/>
      <c r="CX44" s="1160"/>
      <c r="CY44" s="1160"/>
      <c r="CZ44" s="1171"/>
      <c r="DA44" s="1160"/>
      <c r="DB44" s="1160"/>
      <c r="DC44" s="1160"/>
      <c r="DD44" s="1160"/>
      <c r="DE44" s="1160"/>
      <c r="DF44" s="1160"/>
      <c r="DG44" s="1160"/>
      <c r="DH44" s="1160"/>
      <c r="DI44" s="1160"/>
      <c r="DJ44" s="1160"/>
      <c r="DK44" s="1160"/>
      <c r="DL44" s="1160"/>
      <c r="DM44" s="1171"/>
      <c r="DN44" s="1160" t="s">
        <v>224</v>
      </c>
      <c r="DO44" s="1187">
        <f ca="1">'HydroRefinery Detailed Results'!H31</f>
        <v>39900.106887575319</v>
      </c>
      <c r="DP44" s="1160"/>
      <c r="DQ44" s="1160"/>
      <c r="DR44" s="1160"/>
      <c r="DS44" s="1160"/>
      <c r="DT44" s="1160"/>
      <c r="DU44" s="1160"/>
      <c r="DV44" s="1160"/>
      <c r="DW44" s="1160"/>
      <c r="DX44" s="1160"/>
      <c r="DY44" s="1160"/>
      <c r="DZ44" s="1160"/>
      <c r="EA44" s="1160"/>
      <c r="EB44" s="1160"/>
      <c r="EC44" s="1160"/>
    </row>
    <row r="45" spans="1:133" x14ac:dyDescent="0.2">
      <c r="A45" s="1160"/>
      <c r="B45" s="1160"/>
      <c r="C45" s="1160"/>
      <c r="D45" s="1160"/>
      <c r="E45" s="1160"/>
      <c r="F45" s="1160"/>
      <c r="G45" s="1160"/>
      <c r="H45" s="1160"/>
      <c r="I45" s="1160"/>
      <c r="J45" s="1160"/>
      <c r="K45" s="1160"/>
      <c r="L45" s="1160"/>
      <c r="M45" s="1160"/>
      <c r="N45" s="1170"/>
      <c r="O45" s="1170"/>
      <c r="P45" s="1170"/>
      <c r="Q45" s="1160"/>
      <c r="R45" s="1170"/>
      <c r="S45" s="1170"/>
      <c r="T45" s="1170"/>
      <c r="U45" s="1170"/>
      <c r="V45" s="1170"/>
      <c r="W45" s="1170"/>
      <c r="X45" s="1170"/>
      <c r="Y45" s="1186" t="str">
        <f>HydroRefineryCalcs!C118</f>
        <v>Vol Flow</v>
      </c>
      <c r="Z45" s="1170" t="str">
        <f ca="1">HydroRefineryCalcs!D118</f>
        <v>m^3/d</v>
      </c>
      <c r="AA45" s="1187">
        <f ca="1">HydroRefineryCalcs!G118</f>
        <v>3951.7585783460208</v>
      </c>
      <c r="AB45" s="1170"/>
      <c r="AC45" s="1170" t="s">
        <v>392</v>
      </c>
      <c r="AD45" s="1170"/>
      <c r="AE45" s="1187">
        <f ca="1">(U113+W50)*$AE$49</f>
        <v>14442.18013022488</v>
      </c>
      <c r="AF45" s="1170"/>
      <c r="AG45" s="1170"/>
      <c r="AH45" s="1170"/>
      <c r="AI45" s="1170"/>
      <c r="AJ45" s="1170"/>
      <c r="AK45" s="1170"/>
      <c r="AL45" s="1170"/>
      <c r="AM45" s="1170"/>
      <c r="AN45" s="1170"/>
      <c r="AO45" s="1170"/>
      <c r="AP45" s="1170"/>
      <c r="AQ45" s="1170"/>
      <c r="AR45" s="1170"/>
      <c r="AS45" s="1170"/>
      <c r="AT45" s="1170"/>
      <c r="AU45" s="1170"/>
      <c r="AV45" s="1170"/>
      <c r="AW45" s="1170"/>
      <c r="AX45" s="1170"/>
      <c r="AY45" s="1170"/>
      <c r="AZ45" s="1170"/>
      <c r="BA45" s="1170"/>
      <c r="BB45" s="1170"/>
      <c r="BC45" s="1170"/>
      <c r="BD45" s="1170"/>
      <c r="BE45" s="1200" t="s">
        <v>1021</v>
      </c>
      <c r="BF45" s="1199" t="s">
        <v>1022</v>
      </c>
      <c r="BG45" s="1252">
        <f>Constants!G345</f>
        <v>84.555000305175781</v>
      </c>
      <c r="BH45" s="1170"/>
      <c r="BI45" s="1170"/>
      <c r="BJ45" s="1170"/>
      <c r="BK45" s="1170"/>
      <c r="BL45" s="1170"/>
      <c r="BM45" s="1170"/>
      <c r="BN45" s="1170"/>
      <c r="BO45" s="1170"/>
      <c r="BP45" s="1170"/>
      <c r="BQ45" s="1170"/>
      <c r="BR45" s="1184" t="str">
        <f>'HydroRefinery Detailed Results'!C28</f>
        <v>Catalytic Naphtha Reformer</v>
      </c>
      <c r="BS45" s="1170"/>
      <c r="BT45" s="1170"/>
      <c r="BU45" s="1170"/>
      <c r="BV45" s="1181" t="str">
        <f>HydroRefineryCalcs!F187</f>
        <v>Reformate</v>
      </c>
      <c r="BW45" s="1170"/>
      <c r="BX45" s="1170"/>
      <c r="BY45" s="1170"/>
      <c r="BZ45" s="1180" t="str">
        <f>BV45</f>
        <v>Reformate</v>
      </c>
      <c r="CA45" s="1170"/>
      <c r="CB45" s="1170"/>
      <c r="CC45" s="1170"/>
      <c r="CD45" s="1170"/>
      <c r="CE45" s="1170"/>
      <c r="CF45" s="1170"/>
      <c r="CG45" s="1170"/>
      <c r="CH45" s="1170"/>
      <c r="CI45" s="1170"/>
      <c r="CJ45" s="1170"/>
      <c r="CK45" s="1170"/>
      <c r="CL45" s="1170"/>
      <c r="CM45" s="1170"/>
      <c r="CN45" s="1170"/>
      <c r="CO45" s="1170"/>
      <c r="CP45" s="1160"/>
      <c r="CQ45" s="1160"/>
      <c r="CR45" s="1160"/>
      <c r="CS45" s="1160"/>
      <c r="CT45" s="1160"/>
      <c r="CU45" s="1160"/>
      <c r="CV45" s="1160"/>
      <c r="CW45" s="1160"/>
      <c r="CX45" s="1160"/>
      <c r="CY45" s="1160"/>
      <c r="CZ45" s="1171"/>
      <c r="DA45" s="1160"/>
      <c r="DB45" s="1160"/>
      <c r="DC45" s="1160"/>
      <c r="DD45" s="1160"/>
      <c r="DE45" s="1160"/>
      <c r="DF45" s="1160"/>
      <c r="DG45" s="1160"/>
      <c r="DH45" s="1160"/>
      <c r="DI45" s="1160"/>
      <c r="DJ45" s="1160"/>
      <c r="DK45" s="1160"/>
      <c r="DL45" s="1160"/>
      <c r="DM45" s="1171"/>
      <c r="DN45" s="1160" t="s">
        <v>485</v>
      </c>
      <c r="DO45" s="1187">
        <f ca="1">'HydroRefinery Detailed Results'!J31</f>
        <v>-36214.001439675245</v>
      </c>
      <c r="DP45" s="1160"/>
      <c r="DQ45" s="1160"/>
      <c r="DR45" s="1160"/>
      <c r="DS45" s="1160"/>
      <c r="DT45" s="1160"/>
      <c r="DU45" s="1160"/>
      <c r="DV45" s="1160"/>
      <c r="DW45" s="1160"/>
      <c r="DX45" s="1160"/>
      <c r="DY45" s="1160"/>
      <c r="DZ45" s="1160"/>
      <c r="EA45" s="1160"/>
      <c r="EB45" s="1160"/>
      <c r="EC45" s="1160"/>
    </row>
    <row r="46" spans="1:133" x14ac:dyDescent="0.2">
      <c r="A46" s="1160"/>
      <c r="B46" s="1160"/>
      <c r="C46" s="1160"/>
      <c r="D46" s="1160"/>
      <c r="E46" s="1160"/>
      <c r="F46" s="1160"/>
      <c r="G46" s="1160"/>
      <c r="H46" s="1160"/>
      <c r="I46" s="1160"/>
      <c r="J46" s="1160"/>
      <c r="K46" s="1160"/>
      <c r="L46" s="1160"/>
      <c r="M46" s="1160"/>
      <c r="N46" s="1170"/>
      <c r="O46" s="1170"/>
      <c r="P46" s="1170"/>
      <c r="Q46" s="1160"/>
      <c r="R46" s="1170"/>
      <c r="S46" s="1170"/>
      <c r="T46" s="1170"/>
      <c r="U46" s="1170"/>
      <c r="V46" s="1170"/>
      <c r="W46" s="1170"/>
      <c r="X46" s="1170"/>
      <c r="Y46" s="1186" t="str">
        <f>HydroRefineryCalcs!C119</f>
        <v>Mass Flow</v>
      </c>
      <c r="Z46" s="1170" t="str">
        <f>HydroRefineryCalcs!D119</f>
        <v>kg/d</v>
      </c>
      <c r="AA46" s="1187">
        <f ca="1">HydroRefineryCalcs!G119</f>
        <v>3011508.2473713723</v>
      </c>
      <c r="AB46" s="1170"/>
      <c r="AC46" s="1170" t="s">
        <v>224</v>
      </c>
      <c r="AD46" s="1170"/>
      <c r="AE46" s="1187">
        <f ca="1">(U114+W51)*$AE$49</f>
        <v>1622652.1696452037</v>
      </c>
      <c r="AF46" s="1170"/>
      <c r="AG46" s="1170"/>
      <c r="AH46" s="1170"/>
      <c r="AI46" s="1170"/>
      <c r="AJ46" s="1170"/>
      <c r="AK46" s="1170"/>
      <c r="AL46" s="1170"/>
      <c r="AM46" s="1170"/>
      <c r="AN46" s="1170"/>
      <c r="AO46" s="1170"/>
      <c r="AP46" s="1170"/>
      <c r="AQ46" s="1170"/>
      <c r="AR46" s="1170"/>
      <c r="AS46" s="1170"/>
      <c r="AT46" s="1170"/>
      <c r="AU46" s="1170"/>
      <c r="AV46" s="1170"/>
      <c r="AW46" s="1170"/>
      <c r="AX46" s="1184" t="str">
        <f>'HydroRefinery Detailed Results'!C14</f>
        <v>Naphtha Hydrotreater</v>
      </c>
      <c r="AY46" s="1170"/>
      <c r="AZ46" s="1170"/>
      <c r="BA46" s="1170"/>
      <c r="BB46" s="1170"/>
      <c r="BC46" s="1170"/>
      <c r="BD46" s="1170"/>
      <c r="BE46" s="1204" t="s">
        <v>1054</v>
      </c>
      <c r="BF46" s="1204" t="str">
        <f>IF(allocationMethod=1,CokingRefineryPFD!$C$21,IF(allocationMethod=2,CokingRefineryPFD!$C$22,IF(allocationMethod=3,CokingRefineryPFD!$C$23,CokingRefineryPFD!$C$24)))</f>
        <v>Hydrogen Content Basis</v>
      </c>
      <c r="BG46" s="1250">
        <f ca="1">IF(allocationMethod=1,BG38,IF(allocationMethod=2,BG44*BG38,IF(allocationMethod=3,BG45*BG36,BG42*BG38/100)))</f>
        <v>328521.40297617612</v>
      </c>
      <c r="BH46" s="1170"/>
      <c r="BI46" s="1170"/>
      <c r="BJ46" s="1170"/>
      <c r="BK46" s="1170"/>
      <c r="BL46" s="1170"/>
      <c r="BM46" s="1170"/>
      <c r="BN46" s="1170"/>
      <c r="BO46" s="1170"/>
      <c r="BP46" s="1170"/>
      <c r="BQ46" s="1170"/>
      <c r="BR46" s="1184" t="s">
        <v>225</v>
      </c>
      <c r="BS46" s="1170"/>
      <c r="BT46" s="1184" t="s">
        <v>522</v>
      </c>
      <c r="BU46" s="1184"/>
      <c r="BV46" s="1182" t="str">
        <f>HydroRefineryCalcs!C187</f>
        <v>Property</v>
      </c>
      <c r="BW46" s="1182" t="str">
        <f>HydroRefineryCalcs!D187</f>
        <v>Units</v>
      </c>
      <c r="BX46" s="1170"/>
      <c r="BY46" s="1170"/>
      <c r="BZ46" s="1183" t="s">
        <v>226</v>
      </c>
      <c r="CA46" s="1170"/>
      <c r="CB46" s="1227" t="s">
        <v>522</v>
      </c>
      <c r="CC46" s="1170"/>
      <c r="CD46" s="1170"/>
      <c r="CE46" s="1170"/>
      <c r="CF46" s="1170"/>
      <c r="CG46" s="1170"/>
      <c r="CH46" s="1170"/>
      <c r="CI46" s="1170"/>
      <c r="CJ46" s="1170"/>
      <c r="CK46" s="1170"/>
      <c r="CL46" s="1170"/>
      <c r="CM46" s="1170"/>
      <c r="CN46" s="1170"/>
      <c r="CO46" s="1170"/>
      <c r="CP46" s="1160"/>
      <c r="CQ46" s="1160"/>
      <c r="CR46" s="1160"/>
      <c r="CS46" s="1160"/>
      <c r="CT46" s="1160"/>
      <c r="CU46" s="1160"/>
      <c r="CV46" s="1160"/>
      <c r="CW46" s="1160"/>
      <c r="CX46" s="1160"/>
      <c r="CY46" s="1160"/>
      <c r="CZ46" s="1171"/>
      <c r="DA46" s="1160"/>
      <c r="DB46" s="1160"/>
      <c r="DC46" s="1160"/>
      <c r="DD46" s="1160"/>
      <c r="DE46" s="1160"/>
      <c r="DF46" s="1160"/>
      <c r="DG46" s="1160"/>
      <c r="DH46" s="1160"/>
      <c r="DI46" s="1160"/>
      <c r="DJ46" s="1160"/>
      <c r="DK46" s="1160"/>
      <c r="DL46" s="1160"/>
      <c r="DM46" s="1171"/>
      <c r="DN46" s="1160" t="s">
        <v>541</v>
      </c>
      <c r="DO46" s="1170">
        <f>'HydroRefinery Detailed Results'!L31</f>
        <v>0</v>
      </c>
      <c r="DP46" s="1160"/>
      <c r="DQ46" s="1160"/>
      <c r="DR46" s="1160"/>
      <c r="DS46" s="1160"/>
      <c r="DT46" s="1160"/>
      <c r="DU46" s="1160"/>
      <c r="DV46" s="1160"/>
      <c r="DW46" s="1160"/>
      <c r="DX46" s="1160"/>
      <c r="DY46" s="1160"/>
      <c r="DZ46" s="1160"/>
      <c r="EA46" s="1160"/>
      <c r="EB46" s="1160"/>
      <c r="EC46" s="1160"/>
    </row>
    <row r="47" spans="1:133" x14ac:dyDescent="0.2">
      <c r="A47" s="1160"/>
      <c r="B47" s="1160"/>
      <c r="C47" s="1160"/>
      <c r="D47" s="1160"/>
      <c r="E47" s="1160"/>
      <c r="F47" s="1160"/>
      <c r="G47" s="1160"/>
      <c r="H47" s="1160"/>
      <c r="I47" s="1160"/>
      <c r="J47" s="1160"/>
      <c r="K47" s="1160"/>
      <c r="L47" s="1160"/>
      <c r="M47" s="1160"/>
      <c r="N47" s="1170"/>
      <c r="O47" s="1170"/>
      <c r="P47" s="1170"/>
      <c r="Q47" s="1160"/>
      <c r="R47" s="1170"/>
      <c r="S47" s="1170"/>
      <c r="T47" s="1170"/>
      <c r="U47" s="1170"/>
      <c r="V47" s="1170"/>
      <c r="W47" s="1170"/>
      <c r="X47" s="1170"/>
      <c r="Y47" s="1186" t="str">
        <f>HydroRefineryCalcs!C120</f>
        <v xml:space="preserve">Sulphur </v>
      </c>
      <c r="Z47" s="1170" t="str">
        <f ca="1">HydroRefineryCalcs!D120</f>
        <v>wt%</v>
      </c>
      <c r="AA47" s="1170">
        <f ca="1">HydroRefineryCalcs!G120</f>
        <v>0</v>
      </c>
      <c r="AB47" s="1170"/>
      <c r="AC47" s="1170" t="s">
        <v>485</v>
      </c>
      <c r="AD47" s="1170"/>
      <c r="AE47" s="1187">
        <f ca="1">(U115+W52)*$AE$49</f>
        <v>310346.21470556519</v>
      </c>
      <c r="AF47" s="1170"/>
      <c r="AG47" s="1170"/>
      <c r="AH47" s="1170"/>
      <c r="AI47" s="1170"/>
      <c r="AJ47" s="1170"/>
      <c r="AK47" s="1170"/>
      <c r="AL47" s="1170"/>
      <c r="AM47" s="1170"/>
      <c r="AN47" s="1170"/>
      <c r="AO47" s="1170"/>
      <c r="AP47" s="1170"/>
      <c r="AQ47" s="1170"/>
      <c r="AR47" s="1170"/>
      <c r="AS47" s="1170"/>
      <c r="AT47" s="1170"/>
      <c r="AU47" s="1170"/>
      <c r="AV47" s="1170"/>
      <c r="AW47" s="1170"/>
      <c r="AX47" s="1184" t="s">
        <v>225</v>
      </c>
      <c r="AY47" s="1170"/>
      <c r="AZ47" s="1184" t="s">
        <v>522</v>
      </c>
      <c r="BA47" s="1170"/>
      <c r="BB47" s="1170"/>
      <c r="BC47" s="1170"/>
      <c r="BD47" s="1170"/>
      <c r="BE47" s="1170"/>
      <c r="BF47" s="1170"/>
      <c r="BG47" s="1170"/>
      <c r="BH47" s="1170"/>
      <c r="BI47" s="1170"/>
      <c r="BJ47" s="1170"/>
      <c r="BK47" s="1170"/>
      <c r="BL47" s="1170"/>
      <c r="BM47" s="1170"/>
      <c r="BN47" s="1170"/>
      <c r="BO47" s="1170"/>
      <c r="BP47" s="1170"/>
      <c r="BQ47" s="1170"/>
      <c r="BR47" s="1170" t="s">
        <v>392</v>
      </c>
      <c r="BS47" s="1170"/>
      <c r="BT47" s="1170">
        <f ca="1">'HydroRefinery Detailed Results'!F28+IF(AND($EC$147+$EC$164=0,E28=FALSE),'HydroRefinery Detailed Results'!F31*HydroRefineryCalcs!$T$1046,0)</f>
        <v>191133.92142457914</v>
      </c>
      <c r="BU47" s="1170"/>
      <c r="BV47" s="1186" t="str">
        <f>HydroRefineryCalcs!C188</f>
        <v>Vol Flow</v>
      </c>
      <c r="BW47" s="1170" t="str">
        <f>HydroRefineryCalcs!D188</f>
        <v>bpd</v>
      </c>
      <c r="BX47" s="1170">
        <f ca="1">HydroRefineryCalcs!F188</f>
        <v>15693.336005246892</v>
      </c>
      <c r="BY47" s="1170"/>
      <c r="BZ47" s="1170" t="s">
        <v>263</v>
      </c>
      <c r="CA47" s="1170"/>
      <c r="CB47" s="1187">
        <f ca="1">(BK36+IF(reformerFeedstockActive=1,0,CC172))*CB52</f>
        <v>153864766.38329291</v>
      </c>
      <c r="CC47" s="1170"/>
      <c r="CD47" s="1170"/>
      <c r="CE47" s="1170"/>
      <c r="CF47" s="1170"/>
      <c r="CG47" s="1170"/>
      <c r="CH47" s="1170"/>
      <c r="CI47" s="1170"/>
      <c r="CJ47" s="1170"/>
      <c r="CK47" s="1170"/>
      <c r="CL47" s="1170"/>
      <c r="CM47" s="1170"/>
      <c r="CN47" s="1170"/>
      <c r="CO47" s="1170"/>
      <c r="CP47" s="1160"/>
      <c r="CQ47" s="1160"/>
      <c r="CR47" s="1160"/>
      <c r="CS47" s="1160"/>
      <c r="CT47" s="1160"/>
      <c r="CU47" s="1160"/>
      <c r="CV47" s="1160"/>
      <c r="CW47" s="1160"/>
      <c r="CX47" s="1160"/>
      <c r="CY47" s="1160"/>
      <c r="CZ47" s="1171"/>
      <c r="DA47" s="1160"/>
      <c r="DB47" s="1160"/>
      <c r="DC47" s="1160"/>
      <c r="DD47" s="1160"/>
      <c r="DE47" s="1160"/>
      <c r="DF47" s="1160"/>
      <c r="DG47" s="1160"/>
      <c r="DH47" s="1160"/>
      <c r="DI47" s="1160"/>
      <c r="DJ47" s="1160"/>
      <c r="DK47" s="1160"/>
      <c r="DL47" s="1160"/>
      <c r="DM47" s="1171"/>
      <c r="DN47" s="1160"/>
      <c r="DO47" s="1195" t="str">
        <f>CokingRefineryCalcs!S977</f>
        <v>Treated Gases to incinerator</v>
      </c>
      <c r="DP47" s="1160"/>
      <c r="DQ47" s="1160"/>
      <c r="DR47" s="1160"/>
      <c r="DS47" s="1160"/>
      <c r="DT47" s="1160"/>
      <c r="DU47" s="1160"/>
      <c r="DV47" s="1160"/>
      <c r="DW47" s="1160"/>
      <c r="DX47" s="1160"/>
      <c r="DY47" s="1160"/>
      <c r="DZ47" s="1160"/>
      <c r="EA47" s="1160"/>
      <c r="EB47" s="1160"/>
      <c r="EC47" s="1160"/>
    </row>
    <row r="48" spans="1:133" x14ac:dyDescent="0.2">
      <c r="A48" s="1160"/>
      <c r="B48" s="1160"/>
      <c r="C48" s="1160"/>
      <c r="D48" s="1160"/>
      <c r="E48" s="1160"/>
      <c r="F48" s="1160"/>
      <c r="G48" s="1160"/>
      <c r="H48" s="1160"/>
      <c r="I48" s="1160"/>
      <c r="J48" s="1160"/>
      <c r="K48" s="1160"/>
      <c r="L48" s="1160"/>
      <c r="M48" s="1160"/>
      <c r="N48" s="1170"/>
      <c r="O48" s="1170"/>
      <c r="P48" s="1170"/>
      <c r="Q48" s="1160"/>
      <c r="R48" s="1170"/>
      <c r="S48" s="1170"/>
      <c r="T48" s="1170"/>
      <c r="U48" s="1170"/>
      <c r="V48" s="1231" t="str">
        <f>'HydroRefinery Detailed Results'!C11</f>
        <v>Atmospheric Tower</v>
      </c>
      <c r="W48" s="1107"/>
      <c r="X48" s="1170"/>
      <c r="Y48" s="1186" t="str">
        <f>HydroRefineryCalcs!C122</f>
        <v xml:space="preserve">API gravity </v>
      </c>
      <c r="Z48" s="1170" t="str">
        <f ca="1">HydroRefineryCalcs!D122</f>
        <v>oAPI</v>
      </c>
      <c r="AA48" s="1170">
        <f ca="1">HydroRefineryCalcs!G122</f>
        <v>54.178999658740054</v>
      </c>
      <c r="AB48" s="1170"/>
      <c r="AC48" s="1170" t="s">
        <v>541</v>
      </c>
      <c r="AD48" s="1170"/>
      <c r="AE48" s="1170">
        <f ca="1">(U116+W53)*$AE$49</f>
        <v>0</v>
      </c>
      <c r="AF48" s="1170"/>
      <c r="AG48" s="1170"/>
      <c r="AH48" s="1170"/>
      <c r="AI48" s="1170"/>
      <c r="AJ48" s="1170"/>
      <c r="AK48" s="1170"/>
      <c r="AL48" s="1170"/>
      <c r="AM48" s="1170"/>
      <c r="AN48" s="1170"/>
      <c r="AO48" s="1170"/>
      <c r="AP48" s="1170"/>
      <c r="AQ48" s="1170"/>
      <c r="AR48" s="1170"/>
      <c r="AS48" s="1170"/>
      <c r="AT48" s="1170"/>
      <c r="AU48" s="1170"/>
      <c r="AV48" s="1170"/>
      <c r="AW48" s="1170"/>
      <c r="AX48" s="1170" t="s">
        <v>392</v>
      </c>
      <c r="AY48" s="1170"/>
      <c r="AZ48" s="1187">
        <f ca="1">'HydroRefinery Detailed Results'!F14+IF(AND($EC$147+$EC$164=0,E28=FALSE),'HydroRefinery Detailed Results'!F31*HydroRefineryCalcs!$T$1038,0)</f>
        <v>374030.38676953618</v>
      </c>
      <c r="BA48" s="1187"/>
      <c r="BB48" s="1187"/>
      <c r="BC48" s="1170"/>
      <c r="BD48" s="1170"/>
      <c r="BE48" s="1170"/>
      <c r="BF48" s="1170"/>
      <c r="BG48" s="1170"/>
      <c r="BH48" s="1170"/>
      <c r="BI48" s="1170"/>
      <c r="BJ48" s="1170"/>
      <c r="BK48" s="1170"/>
      <c r="BL48" s="1170"/>
      <c r="BM48" s="1170"/>
      <c r="BN48" s="1170"/>
      <c r="BO48" s="1170"/>
      <c r="BP48" s="1170"/>
      <c r="BQ48" s="1170"/>
      <c r="BR48" s="1170" t="s">
        <v>224</v>
      </c>
      <c r="BS48" s="1170"/>
      <c r="BT48" s="1170">
        <f ca="1">'HydroRefinery Detailed Results'!H28+IF(AND($EC$147+$EC$164=0,E28=FALSE),'HydroRefinery Detailed Results'!H31*HydroRefineryCalcs!$T$1046,0)</f>
        <v>5504692.7434973232</v>
      </c>
      <c r="BU48" s="1170"/>
      <c r="BV48" s="1186" t="str">
        <f>HydroRefineryCalcs!C189</f>
        <v>Vol Flow</v>
      </c>
      <c r="BW48" s="1170" t="str">
        <f>HydroRefineryCalcs!D189</f>
        <v>m^3/d</v>
      </c>
      <c r="BX48" s="1170">
        <f ca="1">HydroRefineryCalcs!F189</f>
        <v>2495.0411194669891</v>
      </c>
      <c r="BY48" s="1170"/>
      <c r="BZ48" s="1170" t="s">
        <v>392</v>
      </c>
      <c r="CA48" s="1170"/>
      <c r="CB48" s="1187">
        <f ca="1">(BK37+BT47+IF(reformerFeedstockActive=1,0,CC173))*$CB$52</f>
        <v>468911.55172074144</v>
      </c>
      <c r="CC48" s="1170"/>
      <c r="CD48" s="1170"/>
      <c r="CE48" s="1170"/>
      <c r="CF48" s="1170"/>
      <c r="CG48" s="1170"/>
      <c r="CH48" s="1170"/>
      <c r="CI48" s="1170"/>
      <c r="CJ48" s="1170"/>
      <c r="CK48" s="1170"/>
      <c r="CL48" s="1170"/>
      <c r="CM48" s="1170"/>
      <c r="CN48" s="1170"/>
      <c r="CO48" s="1170"/>
      <c r="CP48" s="1160"/>
      <c r="CQ48" s="1160"/>
      <c r="CR48" s="1160"/>
      <c r="CS48" s="1160"/>
      <c r="CT48" s="1160"/>
      <c r="CU48" s="1160"/>
      <c r="CV48" s="1160"/>
      <c r="CW48" s="1160"/>
      <c r="CX48" s="1160"/>
      <c r="CY48" s="1160"/>
      <c r="CZ48" s="1171"/>
      <c r="DA48" s="1160"/>
      <c r="DB48" s="1160"/>
      <c r="DC48" s="1160"/>
      <c r="DD48" s="1160"/>
      <c r="DE48" s="1160"/>
      <c r="DF48" s="1160"/>
      <c r="DG48" s="1160"/>
      <c r="DH48" s="1160"/>
      <c r="DI48" s="1160"/>
      <c r="DJ48" s="1160"/>
      <c r="DK48" s="1160"/>
      <c r="DL48" s="1160"/>
      <c r="DM48" s="1171"/>
      <c r="DN48" s="1160"/>
      <c r="DO48" s="1229" t="s">
        <v>620</v>
      </c>
      <c r="DP48" s="1160" t="s">
        <v>622</v>
      </c>
      <c r="DQ48" s="1170">
        <f ca="1">HydroRefineryCalcs!R1049</f>
        <v>1073.889253564899</v>
      </c>
      <c r="DR48" s="1160"/>
      <c r="DS48" s="1160"/>
      <c r="DT48" s="1160"/>
      <c r="DU48" s="1160"/>
      <c r="DV48" s="1160"/>
      <c r="DW48" s="1160"/>
      <c r="DX48" s="1160"/>
      <c r="DY48" s="1160"/>
      <c r="DZ48" s="1160"/>
      <c r="EA48" s="1160"/>
      <c r="EB48" s="1160"/>
      <c r="EC48" s="1160"/>
    </row>
    <row r="49" spans="1:133" x14ac:dyDescent="0.2">
      <c r="A49" s="1160"/>
      <c r="B49" s="1160"/>
      <c r="C49" s="1160"/>
      <c r="D49" s="1160"/>
      <c r="E49" s="1160"/>
      <c r="F49" s="1160"/>
      <c r="G49" s="1160"/>
      <c r="H49" s="1160"/>
      <c r="I49" s="1160"/>
      <c r="J49" s="1160"/>
      <c r="K49" s="1160"/>
      <c r="L49" s="1160"/>
      <c r="M49" s="1160"/>
      <c r="N49" s="1170"/>
      <c r="O49" s="1170"/>
      <c r="P49" s="1170"/>
      <c r="Q49" s="1160"/>
      <c r="R49" s="1170"/>
      <c r="S49" s="1170"/>
      <c r="T49" s="1170"/>
      <c r="U49" s="1170"/>
      <c r="V49" s="1231" t="s">
        <v>225</v>
      </c>
      <c r="W49" s="1231" t="s">
        <v>522</v>
      </c>
      <c r="X49" s="1170"/>
      <c r="Y49" s="1186" t="str">
        <f>HydroRefineryCalcs!C123</f>
        <v>Density</v>
      </c>
      <c r="Z49" s="1170" t="str">
        <f ca="1">HydroRefineryCalcs!D123</f>
        <v>kg/m^3</v>
      </c>
      <c r="AA49" s="1187">
        <f ca="1">HydroRefineryCalcs!G123</f>
        <v>762.06787121894899</v>
      </c>
      <c r="AB49" s="1170"/>
      <c r="AC49" s="1180" t="s">
        <v>1065</v>
      </c>
      <c r="AD49" s="1170"/>
      <c r="AE49" s="1205">
        <f ca="1">IF(HydroRefineryConfig=0,IF(E23=TRUE,IF(E24=TRUE,AA54/(AA54+AA71+AA88+AA103+AN300),AA54/(AA54+AA71+AA88+AA103+W141)),IF(E24=TRUE,AA54/(AA54+AA71+AA88+AN300),AA54/(AA54+AA71+AA88+W141))),AA54/(AA54+AA71+AA88+AA103+W141))</f>
        <v>0.38520551081670162</v>
      </c>
      <c r="AF49" s="1170"/>
      <c r="AG49" s="1170"/>
      <c r="AH49" s="1170"/>
      <c r="AI49" s="1170"/>
      <c r="AJ49" s="1170"/>
      <c r="AK49" s="1170"/>
      <c r="AL49" s="1170"/>
      <c r="AM49" s="1170"/>
      <c r="AN49" s="1170"/>
      <c r="AO49" s="1170"/>
      <c r="AP49" s="1170"/>
      <c r="AQ49" s="1170"/>
      <c r="AR49" s="1170"/>
      <c r="AS49" s="1170"/>
      <c r="AT49" s="1170"/>
      <c r="AU49" s="1170"/>
      <c r="AV49" s="1170"/>
      <c r="AW49" s="1170"/>
      <c r="AX49" s="1170" t="s">
        <v>224</v>
      </c>
      <c r="AY49" s="1170"/>
      <c r="AZ49" s="1187">
        <f ca="1">'HydroRefinery Detailed Results'!H14+IF(AND($EC$147+$EC$164=0,E28=FALSE),'HydroRefinery Detailed Results'!H31*HydroRefineryCalcs!$T$1038,0)</f>
        <v>3653722.7596468586</v>
      </c>
      <c r="BA49" s="1187"/>
      <c r="BB49" s="1187"/>
      <c r="BC49" s="1170"/>
      <c r="BD49" s="1170"/>
      <c r="BE49" s="1170"/>
      <c r="BF49" s="1170"/>
      <c r="BG49" s="1170"/>
      <c r="BH49" s="1170"/>
      <c r="BI49" s="1170"/>
      <c r="BJ49" s="1170"/>
      <c r="BK49" s="1170"/>
      <c r="BL49" s="1170"/>
      <c r="BM49" s="1170"/>
      <c r="BN49" s="1170"/>
      <c r="BO49" s="1170"/>
      <c r="BP49" s="1170"/>
      <c r="BQ49" s="1170"/>
      <c r="BR49" s="1170" t="s">
        <v>485</v>
      </c>
      <c r="BS49" s="1170"/>
      <c r="BT49" s="1170">
        <f ca="1">'HydroRefinery Detailed Results'!J28+IF(AND($EC$147+$EC$164=0,E28=FALSE),'HydroRefinery Detailed Results'!J31*HydroRefineryCalcs!$T$1046,0)</f>
        <v>784000.0434608584</v>
      </c>
      <c r="BU49" s="1170"/>
      <c r="BV49" s="1186" t="str">
        <f>HydroRefineryCalcs!C190</f>
        <v>Mass Flow</v>
      </c>
      <c r="BW49" s="1170" t="str">
        <f>HydroRefineryCalcs!D190</f>
        <v>kg/d</v>
      </c>
      <c r="BX49" s="1170">
        <f ca="1">HydroRefineryCalcs!F190</f>
        <v>1921181.6619895815</v>
      </c>
      <c r="BY49" s="1170"/>
      <c r="BZ49" s="1170" t="s">
        <v>224</v>
      </c>
      <c r="CA49" s="1170"/>
      <c r="CB49" s="1187">
        <f ca="1">(BK38+BT48+IF(reformerFeedstockActive=1,0,CC174))*$CB$52</f>
        <v>9277569.0011688694</v>
      </c>
      <c r="CC49" s="1170"/>
      <c r="CD49" s="1170"/>
      <c r="CE49" s="1170"/>
      <c r="CF49" s="1170"/>
      <c r="CG49" s="1170"/>
      <c r="CH49" s="1170"/>
      <c r="CI49" s="1170"/>
      <c r="CJ49" s="1170"/>
      <c r="CK49" s="1170"/>
      <c r="CL49" s="1170"/>
      <c r="CM49" s="1170"/>
      <c r="CN49" s="1170"/>
      <c r="CO49" s="1170"/>
      <c r="CP49" s="1170"/>
      <c r="CQ49" s="1170"/>
      <c r="CR49" s="1170"/>
      <c r="CS49" s="1160"/>
      <c r="CT49" s="1160"/>
      <c r="CU49" s="1160"/>
      <c r="CV49" s="1160"/>
      <c r="CW49" s="1160"/>
      <c r="CX49" s="1160"/>
      <c r="CY49" s="1160"/>
      <c r="CZ49" s="1171"/>
      <c r="DA49" s="1160"/>
      <c r="DB49" s="1160"/>
      <c r="DC49" s="1160"/>
      <c r="DD49" s="1160"/>
      <c r="DE49" s="1160"/>
      <c r="DF49" s="1160"/>
      <c r="DG49" s="1160"/>
      <c r="DH49" s="1160"/>
      <c r="DI49" s="1160"/>
      <c r="DJ49" s="1160"/>
      <c r="DK49" s="1160"/>
      <c r="DL49" s="1160"/>
      <c r="DM49" s="1171"/>
      <c r="DN49" s="1160"/>
      <c r="DO49" s="1160"/>
      <c r="DP49" s="1160"/>
      <c r="DQ49" s="1160"/>
      <c r="DR49" s="1160"/>
      <c r="DS49" s="1160"/>
      <c r="DT49" s="1160"/>
      <c r="DU49" s="1160"/>
      <c r="DV49" s="1160"/>
      <c r="DW49" s="1160"/>
      <c r="DX49" s="1160"/>
      <c r="DY49" s="1160"/>
      <c r="DZ49" s="1160"/>
      <c r="EA49" s="1160"/>
      <c r="EB49" s="1160"/>
      <c r="EC49" s="1160"/>
    </row>
    <row r="50" spans="1:133" x14ac:dyDescent="0.2">
      <c r="A50" s="1160"/>
      <c r="B50" s="1160"/>
      <c r="C50" s="1160"/>
      <c r="D50" s="1160"/>
      <c r="E50" s="1160"/>
      <c r="F50" s="1160"/>
      <c r="G50" s="1160"/>
      <c r="H50" s="1160"/>
      <c r="I50" s="1160"/>
      <c r="J50" s="1160"/>
      <c r="K50" s="1160"/>
      <c r="L50" s="1160"/>
      <c r="M50" s="1160"/>
      <c r="N50" s="1170"/>
      <c r="O50" s="1170"/>
      <c r="P50" s="1170"/>
      <c r="Q50" s="1160"/>
      <c r="R50" s="1170"/>
      <c r="S50" s="1170"/>
      <c r="T50" s="1170"/>
      <c r="U50" s="1170"/>
      <c r="V50" s="1107" t="s">
        <v>392</v>
      </c>
      <c r="W50" s="1107">
        <f ca="1">'HydroRefinery Detailed Results'!F11</f>
        <v>32136.122647744916</v>
      </c>
      <c r="X50" s="1170"/>
      <c r="Y50" s="1186" t="str">
        <f>HydroRefineryCalcs!C124</f>
        <v>Hydrogen</v>
      </c>
      <c r="Z50" s="1170" t="str">
        <f ca="1">HydroRefineryCalcs!D124</f>
        <v>wt%</v>
      </c>
      <c r="AA50" s="1170">
        <f ca="1">HydroRefineryCalcs!G124</f>
        <v>14.018113298939959</v>
      </c>
      <c r="AB50" s="1170"/>
      <c r="AC50" s="1198" t="s">
        <v>228</v>
      </c>
      <c r="AD50" s="1170"/>
      <c r="AE50" s="1289">
        <f ca="1">IF(HydroRefineryConfig=0,IF(E23=TRUE,IF(E24=TRUE,AA46/U102,AA46/(U102-AN292)),IF(E24=TRUE,AA46/(U102-AA95),AA46/(U102-AA95-AN292))),AA46/U102)</f>
        <v>0.35951923331391844</v>
      </c>
      <c r="AF50" s="1170"/>
      <c r="AG50" s="1170"/>
      <c r="AH50" s="1170"/>
      <c r="AI50" s="1170"/>
      <c r="AJ50" s="1170"/>
      <c r="AK50" s="1170"/>
      <c r="AL50" s="1170"/>
      <c r="AM50" s="1170"/>
      <c r="AN50" s="1170"/>
      <c r="AO50" s="1170"/>
      <c r="AP50" s="1170"/>
      <c r="AQ50" s="1170"/>
      <c r="AR50" s="1170"/>
      <c r="AS50" s="1170"/>
      <c r="AT50" s="1170"/>
      <c r="AU50" s="1170"/>
      <c r="AV50" s="1170"/>
      <c r="AW50" s="1170"/>
      <c r="AX50" s="1170" t="s">
        <v>485</v>
      </c>
      <c r="AY50" s="1170"/>
      <c r="AZ50" s="1187">
        <f ca="1">'HydroRefinery Detailed Results'!J14+IF(AND($EC$147+$EC$164=0,E28=FALSE),'HydroRefinery Detailed Results'!J31*HydroRefineryCalcs!$T$1038,0)</f>
        <v>255701.89852346506</v>
      </c>
      <c r="BA50" s="1187"/>
      <c r="BB50" s="1187"/>
      <c r="BC50" s="1170"/>
      <c r="BD50" s="1170"/>
      <c r="BE50" s="1170"/>
      <c r="BF50" s="1170"/>
      <c r="BG50" s="1170"/>
      <c r="BH50" s="1170"/>
      <c r="BI50" s="1170"/>
      <c r="BJ50" s="1170"/>
      <c r="BK50" s="1170"/>
      <c r="BL50" s="1170"/>
      <c r="BM50" s="1170"/>
      <c r="BN50" s="1170"/>
      <c r="BO50" s="1170"/>
      <c r="BP50" s="1170"/>
      <c r="BQ50" s="1170"/>
      <c r="BR50" s="1170" t="s">
        <v>541</v>
      </c>
      <c r="BS50" s="1170"/>
      <c r="BT50" s="1170">
        <f ca="1">'HydroRefinery Detailed Results'!L28+IF(AND($EC$147+$EC$164=0,E28=FALSE),'HydroRefinery Detailed Results'!L31*HydroRefineryCalcs!$T$1046,0)</f>
        <v>0</v>
      </c>
      <c r="BU50" s="1170"/>
      <c r="BV50" s="1186" t="str">
        <f>HydroRefineryCalcs!C191</f>
        <v>S</v>
      </c>
      <c r="BW50" s="1170" t="str">
        <f>HydroRefineryCalcs!D191</f>
        <v>wt%</v>
      </c>
      <c r="BX50" s="1170">
        <f>HydroRefineryCalcs!F191</f>
        <v>0</v>
      </c>
      <c r="BY50" s="1170"/>
      <c r="BZ50" s="1170" t="s">
        <v>485</v>
      </c>
      <c r="CA50" s="1170"/>
      <c r="CB50" s="1187">
        <f ca="1">(BK39+BT49+IF(reformerFeedstockActive=1,0,CC175))*$CB$52</f>
        <v>1188753.2150456766</v>
      </c>
      <c r="CC50" s="1170"/>
      <c r="CD50" s="1170"/>
      <c r="CE50" s="1170"/>
      <c r="CF50" s="1170"/>
      <c r="CG50" s="1170"/>
      <c r="CH50" s="1170"/>
      <c r="CI50" s="1170"/>
      <c r="CJ50" s="1170"/>
      <c r="CK50" s="1170"/>
      <c r="CL50" s="1170"/>
      <c r="CM50" s="1170"/>
      <c r="CN50" s="1170"/>
      <c r="CO50" s="1170"/>
      <c r="CP50" s="1170"/>
      <c r="CQ50" s="1170"/>
      <c r="CR50" s="1170"/>
      <c r="CS50" s="1160"/>
      <c r="CT50" s="1160"/>
      <c r="CU50" s="1160"/>
      <c r="CV50" s="1160"/>
      <c r="CW50" s="1170"/>
      <c r="CX50" s="1160"/>
      <c r="CY50" s="1160"/>
      <c r="CZ50" s="1171"/>
      <c r="DA50" s="1160"/>
      <c r="DB50" s="1160"/>
      <c r="DC50" s="1160"/>
      <c r="DD50" s="1160"/>
      <c r="DE50" s="1160"/>
      <c r="DF50" s="1160"/>
      <c r="DG50" s="1160"/>
      <c r="DH50" s="1160"/>
      <c r="DI50" s="1160"/>
      <c r="DJ50" s="1160"/>
      <c r="DK50" s="1160"/>
      <c r="DL50" s="1160"/>
      <c r="DM50" s="1171"/>
      <c r="DN50" s="1160"/>
      <c r="DO50" s="1160"/>
      <c r="DP50" s="1160"/>
      <c r="DQ50" s="1160"/>
      <c r="DR50" s="1160"/>
      <c r="DS50" s="1160"/>
      <c r="DT50" s="1160"/>
      <c r="DU50" s="1160"/>
      <c r="DV50" s="1160"/>
      <c r="DW50" s="1160"/>
      <c r="DX50" s="1160"/>
      <c r="DY50" s="1160"/>
      <c r="DZ50" s="1160"/>
      <c r="EA50" s="1160"/>
      <c r="EB50" s="1160"/>
      <c r="EC50" s="1160"/>
    </row>
    <row r="51" spans="1:133" x14ac:dyDescent="0.2">
      <c r="A51" s="1160"/>
      <c r="B51" s="1160"/>
      <c r="C51" s="1160"/>
      <c r="D51" s="1160"/>
      <c r="E51" s="1160"/>
      <c r="F51" s="1160"/>
      <c r="G51" s="1160"/>
      <c r="H51" s="1160"/>
      <c r="I51" s="1160"/>
      <c r="J51" s="1160"/>
      <c r="K51" s="1160"/>
      <c r="L51" s="1160"/>
      <c r="M51" s="1160"/>
      <c r="N51" s="1170"/>
      <c r="O51" s="1170"/>
      <c r="P51" s="1170"/>
      <c r="Q51" s="1160"/>
      <c r="R51" s="1170"/>
      <c r="S51" s="1170"/>
      <c r="T51" s="1170"/>
      <c r="U51" s="1170"/>
      <c r="V51" s="1107" t="s">
        <v>224</v>
      </c>
      <c r="W51" s="1107">
        <f>'HydroRefinery Detailed Results'!H11</f>
        <v>0</v>
      </c>
      <c r="X51" s="1170"/>
      <c r="Y51" s="1186" t="str">
        <f>HydroRefineryCalcs!C125</f>
        <v>MCR</v>
      </c>
      <c r="Z51" s="1170" t="str">
        <f ca="1">HydroRefineryCalcs!D125</f>
        <v>wt%</v>
      </c>
      <c r="AA51" s="1170">
        <f>HydroRefineryCalcs!G125</f>
        <v>0</v>
      </c>
      <c r="AB51" s="1170"/>
      <c r="AC51" s="1170"/>
      <c r="AD51" s="1170"/>
      <c r="AE51" s="1170"/>
      <c r="AF51" s="1170"/>
      <c r="AG51" s="1170"/>
      <c r="AH51" s="1170"/>
      <c r="AI51" s="1170"/>
      <c r="AJ51" s="1170"/>
      <c r="AK51" s="1170"/>
      <c r="AL51" s="1170"/>
      <c r="AM51" s="1170"/>
      <c r="AN51" s="1170"/>
      <c r="AO51" s="1170"/>
      <c r="AP51" s="1170"/>
      <c r="AQ51" s="1170"/>
      <c r="AR51" s="1170"/>
      <c r="AS51" s="1170"/>
      <c r="AT51" s="1170"/>
      <c r="AU51" s="1170"/>
      <c r="AV51" s="1170"/>
      <c r="AW51" s="1170"/>
      <c r="AX51" s="1170" t="s">
        <v>541</v>
      </c>
      <c r="AY51" s="1170"/>
      <c r="AZ51" s="1187">
        <f ca="1">'HydroRefinery Detailed Results'!L14+IF(AND($EC$147+$EC$164=0,E28=FALSE),'HydroRefinery Detailed Results'!L31*HydroRefineryCalcs!$T$1038,0)</f>
        <v>5095228.6215404151</v>
      </c>
      <c r="BA51" s="1187"/>
      <c r="BB51" s="1187"/>
      <c r="BC51" s="1170"/>
      <c r="BD51" s="1170"/>
      <c r="BE51" s="1170"/>
      <c r="BF51" s="1170"/>
      <c r="BG51" s="1170"/>
      <c r="BH51" s="1170"/>
      <c r="BI51" s="1170"/>
      <c r="BJ51" s="1170"/>
      <c r="BK51" s="1170"/>
      <c r="BL51" s="1170"/>
      <c r="BM51" s="1170"/>
      <c r="BN51" s="1170"/>
      <c r="BO51" s="1170"/>
      <c r="BP51" s="1170"/>
      <c r="BQ51" s="1170"/>
      <c r="BR51" s="1170"/>
      <c r="BS51" s="1170"/>
      <c r="BT51" s="1170"/>
      <c r="BU51" s="1170"/>
      <c r="BV51" s="1186" t="str">
        <f>HydroRefineryCalcs!C192</f>
        <v>API</v>
      </c>
      <c r="BW51" s="1170"/>
      <c r="BX51" s="1170">
        <f>HydroRefineryCalcs!F192</f>
        <v>52.266233766233768</v>
      </c>
      <c r="BY51" s="1170"/>
      <c r="BZ51" s="1170" t="s">
        <v>541</v>
      </c>
      <c r="CA51" s="1170"/>
      <c r="CB51" s="1187">
        <f ca="1">(BK40+BT50+IF(reformerFeedstockActive=1,0,CC176))*$CB$52</f>
        <v>3643347.4404741768</v>
      </c>
      <c r="CC51" s="1170"/>
      <c r="CD51" s="1170"/>
      <c r="CE51" s="1170"/>
      <c r="CF51" s="1170"/>
      <c r="CG51" s="1170"/>
      <c r="CH51" s="1170"/>
      <c r="CI51" s="1170"/>
      <c r="CJ51" s="1170"/>
      <c r="CK51" s="1170"/>
      <c r="CL51" s="1170"/>
      <c r="CM51" s="1170"/>
      <c r="CN51" s="1170"/>
      <c r="CO51" s="1170"/>
      <c r="CP51" s="1170"/>
      <c r="CQ51" s="1170"/>
      <c r="CR51" s="1170"/>
      <c r="CS51" s="1160"/>
      <c r="CT51" s="1160"/>
      <c r="CU51" s="1160"/>
      <c r="CV51" s="1160"/>
      <c r="CW51" s="1160"/>
      <c r="CX51" s="1160"/>
      <c r="CY51" s="1160"/>
      <c r="CZ51" s="1171"/>
      <c r="DA51" s="1160"/>
      <c r="DB51" s="1160"/>
      <c r="DC51" s="1160"/>
      <c r="DD51" s="1160"/>
      <c r="DE51" s="1160"/>
      <c r="DF51" s="1160"/>
      <c r="DG51" s="1160"/>
      <c r="DH51" s="1160"/>
      <c r="DI51" s="1160"/>
      <c r="DJ51" s="1160"/>
      <c r="DK51" s="1160"/>
      <c r="DL51" s="1160"/>
      <c r="DM51" s="1171"/>
      <c r="DN51" s="1160"/>
      <c r="DO51" s="1160"/>
      <c r="DP51" s="1160"/>
      <c r="DQ51" s="1160"/>
      <c r="DR51" s="1160"/>
      <c r="DS51" s="1160"/>
      <c r="DT51" s="1160"/>
      <c r="DU51" s="1160"/>
      <c r="DV51" s="1160"/>
      <c r="DW51" s="1160"/>
      <c r="DX51" s="1160"/>
      <c r="DY51" s="1160"/>
      <c r="DZ51" s="1160"/>
      <c r="EA51" s="1160"/>
      <c r="EB51" s="1160"/>
      <c r="EC51" s="1160"/>
    </row>
    <row r="52" spans="1:133" x14ac:dyDescent="0.2">
      <c r="A52" s="1160"/>
      <c r="B52" s="1160"/>
      <c r="C52" s="1160"/>
      <c r="D52" s="1160"/>
      <c r="E52" s="1160"/>
      <c r="F52" s="1160"/>
      <c r="G52" s="1160"/>
      <c r="H52" s="1160"/>
      <c r="I52" s="1160"/>
      <c r="J52" s="1160"/>
      <c r="K52" s="1160"/>
      <c r="L52" s="1160"/>
      <c r="M52" s="1160"/>
      <c r="N52" s="1170"/>
      <c r="O52" s="1170"/>
      <c r="P52" s="1170"/>
      <c r="Q52" s="1160"/>
      <c r="R52" s="1170"/>
      <c r="S52" s="1170"/>
      <c r="T52" s="1170"/>
      <c r="U52" s="1170"/>
      <c r="V52" s="1107" t="s">
        <v>485</v>
      </c>
      <c r="W52" s="1107">
        <f ca="1">'HydroRefinery Detailed Results'!J11</f>
        <v>805664.00529311772</v>
      </c>
      <c r="X52" s="1170"/>
      <c r="Y52" s="1200" t="s">
        <v>1056</v>
      </c>
      <c r="Z52" s="1199" t="s">
        <v>447</v>
      </c>
      <c r="AA52" s="1199">
        <f ca="1">('Energy &amp; Unit Conversions'!$D$63-('Energy &amp; Unit Conversions'!$E$63*POWER((AA49/'Energy &amp; Unit Conversions'!$E$54),2)))</f>
        <v>42.084451194568082</v>
      </c>
      <c r="AB52" s="1170"/>
      <c r="AC52" s="1170"/>
      <c r="AD52" s="1170"/>
      <c r="AE52" s="1170"/>
      <c r="AF52" s="1170"/>
      <c r="AG52" s="1170"/>
      <c r="AH52" s="1170"/>
      <c r="AI52" s="1170"/>
      <c r="AJ52" s="1170"/>
      <c r="AK52" s="1170"/>
      <c r="AL52" s="1170"/>
      <c r="AM52" s="1170"/>
      <c r="AN52" s="1170"/>
      <c r="AO52" s="1170"/>
      <c r="AP52" s="1170"/>
      <c r="AQ52" s="1170"/>
      <c r="AR52" s="1170"/>
      <c r="AS52" s="1170"/>
      <c r="AT52" s="1170"/>
      <c r="AU52" s="1170"/>
      <c r="AV52" s="1170"/>
      <c r="AW52" s="1170"/>
      <c r="AX52" s="1179" t="str">
        <f>CokingRefineryCalcs!C155</f>
        <v>Total hydrogen consumed</v>
      </c>
      <c r="AY52" s="1170"/>
      <c r="AZ52" s="1187"/>
      <c r="BA52" s="1187"/>
      <c r="BB52" s="1187"/>
      <c r="BC52" s="1170"/>
      <c r="BD52" s="1170"/>
      <c r="BE52" s="1170"/>
      <c r="BF52" s="1170"/>
      <c r="BG52" s="1170"/>
      <c r="BH52" s="1170"/>
      <c r="BI52" s="1170"/>
      <c r="BJ52" s="1170"/>
      <c r="BK52" s="1170"/>
      <c r="BL52" s="1170"/>
      <c r="BM52" s="1170"/>
      <c r="BN52" s="1170"/>
      <c r="BO52" s="1170"/>
      <c r="BP52" s="1170"/>
      <c r="BQ52" s="1170"/>
      <c r="BR52" s="1170"/>
      <c r="BS52" s="1170"/>
      <c r="BT52" s="1170"/>
      <c r="BU52" s="1170"/>
      <c r="BV52" s="1186" t="str">
        <f>HydroRefineryCalcs!C193</f>
        <v>Density</v>
      </c>
      <c r="BW52" s="1170" t="str">
        <f>HydroRefineryCalcs!D193</f>
        <v>kg/m^3</v>
      </c>
      <c r="BX52" s="1170">
        <f>HydroRefineryCalcs!F193</f>
        <v>770</v>
      </c>
      <c r="BY52" s="1170"/>
      <c r="BZ52" s="1180" t="s">
        <v>1066</v>
      </c>
      <c r="CA52" s="1170"/>
      <c r="CB52" s="1170">
        <f ca="1">IF(AND('HydroRefineryPFD '!E26=TRUE,'HydroRefineryPFD '!E27=TRUE),CB53,IF('HydroRefineryPFD '!E26=TRUE,CB55,IF('HydroRefineryPFD '!E27=TRUE,CB56,1)))</f>
        <v>1</v>
      </c>
      <c r="CC52" s="1170"/>
      <c r="CD52" s="1170"/>
      <c r="CE52" s="1170"/>
      <c r="CF52" s="1170"/>
      <c r="CG52" s="1170"/>
      <c r="CH52" s="1170"/>
      <c r="CI52" s="1170"/>
      <c r="CJ52" s="1170"/>
      <c r="CK52" s="1170"/>
      <c r="CL52" s="1170"/>
      <c r="CM52" s="1170"/>
      <c r="CN52" s="1170"/>
      <c r="CO52" s="1170"/>
      <c r="CP52" s="1170"/>
      <c r="CQ52" s="1170"/>
      <c r="CR52" s="1170"/>
      <c r="CS52" s="1160"/>
      <c r="CT52" s="1160"/>
      <c r="CU52" s="1160"/>
      <c r="CV52" s="1160"/>
      <c r="CW52" s="1160"/>
      <c r="CX52" s="1160"/>
      <c r="CY52" s="1160"/>
      <c r="CZ52" s="1171"/>
      <c r="DA52" s="1160"/>
      <c r="DB52" s="1160"/>
      <c r="DC52" s="1160"/>
      <c r="DD52" s="1160"/>
      <c r="DE52" s="1160"/>
      <c r="DF52" s="1160"/>
      <c r="DG52" s="1160"/>
      <c r="DH52" s="1160"/>
      <c r="DI52" s="1160"/>
      <c r="DJ52" s="1160"/>
      <c r="DK52" s="1160"/>
      <c r="DL52" s="1160"/>
      <c r="DM52" s="1171"/>
      <c r="DN52" s="1160"/>
      <c r="DO52" s="1160"/>
      <c r="DP52" s="1160"/>
      <c r="DQ52" s="1160"/>
      <c r="DR52" s="1160"/>
      <c r="DS52" s="1160"/>
      <c r="DT52" s="1160"/>
      <c r="DU52" s="1160"/>
      <c r="DV52" s="1160"/>
      <c r="DW52" s="1160"/>
      <c r="DX52" s="1160"/>
      <c r="DY52" s="1160"/>
      <c r="DZ52" s="1160"/>
      <c r="EA52" s="1160"/>
      <c r="EB52" s="1160"/>
      <c r="EC52" s="1160"/>
    </row>
    <row r="53" spans="1:133" x14ac:dyDescent="0.2">
      <c r="A53" s="1160"/>
      <c r="B53" s="1160"/>
      <c r="C53" s="1160"/>
      <c r="D53" s="1160"/>
      <c r="E53" s="1160"/>
      <c r="F53" s="1160"/>
      <c r="G53" s="1160"/>
      <c r="H53" s="1160"/>
      <c r="I53" s="1160"/>
      <c r="J53" s="1160"/>
      <c r="K53" s="1160"/>
      <c r="L53" s="1160"/>
      <c r="M53" s="1160"/>
      <c r="N53" s="1170"/>
      <c r="O53" s="1170"/>
      <c r="P53" s="1170"/>
      <c r="Q53" s="1160"/>
      <c r="R53" s="1170"/>
      <c r="S53" s="1170"/>
      <c r="T53" s="1170"/>
      <c r="U53" s="1170"/>
      <c r="V53" s="1107" t="s">
        <v>541</v>
      </c>
      <c r="W53" s="1107">
        <f>'HydroRefinery Detailed Results'!L11</f>
        <v>0</v>
      </c>
      <c r="X53" s="1170"/>
      <c r="Y53" s="1200" t="s">
        <v>1021</v>
      </c>
      <c r="Z53" s="1199" t="s">
        <v>1022</v>
      </c>
      <c r="AA53" s="1199">
        <f>Constants!G337</f>
        <v>72.819999999999993</v>
      </c>
      <c r="AB53" s="1170"/>
      <c r="AC53" s="1170"/>
      <c r="AD53" s="1170"/>
      <c r="AE53" s="1170"/>
      <c r="AF53" s="1170"/>
      <c r="AG53" s="1170"/>
      <c r="AH53" s="1170"/>
      <c r="AI53" s="1170"/>
      <c r="AJ53" s="1170"/>
      <c r="AK53" s="1170"/>
      <c r="AL53" s="1170"/>
      <c r="AM53" s="1170"/>
      <c r="AN53" s="1170"/>
      <c r="AO53" s="1170"/>
      <c r="AP53" s="1170"/>
      <c r="AQ53" s="1170"/>
      <c r="AR53" s="1170"/>
      <c r="AS53" s="1170"/>
      <c r="AT53" s="1170"/>
      <c r="AU53" s="1170"/>
      <c r="AV53" s="1170"/>
      <c r="AW53" s="1170"/>
      <c r="AX53" s="1170"/>
      <c r="AY53" s="1170" t="str">
        <f>CokingRefineryCalcs!E155</f>
        <v>kg/d</v>
      </c>
      <c r="AZ53" s="1187">
        <f ca="1">HydroRefineryCalcs!D145</f>
        <v>38192.291566084677</v>
      </c>
      <c r="BA53" s="1187"/>
      <c r="BB53" s="1187"/>
      <c r="BC53" s="1170"/>
      <c r="BD53" s="1170"/>
      <c r="BE53" s="1170"/>
      <c r="BF53" s="1170"/>
      <c r="BG53" s="1170"/>
      <c r="BH53" s="1170"/>
      <c r="BI53" s="1170"/>
      <c r="BJ53" s="1170"/>
      <c r="BK53" s="1170"/>
      <c r="BL53" s="1170"/>
      <c r="BM53" s="1170"/>
      <c r="BN53" s="1170"/>
      <c r="BO53" s="1170"/>
      <c r="BP53" s="1170"/>
      <c r="BQ53" s="1170"/>
      <c r="BR53" s="1170"/>
      <c r="BS53" s="1170"/>
      <c r="BT53" s="1170"/>
      <c r="BU53" s="1170"/>
      <c r="BV53" s="1186" t="str">
        <f>HydroRefineryCalcs!C194</f>
        <v>H</v>
      </c>
      <c r="BW53" s="1170" t="str">
        <f>HydroRefineryCalcs!D194</f>
        <v>wt%</v>
      </c>
      <c r="BX53" s="1170">
        <f>HydroRefineryCalcs!F194</f>
        <v>12.3</v>
      </c>
      <c r="BY53" s="1170"/>
      <c r="BZ53" s="1232" t="s">
        <v>1065</v>
      </c>
      <c r="CA53" s="1170"/>
      <c r="CB53" s="1170">
        <f ca="1">BX57/(BX57+CF20+BP42)</f>
        <v>1</v>
      </c>
      <c r="CC53" s="1170"/>
      <c r="CD53" s="1170"/>
      <c r="CE53" s="1170"/>
      <c r="CF53" s="1170"/>
      <c r="CG53" s="1170"/>
      <c r="CH53" s="1170"/>
      <c r="CI53" s="1170"/>
      <c r="CJ53" s="1170"/>
      <c r="CK53" s="1170"/>
      <c r="CL53" s="1170"/>
      <c r="CM53" s="1170"/>
      <c r="CN53" s="1170"/>
      <c r="CO53" s="1170"/>
      <c r="CP53" s="1170"/>
      <c r="CQ53" s="1170"/>
      <c r="CR53" s="1170"/>
      <c r="CS53" s="1160"/>
      <c r="CT53" s="1160"/>
      <c r="CU53" s="1160"/>
      <c r="CV53" s="1160"/>
      <c r="CW53" s="1160"/>
      <c r="CX53" s="1160"/>
      <c r="CY53" s="1160"/>
      <c r="CZ53" s="1171"/>
      <c r="DA53" s="1160"/>
      <c r="DB53" s="1160"/>
      <c r="DC53" s="1160"/>
      <c r="DD53" s="1160"/>
      <c r="DE53" s="1160"/>
      <c r="DF53" s="1160"/>
      <c r="DG53" s="1160"/>
      <c r="DH53" s="1160"/>
      <c r="DI53" s="1160"/>
      <c r="DJ53" s="1160"/>
      <c r="DK53" s="1160"/>
      <c r="DL53" s="1160"/>
      <c r="DM53" s="1171"/>
      <c r="DN53" s="1160"/>
      <c r="DO53" s="1160"/>
      <c r="DP53" s="1160"/>
      <c r="DQ53" s="1160"/>
      <c r="DR53" s="1160"/>
      <c r="DS53" s="1160"/>
      <c r="DT53" s="1160"/>
      <c r="DU53" s="1160"/>
      <c r="DV53" s="1160"/>
      <c r="DW53" s="1160"/>
      <c r="DX53" s="1160"/>
      <c r="DY53" s="1160"/>
      <c r="DZ53" s="1160"/>
      <c r="EA53" s="1160"/>
      <c r="EB53" s="1160"/>
      <c r="EC53" s="1160"/>
    </row>
    <row r="54" spans="1:133" x14ac:dyDescent="0.2">
      <c r="A54" s="1160"/>
      <c r="B54" s="1160"/>
      <c r="C54" s="1160"/>
      <c r="D54" s="1160"/>
      <c r="E54" s="1160"/>
      <c r="F54" s="1160"/>
      <c r="G54" s="1160"/>
      <c r="H54" s="1160"/>
      <c r="I54" s="1160"/>
      <c r="J54" s="1160"/>
      <c r="K54" s="1160"/>
      <c r="L54" s="1160"/>
      <c r="M54" s="1160"/>
      <c r="N54" s="1170"/>
      <c r="O54" s="1170"/>
      <c r="P54" s="1170"/>
      <c r="Q54" s="1160"/>
      <c r="R54" s="1170"/>
      <c r="S54" s="1170"/>
      <c r="T54" s="1170"/>
      <c r="U54" s="1170"/>
      <c r="V54" s="1170"/>
      <c r="W54" s="1170"/>
      <c r="X54" s="1170"/>
      <c r="Y54" s="1204" t="s">
        <v>1054</v>
      </c>
      <c r="Z54" s="1204" t="str">
        <f>IF(allocationMethod=1,CokingRefineryPFD!$C$21,IF(allocationMethod=2,CokingRefineryPFD!$C$22,IF(allocationMethod=3,CokingRefineryPFD!$C$23,CokingRefineryPFD!$C$24)))</f>
        <v>Hydrogen Content Basis</v>
      </c>
      <c r="AA54" s="1250">
        <f ca="1">IF(allocationMethod=1,AA46,IF(allocationMethod=2,AA52*AA46,IF(allocationMethod=3,AA53*AA44,AA50*AA46/100)))</f>
        <v>422156.63812343997</v>
      </c>
      <c r="AB54" s="1170"/>
      <c r="AC54" s="1170"/>
      <c r="AD54" s="1170"/>
      <c r="AE54" s="1170"/>
      <c r="AF54" s="1170"/>
      <c r="AG54" s="1170"/>
      <c r="AH54" s="1170"/>
      <c r="AI54" s="1170"/>
      <c r="AJ54" s="1170"/>
      <c r="AK54" s="1170"/>
      <c r="AL54" s="1170"/>
      <c r="AM54" s="1170"/>
      <c r="AN54" s="1170"/>
      <c r="AO54" s="1170"/>
      <c r="AP54" s="1170"/>
      <c r="AQ54" s="1170"/>
      <c r="AR54" s="1170"/>
      <c r="AS54" s="1170"/>
      <c r="AT54" s="1170"/>
      <c r="AU54" s="1170"/>
      <c r="AV54" s="1170"/>
      <c r="AW54" s="1170"/>
      <c r="AX54" s="1170"/>
      <c r="AY54" s="1170"/>
      <c r="AZ54" s="1170"/>
      <c r="BA54" s="1170"/>
      <c r="BB54" s="1170"/>
      <c r="BC54" s="1170"/>
      <c r="BD54" s="1170"/>
      <c r="BE54" s="1170"/>
      <c r="BF54" s="1170"/>
      <c r="BG54" s="1198"/>
      <c r="BH54" s="1198"/>
      <c r="BI54" s="1217"/>
      <c r="BJ54" s="1170"/>
      <c r="BK54" s="1170"/>
      <c r="BL54" s="1170"/>
      <c r="BM54" s="1170"/>
      <c r="BN54" s="1170"/>
      <c r="BO54" s="1170"/>
      <c r="BP54" s="1170"/>
      <c r="BQ54" s="1170"/>
      <c r="BR54" s="1170"/>
      <c r="BS54" s="1170"/>
      <c r="BT54" s="1170"/>
      <c r="BU54" s="1170"/>
      <c r="BV54" s="1186" t="str">
        <f>HydroRefineryCalcs!C195</f>
        <v>MCR</v>
      </c>
      <c r="BW54" s="1170" t="str">
        <f>HydroRefineryCalcs!D195</f>
        <v>wt%</v>
      </c>
      <c r="BX54" s="1170">
        <f>HydroRefineryCalcs!F195</f>
        <v>0</v>
      </c>
      <c r="BY54" s="1170"/>
      <c r="BZ54" s="1233" t="s">
        <v>228</v>
      </c>
      <c r="CA54" s="1170"/>
      <c r="CB54" s="1170">
        <f ca="1">+BX49/BG38</f>
        <v>0.87719474800652619</v>
      </c>
      <c r="CC54" s="1170"/>
      <c r="CD54" s="1170"/>
      <c r="CE54" s="1170"/>
      <c r="CF54" s="1170"/>
      <c r="CG54" s="1170"/>
      <c r="CH54" s="1170"/>
      <c r="CI54" s="1170"/>
      <c r="CJ54" s="1170"/>
      <c r="CK54" s="1170"/>
      <c r="CL54" s="1170"/>
      <c r="CM54" s="1170"/>
      <c r="CN54" s="1170"/>
      <c r="CO54" s="1170"/>
      <c r="CP54" s="1170"/>
      <c r="CQ54" s="1170"/>
      <c r="CR54" s="1170"/>
      <c r="CS54" s="1160"/>
      <c r="CT54" s="1160"/>
      <c r="CU54" s="1160"/>
      <c r="CV54" s="1160"/>
      <c r="CW54" s="1160"/>
      <c r="CX54" s="1160"/>
      <c r="CY54" s="1160"/>
      <c r="CZ54" s="1171"/>
      <c r="DA54" s="1160"/>
      <c r="DB54" s="1160"/>
      <c r="DC54" s="1160"/>
      <c r="DD54" s="1160"/>
      <c r="DE54" s="1160"/>
      <c r="DF54" s="1160"/>
      <c r="DG54" s="1160"/>
      <c r="DH54" s="1160"/>
      <c r="DI54" s="1160"/>
      <c r="DJ54" s="1160"/>
      <c r="DK54" s="1160"/>
      <c r="DL54" s="1160"/>
      <c r="DM54" s="1171"/>
      <c r="DN54" s="1160"/>
      <c r="DO54" s="1160"/>
      <c r="DP54" s="1160"/>
      <c r="DQ54" s="1160"/>
      <c r="DR54" s="1160"/>
      <c r="DS54" s="1160"/>
      <c r="DT54" s="1160"/>
      <c r="DU54" s="1160"/>
      <c r="DV54" s="1160"/>
      <c r="DW54" s="1160"/>
      <c r="DX54" s="1160"/>
      <c r="DY54" s="1160"/>
      <c r="DZ54" s="1160"/>
      <c r="EA54" s="1160"/>
      <c r="EB54" s="1160"/>
      <c r="EC54" s="1160"/>
    </row>
    <row r="55" spans="1:133" x14ac:dyDescent="0.2">
      <c r="A55" s="1160"/>
      <c r="B55" s="1160"/>
      <c r="C55" s="1160"/>
      <c r="D55" s="1160"/>
      <c r="E55" s="1160"/>
      <c r="F55" s="1160"/>
      <c r="G55" s="1160"/>
      <c r="H55" s="1160"/>
      <c r="I55" s="1160"/>
      <c r="J55" s="1160"/>
      <c r="K55" s="1160"/>
      <c r="L55" s="1160"/>
      <c r="M55" s="1160"/>
      <c r="N55" s="1170"/>
      <c r="O55" s="1170"/>
      <c r="P55" s="1170"/>
      <c r="Q55" s="1160"/>
      <c r="R55" s="1170"/>
      <c r="S55" s="1170"/>
      <c r="T55" s="1170"/>
      <c r="U55" s="1170"/>
      <c r="V55" s="1170"/>
      <c r="W55" s="1170"/>
      <c r="X55" s="1170"/>
      <c r="Y55" s="1170"/>
      <c r="Z55" s="1170"/>
      <c r="AA55" s="1170"/>
      <c r="AB55" s="1170"/>
      <c r="AC55" s="1170"/>
      <c r="AD55" s="1170"/>
      <c r="AE55" s="1170"/>
      <c r="AF55" s="1170"/>
      <c r="AG55" s="1170"/>
      <c r="AH55" s="1170"/>
      <c r="AI55" s="1170"/>
      <c r="AJ55" s="1170"/>
      <c r="AK55" s="1170"/>
      <c r="AL55" s="1170"/>
      <c r="AM55" s="1170"/>
      <c r="AN55" s="1170"/>
      <c r="AO55" s="1170"/>
      <c r="AP55" s="1170"/>
      <c r="AQ55" s="1170"/>
      <c r="AR55" s="1170"/>
      <c r="AS55" s="1170"/>
      <c r="AT55" s="1170"/>
      <c r="AU55" s="1170"/>
      <c r="AV55" s="1170"/>
      <c r="AW55" s="1170"/>
      <c r="AX55" s="1170"/>
      <c r="AY55" s="1170"/>
      <c r="AZ55" s="1170"/>
      <c r="BA55" s="1170"/>
      <c r="BB55" s="1170"/>
      <c r="BC55" s="1170"/>
      <c r="BD55" s="1170"/>
      <c r="BE55" s="1170"/>
      <c r="BF55" s="1170"/>
      <c r="BG55" s="1170"/>
      <c r="BH55" s="1170"/>
      <c r="BI55" s="1170"/>
      <c r="BJ55" s="1170"/>
      <c r="BK55" s="1170"/>
      <c r="BL55" s="1181"/>
      <c r="BM55" s="1170"/>
      <c r="BN55" s="1170"/>
      <c r="BO55" s="1170"/>
      <c r="BP55" s="1170"/>
      <c r="BQ55" s="1170"/>
      <c r="BR55" s="1170"/>
      <c r="BS55" s="1170"/>
      <c r="BT55" s="1170"/>
      <c r="BU55" s="1170"/>
      <c r="BV55" s="1200" t="s">
        <v>1056</v>
      </c>
      <c r="BW55" s="1199" t="s">
        <v>447</v>
      </c>
      <c r="BX55" s="1199">
        <f>('Energy &amp; Unit Conversions'!$D$63-('Energy &amp; Unit Conversions'!$E$63*POWER((BX52/'Energy &amp; Unit Conversions'!$E$54),2)))</f>
        <v>41.988004774799407</v>
      </c>
      <c r="BY55" s="1170"/>
      <c r="BZ55" s="1235" t="s">
        <v>1701</v>
      </c>
      <c r="CA55" s="1170"/>
      <c r="CB55" s="1236">
        <f ca="1">BX57/(BX57+CF20)</f>
        <v>1</v>
      </c>
      <c r="CC55" s="1170"/>
      <c r="CD55" s="1170"/>
      <c r="CE55" s="1170"/>
      <c r="CF55" s="1170"/>
      <c r="CG55" s="1239"/>
      <c r="CH55" s="1240"/>
      <c r="CI55" s="1170"/>
      <c r="CJ55" s="1170"/>
      <c r="CK55" s="1170"/>
      <c r="CL55" s="1170"/>
      <c r="CM55" s="1170"/>
      <c r="CN55" s="1170"/>
      <c r="CO55" s="1170"/>
      <c r="CP55" s="1160"/>
      <c r="CQ55" s="1160"/>
      <c r="CR55" s="1160"/>
      <c r="CS55" s="1160"/>
      <c r="CT55" s="1160"/>
      <c r="CU55" s="1160"/>
      <c r="CV55" s="1160"/>
      <c r="CW55" s="1170"/>
      <c r="CX55" s="1170"/>
      <c r="CY55" s="1170"/>
      <c r="CZ55" s="1171"/>
      <c r="DA55" s="1160"/>
      <c r="DB55" s="1160"/>
      <c r="DC55" s="1160"/>
      <c r="DD55" s="1160"/>
      <c r="DE55" s="1160"/>
      <c r="DF55" s="1160"/>
      <c r="DG55" s="1160"/>
      <c r="DH55" s="1160"/>
      <c r="DI55" s="1160"/>
      <c r="DJ55" s="1160"/>
      <c r="DK55" s="1160"/>
      <c r="DL55" s="1160"/>
      <c r="DM55" s="1171"/>
      <c r="DN55" s="1160"/>
      <c r="DO55" s="1160"/>
      <c r="DP55" s="1160"/>
      <c r="DQ55" s="1160"/>
      <c r="DR55" s="1160"/>
      <c r="DS55" s="1160"/>
      <c r="DT55" s="1160"/>
      <c r="DU55" s="1160"/>
      <c r="DV55" s="1160"/>
      <c r="DW55" s="1160"/>
      <c r="DX55" s="1160"/>
      <c r="DY55" s="1160"/>
      <c r="DZ55" s="1160"/>
      <c r="EA55" s="1160"/>
      <c r="EB55" s="1160"/>
      <c r="EC55" s="1160"/>
    </row>
    <row r="56" spans="1:133" x14ac:dyDescent="0.2">
      <c r="A56" s="1160"/>
      <c r="B56" s="1160"/>
      <c r="C56" s="1160"/>
      <c r="D56" s="1160"/>
      <c r="E56" s="1160"/>
      <c r="F56" s="1160"/>
      <c r="G56" s="1160"/>
      <c r="H56" s="1160"/>
      <c r="I56" s="1160"/>
      <c r="J56" s="1160"/>
      <c r="K56" s="1160"/>
      <c r="L56" s="1160"/>
      <c r="M56" s="1160"/>
      <c r="N56" s="1170"/>
      <c r="O56" s="1170"/>
      <c r="P56" s="1170"/>
      <c r="Q56" s="1160"/>
      <c r="R56" s="1170"/>
      <c r="S56" s="1170"/>
      <c r="T56" s="1170"/>
      <c r="U56" s="1170"/>
      <c r="V56" s="1170"/>
      <c r="W56" s="1170"/>
      <c r="X56" s="1170"/>
      <c r="Y56" s="1170"/>
      <c r="Z56" s="1170"/>
      <c r="AA56" s="1170"/>
      <c r="AB56" s="1170"/>
      <c r="AC56" s="1170"/>
      <c r="AD56" s="1170"/>
      <c r="AE56" s="1170"/>
      <c r="AF56" s="1170"/>
      <c r="AG56" s="1170"/>
      <c r="AH56" s="1170"/>
      <c r="AI56" s="1170"/>
      <c r="AJ56" s="1170"/>
      <c r="AK56" s="1170"/>
      <c r="AL56" s="1170"/>
      <c r="AM56" s="1170"/>
      <c r="AN56" s="1170"/>
      <c r="AO56" s="1170"/>
      <c r="AP56" s="1170"/>
      <c r="AQ56" s="1170"/>
      <c r="AR56" s="1170"/>
      <c r="AS56" s="1170"/>
      <c r="AT56" s="1170"/>
      <c r="AU56" s="1170"/>
      <c r="AV56" s="1170"/>
      <c r="AW56" s="1170"/>
      <c r="AX56" s="1170"/>
      <c r="AY56" s="1170"/>
      <c r="AZ56" s="1170"/>
      <c r="BA56" s="1170"/>
      <c r="BB56" s="1170"/>
      <c r="BC56" s="1170"/>
      <c r="BD56" s="1170"/>
      <c r="BE56" s="1170"/>
      <c r="BF56" s="1170"/>
      <c r="BG56" s="1170"/>
      <c r="BH56" s="1170"/>
      <c r="BI56" s="1170"/>
      <c r="BJ56" s="1170"/>
      <c r="BK56" s="1170"/>
      <c r="BL56" s="1170"/>
      <c r="BM56" s="1170"/>
      <c r="BN56" s="1170"/>
      <c r="BO56" s="1170"/>
      <c r="BP56" s="1170"/>
      <c r="BQ56" s="1170"/>
      <c r="BR56" s="1170"/>
      <c r="BS56" s="1170"/>
      <c r="BT56" s="1170"/>
      <c r="BU56" s="1170"/>
      <c r="BV56" s="1200" t="s">
        <v>1021</v>
      </c>
      <c r="BW56" s="1199" t="s">
        <v>1022</v>
      </c>
      <c r="BX56" s="1252">
        <f>Constants!G346</f>
        <v>111.30000305175781</v>
      </c>
      <c r="BY56" s="1170"/>
      <c r="BZ56" s="1237" t="s">
        <v>1702</v>
      </c>
      <c r="CA56" s="1170"/>
      <c r="CB56" s="1238">
        <f ca="1">BX57/(BX57+BP42)</f>
        <v>1</v>
      </c>
      <c r="CC56" s="1170"/>
      <c r="CD56" s="1170"/>
      <c r="CE56" s="1170"/>
      <c r="CF56" s="1170"/>
      <c r="CG56" s="1170"/>
      <c r="CH56" s="1170"/>
      <c r="CI56" s="1170"/>
      <c r="CJ56" s="1170"/>
      <c r="CK56" s="1170"/>
      <c r="CL56" s="1170"/>
      <c r="CM56" s="1170"/>
      <c r="CN56" s="1170"/>
      <c r="CO56" s="1170"/>
      <c r="CP56" s="1160"/>
      <c r="CQ56" s="1160"/>
      <c r="CR56" s="1160"/>
      <c r="CS56" s="1160"/>
      <c r="CT56" s="1160"/>
      <c r="CU56" s="1160"/>
      <c r="CV56" s="1160"/>
      <c r="CW56" s="1160"/>
      <c r="CX56" s="1160"/>
      <c r="CY56" s="1160"/>
      <c r="CZ56" s="1171"/>
      <c r="DA56" s="1160"/>
      <c r="DB56" s="1160"/>
      <c r="DC56" s="1160"/>
      <c r="DD56" s="1160"/>
      <c r="DE56" s="1160"/>
      <c r="DF56" s="1160"/>
      <c r="DG56" s="1160"/>
      <c r="DH56" s="1160"/>
      <c r="DI56" s="1160"/>
      <c r="DJ56" s="1160"/>
      <c r="DK56" s="1160"/>
      <c r="DL56" s="1160"/>
      <c r="DM56" s="1171"/>
      <c r="DN56" s="1160"/>
      <c r="DO56" s="1160"/>
      <c r="DP56" s="1160"/>
      <c r="DQ56" s="1160"/>
      <c r="DR56" s="1160"/>
      <c r="DS56" s="1160"/>
      <c r="DT56" s="1160"/>
      <c r="DU56" s="1160"/>
      <c r="DV56" s="1160"/>
      <c r="DW56" s="1160"/>
      <c r="DX56" s="1160"/>
      <c r="DY56" s="1160"/>
      <c r="DZ56" s="1160"/>
      <c r="EA56" s="1160"/>
      <c r="EB56" s="1160"/>
      <c r="EC56" s="1160"/>
    </row>
    <row r="57" spans="1:133" x14ac:dyDescent="0.2">
      <c r="A57" s="1160"/>
      <c r="B57" s="1160"/>
      <c r="C57" s="1160"/>
      <c r="D57" s="1160"/>
      <c r="E57" s="1160"/>
      <c r="F57" s="1160"/>
      <c r="G57" s="1160"/>
      <c r="H57" s="1160"/>
      <c r="I57" s="1160"/>
      <c r="J57" s="1160"/>
      <c r="K57" s="1160"/>
      <c r="L57" s="1160"/>
      <c r="M57" s="1160"/>
      <c r="N57" s="1170"/>
      <c r="O57" s="1170"/>
      <c r="P57" s="1170"/>
      <c r="Q57" s="1160"/>
      <c r="R57" s="1170"/>
      <c r="S57" s="1170"/>
      <c r="T57" s="1170"/>
      <c r="U57" s="1170"/>
      <c r="V57" s="1170"/>
      <c r="W57" s="1170"/>
      <c r="X57" s="1170"/>
      <c r="Y57" s="1170"/>
      <c r="Z57" s="1170"/>
      <c r="AA57" s="1170"/>
      <c r="AB57" s="1170"/>
      <c r="AC57" s="1170"/>
      <c r="AD57" s="1170"/>
      <c r="AE57" s="1170"/>
      <c r="AF57" s="1170"/>
      <c r="AG57" s="1170"/>
      <c r="AH57" s="1170"/>
      <c r="AI57" s="1170"/>
      <c r="AJ57" s="1170"/>
      <c r="AK57" s="1170"/>
      <c r="AL57" s="1170"/>
      <c r="AM57" s="1170"/>
      <c r="AN57" s="1170"/>
      <c r="AO57" s="1170"/>
      <c r="AP57" s="1170"/>
      <c r="AQ57" s="1170"/>
      <c r="AR57" s="1170"/>
      <c r="AS57" s="1170"/>
      <c r="AT57" s="1170"/>
      <c r="AU57" s="1170"/>
      <c r="AV57" s="1170"/>
      <c r="AW57" s="1170"/>
      <c r="AX57" s="1170"/>
      <c r="AY57" s="1170"/>
      <c r="AZ57" s="1170"/>
      <c r="BA57" s="1170"/>
      <c r="BB57" s="1170"/>
      <c r="BC57" s="1170"/>
      <c r="BD57" s="1170"/>
      <c r="BE57" s="1179" t="str">
        <f>HydroRefineryCalcs!H246</f>
        <v>KHT Fuel Gas</v>
      </c>
      <c r="BF57" s="1170"/>
      <c r="BG57" s="1170"/>
      <c r="BH57" s="1170"/>
      <c r="BI57" s="1170"/>
      <c r="BJ57" s="1170"/>
      <c r="BK57" s="1170"/>
      <c r="BL57" s="1170"/>
      <c r="BM57" s="1170"/>
      <c r="BN57" s="1170"/>
      <c r="BO57" s="1170"/>
      <c r="BP57" s="1170"/>
      <c r="BQ57" s="1170"/>
      <c r="BR57" s="1170"/>
      <c r="BS57" s="1170"/>
      <c r="BT57" s="1170"/>
      <c r="BU57" s="1170"/>
      <c r="BV57" s="1204" t="s">
        <v>1054</v>
      </c>
      <c r="BW57" s="1204" t="str">
        <f>IF(allocationMethod=1,CokingRefineryPFD!$C$21,IF(allocationMethod=2,CokingRefineryPFD!$C$22,IF(allocationMethod=3,CokingRefineryPFD!$C$23,CokingRefineryPFD!$C$24)))</f>
        <v>Hydrogen Content Basis</v>
      </c>
      <c r="BX57" s="1250">
        <f ca="1">IF(allocationMethod=1,BX49,IF(allocationMethod=2,BX55*BX49,IF(allocationMethod=3,BX56*BX47,BX53*BX49/100)))</f>
        <v>236305.34442471855</v>
      </c>
      <c r="BY57" s="1170"/>
      <c r="BZ57" s="1170"/>
      <c r="CA57" s="1170"/>
      <c r="CB57" s="1170"/>
      <c r="CC57" s="1170"/>
      <c r="CD57" s="1170"/>
      <c r="CE57" s="1170"/>
      <c r="CF57" s="1170"/>
      <c r="CG57" s="1170"/>
      <c r="CH57" s="1170"/>
      <c r="CI57" s="1170"/>
      <c r="CJ57" s="1170"/>
      <c r="CK57" s="1170"/>
      <c r="CL57" s="1170"/>
      <c r="CM57" s="1170"/>
      <c r="CN57" s="1170"/>
      <c r="CO57" s="1170"/>
      <c r="CP57" s="1160"/>
      <c r="CQ57" s="1160"/>
      <c r="CR57" s="1160"/>
      <c r="CS57" s="1160"/>
      <c r="CT57" s="1160"/>
      <c r="CU57" s="1160"/>
      <c r="CV57" s="1160"/>
      <c r="CW57" s="1160"/>
      <c r="CX57" s="1160"/>
      <c r="CY57" s="1160"/>
      <c r="CZ57" s="1171"/>
      <c r="DA57" s="1160"/>
      <c r="DB57" s="1170"/>
      <c r="DC57" s="1160"/>
      <c r="DD57" s="1160"/>
      <c r="DE57" s="1160"/>
      <c r="DF57" s="1160"/>
      <c r="DG57" s="1160"/>
      <c r="DH57" s="1160"/>
      <c r="DI57" s="1160"/>
      <c r="DJ57" s="1160"/>
      <c r="DK57" s="1160"/>
      <c r="DL57" s="1191" t="str">
        <f>BN30</f>
        <v>Reformer Fuel Gas</v>
      </c>
      <c r="DM57" s="1254">
        <f ca="1">HydroRefineryCalcs!H190</f>
        <v>219014.26865078407</v>
      </c>
      <c r="DN57" s="1160" t="s">
        <v>622</v>
      </c>
      <c r="DO57" s="1160"/>
      <c r="DP57" s="1160"/>
      <c r="DQ57" s="1160"/>
      <c r="DR57" s="1160"/>
      <c r="DS57" s="1160"/>
      <c r="DT57" s="1160"/>
      <c r="DU57" s="1160"/>
      <c r="DV57" s="1160"/>
      <c r="DW57" s="1160"/>
      <c r="DX57" s="1160"/>
      <c r="DY57" s="1160"/>
      <c r="DZ57" s="1160"/>
      <c r="EA57" s="1160"/>
      <c r="EB57" s="1160"/>
      <c r="EC57" s="1160"/>
    </row>
    <row r="58" spans="1:133" x14ac:dyDescent="0.2">
      <c r="A58" s="1160"/>
      <c r="B58" s="1160"/>
      <c r="C58" s="1160"/>
      <c r="D58" s="1160"/>
      <c r="E58" s="1160"/>
      <c r="F58" s="1160"/>
      <c r="G58" s="1160"/>
      <c r="H58" s="1160"/>
      <c r="I58" s="1160"/>
      <c r="J58" s="1160"/>
      <c r="K58" s="1160"/>
      <c r="L58" s="1160"/>
      <c r="M58" s="1160"/>
      <c r="N58" s="1170"/>
      <c r="O58" s="1170"/>
      <c r="P58" s="1170"/>
      <c r="Q58" s="1160"/>
      <c r="R58" s="1170"/>
      <c r="S58" s="1170"/>
      <c r="T58" s="1170"/>
      <c r="U58" s="1170"/>
      <c r="V58" s="1170"/>
      <c r="W58" s="1170"/>
      <c r="X58" s="1170"/>
      <c r="Y58" s="1170"/>
      <c r="Z58" s="1170"/>
      <c r="AA58" s="1170"/>
      <c r="AB58" s="1170"/>
      <c r="AC58" s="1170"/>
      <c r="AD58" s="1170"/>
      <c r="AE58" s="1170"/>
      <c r="AF58" s="1170"/>
      <c r="AG58" s="1170"/>
      <c r="AH58" s="1170"/>
      <c r="AI58" s="1170"/>
      <c r="AJ58" s="1170"/>
      <c r="AK58" s="1170"/>
      <c r="AL58" s="1170"/>
      <c r="AM58" s="1170"/>
      <c r="AN58" s="1170"/>
      <c r="AO58" s="1170"/>
      <c r="AP58" s="1170"/>
      <c r="AQ58" s="1170"/>
      <c r="AR58" s="1170"/>
      <c r="AS58" s="1170"/>
      <c r="AT58" s="1170"/>
      <c r="AU58" s="1170"/>
      <c r="AV58" s="1170"/>
      <c r="AW58" s="1170"/>
      <c r="AX58" s="1170"/>
      <c r="AY58" s="1170"/>
      <c r="AZ58" s="1170"/>
      <c r="BA58" s="1170"/>
      <c r="BB58" s="1170"/>
      <c r="BC58" s="1170"/>
      <c r="BD58" s="1170"/>
      <c r="BE58" s="1182" t="str">
        <f>HydroRefineryCalcs!C246</f>
        <v>Property</v>
      </c>
      <c r="BF58" s="1182" t="str">
        <f>HydroRefineryCalcs!D246</f>
        <v>Units</v>
      </c>
      <c r="BG58" s="1170"/>
      <c r="BH58" s="1170"/>
      <c r="BI58" s="1170"/>
      <c r="BJ58" s="1170"/>
      <c r="BK58" s="1170"/>
      <c r="BL58" s="1170"/>
      <c r="BM58" s="1170"/>
      <c r="BN58" s="1170"/>
      <c r="BO58" s="1170"/>
      <c r="BP58" s="1170"/>
      <c r="BQ58" s="1170"/>
      <c r="BR58" s="1170"/>
      <c r="BS58" s="1170"/>
      <c r="BT58" s="1170"/>
      <c r="BU58" s="1170"/>
      <c r="BV58" s="1170"/>
      <c r="BW58" s="1170"/>
      <c r="BX58" s="1170"/>
      <c r="BY58" s="1170"/>
      <c r="BZ58" s="1170"/>
      <c r="CA58" s="1170"/>
      <c r="CB58" s="1170"/>
      <c r="CC58" s="1170"/>
      <c r="CD58" s="1170"/>
      <c r="CE58" s="1170"/>
      <c r="CF58" s="1170"/>
      <c r="CG58" s="1170"/>
      <c r="CH58" s="1170"/>
      <c r="CI58" s="1170"/>
      <c r="CJ58" s="1170"/>
      <c r="CK58" s="1170"/>
      <c r="CL58" s="1170"/>
      <c r="CM58" s="1170"/>
      <c r="CN58" s="1170"/>
      <c r="CO58" s="1170"/>
      <c r="CP58" s="1160"/>
      <c r="CQ58" s="1160"/>
      <c r="CR58" s="1160"/>
      <c r="CS58" s="1160"/>
      <c r="CT58" s="1160"/>
      <c r="CU58" s="1160"/>
      <c r="CV58" s="1160"/>
      <c r="CW58" s="1160"/>
      <c r="CX58" s="1160"/>
      <c r="CY58" s="1160"/>
      <c r="CZ58" s="1171"/>
      <c r="DA58" s="1160"/>
      <c r="DB58" s="1170"/>
      <c r="DC58" s="1160"/>
      <c r="DD58" s="1160"/>
      <c r="DE58" s="1160"/>
      <c r="DF58" s="1160"/>
      <c r="DG58" s="1160"/>
      <c r="DH58" s="1160"/>
      <c r="DI58" s="1160"/>
      <c r="DJ58" s="1160"/>
      <c r="DK58" s="1160"/>
      <c r="DL58" s="1193" t="s">
        <v>226</v>
      </c>
      <c r="DM58" s="1243" t="s">
        <v>522</v>
      </c>
      <c r="DN58" s="1160"/>
      <c r="DO58" s="1160"/>
      <c r="DP58" s="1160"/>
      <c r="DQ58" s="1160"/>
      <c r="DR58" s="1160"/>
      <c r="DS58" s="1160"/>
      <c r="DT58" s="1160"/>
      <c r="DU58" s="1160"/>
      <c r="DV58" s="1160"/>
      <c r="DW58" s="1160"/>
      <c r="DX58" s="1160"/>
      <c r="DY58" s="1160"/>
      <c r="DZ58" s="1160"/>
      <c r="EA58" s="1160"/>
      <c r="EB58" s="1160"/>
      <c r="EC58" s="1160"/>
    </row>
    <row r="59" spans="1:133" x14ac:dyDescent="0.2">
      <c r="A59" s="1160"/>
      <c r="B59" s="1160"/>
      <c r="C59" s="1160"/>
      <c r="D59" s="1160"/>
      <c r="E59" s="1160"/>
      <c r="F59" s="1160"/>
      <c r="G59" s="1160"/>
      <c r="H59" s="1160"/>
      <c r="I59" s="1160"/>
      <c r="J59" s="1160"/>
      <c r="K59" s="1160"/>
      <c r="L59" s="1160"/>
      <c r="M59" s="1160"/>
      <c r="N59" s="1170"/>
      <c r="O59" s="1170"/>
      <c r="P59" s="1170"/>
      <c r="Q59" s="1160"/>
      <c r="R59" s="1170"/>
      <c r="S59" s="1170"/>
      <c r="T59" s="1170"/>
      <c r="U59" s="1170"/>
      <c r="V59" s="1170"/>
      <c r="W59" s="1170"/>
      <c r="X59" s="1170"/>
      <c r="Y59" s="1181" t="str">
        <f>HydroRefineryCalcs!H46</f>
        <v>Straight Run Kerosene</v>
      </c>
      <c r="Z59" s="1170"/>
      <c r="AA59" s="1170"/>
      <c r="AB59" s="1170"/>
      <c r="AC59" s="1180" t="str">
        <f>Y59</f>
        <v>Straight Run Kerosene</v>
      </c>
      <c r="AD59" s="1170"/>
      <c r="AE59" s="1170"/>
      <c r="AF59" s="1170"/>
      <c r="AG59" s="1170"/>
      <c r="AH59" s="1170"/>
      <c r="AI59" s="1170"/>
      <c r="AJ59" s="1170"/>
      <c r="AK59" s="1170"/>
      <c r="AL59" s="1170"/>
      <c r="AM59" s="1170"/>
      <c r="AN59" s="1170"/>
      <c r="AO59" s="1170"/>
      <c r="AP59" s="1170"/>
      <c r="AQ59" s="1170"/>
      <c r="AR59" s="1170"/>
      <c r="AS59" s="1170"/>
      <c r="AT59" s="1170"/>
      <c r="AU59" s="1170"/>
      <c r="AV59" s="1170"/>
      <c r="AW59" s="1170"/>
      <c r="AX59" s="1170"/>
      <c r="AY59" s="1170"/>
      <c r="AZ59" s="1170"/>
      <c r="BA59" s="1170"/>
      <c r="BB59" s="1170"/>
      <c r="BC59" s="1170"/>
      <c r="BD59" s="1170"/>
      <c r="BE59" s="1186" t="str">
        <f>HydroRefineryCalcs!C247</f>
        <v>Vol Flow</v>
      </c>
      <c r="BF59" s="1170" t="str">
        <f ca="1">HydroRefineryCalcs!D247</f>
        <v>bpd</v>
      </c>
      <c r="BG59" s="1187">
        <f ca="1">BG60/'Energy &amp; Unit Conversions'!$G$80</f>
        <v>70648.247038913119</v>
      </c>
      <c r="BH59" s="1170"/>
      <c r="BI59" s="1170"/>
      <c r="BJ59" s="1170"/>
      <c r="BK59" s="1170"/>
      <c r="BL59" s="1170"/>
      <c r="BM59" s="1170"/>
      <c r="BN59" s="1170"/>
      <c r="BO59" s="1170"/>
      <c r="BP59" s="1170"/>
      <c r="BQ59" s="1170"/>
      <c r="BR59" s="1170"/>
      <c r="BS59" s="1170"/>
      <c r="BT59" s="1170"/>
      <c r="BU59" s="1170"/>
      <c r="BV59" s="1170"/>
      <c r="BW59" s="1170"/>
      <c r="BX59" s="1170"/>
      <c r="BY59" s="1170"/>
      <c r="BZ59" s="1170"/>
      <c r="CA59" s="1170"/>
      <c r="CB59" s="1170"/>
      <c r="CC59" s="1170"/>
      <c r="CD59" s="1170"/>
      <c r="CE59" s="1170"/>
      <c r="CF59" s="1170"/>
      <c r="CG59" s="1170"/>
      <c r="CH59" s="1170"/>
      <c r="CI59" s="1170"/>
      <c r="CJ59" s="1170"/>
      <c r="CK59" s="1170"/>
      <c r="CL59" s="1170"/>
      <c r="CM59" s="1170"/>
      <c r="CN59" s="1170"/>
      <c r="CO59" s="1170"/>
      <c r="CP59" s="1160"/>
      <c r="CQ59" s="1160"/>
      <c r="CR59" s="1160"/>
      <c r="CS59" s="1160"/>
      <c r="CT59" s="1160"/>
      <c r="CU59" s="1160"/>
      <c r="CV59" s="1160"/>
      <c r="CW59" s="1160"/>
      <c r="CX59" s="1160"/>
      <c r="CY59" s="1160"/>
      <c r="CZ59" s="1171"/>
      <c r="DA59" s="1160"/>
      <c r="DB59" s="1170"/>
      <c r="DC59" s="1160"/>
      <c r="DD59" s="1160"/>
      <c r="DE59" s="1160"/>
      <c r="DF59" s="1160"/>
      <c r="DG59" s="1160"/>
      <c r="DH59" s="1160"/>
      <c r="DI59" s="1160"/>
      <c r="DJ59" s="1160"/>
      <c r="DK59" s="1160"/>
      <c r="DL59" s="1160" t="s">
        <v>263</v>
      </c>
      <c r="DM59" s="1254">
        <f ca="1">(BK36+IF(reformerFeedstockActive=1,0,CC172))*DM64</f>
        <v>0</v>
      </c>
      <c r="DN59" s="1160"/>
      <c r="DO59" s="1160"/>
      <c r="DP59" s="1160"/>
      <c r="DQ59" s="1160"/>
      <c r="DR59" s="1160"/>
      <c r="DS59" s="1160"/>
      <c r="DT59" s="1160"/>
      <c r="DU59" s="1160"/>
      <c r="DV59" s="1160"/>
      <c r="DW59" s="1160"/>
      <c r="DX59" s="1160"/>
      <c r="DY59" s="1160"/>
      <c r="DZ59" s="1160"/>
      <c r="EA59" s="1160"/>
      <c r="EB59" s="1160"/>
      <c r="EC59" s="1160"/>
    </row>
    <row r="60" spans="1:133" x14ac:dyDescent="0.2">
      <c r="A60" s="1160"/>
      <c r="B60" s="1160"/>
      <c r="C60" s="1160"/>
      <c r="D60" s="1160"/>
      <c r="E60" s="1160"/>
      <c r="F60" s="1160"/>
      <c r="G60" s="1160"/>
      <c r="H60" s="1160"/>
      <c r="I60" s="1160"/>
      <c r="J60" s="1160"/>
      <c r="K60" s="1160"/>
      <c r="L60" s="1160"/>
      <c r="M60" s="1160"/>
      <c r="N60" s="1170"/>
      <c r="O60" s="1170"/>
      <c r="P60" s="1170"/>
      <c r="Q60" s="1160"/>
      <c r="R60" s="1170"/>
      <c r="S60" s="1170"/>
      <c r="T60" s="1170"/>
      <c r="U60" s="1170"/>
      <c r="V60" s="1170"/>
      <c r="W60" s="1170"/>
      <c r="X60" s="1170"/>
      <c r="Y60" s="1182" t="str">
        <f>HydroRefineryCalcs!C46</f>
        <v>Property</v>
      </c>
      <c r="Z60" s="1182" t="str">
        <f>HydroRefineryCalcs!D46</f>
        <v>Units</v>
      </c>
      <c r="AA60" s="1170"/>
      <c r="AB60" s="1170"/>
      <c r="AC60" s="1180" t="s">
        <v>226</v>
      </c>
      <c r="AD60" s="1170"/>
      <c r="AE60" s="1184" t="s">
        <v>522</v>
      </c>
      <c r="AF60" s="1170"/>
      <c r="AG60" s="1170"/>
      <c r="AH60" s="1170"/>
      <c r="AI60" s="1170"/>
      <c r="AJ60" s="1170"/>
      <c r="AK60" s="1170"/>
      <c r="AL60" s="1170"/>
      <c r="AM60" s="1170"/>
      <c r="AN60" s="1170"/>
      <c r="AO60" s="1170"/>
      <c r="AP60" s="1170"/>
      <c r="AQ60" s="1170"/>
      <c r="AR60" s="1170"/>
      <c r="AS60" s="1170"/>
      <c r="AT60" s="1170"/>
      <c r="AU60" s="1170"/>
      <c r="AV60" s="1170"/>
      <c r="AW60" s="1170"/>
      <c r="AX60" s="1170"/>
      <c r="AY60" s="1170"/>
      <c r="AZ60" s="1170"/>
      <c r="BA60" s="1170"/>
      <c r="BB60" s="1170"/>
      <c r="BC60" s="1170"/>
      <c r="BD60" s="1170"/>
      <c r="BE60" s="1186" t="str">
        <f>HydroRefineryCalcs!C248</f>
        <v>Vol Flow</v>
      </c>
      <c r="BF60" s="1170" t="str">
        <f ca="1">HydroRefineryCalcs!D248</f>
        <v>m^3/d</v>
      </c>
      <c r="BG60" s="1187">
        <f ca="1">BG61*BG64</f>
        <v>11232.174046449793</v>
      </c>
      <c r="BH60" s="1170"/>
      <c r="BI60" s="1170"/>
      <c r="BJ60" s="1170"/>
      <c r="BK60" s="1170"/>
      <c r="BL60" s="1170"/>
      <c r="BM60" s="1170"/>
      <c r="BN60" s="1170"/>
      <c r="BO60" s="1170"/>
      <c r="BP60" s="1170"/>
      <c r="BQ60" s="1170"/>
      <c r="BR60" s="1170"/>
      <c r="BS60" s="1170"/>
      <c r="BT60" s="1170"/>
      <c r="BU60" s="1170"/>
      <c r="BV60" s="1170"/>
      <c r="BW60" s="1170"/>
      <c r="BX60" s="1170"/>
      <c r="BY60" s="1170"/>
      <c r="BZ60" s="1170"/>
      <c r="CA60" s="1170"/>
      <c r="CB60" s="1170"/>
      <c r="CC60" s="1170"/>
      <c r="CD60" s="1170"/>
      <c r="CE60" s="1170"/>
      <c r="CF60" s="1170"/>
      <c r="CG60" s="1170"/>
      <c r="CH60" s="1170"/>
      <c r="CI60" s="1170"/>
      <c r="CJ60" s="1170"/>
      <c r="CK60" s="1170"/>
      <c r="CL60" s="1170"/>
      <c r="CM60" s="1170"/>
      <c r="CN60" s="1170"/>
      <c r="CO60" s="1170"/>
      <c r="CP60" s="1160"/>
      <c r="CQ60" s="1160"/>
      <c r="CR60" s="1160"/>
      <c r="CS60" s="1160"/>
      <c r="CT60" s="1160"/>
      <c r="CU60" s="1160"/>
      <c r="CV60" s="1160"/>
      <c r="CW60" s="1160"/>
      <c r="CX60" s="1160"/>
      <c r="CY60" s="1160"/>
      <c r="CZ60" s="1171"/>
      <c r="DA60" s="1160"/>
      <c r="DB60" s="1170"/>
      <c r="DC60" s="1160"/>
      <c r="DD60" s="1160"/>
      <c r="DE60" s="1160"/>
      <c r="DF60" s="1160"/>
      <c r="DG60" s="1160"/>
      <c r="DH60" s="1160"/>
      <c r="DI60" s="1160"/>
      <c r="DJ60" s="1160"/>
      <c r="DK60" s="1160"/>
      <c r="DL60" s="1160" t="s">
        <v>392</v>
      </c>
      <c r="DM60" s="1254">
        <f ca="1">(BK37+BT47+IF(reformerFeedstockActive=1,0,CC173))*$DM$64</f>
        <v>0</v>
      </c>
      <c r="DN60" s="1160"/>
      <c r="DO60" s="1160"/>
      <c r="DP60" s="1160"/>
      <c r="DQ60" s="1160"/>
      <c r="DR60" s="1160"/>
      <c r="DS60" s="1160"/>
      <c r="DT60" s="1160"/>
      <c r="DU60" s="1160"/>
      <c r="DV60" s="1160"/>
      <c r="DW60" s="1160"/>
      <c r="DX60" s="1160"/>
      <c r="DY60" s="1160"/>
      <c r="DZ60" s="1160"/>
      <c r="EA60" s="1160"/>
      <c r="EB60" s="1160"/>
      <c r="EC60" s="1160"/>
    </row>
    <row r="61" spans="1:133" x14ac:dyDescent="0.2">
      <c r="A61" s="1160"/>
      <c r="B61" s="1160"/>
      <c r="C61" s="1160"/>
      <c r="D61" s="1160"/>
      <c r="E61" s="1160"/>
      <c r="F61" s="1160"/>
      <c r="G61" s="1160"/>
      <c r="H61" s="1160"/>
      <c r="I61" s="1160"/>
      <c r="J61" s="1160"/>
      <c r="K61" s="1160"/>
      <c r="L61" s="1160"/>
      <c r="M61" s="1160"/>
      <c r="N61" s="1170"/>
      <c r="O61" s="1170"/>
      <c r="P61" s="1170"/>
      <c r="Q61" s="1160"/>
      <c r="R61" s="1170"/>
      <c r="S61" s="1170"/>
      <c r="T61" s="1170"/>
      <c r="U61" s="1170"/>
      <c r="V61" s="1170"/>
      <c r="W61" s="1170"/>
      <c r="X61" s="1170"/>
      <c r="Y61" s="1186" t="str">
        <f>HydroRefineryCalcs!C47</f>
        <v>Vol Flow</v>
      </c>
      <c r="Z61" s="1170" t="str">
        <f ca="1">HydroRefineryCalcs!D47</f>
        <v>bpd</v>
      </c>
      <c r="AA61" s="1187">
        <f ca="1">HydroRefineryCalcs!H47</f>
        <v>26885.40784503843</v>
      </c>
      <c r="AB61" s="1170"/>
      <c r="AC61" s="1170" t="s">
        <v>263</v>
      </c>
      <c r="AD61" s="1170"/>
      <c r="AE61" s="1187">
        <f ca="1">U112*AE66</f>
        <v>232380340.50842014</v>
      </c>
      <c r="AF61" s="1170"/>
      <c r="AG61" s="1170"/>
      <c r="AH61" s="1170"/>
      <c r="AI61" s="1170"/>
      <c r="AJ61" s="1170"/>
      <c r="AK61" s="1170"/>
      <c r="AL61" s="1170"/>
      <c r="AM61" s="1170"/>
      <c r="AN61" s="1170"/>
      <c r="AO61" s="1170"/>
      <c r="AP61" s="1170"/>
      <c r="AQ61" s="1170"/>
      <c r="AR61" s="1170"/>
      <c r="AS61" s="1170"/>
      <c r="AT61" s="1170"/>
      <c r="AU61" s="1170"/>
      <c r="AV61" s="1170"/>
      <c r="AW61" s="1170"/>
      <c r="AX61" s="1170"/>
      <c r="AY61" s="1170"/>
      <c r="AZ61" s="1170"/>
      <c r="BA61" s="1170"/>
      <c r="BB61" s="1170"/>
      <c r="BC61" s="1170"/>
      <c r="BD61" s="1170"/>
      <c r="BE61" s="1186" t="str">
        <f>HydroRefineryCalcs!C249</f>
        <v>Mass Flow</v>
      </c>
      <c r="BF61" s="1170" t="str">
        <f>HydroRefineryCalcs!D249</f>
        <v>kg/d</v>
      </c>
      <c r="BG61" s="1170">
        <f ca="1">HydroRefineryCalcs!H249</f>
        <v>9696.9447453418234</v>
      </c>
      <c r="BH61" s="1170"/>
      <c r="BI61" s="1170"/>
      <c r="BJ61" s="1170"/>
      <c r="BK61" s="1170"/>
      <c r="BL61" s="1170"/>
      <c r="BM61" s="1170"/>
      <c r="BN61" s="1170"/>
      <c r="BO61" s="1170"/>
      <c r="BP61" s="1170"/>
      <c r="BQ61" s="1170"/>
      <c r="BR61" s="1170"/>
      <c r="BS61" s="1170"/>
      <c r="BT61" s="1170"/>
      <c r="BU61" s="1170"/>
      <c r="BV61" s="1170"/>
      <c r="BW61" s="1170"/>
      <c r="BX61" s="1170"/>
      <c r="BY61" s="1170"/>
      <c r="BZ61" s="1170"/>
      <c r="CA61" s="1170"/>
      <c r="CB61" s="1170"/>
      <c r="CC61" s="1170"/>
      <c r="CD61" s="1170"/>
      <c r="CE61" s="1170"/>
      <c r="CF61" s="1170"/>
      <c r="CG61" s="1170"/>
      <c r="CH61" s="1170"/>
      <c r="CI61" s="1170"/>
      <c r="CJ61" s="1170"/>
      <c r="CK61" s="1170"/>
      <c r="CL61" s="1170"/>
      <c r="CM61" s="1170"/>
      <c r="CN61" s="1170"/>
      <c r="CO61" s="1170"/>
      <c r="CP61" s="1160"/>
      <c r="CQ61" s="1160"/>
      <c r="CR61" s="1160"/>
      <c r="CS61" s="1160"/>
      <c r="CT61" s="1160"/>
      <c r="CU61" s="1160"/>
      <c r="CV61" s="1160"/>
      <c r="CW61" s="1160"/>
      <c r="CX61" s="1160"/>
      <c r="CY61" s="1160"/>
      <c r="CZ61" s="1171"/>
      <c r="DA61" s="1160"/>
      <c r="DB61" s="1170"/>
      <c r="DC61" s="1160"/>
      <c r="DD61" s="1160"/>
      <c r="DE61" s="1160"/>
      <c r="DF61" s="1160"/>
      <c r="DG61" s="1160"/>
      <c r="DH61" s="1160"/>
      <c r="DI61" s="1160"/>
      <c r="DJ61" s="1160"/>
      <c r="DK61" s="1160"/>
      <c r="DL61" s="1160" t="s">
        <v>224</v>
      </c>
      <c r="DM61" s="1254">
        <f ca="1">(BK38+BT48+IF(reformerFeedstockActive=1,0,CC174))*$DM$64</f>
        <v>0</v>
      </c>
      <c r="DN61" s="1160"/>
      <c r="DO61" s="1160"/>
      <c r="DP61" s="1160"/>
      <c r="DQ61" s="1160"/>
      <c r="DR61" s="1160"/>
      <c r="DS61" s="1160"/>
      <c r="DT61" s="1160"/>
      <c r="DU61" s="1160"/>
      <c r="DV61" s="1160"/>
      <c r="DW61" s="1160"/>
      <c r="DX61" s="1160"/>
      <c r="DY61" s="1160"/>
      <c r="DZ61" s="1160"/>
      <c r="EA61" s="1160"/>
      <c r="EB61" s="1160"/>
      <c r="EC61" s="1160"/>
    </row>
    <row r="62" spans="1:133" x14ac:dyDescent="0.2">
      <c r="A62" s="1160"/>
      <c r="B62" s="1160"/>
      <c r="C62" s="1160"/>
      <c r="D62" s="1160"/>
      <c r="E62" s="1160"/>
      <c r="F62" s="1160"/>
      <c r="G62" s="1160"/>
      <c r="H62" s="1160"/>
      <c r="I62" s="1160"/>
      <c r="J62" s="1160"/>
      <c r="K62" s="1160"/>
      <c r="L62" s="1160"/>
      <c r="M62" s="1160"/>
      <c r="N62" s="1170"/>
      <c r="O62" s="1170"/>
      <c r="P62" s="1170"/>
      <c r="Q62" s="1160"/>
      <c r="R62" s="1170"/>
      <c r="S62" s="1170"/>
      <c r="T62" s="1170"/>
      <c r="U62" s="1170"/>
      <c r="V62" s="1170"/>
      <c r="W62" s="1170"/>
      <c r="X62" s="1170"/>
      <c r="Y62" s="1186" t="str">
        <f>HydroRefineryCalcs!C48</f>
        <v>Vol Flow</v>
      </c>
      <c r="Z62" s="1170" t="str">
        <f ca="1">HydroRefineryCalcs!D48</f>
        <v>m^3/d</v>
      </c>
      <c r="AA62" s="1187">
        <f ca="1">HydroRefineryCalcs!H48</f>
        <v>4274.4384026814787</v>
      </c>
      <c r="AB62" s="1170"/>
      <c r="AC62" s="1170" t="s">
        <v>392</v>
      </c>
      <c r="AD62" s="1170"/>
      <c r="AE62" s="1187">
        <f ca="1">(U113+W50)*$AE$66</f>
        <v>15596.597797494629</v>
      </c>
      <c r="AF62" s="1170"/>
      <c r="AG62" s="1170"/>
      <c r="AH62" s="1170"/>
      <c r="AI62" s="1170"/>
      <c r="AJ62" s="1170"/>
      <c r="AK62" s="1170"/>
      <c r="AL62" s="1170"/>
      <c r="AM62" s="1170"/>
      <c r="AN62" s="1170"/>
      <c r="AO62" s="1170"/>
      <c r="AP62" s="1170"/>
      <c r="AQ62" s="1170"/>
      <c r="AR62" s="1170"/>
      <c r="AS62" s="1170"/>
      <c r="AT62" s="1170"/>
      <c r="AU62" s="1170"/>
      <c r="AV62" s="1170"/>
      <c r="AW62" s="1170"/>
      <c r="AX62" s="1170"/>
      <c r="AY62" s="1170"/>
      <c r="AZ62" s="1170"/>
      <c r="BA62" s="1170"/>
      <c r="BB62" s="1170"/>
      <c r="BC62" s="1170"/>
      <c r="BD62" s="1170"/>
      <c r="BE62" s="1186" t="str">
        <f>HydroRefineryCalcs!C250</f>
        <v xml:space="preserve">Sulphur </v>
      </c>
      <c r="BF62" s="1170" t="str">
        <f ca="1">HydroRefineryCalcs!D250</f>
        <v>wt%</v>
      </c>
      <c r="BG62" s="1170">
        <f ca="1">HydroRefineryCalcs!H250</f>
        <v>24.094437417594566</v>
      </c>
      <c r="BH62" s="1170"/>
      <c r="BI62" s="1170"/>
      <c r="BJ62" s="1170"/>
      <c r="BK62" s="1170"/>
      <c r="BL62" s="1170"/>
      <c r="BM62" s="1170"/>
      <c r="BN62" s="1181" t="str">
        <f>HydroRefineryCalcs!G246</f>
        <v>HT Kero Product</v>
      </c>
      <c r="BO62" s="1170"/>
      <c r="BP62" s="1170"/>
      <c r="BQ62" s="1170"/>
      <c r="BR62" s="1170"/>
      <c r="BS62" s="1170"/>
      <c r="BT62" s="1170"/>
      <c r="BU62" s="1170"/>
      <c r="BV62" s="1170"/>
      <c r="BW62" s="1170"/>
      <c r="BX62" s="1170"/>
      <c r="BY62" s="1170"/>
      <c r="BZ62" s="1170"/>
      <c r="CA62" s="1170"/>
      <c r="CB62" s="1170"/>
      <c r="CC62" s="1170"/>
      <c r="CD62" s="1179" t="str">
        <f>HydroRefineryCalcs!F290</f>
        <v>Jet-A/AVTUR</v>
      </c>
      <c r="CE62" s="1179"/>
      <c r="CF62" s="1170"/>
      <c r="CG62" s="1170"/>
      <c r="CH62" s="1170"/>
      <c r="CI62" s="1170"/>
      <c r="CJ62" s="1170"/>
      <c r="CK62" s="1170"/>
      <c r="CL62" s="1170"/>
      <c r="CM62" s="1170"/>
      <c r="CN62" s="1170"/>
      <c r="CO62" s="1170"/>
      <c r="CP62" s="1160"/>
      <c r="CQ62" s="1160"/>
      <c r="CR62" s="1160"/>
      <c r="CS62" s="1160"/>
      <c r="CT62" s="1160"/>
      <c r="CU62" s="1160"/>
      <c r="CV62" s="1160"/>
      <c r="CW62" s="1160"/>
      <c r="CX62" s="1160"/>
      <c r="CY62" s="1160"/>
      <c r="CZ62" s="1171"/>
      <c r="DA62" s="1160"/>
      <c r="DB62" s="1179" t="str">
        <f t="shared" ref="DB62:DB71" si="0">CD62</f>
        <v>Jet-A/AVTUR</v>
      </c>
      <c r="DC62" s="1170"/>
      <c r="DD62" s="1170"/>
      <c r="DE62" s="1170"/>
      <c r="DF62" s="1180" t="str">
        <f>CD62</f>
        <v>Jet-A/AVTUR</v>
      </c>
      <c r="DG62" s="1170"/>
      <c r="DH62" s="1160"/>
      <c r="DI62" s="1160"/>
      <c r="DJ62" s="1160"/>
      <c r="DK62" s="1160"/>
      <c r="DL62" s="1160" t="s">
        <v>485</v>
      </c>
      <c r="DM62" s="1254">
        <f ca="1">(BK39+BT49+IF(reformerFeedstockActive=1,0,CC175))*$DM$64</f>
        <v>0</v>
      </c>
      <c r="DN62" s="1160"/>
      <c r="DO62" s="1160"/>
      <c r="DP62" s="1160"/>
      <c r="DQ62" s="1160"/>
      <c r="DR62" s="1160"/>
      <c r="DS62" s="1160"/>
      <c r="DT62" s="1160"/>
      <c r="DU62" s="1160"/>
      <c r="DV62" s="1160"/>
      <c r="DW62" s="1160"/>
      <c r="DX62" s="1160"/>
      <c r="DY62" s="1160"/>
      <c r="DZ62" s="1160"/>
      <c r="EA62" s="1160"/>
      <c r="EB62" s="1160"/>
      <c r="EC62" s="1160"/>
    </row>
    <row r="63" spans="1:133" x14ac:dyDescent="0.2">
      <c r="A63" s="1160"/>
      <c r="B63" s="1160"/>
      <c r="C63" s="1160"/>
      <c r="D63" s="1160"/>
      <c r="E63" s="1160"/>
      <c r="F63" s="1160"/>
      <c r="G63" s="1160"/>
      <c r="H63" s="1160"/>
      <c r="I63" s="1160"/>
      <c r="J63" s="1160"/>
      <c r="K63" s="1160"/>
      <c r="L63" s="1160"/>
      <c r="M63" s="1160"/>
      <c r="N63" s="1170"/>
      <c r="O63" s="1170"/>
      <c r="P63" s="1170"/>
      <c r="Q63" s="1160"/>
      <c r="R63" s="1170"/>
      <c r="S63" s="1170"/>
      <c r="T63" s="1170"/>
      <c r="U63" s="1170"/>
      <c r="V63" s="1170"/>
      <c r="W63" s="1170"/>
      <c r="X63" s="1170"/>
      <c r="Y63" s="1186" t="str">
        <f>HydroRefineryCalcs!C49</f>
        <v>Mass Flow</v>
      </c>
      <c r="Z63" s="1170" t="str">
        <f>HydroRefineryCalcs!D49</f>
        <v>kg/d</v>
      </c>
      <c r="AA63" s="1187">
        <f ca="1">HydroRefineryCalcs!H49</f>
        <v>3607246.9722819468</v>
      </c>
      <c r="AB63" s="1170"/>
      <c r="AC63" s="1170" t="s">
        <v>224</v>
      </c>
      <c r="AD63" s="1170"/>
      <c r="AE63" s="1187">
        <f ca="1">(U114+W51)*$AE$66</f>
        <v>1752356.8482727541</v>
      </c>
      <c r="AF63" s="1170"/>
      <c r="AG63" s="1170"/>
      <c r="AH63" s="1170"/>
      <c r="AI63" s="1170"/>
      <c r="AJ63" s="1170"/>
      <c r="AK63" s="1170"/>
      <c r="AL63" s="1170"/>
      <c r="AM63" s="1170"/>
      <c r="AN63" s="1170"/>
      <c r="AO63" s="1170"/>
      <c r="AP63" s="1170"/>
      <c r="AQ63" s="1170"/>
      <c r="AR63" s="1170"/>
      <c r="AS63" s="1170"/>
      <c r="AT63" s="1170"/>
      <c r="AU63" s="1170"/>
      <c r="AV63" s="1170"/>
      <c r="AW63" s="1170"/>
      <c r="AX63" s="1170"/>
      <c r="AY63" s="1170"/>
      <c r="AZ63" s="1170"/>
      <c r="BA63" s="1170"/>
      <c r="BB63" s="1170"/>
      <c r="BC63" s="1170"/>
      <c r="BD63" s="1170"/>
      <c r="BE63" s="1186" t="str">
        <f>HydroRefineryCalcs!C252</f>
        <v xml:space="preserve">API gravity </v>
      </c>
      <c r="BF63" s="1170"/>
      <c r="BG63" s="1170">
        <f>HydroRefineryCalcs!H252</f>
        <v>0</v>
      </c>
      <c r="BH63" s="1170"/>
      <c r="BI63" s="1170"/>
      <c r="BJ63" s="1170"/>
      <c r="BK63" s="1170"/>
      <c r="BL63" s="1170"/>
      <c r="BM63" s="1170"/>
      <c r="BN63" s="1182" t="str">
        <f>HydroRefineryCalcs!C246</f>
        <v>Property</v>
      </c>
      <c r="BO63" s="1182" t="str">
        <f>HydroRefineryCalcs!D246</f>
        <v>Units</v>
      </c>
      <c r="BP63" s="1170"/>
      <c r="BQ63" s="1170"/>
      <c r="BR63" s="1170"/>
      <c r="BS63" s="1170"/>
      <c r="BT63" s="1170"/>
      <c r="BU63" s="1170"/>
      <c r="BV63" s="1170"/>
      <c r="BW63" s="1170"/>
      <c r="BX63" s="1170"/>
      <c r="BY63" s="1170"/>
      <c r="BZ63" s="1170"/>
      <c r="CA63" s="1170"/>
      <c r="CB63" s="1170"/>
      <c r="CC63" s="1170"/>
      <c r="CD63" s="1182" t="str">
        <f>HydroRefineryCalcs!C290</f>
        <v>Property</v>
      </c>
      <c r="CE63" s="1182" t="str">
        <f>HydroRefineryCalcs!D290</f>
        <v>Units</v>
      </c>
      <c r="CF63" s="1170"/>
      <c r="CG63" s="1170"/>
      <c r="CH63" s="1170"/>
      <c r="CI63" s="1170"/>
      <c r="CJ63" s="1170"/>
      <c r="CK63" s="1170"/>
      <c r="CL63" s="1170"/>
      <c r="CM63" s="1170"/>
      <c r="CN63" s="1170"/>
      <c r="CO63" s="1170"/>
      <c r="CP63" s="1160"/>
      <c r="CQ63" s="1160"/>
      <c r="CR63" s="1160"/>
      <c r="CS63" s="1160"/>
      <c r="CT63" s="1160"/>
      <c r="CU63" s="1160"/>
      <c r="CV63" s="1160"/>
      <c r="CW63" s="1160"/>
      <c r="CX63" s="1160"/>
      <c r="CY63" s="1160"/>
      <c r="CZ63" s="1160"/>
      <c r="DA63" s="1160"/>
      <c r="DB63" s="1182" t="str">
        <f t="shared" si="0"/>
        <v>Property</v>
      </c>
      <c r="DC63" s="1182" t="str">
        <f>CE63</f>
        <v>Units</v>
      </c>
      <c r="DD63" s="1181"/>
      <c r="DE63" s="1181"/>
      <c r="DF63" s="1183" t="s">
        <v>226</v>
      </c>
      <c r="DG63" s="1160"/>
      <c r="DH63" s="1194" t="s">
        <v>522</v>
      </c>
      <c r="DI63" s="1187"/>
      <c r="DJ63" s="1160"/>
      <c r="DK63" s="1160"/>
      <c r="DL63" s="1160" t="s">
        <v>541</v>
      </c>
      <c r="DM63" s="1254">
        <f ca="1">(BK40+BT50+IF(reformerFeedstockActive=1,0,CC176))*$DM$64</f>
        <v>0</v>
      </c>
      <c r="DN63" s="1160"/>
      <c r="DO63" s="1160"/>
      <c r="DP63" s="1160"/>
      <c r="DQ63" s="1160"/>
      <c r="DR63" s="1160"/>
      <c r="DS63" s="1160"/>
      <c r="DT63" s="1160"/>
      <c r="DU63" s="1160"/>
      <c r="DV63" s="1160"/>
      <c r="DW63" s="1160"/>
      <c r="DX63" s="1160"/>
      <c r="DY63" s="1160"/>
      <c r="DZ63" s="1160"/>
      <c r="EA63" s="1160"/>
      <c r="EB63" s="1160"/>
      <c r="EC63" s="1160"/>
    </row>
    <row r="64" spans="1:133" x14ac:dyDescent="0.2">
      <c r="A64" s="1160"/>
      <c r="B64" s="1160"/>
      <c r="C64" s="1160"/>
      <c r="D64" s="1160"/>
      <c r="E64" s="1160"/>
      <c r="F64" s="1160"/>
      <c r="G64" s="1160"/>
      <c r="H64" s="1160"/>
      <c r="I64" s="1160"/>
      <c r="J64" s="1160"/>
      <c r="K64" s="1160"/>
      <c r="L64" s="1160"/>
      <c r="M64" s="1160"/>
      <c r="N64" s="1170"/>
      <c r="O64" s="1170"/>
      <c r="P64" s="1170"/>
      <c r="Q64" s="1160"/>
      <c r="R64" s="1170"/>
      <c r="S64" s="1170"/>
      <c r="T64" s="1170"/>
      <c r="U64" s="1170"/>
      <c r="V64" s="1170"/>
      <c r="W64" s="1170"/>
      <c r="X64" s="1170"/>
      <c r="Y64" s="1186" t="str">
        <f>HydroRefineryCalcs!C50</f>
        <v xml:space="preserve">Sulphur </v>
      </c>
      <c r="Z64" s="1170" t="str">
        <f ca="1">HydroRefineryCalcs!D50</f>
        <v>wt%</v>
      </c>
      <c r="AA64" s="1170">
        <f ca="1">HydroRefineryCalcs!H50</f>
        <v>6.4870288839055754E-2</v>
      </c>
      <c r="AB64" s="1170"/>
      <c r="AC64" s="1170" t="s">
        <v>485</v>
      </c>
      <c r="AD64" s="1170"/>
      <c r="AE64" s="1187">
        <f ca="1">(U115+W52)*$AE$66</f>
        <v>335153.35254735145</v>
      </c>
      <c r="AF64" s="1170"/>
      <c r="AG64" s="1170"/>
      <c r="AH64" s="1170"/>
      <c r="AI64" s="1170"/>
      <c r="AJ64" s="1170"/>
      <c r="AK64" s="1170"/>
      <c r="AL64" s="1170"/>
      <c r="AM64" s="1170"/>
      <c r="AN64" s="1170"/>
      <c r="AO64" s="1170"/>
      <c r="AP64" s="1170"/>
      <c r="AQ64" s="1170"/>
      <c r="AR64" s="1170"/>
      <c r="AS64" s="1170"/>
      <c r="AT64" s="1170"/>
      <c r="AU64" s="1170"/>
      <c r="AV64" s="1170"/>
      <c r="AW64" s="1170"/>
      <c r="AX64" s="1170"/>
      <c r="AY64" s="1170"/>
      <c r="AZ64" s="1170"/>
      <c r="BA64" s="1170"/>
      <c r="BB64" s="1170"/>
      <c r="BC64" s="1170"/>
      <c r="BD64" s="1170"/>
      <c r="BE64" s="1186" t="str">
        <f>HydroRefineryCalcs!C253</f>
        <v>Density</v>
      </c>
      <c r="BF64" s="1170" t="str">
        <f ca="1">HydroRefineryCalcs!D253</f>
        <v>kg/m^3</v>
      </c>
      <c r="BG64" s="1170">
        <f>'Energy &amp; Unit Conversions'!$E$27/'Energy &amp; Unit Conversions'!$E$93/'Energy &amp; Unit Conversions'!$G$81</f>
        <v>1.1583209290581402</v>
      </c>
      <c r="BH64" s="1170"/>
      <c r="BI64" s="1170"/>
      <c r="BJ64" s="1170"/>
      <c r="BK64" s="1170"/>
      <c r="BL64" s="1170"/>
      <c r="BM64" s="1170"/>
      <c r="BN64" s="1186" t="str">
        <f>HydroRefineryCalcs!C247</f>
        <v>Vol Flow</v>
      </c>
      <c r="BO64" s="1170" t="str">
        <f ca="1">HydroRefineryCalcs!D247</f>
        <v>bpd</v>
      </c>
      <c r="BP64" s="1187">
        <f ca="1">HydroRefineryCalcs!G247</f>
        <v>27711.741788300664</v>
      </c>
      <c r="BQ64" s="1170"/>
      <c r="BR64" s="1170"/>
      <c r="BS64" s="1170"/>
      <c r="BT64" s="1170"/>
      <c r="BU64" s="1170"/>
      <c r="BV64" s="1170"/>
      <c r="BW64" s="1170"/>
      <c r="BX64" s="1170"/>
      <c r="BY64" s="1170"/>
      <c r="BZ64" s="1170"/>
      <c r="CA64" s="1170"/>
      <c r="CB64" s="1170"/>
      <c r="CC64" s="1170"/>
      <c r="CD64" s="1186" t="str">
        <f>HydroRefineryCalcs!C291</f>
        <v>Vol Flow</v>
      </c>
      <c r="CE64" s="1170" t="str">
        <f>HydroRefineryCalcs!D291</f>
        <v>bpd</v>
      </c>
      <c r="CF64" s="1170">
        <f ca="1">HydroRefineryCalcs!F291</f>
        <v>28123.302309909086</v>
      </c>
      <c r="CG64" s="1170"/>
      <c r="CH64" s="1170"/>
      <c r="CI64" s="1170"/>
      <c r="CJ64" s="1170"/>
      <c r="CK64" s="1170"/>
      <c r="CL64" s="1170"/>
      <c r="CM64" s="1170"/>
      <c r="CN64" s="1170"/>
      <c r="CO64" s="1170"/>
      <c r="CP64" s="1160"/>
      <c r="CQ64" s="1160"/>
      <c r="CR64" s="1160"/>
      <c r="CS64" s="1160"/>
      <c r="CT64" s="1160"/>
      <c r="CU64" s="1160"/>
      <c r="CV64" s="1160"/>
      <c r="CW64" s="1160"/>
      <c r="CX64" s="1160"/>
      <c r="CY64" s="1160"/>
      <c r="CZ64" s="1160"/>
      <c r="DA64" s="1160"/>
      <c r="DB64" s="1186" t="str">
        <f t="shared" si="0"/>
        <v>Vol Flow</v>
      </c>
      <c r="DC64" s="1170" t="str">
        <f>CE64</f>
        <v>bpd</v>
      </c>
      <c r="DD64" s="1170">
        <f ca="1">CF64</f>
        <v>28123.302309909086</v>
      </c>
      <c r="DE64" s="1170"/>
      <c r="DF64" s="1170" t="s">
        <v>263</v>
      </c>
      <c r="DG64" s="1160"/>
      <c r="DH64" s="1187">
        <f ca="1">BP77</f>
        <v>232380340.50842014</v>
      </c>
      <c r="DI64" s="1187"/>
      <c r="DJ64" s="1160"/>
      <c r="DK64" s="1160"/>
      <c r="DL64" s="1191" t="s">
        <v>1066</v>
      </c>
      <c r="DM64" s="1245">
        <f ca="1">IF(AND('HydroRefineryPFD '!E26=TRUE,'HydroRefineryPFD '!E27=TRUE),DM65,IF('HydroRefineryPFD '!E27=TRUE,DM67,0))</f>
        <v>0</v>
      </c>
      <c r="DN64" s="1160"/>
      <c r="DO64" s="1160"/>
      <c r="DP64" s="1160"/>
      <c r="DQ64" s="1160"/>
      <c r="DR64" s="1160"/>
      <c r="DS64" s="1160"/>
      <c r="DT64" s="1160"/>
      <c r="DU64" s="1160"/>
      <c r="DV64" s="1160"/>
      <c r="DW64" s="1160"/>
      <c r="DX64" s="1160"/>
      <c r="DY64" s="1160"/>
      <c r="DZ64" s="1160"/>
      <c r="EA64" s="1160"/>
      <c r="EB64" s="1160"/>
      <c r="EC64" s="1160"/>
    </row>
    <row r="65" spans="1:133" x14ac:dyDescent="0.2">
      <c r="A65" s="1160"/>
      <c r="B65" s="1160"/>
      <c r="C65" s="1160"/>
      <c r="D65" s="1160"/>
      <c r="E65" s="1160"/>
      <c r="F65" s="1160"/>
      <c r="G65" s="1160"/>
      <c r="H65" s="1160"/>
      <c r="I65" s="1160"/>
      <c r="J65" s="1160"/>
      <c r="K65" s="1160"/>
      <c r="L65" s="1160"/>
      <c r="M65" s="1160"/>
      <c r="N65" s="1170"/>
      <c r="O65" s="1170"/>
      <c r="P65" s="1170"/>
      <c r="Q65" s="1160"/>
      <c r="R65" s="1170"/>
      <c r="S65" s="1170"/>
      <c r="T65" s="1170"/>
      <c r="U65" s="1170"/>
      <c r="V65" s="1170"/>
      <c r="W65" s="1170"/>
      <c r="X65" s="1170"/>
      <c r="Y65" s="1186" t="str">
        <f>HydroRefineryCalcs!C52</f>
        <v xml:space="preserve">API gravity </v>
      </c>
      <c r="Z65" s="1170"/>
      <c r="AA65" s="1170">
        <f ca="1">HydroRefineryCalcs!H52</f>
        <v>36.171645059781241</v>
      </c>
      <c r="AB65" s="1170"/>
      <c r="AC65" s="1170" t="s">
        <v>541</v>
      </c>
      <c r="AD65" s="1170"/>
      <c r="AE65" s="1170">
        <f ca="1">(U116+W53)*$AE$66</f>
        <v>0</v>
      </c>
      <c r="AF65" s="1170"/>
      <c r="AG65" s="1170"/>
      <c r="AH65" s="1170"/>
      <c r="AI65" s="1170"/>
      <c r="AJ65" s="1170"/>
      <c r="AK65" s="1170"/>
      <c r="AL65" s="1170"/>
      <c r="AM65" s="1170"/>
      <c r="AN65" s="1170"/>
      <c r="AO65" s="1170"/>
      <c r="AP65" s="1170"/>
      <c r="AQ65" s="1170"/>
      <c r="AR65" s="1170"/>
      <c r="AS65" s="1170"/>
      <c r="AT65" s="1170"/>
      <c r="AU65" s="1170"/>
      <c r="AV65" s="1170"/>
      <c r="AW65" s="1170"/>
      <c r="AX65" s="1170"/>
      <c r="AY65" s="1170"/>
      <c r="AZ65" s="1170"/>
      <c r="BA65" s="1170"/>
      <c r="BB65" s="1170"/>
      <c r="BC65" s="1170"/>
      <c r="BD65" s="1170"/>
      <c r="BE65" s="1186" t="str">
        <f>HydroRefineryCalcs!C254</f>
        <v>Hydrogen</v>
      </c>
      <c r="BF65" s="1170" t="str">
        <f ca="1">HydroRefineryCalcs!D254</f>
        <v>wt%</v>
      </c>
      <c r="BG65" s="1170">
        <f ca="1">HydroRefineryCalcs!H254</f>
        <v>15.052106605583376</v>
      </c>
      <c r="BH65" s="1170"/>
      <c r="BI65" s="1170"/>
      <c r="BJ65" s="1170"/>
      <c r="BK65" s="1170"/>
      <c r="BL65" s="1170"/>
      <c r="BM65" s="1170"/>
      <c r="BN65" s="1186" t="str">
        <f>HydroRefineryCalcs!C248</f>
        <v>Vol Flow</v>
      </c>
      <c r="BO65" s="1170" t="str">
        <f ca="1">HydroRefineryCalcs!D248</f>
        <v>m^3/d</v>
      </c>
      <c r="BP65" s="1187">
        <f ca="1">HydroRefineryCalcs!G248</f>
        <v>4405.815005219094</v>
      </c>
      <c r="BQ65" s="1170"/>
      <c r="BR65" s="1170"/>
      <c r="BS65" s="1170"/>
      <c r="BT65" s="1170"/>
      <c r="BU65" s="1170"/>
      <c r="BV65" s="1170"/>
      <c r="BW65" s="1170"/>
      <c r="BX65" s="1170"/>
      <c r="BY65" s="1170"/>
      <c r="BZ65" s="1170"/>
      <c r="CA65" s="1170"/>
      <c r="CB65" s="1170"/>
      <c r="CC65" s="1170"/>
      <c r="CD65" s="1186" t="str">
        <f>HydroRefineryCalcs!C292</f>
        <v>Vol Flow</v>
      </c>
      <c r="CE65" s="1170" t="str">
        <f>HydroRefineryCalcs!D292</f>
        <v>m^3/d</v>
      </c>
      <c r="CF65" s="1170">
        <f ca="1">HydroRefineryCalcs!F292</f>
        <v>4471.247901336209</v>
      </c>
      <c r="CG65" s="1170"/>
      <c r="CH65" s="1170"/>
      <c r="CI65" s="1170"/>
      <c r="CJ65" s="1170"/>
      <c r="CK65" s="1170"/>
      <c r="CL65" s="1170"/>
      <c r="CM65" s="1170"/>
      <c r="CN65" s="1170"/>
      <c r="CO65" s="1170"/>
      <c r="CP65" s="1160"/>
      <c r="CQ65" s="1160"/>
      <c r="CR65" s="1160"/>
      <c r="CS65" s="1160"/>
      <c r="CT65" s="1160"/>
      <c r="CU65" s="1160"/>
      <c r="CV65" s="1160"/>
      <c r="CW65" s="1160"/>
      <c r="CX65" s="1160"/>
      <c r="CY65" s="1160"/>
      <c r="CZ65" s="1160"/>
      <c r="DA65" s="1160"/>
      <c r="DB65" s="1186" t="str">
        <f t="shared" si="0"/>
        <v>Vol Flow</v>
      </c>
      <c r="DC65" s="1170" t="str">
        <f>CE65</f>
        <v>m^3/d</v>
      </c>
      <c r="DD65" s="1170">
        <f ca="1">CF65</f>
        <v>4471.247901336209</v>
      </c>
      <c r="DE65" s="1170"/>
      <c r="DF65" s="1170" t="s">
        <v>392</v>
      </c>
      <c r="DG65" s="1160"/>
      <c r="DH65" s="1187">
        <f ca="1">(BP78+BY72)</f>
        <v>317306.6027964176</v>
      </c>
      <c r="DI65" s="1187"/>
      <c r="DJ65" s="1160"/>
      <c r="DK65" s="1160"/>
      <c r="DL65" s="1191" t="s">
        <v>1065</v>
      </c>
      <c r="DM65" s="1245">
        <f ca="1">BP42/(CF20+BX57+BP42)</f>
        <v>0</v>
      </c>
      <c r="DN65" s="1160"/>
      <c r="DO65" s="1160"/>
      <c r="DP65" s="1160"/>
      <c r="DQ65" s="1160"/>
      <c r="DR65" s="1160"/>
      <c r="DS65" s="1160"/>
      <c r="DT65" s="1160"/>
      <c r="DU65" s="1160"/>
      <c r="DV65" s="1160"/>
      <c r="DW65" s="1160"/>
      <c r="DX65" s="1160"/>
      <c r="DY65" s="1160"/>
      <c r="DZ65" s="1160"/>
      <c r="EA65" s="1160"/>
      <c r="EB65" s="1160"/>
      <c r="EC65" s="1160"/>
    </row>
    <row r="66" spans="1:133" x14ac:dyDescent="0.2">
      <c r="A66" s="1160"/>
      <c r="B66" s="1160"/>
      <c r="C66" s="1160"/>
      <c r="D66" s="1160"/>
      <c r="E66" s="1160"/>
      <c r="F66" s="1160"/>
      <c r="G66" s="1160"/>
      <c r="H66" s="1160"/>
      <c r="I66" s="1160"/>
      <c r="J66" s="1160"/>
      <c r="K66" s="1160"/>
      <c r="L66" s="1160"/>
      <c r="M66" s="1160"/>
      <c r="N66" s="1170"/>
      <c r="O66" s="1170"/>
      <c r="P66" s="1170"/>
      <c r="Q66" s="1160"/>
      <c r="R66" s="1170"/>
      <c r="S66" s="1170"/>
      <c r="T66" s="1170"/>
      <c r="U66" s="1170"/>
      <c r="V66" s="1170"/>
      <c r="W66" s="1170"/>
      <c r="X66" s="1170"/>
      <c r="Y66" s="1186" t="str">
        <f>HydroRefineryCalcs!C53</f>
        <v>Density</v>
      </c>
      <c r="Z66" s="1170" t="str">
        <f ca="1">HydroRefineryCalcs!D53</f>
        <v>kg/m^3</v>
      </c>
      <c r="AA66" s="1187">
        <f ca="1">HydroRefineryCalcs!H53</f>
        <v>843.91132412132015</v>
      </c>
      <c r="AB66" s="1170"/>
      <c r="AC66" s="1180" t="s">
        <v>1065</v>
      </c>
      <c r="AD66" s="1170"/>
      <c r="AE66" s="1170">
        <f ca="1">IF(HydroRefineryConfig=0,IF(E23=TRUE,IF(E24=TRUE,AA71/(AA54+AA71+AA88+AA103+AN300),AA71/(AA54+AA71+AA88+AA103+W141)),IF(E24=TRUE,AA71/(AA54+AA71+AA88+AN300),AA71/(AA54+AA71+AA88+W141))),AA71/(AA54+AA71+AA88+AA103+W141))</f>
        <v>0.41599643318484303</v>
      </c>
      <c r="AF66" s="1170"/>
      <c r="AG66" s="1170"/>
      <c r="AH66" s="1170"/>
      <c r="AI66" s="1170"/>
      <c r="AJ66" s="1170"/>
      <c r="AK66" s="1170"/>
      <c r="AL66" s="1170"/>
      <c r="AM66" s="1170"/>
      <c r="AN66" s="1170"/>
      <c r="AO66" s="1170"/>
      <c r="AP66" s="1170"/>
      <c r="AQ66" s="1170"/>
      <c r="AR66" s="1170"/>
      <c r="AS66" s="1170"/>
      <c r="AT66" s="1170"/>
      <c r="AU66" s="1170"/>
      <c r="AV66" s="1170"/>
      <c r="AW66" s="1170"/>
      <c r="AX66" s="1170"/>
      <c r="AY66" s="1170"/>
      <c r="AZ66" s="1170"/>
      <c r="BA66" s="1170"/>
      <c r="BB66" s="1170"/>
      <c r="BC66" s="1170"/>
      <c r="BD66" s="1170"/>
      <c r="BE66" s="1170"/>
      <c r="BF66" s="1170"/>
      <c r="BG66" s="1170"/>
      <c r="BH66" s="1170"/>
      <c r="BI66" s="1170"/>
      <c r="BJ66" s="1170"/>
      <c r="BK66" s="1170"/>
      <c r="BL66" s="1170"/>
      <c r="BM66" s="1170"/>
      <c r="BN66" s="1186" t="str">
        <f>HydroRefineryCalcs!C249</f>
        <v>Mass Flow</v>
      </c>
      <c r="BO66" s="1170" t="str">
        <f>HydroRefineryCalcs!D249</f>
        <v>kg/d</v>
      </c>
      <c r="BP66" s="1187">
        <f ca="1">HydroRefineryCalcs!G249</f>
        <v>3612768.3042796571</v>
      </c>
      <c r="BQ66" s="1170"/>
      <c r="BR66" s="1170"/>
      <c r="BS66" s="1170"/>
      <c r="BT66" s="1170"/>
      <c r="BU66" s="1170"/>
      <c r="BV66" s="1170"/>
      <c r="BW66" s="1170"/>
      <c r="BX66" s="1170"/>
      <c r="BY66" s="1170"/>
      <c r="BZ66" s="1170"/>
      <c r="CA66" s="1170"/>
      <c r="CB66" s="1170"/>
      <c r="CC66" s="1170"/>
      <c r="CD66" s="1186" t="str">
        <f>HydroRefineryCalcs!C293</f>
        <v>Mass Flow</v>
      </c>
      <c r="CE66" s="1170" t="str">
        <f>HydroRefineryCalcs!D293</f>
        <v>kg/d</v>
      </c>
      <c r="CF66" s="1170">
        <f ca="1">HydroRefineryCalcs!F293</f>
        <v>3612768.3042796571</v>
      </c>
      <c r="CG66" s="1170"/>
      <c r="CH66" s="1170"/>
      <c r="CI66" s="1170"/>
      <c r="CJ66" s="1170"/>
      <c r="CK66" s="1170"/>
      <c r="CL66" s="1170"/>
      <c r="CM66" s="1170"/>
      <c r="CN66" s="1170"/>
      <c r="CO66" s="1170"/>
      <c r="CP66" s="1160"/>
      <c r="CQ66" s="1160"/>
      <c r="CR66" s="1160"/>
      <c r="CS66" s="1160"/>
      <c r="CT66" s="1170"/>
      <c r="CU66" s="1170"/>
      <c r="CV66" s="1170"/>
      <c r="CW66" s="1160"/>
      <c r="CX66" s="1160"/>
      <c r="CY66" s="1160"/>
      <c r="CZ66" s="1160"/>
      <c r="DA66" s="1160"/>
      <c r="DB66" s="1186" t="str">
        <f t="shared" si="0"/>
        <v>Mass Flow</v>
      </c>
      <c r="DC66" s="1170" t="str">
        <f>CE66</f>
        <v>kg/d</v>
      </c>
      <c r="DD66" s="1170">
        <f ca="1">CF66</f>
        <v>3612768.3042796571</v>
      </c>
      <c r="DE66" s="1170"/>
      <c r="DF66" s="1170" t="s">
        <v>224</v>
      </c>
      <c r="DG66" s="1160"/>
      <c r="DH66" s="1187">
        <f ca="1">(BP79+BY73)</f>
        <v>6018924.6574679464</v>
      </c>
      <c r="DI66" s="1187"/>
      <c r="DJ66" s="1160"/>
      <c r="DK66" s="1160"/>
      <c r="DL66" s="1208" t="s">
        <v>228</v>
      </c>
      <c r="DM66" s="1245">
        <f ca="1">BP34/BG38</f>
        <v>0.1</v>
      </c>
      <c r="DN66" s="1160"/>
      <c r="DO66" s="1160"/>
      <c r="DP66" s="1160"/>
      <c r="DQ66" s="1160"/>
      <c r="DR66" s="1160"/>
      <c r="DS66" s="1160"/>
      <c r="DT66" s="1160"/>
      <c r="DU66" s="1160"/>
      <c r="DV66" s="1160"/>
      <c r="DW66" s="1160"/>
      <c r="DX66" s="1160"/>
      <c r="DY66" s="1160"/>
      <c r="DZ66" s="1160"/>
      <c r="EA66" s="1160"/>
      <c r="EB66" s="1160"/>
      <c r="EC66" s="1160"/>
    </row>
    <row r="67" spans="1:133" x14ac:dyDescent="0.2">
      <c r="A67" s="1160"/>
      <c r="B67" s="1160"/>
      <c r="C67" s="1160"/>
      <c r="D67" s="1160"/>
      <c r="E67" s="1160"/>
      <c r="F67" s="1160"/>
      <c r="G67" s="1160"/>
      <c r="H67" s="1160"/>
      <c r="I67" s="1160"/>
      <c r="J67" s="1160"/>
      <c r="K67" s="1160"/>
      <c r="L67" s="1160"/>
      <c r="M67" s="1160"/>
      <c r="N67" s="1170"/>
      <c r="O67" s="1170"/>
      <c r="P67" s="1170"/>
      <c r="Q67" s="1160"/>
      <c r="R67" s="1170"/>
      <c r="S67" s="1170"/>
      <c r="T67" s="1170"/>
      <c r="U67" s="1170"/>
      <c r="V67" s="1170"/>
      <c r="W67" s="1170"/>
      <c r="X67" s="1170"/>
      <c r="Y67" s="1186" t="str">
        <f>HydroRefineryCalcs!C54</f>
        <v>Hydrogen</v>
      </c>
      <c r="Z67" s="1170" t="str">
        <f ca="1">HydroRefineryCalcs!D54</f>
        <v>wt%</v>
      </c>
      <c r="AA67" s="1170">
        <f ca="1">HydroRefineryCalcs!H54</f>
        <v>12.638480433923533</v>
      </c>
      <c r="AB67" s="1170"/>
      <c r="AC67" s="1198" t="s">
        <v>228</v>
      </c>
      <c r="AD67" s="1170"/>
      <c r="AE67" s="1217">
        <f ca="1">IF(HydroRefineryConfig=0,IF(E23=TRUE,IF(E24=TRUE,AA63/U102,AA63/(U102-AN292)),IF(E24=TRUE,AA63/(U102-AA95),AA63/(U102-AA95-AN292))),AA63/U102)</f>
        <v>0.43063958632049248</v>
      </c>
      <c r="AF67" s="1170"/>
      <c r="AG67" s="1170"/>
      <c r="AH67" s="1170"/>
      <c r="AI67" s="1170"/>
      <c r="AJ67" s="1170"/>
      <c r="AK67" s="1170"/>
      <c r="AL67" s="1170"/>
      <c r="AM67" s="1170"/>
      <c r="AN67" s="1170"/>
      <c r="AO67" s="1170"/>
      <c r="AP67" s="1170"/>
      <c r="AQ67" s="1170"/>
      <c r="AR67" s="1170"/>
      <c r="AS67" s="1170"/>
      <c r="AT67" s="1170"/>
      <c r="AU67" s="1170"/>
      <c r="AV67" s="1170"/>
      <c r="AW67" s="1170"/>
      <c r="AX67" s="1170"/>
      <c r="AY67" s="1170"/>
      <c r="AZ67" s="1170"/>
      <c r="BA67" s="1170"/>
      <c r="BB67" s="1170"/>
      <c r="BC67" s="1170"/>
      <c r="BD67" s="1170"/>
      <c r="BE67" s="1186" t="s">
        <v>1698</v>
      </c>
      <c r="BF67" s="1199" t="s">
        <v>447</v>
      </c>
      <c r="BG67" s="1252">
        <f>'Energy &amp; Unit Conversions'!$Q$27</f>
        <v>46.898519302437805</v>
      </c>
      <c r="BH67" s="1170"/>
      <c r="BI67" s="1170"/>
      <c r="BJ67" s="1170"/>
      <c r="BK67" s="1170"/>
      <c r="BL67" s="1170"/>
      <c r="BM67" s="1170"/>
      <c r="BN67" s="1186" t="str">
        <f>HydroRefineryCalcs!C250</f>
        <v xml:space="preserve">Sulphur </v>
      </c>
      <c r="BO67" s="1170" t="str">
        <f ca="1">HydroRefineryCalcs!D250</f>
        <v>wt%</v>
      </c>
      <c r="BP67" s="1170">
        <f>HydroRefineryCalcs!G250</f>
        <v>1E-4</v>
      </c>
      <c r="BQ67" s="1170"/>
      <c r="BR67" s="1170"/>
      <c r="BS67" s="1170"/>
      <c r="BT67" s="1170"/>
      <c r="BU67" s="1170"/>
      <c r="BV67" s="1170"/>
      <c r="BW67" s="1170"/>
      <c r="BX67" s="1170"/>
      <c r="BY67" s="1170"/>
      <c r="BZ67" s="1170"/>
      <c r="CA67" s="1170"/>
      <c r="CB67" s="1170"/>
      <c r="CC67" s="1170"/>
      <c r="CD67" s="1186" t="str">
        <f>HydroRefineryCalcs!C294</f>
        <v>S</v>
      </c>
      <c r="CE67" s="1170" t="str">
        <f>HydroRefineryCalcs!D294</f>
        <v>wt%</v>
      </c>
      <c r="CF67" s="1170">
        <f>HydroRefineryCalcs!F294</f>
        <v>1E-4</v>
      </c>
      <c r="CG67" s="1170"/>
      <c r="CH67" s="1170"/>
      <c r="CI67" s="1170"/>
      <c r="CJ67" s="1170"/>
      <c r="CK67" s="1170"/>
      <c r="CL67" s="1170"/>
      <c r="CM67" s="1170"/>
      <c r="CN67" s="1170"/>
      <c r="CO67" s="1170"/>
      <c r="CP67" s="1160"/>
      <c r="CQ67" s="1160"/>
      <c r="CR67" s="1160"/>
      <c r="CS67" s="1160"/>
      <c r="CT67" s="1160"/>
      <c r="CU67" s="1160"/>
      <c r="CV67" s="1160"/>
      <c r="CW67" s="1160"/>
      <c r="CX67" s="1160"/>
      <c r="CY67" s="1160"/>
      <c r="CZ67" s="1171"/>
      <c r="DA67" s="1160"/>
      <c r="DB67" s="1186" t="str">
        <f t="shared" si="0"/>
        <v>S</v>
      </c>
      <c r="DC67" s="1170" t="str">
        <f>CE67</f>
        <v>wt%</v>
      </c>
      <c r="DD67" s="1170">
        <f t="shared" ref="DD67:DD70" si="1">CF67</f>
        <v>1E-4</v>
      </c>
      <c r="DE67" s="1170"/>
      <c r="DF67" s="1170" t="s">
        <v>485</v>
      </c>
      <c r="DG67" s="1160"/>
      <c r="DH67" s="1187">
        <f ca="1">(BP80+BY74)</f>
        <v>635810.16625919892</v>
      </c>
      <c r="DI67" s="1187"/>
      <c r="DJ67" s="1160"/>
      <c r="DK67" s="1160"/>
      <c r="DL67" s="1191" t="s">
        <v>1699</v>
      </c>
      <c r="DM67" s="1171">
        <f ca="1">BP42/(BX57+BP42)</f>
        <v>0</v>
      </c>
      <c r="DN67" s="1160" t="s">
        <v>622</v>
      </c>
      <c r="DO67" s="1160"/>
      <c r="DP67" s="1160"/>
      <c r="DQ67" s="1160"/>
      <c r="DR67" s="1160"/>
      <c r="DS67" s="1160"/>
      <c r="DT67" s="1160"/>
      <c r="DU67" s="1160"/>
      <c r="DV67" s="1160"/>
      <c r="DW67" s="1160"/>
      <c r="DX67" s="1160"/>
      <c r="DY67" s="1160"/>
      <c r="DZ67" s="1160"/>
      <c r="EA67" s="1160"/>
      <c r="EB67" s="1160"/>
      <c r="EC67" s="1160"/>
    </row>
    <row r="68" spans="1:133" x14ac:dyDescent="0.2">
      <c r="A68" s="1160"/>
      <c r="B68" s="1160"/>
      <c r="C68" s="1160"/>
      <c r="D68" s="1160"/>
      <c r="E68" s="1160"/>
      <c r="F68" s="1160"/>
      <c r="G68" s="1160"/>
      <c r="H68" s="1160"/>
      <c r="I68" s="1160"/>
      <c r="J68" s="1160"/>
      <c r="K68" s="1160"/>
      <c r="L68" s="1160"/>
      <c r="M68" s="1160"/>
      <c r="N68" s="1170"/>
      <c r="O68" s="1170"/>
      <c r="P68" s="1170"/>
      <c r="Q68" s="1160"/>
      <c r="R68" s="1170"/>
      <c r="S68" s="1170"/>
      <c r="T68" s="1170"/>
      <c r="U68" s="1170"/>
      <c r="V68" s="1170"/>
      <c r="W68" s="1170"/>
      <c r="X68" s="1170"/>
      <c r="Y68" s="1186" t="str">
        <f>HydroRefineryCalcs!C55</f>
        <v>MCR</v>
      </c>
      <c r="Z68" s="1170" t="str">
        <f ca="1">HydroRefineryCalcs!D55</f>
        <v>wt%</v>
      </c>
      <c r="AA68" s="1170">
        <f>HydroRefineryCalcs!H55</f>
        <v>0</v>
      </c>
      <c r="AB68" s="1170"/>
      <c r="AC68" s="1170"/>
      <c r="AD68" s="1170"/>
      <c r="AE68" s="1170"/>
      <c r="AF68" s="1170"/>
      <c r="AG68" s="1170"/>
      <c r="AH68" s="1170"/>
      <c r="AI68" s="1170"/>
      <c r="AJ68" s="1170"/>
      <c r="AK68" s="1170"/>
      <c r="AL68" s="1170"/>
      <c r="AM68" s="1170"/>
      <c r="AN68" s="1170"/>
      <c r="AO68" s="1170"/>
      <c r="AP68" s="1170"/>
      <c r="AQ68" s="1170"/>
      <c r="AR68" s="1170"/>
      <c r="AS68" s="1170"/>
      <c r="AT68" s="1170"/>
      <c r="AU68" s="1170"/>
      <c r="AV68" s="1170"/>
      <c r="AW68" s="1170"/>
      <c r="AX68" s="1170"/>
      <c r="AY68" s="1170"/>
      <c r="AZ68" s="1170"/>
      <c r="BA68" s="1170"/>
      <c r="BB68" s="1170"/>
      <c r="BC68" s="1170"/>
      <c r="BD68" s="1170"/>
      <c r="BE68" s="1200" t="s">
        <v>1021</v>
      </c>
      <c r="BF68" s="1199" t="s">
        <v>1022</v>
      </c>
      <c r="BG68" s="1252">
        <f>Constants!$G$353</f>
        <v>33.957001686096191</v>
      </c>
      <c r="BH68" s="1170"/>
      <c r="BI68" s="1170"/>
      <c r="BJ68" s="1170"/>
      <c r="BK68" s="1170"/>
      <c r="BL68" s="1170"/>
      <c r="BM68" s="1170"/>
      <c r="BN68" s="1186" t="str">
        <f>HydroRefineryCalcs!C252</f>
        <v xml:space="preserve">API gravity </v>
      </c>
      <c r="BO68" s="1170"/>
      <c r="BP68" s="1170">
        <f>HydroRefineryCalcs!G252</f>
        <v>41.060975609756099</v>
      </c>
      <c r="BQ68" s="1170"/>
      <c r="BR68" s="1170"/>
      <c r="BS68" s="1170"/>
      <c r="BT68" s="1170"/>
      <c r="BU68" s="1170"/>
      <c r="BV68" s="1170"/>
      <c r="BW68" s="1170"/>
      <c r="BX68" s="1170"/>
      <c r="BY68" s="1170"/>
      <c r="BZ68" s="1170"/>
      <c r="CA68" s="1170"/>
      <c r="CB68" s="1170"/>
      <c r="CC68" s="1170"/>
      <c r="CD68" s="1186" t="str">
        <f>HydroRefineryCalcs!C295</f>
        <v>API</v>
      </c>
      <c r="CE68" s="1170"/>
      <c r="CF68" s="1170">
        <f>HydroRefineryCalcs!F295</f>
        <v>43.623762376237607</v>
      </c>
      <c r="CG68" s="1170"/>
      <c r="CH68" s="1170"/>
      <c r="CI68" s="1170"/>
      <c r="CJ68" s="1170"/>
      <c r="CK68" s="1179" t="str">
        <f>HydroRefineryCalcs!L310</f>
        <v>DHT Fuel Gas</v>
      </c>
      <c r="CL68" s="1170"/>
      <c r="CM68" s="1170"/>
      <c r="CN68" s="1170"/>
      <c r="CO68" s="1170"/>
      <c r="CP68" s="1160"/>
      <c r="CQ68" s="1160"/>
      <c r="CR68" s="1160"/>
      <c r="CS68" s="1160"/>
      <c r="CT68" s="1160"/>
      <c r="CU68" s="1160"/>
      <c r="CV68" s="1160"/>
      <c r="CW68" s="1160"/>
      <c r="CX68" s="1160"/>
      <c r="CY68" s="1160"/>
      <c r="CZ68" s="1171"/>
      <c r="DA68" s="1160"/>
      <c r="DB68" s="1186" t="str">
        <f t="shared" si="0"/>
        <v>API</v>
      </c>
      <c r="DC68" s="1170"/>
      <c r="DD68" s="1170">
        <f t="shared" si="1"/>
        <v>43.623762376237607</v>
      </c>
      <c r="DE68" s="1170"/>
      <c r="DF68" s="1170" t="s">
        <v>541</v>
      </c>
      <c r="DG68" s="1160"/>
      <c r="DH68" s="1187">
        <f ca="1">(BP81+BY75)</f>
        <v>2030267.5728452147</v>
      </c>
      <c r="DI68" s="1187"/>
      <c r="DJ68" s="1160"/>
      <c r="DK68" s="1160"/>
      <c r="DL68" s="1160"/>
      <c r="DM68" s="1160"/>
      <c r="DN68" s="1160"/>
      <c r="DO68" s="1160"/>
      <c r="DP68" s="1160"/>
      <c r="DQ68" s="1160"/>
      <c r="DR68" s="1160"/>
      <c r="DS68" s="1160"/>
      <c r="DT68" s="1160"/>
      <c r="DU68" s="1160"/>
      <c r="DV68" s="1160"/>
      <c r="DW68" s="1160"/>
      <c r="DX68" s="1160"/>
      <c r="DY68" s="1160"/>
      <c r="DZ68" s="1160"/>
      <c r="EA68" s="1160"/>
      <c r="EB68" s="1160"/>
      <c r="EC68" s="1160"/>
    </row>
    <row r="69" spans="1:133" x14ac:dyDescent="0.2">
      <c r="A69" s="1160"/>
      <c r="B69" s="1160"/>
      <c r="C69" s="1160"/>
      <c r="D69" s="1160"/>
      <c r="E69" s="1160"/>
      <c r="F69" s="1160"/>
      <c r="G69" s="1160"/>
      <c r="H69" s="1160"/>
      <c r="I69" s="1160"/>
      <c r="J69" s="1160"/>
      <c r="K69" s="1160"/>
      <c r="L69" s="1160"/>
      <c r="M69" s="1160"/>
      <c r="N69" s="1170"/>
      <c r="O69" s="1170"/>
      <c r="P69" s="1170"/>
      <c r="Q69" s="1160"/>
      <c r="R69" s="1170"/>
      <c r="S69" s="1170"/>
      <c r="T69" s="1170"/>
      <c r="U69" s="1170"/>
      <c r="V69" s="1170"/>
      <c r="W69" s="1170"/>
      <c r="X69" s="1170"/>
      <c r="Y69" s="1200" t="s">
        <v>1056</v>
      </c>
      <c r="Z69" s="1199" t="s">
        <v>447</v>
      </c>
      <c r="AA69" s="1199">
        <f ca="1">('Energy &amp; Unit Conversions'!$D$63-('Energy &amp; Unit Conversions'!$E$63*POWER((AA66/'Energy &amp; Unit Conversions'!$E$54),2)))</f>
        <v>41.041312135170998</v>
      </c>
      <c r="AB69" s="1170"/>
      <c r="AC69" s="1170"/>
      <c r="AD69" s="1170"/>
      <c r="AE69" s="1170"/>
      <c r="AF69" s="1170"/>
      <c r="AG69" s="1170"/>
      <c r="AH69" s="1170"/>
      <c r="AI69" s="1170"/>
      <c r="AJ69" s="1170"/>
      <c r="AK69" s="1170"/>
      <c r="AL69" s="1170"/>
      <c r="AM69" s="1170"/>
      <c r="AN69" s="1170"/>
      <c r="AO69" s="1170"/>
      <c r="AP69" s="1170"/>
      <c r="AQ69" s="1170"/>
      <c r="AR69" s="1170"/>
      <c r="AS69" s="1170"/>
      <c r="AT69" s="1170"/>
      <c r="AU69" s="1170"/>
      <c r="AV69" s="1170"/>
      <c r="AW69" s="1170"/>
      <c r="AX69" s="1170"/>
      <c r="AY69" s="1170"/>
      <c r="AZ69" s="1170"/>
      <c r="BA69" s="1170"/>
      <c r="BB69" s="1170"/>
      <c r="BC69" s="1170"/>
      <c r="BD69" s="1170"/>
      <c r="BE69" s="1204" t="s">
        <v>1054</v>
      </c>
      <c r="BF69" s="1204" t="str">
        <f>IF(allocationMethod=1,CokingRefineryPFD!$C$21,IF(CokingRefineryPFD!$E$20,CokingRefineryPFD!$C$22,IF(CokingRefineryPFD!$E$20,CokingRefineryPFD!$C$23,CokingRefineryPFD!$C$24)))</f>
        <v>Energy Basis</v>
      </c>
      <c r="BG69" s="1250">
        <f ca="1">HydroRefineryCalcs!R1511</f>
        <v>0</v>
      </c>
      <c r="BH69" s="1170"/>
      <c r="BI69" s="1170"/>
      <c r="BJ69" s="1184" t="str">
        <f>'HydroRefinery Detailed Results'!C15</f>
        <v>Kerosene Hydrotreater</v>
      </c>
      <c r="BK69" s="1170"/>
      <c r="BL69" s="1170"/>
      <c r="BM69" s="1170"/>
      <c r="BN69" s="1186" t="str">
        <f>HydroRefineryCalcs!C253</f>
        <v>Density</v>
      </c>
      <c r="BO69" s="1170" t="str">
        <f ca="1">HydroRefineryCalcs!D253</f>
        <v>kg/m^3</v>
      </c>
      <c r="BP69" s="1187">
        <f>HydroRefineryCalcs!G253</f>
        <v>820</v>
      </c>
      <c r="BQ69" s="1170"/>
      <c r="BR69" s="1170"/>
      <c r="BS69" s="1170"/>
      <c r="BT69" s="1170"/>
      <c r="BU69" s="1170"/>
      <c r="BV69" s="1170"/>
      <c r="BW69" s="1170"/>
      <c r="BX69" s="1170"/>
      <c r="BY69" s="1170"/>
      <c r="BZ69" s="1170"/>
      <c r="CA69" s="1170"/>
      <c r="CB69" s="1170"/>
      <c r="CC69" s="1170"/>
      <c r="CD69" s="1186" t="str">
        <f>HydroRefineryCalcs!C296</f>
        <v>Density</v>
      </c>
      <c r="CE69" s="1170" t="str">
        <f>HydroRefineryCalcs!D296</f>
        <v>kg/m^3</v>
      </c>
      <c r="CF69" s="1170">
        <f>HydroRefineryCalcs!F296</f>
        <v>808</v>
      </c>
      <c r="CG69" s="1170"/>
      <c r="CH69" s="1170"/>
      <c r="CI69" s="1170"/>
      <c r="CJ69" s="1170"/>
      <c r="CK69" s="1182" t="str">
        <f>HydroRefineryCalcs!C310</f>
        <v>Property</v>
      </c>
      <c r="CL69" s="1182" t="str">
        <f>HydroRefineryCalcs!D310</f>
        <v>Units</v>
      </c>
      <c r="CM69" s="1181"/>
      <c r="CN69" s="1170"/>
      <c r="CO69" s="1170"/>
      <c r="CP69" s="1160"/>
      <c r="CQ69" s="1160"/>
      <c r="CR69" s="1160"/>
      <c r="CS69" s="1160"/>
      <c r="CT69" s="1160"/>
      <c r="CU69" s="1160"/>
      <c r="CV69" s="1160"/>
      <c r="CW69" s="1160"/>
      <c r="CX69" s="1160"/>
      <c r="CY69" s="1160"/>
      <c r="CZ69" s="1171"/>
      <c r="DA69" s="1160"/>
      <c r="DB69" s="1186" t="str">
        <f t="shared" si="0"/>
        <v>Density</v>
      </c>
      <c r="DC69" s="1170" t="str">
        <f>CE69</f>
        <v>kg/m^3</v>
      </c>
      <c r="DD69" s="1170">
        <f t="shared" si="1"/>
        <v>808</v>
      </c>
      <c r="DE69" s="1170"/>
      <c r="DF69" s="1180"/>
      <c r="DG69" s="1160"/>
      <c r="DH69" s="1187"/>
      <c r="DI69" s="1187"/>
      <c r="DJ69" s="1160"/>
      <c r="DK69" s="1160"/>
      <c r="DL69" s="1191" t="str">
        <f>BN8</f>
        <v>Isom Fuel Gas</v>
      </c>
      <c r="DM69" s="1254">
        <f ca="1">HydroRefineryCalcs!G164</f>
        <v>8544.5148145949242</v>
      </c>
      <c r="DN69" s="1160"/>
      <c r="DO69" s="1160"/>
      <c r="DP69" s="1160"/>
      <c r="DQ69" s="1160"/>
      <c r="DR69" s="1160"/>
      <c r="DS69" s="1160"/>
      <c r="DT69" s="1160"/>
      <c r="DU69" s="1160"/>
      <c r="DV69" s="1160"/>
      <c r="DW69" s="1160"/>
      <c r="DX69" s="1160"/>
      <c r="DY69" s="1160"/>
      <c r="DZ69" s="1160"/>
      <c r="EA69" s="1160"/>
      <c r="EB69" s="1160"/>
      <c r="EC69" s="1160"/>
    </row>
    <row r="70" spans="1:133" x14ac:dyDescent="0.2">
      <c r="A70" s="1160"/>
      <c r="B70" s="1160"/>
      <c r="C70" s="1160"/>
      <c r="D70" s="1160"/>
      <c r="E70" s="1160"/>
      <c r="F70" s="1160"/>
      <c r="G70" s="1160"/>
      <c r="H70" s="1160"/>
      <c r="I70" s="1160"/>
      <c r="J70" s="1160"/>
      <c r="K70" s="1160"/>
      <c r="L70" s="1160"/>
      <c r="M70" s="1160"/>
      <c r="N70" s="1170"/>
      <c r="O70" s="1170"/>
      <c r="P70" s="1170"/>
      <c r="Q70" s="1160"/>
      <c r="R70" s="1170"/>
      <c r="S70" s="1170"/>
      <c r="T70" s="1170"/>
      <c r="U70" s="1170"/>
      <c r="V70" s="1170"/>
      <c r="W70" s="1170"/>
      <c r="X70" s="1170"/>
      <c r="Y70" s="1200" t="s">
        <v>1021</v>
      </c>
      <c r="Z70" s="1199" t="s">
        <v>1022</v>
      </c>
      <c r="AA70" s="1199">
        <f>Constants!G338</f>
        <v>70.47</v>
      </c>
      <c r="AB70" s="1170"/>
      <c r="AC70" s="1170"/>
      <c r="AD70" s="1170"/>
      <c r="AE70" s="1170"/>
      <c r="AF70" s="1170"/>
      <c r="AG70" s="1170"/>
      <c r="AH70" s="1170"/>
      <c r="AI70" s="1170"/>
      <c r="AJ70" s="1170"/>
      <c r="AK70" s="1170"/>
      <c r="AL70" s="1170"/>
      <c r="AM70" s="1170"/>
      <c r="AN70" s="1170"/>
      <c r="AO70" s="1170"/>
      <c r="AP70" s="1170"/>
      <c r="AQ70" s="1170"/>
      <c r="AR70" s="1170"/>
      <c r="AS70" s="1170"/>
      <c r="AT70" s="1170"/>
      <c r="AU70" s="1170"/>
      <c r="AV70" s="1170"/>
      <c r="AW70" s="1170"/>
      <c r="AX70" s="1170"/>
      <c r="AY70" s="1170"/>
      <c r="AZ70" s="1170"/>
      <c r="BA70" s="1170"/>
      <c r="BB70" s="1170"/>
      <c r="BC70" s="1170"/>
      <c r="BD70" s="1170"/>
      <c r="BE70" s="1170"/>
      <c r="BF70" s="1170"/>
      <c r="BG70" s="1170"/>
      <c r="BH70" s="1170"/>
      <c r="BI70" s="1170"/>
      <c r="BJ70" s="1184" t="s">
        <v>225</v>
      </c>
      <c r="BK70" s="1170"/>
      <c r="BL70" s="1227" t="s">
        <v>522</v>
      </c>
      <c r="BM70" s="1170"/>
      <c r="BN70" s="1186" t="str">
        <f>HydroRefineryCalcs!C254</f>
        <v>Hydrogen</v>
      </c>
      <c r="BO70" s="1170" t="str">
        <f ca="1">HydroRefineryCalcs!D254</f>
        <v>wt%</v>
      </c>
      <c r="BP70" s="1170">
        <f ca="1">HydroRefineryCalcs!G254</f>
        <v>12.999999999999</v>
      </c>
      <c r="BQ70" s="1170"/>
      <c r="BR70" s="1170"/>
      <c r="BS70" s="1170"/>
      <c r="BT70" s="1170"/>
      <c r="BU70" s="1170"/>
      <c r="BV70" s="1170"/>
      <c r="BW70" s="1184" t="str">
        <f>'HydroRefinery Detailed Results'!C16</f>
        <v>Kerosene Merox Unit</v>
      </c>
      <c r="BX70" s="1170"/>
      <c r="BY70" s="1170"/>
      <c r="BZ70" s="1170"/>
      <c r="CA70" s="1170"/>
      <c r="CB70" s="1170"/>
      <c r="CC70" s="1170"/>
      <c r="CD70" s="1186" t="str">
        <f>HydroRefineryCalcs!C297</f>
        <v>H</v>
      </c>
      <c r="CE70" s="1170" t="str">
        <f>HydroRefineryCalcs!D297</f>
        <v>wt%</v>
      </c>
      <c r="CF70" s="1170">
        <f>HydroRefineryCalcs!F297</f>
        <v>13.8</v>
      </c>
      <c r="CG70" s="1170"/>
      <c r="CH70" s="1170"/>
      <c r="CI70" s="1170"/>
      <c r="CJ70" s="1170"/>
      <c r="CK70" s="1186" t="str">
        <f>HydroRefineryCalcs!C311</f>
        <v>Vol Flow</v>
      </c>
      <c r="CL70" s="1170" t="str">
        <f ca="1">HydroRefineryCalcs!D311</f>
        <v>bpd</v>
      </c>
      <c r="CM70" s="1187">
        <f ca="1">CM71/'Energy &amp; Unit Conversions'!$G$80</f>
        <v>46171.600400074771</v>
      </c>
      <c r="CN70" s="1170"/>
      <c r="CO70" s="1170"/>
      <c r="CP70" s="1160"/>
      <c r="CQ70" s="1160"/>
      <c r="CR70" s="1160"/>
      <c r="CS70" s="1160"/>
      <c r="CT70" s="1160"/>
      <c r="CU70" s="1160"/>
      <c r="CV70" s="1160"/>
      <c r="CW70" s="1160"/>
      <c r="CX70" s="1160"/>
      <c r="CY70" s="1160"/>
      <c r="CZ70" s="1171"/>
      <c r="DA70" s="1160"/>
      <c r="DB70" s="1186" t="str">
        <f t="shared" si="0"/>
        <v>H</v>
      </c>
      <c r="DC70" s="1170" t="str">
        <f>CE70</f>
        <v>wt%</v>
      </c>
      <c r="DD70" s="1170">
        <f t="shared" si="1"/>
        <v>13.8</v>
      </c>
      <c r="DE70" s="1170"/>
      <c r="DF70" s="1160"/>
      <c r="DG70" s="1160"/>
      <c r="DH70" s="1288"/>
      <c r="DI70" s="1187"/>
      <c r="DJ70" s="1160"/>
      <c r="DK70" s="1160"/>
      <c r="DL70" s="1193" t="s">
        <v>226</v>
      </c>
      <c r="DM70" s="1243" t="s">
        <v>522</v>
      </c>
      <c r="DN70" s="1160"/>
      <c r="DO70" s="1160"/>
      <c r="DP70" s="1160"/>
      <c r="DQ70" s="1160"/>
      <c r="DR70" s="1160"/>
      <c r="DS70" s="1160"/>
      <c r="DT70" s="1160"/>
      <c r="DU70" s="1160"/>
      <c r="DV70" s="1160"/>
      <c r="DW70" s="1160"/>
      <c r="DX70" s="1160"/>
      <c r="DY70" s="1160"/>
      <c r="DZ70" s="1160"/>
      <c r="EA70" s="1160"/>
      <c r="EB70" s="1160"/>
      <c r="EC70" s="1160"/>
    </row>
    <row r="71" spans="1:133" x14ac:dyDescent="0.2">
      <c r="A71" s="1160"/>
      <c r="B71" s="1160"/>
      <c r="C71" s="1160"/>
      <c r="D71" s="1160"/>
      <c r="E71" s="1160"/>
      <c r="F71" s="1160"/>
      <c r="G71" s="1160"/>
      <c r="H71" s="1160"/>
      <c r="I71" s="1160"/>
      <c r="J71" s="1160"/>
      <c r="K71" s="1160"/>
      <c r="L71" s="1160"/>
      <c r="M71" s="1160"/>
      <c r="N71" s="1170"/>
      <c r="O71" s="1170"/>
      <c r="P71" s="1170"/>
      <c r="Q71" s="1160"/>
      <c r="R71" s="1170"/>
      <c r="S71" s="1170"/>
      <c r="T71" s="1170"/>
      <c r="U71" s="1170"/>
      <c r="V71" s="1170"/>
      <c r="W71" s="1170"/>
      <c r="X71" s="1170"/>
      <c r="Y71" s="1204" t="s">
        <v>1054</v>
      </c>
      <c r="Z71" s="1204" t="str">
        <f>IF(allocationMethod=1,CokingRefineryPFD!$C$21,IF(allocationMethod=2,CokingRefineryPFD!$C$22,IF(allocationMethod=3,CokingRefineryPFD!$C$23,CokingRefineryPFD!$C$24)))</f>
        <v>Hydrogen Content Basis</v>
      </c>
      <c r="AA71" s="1250">
        <f ca="1">IF(allocationMethod=1,AA63,IF(allocationMethod=2,AA69*AA63,IF(allocationMethod=3,AA70*AA61,AA67*AA63/100)))</f>
        <v>455901.2027951529</v>
      </c>
      <c r="AB71" s="1170"/>
      <c r="AC71" s="1170"/>
      <c r="AD71" s="1170"/>
      <c r="AE71" s="1170"/>
      <c r="AF71" s="1170"/>
      <c r="AG71" s="1170"/>
      <c r="AH71" s="1170"/>
      <c r="AI71" s="1170"/>
      <c r="AJ71" s="1170"/>
      <c r="AK71" s="1170"/>
      <c r="AL71" s="1170"/>
      <c r="AM71" s="1170"/>
      <c r="AN71" s="1170"/>
      <c r="AO71" s="1170"/>
      <c r="AP71" s="1170"/>
      <c r="AQ71" s="1170"/>
      <c r="AR71" s="1170"/>
      <c r="AS71" s="1170"/>
      <c r="AT71" s="1170"/>
      <c r="AU71" s="1170"/>
      <c r="AV71" s="1170"/>
      <c r="AW71" s="1170"/>
      <c r="AX71" s="1170"/>
      <c r="AY71" s="1170"/>
      <c r="AZ71" s="1170"/>
      <c r="BA71" s="1170"/>
      <c r="BB71" s="1170"/>
      <c r="BC71" s="1170"/>
      <c r="BD71" s="1170"/>
      <c r="BE71" s="1170"/>
      <c r="BF71" s="1170"/>
      <c r="BG71" s="1170"/>
      <c r="BH71" s="1170"/>
      <c r="BI71" s="1170"/>
      <c r="BJ71" s="1170" t="s">
        <v>392</v>
      </c>
      <c r="BK71" s="1170"/>
      <c r="BL71" s="1187">
        <f ca="1">'HydroRefinery Detailed Results'!F15+IF(AND($EC$147+$EC$164=0,E28=FALSE),'HydroRefinery Detailed Results'!F31*HydroRefineryCalcs!$T$1039,0)</f>
        <v>291733.77795513475</v>
      </c>
      <c r="BM71" s="1170"/>
      <c r="BN71" s="1186" t="str">
        <f>HydroRefineryCalcs!C255</f>
        <v>MCR</v>
      </c>
      <c r="BO71" s="1170" t="str">
        <f ca="1">HydroRefineryCalcs!D255</f>
        <v>wt%</v>
      </c>
      <c r="BP71" s="1170" t="str">
        <f ca="1">HydroRefineryCalcs!G255</f>
        <v/>
      </c>
      <c r="BQ71" s="1170"/>
      <c r="BR71" s="1170"/>
      <c r="BS71" s="1170"/>
      <c r="BT71" s="1170"/>
      <c r="BU71" s="1170"/>
      <c r="BV71" s="1170"/>
      <c r="BW71" s="1184" t="s">
        <v>225</v>
      </c>
      <c r="BX71" s="1170"/>
      <c r="BY71" s="1184" t="s">
        <v>522</v>
      </c>
      <c r="BZ71" s="1170"/>
      <c r="CA71" s="1170"/>
      <c r="CB71" s="1170"/>
      <c r="CC71" s="1170"/>
      <c r="CD71" s="1186" t="str">
        <f>HydroRefineryCalcs!C298</f>
        <v>MCR</v>
      </c>
      <c r="CE71" s="1170" t="str">
        <f>HydroRefineryCalcs!D298</f>
        <v>wt%</v>
      </c>
      <c r="CF71" s="1170" t="str">
        <f ca="1">HydroRefineryCalcs!F298</f>
        <v/>
      </c>
      <c r="CG71" s="1170"/>
      <c r="CH71" s="1170"/>
      <c r="CI71" s="1170"/>
      <c r="CJ71" s="1170"/>
      <c r="CK71" s="1186" t="str">
        <f>HydroRefineryCalcs!C312</f>
        <v>Vol Flow</v>
      </c>
      <c r="CL71" s="1170" t="str">
        <f ca="1">HydroRefineryCalcs!D312</f>
        <v>m^3/d</v>
      </c>
      <c r="CM71" s="1187">
        <f ca="1">CM72*CM75</f>
        <v>7340.698084286807</v>
      </c>
      <c r="CN71" s="1170"/>
      <c r="CO71" s="1170"/>
      <c r="CP71" s="1160"/>
      <c r="CQ71" s="1160"/>
      <c r="CR71" s="1160"/>
      <c r="CS71" s="1160"/>
      <c r="CT71" s="1160"/>
      <c r="CU71" s="1160"/>
      <c r="CV71" s="1160"/>
      <c r="CW71" s="1160"/>
      <c r="CX71" s="1160"/>
      <c r="CY71" s="1160"/>
      <c r="CZ71" s="1171"/>
      <c r="DA71" s="1160"/>
      <c r="DB71" s="1186" t="str">
        <f t="shared" si="0"/>
        <v>MCR</v>
      </c>
      <c r="DC71" s="1170" t="str">
        <f>CE71</f>
        <v>wt%</v>
      </c>
      <c r="DD71" s="1170" t="str">
        <f ca="1">CF71</f>
        <v/>
      </c>
      <c r="DE71" s="1170"/>
      <c r="DF71" s="1160"/>
      <c r="DG71" s="1160"/>
      <c r="DH71" s="1160"/>
      <c r="DI71" s="1187"/>
      <c r="DJ71" s="1160"/>
      <c r="DK71" s="1160"/>
      <c r="DL71" s="1160" t="s">
        <v>263</v>
      </c>
      <c r="DM71" s="1254">
        <f ca="1">BK12*DM76</f>
        <v>0</v>
      </c>
      <c r="DN71" s="1160"/>
      <c r="DO71" s="1160"/>
      <c r="DP71" s="1160"/>
      <c r="DQ71" s="1160"/>
      <c r="DR71" s="1160"/>
      <c r="DS71" s="1160"/>
      <c r="DT71" s="1160"/>
      <c r="DU71" s="1160"/>
      <c r="DV71" s="1160"/>
      <c r="DW71" s="1160"/>
      <c r="DX71" s="1160"/>
      <c r="DY71" s="1160"/>
      <c r="DZ71" s="1160"/>
      <c r="EA71" s="1160"/>
      <c r="EB71" s="1160"/>
      <c r="EC71" s="1160"/>
    </row>
    <row r="72" spans="1:133" x14ac:dyDescent="0.2">
      <c r="A72" s="1160"/>
      <c r="B72" s="1160"/>
      <c r="C72" s="1160"/>
      <c r="D72" s="1160"/>
      <c r="E72" s="1160"/>
      <c r="F72" s="1160"/>
      <c r="G72" s="1160"/>
      <c r="H72" s="1160"/>
      <c r="I72" s="1160"/>
      <c r="J72" s="1160"/>
      <c r="K72" s="1160"/>
      <c r="L72" s="1160"/>
      <c r="M72" s="1160"/>
      <c r="N72" s="1170"/>
      <c r="O72" s="1170"/>
      <c r="P72" s="1170"/>
      <c r="Q72" s="1160"/>
      <c r="R72" s="1170"/>
      <c r="S72" s="1170"/>
      <c r="T72" s="1170"/>
      <c r="U72" s="1170"/>
      <c r="V72" s="1170"/>
      <c r="W72" s="1170"/>
      <c r="X72" s="1170"/>
      <c r="Y72" s="1170"/>
      <c r="Z72" s="1170"/>
      <c r="AA72" s="1170"/>
      <c r="AB72" s="1170"/>
      <c r="AC72" s="1170"/>
      <c r="AD72" s="1170"/>
      <c r="AE72" s="1170"/>
      <c r="AF72" s="1170"/>
      <c r="AG72" s="1170"/>
      <c r="AH72" s="1170"/>
      <c r="AI72" s="1170"/>
      <c r="AJ72" s="1170"/>
      <c r="AK72" s="1170"/>
      <c r="AL72" s="1170"/>
      <c r="AM72" s="1170"/>
      <c r="AN72" s="1170"/>
      <c r="AO72" s="1170"/>
      <c r="AP72" s="1170"/>
      <c r="AQ72" s="1170"/>
      <c r="AR72" s="1170"/>
      <c r="AS72" s="1170"/>
      <c r="AT72" s="1170"/>
      <c r="AU72" s="1170"/>
      <c r="AV72" s="1170"/>
      <c r="AW72" s="1170"/>
      <c r="AX72" s="1170"/>
      <c r="AY72" s="1170"/>
      <c r="AZ72" s="1170"/>
      <c r="BA72" s="1170"/>
      <c r="BB72" s="1170"/>
      <c r="BC72" s="1170"/>
      <c r="BD72" s="1170"/>
      <c r="BE72" s="1170"/>
      <c r="BF72" s="1170"/>
      <c r="BG72" s="1170"/>
      <c r="BH72" s="1170"/>
      <c r="BI72" s="1170"/>
      <c r="BJ72" s="1170" t="s">
        <v>224</v>
      </c>
      <c r="BK72" s="1170"/>
      <c r="BL72" s="1187">
        <f ca="1">'HydroRefinery Detailed Results'!H15+IF(AND($EC$147+$EC$164=0,E28=FALSE),'HydroRefinery Detailed Results'!H31*HydroRefineryCalcs!$T$1039,0)</f>
        <v>4266567.8091951925</v>
      </c>
      <c r="BM72" s="1170"/>
      <c r="BN72" s="1200" t="s">
        <v>1056</v>
      </c>
      <c r="BO72" s="1199" t="s">
        <v>447</v>
      </c>
      <c r="BP72" s="1199">
        <f>('Energy &amp; Unit Conversions'!$D$63-('Energy &amp; Unit Conversions'!$E$63*POWER((BP69/'Energy &amp; Unit Conversions'!$E$54),2)))</f>
        <v>41.357068528546336</v>
      </c>
      <c r="BQ72" s="1170"/>
      <c r="BR72" s="1170"/>
      <c r="BS72" s="1170"/>
      <c r="BT72" s="1170"/>
      <c r="BU72" s="1170"/>
      <c r="BV72" s="1170"/>
      <c r="BW72" s="1170" t="s">
        <v>392</v>
      </c>
      <c r="BX72" s="1170"/>
      <c r="BY72" s="1170">
        <f ca="1">'HydroRefinery Detailed Results'!F16</f>
        <v>9976.2270437882398</v>
      </c>
      <c r="BZ72" s="1170"/>
      <c r="CA72" s="1170"/>
      <c r="CB72" s="1170"/>
      <c r="CC72" s="1170"/>
      <c r="CD72" s="1200" t="s">
        <v>1056</v>
      </c>
      <c r="CE72" s="1199" t="s">
        <v>447</v>
      </c>
      <c r="CF72" s="1199">
        <f>('Energy &amp; Unit Conversions'!$D$63-('Energy &amp; Unit Conversions'!$E$63*POWER((CF69/'Energy &amp; Unit Conversions'!$E$54),2)))</f>
        <v>41.512112182719925</v>
      </c>
      <c r="CG72" s="1170"/>
      <c r="CH72" s="1170"/>
      <c r="CI72" s="1170"/>
      <c r="CJ72" s="1170"/>
      <c r="CK72" s="1186" t="str">
        <f>HydroRefineryCalcs!C313</f>
        <v>Mass Flow</v>
      </c>
      <c r="CL72" s="1170" t="str">
        <f>HydroRefineryCalcs!D313</f>
        <v>kg/d</v>
      </c>
      <c r="CM72" s="1170">
        <f ca="1">HydroRefineryCalcs!L313</f>
        <v>6337.361175245027</v>
      </c>
      <c r="CN72" s="1170"/>
      <c r="CO72" s="1170"/>
      <c r="CP72" s="1160"/>
      <c r="CQ72" s="1160"/>
      <c r="CR72" s="1160"/>
      <c r="CS72" s="1160"/>
      <c r="CT72" s="1160"/>
      <c r="CU72" s="1160"/>
      <c r="CV72" s="1160"/>
      <c r="CW72" s="1160"/>
      <c r="CX72" s="1160"/>
      <c r="CY72" s="1160"/>
      <c r="CZ72" s="1171"/>
      <c r="DA72" s="1160"/>
      <c r="DB72" s="1183" t="s">
        <v>1700</v>
      </c>
      <c r="DC72" s="1184" t="s">
        <v>447</v>
      </c>
      <c r="DD72" s="1170">
        <f>('Energy &amp; Unit Conversions'!$D$63-('Energy &amp; Unit Conversions'!$E$63*POWER(('HydroRefineryPFD '!DD69/'Energy &amp; Unit Conversions'!$E$54),2)))</f>
        <v>41.512112182719925</v>
      </c>
      <c r="DE72" s="1170"/>
      <c r="DF72" s="1160"/>
      <c r="DG72" s="1160"/>
      <c r="DH72" s="1187"/>
      <c r="DI72" s="1187"/>
      <c r="DJ72" s="1160"/>
      <c r="DK72" s="1160"/>
      <c r="DL72" s="1160" t="s">
        <v>392</v>
      </c>
      <c r="DM72" s="1254">
        <f ca="1">(BK13+BS23)*$DM$76</f>
        <v>0</v>
      </c>
      <c r="DN72" s="1160"/>
      <c r="DO72" s="1160"/>
      <c r="DP72" s="1160"/>
      <c r="DQ72" s="1160"/>
      <c r="DR72" s="1160"/>
      <c r="DS72" s="1160"/>
      <c r="DT72" s="1160"/>
      <c r="DU72" s="1160"/>
      <c r="DV72" s="1160"/>
      <c r="DW72" s="1160"/>
      <c r="DX72" s="1160"/>
      <c r="DY72" s="1160"/>
      <c r="DZ72" s="1160"/>
      <c r="EA72" s="1160"/>
      <c r="EB72" s="1160"/>
      <c r="EC72" s="1160"/>
    </row>
    <row r="73" spans="1:133" x14ac:dyDescent="0.2">
      <c r="A73" s="1160"/>
      <c r="B73" s="1160"/>
      <c r="C73" s="1160"/>
      <c r="D73" s="1160"/>
      <c r="E73" s="1160"/>
      <c r="F73" s="1160"/>
      <c r="G73" s="1160"/>
      <c r="H73" s="1160"/>
      <c r="I73" s="1160"/>
      <c r="J73" s="1160"/>
      <c r="K73" s="1160"/>
      <c r="L73" s="1160"/>
      <c r="M73" s="1160"/>
      <c r="N73" s="1170"/>
      <c r="O73" s="1170"/>
      <c r="P73" s="1170"/>
      <c r="Q73" s="1160"/>
      <c r="R73" s="1170"/>
      <c r="S73" s="1170"/>
      <c r="T73" s="1170"/>
      <c r="U73" s="1170"/>
      <c r="V73" s="1170"/>
      <c r="W73" s="1170"/>
      <c r="X73" s="1170"/>
      <c r="Y73" s="1170"/>
      <c r="Z73" s="1170"/>
      <c r="AA73" s="1170"/>
      <c r="AB73" s="1170"/>
      <c r="AC73" s="1170"/>
      <c r="AD73" s="1170"/>
      <c r="AE73" s="1170"/>
      <c r="AF73" s="1170"/>
      <c r="AG73" s="1170"/>
      <c r="AH73" s="1170"/>
      <c r="AI73" s="1170"/>
      <c r="AJ73" s="1170"/>
      <c r="AK73" s="1170"/>
      <c r="AL73" s="1170"/>
      <c r="AM73" s="1170"/>
      <c r="AN73" s="1170"/>
      <c r="AO73" s="1170"/>
      <c r="AP73" s="1170"/>
      <c r="AQ73" s="1170"/>
      <c r="AR73" s="1170"/>
      <c r="AS73" s="1170"/>
      <c r="AT73" s="1170"/>
      <c r="AU73" s="1170"/>
      <c r="AV73" s="1170"/>
      <c r="AW73" s="1170"/>
      <c r="AX73" s="1170"/>
      <c r="AY73" s="1170"/>
      <c r="AZ73" s="1170"/>
      <c r="BA73" s="1170"/>
      <c r="BB73" s="1170"/>
      <c r="BC73" s="1170"/>
      <c r="BD73" s="1170"/>
      <c r="BE73" s="1170"/>
      <c r="BF73" s="1170"/>
      <c r="BG73" s="1170"/>
      <c r="BH73" s="1170"/>
      <c r="BI73" s="1170"/>
      <c r="BJ73" s="1170" t="s">
        <v>485</v>
      </c>
      <c r="BK73" s="1170"/>
      <c r="BL73" s="1187">
        <f ca="1">'HydroRefinery Detailed Results'!J15+IF(AND($EC$147+$EC$164=0,E28=FALSE),'HydroRefinery Detailed Results'!J31*HydroRefineryCalcs!$T$1039,0)</f>
        <v>300656.81371184753</v>
      </c>
      <c r="BM73" s="1170"/>
      <c r="BN73" s="1200" t="s">
        <v>1021</v>
      </c>
      <c r="BO73" s="1199" t="s">
        <v>1022</v>
      </c>
      <c r="BP73" s="1290">
        <f>CF73</f>
        <v>90.12457275390625</v>
      </c>
      <c r="BQ73" s="1170"/>
      <c r="BR73" s="1170"/>
      <c r="BS73" s="1170"/>
      <c r="BT73" s="1170"/>
      <c r="BU73" s="1170"/>
      <c r="BV73" s="1170"/>
      <c r="BW73" s="1170" t="s">
        <v>224</v>
      </c>
      <c r="BX73" s="1170"/>
      <c r="BY73" s="1170">
        <f>'HydroRefinery Detailed Results'!H16</f>
        <v>0</v>
      </c>
      <c r="BZ73" s="1170"/>
      <c r="CA73" s="1170"/>
      <c r="CB73" s="1170"/>
      <c r="CC73" s="1170"/>
      <c r="CD73" s="1200" t="s">
        <v>1021</v>
      </c>
      <c r="CE73" s="1199" t="s">
        <v>1022</v>
      </c>
      <c r="CF73" s="1290">
        <f>DD73</f>
        <v>90.12457275390625</v>
      </c>
      <c r="CG73" s="1170"/>
      <c r="CH73" s="1170"/>
      <c r="CI73" s="1170"/>
      <c r="CJ73" s="1170"/>
      <c r="CK73" s="1186" t="str">
        <f>HydroRefineryCalcs!C314</f>
        <v xml:space="preserve">Sulphur </v>
      </c>
      <c r="CL73" s="1170" t="str">
        <f ca="1">HydroRefineryCalcs!D314</f>
        <v>wt%</v>
      </c>
      <c r="CM73" s="1170">
        <f ca="1">HydroRefineryCalcs!L314</f>
        <v>41.908662494216578</v>
      </c>
      <c r="CN73" s="1170"/>
      <c r="CO73" s="1170"/>
      <c r="CP73" s="1160"/>
      <c r="CQ73" s="1160"/>
      <c r="CR73" s="1160"/>
      <c r="CS73" s="1160"/>
      <c r="CT73" s="1160"/>
      <c r="CU73" s="1160"/>
      <c r="CV73" s="1160"/>
      <c r="CW73" s="1160"/>
      <c r="CX73" s="1160"/>
      <c r="CY73" s="1160"/>
      <c r="CZ73" s="1171"/>
      <c r="DA73" s="1160"/>
      <c r="DB73" s="1200" t="s">
        <v>1021</v>
      </c>
      <c r="DC73" s="1199" t="s">
        <v>1022</v>
      </c>
      <c r="DD73" s="1170">
        <f>Constants!G356</f>
        <v>90.12457275390625</v>
      </c>
      <c r="DE73" s="1170"/>
      <c r="DF73" s="1160"/>
      <c r="DG73" s="1160"/>
      <c r="DH73" s="1187"/>
      <c r="DI73" s="1187"/>
      <c r="DJ73" s="1160"/>
      <c r="DK73" s="1160"/>
      <c r="DL73" s="1160" t="s">
        <v>224</v>
      </c>
      <c r="DM73" s="1254">
        <f ca="1">(BK14+BS24)*$DM$76</f>
        <v>0</v>
      </c>
      <c r="DN73" s="1160"/>
      <c r="DO73" s="1160"/>
      <c r="DP73" s="1160"/>
      <c r="DQ73" s="1160"/>
      <c r="DR73" s="1160"/>
      <c r="DS73" s="1160"/>
      <c r="DT73" s="1160"/>
      <c r="DU73" s="1160"/>
      <c r="DV73" s="1160"/>
      <c r="DW73" s="1160"/>
      <c r="DX73" s="1160"/>
      <c r="DY73" s="1160"/>
      <c r="DZ73" s="1160"/>
      <c r="EA73" s="1160"/>
      <c r="EB73" s="1160"/>
      <c r="EC73" s="1160"/>
    </row>
    <row r="74" spans="1:133" x14ac:dyDescent="0.2">
      <c r="A74" s="1160"/>
      <c r="B74" s="1160"/>
      <c r="C74" s="1160"/>
      <c r="D74" s="1160"/>
      <c r="E74" s="1160"/>
      <c r="F74" s="1160"/>
      <c r="G74" s="1160"/>
      <c r="H74" s="1160"/>
      <c r="I74" s="1160"/>
      <c r="J74" s="1160"/>
      <c r="K74" s="1160"/>
      <c r="L74" s="1160"/>
      <c r="M74" s="1160"/>
      <c r="N74" s="1170"/>
      <c r="O74" s="1170"/>
      <c r="P74" s="1170"/>
      <c r="Q74" s="1170"/>
      <c r="R74" s="1170"/>
      <c r="S74" s="1170"/>
      <c r="T74" s="1170"/>
      <c r="U74" s="1170"/>
      <c r="V74" s="1170"/>
      <c r="W74" s="1170"/>
      <c r="X74" s="1170"/>
      <c r="Y74" s="1170"/>
      <c r="Z74" s="1170"/>
      <c r="AA74" s="1170"/>
      <c r="AB74" s="1170"/>
      <c r="AC74" s="1170"/>
      <c r="AD74" s="1170"/>
      <c r="AE74" s="1170"/>
      <c r="AF74" s="1170"/>
      <c r="AG74" s="1170"/>
      <c r="AH74" s="1170"/>
      <c r="AI74" s="1170"/>
      <c r="AJ74" s="1170"/>
      <c r="AK74" s="1170"/>
      <c r="AL74" s="1170"/>
      <c r="AM74" s="1170"/>
      <c r="AN74" s="1170"/>
      <c r="AO74" s="1170"/>
      <c r="AP74" s="1170"/>
      <c r="AQ74" s="1170"/>
      <c r="AR74" s="1170"/>
      <c r="AS74" s="1170"/>
      <c r="AT74" s="1170"/>
      <c r="AU74" s="1170"/>
      <c r="AV74" s="1170"/>
      <c r="AW74" s="1170"/>
      <c r="AX74" s="1170"/>
      <c r="AY74" s="1170"/>
      <c r="AZ74" s="1170"/>
      <c r="BA74" s="1170"/>
      <c r="BB74" s="1170"/>
      <c r="BC74" s="1170"/>
      <c r="BD74" s="1170"/>
      <c r="BE74" s="1170"/>
      <c r="BF74" s="1170"/>
      <c r="BG74" s="1170"/>
      <c r="BH74" s="1170"/>
      <c r="BI74" s="1170"/>
      <c r="BJ74" s="1170" t="s">
        <v>541</v>
      </c>
      <c r="BK74" s="1170"/>
      <c r="BL74" s="1187">
        <f ca="1">'HydroRefinery Detailed Results'!L15+IF(AND($EC$147+$EC$164=0,E28=FALSE),'HydroRefinery Detailed Results'!L31*HydroRefineryCalcs!$T$1039,0)</f>
        <v>2030267.5728452147</v>
      </c>
      <c r="BM74" s="1170"/>
      <c r="BN74" s="1204" t="s">
        <v>1054</v>
      </c>
      <c r="BO74" s="1204" t="str">
        <f>IF(allocationMethod=1,CokingRefineryPFD!$C$21,IF(allocationMethod=2,CokingRefineryPFD!$C$22,IF(allocationMethod=3,CokingRefineryPFD!$C$23,CokingRefineryPFD!$C$24)))</f>
        <v>Hydrogen Content Basis</v>
      </c>
      <c r="BP74" s="1250">
        <f ca="1">IF(allocationMethod=1,BP66,IF(allocationMethod=2,BP72*BP66,IF(allocationMethod=3,BP73*BP64,BP70*BP66/100)))</f>
        <v>469659.87955631927</v>
      </c>
      <c r="BQ74" s="1170"/>
      <c r="BR74" s="1170"/>
      <c r="BS74" s="1170"/>
      <c r="BT74" s="1170"/>
      <c r="BU74" s="1170"/>
      <c r="BV74" s="1170"/>
      <c r="BW74" s="1170" t="s">
        <v>485</v>
      </c>
      <c r="BX74" s="1170"/>
      <c r="BY74" s="1170">
        <f>'HydroRefinery Detailed Results'!J16</f>
        <v>0</v>
      </c>
      <c r="BZ74" s="1170"/>
      <c r="CA74" s="1170"/>
      <c r="CB74" s="1170"/>
      <c r="CC74" s="1170"/>
      <c r="CD74" s="1204"/>
      <c r="CE74" s="1204"/>
      <c r="CF74" s="1250"/>
      <c r="CG74" s="1170"/>
      <c r="CH74" s="1170"/>
      <c r="CI74" s="1170"/>
      <c r="CJ74" s="1170"/>
      <c r="CK74" s="1186" t="str">
        <f>HydroRefineryCalcs!C316</f>
        <v xml:space="preserve">API gravity </v>
      </c>
      <c r="CL74" s="1170"/>
      <c r="CM74" s="1170">
        <f>HydroRefineryCalcs!L316</f>
        <v>0</v>
      </c>
      <c r="CN74" s="1170"/>
      <c r="CO74" s="1170"/>
      <c r="CP74" s="1160"/>
      <c r="CQ74" s="1160"/>
      <c r="CR74" s="1160"/>
      <c r="CS74" s="1160"/>
      <c r="CT74" s="1160"/>
      <c r="CU74" s="1160"/>
      <c r="CV74" s="1160"/>
      <c r="CW74" s="1160"/>
      <c r="CX74" s="1160"/>
      <c r="CY74" s="1160"/>
      <c r="CZ74" s="1171"/>
      <c r="DA74" s="1160"/>
      <c r="DB74" s="1160"/>
      <c r="DC74" s="1160"/>
      <c r="DD74" s="1160"/>
      <c r="DE74" s="1160"/>
      <c r="DF74" s="1160"/>
      <c r="DG74" s="1160"/>
      <c r="DH74" s="1187"/>
      <c r="DI74" s="1187"/>
      <c r="DJ74" s="1160"/>
      <c r="DK74" s="1160"/>
      <c r="DL74" s="1160" t="s">
        <v>485</v>
      </c>
      <c r="DM74" s="1254">
        <f ca="1">(BK15+BS25)*$DM$76</f>
        <v>0</v>
      </c>
      <c r="DN74" s="1160"/>
      <c r="DO74" s="1160"/>
      <c r="DP74" s="1160"/>
      <c r="DQ74" s="1160"/>
      <c r="DR74" s="1160"/>
      <c r="DS74" s="1160"/>
      <c r="DT74" s="1160"/>
      <c r="DU74" s="1160"/>
      <c r="DV74" s="1160"/>
      <c r="DW74" s="1160"/>
      <c r="DX74" s="1160"/>
      <c r="DY74" s="1160"/>
      <c r="DZ74" s="1160"/>
      <c r="EA74" s="1160"/>
      <c r="EB74" s="1160"/>
      <c r="EC74" s="1160"/>
    </row>
    <row r="75" spans="1:133" x14ac:dyDescent="0.2">
      <c r="A75" s="1160"/>
      <c r="B75" s="1160"/>
      <c r="C75" s="1160"/>
      <c r="D75" s="1160"/>
      <c r="E75" s="1160"/>
      <c r="F75" s="1160"/>
      <c r="G75" s="1160"/>
      <c r="H75" s="1160"/>
      <c r="I75" s="1160"/>
      <c r="J75" s="1160"/>
      <c r="K75" s="1160"/>
      <c r="L75" s="1160"/>
      <c r="M75" s="1160"/>
      <c r="N75" s="1170"/>
      <c r="O75" s="1170"/>
      <c r="P75" s="1170"/>
      <c r="Q75" s="1170"/>
      <c r="R75" s="1170"/>
      <c r="S75" s="1170"/>
      <c r="T75" s="1170"/>
      <c r="U75" s="1170"/>
      <c r="V75" s="1170"/>
      <c r="W75" s="1170"/>
      <c r="X75" s="1170"/>
      <c r="Y75" s="1170"/>
      <c r="Z75" s="1170"/>
      <c r="AA75" s="1170"/>
      <c r="AB75" s="1170"/>
      <c r="AC75" s="1170"/>
      <c r="AD75" s="1170"/>
      <c r="AE75" s="1170"/>
      <c r="AF75" s="1170"/>
      <c r="AG75" s="1170"/>
      <c r="AH75" s="1170"/>
      <c r="AI75" s="1170"/>
      <c r="AJ75" s="1170"/>
      <c r="AK75" s="1170"/>
      <c r="AL75" s="1170"/>
      <c r="AM75" s="1170"/>
      <c r="AN75" s="1170"/>
      <c r="AO75" s="1170"/>
      <c r="AP75" s="1170"/>
      <c r="AQ75" s="1170"/>
      <c r="AR75" s="1170"/>
      <c r="AS75" s="1170"/>
      <c r="AT75" s="1170"/>
      <c r="AU75" s="1170"/>
      <c r="AV75" s="1170"/>
      <c r="AW75" s="1170"/>
      <c r="AX75" s="1170"/>
      <c r="AY75" s="1170"/>
      <c r="AZ75" s="1170"/>
      <c r="BA75" s="1170"/>
      <c r="BB75" s="1170"/>
      <c r="BC75" s="1170"/>
      <c r="BD75" s="1170"/>
      <c r="BE75" s="1170"/>
      <c r="BF75" s="1170"/>
      <c r="BG75" s="1170"/>
      <c r="BH75" s="1170"/>
      <c r="BI75" s="1170"/>
      <c r="BJ75" s="1170"/>
      <c r="BK75" s="1170"/>
      <c r="BL75" s="1170"/>
      <c r="BM75" s="1170"/>
      <c r="BN75" s="1180" t="str">
        <f>BN62</f>
        <v>HT Kero Product</v>
      </c>
      <c r="BO75" s="1170"/>
      <c r="BP75" s="1170"/>
      <c r="BQ75" s="1170"/>
      <c r="BR75" s="1170"/>
      <c r="BS75" s="1170"/>
      <c r="BT75" s="1170"/>
      <c r="BU75" s="1170"/>
      <c r="BV75" s="1170"/>
      <c r="BW75" s="1170" t="s">
        <v>541</v>
      </c>
      <c r="BX75" s="1170"/>
      <c r="BY75" s="1170">
        <f>'HydroRefinery Detailed Results'!L16</f>
        <v>0</v>
      </c>
      <c r="BZ75" s="1170"/>
      <c r="CA75" s="1170"/>
      <c r="CB75" s="1170"/>
      <c r="CC75" s="1170"/>
      <c r="CD75" s="1170"/>
      <c r="CE75" s="1170"/>
      <c r="CF75" s="1170"/>
      <c r="CG75" s="1170"/>
      <c r="CH75" s="1170"/>
      <c r="CI75" s="1170"/>
      <c r="CJ75" s="1170"/>
      <c r="CK75" s="1186" t="str">
        <f>HydroRefineryCalcs!C317</f>
        <v>Density</v>
      </c>
      <c r="CL75" s="1170" t="str">
        <f ca="1">HydroRefineryCalcs!D317</f>
        <v>kg/m^3</v>
      </c>
      <c r="CM75" s="1170">
        <f>'Energy &amp; Unit Conversions'!$E$27/'Energy &amp; Unit Conversions'!$E$93/'Energy &amp; Unit Conversions'!$G$81</f>
        <v>1.1583209290581402</v>
      </c>
      <c r="CN75" s="1170"/>
      <c r="CO75" s="1170"/>
      <c r="CP75" s="1160"/>
      <c r="CQ75" s="1160"/>
      <c r="CR75" s="1160"/>
      <c r="CS75" s="1160"/>
      <c r="CT75" s="1160"/>
      <c r="CU75" s="1160"/>
      <c r="CV75" s="1160"/>
      <c r="CW75" s="1160"/>
      <c r="CX75" s="1160"/>
      <c r="CY75" s="1160"/>
      <c r="CZ75" s="1171"/>
      <c r="DA75" s="1160"/>
      <c r="DB75" s="1160"/>
      <c r="DC75" s="1160"/>
      <c r="DD75" s="1160"/>
      <c r="DE75" s="1160"/>
      <c r="DF75" s="1160"/>
      <c r="DG75" s="1160"/>
      <c r="DH75" s="1187"/>
      <c r="DI75" s="1187"/>
      <c r="DJ75" s="1160"/>
      <c r="DK75" s="1160"/>
      <c r="DL75" s="1160" t="s">
        <v>541</v>
      </c>
      <c r="DM75" s="1254">
        <f ca="1">(BK16+BS26)*$DM$76</f>
        <v>0</v>
      </c>
      <c r="DN75" s="1160"/>
      <c r="DO75" s="1160"/>
      <c r="DP75" s="1160"/>
      <c r="DQ75" s="1160"/>
      <c r="DR75" s="1160"/>
      <c r="DS75" s="1160"/>
      <c r="DT75" s="1160"/>
      <c r="DU75" s="1160"/>
      <c r="DV75" s="1160"/>
      <c r="DW75" s="1160"/>
      <c r="DX75" s="1160"/>
      <c r="DY75" s="1160"/>
      <c r="DZ75" s="1160"/>
      <c r="EA75" s="1160"/>
      <c r="EB75" s="1160"/>
      <c r="EC75" s="1160"/>
    </row>
    <row r="76" spans="1:133" x14ac:dyDescent="0.2">
      <c r="A76" s="1160"/>
      <c r="B76" s="1160"/>
      <c r="C76" s="1160"/>
      <c r="D76" s="1160"/>
      <c r="E76" s="1160"/>
      <c r="F76" s="1160"/>
      <c r="G76" s="1160"/>
      <c r="H76" s="1160"/>
      <c r="I76" s="1160"/>
      <c r="J76" s="1160"/>
      <c r="K76" s="1160"/>
      <c r="L76" s="1160"/>
      <c r="M76" s="1160"/>
      <c r="N76" s="1170"/>
      <c r="O76" s="1170"/>
      <c r="P76" s="1170"/>
      <c r="Q76" s="1170"/>
      <c r="R76" s="1170"/>
      <c r="S76" s="1170"/>
      <c r="T76" s="1170"/>
      <c r="U76" s="1170"/>
      <c r="V76" s="1170"/>
      <c r="W76" s="1170"/>
      <c r="X76" s="1170"/>
      <c r="Y76" s="1181" t="str">
        <f>HydroRefineryCalcs!I46</f>
        <v>Straight Run  Diesel</v>
      </c>
      <c r="Z76" s="1170"/>
      <c r="AA76" s="1170"/>
      <c r="AB76" s="1170"/>
      <c r="AC76" s="1180" t="str">
        <f>Y76</f>
        <v>Straight Run  Diesel</v>
      </c>
      <c r="AD76" s="1170"/>
      <c r="AE76" s="1170"/>
      <c r="AF76" s="1170"/>
      <c r="AG76" s="1170"/>
      <c r="AH76" s="1170"/>
      <c r="AI76" s="1170"/>
      <c r="AJ76" s="1170"/>
      <c r="AK76" s="1170"/>
      <c r="AL76" s="1170"/>
      <c r="AM76" s="1170"/>
      <c r="AN76" s="1170"/>
      <c r="AO76" s="1170"/>
      <c r="AP76" s="1170"/>
      <c r="AQ76" s="1170"/>
      <c r="AR76" s="1170"/>
      <c r="AS76" s="1170"/>
      <c r="AT76" s="1170"/>
      <c r="AU76" s="1170"/>
      <c r="AV76" s="1170"/>
      <c r="AW76" s="1170"/>
      <c r="AX76" s="1170"/>
      <c r="AY76" s="1170"/>
      <c r="AZ76" s="1170"/>
      <c r="BA76" s="1170"/>
      <c r="BB76" s="1170"/>
      <c r="BC76" s="1170"/>
      <c r="BD76" s="1170"/>
      <c r="BE76" s="1170"/>
      <c r="BF76" s="1170"/>
      <c r="BG76" s="1170"/>
      <c r="BH76" s="1170"/>
      <c r="BI76" s="1170"/>
      <c r="BJ76" s="1181" t="str">
        <f>HydroRefineryCalcs!C274</f>
        <v>Total hydrogen consumed</v>
      </c>
      <c r="BK76" s="1170"/>
      <c r="BL76" s="1170"/>
      <c r="BM76" s="1170"/>
      <c r="BN76" s="1183" t="s">
        <v>226</v>
      </c>
      <c r="BO76" s="1170"/>
      <c r="BP76" s="1227" t="s">
        <v>522</v>
      </c>
      <c r="BQ76" s="1170"/>
      <c r="BR76" s="1170"/>
      <c r="BS76" s="1170"/>
      <c r="BT76" s="1170"/>
      <c r="BU76" s="1170"/>
      <c r="BV76" s="1170"/>
      <c r="BW76" s="1170"/>
      <c r="BX76" s="1170"/>
      <c r="BY76" s="1170"/>
      <c r="BZ76" s="1170"/>
      <c r="CA76" s="1170"/>
      <c r="CB76" s="1170"/>
      <c r="CC76" s="1170"/>
      <c r="CD76" s="1186"/>
      <c r="CE76" s="1170"/>
      <c r="CF76" s="1181"/>
      <c r="CG76" s="1170"/>
      <c r="CH76" s="1170"/>
      <c r="CI76" s="1170"/>
      <c r="CJ76" s="1170"/>
      <c r="CK76" s="1186" t="str">
        <f>HydroRefineryCalcs!C318</f>
        <v>Hydrogen</v>
      </c>
      <c r="CL76" s="1170" t="str">
        <f ca="1">HydroRefineryCalcs!D318</f>
        <v>wt%</v>
      </c>
      <c r="CM76" s="1170">
        <f ca="1">HydroRefineryCalcs!L318</f>
        <v>12.71927929715414</v>
      </c>
      <c r="CN76" s="1170"/>
      <c r="CO76" s="1170"/>
      <c r="CP76" s="1160"/>
      <c r="CQ76" s="1160"/>
      <c r="CR76" s="1160"/>
      <c r="CS76" s="1160"/>
      <c r="CT76" s="1160"/>
      <c r="CU76" s="1160"/>
      <c r="CV76" s="1160"/>
      <c r="CW76" s="1160"/>
      <c r="CX76" s="1160"/>
      <c r="CY76" s="1160"/>
      <c r="CZ76" s="1171"/>
      <c r="DA76" s="1160"/>
      <c r="DB76" s="1160"/>
      <c r="DC76" s="1160"/>
      <c r="DD76" s="1160"/>
      <c r="DE76" s="1160"/>
      <c r="DF76" s="1160"/>
      <c r="DG76" s="1160"/>
      <c r="DH76" s="1187"/>
      <c r="DI76" s="1187"/>
      <c r="DJ76" s="1160"/>
      <c r="DK76" s="1160"/>
      <c r="DL76" s="1191" t="s">
        <v>1066</v>
      </c>
      <c r="DM76" s="1245">
        <f ca="1">IF('HydroRefineryPFD '!E27=TRUE,DM77,0)</f>
        <v>0</v>
      </c>
      <c r="DN76" s="1160"/>
      <c r="DO76" s="1160"/>
      <c r="DP76" s="1160"/>
      <c r="DQ76" s="1160"/>
      <c r="DR76" s="1160"/>
      <c r="DS76" s="1160"/>
      <c r="DT76" s="1160"/>
      <c r="DU76" s="1160"/>
      <c r="DV76" s="1160"/>
      <c r="DW76" s="1160"/>
      <c r="DX76" s="1160"/>
      <c r="DY76" s="1160"/>
      <c r="DZ76" s="1160"/>
      <c r="EA76" s="1160"/>
      <c r="EB76" s="1160"/>
      <c r="EC76" s="1160"/>
    </row>
    <row r="77" spans="1:133" x14ac:dyDescent="0.2">
      <c r="A77" s="1160"/>
      <c r="B77" s="1160"/>
      <c r="C77" s="1160"/>
      <c r="D77" s="1160"/>
      <c r="E77" s="1160"/>
      <c r="F77" s="1160"/>
      <c r="G77" s="1160"/>
      <c r="H77" s="1160"/>
      <c r="I77" s="1160"/>
      <c r="J77" s="1160"/>
      <c r="K77" s="1160"/>
      <c r="L77" s="1160"/>
      <c r="M77" s="1160"/>
      <c r="N77" s="1170"/>
      <c r="O77" s="1170"/>
      <c r="P77" s="1170"/>
      <c r="Q77" s="1170"/>
      <c r="R77" s="1170"/>
      <c r="S77" s="1170"/>
      <c r="T77" s="1170"/>
      <c r="U77" s="1170"/>
      <c r="V77" s="1170"/>
      <c r="W77" s="1170"/>
      <c r="X77" s="1170"/>
      <c r="Y77" s="1182" t="str">
        <f>HydroRefineryCalcs!C46</f>
        <v>Property</v>
      </c>
      <c r="Z77" s="1182" t="str">
        <f>HydroRefineryCalcs!D46</f>
        <v>Units</v>
      </c>
      <c r="AA77" s="1170"/>
      <c r="AB77" s="1170"/>
      <c r="AC77" s="1180" t="s">
        <v>226</v>
      </c>
      <c r="AD77" s="1170"/>
      <c r="AE77" s="1184" t="s">
        <v>522</v>
      </c>
      <c r="AF77" s="1170"/>
      <c r="AG77" s="1170"/>
      <c r="AH77" s="1170"/>
      <c r="AI77" s="1170"/>
      <c r="AJ77" s="1170"/>
      <c r="AK77" s="1170"/>
      <c r="AL77" s="1170"/>
      <c r="AM77" s="1170"/>
      <c r="AN77" s="1170"/>
      <c r="AO77" s="1170"/>
      <c r="AP77" s="1170"/>
      <c r="AQ77" s="1170"/>
      <c r="AR77" s="1170"/>
      <c r="AS77" s="1170"/>
      <c r="AT77" s="1170"/>
      <c r="AU77" s="1170"/>
      <c r="AV77" s="1170"/>
      <c r="AW77" s="1170"/>
      <c r="AX77" s="1170"/>
      <c r="AY77" s="1170"/>
      <c r="AZ77" s="1170"/>
      <c r="BA77" s="1186"/>
      <c r="BB77" s="1170"/>
      <c r="BC77" s="1170"/>
      <c r="BD77" s="1170"/>
      <c r="BE77" s="1170"/>
      <c r="BF77" s="1170"/>
      <c r="BG77" s="1170"/>
      <c r="BH77" s="1170"/>
      <c r="BI77" s="1170"/>
      <c r="BJ77" s="1170"/>
      <c r="BK77" s="1170" t="str">
        <f>CokingRefineryCalcs!E283</f>
        <v>kg/d</v>
      </c>
      <c r="BL77" s="1187">
        <f ca="1">HydroRefineryCalcs!D274</f>
        <v>15218.271221719793</v>
      </c>
      <c r="BM77" s="1170"/>
      <c r="BN77" s="1170" t="s">
        <v>263</v>
      </c>
      <c r="BO77" s="1170"/>
      <c r="BP77" s="1187">
        <f ca="1">AE61*BP82</f>
        <v>232380340.50842014</v>
      </c>
      <c r="BQ77" s="1170"/>
      <c r="BR77" s="1170"/>
      <c r="BS77" s="1170"/>
      <c r="BT77" s="1170"/>
      <c r="BU77" s="1170"/>
      <c r="BV77" s="1170"/>
      <c r="BW77" s="1170"/>
      <c r="BX77" s="1170"/>
      <c r="BY77" s="1170"/>
      <c r="BZ77" s="1170"/>
      <c r="CA77" s="1170"/>
      <c r="CB77" s="1170"/>
      <c r="CC77" s="1170"/>
      <c r="CD77" s="1170"/>
      <c r="CE77" s="1170"/>
      <c r="CF77" s="1170"/>
      <c r="CG77" s="1170"/>
      <c r="CH77" s="1170"/>
      <c r="CI77" s="1170"/>
      <c r="CJ77" s="1170"/>
      <c r="CK77" s="1170"/>
      <c r="CL77" s="1170"/>
      <c r="CM77" s="1170"/>
      <c r="CN77" s="1170"/>
      <c r="CO77" s="1170"/>
      <c r="CP77" s="1160"/>
      <c r="CQ77" s="1160"/>
      <c r="CR77" s="1160"/>
      <c r="CS77" s="1160"/>
      <c r="CT77" s="1160"/>
      <c r="CU77" s="1160"/>
      <c r="CV77" s="1160"/>
      <c r="CW77" s="1160"/>
      <c r="CX77" s="1160"/>
      <c r="CY77" s="1160"/>
      <c r="CZ77" s="1171"/>
      <c r="DA77" s="1160"/>
      <c r="DB77" s="1160"/>
      <c r="DC77" s="1160"/>
      <c r="DD77" s="1160"/>
      <c r="DE77" s="1160"/>
      <c r="DF77" s="1160"/>
      <c r="DG77" s="1160"/>
      <c r="DH77" s="1187"/>
      <c r="DI77" s="1187"/>
      <c r="DJ77" s="1160"/>
      <c r="DK77" s="1160"/>
      <c r="DL77" s="1191" t="s">
        <v>1065</v>
      </c>
      <c r="DM77" s="1245">
        <f ca="1">BP20/(BP20+BX20)</f>
        <v>0</v>
      </c>
      <c r="DN77" s="1160"/>
      <c r="DO77" s="1160"/>
      <c r="DP77" s="1160"/>
      <c r="DQ77" s="1160"/>
      <c r="DR77" s="1160"/>
      <c r="DS77" s="1160"/>
      <c r="DT77" s="1160"/>
      <c r="DU77" s="1160"/>
      <c r="DV77" s="1160"/>
      <c r="DW77" s="1160"/>
      <c r="DX77" s="1160"/>
      <c r="DY77" s="1160"/>
      <c r="DZ77" s="1160"/>
      <c r="EA77" s="1160"/>
      <c r="EB77" s="1160"/>
      <c r="EC77" s="1160"/>
    </row>
    <row r="78" spans="1:133" x14ac:dyDescent="0.2">
      <c r="A78" s="1160"/>
      <c r="B78" s="1160"/>
      <c r="C78" s="1160"/>
      <c r="D78" s="1160"/>
      <c r="E78" s="1160"/>
      <c r="F78" s="1160"/>
      <c r="G78" s="1160"/>
      <c r="H78" s="1160"/>
      <c r="I78" s="1160"/>
      <c r="J78" s="1160"/>
      <c r="K78" s="1160"/>
      <c r="L78" s="1160"/>
      <c r="M78" s="1160"/>
      <c r="N78" s="1170"/>
      <c r="O78" s="1170"/>
      <c r="P78" s="1170"/>
      <c r="Q78" s="1170"/>
      <c r="R78" s="1170"/>
      <c r="S78" s="1170"/>
      <c r="T78" s="1170"/>
      <c r="U78" s="1170"/>
      <c r="V78" s="1170"/>
      <c r="W78" s="1170"/>
      <c r="X78" s="1170"/>
      <c r="Y78" s="1186" t="str">
        <f>HydroRefineryCalcs!C47</f>
        <v>Vol Flow</v>
      </c>
      <c r="Z78" s="1170" t="str">
        <f ca="1">HydroRefineryCalcs!D47</f>
        <v>bpd</v>
      </c>
      <c r="AA78" s="1187">
        <f ca="1">HydroRefineryCalcs!I47</f>
        <v>12524.817625472946</v>
      </c>
      <c r="AB78" s="1170"/>
      <c r="AC78" s="1170" t="s">
        <v>263</v>
      </c>
      <c r="AD78" s="1170"/>
      <c r="AE78" s="1187">
        <f ca="1">U112*AE83</f>
        <v>111050855.87309842</v>
      </c>
      <c r="AF78" s="1170"/>
      <c r="AG78" s="1170"/>
      <c r="AH78" s="1170"/>
      <c r="AI78" s="1170"/>
      <c r="AJ78" s="1170"/>
      <c r="AK78" s="1170"/>
      <c r="AL78" s="1170"/>
      <c r="AM78" s="1170"/>
      <c r="AN78" s="1170"/>
      <c r="AO78" s="1170"/>
      <c r="AP78" s="1170"/>
      <c r="AQ78" s="1170"/>
      <c r="AR78" s="1170"/>
      <c r="AS78" s="1170"/>
      <c r="AT78" s="1170"/>
      <c r="AU78" s="1170"/>
      <c r="AV78" s="1170"/>
      <c r="AW78" s="1170"/>
      <c r="AX78" s="1170"/>
      <c r="AY78" s="1170"/>
      <c r="AZ78" s="1170"/>
      <c r="BA78" s="1170"/>
      <c r="BB78" s="1170"/>
      <c r="BC78" s="1170"/>
      <c r="BD78" s="1170"/>
      <c r="BE78" s="1170"/>
      <c r="BF78" s="1170"/>
      <c r="BG78" s="1170"/>
      <c r="BH78" s="1170"/>
      <c r="BI78" s="1170"/>
      <c r="BJ78" s="1170"/>
      <c r="BK78" s="1170"/>
      <c r="BL78" s="1170"/>
      <c r="BM78" s="1170"/>
      <c r="BN78" s="1170" t="s">
        <v>392</v>
      </c>
      <c r="BO78" s="1170"/>
      <c r="BP78" s="1187">
        <f ca="1">(AE62+BL71)*$BP$82</f>
        <v>307330.37575262936</v>
      </c>
      <c r="BQ78" s="1170"/>
      <c r="BR78" s="1170"/>
      <c r="BS78" s="1170"/>
      <c r="BT78" s="1170"/>
      <c r="BU78" s="1170"/>
      <c r="BV78" s="1170"/>
      <c r="BW78" s="1170"/>
      <c r="BX78" s="1170"/>
      <c r="BY78" s="1170"/>
      <c r="BZ78" s="1170"/>
      <c r="CA78" s="1170"/>
      <c r="CB78" s="1170"/>
      <c r="CC78" s="1170"/>
      <c r="CD78" s="1170"/>
      <c r="CE78" s="1170"/>
      <c r="CF78" s="1170"/>
      <c r="CG78" s="1170"/>
      <c r="CH78" s="1170"/>
      <c r="CI78" s="1170"/>
      <c r="CJ78" s="1170"/>
      <c r="CK78" s="1186" t="s">
        <v>1698</v>
      </c>
      <c r="CL78" s="1199" t="s">
        <v>447</v>
      </c>
      <c r="CM78" s="1252">
        <f>'Energy &amp; Unit Conversions'!$Q$27</f>
        <v>46.898519302437805</v>
      </c>
      <c r="CN78" s="1170"/>
      <c r="CO78" s="1170"/>
      <c r="CP78" s="1160"/>
      <c r="CQ78" s="1160"/>
      <c r="CR78" s="1160"/>
      <c r="CS78" s="1160"/>
      <c r="CT78" s="1160"/>
      <c r="CU78" s="1160"/>
      <c r="CV78" s="1160"/>
      <c r="CW78" s="1160"/>
      <c r="CX78" s="1160"/>
      <c r="CY78" s="1160"/>
      <c r="CZ78" s="1171"/>
      <c r="DA78" s="1160"/>
      <c r="DB78" s="1160"/>
      <c r="DC78" s="1160"/>
      <c r="DD78" s="1160"/>
      <c r="DE78" s="1160"/>
      <c r="DF78" s="1160"/>
      <c r="DG78" s="1160"/>
      <c r="DH78" s="1187"/>
      <c r="DI78" s="1187"/>
      <c r="DJ78" s="1160"/>
      <c r="DK78" s="1160"/>
      <c r="DL78" s="1208" t="s">
        <v>228</v>
      </c>
      <c r="DM78" s="1245">
        <f ca="1">BP12/(BG14+BS30)</f>
        <v>9.8632576268941358E-3</v>
      </c>
      <c r="DN78" s="1160"/>
      <c r="DO78" s="1160"/>
      <c r="DP78" s="1160"/>
      <c r="DQ78" s="1160"/>
      <c r="DR78" s="1160"/>
      <c r="DS78" s="1160"/>
      <c r="DT78" s="1160"/>
      <c r="DU78" s="1160"/>
      <c r="DV78" s="1160"/>
      <c r="DW78" s="1160"/>
      <c r="DX78" s="1160"/>
      <c r="DY78" s="1160"/>
      <c r="DZ78" s="1160"/>
      <c r="EA78" s="1160"/>
      <c r="EB78" s="1160"/>
      <c r="EC78" s="1160"/>
    </row>
    <row r="79" spans="1:133" x14ac:dyDescent="0.2">
      <c r="A79" s="1160"/>
      <c r="B79" s="1160"/>
      <c r="C79" s="1160"/>
      <c r="D79" s="1160"/>
      <c r="E79" s="1160"/>
      <c r="F79" s="1160"/>
      <c r="G79" s="1160"/>
      <c r="H79" s="1160"/>
      <c r="I79" s="1160"/>
      <c r="J79" s="1160"/>
      <c r="K79" s="1160"/>
      <c r="L79" s="1160"/>
      <c r="M79" s="1160"/>
      <c r="N79" s="1170"/>
      <c r="O79" s="1170"/>
      <c r="P79" s="1170"/>
      <c r="Q79" s="1170"/>
      <c r="R79" s="1170"/>
      <c r="S79" s="1170"/>
      <c r="T79" s="1170"/>
      <c r="U79" s="1170"/>
      <c r="V79" s="1170"/>
      <c r="W79" s="1170"/>
      <c r="X79" s="1170"/>
      <c r="Y79" s="1186" t="str">
        <f>HydroRefineryCalcs!C48</f>
        <v>Vol Flow</v>
      </c>
      <c r="Z79" s="1170" t="str">
        <f ca="1">HydroRefineryCalcs!D48</f>
        <v>m^3/d</v>
      </c>
      <c r="AA79" s="1187">
        <f ca="1">HydroRefineryCalcs!I48</f>
        <v>1991.2869372663549</v>
      </c>
      <c r="AB79" s="1170"/>
      <c r="AC79" s="1170" t="s">
        <v>392</v>
      </c>
      <c r="AD79" s="1170"/>
      <c r="AE79" s="1187">
        <f ca="1">(U113+W50)*$AE$83</f>
        <v>7453.3651613162265</v>
      </c>
      <c r="AF79" s="1170"/>
      <c r="AG79" s="1170"/>
      <c r="AH79" s="1170"/>
      <c r="AI79" s="1170"/>
      <c r="AJ79" s="1170"/>
      <c r="AK79" s="1170"/>
      <c r="AL79" s="1170"/>
      <c r="AM79" s="1170"/>
      <c r="AN79" s="1170"/>
      <c r="AO79" s="1170"/>
      <c r="AP79" s="1170"/>
      <c r="AQ79" s="1170"/>
      <c r="AR79" s="1170"/>
      <c r="AS79" s="1170"/>
      <c r="AT79" s="1170"/>
      <c r="AU79" s="1170"/>
      <c r="AV79" s="1170"/>
      <c r="AW79" s="1170"/>
      <c r="AX79" s="1170"/>
      <c r="AY79" s="1170"/>
      <c r="AZ79" s="1170"/>
      <c r="BA79" s="1170"/>
      <c r="BB79" s="1170"/>
      <c r="BC79" s="1170"/>
      <c r="BD79" s="1170"/>
      <c r="BE79" s="1170"/>
      <c r="BF79" s="1170"/>
      <c r="BG79" s="1170"/>
      <c r="BH79" s="1170"/>
      <c r="BI79" s="1170"/>
      <c r="BJ79" s="1170"/>
      <c r="BK79" s="1170"/>
      <c r="BL79" s="1170"/>
      <c r="BM79" s="1170"/>
      <c r="BN79" s="1170" t="s">
        <v>224</v>
      </c>
      <c r="BO79" s="1170"/>
      <c r="BP79" s="1187">
        <f ca="1">(AE63+BL72)*$BP$82</f>
        <v>6018924.6574679464</v>
      </c>
      <c r="BQ79" s="1170"/>
      <c r="BR79" s="1170"/>
      <c r="BS79" s="1170"/>
      <c r="BT79" s="1170"/>
      <c r="BU79" s="1170"/>
      <c r="BV79" s="1170"/>
      <c r="BW79" s="1170"/>
      <c r="BX79" s="1170"/>
      <c r="BY79" s="1170"/>
      <c r="BZ79" s="1170"/>
      <c r="CA79" s="1170"/>
      <c r="CB79" s="1170"/>
      <c r="CC79" s="1170"/>
      <c r="CD79" s="1170"/>
      <c r="CE79" s="1170"/>
      <c r="CF79" s="1170"/>
      <c r="CG79" s="1170"/>
      <c r="CH79" s="1170"/>
      <c r="CI79" s="1170"/>
      <c r="CJ79" s="1170"/>
      <c r="CK79" s="1200" t="s">
        <v>1021</v>
      </c>
      <c r="CL79" s="1199" t="s">
        <v>1022</v>
      </c>
      <c r="CM79" s="1252">
        <f>Constants!$G$353</f>
        <v>33.957001686096191</v>
      </c>
      <c r="CN79" s="1170"/>
      <c r="CO79" s="1170"/>
      <c r="CP79" s="1160"/>
      <c r="CQ79" s="1160"/>
      <c r="CR79" s="1160"/>
      <c r="CS79" s="1160"/>
      <c r="CT79" s="1160"/>
      <c r="CU79" s="1160"/>
      <c r="CV79" s="1160"/>
      <c r="CW79" s="1160"/>
      <c r="CX79" s="1160"/>
      <c r="CY79" s="1160"/>
      <c r="CZ79" s="1171"/>
      <c r="DA79" s="1160"/>
      <c r="DB79" s="1160"/>
      <c r="DC79" s="1160"/>
      <c r="DD79" s="1160"/>
      <c r="DE79" s="1160"/>
      <c r="DF79" s="1160"/>
      <c r="DG79" s="1160"/>
      <c r="DH79" s="1187"/>
      <c r="DI79" s="1187"/>
      <c r="DJ79" s="1160"/>
      <c r="DK79" s="1160"/>
      <c r="DL79" s="1160"/>
      <c r="DM79" s="1160"/>
      <c r="DN79" s="1160"/>
      <c r="DO79" s="1160"/>
      <c r="DP79" s="1160"/>
      <c r="DQ79" s="1160"/>
      <c r="DR79" s="1160"/>
      <c r="DS79" s="1160"/>
      <c r="DT79" s="1160"/>
      <c r="DU79" s="1160"/>
      <c r="DV79" s="1160"/>
      <c r="DW79" s="1160"/>
      <c r="DX79" s="1160"/>
      <c r="DY79" s="1160"/>
      <c r="DZ79" s="1160"/>
      <c r="EA79" s="1160"/>
      <c r="EB79" s="1160"/>
      <c r="EC79" s="1160"/>
    </row>
    <row r="80" spans="1:133" x14ac:dyDescent="0.2">
      <c r="A80" s="1160"/>
      <c r="B80" s="1160"/>
      <c r="C80" s="1160"/>
      <c r="D80" s="1160"/>
      <c r="E80" s="1160"/>
      <c r="F80" s="1160"/>
      <c r="G80" s="1160"/>
      <c r="H80" s="1160"/>
      <c r="I80" s="1160"/>
      <c r="J80" s="1160"/>
      <c r="K80" s="1160"/>
      <c r="L80" s="1160"/>
      <c r="M80" s="1160"/>
      <c r="N80" s="1170"/>
      <c r="O80" s="1170"/>
      <c r="P80" s="1170"/>
      <c r="Q80" s="1170"/>
      <c r="R80" s="1170"/>
      <c r="S80" s="1170"/>
      <c r="T80" s="1170"/>
      <c r="U80" s="1170"/>
      <c r="V80" s="1170"/>
      <c r="W80" s="1170"/>
      <c r="X80" s="1170"/>
      <c r="Y80" s="1186" t="str">
        <f>HydroRefineryCalcs!C49</f>
        <v>Mass Flow</v>
      </c>
      <c r="Z80" s="1170" t="str">
        <f>HydroRefineryCalcs!D49</f>
        <v>kg/d</v>
      </c>
      <c r="AA80" s="1187">
        <f ca="1">HydroRefineryCalcs!I49</f>
        <v>1757731.9563243806</v>
      </c>
      <c r="AB80" s="1170"/>
      <c r="AC80" s="1170" t="s">
        <v>224</v>
      </c>
      <c r="AD80" s="1170"/>
      <c r="AE80" s="1187">
        <f ca="1">(U114+W51)*$AE$83</f>
        <v>837423.3696792582</v>
      </c>
      <c r="AF80" s="1170"/>
      <c r="AG80" s="1170"/>
      <c r="AH80" s="1170"/>
      <c r="AI80" s="1170"/>
      <c r="AJ80" s="1170"/>
      <c r="AK80" s="1170"/>
      <c r="AL80" s="1170"/>
      <c r="AM80" s="1170"/>
      <c r="AN80" s="1170"/>
      <c r="AO80" s="1170"/>
      <c r="AP80" s="1170"/>
      <c r="AQ80" s="1170"/>
      <c r="AR80" s="1170"/>
      <c r="AS80" s="1170"/>
      <c r="AT80" s="1170"/>
      <c r="AU80" s="1170"/>
      <c r="AV80" s="1170"/>
      <c r="AW80" s="1170"/>
      <c r="AX80" s="1170"/>
      <c r="AY80" s="1170"/>
      <c r="AZ80" s="1170"/>
      <c r="BA80" s="1170"/>
      <c r="BB80" s="1170"/>
      <c r="BC80" s="1170"/>
      <c r="BD80" s="1170"/>
      <c r="BE80" s="1170"/>
      <c r="BF80" s="1170"/>
      <c r="BG80" s="1170"/>
      <c r="BH80" s="1170"/>
      <c r="BI80" s="1170"/>
      <c r="BJ80" s="1170"/>
      <c r="BK80" s="1170"/>
      <c r="BL80" s="1170"/>
      <c r="BM80" s="1170"/>
      <c r="BN80" s="1170" t="s">
        <v>485</v>
      </c>
      <c r="BO80" s="1170"/>
      <c r="BP80" s="1187">
        <f ca="1">(AE64+BL73)*$BP$82</f>
        <v>635810.16625919892</v>
      </c>
      <c r="BQ80" s="1181"/>
      <c r="BR80" s="1170"/>
      <c r="BS80" s="1170"/>
      <c r="BT80" s="1170"/>
      <c r="BU80" s="1170"/>
      <c r="BV80" s="1170"/>
      <c r="BW80" s="1170"/>
      <c r="BX80" s="1170"/>
      <c r="BY80" s="1170"/>
      <c r="BZ80" s="1170"/>
      <c r="CA80" s="1170"/>
      <c r="CB80" s="1170"/>
      <c r="CC80" s="1170"/>
      <c r="CD80" s="1170"/>
      <c r="CE80" s="1170"/>
      <c r="CF80" s="1170"/>
      <c r="CG80" s="1170"/>
      <c r="CH80" s="1170"/>
      <c r="CI80" s="1170"/>
      <c r="CJ80" s="1170"/>
      <c r="CK80" s="1204" t="s">
        <v>1054</v>
      </c>
      <c r="CL80" s="1204" t="str">
        <f>IF(allocationMethod=1,CokingRefineryPFD!$C$21,IF(allocationMethod=2,CokingRefineryPFD!$C$22,IF(allocationMethod=3,CokingRefineryPFD!$C$23,CokingRefineryPFD!$C$24)))</f>
        <v>Hydrogen Content Basis</v>
      </c>
      <c r="CM80" s="1250">
        <f ca="1">HydroRefineryCalcs!R1513</f>
        <v>0</v>
      </c>
      <c r="CN80" s="1170"/>
      <c r="CO80" s="1170"/>
      <c r="CP80" s="1160"/>
      <c r="CQ80" s="1160"/>
      <c r="CR80" s="1160"/>
      <c r="CS80" s="1181" t="s">
        <v>940</v>
      </c>
      <c r="CT80" s="1170"/>
      <c r="CU80" s="1170"/>
      <c r="CV80" s="1160"/>
      <c r="CW80" s="1160"/>
      <c r="CX80" s="1160"/>
      <c r="CY80" s="1160"/>
      <c r="CZ80" s="1171"/>
      <c r="DA80" s="1160"/>
      <c r="DB80" s="1160"/>
      <c r="DC80" s="1160"/>
      <c r="DD80" s="1160"/>
      <c r="DE80" s="1160"/>
      <c r="DF80" s="1160"/>
      <c r="DG80" s="1160"/>
      <c r="DH80" s="1187"/>
      <c r="DI80" s="1187"/>
      <c r="DJ80" s="1160"/>
      <c r="DK80" s="1160"/>
      <c r="DL80" s="1191" t="str">
        <f>AU25</f>
        <v>NHT Fuel Gas</v>
      </c>
      <c r="DM80" s="1254">
        <f ca="1">HydroRefineryCalcs!J119</f>
        <v>4314.1135318237602</v>
      </c>
      <c r="DN80" s="1160" t="s">
        <v>622</v>
      </c>
      <c r="DO80" s="1160"/>
      <c r="DP80" s="1160"/>
      <c r="DQ80" s="1160"/>
      <c r="DR80" s="1160"/>
      <c r="DS80" s="1160"/>
      <c r="DT80" s="1160"/>
      <c r="DU80" s="1160"/>
      <c r="DV80" s="1160"/>
      <c r="DW80" s="1160"/>
      <c r="DX80" s="1160"/>
      <c r="DY80" s="1160"/>
      <c r="DZ80" s="1160"/>
      <c r="EA80" s="1160"/>
      <c r="EB80" s="1160"/>
      <c r="EC80" s="1160"/>
    </row>
    <row r="81" spans="1:137" x14ac:dyDescent="0.2">
      <c r="A81" s="1160"/>
      <c r="B81" s="1160"/>
      <c r="C81" s="1160"/>
      <c r="D81" s="1160"/>
      <c r="E81" s="1160"/>
      <c r="F81" s="1160"/>
      <c r="G81" s="1160"/>
      <c r="H81" s="1160"/>
      <c r="I81" s="1160"/>
      <c r="J81" s="1160"/>
      <c r="K81" s="1160"/>
      <c r="L81" s="1160"/>
      <c r="M81" s="1160"/>
      <c r="N81" s="1170"/>
      <c r="O81" s="1170"/>
      <c r="P81" s="1170"/>
      <c r="Q81" s="1170"/>
      <c r="R81" s="1170"/>
      <c r="S81" s="1170"/>
      <c r="T81" s="1170"/>
      <c r="U81" s="1170"/>
      <c r="V81" s="1170"/>
      <c r="W81" s="1170"/>
      <c r="X81" s="1170"/>
      <c r="Y81" s="1186" t="str">
        <f>HydroRefineryCalcs!C50</f>
        <v xml:space="preserve">Sulphur </v>
      </c>
      <c r="Z81" s="1170" t="str">
        <f ca="1">HydroRefineryCalcs!D50</f>
        <v>wt%</v>
      </c>
      <c r="AA81" s="1170">
        <f ca="1">HydroRefineryCalcs!I50</f>
        <v>0.15109831145852037</v>
      </c>
      <c r="AB81" s="1170"/>
      <c r="AC81" s="1170" t="s">
        <v>485</v>
      </c>
      <c r="AD81" s="1170"/>
      <c r="AE81" s="1187">
        <f ca="1">(U115+W52)*$AE$83</f>
        <v>160164.43804020103</v>
      </c>
      <c r="AF81" s="1170"/>
      <c r="AG81" s="1170"/>
      <c r="AH81" s="1170"/>
      <c r="AI81" s="1170"/>
      <c r="AJ81" s="1170"/>
      <c r="AK81" s="1170"/>
      <c r="AL81" s="1170"/>
      <c r="AM81" s="1170"/>
      <c r="AN81" s="1170"/>
      <c r="AO81" s="1170"/>
      <c r="AP81" s="1170"/>
      <c r="AQ81" s="1170"/>
      <c r="AR81" s="1170"/>
      <c r="AS81" s="1170"/>
      <c r="AT81" s="1170"/>
      <c r="AU81" s="1170"/>
      <c r="AV81" s="1170"/>
      <c r="AW81" s="1170"/>
      <c r="AX81" s="1170"/>
      <c r="AY81" s="1170"/>
      <c r="AZ81" s="1170"/>
      <c r="BA81" s="1170"/>
      <c r="BB81" s="1170"/>
      <c r="BC81" s="1170"/>
      <c r="BD81" s="1170"/>
      <c r="BE81" s="1170"/>
      <c r="BF81" s="1170"/>
      <c r="BG81" s="1170"/>
      <c r="BH81" s="1170"/>
      <c r="BI81" s="1170"/>
      <c r="BJ81" s="1170"/>
      <c r="BK81" s="1170"/>
      <c r="BL81" s="1170"/>
      <c r="BM81" s="1170"/>
      <c r="BN81" s="1170" t="s">
        <v>541</v>
      </c>
      <c r="BO81" s="1170"/>
      <c r="BP81" s="1187">
        <f ca="1">(AE65+BL74)*$BP$82</f>
        <v>2030267.5728452147</v>
      </c>
      <c r="BQ81" s="1182"/>
      <c r="BR81" s="1170"/>
      <c r="BS81" s="1170"/>
      <c r="BT81" s="1170"/>
      <c r="BU81" s="1170"/>
      <c r="BV81" s="1170"/>
      <c r="BW81" s="1170"/>
      <c r="BX81" s="1170"/>
      <c r="BY81" s="1170"/>
      <c r="BZ81" s="1170"/>
      <c r="CA81" s="1170"/>
      <c r="CB81" s="1170"/>
      <c r="CC81" s="1170"/>
      <c r="CD81" s="1170"/>
      <c r="CE81" s="1170"/>
      <c r="CF81" s="1170"/>
      <c r="CG81" s="1170"/>
      <c r="CH81" s="1170"/>
      <c r="CI81" s="1170"/>
      <c r="CJ81" s="1170"/>
      <c r="CK81" s="1170"/>
      <c r="CL81" s="1170"/>
      <c r="CM81" s="1170"/>
      <c r="CN81" s="1170"/>
      <c r="CO81" s="1170"/>
      <c r="CP81" s="1160"/>
      <c r="CQ81" s="1160"/>
      <c r="CR81" s="1160"/>
      <c r="CS81" s="1182" t="str">
        <f>HydroRefineryCalcs!C310</f>
        <v>Property</v>
      </c>
      <c r="CT81" s="1182" t="str">
        <f>HydroRefineryCalcs!D310</f>
        <v>Units</v>
      </c>
      <c r="CU81" s="1170"/>
      <c r="CV81" s="1160"/>
      <c r="CW81" s="1160"/>
      <c r="CX81" s="1160"/>
      <c r="CY81" s="1160"/>
      <c r="CZ81" s="1171"/>
      <c r="DA81" s="1160"/>
      <c r="DB81" s="1160"/>
      <c r="DC81" s="1160"/>
      <c r="DD81" s="1160"/>
      <c r="DE81" s="1160"/>
      <c r="DF81" s="1160"/>
      <c r="DG81" s="1160"/>
      <c r="DH81" s="1187"/>
      <c r="DI81" s="1187"/>
      <c r="DJ81" s="1160"/>
      <c r="DK81" s="1160"/>
      <c r="DL81" s="1193" t="s">
        <v>226</v>
      </c>
      <c r="DM81" s="1243" t="s">
        <v>522</v>
      </c>
      <c r="DN81" s="1160"/>
      <c r="DO81" s="1160"/>
      <c r="DP81" s="1160"/>
      <c r="DQ81" s="1160"/>
      <c r="DR81" s="1160"/>
      <c r="DS81" s="1160"/>
      <c r="DT81" s="1160"/>
      <c r="DU81" s="1160"/>
      <c r="DV81" s="1160"/>
      <c r="DW81" s="1160"/>
      <c r="DX81" s="1160"/>
      <c r="DY81" s="1160"/>
      <c r="DZ81" s="1160"/>
      <c r="EA81" s="1160"/>
      <c r="EB81" s="1160"/>
      <c r="EC81" s="1160"/>
    </row>
    <row r="82" spans="1:137" x14ac:dyDescent="0.2">
      <c r="A82" s="1160"/>
      <c r="B82" s="1160"/>
      <c r="C82" s="1160"/>
      <c r="D82" s="1160"/>
      <c r="E82" s="1160"/>
      <c r="F82" s="1160"/>
      <c r="G82" s="1160"/>
      <c r="H82" s="1160"/>
      <c r="I82" s="1160"/>
      <c r="J82" s="1160"/>
      <c r="K82" s="1160"/>
      <c r="L82" s="1160"/>
      <c r="M82" s="1160"/>
      <c r="N82" s="1170"/>
      <c r="O82" s="1170"/>
      <c r="P82" s="1170"/>
      <c r="Q82" s="1170"/>
      <c r="R82" s="1170"/>
      <c r="S82" s="1170"/>
      <c r="T82" s="1170"/>
      <c r="U82" s="1170"/>
      <c r="V82" s="1170"/>
      <c r="W82" s="1170"/>
      <c r="X82" s="1170"/>
      <c r="Y82" s="1186" t="str">
        <f>HydroRefineryCalcs!C52</f>
        <v xml:space="preserve">API gravity </v>
      </c>
      <c r="Z82" s="1170"/>
      <c r="AA82" s="1170">
        <f ca="1">HydroRefineryCalcs!I52</f>
        <v>28.801518447896115</v>
      </c>
      <c r="AB82" s="1170"/>
      <c r="AC82" s="1170" t="s">
        <v>541</v>
      </c>
      <c r="AD82" s="1170"/>
      <c r="AE82" s="1170">
        <f ca="1">(U116+W53)*$AE$83</f>
        <v>0</v>
      </c>
      <c r="AF82" s="1170"/>
      <c r="AG82" s="1170"/>
      <c r="AH82" s="1170"/>
      <c r="AI82" s="1170"/>
      <c r="AJ82" s="1170"/>
      <c r="AK82" s="1170"/>
      <c r="AL82" s="1170"/>
      <c r="AM82" s="1170"/>
      <c r="AN82" s="1170"/>
      <c r="AO82" s="1170"/>
      <c r="AP82" s="1170"/>
      <c r="AQ82" s="1170"/>
      <c r="AR82" s="1170"/>
      <c r="AS82" s="1170"/>
      <c r="AT82" s="1170"/>
      <c r="AU82" s="1170"/>
      <c r="AV82" s="1170"/>
      <c r="AW82" s="1170"/>
      <c r="AX82" s="1170"/>
      <c r="AY82" s="1170"/>
      <c r="AZ82" s="1170"/>
      <c r="BA82" s="1170"/>
      <c r="BB82" s="1170"/>
      <c r="BC82" s="1170"/>
      <c r="BD82" s="1170"/>
      <c r="BE82" s="1170"/>
      <c r="BF82" s="1170"/>
      <c r="BG82" s="1170"/>
      <c r="BH82" s="1170"/>
      <c r="BI82" s="1170"/>
      <c r="BJ82" s="1170"/>
      <c r="BK82" s="1170"/>
      <c r="BL82" s="1170"/>
      <c r="BM82" s="1170"/>
      <c r="BN82" s="1180" t="s">
        <v>1066</v>
      </c>
      <c r="BO82" s="1170"/>
      <c r="BP82" s="1170">
        <f ca="1">IF('HydroRefineryPFD '!E27=TRUE,BP83,1)</f>
        <v>1</v>
      </c>
      <c r="BQ82" s="1186"/>
      <c r="BR82" s="1170"/>
      <c r="BS82" s="1170"/>
      <c r="BT82" s="1170"/>
      <c r="BU82" s="1170"/>
      <c r="BV82" s="1170"/>
      <c r="BW82" s="1170"/>
      <c r="BX82" s="1170"/>
      <c r="BY82" s="1170"/>
      <c r="BZ82" s="1170"/>
      <c r="CA82" s="1170"/>
      <c r="CB82" s="1170"/>
      <c r="CC82" s="1170"/>
      <c r="CD82" s="1170"/>
      <c r="CE82" s="1170"/>
      <c r="CF82" s="1170"/>
      <c r="CG82" s="1170"/>
      <c r="CH82" s="1170"/>
      <c r="CI82" s="1170"/>
      <c r="CJ82" s="1170"/>
      <c r="CK82" s="1170"/>
      <c r="CL82" s="1170"/>
      <c r="CM82" s="1170"/>
      <c r="CN82" s="1170"/>
      <c r="CO82" s="1170"/>
      <c r="CP82" s="1160"/>
      <c r="CQ82" s="1160"/>
      <c r="CR82" s="1160"/>
      <c r="CS82" s="1186" t="str">
        <f>HydroRefineryCalcs!C311</f>
        <v>Vol Flow</v>
      </c>
      <c r="CT82" s="1170" t="str">
        <f ca="1">HydroRefineryCalcs!D311</f>
        <v>bpd</v>
      </c>
      <c r="CU82" s="1170">
        <f ca="1">HydroRefineryCalcs!I311</f>
        <v>13412.605933516299</v>
      </c>
      <c r="CV82" s="1160"/>
      <c r="CW82" s="1160"/>
      <c r="CX82" s="1160"/>
      <c r="CY82" s="1160"/>
      <c r="CZ82" s="1171"/>
      <c r="DA82" s="1160"/>
      <c r="DB82" s="1179" t="str">
        <f>HydroRefineryCalcs!K310</f>
        <v>ULSD</v>
      </c>
      <c r="DC82" s="1170"/>
      <c r="DD82" s="1170"/>
      <c r="DE82" s="1170"/>
      <c r="DF82" s="1180" t="str">
        <f>DB82</f>
        <v>ULSD</v>
      </c>
      <c r="DG82" s="1170"/>
      <c r="DH82" s="1187"/>
      <c r="DI82" s="1187"/>
      <c r="DJ82" s="1160"/>
      <c r="DK82" s="1160"/>
      <c r="DL82" s="1160" t="s">
        <v>263</v>
      </c>
      <c r="DM82" s="1254">
        <f ca="1">AE44*DM87</f>
        <v>0</v>
      </c>
      <c r="DN82" s="1160"/>
      <c r="DO82" s="1160"/>
      <c r="DP82" s="1160"/>
      <c r="DQ82" s="1160"/>
      <c r="DR82" s="1160"/>
      <c r="DS82" s="1160"/>
      <c r="DT82" s="1160"/>
      <c r="DU82" s="1160"/>
      <c r="DV82" s="1160"/>
      <c r="DW82" s="1160"/>
      <c r="DX82" s="1160"/>
      <c r="DY82" s="1160"/>
      <c r="DZ82" s="1160"/>
      <c r="EA82" s="1160"/>
      <c r="EB82" s="1160"/>
      <c r="EC82" s="1160"/>
      <c r="EE82" s="1195" t="s">
        <v>1925</v>
      </c>
      <c r="EF82" s="1160"/>
      <c r="EG82" s="1160"/>
    </row>
    <row r="83" spans="1:137" x14ac:dyDescent="0.2">
      <c r="A83" s="1160"/>
      <c r="B83" s="1160"/>
      <c r="C83" s="1160"/>
      <c r="D83" s="1160"/>
      <c r="E83" s="1160"/>
      <c r="F83" s="1160"/>
      <c r="G83" s="1160"/>
      <c r="H83" s="1160"/>
      <c r="I83" s="1160"/>
      <c r="J83" s="1160"/>
      <c r="K83" s="1160"/>
      <c r="L83" s="1160"/>
      <c r="M83" s="1160"/>
      <c r="N83" s="1170"/>
      <c r="O83" s="1170"/>
      <c r="P83" s="1170"/>
      <c r="Q83" s="1170"/>
      <c r="R83" s="1170"/>
      <c r="S83" s="1170"/>
      <c r="T83" s="1170"/>
      <c r="U83" s="1170"/>
      <c r="V83" s="1170"/>
      <c r="W83" s="1170"/>
      <c r="X83" s="1170"/>
      <c r="Y83" s="1186" t="str">
        <f>HydroRefineryCalcs!C53</f>
        <v>Density</v>
      </c>
      <c r="Z83" s="1170" t="str">
        <f ca="1">HydroRefineryCalcs!D53</f>
        <v>kg/m^3</v>
      </c>
      <c r="AA83" s="1187">
        <f ca="1">HydroRefineryCalcs!I53</f>
        <v>882.71153866825466</v>
      </c>
      <c r="AB83" s="1170"/>
      <c r="AC83" s="1180" t="s">
        <v>1065</v>
      </c>
      <c r="AD83" s="1170"/>
      <c r="AE83" s="1170">
        <f ca="1">IF(HydroRefineryConfig=0,IF(E23=TRUE,IF(E24=TRUE,AA88/(AA54+AA71+AA88+AA103+AN300),AA88/(AA54+AA71+AA88+AA103+W141)),IF(E24=TRUE,AA88/(AA54+AA71+AA88+AN300),AA88/(AA54+AA71+AA88+W141))),AA88/(AA54+AA71+AA88+AA103+W141))</f>
        <v>0.19879805599845532</v>
      </c>
      <c r="AF83" s="1170"/>
      <c r="AG83" s="1170"/>
      <c r="AH83" s="1170"/>
      <c r="AI83" s="1170"/>
      <c r="AJ83" s="1170"/>
      <c r="AK83" s="1170"/>
      <c r="AL83" s="1170"/>
      <c r="AM83" s="1170"/>
      <c r="AN83" s="1170"/>
      <c r="AO83" s="1170"/>
      <c r="AP83" s="1170"/>
      <c r="AQ83" s="1170"/>
      <c r="AR83" s="1170"/>
      <c r="AS83" s="1170"/>
      <c r="AT83" s="1170"/>
      <c r="AU83" s="1170"/>
      <c r="AV83" s="1170"/>
      <c r="AW83" s="1170"/>
      <c r="AX83" s="1170"/>
      <c r="AY83" s="1170"/>
      <c r="AZ83" s="1170"/>
      <c r="BA83" s="1170"/>
      <c r="BB83" s="1170"/>
      <c r="BC83" s="1170"/>
      <c r="BD83" s="1170"/>
      <c r="BE83" s="1170"/>
      <c r="BF83" s="1170"/>
      <c r="BG83" s="1170"/>
      <c r="BH83" s="1170"/>
      <c r="BI83" s="1170"/>
      <c r="BJ83" s="1170"/>
      <c r="BK83" s="1170"/>
      <c r="BL83" s="1170"/>
      <c r="BM83" s="1170"/>
      <c r="BN83" s="1180" t="s">
        <v>1065</v>
      </c>
      <c r="BO83" s="1170"/>
      <c r="BP83" s="1170">
        <f ca="1">BP74/(BP74+BG69)</f>
        <v>1</v>
      </c>
      <c r="BQ83" s="1186"/>
      <c r="BR83" s="1170"/>
      <c r="BS83" s="1170"/>
      <c r="BT83" s="1170"/>
      <c r="BU83" s="1170"/>
      <c r="BV83" s="1170"/>
      <c r="BW83" s="1170"/>
      <c r="BX83" s="1170"/>
      <c r="BY83" s="1170"/>
      <c r="BZ83" s="1170"/>
      <c r="CA83" s="1170"/>
      <c r="CB83" s="1170"/>
      <c r="CC83" s="1170"/>
      <c r="CD83" s="1170"/>
      <c r="CE83" s="1170"/>
      <c r="CF83" s="1170"/>
      <c r="CG83" s="1170"/>
      <c r="CH83" s="1170"/>
      <c r="CI83" s="1170"/>
      <c r="CJ83" s="1170"/>
      <c r="CK83" s="1170"/>
      <c r="CL83" s="1170"/>
      <c r="CM83" s="1170"/>
      <c r="CN83" s="1170"/>
      <c r="CO83" s="1170"/>
      <c r="CP83" s="1160"/>
      <c r="CQ83" s="1160"/>
      <c r="CR83" s="1170"/>
      <c r="CS83" s="1186" t="str">
        <f>HydroRefineryCalcs!C312</f>
        <v>Vol Flow</v>
      </c>
      <c r="CT83" s="1170" t="str">
        <f ca="1">HydroRefineryCalcs!D312</f>
        <v>m^3/d</v>
      </c>
      <c r="CU83" s="1170">
        <f ca="1">HydroRefineryCalcs!I312</f>
        <v>2132.4340033337357</v>
      </c>
      <c r="CV83" s="1160"/>
      <c r="CW83" s="1160"/>
      <c r="CX83" s="1160"/>
      <c r="CY83" s="1160"/>
      <c r="CZ83" s="1171"/>
      <c r="DA83" s="1160"/>
      <c r="DB83" s="1182" t="str">
        <f>HydroRefineryCalcs!C310</f>
        <v>Property</v>
      </c>
      <c r="DC83" s="1182" t="str">
        <f>HydroRefineryCalcs!D310</f>
        <v>Units</v>
      </c>
      <c r="DD83" s="1181"/>
      <c r="DE83" s="1181"/>
      <c r="DF83" s="1183" t="s">
        <v>226</v>
      </c>
      <c r="DG83" s="1160"/>
      <c r="DH83" s="1194" t="s">
        <v>522</v>
      </c>
      <c r="DI83" s="1187"/>
      <c r="DJ83" s="1160"/>
      <c r="DK83" s="1160"/>
      <c r="DL83" s="1160" t="s">
        <v>392</v>
      </c>
      <c r="DM83" s="1254">
        <f ca="1">(AE45+AZ48)*$DM$87</f>
        <v>0</v>
      </c>
      <c r="DN83" s="1160"/>
      <c r="DO83" s="1160"/>
      <c r="DP83" s="1160"/>
      <c r="DQ83" s="1160"/>
      <c r="DR83" s="1160"/>
      <c r="DS83" s="1160"/>
      <c r="DT83" s="1160"/>
      <c r="DU83" s="1160"/>
      <c r="DV83" s="1160"/>
      <c r="DW83" s="1160"/>
      <c r="DX83" s="1160"/>
      <c r="DY83" s="1160"/>
      <c r="DZ83" s="1160"/>
      <c r="EA83" s="1160"/>
      <c r="EB83" s="1160"/>
      <c r="EC83" s="1160"/>
      <c r="EE83" s="1186" t="s">
        <v>582</v>
      </c>
      <c r="EF83" s="1160" t="s">
        <v>566</v>
      </c>
      <c r="EG83" s="1187"/>
    </row>
    <row r="84" spans="1:137" x14ac:dyDescent="0.2">
      <c r="A84" s="1160"/>
      <c r="B84" s="1160"/>
      <c r="C84" s="1160"/>
      <c r="D84" s="1160"/>
      <c r="E84" s="1160"/>
      <c r="F84" s="1160"/>
      <c r="G84" s="1160"/>
      <c r="H84" s="1160"/>
      <c r="I84" s="1160"/>
      <c r="J84" s="1160"/>
      <c r="K84" s="1160"/>
      <c r="L84" s="1160"/>
      <c r="M84" s="1160"/>
      <c r="N84" s="1170"/>
      <c r="O84" s="1170"/>
      <c r="P84" s="1170"/>
      <c r="Q84" s="1170"/>
      <c r="R84" s="1170"/>
      <c r="S84" s="1170"/>
      <c r="T84" s="1170"/>
      <c r="U84" s="1170"/>
      <c r="V84" s="1170"/>
      <c r="W84" s="1170"/>
      <c r="X84" s="1170"/>
      <c r="Y84" s="1186" t="str">
        <f>HydroRefineryCalcs!C54</f>
        <v>Hydrogen</v>
      </c>
      <c r="Z84" s="1170" t="str">
        <f ca="1">HydroRefineryCalcs!D54</f>
        <v>wt%</v>
      </c>
      <c r="AA84" s="1170">
        <f ca="1">HydroRefineryCalcs!I54</f>
        <v>12.394831175477645</v>
      </c>
      <c r="AB84" s="1170"/>
      <c r="AC84" s="1198" t="s">
        <v>228</v>
      </c>
      <c r="AD84" s="1170"/>
      <c r="AE84" s="1217">
        <f ca="1">IF(HydroRefineryConfig=0,IF(E23=TRUE,IF(E24=TRUE,AA80/U102,AA80/(U102-AN292)),IF(E24=TRUE,AA80/(U102-AA95),AA80/(U102-AA95-AN292))),AA80/U102)</f>
        <v>0.2098411803655891</v>
      </c>
      <c r="AF84" s="1170"/>
      <c r="AG84" s="1170"/>
      <c r="AH84" s="1170"/>
      <c r="AI84" s="1170"/>
      <c r="AJ84" s="1170"/>
      <c r="AK84" s="1170"/>
      <c r="AL84" s="1170"/>
      <c r="AM84" s="1170"/>
      <c r="AN84" s="1170"/>
      <c r="AO84" s="1170"/>
      <c r="AP84" s="1170"/>
      <c r="AQ84" s="1170"/>
      <c r="AR84" s="1170"/>
      <c r="AS84" s="1170"/>
      <c r="AT84" s="1170"/>
      <c r="AU84" s="1170"/>
      <c r="AV84" s="1170"/>
      <c r="AW84" s="1170"/>
      <c r="AX84" s="1170"/>
      <c r="AY84" s="1170"/>
      <c r="AZ84" s="1170"/>
      <c r="BA84" s="1170"/>
      <c r="BB84" s="1170"/>
      <c r="BC84" s="1170"/>
      <c r="BD84" s="1170"/>
      <c r="BE84" s="1170"/>
      <c r="BF84" s="1170"/>
      <c r="BG84" s="1170"/>
      <c r="BH84" s="1170"/>
      <c r="BI84" s="1170"/>
      <c r="BJ84" s="1170"/>
      <c r="BK84" s="1170"/>
      <c r="BL84" s="1170"/>
      <c r="BM84" s="1170"/>
      <c r="BN84" s="1197" t="s">
        <v>228</v>
      </c>
      <c r="BO84" s="1170"/>
      <c r="BP84" s="1170">
        <f ca="1">BP66/(AA63+BL77)</f>
        <v>0.99732311048631883</v>
      </c>
      <c r="BQ84" s="1186"/>
      <c r="BR84" s="1170"/>
      <c r="BS84" s="1170"/>
      <c r="BT84" s="1170"/>
      <c r="BU84" s="1170"/>
      <c r="BV84" s="1170"/>
      <c r="BW84" s="1170"/>
      <c r="BX84" s="1170"/>
      <c r="BY84" s="1170"/>
      <c r="BZ84" s="1170"/>
      <c r="CA84" s="1170"/>
      <c r="CB84" s="1170"/>
      <c r="CC84" s="1170"/>
      <c r="CD84" s="1170"/>
      <c r="CE84" s="1170"/>
      <c r="CF84" s="1170"/>
      <c r="CG84" s="1170"/>
      <c r="CH84" s="1170"/>
      <c r="CI84" s="1170"/>
      <c r="CJ84" s="1170"/>
      <c r="CK84" s="1170"/>
      <c r="CL84" s="1170"/>
      <c r="CM84" s="1170"/>
      <c r="CN84" s="1170"/>
      <c r="CO84" s="1170"/>
      <c r="CP84" s="1160"/>
      <c r="CQ84" s="1160"/>
      <c r="CR84" s="1170"/>
      <c r="CS84" s="1186" t="str">
        <f>HydroRefineryCalcs!C313</f>
        <v>Mass Flow</v>
      </c>
      <c r="CT84" s="1170" t="str">
        <f>HydroRefineryCalcs!D313</f>
        <v>kg/d</v>
      </c>
      <c r="CU84" s="1170">
        <f ca="1">HydroRefineryCalcs!I313</f>
        <v>1759258.0527503318</v>
      </c>
      <c r="CV84" s="1160"/>
      <c r="CW84" s="1160"/>
      <c r="CX84" s="1160"/>
      <c r="CY84" s="1160"/>
      <c r="CZ84" s="1171"/>
      <c r="DA84" s="1160"/>
      <c r="DB84" s="1186" t="str">
        <f>HydroRefineryCalcs!C311</f>
        <v>Vol Flow</v>
      </c>
      <c r="DC84" s="1170" t="str">
        <f ca="1">HydroRefineryCalcs!D311</f>
        <v>bpd</v>
      </c>
      <c r="DD84" s="1170">
        <f ca="1">HydroRefineryCalcs!K311</f>
        <v>13412.605933522691</v>
      </c>
      <c r="DE84" s="1170"/>
      <c r="DF84" s="1170" t="s">
        <v>263</v>
      </c>
      <c r="DG84" s="1160"/>
      <c r="DH84" s="1187">
        <f ca="1">CU96+CI123</f>
        <v>111050855.87309842</v>
      </c>
      <c r="DI84" s="1187"/>
      <c r="DJ84" s="1160"/>
      <c r="DK84" s="1160"/>
      <c r="DL84" s="1160" t="s">
        <v>224</v>
      </c>
      <c r="DM84" s="1254">
        <f ca="1">(AE46+AZ49)*$DM$87</f>
        <v>0</v>
      </c>
      <c r="DN84" s="1160"/>
      <c r="DO84" s="1160"/>
      <c r="DP84" s="1160"/>
      <c r="DQ84" s="1160"/>
      <c r="DR84" s="1160"/>
      <c r="DS84" s="1160"/>
      <c r="DT84" s="1160"/>
      <c r="DU84" s="1160"/>
      <c r="DV84" s="1160"/>
      <c r="DW84" s="1160"/>
      <c r="DX84" s="1160"/>
      <c r="DY84" s="1160"/>
      <c r="DZ84" s="1229"/>
      <c r="EA84" s="1229"/>
      <c r="EB84" s="1229"/>
      <c r="EC84" s="1229"/>
      <c r="EE84" s="1186" t="s">
        <v>582</v>
      </c>
      <c r="EF84" s="1160" t="s">
        <v>628</v>
      </c>
      <c r="EG84" s="1187"/>
    </row>
    <row r="85" spans="1:137" x14ac:dyDescent="0.2">
      <c r="A85" s="1160"/>
      <c r="B85" s="1160"/>
      <c r="C85" s="1160"/>
      <c r="D85" s="1160"/>
      <c r="E85" s="1160"/>
      <c r="F85" s="1160"/>
      <c r="G85" s="1160"/>
      <c r="H85" s="1160"/>
      <c r="I85" s="1160"/>
      <c r="J85" s="1160"/>
      <c r="K85" s="1160"/>
      <c r="L85" s="1160"/>
      <c r="M85" s="1160"/>
      <c r="N85" s="1170"/>
      <c r="O85" s="1170"/>
      <c r="P85" s="1170"/>
      <c r="Q85" s="1170"/>
      <c r="R85" s="1170"/>
      <c r="S85" s="1170"/>
      <c r="T85" s="1170"/>
      <c r="U85" s="1170"/>
      <c r="V85" s="1170"/>
      <c r="W85" s="1170"/>
      <c r="X85" s="1170"/>
      <c r="Y85" s="1186" t="str">
        <f>HydroRefineryCalcs!C55</f>
        <v>MCR</v>
      </c>
      <c r="Z85" s="1170" t="str">
        <f ca="1">HydroRefineryCalcs!D55</f>
        <v>wt%</v>
      </c>
      <c r="AA85" s="1170">
        <f>HydroRefineryCalcs!I55</f>
        <v>0</v>
      </c>
      <c r="AB85" s="1170"/>
      <c r="AC85" s="1170"/>
      <c r="AD85" s="1170"/>
      <c r="AE85" s="1170"/>
      <c r="AF85" s="1170"/>
      <c r="AG85" s="1170"/>
      <c r="AH85" s="1170"/>
      <c r="AI85" s="1170"/>
      <c r="AJ85" s="1170"/>
      <c r="AK85" s="1170"/>
      <c r="AL85" s="1170"/>
      <c r="AM85" s="1170"/>
      <c r="AN85" s="1170"/>
      <c r="AO85" s="1170"/>
      <c r="AP85" s="1170"/>
      <c r="AQ85" s="1170"/>
      <c r="AR85" s="1170"/>
      <c r="AS85" s="1170"/>
      <c r="AT85" s="1170"/>
      <c r="AU85" s="1170"/>
      <c r="AV85" s="1170"/>
      <c r="AW85" s="1170"/>
      <c r="AX85" s="1170"/>
      <c r="AY85" s="1170"/>
      <c r="AZ85" s="1170"/>
      <c r="BA85" s="1170"/>
      <c r="BB85" s="1170"/>
      <c r="BC85" s="1170"/>
      <c r="BD85" s="1170"/>
      <c r="BE85" s="1170"/>
      <c r="BF85" s="1170"/>
      <c r="BG85" s="1170"/>
      <c r="BH85" s="1170"/>
      <c r="BI85" s="1170"/>
      <c r="BJ85" s="1170"/>
      <c r="BK85" s="1170"/>
      <c r="BL85" s="1170"/>
      <c r="BM85" s="1170"/>
      <c r="BN85" s="1170"/>
      <c r="BO85" s="1170"/>
      <c r="BP85" s="1170"/>
      <c r="BQ85" s="1186"/>
      <c r="BR85" s="1170"/>
      <c r="BS85" s="1170"/>
      <c r="BT85" s="1170"/>
      <c r="BU85" s="1170"/>
      <c r="BV85" s="1170"/>
      <c r="BW85" s="1170"/>
      <c r="BX85" s="1170"/>
      <c r="BY85" s="1170"/>
      <c r="BZ85" s="1170"/>
      <c r="CA85" s="1170"/>
      <c r="CB85" s="1170"/>
      <c r="CC85" s="1170"/>
      <c r="CD85" s="1170"/>
      <c r="CE85" s="1170"/>
      <c r="CF85" s="1170"/>
      <c r="CG85" s="1170"/>
      <c r="CH85" s="1170"/>
      <c r="CI85" s="1170"/>
      <c r="CJ85" s="1170"/>
      <c r="CK85" s="1170"/>
      <c r="CL85" s="1170"/>
      <c r="CM85" s="1170"/>
      <c r="CN85" s="1184" t="str">
        <f>'HydroRefinery Detailed Results'!C19</f>
        <v>Diesel Hydrotreater</v>
      </c>
      <c r="CO85" s="1170"/>
      <c r="CP85" s="1160"/>
      <c r="CQ85" s="1160"/>
      <c r="CR85" s="1160"/>
      <c r="CS85" s="1186" t="str">
        <f>HydroRefineryCalcs!C314</f>
        <v xml:space="preserve">Sulphur </v>
      </c>
      <c r="CT85" s="1170" t="str">
        <f ca="1">HydroRefineryCalcs!D314</f>
        <v>wt%</v>
      </c>
      <c r="CU85" s="1170">
        <f>HydroRefineryCalcs!I314</f>
        <v>0</v>
      </c>
      <c r="CV85" s="1160"/>
      <c r="CW85" s="1160"/>
      <c r="CX85" s="1160"/>
      <c r="CY85" s="1160"/>
      <c r="CZ85" s="1171"/>
      <c r="DA85" s="1160"/>
      <c r="DB85" s="1186" t="str">
        <f>HydroRefineryCalcs!C312</f>
        <v>Vol Flow</v>
      </c>
      <c r="DC85" s="1170" t="str">
        <f ca="1">HydroRefineryCalcs!D312</f>
        <v>m^3/d</v>
      </c>
      <c r="DD85" s="1170">
        <f ca="1">HydroRefineryCalcs!K312</f>
        <v>2132.4340033347521</v>
      </c>
      <c r="DE85" s="1170"/>
      <c r="DF85" s="1170" t="s">
        <v>392</v>
      </c>
      <c r="DG85" s="1160"/>
      <c r="DH85" s="1187">
        <f ca="1">CU97+CI124</f>
        <v>144280.28818769535</v>
      </c>
      <c r="DI85" s="1187"/>
      <c r="DJ85" s="1160"/>
      <c r="DK85" s="1160"/>
      <c r="DL85" s="1160" t="s">
        <v>485</v>
      </c>
      <c r="DM85" s="1254">
        <f ca="1">(AE47+AZ50)*$DM$87</f>
        <v>0</v>
      </c>
      <c r="DN85" s="1160"/>
      <c r="DO85" s="1160"/>
      <c r="DP85" s="1160"/>
      <c r="DQ85" s="1160"/>
      <c r="DR85" s="1160"/>
      <c r="DS85" s="1160"/>
      <c r="DT85" s="1160"/>
      <c r="DU85" s="1160"/>
      <c r="DV85" s="1160"/>
      <c r="DW85" s="1160"/>
      <c r="DX85" s="1160"/>
      <c r="DY85" s="1160"/>
      <c r="DZ85" s="1229"/>
      <c r="EA85" s="1229"/>
      <c r="EB85" s="1229"/>
      <c r="EC85" s="1229"/>
      <c r="EE85" s="1186" t="s">
        <v>620</v>
      </c>
      <c r="EF85" s="1160" t="s">
        <v>622</v>
      </c>
      <c r="EG85" s="1187">
        <f ca="1">HydroRefineryCalcs!E1501</f>
        <v>242602.85485445199</v>
      </c>
    </row>
    <row r="86" spans="1:137" x14ac:dyDescent="0.2">
      <c r="A86" s="1160"/>
      <c r="B86" s="1160"/>
      <c r="C86" s="1160"/>
      <c r="D86" s="1160"/>
      <c r="E86" s="1160"/>
      <c r="F86" s="1160"/>
      <c r="G86" s="1160"/>
      <c r="H86" s="1160"/>
      <c r="I86" s="1160"/>
      <c r="J86" s="1160"/>
      <c r="K86" s="1160"/>
      <c r="L86" s="1160"/>
      <c r="M86" s="1160"/>
      <c r="N86" s="1170"/>
      <c r="O86" s="1170"/>
      <c r="P86" s="1170"/>
      <c r="Q86" s="1170"/>
      <c r="R86" s="1170"/>
      <c r="S86" s="1170"/>
      <c r="T86" s="1170"/>
      <c r="U86" s="1170"/>
      <c r="V86" s="1170"/>
      <c r="W86" s="1170"/>
      <c r="X86" s="1170"/>
      <c r="Y86" s="1200" t="s">
        <v>1056</v>
      </c>
      <c r="Z86" s="1199" t="s">
        <v>447</v>
      </c>
      <c r="AA86" s="1199">
        <f ca="1">('Energy &amp; Unit Conversions'!$D$63-('Energy &amp; Unit Conversions'!$E$63*POWER((AA83/'Energy &amp; Unit Conversions'!$E$54),2)))</f>
        <v>40.509632576711937</v>
      </c>
      <c r="AB86" s="1170"/>
      <c r="AC86" s="1170"/>
      <c r="AD86" s="1170"/>
      <c r="AE86" s="1170"/>
      <c r="AF86" s="1170"/>
      <c r="AG86" s="1170"/>
      <c r="AH86" s="1170"/>
      <c r="AI86" s="1170"/>
      <c r="AJ86" s="1170"/>
      <c r="AK86" s="1170"/>
      <c r="AL86" s="1170"/>
      <c r="AM86" s="1170"/>
      <c r="AN86" s="1170"/>
      <c r="AO86" s="1170"/>
      <c r="AP86" s="1170"/>
      <c r="AQ86" s="1170"/>
      <c r="AR86" s="1170"/>
      <c r="AS86" s="1170"/>
      <c r="AT86" s="1170"/>
      <c r="AU86" s="1170"/>
      <c r="AV86" s="1170"/>
      <c r="AW86" s="1170"/>
      <c r="AX86" s="1170"/>
      <c r="AY86" s="1170"/>
      <c r="AZ86" s="1170"/>
      <c r="BA86" s="1170"/>
      <c r="BB86" s="1170"/>
      <c r="BC86" s="1170"/>
      <c r="BD86" s="1170"/>
      <c r="BE86" s="1170"/>
      <c r="BF86" s="1170"/>
      <c r="BG86" s="1170"/>
      <c r="BH86" s="1170"/>
      <c r="BI86" s="1170"/>
      <c r="BJ86" s="1170"/>
      <c r="BK86" s="1170"/>
      <c r="BL86" s="1170"/>
      <c r="BM86" s="1170"/>
      <c r="BN86" s="1170"/>
      <c r="BO86" s="1170"/>
      <c r="BP86" s="1186"/>
      <c r="BQ86" s="1186"/>
      <c r="BR86" s="1170"/>
      <c r="BS86" s="1170"/>
      <c r="BT86" s="1170"/>
      <c r="BU86" s="1170"/>
      <c r="BV86" s="1170"/>
      <c r="BW86" s="1170"/>
      <c r="BX86" s="1170"/>
      <c r="BY86" s="1170"/>
      <c r="BZ86" s="1170"/>
      <c r="CA86" s="1170"/>
      <c r="CB86" s="1170"/>
      <c r="CC86" s="1170"/>
      <c r="CD86" s="1170"/>
      <c r="CE86" s="1170"/>
      <c r="CF86" s="1170"/>
      <c r="CG86" s="1170"/>
      <c r="CH86" s="1170"/>
      <c r="CI86" s="1170"/>
      <c r="CJ86" s="1170"/>
      <c r="CK86" s="1170"/>
      <c r="CL86" s="1170"/>
      <c r="CM86" s="1170"/>
      <c r="CN86" s="1184" t="s">
        <v>225</v>
      </c>
      <c r="CO86" s="1291" t="s">
        <v>522</v>
      </c>
      <c r="CP86" s="1160"/>
      <c r="CQ86" s="1160"/>
      <c r="CR86" s="1160"/>
      <c r="CS86" s="1186" t="str">
        <f>HydroRefineryCalcs!C316</f>
        <v xml:space="preserve">API gravity </v>
      </c>
      <c r="CT86" s="1170" t="str">
        <f ca="1">HydroRefineryCalcs!D316</f>
        <v>oAPI</v>
      </c>
      <c r="CU86" s="1170">
        <f>HydroRefineryCalcs!I316</f>
        <v>40.01515151515153</v>
      </c>
      <c r="CV86" s="1160"/>
      <c r="CW86" s="1160"/>
      <c r="CX86" s="1160"/>
      <c r="CY86" s="1160"/>
      <c r="CZ86" s="1171"/>
      <c r="DA86" s="1160"/>
      <c r="DB86" s="1186" t="str">
        <f>HydroRefineryCalcs!C313</f>
        <v>Mass Flow</v>
      </c>
      <c r="DC86" s="1170" t="str">
        <f>HydroRefineryCalcs!D313</f>
        <v>kg/d</v>
      </c>
      <c r="DD86" s="1170">
        <f ca="1">HydroRefineryCalcs!K313</f>
        <v>1759258.0527511754</v>
      </c>
      <c r="DE86" s="1170"/>
      <c r="DF86" s="1170" t="s">
        <v>224</v>
      </c>
      <c r="DG86" s="1160"/>
      <c r="DH86" s="1187">
        <f ca="1">CU98+CI125</f>
        <v>2837571.2917130152</v>
      </c>
      <c r="DI86" s="1187"/>
      <c r="DJ86" s="1160"/>
      <c r="DK86" s="1160"/>
      <c r="DL86" s="1160" t="s">
        <v>541</v>
      </c>
      <c r="DM86" s="1254">
        <f ca="1">(AE48+AZ51)*$DM$87</f>
        <v>0</v>
      </c>
      <c r="DN86" s="1160"/>
      <c r="DO86" s="1160"/>
      <c r="DP86" s="1160"/>
      <c r="DQ86" s="1160"/>
      <c r="DR86" s="1160"/>
      <c r="DS86" s="1160"/>
      <c r="DT86" s="1160"/>
      <c r="DU86" s="1160"/>
      <c r="DV86" s="1160"/>
      <c r="DW86" s="1160"/>
      <c r="DX86" s="1160"/>
      <c r="DY86" s="1160"/>
      <c r="DZ86" s="1229"/>
      <c r="EA86" s="1229"/>
      <c r="EB86" s="1229"/>
      <c r="EC86" s="1229"/>
      <c r="EE86" s="1186" t="s">
        <v>1698</v>
      </c>
      <c r="EF86" s="1199" t="s">
        <v>447</v>
      </c>
      <c r="EG86" s="1199">
        <f>'Energy &amp; Unit Conversions'!$Q$27</f>
        <v>46.898519302437805</v>
      </c>
    </row>
    <row r="87" spans="1:137" x14ac:dyDescent="0.2">
      <c r="A87" s="1160"/>
      <c r="B87" s="1160"/>
      <c r="C87" s="1160"/>
      <c r="D87" s="1160"/>
      <c r="E87" s="1160"/>
      <c r="F87" s="1160"/>
      <c r="G87" s="1160"/>
      <c r="H87" s="1160"/>
      <c r="I87" s="1160"/>
      <c r="J87" s="1160"/>
      <c r="K87" s="1160"/>
      <c r="L87" s="1160"/>
      <c r="M87" s="1170"/>
      <c r="N87" s="1170"/>
      <c r="O87" s="1170"/>
      <c r="P87" s="1170"/>
      <c r="Q87" s="1170"/>
      <c r="R87" s="1170"/>
      <c r="S87" s="1170"/>
      <c r="T87" s="1170"/>
      <c r="U87" s="1170"/>
      <c r="V87" s="1170"/>
      <c r="W87" s="1170"/>
      <c r="X87" s="1170"/>
      <c r="Y87" s="1200" t="s">
        <v>1021</v>
      </c>
      <c r="Z87" s="1199" t="s">
        <v>1022</v>
      </c>
      <c r="AA87" s="1199">
        <f>Constants!G339</f>
        <v>70.789999999999992</v>
      </c>
      <c r="AB87" s="1170"/>
      <c r="AC87" s="1170"/>
      <c r="AD87" s="1170"/>
      <c r="AE87" s="1170"/>
      <c r="AF87" s="1170"/>
      <c r="AG87" s="1170"/>
      <c r="AH87" s="1170"/>
      <c r="AI87" s="1170"/>
      <c r="AJ87" s="1170"/>
      <c r="AK87" s="1170"/>
      <c r="AL87" s="1170"/>
      <c r="AM87" s="1170"/>
      <c r="AN87" s="1170"/>
      <c r="AO87" s="1170"/>
      <c r="AP87" s="1170"/>
      <c r="AQ87" s="1170"/>
      <c r="AR87" s="1170"/>
      <c r="AS87" s="1170"/>
      <c r="AT87" s="1170"/>
      <c r="AU87" s="1170"/>
      <c r="AV87" s="1170"/>
      <c r="AW87" s="1170"/>
      <c r="AX87" s="1170"/>
      <c r="AY87" s="1170"/>
      <c r="AZ87" s="1170"/>
      <c r="BA87" s="1170"/>
      <c r="BB87" s="1170"/>
      <c r="BC87" s="1170"/>
      <c r="BD87" s="1170"/>
      <c r="BE87" s="1170"/>
      <c r="BF87" s="1170"/>
      <c r="BG87" s="1170"/>
      <c r="BH87" s="1170"/>
      <c r="BI87" s="1170"/>
      <c r="BJ87" s="1170"/>
      <c r="BK87" s="1170"/>
      <c r="BL87" s="1170"/>
      <c r="BM87" s="1170"/>
      <c r="BN87" s="1170"/>
      <c r="BO87" s="1170"/>
      <c r="BP87" s="1186"/>
      <c r="BQ87" s="1186"/>
      <c r="BR87" s="1170"/>
      <c r="BS87" s="1170"/>
      <c r="BT87" s="1170"/>
      <c r="BU87" s="1170"/>
      <c r="BV87" s="1170"/>
      <c r="BW87" s="1170"/>
      <c r="BX87" s="1170"/>
      <c r="BY87" s="1170"/>
      <c r="BZ87" s="1170"/>
      <c r="CA87" s="1170"/>
      <c r="CB87" s="1170"/>
      <c r="CC87" s="1170"/>
      <c r="CD87" s="1170"/>
      <c r="CE87" s="1170"/>
      <c r="CF87" s="1170"/>
      <c r="CG87" s="1170"/>
      <c r="CH87" s="1170"/>
      <c r="CI87" s="1170"/>
      <c r="CJ87" s="1170"/>
      <c r="CK87" s="1170"/>
      <c r="CL87" s="1170"/>
      <c r="CM87" s="1170"/>
      <c r="CN87" s="1170" t="s">
        <v>392</v>
      </c>
      <c r="CO87" s="1170">
        <f ca="1">'HydroRefinery Detailed Results'!F19+IF(AND($EC$147+$EC$164=0,E28=FALSE),'HydroRefinery Detailed Results'!F31*HydroRefineryCalcs!T1040,0)</f>
        <v>136826.92302637812</v>
      </c>
      <c r="CP87" s="1160"/>
      <c r="CQ87" s="1160"/>
      <c r="CR87" s="1160"/>
      <c r="CS87" s="1186" t="str">
        <f>HydroRefineryCalcs!C317</f>
        <v>Density</v>
      </c>
      <c r="CT87" s="1170" t="str">
        <f ca="1">HydroRefineryCalcs!D317</f>
        <v>kg/m^3</v>
      </c>
      <c r="CU87" s="1170">
        <f>HydroRefineryCalcs!I317</f>
        <v>825</v>
      </c>
      <c r="CV87" s="1160"/>
      <c r="CW87" s="1160"/>
      <c r="CX87" s="1160"/>
      <c r="CY87" s="1160"/>
      <c r="CZ87" s="1171"/>
      <c r="DA87" s="1160"/>
      <c r="DB87" s="1186" t="str">
        <f>HydroRefineryCalcs!C314</f>
        <v xml:space="preserve">Sulphur </v>
      </c>
      <c r="DC87" s="1170" t="str">
        <f ca="1">HydroRefineryCalcs!D314</f>
        <v>wt%</v>
      </c>
      <c r="DD87" s="1170">
        <f ca="1">HydroRefineryCalcs!K314</f>
        <v>1.9262478381529332E-18</v>
      </c>
      <c r="DE87" s="1170"/>
      <c r="DF87" s="1170" t="s">
        <v>485</v>
      </c>
      <c r="DG87" s="1160"/>
      <c r="DH87" s="1187">
        <f ca="1">CU99+CI126</f>
        <v>288857.97988043615</v>
      </c>
      <c r="DI87" s="1187"/>
      <c r="DJ87" s="1160"/>
      <c r="DK87" s="1160"/>
      <c r="DL87" s="1191" t="s">
        <v>1066</v>
      </c>
      <c r="DM87" s="1245">
        <f ca="1">IF('HydroRefineryPFD '!E27=TRUE,DM88,0)</f>
        <v>0</v>
      </c>
      <c r="DN87" s="1160"/>
      <c r="DO87" s="1160"/>
      <c r="DP87" s="1160"/>
      <c r="DQ87" s="1160"/>
      <c r="DR87" s="1160"/>
      <c r="DS87" s="1160"/>
      <c r="DT87" s="1160"/>
      <c r="DU87" s="1160"/>
      <c r="DV87" s="1160"/>
      <c r="DW87" s="1160"/>
      <c r="DX87" s="1160"/>
      <c r="DY87" s="1160"/>
      <c r="DZ87" s="1229"/>
      <c r="EA87" s="1160"/>
      <c r="EB87" s="1160"/>
      <c r="EC87" s="1160"/>
      <c r="EE87" s="1200" t="s">
        <v>1021</v>
      </c>
      <c r="EF87" s="1199" t="s">
        <v>1022</v>
      </c>
      <c r="EG87" s="1199">
        <f>Constants!$G$353</f>
        <v>33.957001686096191</v>
      </c>
    </row>
    <row r="88" spans="1:137" x14ac:dyDescent="0.2">
      <c r="A88" s="1160"/>
      <c r="B88" s="1160"/>
      <c r="C88" s="1160"/>
      <c r="D88" s="1160"/>
      <c r="E88" s="1160"/>
      <c r="F88" s="1160"/>
      <c r="G88" s="1160"/>
      <c r="H88" s="1160"/>
      <c r="I88" s="1160"/>
      <c r="J88" s="1160"/>
      <c r="K88" s="1160"/>
      <c r="L88" s="1160"/>
      <c r="M88" s="1170"/>
      <c r="N88" s="1170"/>
      <c r="O88" s="1170"/>
      <c r="P88" s="1170"/>
      <c r="Q88" s="1170"/>
      <c r="R88" s="1170"/>
      <c r="S88" s="1170"/>
      <c r="T88" s="1170"/>
      <c r="U88" s="1170"/>
      <c r="V88" s="1170"/>
      <c r="W88" s="1170"/>
      <c r="X88" s="1170"/>
      <c r="Y88" s="1204" t="s">
        <v>1054</v>
      </c>
      <c r="Z88" s="1204" t="str">
        <f>IF(allocationMethod=1,CokingRefineryPFD!$C$21,IF(allocationMethod=2,CokingRefineryPFD!$C$22,IF(allocationMethod=3,CokingRefineryPFD!$C$23,CokingRefineryPFD!$C$24)))</f>
        <v>Hydrogen Content Basis</v>
      </c>
      <c r="AA88" s="1250">
        <f ca="1">IF(allocationMethod=1,AA80,IF(allocationMethod=2,AA86*AA80,IF(allocationMethod=3,AA87*AA78,AA84*AA80/100)))</f>
        <v>217867.90850382741</v>
      </c>
      <c r="AB88" s="1170"/>
      <c r="AC88" s="1170"/>
      <c r="AD88" s="1170"/>
      <c r="AE88" s="1170"/>
      <c r="AF88" s="1170"/>
      <c r="AG88" s="1170"/>
      <c r="AH88" s="1170"/>
      <c r="AI88" s="1170"/>
      <c r="AJ88" s="1170"/>
      <c r="AK88" s="1170"/>
      <c r="AL88" s="1170"/>
      <c r="AM88" s="1170"/>
      <c r="AN88" s="1170"/>
      <c r="AO88" s="1170"/>
      <c r="AP88" s="1170"/>
      <c r="AQ88" s="1170"/>
      <c r="AR88" s="1170"/>
      <c r="AS88" s="1170"/>
      <c r="AT88" s="1170"/>
      <c r="AU88" s="1170"/>
      <c r="AV88" s="1170"/>
      <c r="AW88" s="1170"/>
      <c r="AX88" s="1170"/>
      <c r="AY88" s="1170"/>
      <c r="AZ88" s="1170"/>
      <c r="BA88" s="1170"/>
      <c r="BB88" s="1170"/>
      <c r="BC88" s="1170"/>
      <c r="BD88" s="1170"/>
      <c r="BE88" s="1170"/>
      <c r="BF88" s="1170"/>
      <c r="BG88" s="1170"/>
      <c r="BH88" s="1170"/>
      <c r="BI88" s="1170"/>
      <c r="BJ88" s="1170"/>
      <c r="BK88" s="1170"/>
      <c r="BL88" s="1170"/>
      <c r="BM88" s="1170"/>
      <c r="BN88" s="1170"/>
      <c r="BO88" s="1170"/>
      <c r="BP88" s="1186"/>
      <c r="BQ88" s="1186"/>
      <c r="BR88" s="1170"/>
      <c r="BS88" s="1170"/>
      <c r="BT88" s="1170"/>
      <c r="BU88" s="1170"/>
      <c r="BV88" s="1170"/>
      <c r="BW88" s="1170"/>
      <c r="BX88" s="1170"/>
      <c r="BY88" s="1170"/>
      <c r="BZ88" s="1170"/>
      <c r="CA88" s="1170"/>
      <c r="CB88" s="1170"/>
      <c r="CC88" s="1170"/>
      <c r="CD88" s="1170"/>
      <c r="CE88" s="1170"/>
      <c r="CF88" s="1170"/>
      <c r="CG88" s="1170"/>
      <c r="CH88" s="1170"/>
      <c r="CI88" s="1170"/>
      <c r="CJ88" s="1170"/>
      <c r="CK88" s="1170"/>
      <c r="CL88" s="1170"/>
      <c r="CM88" s="1170"/>
      <c r="CN88" s="1170" t="s">
        <v>224</v>
      </c>
      <c r="CO88" s="1170">
        <f ca="1">'HydroRefinery Detailed Results'!H19+IF(AND($EC$147+$EC$164=0,E28=FALSE),'HydroRefinery Detailed Results'!H31*HydroRefineryCalcs!T1040,0)</f>
        <v>2000147.9220331521</v>
      </c>
      <c r="CP88" s="1160"/>
      <c r="CQ88" s="1160"/>
      <c r="CR88" s="1160"/>
      <c r="CS88" s="1186" t="str">
        <f>HydroRefineryCalcs!C318</f>
        <v>Hydrogen</v>
      </c>
      <c r="CT88" s="1170" t="str">
        <f ca="1">HydroRefineryCalcs!D318</f>
        <v>wt%</v>
      </c>
      <c r="CU88" s="1170">
        <f ca="1">HydroRefineryCalcs!I318</f>
        <v>12.8</v>
      </c>
      <c r="CV88" s="1160"/>
      <c r="CW88" s="1160"/>
      <c r="CX88" s="1160"/>
      <c r="CY88" s="1160"/>
      <c r="CZ88" s="1171"/>
      <c r="DA88" s="1160"/>
      <c r="DB88" s="1186" t="str">
        <f>HydroRefineryCalcs!C316</f>
        <v xml:space="preserve">API gravity </v>
      </c>
      <c r="DC88" s="1170"/>
      <c r="DD88" s="1170">
        <f ca="1">HydroRefineryCalcs!K316</f>
        <v>40.015151515151047</v>
      </c>
      <c r="DE88" s="1170"/>
      <c r="DF88" s="1170" t="s">
        <v>541</v>
      </c>
      <c r="DG88" s="1160"/>
      <c r="DH88" s="1187">
        <f ca="1">CU100+CI127</f>
        <v>1083713.570637817</v>
      </c>
      <c r="DI88" s="1187"/>
      <c r="DJ88" s="1160"/>
      <c r="DK88" s="1160"/>
      <c r="DL88" s="1191" t="s">
        <v>1065</v>
      </c>
      <c r="DM88" s="1245">
        <f ca="1">AW37/(BG46+AW37+BG22)</f>
        <v>0</v>
      </c>
      <c r="DN88" s="1160"/>
      <c r="DO88" s="1160"/>
      <c r="DP88" s="1160"/>
      <c r="DQ88" s="1160"/>
      <c r="DR88" s="1160"/>
      <c r="DS88" s="1160"/>
      <c r="DT88" s="1160"/>
      <c r="DU88" s="1160"/>
      <c r="DV88" s="1160"/>
      <c r="DW88" s="1160"/>
      <c r="DX88" s="1160"/>
      <c r="DY88" s="1160"/>
      <c r="DZ88" s="1229"/>
      <c r="EA88" s="1160"/>
      <c r="EB88" s="1160"/>
      <c r="EC88" s="1160"/>
      <c r="EE88" s="1204" t="s">
        <v>1054</v>
      </c>
      <c r="EF88" s="1285" t="str">
        <f>IF(allocationMethod=1,CokingRefineryPFD!$C$21,IF(CokingRefineryPFD!$E$20,CokingRefineryPFD!$C$22,IF(CokingRefineryPFD!$E$20,CokingRefineryPFD!$C$23,CokingRefineryPFD!$C$24)))</f>
        <v>Energy Basis</v>
      </c>
      <c r="EG88" s="1204"/>
    </row>
    <row r="89" spans="1:137" x14ac:dyDescent="0.2">
      <c r="A89" s="1160"/>
      <c r="B89" s="1160"/>
      <c r="C89" s="1160"/>
      <c r="D89" s="1160"/>
      <c r="E89" s="1160"/>
      <c r="F89" s="1160"/>
      <c r="G89" s="1160"/>
      <c r="H89" s="1160"/>
      <c r="I89" s="1160"/>
      <c r="J89" s="1160"/>
      <c r="K89" s="1160"/>
      <c r="L89" s="1160"/>
      <c r="M89" s="1170"/>
      <c r="N89" s="1170"/>
      <c r="O89" s="1170"/>
      <c r="P89" s="1170"/>
      <c r="Q89" s="1170"/>
      <c r="R89" s="1170"/>
      <c r="S89" s="1170"/>
      <c r="T89" s="1170"/>
      <c r="U89" s="1170"/>
      <c r="V89" s="1170"/>
      <c r="W89" s="1170"/>
      <c r="X89" s="1170"/>
      <c r="Y89" s="1170"/>
      <c r="Z89" s="1170"/>
      <c r="AA89" s="1170"/>
      <c r="AB89" s="1170"/>
      <c r="AC89" s="1170"/>
      <c r="AD89" s="1170"/>
      <c r="AE89" s="1170"/>
      <c r="AF89" s="1170"/>
      <c r="AG89" s="1170"/>
      <c r="AH89" s="1170"/>
      <c r="AI89" s="1170"/>
      <c r="AJ89" s="1170"/>
      <c r="AK89" s="1170"/>
      <c r="AL89" s="1170"/>
      <c r="AM89" s="1170"/>
      <c r="AN89" s="1170"/>
      <c r="AO89" s="1170"/>
      <c r="AP89" s="1170"/>
      <c r="AQ89" s="1170"/>
      <c r="AR89" s="1170"/>
      <c r="AS89" s="1170"/>
      <c r="AT89" s="1170"/>
      <c r="AU89" s="1170"/>
      <c r="AV89" s="1170"/>
      <c r="AW89" s="1170"/>
      <c r="AX89" s="1170"/>
      <c r="AY89" s="1170"/>
      <c r="AZ89" s="1170"/>
      <c r="BA89" s="1170"/>
      <c r="BB89" s="1170"/>
      <c r="BC89" s="1170"/>
      <c r="BD89" s="1170"/>
      <c r="BE89" s="1170"/>
      <c r="BF89" s="1170"/>
      <c r="BG89" s="1170"/>
      <c r="BH89" s="1170"/>
      <c r="BI89" s="1170"/>
      <c r="BJ89" s="1170"/>
      <c r="BK89" s="1170"/>
      <c r="BL89" s="1170"/>
      <c r="BM89" s="1170"/>
      <c r="BN89" s="1170"/>
      <c r="BO89" s="1170"/>
      <c r="BP89" s="1186"/>
      <c r="BQ89" s="1186"/>
      <c r="BR89" s="1170"/>
      <c r="BS89" s="1170"/>
      <c r="BT89" s="1170"/>
      <c r="BU89" s="1170"/>
      <c r="BV89" s="1170"/>
      <c r="BW89" s="1170"/>
      <c r="BX89" s="1170"/>
      <c r="BY89" s="1170"/>
      <c r="BZ89" s="1170"/>
      <c r="CA89" s="1170"/>
      <c r="CB89" s="1170"/>
      <c r="CC89" s="1170"/>
      <c r="CD89" s="1170"/>
      <c r="CE89" s="1170"/>
      <c r="CF89" s="1170"/>
      <c r="CG89" s="1170"/>
      <c r="CH89" s="1170"/>
      <c r="CI89" s="1170"/>
      <c r="CJ89" s="1170"/>
      <c r="CK89" s="1170"/>
      <c r="CL89" s="1170"/>
      <c r="CM89" s="1170"/>
      <c r="CN89" s="1170" t="s">
        <v>485</v>
      </c>
      <c r="CO89" s="1170">
        <f ca="1">'HydroRefinery Detailed Results'!J19+IF(AND($EC$147+$EC$164=0,E28=FALSE),'HydroRefinery Detailed Results'!J31*HydroRefineryCalcs!T1040,0)</f>
        <v>128693.54183973702</v>
      </c>
      <c r="CP89" s="1160"/>
      <c r="CQ89" s="1160"/>
      <c r="CR89" s="1160"/>
      <c r="CS89" s="1160"/>
      <c r="CT89" s="1160"/>
      <c r="CU89" s="1160"/>
      <c r="CV89" s="1160"/>
      <c r="CW89" s="1160"/>
      <c r="CX89" s="1160"/>
      <c r="CY89" s="1160"/>
      <c r="CZ89" s="1171"/>
      <c r="DA89" s="1160"/>
      <c r="DB89" s="1186" t="str">
        <f>HydroRefineryCalcs!C317</f>
        <v>Density</v>
      </c>
      <c r="DC89" s="1170" t="str">
        <f ca="1">HydroRefineryCalcs!D317</f>
        <v>kg/m^3</v>
      </c>
      <c r="DD89" s="1170">
        <f ca="1">HydroRefineryCalcs!K317</f>
        <v>825.00000000000227</v>
      </c>
      <c r="DE89" s="1170"/>
      <c r="DF89" s="1170" t="str">
        <f>CS101</f>
        <v>Catalyst Coke</v>
      </c>
      <c r="DG89" s="1160"/>
      <c r="DH89" s="1187">
        <f ca="1">CU101</f>
        <v>6.8785815630632664E-15</v>
      </c>
      <c r="DI89" s="1187"/>
      <c r="DJ89" s="1160"/>
      <c r="DK89" s="1160"/>
      <c r="DL89" s="1208" t="s">
        <v>228</v>
      </c>
      <c r="DM89" s="1245">
        <f ca="1">AW29/(AA46+AZ53)</f>
        <v>1.4146023443097912E-3</v>
      </c>
      <c r="DN89" s="1160"/>
      <c r="DO89" s="1160"/>
      <c r="DP89" s="1160"/>
      <c r="DQ89" s="1160"/>
      <c r="DR89" s="1229"/>
      <c r="DS89" s="1160"/>
      <c r="DT89" s="1292"/>
      <c r="DU89" s="1292"/>
      <c r="DV89" s="1292"/>
      <c r="DW89" s="1292"/>
      <c r="DX89" s="1292"/>
      <c r="DY89" s="1160"/>
      <c r="DZ89" s="1229"/>
      <c r="EA89" s="1160"/>
      <c r="EB89" s="1160"/>
      <c r="EC89" s="1160"/>
      <c r="EE89" s="1160"/>
      <c r="EF89" s="1160"/>
      <c r="EG89" s="1160"/>
    </row>
    <row r="90" spans="1:137" x14ac:dyDescent="0.2">
      <c r="A90" s="1160"/>
      <c r="B90" s="1160"/>
      <c r="C90" s="1160"/>
      <c r="D90" s="1160"/>
      <c r="E90" s="1160"/>
      <c r="F90" s="1160"/>
      <c r="G90" s="1160"/>
      <c r="H90" s="1160"/>
      <c r="I90" s="1160"/>
      <c r="J90" s="1160"/>
      <c r="K90" s="1160"/>
      <c r="L90" s="1160"/>
      <c r="M90" s="1170"/>
      <c r="N90" s="1170"/>
      <c r="O90" s="1170"/>
      <c r="P90" s="1170"/>
      <c r="Q90" s="1170"/>
      <c r="R90" s="1170"/>
      <c r="S90" s="1170"/>
      <c r="T90" s="1170"/>
      <c r="U90" s="1170"/>
      <c r="V90" s="1170"/>
      <c r="W90" s="1170"/>
      <c r="X90" s="1170"/>
      <c r="Y90" s="1170"/>
      <c r="Z90" s="1170"/>
      <c r="AA90" s="1170"/>
      <c r="AB90" s="1170"/>
      <c r="AC90" s="1170"/>
      <c r="AD90" s="1170"/>
      <c r="AE90" s="1170"/>
      <c r="AF90" s="1170"/>
      <c r="AG90" s="1170"/>
      <c r="AH90" s="1170"/>
      <c r="AI90" s="1170"/>
      <c r="AJ90" s="1170"/>
      <c r="AK90" s="1170"/>
      <c r="AL90" s="1170"/>
      <c r="AM90" s="1170"/>
      <c r="AN90" s="1170"/>
      <c r="AO90" s="1170"/>
      <c r="AP90" s="1170"/>
      <c r="AQ90" s="1170"/>
      <c r="AR90" s="1170"/>
      <c r="AS90" s="1170"/>
      <c r="AT90" s="1170"/>
      <c r="AU90" s="1170"/>
      <c r="AV90" s="1170"/>
      <c r="AW90" s="1170"/>
      <c r="AX90" s="1170"/>
      <c r="AY90" s="1170"/>
      <c r="AZ90" s="1170"/>
      <c r="BA90" s="1170"/>
      <c r="BB90" s="1170"/>
      <c r="BC90" s="1170"/>
      <c r="BD90" s="1170"/>
      <c r="BE90" s="1170"/>
      <c r="BF90" s="1170"/>
      <c r="BG90" s="1170"/>
      <c r="BH90" s="1170"/>
      <c r="BI90" s="1170"/>
      <c r="BJ90" s="1170"/>
      <c r="BK90" s="1170"/>
      <c r="BL90" s="1170"/>
      <c r="BM90" s="1170"/>
      <c r="BN90" s="1170"/>
      <c r="BO90" s="1170"/>
      <c r="BP90" s="1180"/>
      <c r="BQ90" s="1180"/>
      <c r="BR90" s="1170"/>
      <c r="BS90" s="1170"/>
      <c r="BT90" s="1170"/>
      <c r="BU90" s="1170"/>
      <c r="BV90" s="1170"/>
      <c r="BW90" s="1170"/>
      <c r="BX90" s="1170"/>
      <c r="BY90" s="1170"/>
      <c r="BZ90" s="1170"/>
      <c r="CA90" s="1170"/>
      <c r="CB90" s="1170"/>
      <c r="CC90" s="1170"/>
      <c r="CD90" s="1170"/>
      <c r="CE90" s="1170"/>
      <c r="CF90" s="1170"/>
      <c r="CG90" s="1170"/>
      <c r="CH90" s="1170"/>
      <c r="CI90" s="1170"/>
      <c r="CJ90" s="1170"/>
      <c r="CK90" s="1170"/>
      <c r="CL90" s="1170"/>
      <c r="CM90" s="1170"/>
      <c r="CN90" s="1170" t="s">
        <v>541</v>
      </c>
      <c r="CO90" s="1170">
        <f ca="1">'HydroRefinery Detailed Results'!L19+IF(AND($EC$147+$EC$164=0,E28=FALSE),'HydroRefinery Detailed Results'!L31*HydroRefineryCalcs!T1040,0)</f>
        <v>1083713.5706350929</v>
      </c>
      <c r="CP90" s="1160"/>
      <c r="CQ90" s="1160"/>
      <c r="CR90" s="1160"/>
      <c r="CS90" s="1200" t="s">
        <v>1056</v>
      </c>
      <c r="CT90" s="1199" t="s">
        <v>447</v>
      </c>
      <c r="CU90" s="1199">
        <f>('Energy &amp; Unit Conversions'!$D$63-('Energy &amp; Unit Conversions'!$E$63*POWER((CU87/'Energy &amp; Unit Conversions'!$E$54),2)))</f>
        <v>41.291792420050342</v>
      </c>
      <c r="CV90" s="1160"/>
      <c r="CW90" s="1160"/>
      <c r="CX90" s="1160"/>
      <c r="CY90" s="1160"/>
      <c r="CZ90" s="1171"/>
      <c r="DA90" s="1160"/>
      <c r="DB90" s="1186" t="str">
        <f>HydroRefineryCalcs!C318</f>
        <v>Hydrogen</v>
      </c>
      <c r="DC90" s="1170" t="str">
        <f ca="1">HydroRefineryCalcs!D318</f>
        <v>wt%</v>
      </c>
      <c r="DD90" s="1170">
        <f ca="1">HydroRefineryCalcs!K318</f>
        <v>12.800000000000281</v>
      </c>
      <c r="DE90" s="1170"/>
      <c r="DF90" s="1160"/>
      <c r="DG90" s="1160"/>
      <c r="DH90" s="1288"/>
      <c r="DI90" s="1187"/>
      <c r="DJ90" s="1160"/>
      <c r="DK90" s="1160"/>
      <c r="DL90" s="1160"/>
      <c r="DM90" s="1160"/>
      <c r="DN90" s="1160"/>
      <c r="DO90" s="1160"/>
      <c r="DP90" s="1160"/>
      <c r="DQ90" s="1160"/>
      <c r="DR90" s="1160"/>
      <c r="DS90" s="1160"/>
      <c r="DT90" s="1160"/>
      <c r="DU90" s="1160"/>
      <c r="DV90" s="1160"/>
      <c r="DW90" s="1160"/>
      <c r="DX90" s="1160"/>
      <c r="DY90" s="1160"/>
      <c r="DZ90" s="1160"/>
      <c r="EA90" s="1160"/>
      <c r="EB90" s="1160"/>
      <c r="EC90" s="1160"/>
      <c r="EE90" s="1191" t="str">
        <f>EE82</f>
        <v>Recycled RFG</v>
      </c>
      <c r="EF90" s="1160"/>
      <c r="EG90" s="1160"/>
    </row>
    <row r="91" spans="1:137" x14ac:dyDescent="0.2">
      <c r="A91" s="1160"/>
      <c r="B91" s="1160"/>
      <c r="C91" s="1160"/>
      <c r="D91" s="1160"/>
      <c r="E91" s="1160"/>
      <c r="F91" s="1160"/>
      <c r="G91" s="1160"/>
      <c r="H91" s="1160"/>
      <c r="I91" s="1160"/>
      <c r="J91" s="1160"/>
      <c r="K91" s="1160"/>
      <c r="L91" s="1160"/>
      <c r="M91" s="1170"/>
      <c r="N91" s="1170"/>
      <c r="O91" s="1170"/>
      <c r="P91" s="1170"/>
      <c r="Q91" s="1170"/>
      <c r="R91" s="1170"/>
      <c r="S91" s="1170"/>
      <c r="T91" s="1170"/>
      <c r="U91" s="1170"/>
      <c r="V91" s="1170"/>
      <c r="W91" s="1170"/>
      <c r="X91" s="1170"/>
      <c r="Y91" s="1181" t="str">
        <f ca="1">IF(HydroRefineryConfig=0,"AGO To Fuel Oil Pool",HydroRefineryCalcs!J46)</f>
        <v>AGO To Fuel Oil Pool</v>
      </c>
      <c r="Z91" s="1170"/>
      <c r="AA91" s="1170"/>
      <c r="AB91" s="1170"/>
      <c r="AC91" s="1180" t="str">
        <f ca="1">Y91</f>
        <v>AGO To Fuel Oil Pool</v>
      </c>
      <c r="AD91" s="1170"/>
      <c r="AE91" s="1170"/>
      <c r="AF91" s="1170"/>
      <c r="AG91" s="1170"/>
      <c r="AH91" s="1170"/>
      <c r="AI91" s="1170"/>
      <c r="AJ91" s="1170"/>
      <c r="AK91" s="1170"/>
      <c r="AL91" s="1170"/>
      <c r="AM91" s="1170"/>
      <c r="AN91" s="1170"/>
      <c r="AO91" s="1170"/>
      <c r="AP91" s="1170"/>
      <c r="AQ91" s="1170"/>
      <c r="AR91" s="1170"/>
      <c r="AS91" s="1170"/>
      <c r="AT91" s="1170"/>
      <c r="AU91" s="1170"/>
      <c r="AV91" s="1170"/>
      <c r="AW91" s="1170"/>
      <c r="AX91" s="1170"/>
      <c r="AY91" s="1170"/>
      <c r="AZ91" s="1170"/>
      <c r="BA91" s="1170"/>
      <c r="BB91" s="1170"/>
      <c r="BC91" s="1170"/>
      <c r="BD91" s="1170"/>
      <c r="BE91" s="1170"/>
      <c r="BF91" s="1170"/>
      <c r="BG91" s="1170"/>
      <c r="BH91" s="1170"/>
      <c r="BI91" s="1170"/>
      <c r="BJ91" s="1170"/>
      <c r="BK91" s="1170"/>
      <c r="BL91" s="1170"/>
      <c r="BM91" s="1170"/>
      <c r="BN91" s="1170"/>
      <c r="BO91" s="1170"/>
      <c r="BP91" s="1170"/>
      <c r="BQ91" s="1170"/>
      <c r="BR91" s="1184"/>
      <c r="BS91" s="1170"/>
      <c r="BT91" s="1170"/>
      <c r="BU91" s="1170"/>
      <c r="BV91" s="1170"/>
      <c r="BW91" s="1170"/>
      <c r="BX91" s="1170"/>
      <c r="BY91" s="1170"/>
      <c r="BZ91" s="1170"/>
      <c r="CA91" s="1170"/>
      <c r="CB91" s="1170"/>
      <c r="CC91" s="1170"/>
      <c r="CD91" s="1170"/>
      <c r="CE91" s="1170"/>
      <c r="CF91" s="1170"/>
      <c r="CG91" s="1170"/>
      <c r="CH91" s="1170"/>
      <c r="CI91" s="1170"/>
      <c r="CJ91" s="1170"/>
      <c r="CK91" s="1170"/>
      <c r="CL91" s="1170"/>
      <c r="CM91" s="1170"/>
      <c r="CN91" s="1170"/>
      <c r="CO91" s="1170"/>
      <c r="CP91" s="1160"/>
      <c r="CQ91" s="1160"/>
      <c r="CR91" s="1160"/>
      <c r="CS91" s="1200" t="s">
        <v>1021</v>
      </c>
      <c r="CT91" s="1199" t="s">
        <v>1022</v>
      </c>
      <c r="CU91" s="1290">
        <f>DD93</f>
        <v>89.360889434814453</v>
      </c>
      <c r="CV91" s="1160"/>
      <c r="CW91" s="1160"/>
      <c r="CX91" s="1160"/>
      <c r="CY91" s="1160"/>
      <c r="CZ91" s="1171"/>
      <c r="DA91" s="1160"/>
      <c r="DB91" s="1186" t="str">
        <f>HydroRefineryCalcs!C319</f>
        <v>MCR</v>
      </c>
      <c r="DC91" s="1170" t="str">
        <f ca="1">HydroRefineryCalcs!D319</f>
        <v>wt%</v>
      </c>
      <c r="DD91" s="1170">
        <f>HydroRefineryCalcs!K319</f>
        <v>0</v>
      </c>
      <c r="DE91" s="1170"/>
      <c r="DF91" s="1160"/>
      <c r="DG91" s="1160"/>
      <c r="DH91" s="1160"/>
      <c r="DI91" s="1187"/>
      <c r="DJ91" s="1160"/>
      <c r="DK91" s="1160"/>
      <c r="DL91" s="1191" t="str">
        <f>BE57</f>
        <v>KHT Fuel Gas</v>
      </c>
      <c r="DM91" s="1254">
        <f ca="1">HydroRefineryCalcs!H249</f>
        <v>9696.9447453418234</v>
      </c>
      <c r="DN91" s="1160" t="s">
        <v>622</v>
      </c>
      <c r="DO91" s="1160"/>
      <c r="DP91" s="1160"/>
      <c r="DQ91" s="1160"/>
      <c r="DR91" s="1160"/>
      <c r="DS91" s="1160"/>
      <c r="DT91" s="1160"/>
      <c r="DU91" s="1160"/>
      <c r="DV91" s="1160"/>
      <c r="DW91" s="1160"/>
      <c r="DX91" s="1160"/>
      <c r="DY91" s="1160"/>
      <c r="DZ91" s="1160"/>
      <c r="EA91" s="1186"/>
      <c r="EB91" s="1160"/>
      <c r="EC91" s="1170"/>
      <c r="EE91" s="1193"/>
      <c r="EF91" s="1160"/>
      <c r="EG91" s="1194" t="s">
        <v>522</v>
      </c>
    </row>
    <row r="92" spans="1:137" x14ac:dyDescent="0.2">
      <c r="A92" s="1160"/>
      <c r="B92" s="1160"/>
      <c r="C92" s="1160"/>
      <c r="D92" s="1160"/>
      <c r="E92" s="1160"/>
      <c r="F92" s="1160"/>
      <c r="G92" s="1160"/>
      <c r="H92" s="1160"/>
      <c r="I92" s="1160"/>
      <c r="J92" s="1160"/>
      <c r="K92" s="1160"/>
      <c r="L92" s="1160"/>
      <c r="M92" s="1170"/>
      <c r="N92" s="1170"/>
      <c r="O92" s="1170"/>
      <c r="P92" s="1170"/>
      <c r="Q92" s="1170"/>
      <c r="R92" s="1170"/>
      <c r="S92" s="1170"/>
      <c r="T92" s="1170"/>
      <c r="U92" s="1170"/>
      <c r="V92" s="1170"/>
      <c r="W92" s="1170"/>
      <c r="X92" s="1170"/>
      <c r="Y92" s="1182" t="str">
        <f>HydroRefineryCalcs!C46</f>
        <v>Property</v>
      </c>
      <c r="Z92" s="1182" t="str">
        <f>HydroRefineryCalcs!D46</f>
        <v>Units</v>
      </c>
      <c r="AA92" s="1170"/>
      <c r="AB92" s="1170"/>
      <c r="AC92" s="1183" t="s">
        <v>226</v>
      </c>
      <c r="AD92" s="1170"/>
      <c r="AE92" s="1184" t="s">
        <v>522</v>
      </c>
      <c r="AF92" s="1170"/>
      <c r="AG92" s="1170"/>
      <c r="AH92" s="1170"/>
      <c r="AI92" s="1170"/>
      <c r="AJ92" s="1170"/>
      <c r="AK92" s="1170"/>
      <c r="AL92" s="1170"/>
      <c r="AM92" s="1170"/>
      <c r="AN92" s="1170"/>
      <c r="AO92" s="1170"/>
      <c r="AP92" s="1170"/>
      <c r="AQ92" s="1170"/>
      <c r="AR92" s="1170"/>
      <c r="AS92" s="1181" t="str">
        <f>HydroRefineryCalcs!F570</f>
        <v>AGO To Gas Oil HC</v>
      </c>
      <c r="AT92" s="1170"/>
      <c r="AU92" s="1170"/>
      <c r="AV92" s="1170"/>
      <c r="AW92" s="1170"/>
      <c r="AX92" s="1180" t="str">
        <f>AS92</f>
        <v>AGO To Gas Oil HC</v>
      </c>
      <c r="AY92" s="1170"/>
      <c r="AZ92" s="1170"/>
      <c r="BA92" s="1170"/>
      <c r="BB92" s="1170"/>
      <c r="BC92" s="1170"/>
      <c r="BD92" s="1170"/>
      <c r="BE92" s="1170"/>
      <c r="BF92" s="1170"/>
      <c r="BG92" s="1170"/>
      <c r="BH92" s="1170"/>
      <c r="BI92" s="1170"/>
      <c r="BJ92" s="1170"/>
      <c r="BK92" s="1170"/>
      <c r="BL92" s="1170"/>
      <c r="BM92" s="1170"/>
      <c r="BN92" s="1170"/>
      <c r="BO92" s="1170"/>
      <c r="BP92" s="1170"/>
      <c r="BQ92" s="1170"/>
      <c r="BR92" s="1170"/>
      <c r="BS92" s="1170"/>
      <c r="BT92" s="1170"/>
      <c r="BU92" s="1170"/>
      <c r="BV92" s="1170"/>
      <c r="BW92" s="1170"/>
      <c r="BX92" s="1170"/>
      <c r="BY92" s="1170"/>
      <c r="BZ92" s="1170"/>
      <c r="CA92" s="1170"/>
      <c r="CB92" s="1170"/>
      <c r="CC92" s="1170"/>
      <c r="CD92" s="1170"/>
      <c r="CE92" s="1170"/>
      <c r="CF92" s="1170"/>
      <c r="CG92" s="1170"/>
      <c r="CH92" s="1170"/>
      <c r="CI92" s="1170"/>
      <c r="CJ92" s="1170"/>
      <c r="CK92" s="1170"/>
      <c r="CL92" s="1170"/>
      <c r="CM92" s="1170"/>
      <c r="CN92" s="1181" t="str">
        <f>HydroRefineryCalcs!C342</f>
        <v>Total hydrogen consumed</v>
      </c>
      <c r="CO92" s="1170"/>
      <c r="CP92" s="1170"/>
      <c r="CQ92" s="1160"/>
      <c r="CR92" s="1160"/>
      <c r="CS92" s="1204" t="s">
        <v>1054</v>
      </c>
      <c r="CT92" s="1204" t="str">
        <f>IF(allocationMethod=1,CokingRefineryPFD!$C$21,IF(allocationMethod=2,CokingRefineryPFD!$C$22,IF(allocationMethod=3,CokingRefineryPFD!$C$23,CokingRefineryPFD!$C$24)))</f>
        <v>Hydrogen Content Basis</v>
      </c>
      <c r="CU92" s="1250">
        <f ca="1">IF(allocationMethod=1,CU84,IF(allocationMethod=2,CU90*CU84,IF(allocationMethod=3,CU91*CU82,CU88*CU84/100)))</f>
        <v>225185.03075204248</v>
      </c>
      <c r="CV92" s="1160"/>
      <c r="CW92" s="1160"/>
      <c r="CX92" s="1160"/>
      <c r="CY92" s="1160"/>
      <c r="CZ92" s="1171"/>
      <c r="DA92" s="1160"/>
      <c r="DB92" s="1183" t="s">
        <v>1700</v>
      </c>
      <c r="DC92" s="1184" t="s">
        <v>447</v>
      </c>
      <c r="DD92" s="1170">
        <f ca="1">('Energy &amp; Unit Conversions'!$D$63-('Energy &amp; Unit Conversions'!$E$63*POWER(('HydroRefineryPFD '!DD89/'Energy &amp; Unit Conversions'!$E$54),2)))</f>
        <v>41.291792420050314</v>
      </c>
      <c r="DE92" s="1170"/>
      <c r="DF92" s="1160"/>
      <c r="DG92" s="1160"/>
      <c r="DH92" s="1160"/>
      <c r="DI92" s="1160"/>
      <c r="DJ92" s="1160"/>
      <c r="DK92" s="1160"/>
      <c r="DL92" s="1193" t="s">
        <v>226</v>
      </c>
      <c r="DM92" s="1243" t="s">
        <v>522</v>
      </c>
      <c r="DN92" s="1160"/>
      <c r="DO92" s="1160"/>
      <c r="DP92" s="1160"/>
      <c r="DQ92" s="1160"/>
      <c r="DR92" s="1160"/>
      <c r="DS92" s="1160"/>
      <c r="DT92" s="1160"/>
      <c r="DU92" s="1160"/>
      <c r="DV92" s="1160"/>
      <c r="DW92" s="1160"/>
      <c r="DX92" s="1160"/>
      <c r="DY92" s="1160"/>
      <c r="DZ92" s="1160"/>
      <c r="EA92" s="1195" t="str">
        <f>CokingRefineryCalcs!L977</f>
        <v>Clean Fuel Gas</v>
      </c>
      <c r="EB92" s="1160"/>
      <c r="EC92" s="1160"/>
      <c r="EE92" s="1160" t="s">
        <v>263</v>
      </c>
      <c r="EF92" s="1160"/>
      <c r="EG92" s="1170">
        <f ca="1">IF($EC$147+$EC$164=0,0,(DM82+DM93+DM104+DM115+DM127+DM138+DM149+DM160+DM59+DM71)*$EG$98)</f>
        <v>0</v>
      </c>
    </row>
    <row r="93" spans="1:137" x14ac:dyDescent="0.2">
      <c r="A93" s="1160"/>
      <c r="B93" s="1160"/>
      <c r="C93" s="1195" t="s">
        <v>570</v>
      </c>
      <c r="D93" s="1195" t="str">
        <f ca="1">'Assay Inventory'!C9</f>
        <v>Bonny Light_Chevron</v>
      </c>
      <c r="E93" s="1170"/>
      <c r="F93" s="1170"/>
      <c r="G93" s="1170"/>
      <c r="H93" s="1170"/>
      <c r="I93" s="1170"/>
      <c r="J93" s="1170"/>
      <c r="K93" s="1170"/>
      <c r="L93" s="1170"/>
      <c r="M93" s="1170"/>
      <c r="N93" s="1170"/>
      <c r="O93" s="1170"/>
      <c r="P93" s="1170"/>
      <c r="Q93" s="1170"/>
      <c r="R93" s="1170"/>
      <c r="S93" s="1170"/>
      <c r="T93" s="1170"/>
      <c r="U93" s="1170"/>
      <c r="V93" s="1170"/>
      <c r="W93" s="1170"/>
      <c r="X93" s="1170"/>
      <c r="Y93" s="1186" t="str">
        <f>HydroRefineryCalcs!C47</f>
        <v>Vol Flow</v>
      </c>
      <c r="Z93" s="1170" t="str">
        <f ca="1">HydroRefineryCalcs!D47</f>
        <v>bpd</v>
      </c>
      <c r="AA93" s="1187">
        <f ca="1">HydroRefineryCalcs!J47</f>
        <v>11182.517606218385</v>
      </c>
      <c r="AB93" s="1170"/>
      <c r="AC93" s="1170" t="s">
        <v>263</v>
      </c>
      <c r="AD93" s="1170"/>
      <c r="AE93" s="1187">
        <f ca="1">U112*AE98</f>
        <v>0</v>
      </c>
      <c r="AF93" s="1170"/>
      <c r="AG93" s="1170"/>
      <c r="AH93" s="1170"/>
      <c r="AI93" s="1170"/>
      <c r="AJ93" s="1170"/>
      <c r="AK93" s="1170"/>
      <c r="AL93" s="1170"/>
      <c r="AM93" s="1170"/>
      <c r="AN93" s="1170"/>
      <c r="AO93" s="1170"/>
      <c r="AP93" s="1170"/>
      <c r="AQ93" s="1170"/>
      <c r="AR93" s="1170"/>
      <c r="AS93" s="1182" t="str">
        <f>HydroRefineryCalcs!C570</f>
        <v>Property</v>
      </c>
      <c r="AT93" s="1182" t="str">
        <f>HydroRefineryCalcs!D570</f>
        <v>Units</v>
      </c>
      <c r="AU93" s="1170"/>
      <c r="AV93" s="1170"/>
      <c r="AW93" s="1170"/>
      <c r="AX93" s="1183" t="s">
        <v>226</v>
      </c>
      <c r="AY93" s="1170"/>
      <c r="AZ93" s="1184" t="s">
        <v>522</v>
      </c>
      <c r="BA93" s="1170"/>
      <c r="BB93" s="1170"/>
      <c r="BC93" s="1170"/>
      <c r="BD93" s="1170"/>
      <c r="BE93" s="1170"/>
      <c r="BF93" s="1170"/>
      <c r="BG93" s="1170"/>
      <c r="BH93" s="1170"/>
      <c r="BI93" s="1170"/>
      <c r="BJ93" s="1170"/>
      <c r="BK93" s="1170"/>
      <c r="BL93" s="1170"/>
      <c r="BM93" s="1170"/>
      <c r="BN93" s="1170"/>
      <c r="BO93" s="1170"/>
      <c r="BP93" s="1170"/>
      <c r="BQ93" s="1170"/>
      <c r="BR93" s="1170"/>
      <c r="BS93" s="1170"/>
      <c r="BT93" s="1170"/>
      <c r="BU93" s="1170"/>
      <c r="BV93" s="1170"/>
      <c r="BW93" s="1170"/>
      <c r="BX93" s="1170"/>
      <c r="BY93" s="1170"/>
      <c r="BZ93" s="1170"/>
      <c r="CA93" s="1170"/>
      <c r="CB93" s="1170"/>
      <c r="CC93" s="1170"/>
      <c r="CD93" s="1170"/>
      <c r="CE93" s="1170"/>
      <c r="CF93" s="1170"/>
      <c r="CG93" s="1170"/>
      <c r="CH93" s="1170"/>
      <c r="CI93" s="1170"/>
      <c r="CJ93" s="1170"/>
      <c r="CK93" s="1170"/>
      <c r="CL93" s="1170"/>
      <c r="CM93" s="1170"/>
      <c r="CN93" s="1170" t="str">
        <f>HydroRefineryCalcs!E342</f>
        <v>kg/d</v>
      </c>
      <c r="CO93" s="1170">
        <f ca="1">HydroRefineryCalcs!D342</f>
        <v>8123.1889161639019</v>
      </c>
      <c r="CP93" s="1160"/>
      <c r="CQ93" s="1160"/>
      <c r="CR93" s="1160"/>
      <c r="CS93" s="1160"/>
      <c r="CT93" s="1160"/>
      <c r="CU93" s="1160"/>
      <c r="CV93" s="1160"/>
      <c r="CW93" s="1160"/>
      <c r="CX93" s="1160"/>
      <c r="CY93" s="1160"/>
      <c r="CZ93" s="1171"/>
      <c r="DA93" s="1160"/>
      <c r="DB93" s="1200" t="s">
        <v>1021</v>
      </c>
      <c r="DC93" s="1199" t="s">
        <v>1022</v>
      </c>
      <c r="DD93" s="1170">
        <f>Constants!G357</f>
        <v>89.360889434814453</v>
      </c>
      <c r="DE93" s="1170"/>
      <c r="DF93" s="1160"/>
      <c r="DG93" s="1160"/>
      <c r="DH93" s="1160"/>
      <c r="DI93" s="1160"/>
      <c r="DJ93" s="1160"/>
      <c r="DK93" s="1160"/>
      <c r="DL93" s="1160" t="s">
        <v>263</v>
      </c>
      <c r="DM93" s="1254">
        <f ca="1">AE61*DM98</f>
        <v>0</v>
      </c>
      <c r="DN93" s="1160"/>
      <c r="DO93" s="1160"/>
      <c r="DP93" s="1160"/>
      <c r="DQ93" s="1160"/>
      <c r="DR93" s="1160"/>
      <c r="DS93" s="1160"/>
      <c r="DT93" s="1160"/>
      <c r="DU93" s="1160"/>
      <c r="DV93" s="1160"/>
      <c r="DW93" s="1160"/>
      <c r="DX93" s="1160"/>
      <c r="DY93" s="1160"/>
      <c r="DZ93" s="1160"/>
      <c r="EA93" s="1229" t="str">
        <f>CokingRefineryCalcs!C991</f>
        <v>Vol Flow</v>
      </c>
      <c r="EB93" s="1160" t="str">
        <f>CokingRefineryCalcs!D991</f>
        <v>bpd</v>
      </c>
      <c r="EC93" s="1187">
        <f ca="1">HydroRefineryCalcs!K1501</f>
        <v>2284320.3603609209</v>
      </c>
      <c r="EE93" s="1160" t="s">
        <v>392</v>
      </c>
      <c r="EF93" s="1160"/>
      <c r="EG93" s="1170">
        <f ca="1">IF($EC$147+$EC$164=0,0,(DO43+DM83+DM94+DM105+DM116+DM128+DM139+DM150+DM161+DM60+DM72)*$EG$98)</f>
        <v>0</v>
      </c>
    </row>
    <row r="94" spans="1:137" x14ac:dyDescent="0.2">
      <c r="A94" s="1160"/>
      <c r="B94" s="1160"/>
      <c r="C94" s="1160"/>
      <c r="D94" s="1160"/>
      <c r="E94" s="1170"/>
      <c r="F94" s="1170"/>
      <c r="G94" s="1170"/>
      <c r="H94" s="1170"/>
      <c r="I94" s="1170"/>
      <c r="J94" s="1170"/>
      <c r="K94" s="1170"/>
      <c r="L94" s="1170"/>
      <c r="M94" s="1170"/>
      <c r="N94" s="1170"/>
      <c r="O94" s="1170"/>
      <c r="P94" s="1170"/>
      <c r="Q94" s="1170"/>
      <c r="R94" s="1170"/>
      <c r="S94" s="1170"/>
      <c r="T94" s="1170"/>
      <c r="U94" s="1170"/>
      <c r="V94" s="1170"/>
      <c r="W94" s="1170"/>
      <c r="X94" s="1170"/>
      <c r="Y94" s="1186" t="str">
        <f>HydroRefineryCalcs!C48</f>
        <v>Vol Flow</v>
      </c>
      <c r="Z94" s="1170" t="str">
        <f ca="1">HydroRefineryCalcs!D48</f>
        <v>m^3/d</v>
      </c>
      <c r="AA94" s="1187">
        <f ca="1">HydroRefineryCalcs!J48</f>
        <v>1777.8782814151243</v>
      </c>
      <c r="AB94" s="1170"/>
      <c r="AC94" s="1170" t="s">
        <v>392</v>
      </c>
      <c r="AD94" s="1170"/>
      <c r="AE94" s="1187">
        <f ca="1">(U113+W50)*$AE$98</f>
        <v>0</v>
      </c>
      <c r="AF94" s="1170"/>
      <c r="AG94" s="1170"/>
      <c r="AH94" s="1170"/>
      <c r="AI94" s="1170"/>
      <c r="AJ94" s="1170"/>
      <c r="AK94" s="1170"/>
      <c r="AL94" s="1170"/>
      <c r="AM94" s="1170"/>
      <c r="AN94" s="1170"/>
      <c r="AO94" s="1170"/>
      <c r="AP94" s="1170"/>
      <c r="AQ94" s="1170"/>
      <c r="AR94" s="1170"/>
      <c r="AS94" s="1186" t="str">
        <f>HydroRefineryCalcs!C571</f>
        <v>Vol Flow</v>
      </c>
      <c r="AT94" s="1170" t="str">
        <f ca="1">HydroRefineryCalcs!D571</f>
        <v>bpd</v>
      </c>
      <c r="AU94" s="1170">
        <f ca="1">HydroRefineryCalcs!F571</f>
        <v>1.1182517606218385E-8</v>
      </c>
      <c r="AV94" s="1170"/>
      <c r="AW94" s="1170"/>
      <c r="AX94" s="1170" t="s">
        <v>263</v>
      </c>
      <c r="AY94" s="1170"/>
      <c r="AZ94" s="1170">
        <f ca="1">AE93*$AZ$99</f>
        <v>0</v>
      </c>
      <c r="BA94" s="1170"/>
      <c r="BB94" s="1170"/>
      <c r="BC94" s="1170"/>
      <c r="BD94" s="1170"/>
      <c r="BE94" s="1170"/>
      <c r="BF94" s="1170"/>
      <c r="BG94" s="1170"/>
      <c r="BH94" s="1170"/>
      <c r="BI94" s="1170"/>
      <c r="BJ94" s="1170"/>
      <c r="BK94" s="1170"/>
      <c r="BL94" s="1170"/>
      <c r="BM94" s="1170"/>
      <c r="BN94" s="1170"/>
      <c r="BO94" s="1170"/>
      <c r="BP94" s="1170"/>
      <c r="BQ94" s="1170"/>
      <c r="BR94" s="1170"/>
      <c r="BS94" s="1170"/>
      <c r="BT94" s="1170"/>
      <c r="BU94" s="1170"/>
      <c r="BV94" s="1170"/>
      <c r="BW94" s="1170"/>
      <c r="BX94" s="1170"/>
      <c r="BY94" s="1170"/>
      <c r="BZ94" s="1170"/>
      <c r="CA94" s="1170"/>
      <c r="CB94" s="1170"/>
      <c r="CC94" s="1170"/>
      <c r="CD94" s="1170"/>
      <c r="CE94" s="1170"/>
      <c r="CF94" s="1170"/>
      <c r="CG94" s="1170"/>
      <c r="CH94" s="1170"/>
      <c r="CI94" s="1170"/>
      <c r="CJ94" s="1170"/>
      <c r="CK94" s="1170"/>
      <c r="CL94" s="1170"/>
      <c r="CM94" s="1170"/>
      <c r="CN94" s="1170"/>
      <c r="CO94" s="1170"/>
      <c r="CP94" s="1160"/>
      <c r="CQ94" s="1160"/>
      <c r="CR94" s="1160"/>
      <c r="CS94" s="1180" t="str">
        <f>CS80</f>
        <v>Hydrotreated Diesel</v>
      </c>
      <c r="CT94" s="1170"/>
      <c r="CU94" s="1160"/>
      <c r="CV94" s="1160"/>
      <c r="CW94" s="1160"/>
      <c r="CX94" s="1160"/>
      <c r="CY94" s="1160"/>
      <c r="CZ94" s="1171"/>
      <c r="DA94" s="1160"/>
      <c r="DB94" s="1160"/>
      <c r="DC94" s="1160"/>
      <c r="DD94" s="1160"/>
      <c r="DE94" s="1160"/>
      <c r="DF94" s="1160"/>
      <c r="DG94" s="1160"/>
      <c r="DH94" s="1160"/>
      <c r="DI94" s="1160"/>
      <c r="DJ94" s="1160"/>
      <c r="DK94" s="1160"/>
      <c r="DL94" s="1160" t="s">
        <v>392</v>
      </c>
      <c r="DM94" s="1254">
        <f ca="1">(AE62+BL71)*$DM$98</f>
        <v>0</v>
      </c>
      <c r="DN94" s="1160"/>
      <c r="DO94" s="1160"/>
      <c r="DP94" s="1160"/>
      <c r="DQ94" s="1160"/>
      <c r="DR94" s="1160"/>
      <c r="DS94" s="1160"/>
      <c r="DT94" s="1160"/>
      <c r="DU94" s="1160"/>
      <c r="DV94" s="1160"/>
      <c r="DW94" s="1160"/>
      <c r="DX94" s="1160"/>
      <c r="DY94" s="1160"/>
      <c r="DZ94" s="1160"/>
      <c r="EA94" s="1229" t="str">
        <f>CokingRefineryCalcs!C992</f>
        <v>Vol Flow</v>
      </c>
      <c r="EB94" s="1160" t="str">
        <f>CokingRefineryCalcs!D992</f>
        <v>m^3/d</v>
      </c>
      <c r="EC94" s="1975">
        <f ca="1">EC93*'Energy &amp; Unit Conversions'!$G$80</f>
        <v>363177.92642880982</v>
      </c>
      <c r="EE94" s="1160" t="s">
        <v>224</v>
      </c>
      <c r="EF94" s="1160"/>
      <c r="EG94" s="1170">
        <f ca="1">IF($EC$147+$EC$164=0,0,(DO44+DM84+DM95+DM106+DM117+DM129+DM140+DM151+DM162+DM61+DM73)*$EG$98)</f>
        <v>0</v>
      </c>
    </row>
    <row r="95" spans="1:137" x14ac:dyDescent="0.2">
      <c r="A95" s="1160"/>
      <c r="B95" s="1160"/>
      <c r="C95" s="1229" t="str">
        <f>'Assay Inventory'!C11</f>
        <v>Property</v>
      </c>
      <c r="D95" s="1229" t="str">
        <f ca="1">'Assay Inventory'!D11</f>
        <v>Units</v>
      </c>
      <c r="E95" s="1251" t="str">
        <f ca="1">'Assay Inventory'!E11</f>
        <v>Full Crude</v>
      </c>
      <c r="F95" s="1251" t="str">
        <f ca="1">'Assay Inventory'!F11</f>
        <v>LSR</v>
      </c>
      <c r="G95" s="1251" t="str">
        <f ca="1">'Assay Inventory'!G11</f>
        <v>Naphtha</v>
      </c>
      <c r="H95" s="1251" t="str">
        <f ca="1">'Assay Inventory'!H11</f>
        <v>Kerosene</v>
      </c>
      <c r="I95" s="1251" t="str">
        <f ca="1">'Assay Inventory'!I11</f>
        <v>Diesel</v>
      </c>
      <c r="J95" s="1251" t="str">
        <f ca="1">'Assay Inventory'!J11</f>
        <v>AGO</v>
      </c>
      <c r="K95" s="1251" t="str">
        <f ca="1">'Assay Inventory'!K11</f>
        <v>LVGO</v>
      </c>
      <c r="L95" s="1251" t="str">
        <f ca="1">'Assay Inventory'!L11</f>
        <v>HVGO</v>
      </c>
      <c r="M95" s="1251" t="str">
        <f ca="1">'Assay Inventory'!M11</f>
        <v>VR</v>
      </c>
      <c r="N95" s="1251" t="str">
        <f ca="1">'Assay Inventory'!N11</f>
        <v>AR</v>
      </c>
      <c r="O95" s="1170"/>
      <c r="P95" s="1180" t="str">
        <f>'HydroRefinery Detailed Results'!C10</f>
        <v>Atmospheric Tower Furnace</v>
      </c>
      <c r="Q95" s="1170"/>
      <c r="R95" s="1170"/>
      <c r="S95" s="1170"/>
      <c r="T95" s="1170"/>
      <c r="U95" s="1170"/>
      <c r="V95" s="1170"/>
      <c r="W95" s="1170"/>
      <c r="X95" s="1170"/>
      <c r="Y95" s="1186" t="str">
        <f>HydroRefineryCalcs!C49</f>
        <v>Mass Flow</v>
      </c>
      <c r="Z95" s="1170" t="str">
        <f>HydroRefineryCalcs!D49</f>
        <v>kg/d</v>
      </c>
      <c r="AA95" s="1187">
        <f ca="1">HydroRefineryCalcs!J49</f>
        <v>1609417.4951277762</v>
      </c>
      <c r="AB95" s="1170"/>
      <c r="AC95" s="1170" t="s">
        <v>224</v>
      </c>
      <c r="AD95" s="1170"/>
      <c r="AE95" s="1187">
        <f ca="1">(U114+W51)*$AE$98</f>
        <v>0</v>
      </c>
      <c r="AF95" s="1170"/>
      <c r="AG95" s="1170"/>
      <c r="AH95" s="1170"/>
      <c r="AI95" s="1170"/>
      <c r="AJ95" s="1170"/>
      <c r="AK95" s="1170"/>
      <c r="AL95" s="1170"/>
      <c r="AM95" s="1170"/>
      <c r="AN95" s="1170"/>
      <c r="AO95" s="1170"/>
      <c r="AP95" s="1170"/>
      <c r="AQ95" s="1170"/>
      <c r="AR95" s="1170"/>
      <c r="AS95" s="1186" t="str">
        <f>HydroRefineryCalcs!C572</f>
        <v>Vol Flow</v>
      </c>
      <c r="AT95" s="1170" t="str">
        <f ca="1">HydroRefineryCalcs!D572</f>
        <v>m^3/d</v>
      </c>
      <c r="AU95" s="1170">
        <f ca="1">HydroRefineryCalcs!F572</f>
        <v>1.7778782814151241E-9</v>
      </c>
      <c r="AV95" s="1170"/>
      <c r="AW95" s="1170"/>
      <c r="AX95" s="1170" t="s">
        <v>392</v>
      </c>
      <c r="AY95" s="1170"/>
      <c r="AZ95" s="1170">
        <f ca="1">AE94*$AZ$99</f>
        <v>0</v>
      </c>
      <c r="BA95" s="1170"/>
      <c r="BB95" s="1170"/>
      <c r="BC95" s="1170"/>
      <c r="BD95" s="1170"/>
      <c r="BE95" s="1170"/>
      <c r="BF95" s="1170"/>
      <c r="BG95" s="1170"/>
      <c r="BH95" s="1170"/>
      <c r="BI95" s="1170"/>
      <c r="BJ95" s="1170"/>
      <c r="BK95" s="1170"/>
      <c r="BL95" s="1170"/>
      <c r="BM95" s="1170"/>
      <c r="BN95" s="1170"/>
      <c r="BO95" s="1170"/>
      <c r="BP95" s="1170"/>
      <c r="BQ95" s="1170"/>
      <c r="BR95" s="1170"/>
      <c r="BS95" s="1170"/>
      <c r="BT95" s="1170"/>
      <c r="BU95" s="1170"/>
      <c r="BV95" s="1170"/>
      <c r="BW95" s="1170"/>
      <c r="BX95" s="1170"/>
      <c r="BY95" s="1170"/>
      <c r="BZ95" s="1170"/>
      <c r="CA95" s="1170"/>
      <c r="CB95" s="1170"/>
      <c r="CC95" s="1170"/>
      <c r="CD95" s="1170"/>
      <c r="CE95" s="1170"/>
      <c r="CF95" s="1170"/>
      <c r="CG95" s="1170"/>
      <c r="CH95" s="1170"/>
      <c r="CI95" s="1170"/>
      <c r="CJ95" s="1170"/>
      <c r="CK95" s="1170"/>
      <c r="CL95" s="1170"/>
      <c r="CM95" s="1170"/>
      <c r="CN95" s="1170"/>
      <c r="CO95" s="1170"/>
      <c r="CP95" s="1160"/>
      <c r="CQ95" s="1160"/>
      <c r="CR95" s="1160"/>
      <c r="CS95" s="1183" t="s">
        <v>226</v>
      </c>
      <c r="CT95" s="1160"/>
      <c r="CU95" s="1184" t="s">
        <v>522</v>
      </c>
      <c r="CV95" s="1160"/>
      <c r="CW95" s="1160"/>
      <c r="CX95" s="1160"/>
      <c r="CY95" s="1160"/>
      <c r="CZ95" s="1171"/>
      <c r="DA95" s="1160"/>
      <c r="DB95" s="1160"/>
      <c r="DC95" s="1160"/>
      <c r="DD95" s="1160"/>
      <c r="DE95" s="1160"/>
      <c r="DF95" s="1160"/>
      <c r="DG95" s="1160"/>
      <c r="DH95" s="1160"/>
      <c r="DI95" s="1160"/>
      <c r="DJ95" s="1160"/>
      <c r="DK95" s="1160"/>
      <c r="DL95" s="1160" t="s">
        <v>224</v>
      </c>
      <c r="DM95" s="1254">
        <f ca="1">(AE63+BL72)*$DM$98</f>
        <v>0</v>
      </c>
      <c r="DN95" s="1160"/>
      <c r="DO95" s="1160"/>
      <c r="DP95" s="1160"/>
      <c r="DQ95" s="1160"/>
      <c r="DR95" s="1160"/>
      <c r="DS95" s="1160"/>
      <c r="DT95" s="1160"/>
      <c r="DU95" s="1160"/>
      <c r="DV95" s="1160"/>
      <c r="DW95" s="1160"/>
      <c r="DX95" s="1160"/>
      <c r="DY95" s="1160"/>
      <c r="DZ95" s="1160"/>
      <c r="EA95" s="1229" t="s">
        <v>620</v>
      </c>
      <c r="EB95" s="1160" t="s">
        <v>622</v>
      </c>
      <c r="EC95" s="1187">
        <f ca="1">HydroRefineryCalcs!D1491-SUM(HydroRefineryCalcs!E1499:E1500)</f>
        <v>242602.85485445199</v>
      </c>
      <c r="EE95" s="1160" t="s">
        <v>485</v>
      </c>
      <c r="EF95" s="1160"/>
      <c r="EG95" s="1170">
        <f ca="1">IF($EC$147+$EC$164=0,0,(DO45+DM85+DM96+DM107+DM118+DM130+DM141+DM152+DM163+DM62+DM74)*$EG$98)</f>
        <v>0</v>
      </c>
    </row>
    <row r="96" spans="1:137" x14ac:dyDescent="0.2">
      <c r="A96" s="1160"/>
      <c r="B96" s="1160"/>
      <c r="C96" s="1229" t="str">
        <f>'Assay Inventory'!C12</f>
        <v>Vol Flow</v>
      </c>
      <c r="D96" s="1229" t="str">
        <f ca="1">'Assay Inventory'!D12</f>
        <v>bpd</v>
      </c>
      <c r="E96" s="1170">
        <f ca="1">'Assay Inventory'!E12</f>
        <v>99177.64135868111</v>
      </c>
      <c r="F96" s="1170">
        <f ca="1">'Assay Inventory'!F12</f>
        <v>7538.9890466543711</v>
      </c>
      <c r="G96" s="1170">
        <f ca="1">'Assay Inventory'!G12</f>
        <v>17316.22160970941</v>
      </c>
      <c r="H96" s="1170">
        <f ca="1">'Assay Inventory'!H12</f>
        <v>26885.40784502351</v>
      </c>
      <c r="I96" s="1170">
        <f ca="1">'Assay Inventory'!I12</f>
        <v>12524.817625479878</v>
      </c>
      <c r="J96" s="1170">
        <f ca="1">'Assay Inventory'!J12</f>
        <v>11182.517606223304</v>
      </c>
      <c r="K96" s="1170">
        <f ca="1">'Assay Inventory'!K12</f>
        <v>8218.2707229657353</v>
      </c>
      <c r="L96" s="1170">
        <f ca="1">'Assay Inventory'!L12</f>
        <v>6475.5173608741952</v>
      </c>
      <c r="M96" s="1170">
        <f ca="1">'Assay Inventory'!M12</f>
        <v>9035.8995417507103</v>
      </c>
      <c r="N96" s="1170">
        <f ca="1">'Assay Inventory'!N12</f>
        <v>28238.054386063879</v>
      </c>
      <c r="O96" s="1170"/>
      <c r="P96" s="1184" t="s">
        <v>225</v>
      </c>
      <c r="Q96" s="1184" t="s">
        <v>522</v>
      </c>
      <c r="R96" s="1170"/>
      <c r="S96" s="1170"/>
      <c r="T96" s="1170"/>
      <c r="U96" s="1170"/>
      <c r="V96" s="1170"/>
      <c r="W96" s="1170"/>
      <c r="X96" s="1170"/>
      <c r="Y96" s="1186" t="str">
        <f>HydroRefineryCalcs!C50</f>
        <v xml:space="preserve">Sulphur </v>
      </c>
      <c r="Z96" s="1170" t="str">
        <f ca="1">HydroRefineryCalcs!D50</f>
        <v>wt%</v>
      </c>
      <c r="AA96" s="1170">
        <f ca="1">HydroRefineryCalcs!J50</f>
        <v>0.21055860465847406</v>
      </c>
      <c r="AB96" s="1170"/>
      <c r="AC96" s="1170" t="s">
        <v>485</v>
      </c>
      <c r="AD96" s="1170"/>
      <c r="AE96" s="1187">
        <f ca="1">(U115+W52)*$AE$98</f>
        <v>0</v>
      </c>
      <c r="AF96" s="1170"/>
      <c r="AG96" s="1170"/>
      <c r="AH96" s="1170"/>
      <c r="AI96" s="1170"/>
      <c r="AJ96" s="1170"/>
      <c r="AK96" s="1170"/>
      <c r="AL96" s="1170"/>
      <c r="AM96" s="1170"/>
      <c r="AN96" s="1170"/>
      <c r="AO96" s="1170"/>
      <c r="AP96" s="1170"/>
      <c r="AQ96" s="1170"/>
      <c r="AR96" s="1170"/>
      <c r="AS96" s="1186" t="str">
        <f>HydroRefineryCalcs!C573</f>
        <v>Mass Flow</v>
      </c>
      <c r="AT96" s="1170" t="str">
        <f>HydroRefineryCalcs!D573</f>
        <v>kg/d</v>
      </c>
      <c r="AU96" s="1170">
        <f ca="1">HydroRefineryCalcs!F573</f>
        <v>1.6094174951277762E-6</v>
      </c>
      <c r="AV96" s="1170"/>
      <c r="AW96" s="1170"/>
      <c r="AX96" s="1170" t="s">
        <v>224</v>
      </c>
      <c r="AY96" s="1170"/>
      <c r="AZ96" s="1170">
        <f ca="1">AE95*$AZ$99</f>
        <v>0</v>
      </c>
      <c r="BA96" s="1170"/>
      <c r="BB96" s="1170"/>
      <c r="BC96" s="1170"/>
      <c r="BD96" s="1170"/>
      <c r="BE96" s="1170"/>
      <c r="BF96" s="1170"/>
      <c r="BG96" s="1170"/>
      <c r="BH96" s="1170"/>
      <c r="BI96" s="1170"/>
      <c r="BJ96" s="1170"/>
      <c r="BK96" s="1170"/>
      <c r="BL96" s="1170"/>
      <c r="BM96" s="1170"/>
      <c r="BN96" s="1170"/>
      <c r="BO96" s="1170"/>
      <c r="BP96" s="1170"/>
      <c r="BQ96" s="1170"/>
      <c r="BR96" s="1170"/>
      <c r="BS96" s="1170"/>
      <c r="BT96" s="1170"/>
      <c r="BU96" s="1170"/>
      <c r="BV96" s="1170"/>
      <c r="BW96" s="1170"/>
      <c r="BX96" s="1170"/>
      <c r="BY96" s="1170"/>
      <c r="BZ96" s="1170"/>
      <c r="CA96" s="1170"/>
      <c r="CB96" s="1170"/>
      <c r="CC96" s="1170"/>
      <c r="CD96" s="1170"/>
      <c r="CE96" s="1170"/>
      <c r="CF96" s="1170"/>
      <c r="CG96" s="1170"/>
      <c r="CH96" s="1170"/>
      <c r="CI96" s="1170"/>
      <c r="CJ96" s="1170"/>
      <c r="CK96" s="1170"/>
      <c r="CL96" s="1170"/>
      <c r="CM96" s="1170"/>
      <c r="CN96" s="1170"/>
      <c r="CO96" s="1170"/>
      <c r="CP96" s="1160"/>
      <c r="CQ96" s="1160"/>
      <c r="CR96" s="1160"/>
      <c r="CS96" s="1170" t="s">
        <v>263</v>
      </c>
      <c r="CT96" s="1160"/>
      <c r="CU96" s="1187">
        <f ca="1">(AE78+BM245+CJ258)*CU102</f>
        <v>111050855.87309842</v>
      </c>
      <c r="CV96" s="1160"/>
      <c r="CW96" s="1160"/>
      <c r="CX96" s="1160"/>
      <c r="CY96" s="1160"/>
      <c r="CZ96" s="1171"/>
      <c r="DA96" s="1160"/>
      <c r="DB96" s="1160"/>
      <c r="DC96" s="1160"/>
      <c r="DD96" s="1160"/>
      <c r="DE96" s="1160"/>
      <c r="DF96" s="1160"/>
      <c r="DG96" s="1160"/>
      <c r="DH96" s="1160"/>
      <c r="DI96" s="1160"/>
      <c r="DJ96" s="1160"/>
      <c r="DK96" s="1160"/>
      <c r="DL96" s="1160" t="s">
        <v>485</v>
      </c>
      <c r="DM96" s="1254">
        <f ca="1">(AE64+BL73)*$DM$98</f>
        <v>0</v>
      </c>
      <c r="DN96" s="1160"/>
      <c r="DO96" s="1160"/>
      <c r="DP96" s="1160"/>
      <c r="DQ96" s="1160"/>
      <c r="DR96" s="1160"/>
      <c r="DS96" s="1160"/>
      <c r="DT96" s="1160"/>
      <c r="DU96" s="1170"/>
      <c r="DV96" s="1170"/>
      <c r="DW96" s="1170"/>
      <c r="DX96" s="1170"/>
      <c r="DY96" s="1160"/>
      <c r="DZ96" s="1160"/>
      <c r="EA96" s="1186" t="s">
        <v>1698</v>
      </c>
      <c r="EB96" s="1199" t="s">
        <v>447</v>
      </c>
      <c r="EC96" s="1199">
        <f>'Energy &amp; Unit Conversions'!$Q$27</f>
        <v>46.898519302437805</v>
      </c>
      <c r="EE96" s="1160" t="s">
        <v>541</v>
      </c>
      <c r="EF96" s="1160"/>
      <c r="EG96" s="1170">
        <f ca="1">IF($EC$147+$EC$164=0,0,(DO46+DM86+DM97+DM108+DM119+DM131+DM142+DM153+DM164+DM63+DM75)*$EG$98)</f>
        <v>0</v>
      </c>
    </row>
    <row r="97" spans="1:137" x14ac:dyDescent="0.2">
      <c r="A97" s="1160"/>
      <c r="B97" s="1160"/>
      <c r="C97" s="1229" t="str">
        <f>'Assay Inventory'!C13</f>
        <v>Vol Flow</v>
      </c>
      <c r="D97" s="1229" t="str">
        <f ca="1">'Assay Inventory'!D13</f>
        <v>m^3/d</v>
      </c>
      <c r="E97" s="1170">
        <f ca="1">'Assay Inventory'!E13</f>
        <v>15769.244976030297</v>
      </c>
      <c r="F97" s="1170">
        <f ca="1">'Assay Inventory'!F13</f>
        <v>1198.699258418045</v>
      </c>
      <c r="G97" s="1170">
        <f ca="1">'Assay Inventory'!G13</f>
        <v>2753.2792359437963</v>
      </c>
      <c r="H97" s="1170">
        <f ca="1">'Assay Inventory'!H13</f>
        <v>4274.7798473587382</v>
      </c>
      <c r="I97" s="1170">
        <f ca="1">'Assay Inventory'!I13</f>
        <v>1991.4460024513007</v>
      </c>
      <c r="J97" s="1170">
        <f ca="1">'Assay Inventory'!J13</f>
        <v>1778.0202993895052</v>
      </c>
      <c r="K97" s="1170">
        <f ca="1">'Assay Inventory'!K13</f>
        <v>1306.7050449515521</v>
      </c>
      <c r="L97" s="1170">
        <f ca="1">'Assay Inventory'!L13</f>
        <v>1029.6072603789971</v>
      </c>
      <c r="M97" s="1170">
        <f ca="1">'Assay Inventory'!M13</f>
        <v>1436.7080271383629</v>
      </c>
      <c r="N97" s="1170">
        <f ca="1">'Assay Inventory'!N13</f>
        <v>4489.8506473841571</v>
      </c>
      <c r="O97" s="1170"/>
      <c r="P97" s="1170" t="s">
        <v>392</v>
      </c>
      <c r="Q97" s="1170">
        <f>'HydroRefinery Detailed Results'!F10</f>
        <v>0</v>
      </c>
      <c r="R97" s="1170"/>
      <c r="S97" s="1170"/>
      <c r="T97" s="1170"/>
      <c r="U97" s="1170"/>
      <c r="V97" s="1170"/>
      <c r="W97" s="1170"/>
      <c r="X97" s="1170"/>
      <c r="Y97" s="1186" t="str">
        <f>HydroRefineryCalcs!C52</f>
        <v xml:space="preserve">API gravity </v>
      </c>
      <c r="Z97" s="1170"/>
      <c r="AA97" s="1170">
        <f ca="1">HydroRefineryCalcs!J52</f>
        <v>24.811073777824959</v>
      </c>
      <c r="AB97" s="1170"/>
      <c r="AC97" s="1170" t="s">
        <v>541</v>
      </c>
      <c r="AD97" s="1170"/>
      <c r="AE97" s="1170">
        <f ca="1">(U116+W53)*$AE$98</f>
        <v>0</v>
      </c>
      <c r="AF97" s="1170"/>
      <c r="AG97" s="1170"/>
      <c r="AH97" s="1170"/>
      <c r="AI97" s="1170"/>
      <c r="AJ97" s="1170"/>
      <c r="AK97" s="1170"/>
      <c r="AL97" s="1170"/>
      <c r="AM97" s="1170"/>
      <c r="AN97" s="1170"/>
      <c r="AO97" s="1170"/>
      <c r="AP97" s="1170"/>
      <c r="AQ97" s="1170"/>
      <c r="AR97" s="1170"/>
      <c r="AS97" s="1186" t="str">
        <f>HydroRefineryCalcs!C574</f>
        <v xml:space="preserve">Sulphur </v>
      </c>
      <c r="AT97" s="1170" t="str">
        <f ca="1">HydroRefineryCalcs!D574</f>
        <v>wt%</v>
      </c>
      <c r="AU97" s="1170">
        <f ca="1">HydroRefineryCalcs!F574</f>
        <v>0.21055860465847406</v>
      </c>
      <c r="AV97" s="1170"/>
      <c r="AW97" s="1170"/>
      <c r="AX97" s="1170" t="s">
        <v>485</v>
      </c>
      <c r="AY97" s="1170"/>
      <c r="AZ97" s="1170">
        <f ca="1">AE96*$AZ$99</f>
        <v>0</v>
      </c>
      <c r="BA97" s="1170"/>
      <c r="BB97" s="1170"/>
      <c r="BC97" s="1170"/>
      <c r="BD97" s="1170"/>
      <c r="BE97" s="1170"/>
      <c r="BF97" s="1170"/>
      <c r="BG97" s="1170"/>
      <c r="BH97" s="1170"/>
      <c r="BI97" s="1170"/>
      <c r="BJ97" s="1170"/>
      <c r="BK97" s="1170"/>
      <c r="BL97" s="1170"/>
      <c r="BM97" s="1170"/>
      <c r="BN97" s="1170"/>
      <c r="BO97" s="1170"/>
      <c r="BP97" s="1180"/>
      <c r="BQ97" s="1180"/>
      <c r="BR97" s="1170"/>
      <c r="BS97" s="1170"/>
      <c r="BT97" s="1170"/>
      <c r="BU97" s="1170"/>
      <c r="BV97" s="1170"/>
      <c r="BW97" s="1170"/>
      <c r="BX97" s="1170"/>
      <c r="BY97" s="1170"/>
      <c r="BZ97" s="1170"/>
      <c r="CA97" s="1170"/>
      <c r="CB97" s="1170"/>
      <c r="CC97" s="1170"/>
      <c r="CD97" s="1170"/>
      <c r="CE97" s="1170"/>
      <c r="CF97" s="1170"/>
      <c r="CG97" s="1170"/>
      <c r="CH97" s="1170"/>
      <c r="CI97" s="1170"/>
      <c r="CJ97" s="1170"/>
      <c r="CK97" s="1170"/>
      <c r="CL97" s="1170"/>
      <c r="CM97" s="1170"/>
      <c r="CN97" s="1170"/>
      <c r="CO97" s="1170"/>
      <c r="CP97" s="1160"/>
      <c r="CQ97" s="1160"/>
      <c r="CR97" s="1160"/>
      <c r="CS97" s="1170" t="s">
        <v>392</v>
      </c>
      <c r="CT97" s="1160"/>
      <c r="CU97" s="1187">
        <f ca="1">(CO87+BM246+AE79+CJ259)*$CU$102</f>
        <v>144280.28818769436</v>
      </c>
      <c r="CV97" s="1160"/>
      <c r="CW97" s="1160"/>
      <c r="CX97" s="1160"/>
      <c r="CY97" s="1160"/>
      <c r="CZ97" s="1171"/>
      <c r="DA97" s="1160"/>
      <c r="DB97" s="1160"/>
      <c r="DC97" s="1160"/>
      <c r="DD97" s="1160"/>
      <c r="DE97" s="1160"/>
      <c r="DF97" s="1160"/>
      <c r="DG97" s="1160"/>
      <c r="DH97" s="1160"/>
      <c r="DI97" s="1160"/>
      <c r="DJ97" s="1160"/>
      <c r="DK97" s="1160"/>
      <c r="DL97" s="1160" t="s">
        <v>541</v>
      </c>
      <c r="DM97" s="1254">
        <f ca="1">(AE65+BL74)*$DM$98</f>
        <v>0</v>
      </c>
      <c r="DN97" s="1160"/>
      <c r="DO97" s="1160"/>
      <c r="DP97" s="1160"/>
      <c r="DQ97" s="1160"/>
      <c r="DR97" s="1160"/>
      <c r="DS97" s="1160"/>
      <c r="DT97" s="1160"/>
      <c r="DU97" s="1170"/>
      <c r="DV97" s="1170"/>
      <c r="DW97" s="1170"/>
      <c r="DX97" s="1170"/>
      <c r="DY97" s="1160"/>
      <c r="DZ97" s="1160"/>
      <c r="EA97" s="1200" t="s">
        <v>1021</v>
      </c>
      <c r="EB97" s="1199" t="s">
        <v>1022</v>
      </c>
      <c r="EC97" s="1199">
        <f>$AC$14</f>
        <v>0</v>
      </c>
      <c r="EE97" s="1160" t="s">
        <v>234</v>
      </c>
      <c r="EF97" s="1160"/>
      <c r="EG97" s="1170">
        <f ca="1">IF($EC$147+$EC$164=0,0,(DM120+DM165)*$EG$98)</f>
        <v>0</v>
      </c>
    </row>
    <row r="98" spans="1:137" x14ac:dyDescent="0.2">
      <c r="A98" s="1160"/>
      <c r="B98" s="1160"/>
      <c r="C98" s="1229" t="str">
        <f>'Assay Inventory'!C14</f>
        <v>Mass Flow</v>
      </c>
      <c r="D98" s="1229" t="str">
        <f>'Assay Inventory'!D14</f>
        <v>kg/d</v>
      </c>
      <c r="E98" s="1170">
        <f ca="1">'Assay Inventory'!E14</f>
        <v>13687328.970000003</v>
      </c>
      <c r="F98" s="1170">
        <f ca="1">'Assay Inventory'!F14</f>
        <v>854451.48145949247</v>
      </c>
      <c r="G98" s="1170">
        <f ca="1">'Assay Inventory'!G14</f>
        <v>2157056.7659129584</v>
      </c>
      <c r="H98" s="1170">
        <f ca="1">'Assay Inventory'!H14</f>
        <v>3607246.9722799896</v>
      </c>
      <c r="I98" s="1170">
        <f ca="1">'Assay Inventory'!I14</f>
        <v>1757731.9563253336</v>
      </c>
      <c r="J98" s="1170">
        <f ca="1">'Assay Inventory'!J14</f>
        <v>1609417.4951285068</v>
      </c>
      <c r="K98" s="1170">
        <f ca="1">'Assay Inventory'!K14</f>
        <v>1209891.7354650162</v>
      </c>
      <c r="L98" s="1170">
        <f ca="1">'Assay Inventory'!L14</f>
        <v>975521.165617669</v>
      </c>
      <c r="M98" s="1170">
        <f ca="1">'Assay Inventory'!M14</f>
        <v>1516011.3978110366</v>
      </c>
      <c r="N98" s="1170">
        <f ca="1">'Assay Inventory'!N14</f>
        <v>3701424.2988937218</v>
      </c>
      <c r="O98" s="1170"/>
      <c r="P98" s="1170" t="s">
        <v>224</v>
      </c>
      <c r="Q98" s="1170">
        <f ca="1">'HydroRefinery Detailed Results'!H10</f>
        <v>4212432.3875972163</v>
      </c>
      <c r="R98" s="1170"/>
      <c r="S98" s="1179" t="str">
        <f>HydroRefineryCalcs!F24</f>
        <v>Product</v>
      </c>
      <c r="T98" s="1170"/>
      <c r="U98" s="1170"/>
      <c r="V98" s="1170"/>
      <c r="W98" s="1170"/>
      <c r="X98" s="1170"/>
      <c r="Y98" s="1186" t="str">
        <f>HydroRefineryCalcs!C53</f>
        <v>Density</v>
      </c>
      <c r="Z98" s="1170" t="str">
        <f ca="1">HydroRefineryCalcs!D53</f>
        <v>kg/m^3</v>
      </c>
      <c r="AA98" s="1187">
        <f ca="1">HydroRefineryCalcs!J53</f>
        <v>905.24616445999914</v>
      </c>
      <c r="AB98" s="1170"/>
      <c r="AC98" s="1180" t="s">
        <v>1065</v>
      </c>
      <c r="AD98" s="1170"/>
      <c r="AE98" s="1170">
        <f ca="1">IF(HydroRefineryConfig=0,IF(E23=TRUE,IF(E24=TRUE,AA103/(AA54+AA71+AA88+AA103+AN300),AA103/(AA54+AA71+AA88+AA103)),0),AA103/(AA54+AA71+AA88+AA103+W141))</f>
        <v>0</v>
      </c>
      <c r="AF98" s="1170"/>
      <c r="AG98" s="1170"/>
      <c r="AH98" s="1170"/>
      <c r="AI98" s="1170"/>
      <c r="AJ98" s="1170"/>
      <c r="AK98" s="1170"/>
      <c r="AL98" s="1170"/>
      <c r="AM98" s="1170"/>
      <c r="AN98" s="1170"/>
      <c r="AO98" s="1170"/>
      <c r="AP98" s="1170"/>
      <c r="AQ98" s="1170"/>
      <c r="AR98" s="1170"/>
      <c r="AS98" s="1186" t="str">
        <f>HydroRefineryCalcs!C576</f>
        <v xml:space="preserve">API gravity </v>
      </c>
      <c r="AT98" s="1170"/>
      <c r="AU98" s="1170">
        <f ca="1">HydroRefineryCalcs!F576</f>
        <v>24.811073777824959</v>
      </c>
      <c r="AV98" s="1170"/>
      <c r="AW98" s="1170"/>
      <c r="AX98" s="1170" t="s">
        <v>541</v>
      </c>
      <c r="AY98" s="1170"/>
      <c r="AZ98" s="1170">
        <f ca="1">AE97*$AZ$99</f>
        <v>0</v>
      </c>
      <c r="BA98" s="1170"/>
      <c r="BB98" s="1170"/>
      <c r="BC98" s="1170"/>
      <c r="BD98" s="1170"/>
      <c r="BE98" s="1170"/>
      <c r="BF98" s="1170"/>
      <c r="BG98" s="1170"/>
      <c r="BH98" s="1170"/>
      <c r="BI98" s="1170"/>
      <c r="BJ98" s="1170"/>
      <c r="BK98" s="1170"/>
      <c r="BL98" s="1170"/>
      <c r="BM98" s="1170"/>
      <c r="BN98" s="1170"/>
      <c r="BO98" s="1170"/>
      <c r="BP98" s="1239"/>
      <c r="BQ98" s="1239"/>
      <c r="BR98" s="1170"/>
      <c r="BS98" s="1170"/>
      <c r="BT98" s="1170"/>
      <c r="BU98" s="1170"/>
      <c r="BV98" s="1170"/>
      <c r="BW98" s="1170"/>
      <c r="BX98" s="1170"/>
      <c r="BY98" s="1170"/>
      <c r="BZ98" s="1170"/>
      <c r="CA98" s="1170"/>
      <c r="CB98" s="1170"/>
      <c r="CC98" s="1170"/>
      <c r="CD98" s="1170"/>
      <c r="CE98" s="1170"/>
      <c r="CF98" s="1170"/>
      <c r="CG98" s="1170"/>
      <c r="CH98" s="1170"/>
      <c r="CI98" s="1170"/>
      <c r="CJ98" s="1170"/>
      <c r="CK98" s="1170"/>
      <c r="CL98" s="1170"/>
      <c r="CM98" s="1170"/>
      <c r="CN98" s="1170"/>
      <c r="CO98" s="1170"/>
      <c r="CP98" s="1160"/>
      <c r="CQ98" s="1160"/>
      <c r="CR98" s="1160"/>
      <c r="CS98" s="1170" t="s">
        <v>224</v>
      </c>
      <c r="CT98" s="1160"/>
      <c r="CU98" s="1187">
        <f ca="1">(CO88+BM247+AE80+CJ260)*$CU$102</f>
        <v>2837571.2917124103</v>
      </c>
      <c r="CV98" s="1160"/>
      <c r="CW98" s="1160"/>
      <c r="CX98" s="1160"/>
      <c r="CY98" s="1160"/>
      <c r="CZ98" s="1171"/>
      <c r="DA98" s="1160"/>
      <c r="DB98" s="1160"/>
      <c r="DC98" s="1160"/>
      <c r="DD98" s="1160"/>
      <c r="DE98" s="1160"/>
      <c r="DF98" s="1160"/>
      <c r="DG98" s="1160"/>
      <c r="DH98" s="1160"/>
      <c r="DI98" s="1160"/>
      <c r="DJ98" s="1160"/>
      <c r="DK98" s="1160"/>
      <c r="DL98" s="1191" t="s">
        <v>1066</v>
      </c>
      <c r="DM98" s="1245">
        <f ca="1">IF('HydroRefineryPFD '!E27=TRUE,DM99,0)</f>
        <v>0</v>
      </c>
      <c r="DN98" s="1160"/>
      <c r="DO98" s="1160"/>
      <c r="DP98" s="1160"/>
      <c r="DQ98" s="1160"/>
      <c r="DR98" s="1160"/>
      <c r="DS98" s="1160"/>
      <c r="DT98" s="1160"/>
      <c r="DU98" s="1170"/>
      <c r="DV98" s="1170"/>
      <c r="DW98" s="1170"/>
      <c r="DX98" s="1170"/>
      <c r="DY98" s="1160"/>
      <c r="DZ98" s="1160"/>
      <c r="EA98" s="1204" t="s">
        <v>1054</v>
      </c>
      <c r="EB98" s="1285" t="str">
        <f>IF(allocationMethod=1,CokingRefineryPFD!$C$21,IF(CokingRefineryPFD!$E$20,CokingRefineryPFD!$C$22,IF(CokingRefineryPFD!$E$20,CokingRefineryPFD!$C$23,CokingRefineryPFD!$C$24)))</f>
        <v>Energy Basis</v>
      </c>
      <c r="EC98" s="1204">
        <f>IF(allocationMethod=1,EC95,1)</f>
        <v>1</v>
      </c>
      <c r="EE98" s="2073" t="s">
        <v>1065</v>
      </c>
      <c r="EF98" s="1160"/>
      <c r="EG98" s="1170">
        <f ca="1">HydroRefineryCalcs!Q1501</f>
        <v>1</v>
      </c>
    </row>
    <row r="99" spans="1:137" x14ac:dyDescent="0.2">
      <c r="A99" s="1160"/>
      <c r="B99" s="1160"/>
      <c r="C99" s="1229" t="str">
        <f>'Assay Inventory'!C15</f>
        <v xml:space="preserve">Sulphur </v>
      </c>
      <c r="D99" s="1229" t="str">
        <f ca="1">'Assay Inventory'!D15</f>
        <v>wt%</v>
      </c>
      <c r="E99" s="1170">
        <f ca="1">'Assay Inventory'!E15</f>
        <v>0.16980000000000001</v>
      </c>
      <c r="F99" s="1170">
        <f ca="1">'Assay Inventory'!F15</f>
        <v>0</v>
      </c>
      <c r="G99" s="1170">
        <f ca="1">'Assay Inventory'!G15</f>
        <v>0</v>
      </c>
      <c r="H99" s="1170">
        <f ca="1">'Assay Inventory'!H15</f>
        <v>6.487028883905413E-2</v>
      </c>
      <c r="I99" s="1170">
        <f ca="1">'Assay Inventory'!I15</f>
        <v>0.1510983114584932</v>
      </c>
      <c r="J99" s="1170">
        <f ca="1">'Assay Inventory'!J15</f>
        <v>0.21055860465850654</v>
      </c>
      <c r="K99" s="1170">
        <f ca="1">'Assay Inventory'!K15</f>
        <v>0.27398518285937168</v>
      </c>
      <c r="L99" s="1170">
        <f ca="1">'Assay Inventory'!L15</f>
        <v>0.34883282222603118</v>
      </c>
      <c r="M99" s="1170">
        <f ca="1">'Assay Inventory'!M15</f>
        <v>0.53683769453568042</v>
      </c>
      <c r="N99" s="1170">
        <f ca="1">'Assay Inventory'!N15</f>
        <v>0.40136935229494802</v>
      </c>
      <c r="O99" s="1170"/>
      <c r="P99" s="1170" t="s">
        <v>485</v>
      </c>
      <c r="Q99" s="1170">
        <f>'HydroRefinery Detailed Results'!J10</f>
        <v>0</v>
      </c>
      <c r="R99" s="1170"/>
      <c r="S99" s="1182" t="str">
        <f>HydroRefineryCalcs!C24</f>
        <v>Property</v>
      </c>
      <c r="T99" s="1182" t="str">
        <f>HydroRefineryCalcs!D24</f>
        <v>Units</v>
      </c>
      <c r="U99" s="1170"/>
      <c r="V99" s="1170"/>
      <c r="W99" s="1170"/>
      <c r="X99" s="1170"/>
      <c r="Y99" s="1186" t="str">
        <f>HydroRefineryCalcs!C54</f>
        <v>Hydrogen</v>
      </c>
      <c r="Z99" s="1170" t="str">
        <f ca="1">HydroRefineryCalcs!D54</f>
        <v>wt%</v>
      </c>
      <c r="AA99" s="1170">
        <f ca="1">HydroRefineryCalcs!J54</f>
        <v>12.331915988948833</v>
      </c>
      <c r="AB99" s="1170"/>
      <c r="AC99" s="1197" t="s">
        <v>228</v>
      </c>
      <c r="AD99" s="1170"/>
      <c r="AE99" s="1217">
        <f ca="1">IF(HydroRefineryConfig=0,IF(E23=TRUE,IF(E24=TRUE,AA95/U102,AA95/(U102-AN292)),0),AA95/U102)</f>
        <v>0</v>
      </c>
      <c r="AF99" s="1170"/>
      <c r="AG99" s="1170"/>
      <c r="AH99" s="1170"/>
      <c r="AI99" s="1170"/>
      <c r="AJ99" s="1170"/>
      <c r="AK99" s="1170"/>
      <c r="AL99" s="1170"/>
      <c r="AM99" s="1170"/>
      <c r="AN99" s="1170"/>
      <c r="AO99" s="1170"/>
      <c r="AP99" s="1170"/>
      <c r="AQ99" s="1170"/>
      <c r="AR99" s="1170"/>
      <c r="AS99" s="1186" t="str">
        <f>HydroRefineryCalcs!C577</f>
        <v>Density</v>
      </c>
      <c r="AT99" s="1170" t="str">
        <f ca="1">HydroRefineryCalcs!D577</f>
        <v>kg/m^3</v>
      </c>
      <c r="AU99" s="1170">
        <f ca="1">HydroRefineryCalcs!F577</f>
        <v>905.24616445999914</v>
      </c>
      <c r="AV99" s="1170"/>
      <c r="AW99" s="1170"/>
      <c r="AX99" s="1180" t="s">
        <v>1065</v>
      </c>
      <c r="AY99" s="1170"/>
      <c r="AZ99" s="1170">
        <f ca="1">($AU$104/$AA$103)</f>
        <v>9.9999999999999998E-13</v>
      </c>
      <c r="BA99" s="1170"/>
      <c r="BB99" s="1170"/>
      <c r="BC99" s="1170"/>
      <c r="BD99" s="1170"/>
      <c r="BE99" s="1170"/>
      <c r="BF99" s="1170"/>
      <c r="BG99" s="1170"/>
      <c r="BH99" s="1170"/>
      <c r="BI99" s="1170"/>
      <c r="BJ99" s="1170"/>
      <c r="BK99" s="1170"/>
      <c r="BL99" s="1170"/>
      <c r="BM99" s="1170"/>
      <c r="BN99" s="1170"/>
      <c r="BO99" s="1170"/>
      <c r="BP99" s="1170"/>
      <c r="BQ99" s="1170"/>
      <c r="BR99" s="1170"/>
      <c r="BS99" s="1170"/>
      <c r="BT99" s="1170"/>
      <c r="BU99" s="1170"/>
      <c r="BV99" s="1170"/>
      <c r="BW99" s="1170"/>
      <c r="BX99" s="1170"/>
      <c r="BY99" s="1170"/>
      <c r="BZ99" s="1170"/>
      <c r="CA99" s="1170"/>
      <c r="CB99" s="1170"/>
      <c r="CC99" s="1170"/>
      <c r="CD99" s="1170"/>
      <c r="CE99" s="1170"/>
      <c r="CF99" s="1170"/>
      <c r="CG99" s="1170"/>
      <c r="CH99" s="1170"/>
      <c r="CI99" s="1170"/>
      <c r="CJ99" s="1170"/>
      <c r="CK99" s="1170"/>
      <c r="CL99" s="1170"/>
      <c r="CM99" s="1170"/>
      <c r="CN99" s="1170"/>
      <c r="CO99" s="1170"/>
      <c r="CP99" s="1160"/>
      <c r="CQ99" s="1160"/>
      <c r="CR99" s="1160"/>
      <c r="CS99" s="1170" t="s">
        <v>485</v>
      </c>
      <c r="CT99" s="1160"/>
      <c r="CU99" s="1187">
        <f ca="1">(CO89+BM248+AE81+CJ261)*$CU$102</f>
        <v>288857.97987993807</v>
      </c>
      <c r="CV99" s="1160"/>
      <c r="CW99" s="1160"/>
      <c r="CX99" s="1160"/>
      <c r="CY99" s="1160"/>
      <c r="CZ99" s="1171"/>
      <c r="DA99" s="1160"/>
      <c r="DB99" s="1160"/>
      <c r="DC99" s="1160"/>
      <c r="DD99" s="1160"/>
      <c r="DE99" s="1160"/>
      <c r="DF99" s="1160"/>
      <c r="DG99" s="1160"/>
      <c r="DH99" s="1160"/>
      <c r="DI99" s="1160"/>
      <c r="DJ99" s="1160"/>
      <c r="DK99" s="1160"/>
      <c r="DL99" s="1191" t="s">
        <v>1065</v>
      </c>
      <c r="DM99" s="1245">
        <f ca="1">BG69/(BP74+BG69)</f>
        <v>0</v>
      </c>
      <c r="DN99" s="1160"/>
      <c r="DO99" s="1160"/>
      <c r="DP99" s="1160"/>
      <c r="DQ99" s="1160"/>
      <c r="DR99" s="1160"/>
      <c r="DS99" s="1160"/>
      <c r="DT99" s="1160"/>
      <c r="DU99" s="1160"/>
      <c r="DV99" s="1160"/>
      <c r="DW99" s="1160"/>
      <c r="DX99" s="1160"/>
      <c r="DY99" s="1160"/>
      <c r="DZ99" s="1160"/>
      <c r="EA99" s="1160"/>
      <c r="EB99" s="1160"/>
      <c r="EC99" s="1160"/>
    </row>
    <row r="100" spans="1:137" x14ac:dyDescent="0.2">
      <c r="A100" s="1160"/>
      <c r="B100" s="1160"/>
      <c r="C100" s="1229" t="str">
        <f>'Assay Inventory'!C16</f>
        <v xml:space="preserve">Nitrogen </v>
      </c>
      <c r="D100" s="1229" t="str">
        <f ca="1">'Assay Inventory'!D16</f>
        <v>mass ppm</v>
      </c>
      <c r="E100" s="1170">
        <f ca="1">'Assay Inventory'!E16</f>
        <v>1040</v>
      </c>
      <c r="F100" s="1170">
        <f ca="1">'Assay Inventory'!F16</f>
        <v>0</v>
      </c>
      <c r="G100" s="1170">
        <f ca="1">'Assay Inventory'!G16</f>
        <v>0</v>
      </c>
      <c r="H100" s="1170">
        <f ca="1">'Assay Inventory'!H16</f>
        <v>0</v>
      </c>
      <c r="I100" s="1170">
        <f ca="1">'Assay Inventory'!I16</f>
        <v>147.76502983461546</v>
      </c>
      <c r="J100" s="1170">
        <f ca="1">'Assay Inventory'!J16</f>
        <v>573.33295706164199</v>
      </c>
      <c r="K100" s="1170">
        <f ca="1">'Assay Inventory'!K16</f>
        <v>1315.9260423987175</v>
      </c>
      <c r="L100" s="1170">
        <f ca="1">'Assay Inventory'!L16</f>
        <v>2546.2715056129705</v>
      </c>
      <c r="M100" s="1170">
        <f ca="1">'Assay Inventory'!M16</f>
        <v>5170.9765737434327</v>
      </c>
      <c r="N100" s="1170">
        <f ca="1">'Assay Inventory'!N16</f>
        <v>3219.1200607523342</v>
      </c>
      <c r="O100" s="1170"/>
      <c r="P100" s="1170" t="s">
        <v>541</v>
      </c>
      <c r="Q100" s="1170">
        <f>'HydroRefinery Detailed Results'!L10</f>
        <v>0</v>
      </c>
      <c r="R100" s="1170"/>
      <c r="S100" s="1186" t="str">
        <f>HydroRefineryCalcs!C25</f>
        <v>Vol Flow</v>
      </c>
      <c r="T100" s="1170" t="str">
        <f ca="1">HydroRefineryCalcs!D25</f>
        <v>bpd</v>
      </c>
      <c r="U100" s="1187">
        <f ca="1">HydroRefineryCalcs!F25</f>
        <v>99177.64135868111</v>
      </c>
      <c r="V100" s="1170"/>
      <c r="W100" s="1170"/>
      <c r="X100" s="1170"/>
      <c r="Y100" s="1186" t="str">
        <f>HydroRefineryCalcs!C55</f>
        <v>MCR</v>
      </c>
      <c r="Z100" s="1170" t="str">
        <f ca="1">HydroRefineryCalcs!D55</f>
        <v>wt%</v>
      </c>
      <c r="AA100" s="1170">
        <f>HydroRefineryCalcs!J55</f>
        <v>0</v>
      </c>
      <c r="AB100" s="1170"/>
      <c r="AC100" s="1170"/>
      <c r="AD100" s="1170"/>
      <c r="AE100" s="1170"/>
      <c r="AF100" s="1170"/>
      <c r="AG100" s="1170"/>
      <c r="AH100" s="1170"/>
      <c r="AI100" s="1170"/>
      <c r="AJ100" s="1170"/>
      <c r="AK100" s="1170"/>
      <c r="AL100" s="1170"/>
      <c r="AM100" s="1170"/>
      <c r="AN100" s="1170"/>
      <c r="AO100" s="1170"/>
      <c r="AP100" s="1170"/>
      <c r="AQ100" s="1170"/>
      <c r="AR100" s="1170"/>
      <c r="AS100" s="1186" t="str">
        <f>HydroRefineryCalcs!C578</f>
        <v>Hydrogen</v>
      </c>
      <c r="AT100" s="1170" t="str">
        <f ca="1">HydroRefineryCalcs!D578</f>
        <v>wt%</v>
      </c>
      <c r="AU100" s="1170">
        <f ca="1">HydroRefineryCalcs!F578</f>
        <v>12.331915988948833</v>
      </c>
      <c r="AV100" s="1170"/>
      <c r="AW100" s="1170"/>
      <c r="AX100" s="1170"/>
      <c r="AY100" s="1170"/>
      <c r="AZ100" s="1170"/>
      <c r="BA100" s="1170"/>
      <c r="BB100" s="1170"/>
      <c r="BC100" s="1170"/>
      <c r="BD100" s="1170"/>
      <c r="BE100" s="1170"/>
      <c r="BF100" s="1170"/>
      <c r="BG100" s="1170"/>
      <c r="BH100" s="1170"/>
      <c r="BI100" s="1170"/>
      <c r="BJ100" s="1170"/>
      <c r="BK100" s="1170"/>
      <c r="BL100" s="1170"/>
      <c r="BM100" s="1170"/>
      <c r="BN100" s="1170"/>
      <c r="BO100" s="1170"/>
      <c r="BP100" s="1170"/>
      <c r="BQ100" s="1170"/>
      <c r="BR100" s="1170"/>
      <c r="BS100" s="1170"/>
      <c r="BT100" s="1170"/>
      <c r="BU100" s="1170"/>
      <c r="BV100" s="1170"/>
      <c r="BW100" s="1170"/>
      <c r="BX100" s="1170"/>
      <c r="BY100" s="1170"/>
      <c r="BZ100" s="1170"/>
      <c r="CA100" s="1170"/>
      <c r="CB100" s="1170"/>
      <c r="CC100" s="1170"/>
      <c r="CD100" s="1181" t="str">
        <f>HydroRefineryCalcs!F444</f>
        <v xml:space="preserve">HC Gasoline </v>
      </c>
      <c r="CE100" s="1170"/>
      <c r="CF100" s="1170"/>
      <c r="CG100" s="1170"/>
      <c r="CH100" s="1180" t="str">
        <f>CD100</f>
        <v xml:space="preserve">HC Gasoline </v>
      </c>
      <c r="CI100" s="1170"/>
      <c r="CJ100" s="1170"/>
      <c r="CK100" s="1170"/>
      <c r="CL100" s="1170"/>
      <c r="CM100" s="1170"/>
      <c r="CN100" s="1170"/>
      <c r="CO100" s="1170"/>
      <c r="CP100" s="1170"/>
      <c r="CQ100" s="1170"/>
      <c r="CR100" s="1170"/>
      <c r="CS100" s="1170" t="s">
        <v>541</v>
      </c>
      <c r="CT100" s="1160"/>
      <c r="CU100" s="1187">
        <f ca="1">(CO90+BM249+AE82+CJ262)*$CU$102</f>
        <v>1083713.5706350929</v>
      </c>
      <c r="CV100" s="1160"/>
      <c r="CW100" s="1160"/>
      <c r="CX100" s="1160"/>
      <c r="CY100" s="1160"/>
      <c r="CZ100" s="1171"/>
      <c r="DA100" s="1160"/>
      <c r="DB100" s="1160"/>
      <c r="DC100" s="1160"/>
      <c r="DD100" s="1160"/>
      <c r="DE100" s="1160"/>
      <c r="DF100" s="1160"/>
      <c r="DG100" s="1160"/>
      <c r="DH100" s="1160"/>
      <c r="DI100" s="1160"/>
      <c r="DJ100" s="1160"/>
      <c r="DK100" s="1160"/>
      <c r="DL100" s="1208" t="s">
        <v>228</v>
      </c>
      <c r="DM100" s="1245">
        <f ca="1">BG61/AA63</f>
        <v>2.6881843189149675E-3</v>
      </c>
      <c r="DN100" s="1160"/>
      <c r="DO100" s="1160"/>
      <c r="DP100" s="1160"/>
      <c r="DQ100" s="1160"/>
      <c r="DR100" s="1160"/>
      <c r="DS100" s="1160"/>
      <c r="DT100" s="1160"/>
      <c r="DU100" s="1160"/>
      <c r="DV100" s="1160"/>
      <c r="DW100" s="1160"/>
      <c r="DX100" s="1160"/>
      <c r="DY100" s="1160"/>
      <c r="DZ100" s="1160"/>
      <c r="EA100" s="1191" t="str">
        <f>EA92</f>
        <v>Clean Fuel Gas</v>
      </c>
      <c r="EB100" s="1160"/>
      <c r="EC100" s="1160"/>
      <c r="EE100" s="1195" t="s">
        <v>1486</v>
      </c>
      <c r="EF100" s="1160"/>
      <c r="EG100" s="1160"/>
    </row>
    <row r="101" spans="1:137" x14ac:dyDescent="0.2">
      <c r="A101" s="1160"/>
      <c r="B101" s="1160"/>
      <c r="C101" s="1229" t="str">
        <f>'Assay Inventory'!C17</f>
        <v xml:space="preserve">API gravity </v>
      </c>
      <c r="D101" s="1229"/>
      <c r="E101" s="1170">
        <f ca="1">'Assay Inventory'!E17</f>
        <v>32.710282000696282</v>
      </c>
      <c r="F101" s="1170">
        <f ca="1">'Assay Inventory'!F17</f>
        <v>66.810065343505755</v>
      </c>
      <c r="G101" s="1170">
        <f ca="1">'Assay Inventory'!G17</f>
        <v>48.930774481465882</v>
      </c>
      <c r="H101" s="1170">
        <f ca="1">'Assay Inventory'!H17</f>
        <v>36.017353731652683</v>
      </c>
      <c r="I101" s="1170">
        <f ca="1">'Assay Inventory'!I17</f>
        <v>28.65400910502008</v>
      </c>
      <c r="J101" s="1170">
        <f ca="1">'Assay Inventory'!J17</f>
        <v>24.667236439282533</v>
      </c>
      <c r="K101" s="1170">
        <f ca="1">'Assay Inventory'!K17</f>
        <v>21.169746955325756</v>
      </c>
      <c r="L101" s="1170">
        <f ca="1">'Assay Inventory'!L17</f>
        <v>17.695879132085047</v>
      </c>
      <c r="M101" s="1170">
        <f ca="1">'Assay Inventory'!M17</f>
        <v>2.4639609223786181</v>
      </c>
      <c r="N101" s="1170">
        <f ca="1">'Assay Inventory'!N17</f>
        <v>39.968737839092263</v>
      </c>
      <c r="O101" s="1170"/>
      <c r="P101" s="1170"/>
      <c r="Q101" s="1170"/>
      <c r="R101" s="1170"/>
      <c r="S101" s="1186" t="str">
        <f>HydroRefineryCalcs!C26</f>
        <v>Vol Flow</v>
      </c>
      <c r="T101" s="1170" t="str">
        <f ca="1">HydroRefineryCalcs!D26</f>
        <v>m^3/d</v>
      </c>
      <c r="U101" s="1187">
        <f ca="1">HydroRefineryCalcs!F26</f>
        <v>15769.244976030297</v>
      </c>
      <c r="V101" s="1170"/>
      <c r="W101" s="1170"/>
      <c r="X101" s="1170"/>
      <c r="Y101" s="1200" t="s">
        <v>1056</v>
      </c>
      <c r="Z101" s="1199" t="s">
        <v>447</v>
      </c>
      <c r="AA101" s="1199">
        <f ca="1">('Energy &amp; Unit Conversions'!$D$63-('Energy &amp; Unit Conversions'!$E$63*POWER((AA98/'Energy &amp; Unit Conversions'!$E$54),2)))</f>
        <v>40.189871247727446</v>
      </c>
      <c r="AB101" s="1170"/>
      <c r="AC101" s="1170"/>
      <c r="AD101" s="1170"/>
      <c r="AE101" s="1170"/>
      <c r="AF101" s="1170"/>
      <c r="AG101" s="1170"/>
      <c r="AH101" s="1170"/>
      <c r="AI101" s="1170"/>
      <c r="AJ101" s="1170"/>
      <c r="AK101" s="1170"/>
      <c r="AL101" s="1170"/>
      <c r="AM101" s="1170"/>
      <c r="AN101" s="1170"/>
      <c r="AO101" s="1170"/>
      <c r="AP101" s="1170"/>
      <c r="AQ101" s="1170"/>
      <c r="AR101" s="1170"/>
      <c r="AS101" s="1186" t="str">
        <f>HydroRefineryCalcs!C579</f>
        <v>MCR</v>
      </c>
      <c r="AT101" s="1170" t="str">
        <f ca="1">HydroRefineryCalcs!D579</f>
        <v>wt%</v>
      </c>
      <c r="AU101" s="1170">
        <f>HydroRefineryCalcs!F579</f>
        <v>0</v>
      </c>
      <c r="AV101" s="1170"/>
      <c r="AW101" s="1170"/>
      <c r="AX101" s="1170"/>
      <c r="AY101" s="1170"/>
      <c r="AZ101" s="1170"/>
      <c r="BA101" s="1170"/>
      <c r="BB101" s="1170"/>
      <c r="BC101" s="1170"/>
      <c r="BD101" s="1170"/>
      <c r="BE101" s="1170"/>
      <c r="BF101" s="1170"/>
      <c r="BG101" s="1170"/>
      <c r="BH101" s="1170"/>
      <c r="BI101" s="1170"/>
      <c r="BJ101" s="1170"/>
      <c r="BK101" s="1170"/>
      <c r="BL101" s="1170"/>
      <c r="BM101" s="1170"/>
      <c r="BN101" s="1170"/>
      <c r="BO101" s="1170"/>
      <c r="BP101" s="1170"/>
      <c r="BQ101" s="1170"/>
      <c r="BR101" s="1170"/>
      <c r="BS101" s="1170"/>
      <c r="BT101" s="1170"/>
      <c r="BU101" s="1170"/>
      <c r="BV101" s="1170"/>
      <c r="BW101" s="1170"/>
      <c r="BX101" s="1170"/>
      <c r="BY101" s="1170"/>
      <c r="BZ101" s="1170"/>
      <c r="CA101" s="1170"/>
      <c r="CB101" s="1170"/>
      <c r="CC101" s="1170"/>
      <c r="CD101" s="1182" t="str">
        <f>HydroRefineryCalcs!C444</f>
        <v>Property</v>
      </c>
      <c r="CE101" s="1182" t="str">
        <f>HydroRefineryCalcs!D444</f>
        <v>Units</v>
      </c>
      <c r="CF101" s="1170"/>
      <c r="CG101" s="1170"/>
      <c r="CH101" s="1183" t="s">
        <v>226</v>
      </c>
      <c r="CI101" s="1184" t="s">
        <v>522</v>
      </c>
      <c r="CJ101" s="1170"/>
      <c r="CK101" s="1170"/>
      <c r="CL101" s="1170"/>
      <c r="CM101" s="1170"/>
      <c r="CN101" s="1170"/>
      <c r="CO101" s="1170"/>
      <c r="CP101" s="1170"/>
      <c r="CQ101" s="1170"/>
      <c r="CR101" s="1170"/>
      <c r="CS101" s="1170" t="str">
        <f>CH263</f>
        <v>Catalyst Coke</v>
      </c>
      <c r="CT101" s="1160"/>
      <c r="CU101" s="1187">
        <f ca="1">(CJ263)*$CU$102</f>
        <v>6.8785815630632664E-15</v>
      </c>
      <c r="CV101" s="1160"/>
      <c r="CW101" s="1160"/>
      <c r="CX101" s="1160"/>
      <c r="CY101" s="1160"/>
      <c r="CZ101" s="1171"/>
      <c r="DA101" s="1160"/>
      <c r="DB101" s="1160"/>
      <c r="DC101" s="1160"/>
      <c r="DD101" s="1160"/>
      <c r="DE101" s="1160"/>
      <c r="DF101" s="1160"/>
      <c r="DG101" s="1160"/>
      <c r="DH101" s="1160"/>
      <c r="DI101" s="1160"/>
      <c r="DJ101" s="1160"/>
      <c r="DK101" s="1160"/>
      <c r="DL101" s="1160"/>
      <c r="DM101" s="1160"/>
      <c r="DN101" s="1160"/>
      <c r="DO101" s="1160"/>
      <c r="DP101" s="1160"/>
      <c r="DQ101" s="1160"/>
      <c r="DR101" s="1160"/>
      <c r="DS101" s="1160"/>
      <c r="DT101" s="1160"/>
      <c r="DU101" s="1160"/>
      <c r="DV101" s="1160"/>
      <c r="DW101" s="1160"/>
      <c r="DX101" s="1160"/>
      <c r="DY101" s="1160"/>
      <c r="DZ101" s="1160"/>
      <c r="EA101" s="1193" t="s">
        <v>226</v>
      </c>
      <c r="EB101" s="1160"/>
      <c r="EC101" s="1194" t="s">
        <v>522</v>
      </c>
      <c r="EE101" s="1186" t="s">
        <v>582</v>
      </c>
      <c r="EF101" s="1160" t="s">
        <v>566</v>
      </c>
      <c r="EG101" s="1187"/>
    </row>
    <row r="102" spans="1:137" x14ac:dyDescent="0.2">
      <c r="A102" s="1160"/>
      <c r="B102" s="1160"/>
      <c r="C102" s="1229" t="str">
        <f>'Assay Inventory'!C18</f>
        <v>Density</v>
      </c>
      <c r="D102" s="1229" t="str">
        <f ca="1">'Assay Inventory'!D18</f>
        <v>kg/m^3</v>
      </c>
      <c r="E102" s="1170">
        <f ca="1">'Assay Inventory'!E18</f>
        <v>860.83830000000012</v>
      </c>
      <c r="F102" s="1170">
        <f ca="1">'Assay Inventory'!F18</f>
        <v>712.81555858066895</v>
      </c>
      <c r="G102" s="1170">
        <f ca="1">'Assay Inventory'!G18</f>
        <v>783.45005394033024</v>
      </c>
      <c r="H102" s="1170">
        <f ca="1">'Assay Inventory'!H18</f>
        <v>843.84391736776865</v>
      </c>
      <c r="I102" s="1170">
        <f ca="1">'Assay Inventory'!I18</f>
        <v>882.64103277804918</v>
      </c>
      <c r="J102" s="1170">
        <f ca="1">'Assay Inventory'!J18</f>
        <v>905.17385863429718</v>
      </c>
      <c r="K102" s="1170">
        <f ca="1">'Assay Inventory'!K18</f>
        <v>925.910357612398</v>
      </c>
      <c r="L102" s="1170">
        <f ca="1">'Assay Inventory'!L18</f>
        <v>947.46919836072334</v>
      </c>
      <c r="M102" s="1170">
        <f ca="1">'Assay Inventory'!M18</f>
        <v>1055.1979728481299</v>
      </c>
      <c r="N102" s="1170">
        <f ca="1">'Assay Inventory'!N18</f>
        <v>824.39809017928417</v>
      </c>
      <c r="O102" s="1170"/>
      <c r="P102" s="1170"/>
      <c r="Q102" s="1170"/>
      <c r="R102" s="1170"/>
      <c r="S102" s="1186" t="str">
        <f>HydroRefineryCalcs!C27</f>
        <v>Mass Flow</v>
      </c>
      <c r="T102" s="1170" t="str">
        <f>HydroRefineryCalcs!D27</f>
        <v>kg/d</v>
      </c>
      <c r="U102" s="1187">
        <f ca="1">HydroRefineryCalcs!F27</f>
        <v>13687328.970000003</v>
      </c>
      <c r="V102" s="1170"/>
      <c r="W102" s="1170"/>
      <c r="X102" s="1170"/>
      <c r="Y102" s="1200" t="s">
        <v>1021</v>
      </c>
      <c r="Z102" s="1199" t="s">
        <v>1022</v>
      </c>
      <c r="AA102" s="1199">
        <f>Constants!G340</f>
        <v>86.12</v>
      </c>
      <c r="AB102" s="1170"/>
      <c r="AC102" s="1170"/>
      <c r="AD102" s="1170"/>
      <c r="AE102" s="1170"/>
      <c r="AF102" s="1170"/>
      <c r="AG102" s="1170"/>
      <c r="AH102" s="1170"/>
      <c r="AI102" s="1170"/>
      <c r="AJ102" s="1170"/>
      <c r="AK102" s="1170"/>
      <c r="AL102" s="1170"/>
      <c r="AM102" s="1170"/>
      <c r="AN102" s="1170"/>
      <c r="AO102" s="1170"/>
      <c r="AP102" s="1170"/>
      <c r="AQ102" s="1170"/>
      <c r="AR102" s="1170"/>
      <c r="AS102" s="1200" t="s">
        <v>1056</v>
      </c>
      <c r="AT102" s="1199" t="s">
        <v>447</v>
      </c>
      <c r="AU102" s="1199">
        <f ca="1">('Energy &amp; Unit Conversions'!$D$63-('Energy &amp; Unit Conversions'!$E$63*POWER((AU99/'Energy &amp; Unit Conversions'!$E$54),2)))</f>
        <v>40.189871247727446</v>
      </c>
      <c r="AV102" s="1170"/>
      <c r="AW102" s="1170"/>
      <c r="AX102" s="1170"/>
      <c r="AY102" s="1170"/>
      <c r="AZ102" s="1170"/>
      <c r="BA102" s="1170"/>
      <c r="BB102" s="1170"/>
      <c r="BC102" s="1170"/>
      <c r="BD102" s="1170"/>
      <c r="BE102" s="1170"/>
      <c r="BF102" s="1170"/>
      <c r="BG102" s="1170"/>
      <c r="BH102" s="1170"/>
      <c r="BI102" s="1170"/>
      <c r="BJ102" s="1170"/>
      <c r="BK102" s="1170"/>
      <c r="BL102" s="1170"/>
      <c r="BM102" s="1170"/>
      <c r="BN102" s="1170"/>
      <c r="BO102" s="1170"/>
      <c r="BP102" s="1170"/>
      <c r="BQ102" s="1170"/>
      <c r="BR102" s="1170"/>
      <c r="BS102" s="1170"/>
      <c r="BT102" s="1170"/>
      <c r="BU102" s="1170"/>
      <c r="BV102" s="1170"/>
      <c r="BW102" s="1170"/>
      <c r="BX102" s="1170"/>
      <c r="BY102" s="1170"/>
      <c r="BZ102" s="1170"/>
      <c r="CA102" s="1170"/>
      <c r="CB102" s="1170"/>
      <c r="CC102" s="1170"/>
      <c r="CD102" s="1186" t="str">
        <f>HydroRefineryCalcs!C445</f>
        <v>Vol Flow</v>
      </c>
      <c r="CE102" s="1170" t="str">
        <f>HydroRefineryCalcs!D445</f>
        <v>bpd</v>
      </c>
      <c r="CF102" s="1187">
        <f ca="1">HydroRefineryCalcs!F445</f>
        <v>6.6574384792262908E-9</v>
      </c>
      <c r="CG102" s="1170"/>
      <c r="CH102" s="1170" t="s">
        <v>263</v>
      </c>
      <c r="CI102" s="1187">
        <f ca="1">BT135*CI107</f>
        <v>0</v>
      </c>
      <c r="CJ102" s="1170"/>
      <c r="CK102" s="1170"/>
      <c r="CL102" s="1170"/>
      <c r="CM102" s="1170"/>
      <c r="CN102" s="1170"/>
      <c r="CO102" s="1170"/>
      <c r="CP102" s="1170"/>
      <c r="CQ102" s="1170"/>
      <c r="CR102" s="1170"/>
      <c r="CS102" s="1180" t="s">
        <v>1066</v>
      </c>
      <c r="CT102" s="1160"/>
      <c r="CU102" s="1240">
        <f ca="1">IF('HydroRefineryPFD '!E27=TRUE,CU103,1)</f>
        <v>1</v>
      </c>
      <c r="CV102" s="1160"/>
      <c r="CW102" s="1160"/>
      <c r="CX102" s="1160"/>
      <c r="CY102" s="1160"/>
      <c r="CZ102" s="1171"/>
      <c r="DA102" s="1160"/>
      <c r="DB102" s="1160"/>
      <c r="DC102" s="1160"/>
      <c r="DD102" s="1160"/>
      <c r="DE102" s="1160"/>
      <c r="DF102" s="1160"/>
      <c r="DG102" s="1160"/>
      <c r="DH102" s="1160"/>
      <c r="DI102" s="1160"/>
      <c r="DJ102" s="1160"/>
      <c r="DK102" s="1160"/>
      <c r="DL102" s="1191" t="str">
        <f>BN106</f>
        <v>Gas Oil HC Fuel Gas</v>
      </c>
      <c r="DM102" s="1171">
        <f ca="1">HydroRefineryCalcs!T433</f>
        <v>1.3101355403031333E-7</v>
      </c>
      <c r="DN102" s="1160" t="s">
        <v>622</v>
      </c>
      <c r="DO102" s="1160"/>
      <c r="DP102" s="1160"/>
      <c r="DQ102" s="1160"/>
      <c r="DR102" s="1160"/>
      <c r="DS102" s="1160"/>
      <c r="DT102" s="1160"/>
      <c r="DU102" s="1160"/>
      <c r="DV102" s="1160"/>
      <c r="DW102" s="1160"/>
      <c r="DX102" s="1160"/>
      <c r="DY102" s="1160"/>
      <c r="DZ102" s="1160"/>
      <c r="EA102" s="1160" t="s">
        <v>263</v>
      </c>
      <c r="EB102" s="1160"/>
      <c r="EC102" s="1187">
        <f ca="1">(DM82+DM93+DM104+DM115+DM127+DM138+DM149+DM160+DM59+DM71)*$EC$112</f>
        <v>0</v>
      </c>
      <c r="EE102" s="1186" t="s">
        <v>582</v>
      </c>
      <c r="EF102" s="1160" t="s">
        <v>628</v>
      </c>
      <c r="EG102" s="1187"/>
    </row>
    <row r="103" spans="1:137" x14ac:dyDescent="0.2">
      <c r="A103" s="1160"/>
      <c r="B103" s="1160"/>
      <c r="C103" s="1229" t="str">
        <f>'Assay Inventory'!C19</f>
        <v>Hydrogen</v>
      </c>
      <c r="D103" s="1229" t="str">
        <f ca="1">'Assay Inventory'!D19</f>
        <v>wt%</v>
      </c>
      <c r="E103" s="1170">
        <f ca="1">'Assay Inventory'!E19</f>
        <v>12.931648905131908</v>
      </c>
      <c r="F103" s="1170">
        <f ca="1">'Assay Inventory'!F19</f>
        <v>15.321692746753095</v>
      </c>
      <c r="G103" s="1170">
        <f ca="1">'Assay Inventory'!G19</f>
        <v>13.50174052285624</v>
      </c>
      <c r="H103" s="1170">
        <f ca="1">'Assay Inventory'!H19</f>
        <v>12.638480433923334</v>
      </c>
      <c r="I103" s="1170">
        <f ca="1">'Assay Inventory'!I19</f>
        <v>12.394831175477673</v>
      </c>
      <c r="J103" s="1170">
        <f ca="1">'Assay Inventory'!J19</f>
        <v>12.331915988948797</v>
      </c>
      <c r="K103" s="1170">
        <f ca="1">'Assay Inventory'!K19</f>
        <v>12.271763653145852</v>
      </c>
      <c r="L103" s="1170">
        <f ca="1">'Assay Inventory'!L19</f>
        <v>12.125465535911589</v>
      </c>
      <c r="M103" s="1170">
        <f ca="1">'Assay Inventory'!M19</f>
        <v>13.775491885583563</v>
      </c>
      <c r="N103" s="1170">
        <f ca="1">'Assay Inventory'!N19</f>
        <v>12.849096068230626</v>
      </c>
      <c r="O103" s="1170"/>
      <c r="P103" s="1170"/>
      <c r="Q103" s="1170"/>
      <c r="R103" s="1170"/>
      <c r="S103" s="1186" t="str">
        <f>HydroRefineryCalcs!C28</f>
        <v xml:space="preserve">Sulphur </v>
      </c>
      <c r="T103" s="1170" t="str">
        <f ca="1">HydroRefineryCalcs!D28</f>
        <v>wt%</v>
      </c>
      <c r="U103" s="1170">
        <f ca="1">HydroRefineryCalcs!F28</f>
        <v>0.16980000000000001</v>
      </c>
      <c r="V103" s="1170"/>
      <c r="W103" s="1170"/>
      <c r="X103" s="1170"/>
      <c r="Y103" s="1204" t="s">
        <v>1054</v>
      </c>
      <c r="Z103" s="1204" t="str">
        <f>IF(allocationMethod=1,CokingRefineryPFD!$C$21,IF(allocationMethod=2,CokingRefineryPFD!$C$22,IF(allocationMethod=3,CokingRefineryPFD!$C$23,CokingRefineryPFD!$C$24)))</f>
        <v>Hydrogen Content Basis</v>
      </c>
      <c r="AA103" s="1250">
        <f ca="1">IF(allocationMethod=1,AA95,IF(allocationMethod=2,AA101*AA95,IF(allocationMethod=3,AA102*AA93,AA99*AA95/100)))</f>
        <v>198472.01341060203</v>
      </c>
      <c r="AB103" s="1170"/>
      <c r="AC103" s="1170"/>
      <c r="AD103" s="1170"/>
      <c r="AE103" s="1170"/>
      <c r="AF103" s="1170"/>
      <c r="AG103" s="1170"/>
      <c r="AH103" s="1170"/>
      <c r="AI103" s="1170"/>
      <c r="AJ103" s="1170"/>
      <c r="AK103" s="1170"/>
      <c r="AL103" s="1170"/>
      <c r="AM103" s="1170"/>
      <c r="AN103" s="1170"/>
      <c r="AO103" s="1170"/>
      <c r="AP103" s="1170"/>
      <c r="AQ103" s="1170"/>
      <c r="AR103" s="1170"/>
      <c r="AS103" s="1200" t="s">
        <v>1021</v>
      </c>
      <c r="AT103" s="1199" t="s">
        <v>1022</v>
      </c>
      <c r="AU103" s="1199">
        <f>AA102</f>
        <v>86.12</v>
      </c>
      <c r="AV103" s="1170"/>
      <c r="AW103" s="1170"/>
      <c r="AX103" s="1170"/>
      <c r="AY103" s="1170"/>
      <c r="AZ103" s="1170"/>
      <c r="BA103" s="1170"/>
      <c r="BB103" s="1170"/>
      <c r="BC103" s="1170"/>
      <c r="BD103" s="1170"/>
      <c r="BE103" s="1170"/>
      <c r="BF103" s="1170"/>
      <c r="BG103" s="1170"/>
      <c r="BH103" s="1170"/>
      <c r="BI103" s="1170"/>
      <c r="BJ103" s="1170"/>
      <c r="BK103" s="1170"/>
      <c r="BL103" s="1170"/>
      <c r="BM103" s="1170"/>
      <c r="BN103" s="1170"/>
      <c r="BO103" s="1170"/>
      <c r="BP103" s="1170"/>
      <c r="BQ103" s="1170"/>
      <c r="BR103" s="1170"/>
      <c r="BS103" s="1170"/>
      <c r="BT103" s="1170"/>
      <c r="BU103" s="1170"/>
      <c r="BV103" s="1170"/>
      <c r="BW103" s="1170"/>
      <c r="BX103" s="1170"/>
      <c r="BY103" s="1170"/>
      <c r="BZ103" s="1170"/>
      <c r="CA103" s="1170"/>
      <c r="CB103" s="1170"/>
      <c r="CC103" s="1170"/>
      <c r="CD103" s="1186" t="str">
        <f>HydroRefineryCalcs!C446</f>
        <v>Vol Flow</v>
      </c>
      <c r="CE103" s="1170" t="str">
        <f>HydroRefineryCalcs!D446</f>
        <v>m^3/d</v>
      </c>
      <c r="CF103" s="1187">
        <f ca="1">HydroRefineryCalcs!F446</f>
        <v>1.0584481687282941E-9</v>
      </c>
      <c r="CG103" s="1170"/>
      <c r="CH103" s="1170" t="s">
        <v>392</v>
      </c>
      <c r="CI103" s="1187">
        <f ca="1">(BT136+BY113)*$CI$107</f>
        <v>9.9117231914000988E-10</v>
      </c>
      <c r="CJ103" s="1170"/>
      <c r="CK103" s="1170"/>
      <c r="CL103" s="1170"/>
      <c r="CM103" s="1170"/>
      <c r="CN103" s="1170"/>
      <c r="CO103" s="1170"/>
      <c r="CP103" s="1170"/>
      <c r="CQ103" s="1170"/>
      <c r="CR103" s="1170"/>
      <c r="CS103" s="1180" t="s">
        <v>1065</v>
      </c>
      <c r="CT103" s="1160"/>
      <c r="CU103" s="1170">
        <f ca="1">CU92/(CU92+CM80)</f>
        <v>1</v>
      </c>
      <c r="CV103" s="1160"/>
      <c r="CW103" s="1160"/>
      <c r="CX103" s="1160"/>
      <c r="CY103" s="1160"/>
      <c r="CZ103" s="1171"/>
      <c r="DA103" s="1160"/>
      <c r="DB103" s="1160"/>
      <c r="DC103" s="1160"/>
      <c r="DD103" s="1160"/>
      <c r="DE103" s="1160"/>
      <c r="DF103" s="1160"/>
      <c r="DG103" s="1160"/>
      <c r="DH103" s="1160"/>
      <c r="DI103" s="1160"/>
      <c r="DJ103" s="1160"/>
      <c r="DK103" s="1160"/>
      <c r="DL103" s="1193" t="s">
        <v>226</v>
      </c>
      <c r="DM103" s="1243" t="s">
        <v>522</v>
      </c>
      <c r="DN103" s="1160"/>
      <c r="DO103" s="1160"/>
      <c r="DP103" s="1160"/>
      <c r="DQ103" s="1160"/>
      <c r="DR103" s="1160"/>
      <c r="DS103" s="1160"/>
      <c r="DT103" s="1160"/>
      <c r="DU103" s="1160"/>
      <c r="DV103" s="1160"/>
      <c r="DW103" s="1160"/>
      <c r="DX103" s="1160"/>
      <c r="DY103" s="1160"/>
      <c r="DZ103" s="1160"/>
      <c r="EA103" s="1160" t="s">
        <v>392</v>
      </c>
      <c r="EB103" s="1160"/>
      <c r="EC103" s="1187">
        <f ca="1">IF($EC$147+$EC$164=0,0,(DO43+DM83+DM94+DM105+DM116+DM128+DM139+DM150+DM161+DM60+DM72)*$EC$112)</f>
        <v>0</v>
      </c>
      <c r="EE103" s="1186" t="s">
        <v>620</v>
      </c>
      <c r="EF103" s="1160" t="s">
        <v>622</v>
      </c>
      <c r="EG103" s="1187">
        <f ca="1">HydroRefineryCalcs!E1502</f>
        <v>0</v>
      </c>
    </row>
    <row r="104" spans="1:137" x14ac:dyDescent="0.2">
      <c r="A104" s="1160"/>
      <c r="B104" s="1160"/>
      <c r="C104" s="1229" t="str">
        <f>'Assay Inventory'!C20</f>
        <v>MCR</v>
      </c>
      <c r="D104" s="1229" t="str">
        <f ca="1">'Assay Inventory'!D20</f>
        <v>wt%</v>
      </c>
      <c r="E104" s="1186">
        <f ca="1">'Assay Inventory'!E20</f>
        <v>1.2</v>
      </c>
      <c r="F104" s="1186" t="str">
        <f ca="1">'Assay Inventory'!F20</f>
        <v/>
      </c>
      <c r="G104" s="1186" t="str">
        <f ca="1">'Assay Inventory'!G20</f>
        <v/>
      </c>
      <c r="H104" s="1186" t="str">
        <f ca="1">'Assay Inventory'!H20</f>
        <v/>
      </c>
      <c r="I104" s="1170"/>
      <c r="J104" s="1170"/>
      <c r="K104" s="1186" t="str">
        <f ca="1">'Assay Inventory'!K20</f>
        <v/>
      </c>
      <c r="L104" s="1186" t="str">
        <f ca="1">'Assay Inventory'!L20</f>
        <v/>
      </c>
      <c r="M104" s="1186">
        <f ca="1">'Assay Inventory'!M20</f>
        <v>10.823381666475589</v>
      </c>
      <c r="N104" s="1186">
        <f ca="1">'Assay Inventory'!N20</f>
        <v>4.4374255523499508</v>
      </c>
      <c r="O104" s="1170"/>
      <c r="P104" s="1170"/>
      <c r="Q104" s="1170"/>
      <c r="R104" s="1170"/>
      <c r="S104" s="1186" t="str">
        <f>HydroRefineryCalcs!C30</f>
        <v xml:space="preserve">API gravity </v>
      </c>
      <c r="T104" s="1170"/>
      <c r="U104" s="1170">
        <f ca="1">HydroRefineryCalcs!F30</f>
        <v>32.710282000696282</v>
      </c>
      <c r="V104" s="1170"/>
      <c r="W104" s="1170"/>
      <c r="X104" s="1170"/>
      <c r="Y104" s="1170"/>
      <c r="Z104" s="1170"/>
      <c r="AA104" s="1170"/>
      <c r="AB104" s="1170"/>
      <c r="AC104" s="1170"/>
      <c r="AD104" s="1170"/>
      <c r="AE104" s="1170"/>
      <c r="AF104" s="1170"/>
      <c r="AG104" s="1170"/>
      <c r="AH104" s="1170"/>
      <c r="AI104" s="1170"/>
      <c r="AJ104" s="1170"/>
      <c r="AK104" s="1170"/>
      <c r="AL104" s="1170"/>
      <c r="AM104" s="1170"/>
      <c r="AN104" s="1170"/>
      <c r="AO104" s="1170"/>
      <c r="AP104" s="1170"/>
      <c r="AQ104" s="1170"/>
      <c r="AR104" s="1170"/>
      <c r="AS104" s="1204" t="s">
        <v>1054</v>
      </c>
      <c r="AT104" s="1204" t="str">
        <f>IF(allocationMethod=1,CokingRefineryPFD!$C$21,IF(allocationMethod=2,CokingRefineryPFD!$C$22,IF(allocationMethod=3,CokingRefineryPFD!$C$23,CokingRefineryPFD!$C$24)))</f>
        <v>Hydrogen Content Basis</v>
      </c>
      <c r="AU104" s="1250">
        <f ca="1">IF(allocationMethod=1,AU96,IF(allocationMethod=2,AU102*AU96,IF(allocationMethod=3,AU103*AU94,AU100*AU96/100)))</f>
        <v>1.9847201341060203E-7</v>
      </c>
      <c r="AV104" s="1170"/>
      <c r="AW104" s="1170"/>
      <c r="AX104" s="1170"/>
      <c r="AY104" s="1170"/>
      <c r="AZ104" s="1170"/>
      <c r="BA104" s="1170"/>
      <c r="BB104" s="1170"/>
      <c r="BC104" s="1170"/>
      <c r="BD104" s="1170"/>
      <c r="BE104" s="1170"/>
      <c r="BF104" s="1170"/>
      <c r="BG104" s="1170"/>
      <c r="BH104" s="1170"/>
      <c r="BI104" s="1170"/>
      <c r="BJ104" s="1170"/>
      <c r="BK104" s="1170"/>
      <c r="BL104" s="1170"/>
      <c r="BM104" s="1170"/>
      <c r="BN104" s="1170"/>
      <c r="BO104" s="1170"/>
      <c r="BP104" s="1170"/>
      <c r="BQ104" s="1170"/>
      <c r="BR104" s="1170"/>
      <c r="BS104" s="1170"/>
      <c r="BT104" s="1170"/>
      <c r="BU104" s="1170"/>
      <c r="BV104" s="1170"/>
      <c r="BW104" s="1170"/>
      <c r="BX104" s="1170"/>
      <c r="BY104" s="1170"/>
      <c r="BZ104" s="1170"/>
      <c r="CA104" s="1170"/>
      <c r="CB104" s="1170"/>
      <c r="CC104" s="1170"/>
      <c r="CD104" s="1186" t="str">
        <f>HydroRefineryCalcs!C447</f>
        <v>Mass Flow</v>
      </c>
      <c r="CE104" s="1170" t="str">
        <f>HydroRefineryCalcs!D447</f>
        <v>kg/d</v>
      </c>
      <c r="CF104" s="1187">
        <f ca="1">HydroRefineryCalcs!F447</f>
        <v>7.6620347850055368E-7</v>
      </c>
      <c r="CG104" s="1170"/>
      <c r="CH104" s="1170" t="s">
        <v>224</v>
      </c>
      <c r="CI104" s="1187">
        <f ca="1">(BT137+BY114)*$CI$107</f>
        <v>6.0200526651097163E-7</v>
      </c>
      <c r="CJ104" s="1170"/>
      <c r="CK104" s="1170"/>
      <c r="CL104" s="1170"/>
      <c r="CM104" s="1170"/>
      <c r="CN104" s="1170"/>
      <c r="CO104" s="1170"/>
      <c r="CP104" s="1170"/>
      <c r="CQ104" s="1170"/>
      <c r="CR104" s="1170"/>
      <c r="CS104" s="1239" t="s">
        <v>228</v>
      </c>
      <c r="CT104" s="1160"/>
      <c r="CU104" s="1240">
        <f ca="1">CU84/(AA80+CJ247+CO93+BI247)</f>
        <v>0.99626408060253768</v>
      </c>
      <c r="CV104" s="1170"/>
      <c r="CW104" s="1160"/>
      <c r="CX104" s="1160"/>
      <c r="CY104" s="1160"/>
      <c r="CZ104" s="1171"/>
      <c r="DA104" s="1160"/>
      <c r="DB104" s="1160"/>
      <c r="DC104" s="1160"/>
      <c r="DD104" s="1160"/>
      <c r="DE104" s="1160"/>
      <c r="DF104" s="1160"/>
      <c r="DG104" s="1160"/>
      <c r="DH104" s="1160"/>
      <c r="DI104" s="1160"/>
      <c r="DJ104" s="1160"/>
      <c r="DK104" s="1160"/>
      <c r="DL104" s="1160" t="s">
        <v>263</v>
      </c>
      <c r="DM104" s="1254">
        <f ca="1">(AZ94+AZ131+AZ169+BT148)*DM109</f>
        <v>0</v>
      </c>
      <c r="DN104" s="1160"/>
      <c r="DO104" s="1160"/>
      <c r="DP104" s="1160"/>
      <c r="DQ104" s="1160"/>
      <c r="DR104" s="1160"/>
      <c r="DS104" s="1160"/>
      <c r="DT104" s="1160"/>
      <c r="DU104" s="1160"/>
      <c r="DV104" s="1160"/>
      <c r="DW104" s="1160"/>
      <c r="DX104" s="1160"/>
      <c r="DY104" s="1160"/>
      <c r="DZ104" s="1160"/>
      <c r="EA104" s="1160" t="s">
        <v>224</v>
      </c>
      <c r="EB104" s="1160"/>
      <c r="EC104" s="1187">
        <f ca="1">IF($EC$147+$EC$164=0,0,(DO44+DM84+DM95+DM106+DM117+DM129+DM140+DM151+DM162+DM61+DM73)*$EC$112)</f>
        <v>0</v>
      </c>
      <c r="EE104" s="1186" t="s">
        <v>1698</v>
      </c>
      <c r="EF104" s="1199" t="s">
        <v>447</v>
      </c>
      <c r="EG104" s="1199">
        <f>'Energy &amp; Unit Conversions'!$Q$27</f>
        <v>46.898519302437805</v>
      </c>
    </row>
    <row r="105" spans="1:137" x14ac:dyDescent="0.2">
      <c r="A105" s="1160"/>
      <c r="B105" s="1160"/>
      <c r="C105" s="1193" t="s">
        <v>1700</v>
      </c>
      <c r="D105" s="1194" t="s">
        <v>447</v>
      </c>
      <c r="E105" s="1170">
        <f ca="1">IF('Energy &amp; Unit Conversions'!F46=1,'Energy &amp; Unit Conversions'!E65,'Energy &amp; Unit Conversions'!L65)</f>
        <v>40.812300088701129</v>
      </c>
      <c r="F105" s="1170"/>
      <c r="G105" s="1170"/>
      <c r="H105" s="1170"/>
      <c r="I105" s="1170"/>
      <c r="J105" s="1170"/>
      <c r="K105" s="1170"/>
      <c r="L105" s="1170"/>
      <c r="M105" s="1170"/>
      <c r="N105" s="1170"/>
      <c r="O105" s="1170"/>
      <c r="P105" s="1170"/>
      <c r="Q105" s="1170"/>
      <c r="R105" s="1170"/>
      <c r="S105" s="1186" t="str">
        <f>HydroRefineryCalcs!C31</f>
        <v>Density</v>
      </c>
      <c r="T105" s="1170" t="str">
        <f ca="1">HydroRefineryCalcs!D31</f>
        <v>kg/m^3</v>
      </c>
      <c r="U105" s="1187">
        <f ca="1">HydroRefineryCalcs!F31</f>
        <v>860.83830000000012</v>
      </c>
      <c r="V105" s="1170"/>
      <c r="W105" s="1170"/>
      <c r="X105" s="1170"/>
      <c r="Y105" s="1170"/>
      <c r="Z105" s="1170"/>
      <c r="AA105" s="1170"/>
      <c r="AB105" s="1170"/>
      <c r="AC105" s="1170"/>
      <c r="AD105" s="1170"/>
      <c r="AE105" s="1170"/>
      <c r="AF105" s="1170"/>
      <c r="AG105" s="1170"/>
      <c r="AH105" s="1170"/>
      <c r="AI105" s="1170"/>
      <c r="AJ105" s="1170"/>
      <c r="AK105" s="1170"/>
      <c r="AL105" s="1170"/>
      <c r="AM105" s="1170"/>
      <c r="AN105" s="1170"/>
      <c r="AO105" s="1170"/>
      <c r="AP105" s="1170"/>
      <c r="AQ105" s="1170"/>
      <c r="AR105" s="1170"/>
      <c r="AS105" s="1170"/>
      <c r="AT105" s="1170"/>
      <c r="AU105" s="1170"/>
      <c r="AV105" s="1170"/>
      <c r="AW105" s="1170"/>
      <c r="AX105" s="1170"/>
      <c r="AY105" s="1170"/>
      <c r="AZ105" s="1170"/>
      <c r="BA105" s="1170"/>
      <c r="BB105" s="1170"/>
      <c r="BC105" s="1170"/>
      <c r="BD105" s="1170"/>
      <c r="BE105" s="1170"/>
      <c r="BF105" s="1170"/>
      <c r="BG105" s="1170"/>
      <c r="BH105" s="1170"/>
      <c r="BI105" s="1170"/>
      <c r="BJ105" s="1170"/>
      <c r="BK105" s="1170"/>
      <c r="BL105" s="1170"/>
      <c r="BM105" s="1170"/>
      <c r="BN105" s="1170"/>
      <c r="BO105" s="1170"/>
      <c r="BP105" s="1170"/>
      <c r="BQ105" s="1170"/>
      <c r="BR105" s="1170"/>
      <c r="BS105" s="1170"/>
      <c r="BT105" s="1170"/>
      <c r="BU105" s="1170"/>
      <c r="BV105" s="1170"/>
      <c r="BW105" s="1170"/>
      <c r="BX105" s="1170"/>
      <c r="BY105" s="1170"/>
      <c r="BZ105" s="1170"/>
      <c r="CA105" s="1170"/>
      <c r="CB105" s="1170"/>
      <c r="CC105" s="1170"/>
      <c r="CD105" s="1186" t="str">
        <f>HydroRefineryCalcs!C448</f>
        <v>S</v>
      </c>
      <c r="CE105" s="1170" t="str">
        <f>HydroRefineryCalcs!D448</f>
        <v>wt%</v>
      </c>
      <c r="CF105" s="1170">
        <f ca="1">HydroRefineryCalcs!F448</f>
        <v>0</v>
      </c>
      <c r="CG105" s="1170"/>
      <c r="CH105" s="1170" t="s">
        <v>485</v>
      </c>
      <c r="CI105" s="1187">
        <f ca="1">(BT138+BY115)*$CI$107</f>
        <v>4.957487658788034E-7</v>
      </c>
      <c r="CJ105" s="1170"/>
      <c r="CK105" s="1170"/>
      <c r="CL105" s="1170"/>
      <c r="CM105" s="1170"/>
      <c r="CN105" s="1170"/>
      <c r="CO105" s="1170"/>
      <c r="CP105" s="1170"/>
      <c r="CQ105" s="1170"/>
      <c r="CR105" s="1170"/>
      <c r="CS105" s="1160"/>
      <c r="CT105" s="1160"/>
      <c r="CU105" s="1160"/>
      <c r="CV105" s="1160"/>
      <c r="CW105" s="1160"/>
      <c r="CX105" s="1160"/>
      <c r="CY105" s="1160"/>
      <c r="CZ105" s="1171"/>
      <c r="DA105" s="1160"/>
      <c r="DB105" s="1160"/>
      <c r="DC105" s="1160"/>
      <c r="DD105" s="1160"/>
      <c r="DE105" s="1160"/>
      <c r="DF105" s="1160"/>
      <c r="DG105" s="1160"/>
      <c r="DH105" s="1160"/>
      <c r="DI105" s="1160"/>
      <c r="DJ105" s="1160"/>
      <c r="DK105" s="1160"/>
      <c r="DL105" s="1160" t="s">
        <v>392</v>
      </c>
      <c r="DM105" s="1254">
        <f ca="1">(BN127+AZ95+AZ132+AZ170+BT149)*$DM$109</f>
        <v>0</v>
      </c>
      <c r="DN105" s="1160"/>
      <c r="DO105" s="1160"/>
      <c r="DP105" s="1160"/>
      <c r="DQ105" s="1160"/>
      <c r="DR105" s="1160"/>
      <c r="DS105" s="1160"/>
      <c r="DT105" s="1160"/>
      <c r="DU105" s="1160"/>
      <c r="DV105" s="1160"/>
      <c r="DW105" s="1160"/>
      <c r="DX105" s="1160"/>
      <c r="DY105" s="1160"/>
      <c r="DZ105" s="1160"/>
      <c r="EA105" s="1160" t="s">
        <v>485</v>
      </c>
      <c r="EB105" s="1160"/>
      <c r="EC105" s="1187">
        <f ca="1">IF($EC$147+$EC$164=0,0,(DO45+DM85+DM96+DM107+DM118+DM130+DM141+DM152+DM163+DM62+DM74)*$EC$112)</f>
        <v>0</v>
      </c>
      <c r="EE105" s="1200" t="s">
        <v>1021</v>
      </c>
      <c r="EF105" s="1199" t="s">
        <v>1022</v>
      </c>
      <c r="EG105" s="1199">
        <f>Constants!$G$353</f>
        <v>33.957001686096191</v>
      </c>
    </row>
    <row r="106" spans="1:137" x14ac:dyDescent="0.2">
      <c r="A106" s="1160"/>
      <c r="B106" s="1160"/>
      <c r="C106" s="1160"/>
      <c r="D106" s="1160"/>
      <c r="E106" s="1170"/>
      <c r="F106" s="1170"/>
      <c r="G106" s="1170"/>
      <c r="H106" s="1170"/>
      <c r="I106" s="1170"/>
      <c r="J106" s="1170"/>
      <c r="K106" s="1170"/>
      <c r="L106" s="1170"/>
      <c r="M106" s="1170"/>
      <c r="N106" s="1170"/>
      <c r="O106" s="1170"/>
      <c r="P106" s="1170"/>
      <c r="Q106" s="1170"/>
      <c r="R106" s="1170"/>
      <c r="S106" s="1186" t="str">
        <f>HydroRefineryCalcs!C32</f>
        <v>Hydrogen</v>
      </c>
      <c r="T106" s="1170" t="str">
        <f ca="1">HydroRefineryCalcs!D32</f>
        <v>wt%</v>
      </c>
      <c r="U106" s="1170">
        <f ca="1">HydroRefineryCalcs!F32</f>
        <v>12.931648905131908</v>
      </c>
      <c r="V106" s="1170"/>
      <c r="W106" s="1170"/>
      <c r="X106" s="1170"/>
      <c r="Y106" s="1170"/>
      <c r="Z106" s="1170"/>
      <c r="AA106" s="1170"/>
      <c r="AB106" s="1170"/>
      <c r="AC106" s="1170"/>
      <c r="AD106" s="1170"/>
      <c r="AE106" s="1170"/>
      <c r="AF106" s="1170"/>
      <c r="AG106" s="1170"/>
      <c r="AH106" s="1170"/>
      <c r="AI106" s="1170"/>
      <c r="AJ106" s="1170"/>
      <c r="AK106" s="1170"/>
      <c r="AL106" s="1170"/>
      <c r="AM106" s="1170"/>
      <c r="AN106" s="1170"/>
      <c r="AO106" s="1170"/>
      <c r="AP106" s="1170"/>
      <c r="AQ106" s="1170"/>
      <c r="AR106" s="1170"/>
      <c r="AS106" s="1170"/>
      <c r="AT106" s="1170"/>
      <c r="AU106" s="1170"/>
      <c r="AV106" s="1170"/>
      <c r="AW106" s="1170"/>
      <c r="AX106" s="1170"/>
      <c r="AY106" s="1170"/>
      <c r="AZ106" s="1170"/>
      <c r="BA106" s="1170"/>
      <c r="BB106" s="1170"/>
      <c r="BC106" s="1170"/>
      <c r="BD106" s="1170"/>
      <c r="BE106" s="1170"/>
      <c r="BF106" s="1170"/>
      <c r="BG106" s="1170"/>
      <c r="BH106" s="1170"/>
      <c r="BI106" s="1170"/>
      <c r="BJ106" s="1170"/>
      <c r="BK106" s="1170"/>
      <c r="BL106" s="1170"/>
      <c r="BM106" s="1170"/>
      <c r="BN106" s="1181" t="str">
        <f>HydroRefineryCalcs!J358</f>
        <v>Gas Oil HC Fuel Gas</v>
      </c>
      <c r="BO106" s="1170"/>
      <c r="BP106" s="1170"/>
      <c r="BQ106" s="1170"/>
      <c r="BR106" s="1170"/>
      <c r="BS106" s="1170"/>
      <c r="BT106" s="1170"/>
      <c r="BU106" s="1170"/>
      <c r="BV106" s="1170"/>
      <c r="BW106" s="1170"/>
      <c r="BX106" s="1170"/>
      <c r="BY106" s="1170"/>
      <c r="BZ106" s="1170"/>
      <c r="CA106" s="1170"/>
      <c r="CB106" s="1170"/>
      <c r="CC106" s="1170"/>
      <c r="CD106" s="1186" t="str">
        <f>HydroRefineryCalcs!C450</f>
        <v>API</v>
      </c>
      <c r="CE106" s="1170"/>
      <c r="CF106" s="1170">
        <f ca="1">HydroRefineryCalcs!F450</f>
        <v>63.970811706769609</v>
      </c>
      <c r="CG106" s="1170"/>
      <c r="CH106" s="1170" t="s">
        <v>541</v>
      </c>
      <c r="CI106" s="1187">
        <f ca="1">(BT139+BO97)*$CI$107</f>
        <v>2.7111878960804983E-6</v>
      </c>
      <c r="CJ106" s="1170"/>
      <c r="CK106" s="1170"/>
      <c r="CL106" s="1170"/>
      <c r="CM106" s="1180"/>
      <c r="CN106" s="1240"/>
      <c r="CO106" s="1170"/>
      <c r="CP106" s="1160"/>
      <c r="CQ106" s="1160"/>
      <c r="CR106" s="1160"/>
      <c r="CS106" s="1160"/>
      <c r="CT106" s="1160"/>
      <c r="CU106" s="1160"/>
      <c r="CV106" s="1160"/>
      <c r="CW106" s="1160"/>
      <c r="CX106" s="1160"/>
      <c r="CY106" s="1160"/>
      <c r="CZ106" s="1171"/>
      <c r="DA106" s="1160"/>
      <c r="DB106" s="1160"/>
      <c r="DC106" s="1160"/>
      <c r="DD106" s="1160"/>
      <c r="DE106" s="1160"/>
      <c r="DF106" s="1160"/>
      <c r="DG106" s="1160"/>
      <c r="DH106" s="1160"/>
      <c r="DI106" s="1160"/>
      <c r="DJ106" s="1160"/>
      <c r="DK106" s="1160"/>
      <c r="DL106" s="1160" t="s">
        <v>224</v>
      </c>
      <c r="DM106" s="1254">
        <f ca="1">(BN128+AZ96+AZ133+AZ171+BT150)*$DM$109</f>
        <v>0</v>
      </c>
      <c r="DN106" s="1160"/>
      <c r="DO106" s="1160"/>
      <c r="DP106" s="1160"/>
      <c r="DQ106" s="1160"/>
      <c r="DR106" s="1160"/>
      <c r="DS106" s="1160"/>
      <c r="DT106" s="1160"/>
      <c r="DU106" s="1160"/>
      <c r="DV106" s="1160"/>
      <c r="DW106" s="1160"/>
      <c r="DX106" s="1160"/>
      <c r="DY106" s="1160"/>
      <c r="DZ106" s="1160"/>
      <c r="EA106" s="1160" t="s">
        <v>541</v>
      </c>
      <c r="EB106" s="1160"/>
      <c r="EC106" s="1187">
        <f ca="1">IF($EC$147+$EC$164=0,0,(DO46+DM86+DM97+DM108+DM119+DM131+DM142+DM153+DM164+DM63+DM75)*$EC$112)</f>
        <v>0</v>
      </c>
      <c r="EE106" s="1204" t="s">
        <v>1054</v>
      </c>
      <c r="EF106" s="1285" t="str">
        <f>IF(allocationMethod=1,CokingRefineryPFD!$C$21,IF(CokingRefineryPFD!$E$20,CokingRefineryPFD!$C$22,IF(CokingRefineryPFD!$E$20,CokingRefineryPFD!$C$23,CokingRefineryPFD!$C$24)))</f>
        <v>Energy Basis</v>
      </c>
      <c r="EG106" s="1204"/>
    </row>
    <row r="107" spans="1:137" x14ac:dyDescent="0.2">
      <c r="A107" s="1160"/>
      <c r="B107" s="1160"/>
      <c r="C107" s="1160"/>
      <c r="D107" s="1160"/>
      <c r="E107" s="1170"/>
      <c r="F107" s="1170"/>
      <c r="G107" s="1170"/>
      <c r="H107" s="1170"/>
      <c r="I107" s="1170"/>
      <c r="J107" s="1170"/>
      <c r="K107" s="1170"/>
      <c r="L107" s="1170"/>
      <c r="M107" s="1170"/>
      <c r="N107" s="1170"/>
      <c r="O107" s="1170"/>
      <c r="P107" s="1170"/>
      <c r="Q107" s="1170"/>
      <c r="R107" s="1170"/>
      <c r="S107" s="1186" t="str">
        <f>HydroRefineryCalcs!C33</f>
        <v>MCR</v>
      </c>
      <c r="T107" s="1170" t="str">
        <f ca="1">HydroRefineryCalcs!D33</f>
        <v>wt%</v>
      </c>
      <c r="U107" s="1170">
        <f ca="1">HydroRefineryCalcs!F33</f>
        <v>1.2</v>
      </c>
      <c r="V107" s="1170"/>
      <c r="W107" s="1170"/>
      <c r="X107" s="1170"/>
      <c r="Y107" s="1170"/>
      <c r="Z107" s="1170"/>
      <c r="AA107" s="1170"/>
      <c r="AB107" s="1170"/>
      <c r="AC107" s="1170"/>
      <c r="AD107" s="1170"/>
      <c r="AE107" s="1170"/>
      <c r="AF107" s="1170"/>
      <c r="AG107" s="1170"/>
      <c r="AH107" s="1170"/>
      <c r="AI107" s="1170"/>
      <c r="AJ107" s="1170"/>
      <c r="AK107" s="1170"/>
      <c r="AL107" s="1170"/>
      <c r="AM107" s="1170"/>
      <c r="AN107" s="1170"/>
      <c r="AO107" s="1170"/>
      <c r="AP107" s="1170"/>
      <c r="AQ107" s="1170"/>
      <c r="AR107" s="1170"/>
      <c r="AS107" s="1170"/>
      <c r="AT107" s="1170"/>
      <c r="AU107" s="1170"/>
      <c r="AV107" s="1170"/>
      <c r="AW107" s="1170"/>
      <c r="AX107" s="1170"/>
      <c r="AY107" s="1170"/>
      <c r="AZ107" s="1170"/>
      <c r="BA107" s="1170"/>
      <c r="BB107" s="1170"/>
      <c r="BC107" s="1170"/>
      <c r="BD107" s="1170"/>
      <c r="BE107" s="1170"/>
      <c r="BF107" s="1170"/>
      <c r="BG107" s="1170"/>
      <c r="BH107" s="1170"/>
      <c r="BI107" s="1170"/>
      <c r="BJ107" s="1170"/>
      <c r="BK107" s="1170"/>
      <c r="BL107" s="1170"/>
      <c r="BM107" s="1170"/>
      <c r="BN107" s="1182" t="str">
        <f>HydroRefineryCalcs!C358</f>
        <v>Property</v>
      </c>
      <c r="BO107" s="1182" t="str">
        <f>HydroRefineryCalcs!D358</f>
        <v>Units</v>
      </c>
      <c r="BP107" s="1170"/>
      <c r="BQ107" s="1170"/>
      <c r="BR107" s="1170"/>
      <c r="BS107" s="1170"/>
      <c r="BT107" s="1170"/>
      <c r="BU107" s="1170"/>
      <c r="BV107" s="1293"/>
      <c r="BW107" s="1170"/>
      <c r="BX107" s="1170"/>
      <c r="BY107" s="1170"/>
      <c r="BZ107" s="1170"/>
      <c r="CA107" s="1170"/>
      <c r="CB107" s="1170"/>
      <c r="CC107" s="1170"/>
      <c r="CD107" s="1186" t="str">
        <f>HydroRefineryCalcs!C451</f>
        <v>Density</v>
      </c>
      <c r="CE107" s="1170" t="str">
        <f>HydroRefineryCalcs!D451</f>
        <v>kg/m^3</v>
      </c>
      <c r="CF107" s="1266">
        <f ca="1">HydroRefineryCalcs!F451</f>
        <v>723.89324403209366</v>
      </c>
      <c r="CG107" s="1170"/>
      <c r="CH107" s="1180" t="s">
        <v>1066</v>
      </c>
      <c r="CI107" s="1205">
        <f ca="1">IF('HydroRefineryPFD '!E23=TRUE,CI108,CF112/(CF112+CF133))</f>
        <v>0.49881328183593421</v>
      </c>
      <c r="CJ107" s="1170"/>
      <c r="CK107" s="1170"/>
      <c r="CL107" s="1170"/>
      <c r="CM107" s="1180"/>
      <c r="CN107" s="1240"/>
      <c r="CO107" s="1170"/>
      <c r="CP107" s="1160"/>
      <c r="CQ107" s="1160"/>
      <c r="CR107" s="1160"/>
      <c r="CS107" s="1160"/>
      <c r="CT107" s="1160"/>
      <c r="CU107" s="1160"/>
      <c r="CV107" s="1160"/>
      <c r="CW107" s="1160"/>
      <c r="CX107" s="1160"/>
      <c r="CY107" s="1160"/>
      <c r="CZ107" s="1171"/>
      <c r="DA107" s="1160"/>
      <c r="DB107" s="1160"/>
      <c r="DC107" s="1160"/>
      <c r="DD107" s="1160"/>
      <c r="DE107" s="1160"/>
      <c r="DF107" s="1160"/>
      <c r="DG107" s="1160"/>
      <c r="DH107" s="1160"/>
      <c r="DI107" s="1160"/>
      <c r="DJ107" s="1160"/>
      <c r="DK107" s="1160"/>
      <c r="DL107" s="1160" t="s">
        <v>485</v>
      </c>
      <c r="DM107" s="1254">
        <f ca="1">(BN129+AZ97+AZ134+AZ172+BT151)*$DM$109</f>
        <v>0</v>
      </c>
      <c r="DN107" s="1160"/>
      <c r="DO107" s="1160"/>
      <c r="DP107" s="1160"/>
      <c r="DQ107" s="1160"/>
      <c r="DR107" s="1160"/>
      <c r="DS107" s="1160"/>
      <c r="DT107" s="1160"/>
      <c r="DU107" s="1160"/>
      <c r="DV107" s="1160"/>
      <c r="DW107" s="1160"/>
      <c r="DX107" s="1160"/>
      <c r="DY107" s="1160"/>
      <c r="DZ107" s="1160"/>
      <c r="EA107" s="1160" t="str">
        <f>DL120</f>
        <v>Catalyst Coke</v>
      </c>
      <c r="EB107" s="1160"/>
      <c r="EC107" s="1187">
        <f ca="1">IF($EC$147+$EC$164=0,0,(DM120+DM165)*$EC$112)</f>
        <v>0</v>
      </c>
      <c r="EE107" s="1160"/>
      <c r="EF107" s="1160"/>
      <c r="EG107" s="1160"/>
    </row>
    <row r="108" spans="1:137" x14ac:dyDescent="0.2">
      <c r="A108" s="1160"/>
      <c r="B108" s="1160"/>
      <c r="C108" s="1160"/>
      <c r="D108" s="1160"/>
      <c r="E108" s="1170"/>
      <c r="F108" s="1294"/>
      <c r="G108" s="1170"/>
      <c r="H108" s="1170"/>
      <c r="I108" s="1170"/>
      <c r="J108" s="1170"/>
      <c r="K108" s="1170"/>
      <c r="L108" s="1170"/>
      <c r="M108" s="1170"/>
      <c r="N108" s="1170"/>
      <c r="O108" s="1170"/>
      <c r="P108" s="1170"/>
      <c r="Q108" s="1170"/>
      <c r="R108" s="1170"/>
      <c r="S108" s="1200"/>
      <c r="T108" s="1199"/>
      <c r="U108" s="1199"/>
      <c r="V108" s="1170"/>
      <c r="W108" s="1170"/>
      <c r="X108" s="1170"/>
      <c r="Y108" s="1170"/>
      <c r="Z108" s="1170"/>
      <c r="AA108" s="1170"/>
      <c r="AB108" s="1170"/>
      <c r="AC108" s="1170"/>
      <c r="AD108" s="1170"/>
      <c r="AE108" s="1170"/>
      <c r="AF108" s="1170"/>
      <c r="AG108" s="1170"/>
      <c r="AH108" s="1170"/>
      <c r="AI108" s="1170"/>
      <c r="AJ108" s="1170"/>
      <c r="AK108" s="1170"/>
      <c r="AL108" s="1170"/>
      <c r="AM108" s="1170"/>
      <c r="AN108" s="1170"/>
      <c r="AO108" s="1170"/>
      <c r="AP108" s="1170"/>
      <c r="AQ108" s="1170"/>
      <c r="AR108" s="1170"/>
      <c r="AS108" s="1181" t="str">
        <f>HydroRefineryCalcs!G570</f>
        <v>AGO to FCC</v>
      </c>
      <c r="AT108" s="1170"/>
      <c r="AU108" s="1170"/>
      <c r="AV108" s="1170"/>
      <c r="AW108" s="1170"/>
      <c r="AX108" s="1180" t="str">
        <f>AS108</f>
        <v>AGO to FCC</v>
      </c>
      <c r="AY108" s="1180"/>
      <c r="AZ108" s="1170"/>
      <c r="BA108" s="1170"/>
      <c r="BB108" s="1170"/>
      <c r="BC108" s="1170"/>
      <c r="BD108" s="1170"/>
      <c r="BE108" s="1170"/>
      <c r="BF108" s="1170"/>
      <c r="BG108" s="1170"/>
      <c r="BH108" s="1170"/>
      <c r="BI108" s="1170"/>
      <c r="BJ108" s="1170"/>
      <c r="BK108" s="1170"/>
      <c r="BL108" s="1170"/>
      <c r="BM108" s="1170"/>
      <c r="BN108" s="1186" t="str">
        <f>HydroRefineryCalcs!C359</f>
        <v>Vol Flow</v>
      </c>
      <c r="BO108" s="1170" t="str">
        <f ca="1">HydroRefineryCalcs!D359</f>
        <v>bpd</v>
      </c>
      <c r="BP108" s="1187">
        <f ca="1">BP109/'Energy &amp; Unit Conversions'!$G$80</f>
        <v>2.9253586654519952E-7</v>
      </c>
      <c r="BQ108" s="1170"/>
      <c r="BR108" s="1170"/>
      <c r="BS108" s="1170"/>
      <c r="BT108" s="1170"/>
      <c r="BU108" s="1170"/>
      <c r="BV108" s="1170"/>
      <c r="BW108" s="1170"/>
      <c r="BX108" s="1170"/>
      <c r="BY108" s="1170"/>
      <c r="BZ108" s="1170"/>
      <c r="CA108" s="1170"/>
      <c r="CB108" s="1170"/>
      <c r="CC108" s="1170"/>
      <c r="CD108" s="1186" t="str">
        <f>HydroRefineryCalcs!C452</f>
        <v>H</v>
      </c>
      <c r="CE108" s="1170" t="str">
        <f>HydroRefineryCalcs!D452</f>
        <v>wt%</v>
      </c>
      <c r="CF108" s="1170">
        <f ca="1">HydroRefineryCalcs!F452</f>
        <v>14.666871318973451</v>
      </c>
      <c r="CG108" s="1170"/>
      <c r="CH108" s="1180" t="s">
        <v>1065</v>
      </c>
      <c r="CI108" s="1205">
        <f ca="1">CF112/(CF112+CF133+CF156)</f>
        <v>0.49881328183555923</v>
      </c>
      <c r="CJ108" s="1170"/>
      <c r="CK108" s="1170"/>
      <c r="CL108" s="1170"/>
      <c r="CM108" s="1239"/>
      <c r="CN108" s="1240"/>
      <c r="CO108" s="1170"/>
      <c r="CP108" s="1160"/>
      <c r="CQ108" s="1160"/>
      <c r="CR108" s="1160"/>
      <c r="CS108" s="1160"/>
      <c r="CT108" s="1160"/>
      <c r="CU108" s="1160"/>
      <c r="CV108" s="1160"/>
      <c r="CW108" s="1160"/>
      <c r="CX108" s="1160"/>
      <c r="CY108" s="1160"/>
      <c r="CZ108" s="1171"/>
      <c r="DA108" s="1160"/>
      <c r="DB108" s="1160"/>
      <c r="DC108" s="1160"/>
      <c r="DD108" s="1160"/>
      <c r="DE108" s="1160"/>
      <c r="DF108" s="1160"/>
      <c r="DG108" s="1160"/>
      <c r="DH108" s="1160"/>
      <c r="DI108" s="1160"/>
      <c r="DJ108" s="1160"/>
      <c r="DK108" s="1160"/>
      <c r="DL108" s="1160" t="s">
        <v>541</v>
      </c>
      <c r="DM108" s="1254">
        <f ca="1">(BN130+AZ98+AZ135+AZ173+BT152)*$DM$109</f>
        <v>0</v>
      </c>
      <c r="DN108" s="1160"/>
      <c r="DO108" s="1160"/>
      <c r="DP108" s="1160"/>
      <c r="DQ108" s="1160"/>
      <c r="DR108" s="1160"/>
      <c r="DS108" s="1160"/>
      <c r="DT108" s="1160"/>
      <c r="DU108" s="1160"/>
      <c r="DV108" s="1160"/>
      <c r="DW108" s="1160"/>
      <c r="DX108" s="1160"/>
      <c r="DY108" s="1160"/>
      <c r="DZ108" s="1160"/>
      <c r="EA108" s="1191" t="s">
        <v>1066</v>
      </c>
      <c r="EB108" s="1160"/>
      <c r="EC108" s="1205">
        <f>IF('HydroRefineryPFD '!E27=FALSE,0,IF('HydroRefineryPFD '!E28=TRUE,EC109,1))</f>
        <v>1</v>
      </c>
      <c r="EE108" s="1191" t="str">
        <f>EE100</f>
        <v>Surplus RFG</v>
      </c>
      <c r="EF108" s="1160"/>
      <c r="EG108" s="1160"/>
    </row>
    <row r="109" spans="1:137" x14ac:dyDescent="0.2">
      <c r="A109" s="1160"/>
      <c r="B109" s="1160"/>
      <c r="C109" s="1160"/>
      <c r="D109" s="1160"/>
      <c r="E109" s="1170"/>
      <c r="F109" s="1170"/>
      <c r="G109" s="1170"/>
      <c r="H109" s="1170"/>
      <c r="I109" s="1170"/>
      <c r="J109" s="1170"/>
      <c r="K109" s="1170"/>
      <c r="L109" s="1170"/>
      <c r="M109" s="1170"/>
      <c r="N109" s="1170"/>
      <c r="O109" s="1170"/>
      <c r="P109" s="1170"/>
      <c r="Q109" s="1170"/>
      <c r="R109" s="1170"/>
      <c r="S109" s="1200"/>
      <c r="T109" s="1199"/>
      <c r="U109" s="1199"/>
      <c r="V109" s="1170"/>
      <c r="W109" s="1170"/>
      <c r="X109" s="1170"/>
      <c r="Y109" s="1170"/>
      <c r="Z109" s="1170"/>
      <c r="AA109" s="1170"/>
      <c r="AB109" s="1170"/>
      <c r="AC109" s="1170"/>
      <c r="AD109" s="1170"/>
      <c r="AE109" s="1170"/>
      <c r="AF109" s="1170"/>
      <c r="AG109" s="1170"/>
      <c r="AH109" s="1170"/>
      <c r="AI109" s="1170"/>
      <c r="AJ109" s="1170"/>
      <c r="AK109" s="1170"/>
      <c r="AL109" s="1170"/>
      <c r="AM109" s="1170"/>
      <c r="AN109" s="1170"/>
      <c r="AO109" s="1170"/>
      <c r="AP109" s="1170"/>
      <c r="AQ109" s="1170"/>
      <c r="AR109" s="1170"/>
      <c r="AS109" s="1182" t="str">
        <f>HydroRefineryCalcs!C570</f>
        <v>Property</v>
      </c>
      <c r="AT109" s="1182" t="str">
        <f>HydroRefineryCalcs!D570</f>
        <v>Units</v>
      </c>
      <c r="AU109" s="1170"/>
      <c r="AV109" s="1170"/>
      <c r="AW109" s="1170"/>
      <c r="AX109" s="1180" t="s">
        <v>226</v>
      </c>
      <c r="AY109" s="1180"/>
      <c r="AZ109" s="1184" t="s">
        <v>522</v>
      </c>
      <c r="BA109" s="1170"/>
      <c r="BB109" s="1170"/>
      <c r="BC109" s="1170"/>
      <c r="BD109" s="1170"/>
      <c r="BE109" s="1170"/>
      <c r="BF109" s="1170"/>
      <c r="BG109" s="1170"/>
      <c r="BH109" s="1170"/>
      <c r="BI109" s="1170"/>
      <c r="BJ109" s="1170"/>
      <c r="BK109" s="1170"/>
      <c r="BL109" s="1170"/>
      <c r="BM109" s="1170"/>
      <c r="BN109" s="1186" t="str">
        <f>HydroRefineryCalcs!C360</f>
        <v>Vol Flow</v>
      </c>
      <c r="BO109" s="1170" t="str">
        <f ca="1">HydroRefineryCalcs!D360</f>
        <v>m^3/d</v>
      </c>
      <c r="BP109" s="1187">
        <f ca="1">BP110*BP113</f>
        <v>4.6509487575181597E-8</v>
      </c>
      <c r="BQ109" s="1170"/>
      <c r="BR109" s="1170"/>
      <c r="BS109" s="1170"/>
      <c r="BT109" s="1170"/>
      <c r="BU109" s="1170"/>
      <c r="BV109" s="1170"/>
      <c r="BW109" s="1170"/>
      <c r="BX109" s="1170"/>
      <c r="BY109" s="1170"/>
      <c r="BZ109" s="1170"/>
      <c r="CA109" s="1170"/>
      <c r="CB109" s="1170"/>
      <c r="CC109" s="1170"/>
      <c r="CD109" s="1186" t="str">
        <f>HydroRefineryCalcs!C453</f>
        <v>MCR</v>
      </c>
      <c r="CE109" s="1170" t="str">
        <f>HydroRefineryCalcs!D453</f>
        <v>wt%</v>
      </c>
      <c r="CF109" s="1170">
        <f>HydroRefineryCalcs!F453</f>
        <v>0</v>
      </c>
      <c r="CG109" s="1170"/>
      <c r="CH109" s="1239" t="s">
        <v>228</v>
      </c>
      <c r="CI109" s="1205">
        <f ca="1">CF104/BT124</f>
        <v>0.47600391157531791</v>
      </c>
      <c r="CJ109" s="1170"/>
      <c r="CK109" s="1170"/>
      <c r="CL109" s="1170"/>
      <c r="CM109" s="1170"/>
      <c r="CN109" s="1170"/>
      <c r="CO109" s="1170"/>
      <c r="CP109" s="1160"/>
      <c r="CQ109" s="1160"/>
      <c r="CR109" s="1160"/>
      <c r="CS109" s="1160"/>
      <c r="CT109" s="1160"/>
      <c r="CU109" s="1160"/>
      <c r="CV109" s="1160"/>
      <c r="CW109" s="1160"/>
      <c r="CX109" s="1160"/>
      <c r="CY109" s="1160"/>
      <c r="CZ109" s="1171"/>
      <c r="DA109" s="1160"/>
      <c r="DB109" s="1160"/>
      <c r="DC109" s="1160"/>
      <c r="DD109" s="1160"/>
      <c r="DE109" s="1160"/>
      <c r="DF109" s="1160"/>
      <c r="DG109" s="1160"/>
      <c r="DH109" s="1160"/>
      <c r="DI109" s="1160"/>
      <c r="DJ109" s="1160"/>
      <c r="DK109" s="1160"/>
      <c r="DL109" s="1191" t="s">
        <v>1066</v>
      </c>
      <c r="DM109" s="1245">
        <f ca="1">IF('HydroRefineryPFD '!E27=TRUE,DM110,0)</f>
        <v>0</v>
      </c>
      <c r="DN109" s="1160"/>
      <c r="DO109" s="1160"/>
      <c r="DP109" s="1160"/>
      <c r="DQ109" s="1160"/>
      <c r="DR109" s="1160"/>
      <c r="DS109" s="1160"/>
      <c r="DT109" s="1160"/>
      <c r="DU109" s="1160"/>
      <c r="DV109" s="1160"/>
      <c r="DW109" s="1160"/>
      <c r="DX109" s="1160"/>
      <c r="DY109" s="1160"/>
      <c r="DZ109" s="1160"/>
      <c r="EA109" s="1191" t="s">
        <v>1065</v>
      </c>
      <c r="EB109" s="1160"/>
      <c r="EC109" s="1205">
        <f>EC98/(EC126+EC98)</f>
        <v>1</v>
      </c>
      <c r="EE109" s="1193"/>
      <c r="EF109" s="1160"/>
      <c r="EG109" s="1194" t="s">
        <v>522</v>
      </c>
    </row>
    <row r="110" spans="1:137" x14ac:dyDescent="0.2">
      <c r="A110" s="1160"/>
      <c r="B110" s="1160"/>
      <c r="C110" s="1160"/>
      <c r="D110" s="1160"/>
      <c r="E110" s="1170"/>
      <c r="F110" s="1170"/>
      <c r="G110" s="1170"/>
      <c r="H110" s="1170"/>
      <c r="I110" s="1170"/>
      <c r="J110" s="1170"/>
      <c r="K110" s="1170"/>
      <c r="L110" s="1170"/>
      <c r="M110" s="1170"/>
      <c r="N110" s="1170"/>
      <c r="O110" s="1170"/>
      <c r="P110" s="1170"/>
      <c r="Q110" s="1170"/>
      <c r="R110" s="1170"/>
      <c r="S110" s="1180" t="str">
        <f>S98</f>
        <v>Product</v>
      </c>
      <c r="T110" s="1170"/>
      <c r="U110" s="1184"/>
      <c r="V110" s="1170"/>
      <c r="W110" s="1170"/>
      <c r="X110" s="1170"/>
      <c r="Y110" s="1170"/>
      <c r="Z110" s="1170"/>
      <c r="AA110" s="1170"/>
      <c r="AB110" s="1170"/>
      <c r="AC110" s="1170"/>
      <c r="AD110" s="1170"/>
      <c r="AE110" s="1170"/>
      <c r="AF110" s="1170"/>
      <c r="AG110" s="1170"/>
      <c r="AH110" s="1170"/>
      <c r="AI110" s="1170"/>
      <c r="AJ110" s="1170"/>
      <c r="AK110" s="1170"/>
      <c r="AL110" s="1170"/>
      <c r="AM110" s="1170"/>
      <c r="AN110" s="1170"/>
      <c r="AO110" s="1170"/>
      <c r="AP110" s="1170"/>
      <c r="AQ110" s="1170"/>
      <c r="AR110" s="1170"/>
      <c r="AS110" s="1186" t="str">
        <f>HydroRefineryCalcs!C571</f>
        <v>Vol Flow</v>
      </c>
      <c r="AT110" s="1170" t="str">
        <f ca="1">HydroRefineryCalcs!D571</f>
        <v>bpd</v>
      </c>
      <c r="AU110" s="1170">
        <f ca="1">HydroRefineryCalcs!G571</f>
        <v>0</v>
      </c>
      <c r="AV110" s="1170"/>
      <c r="AW110" s="1170"/>
      <c r="AX110" s="1170" t="s">
        <v>263</v>
      </c>
      <c r="AY110" s="1170"/>
      <c r="AZ110" s="1170">
        <f ca="1">AE93*$AZ$115</f>
        <v>0</v>
      </c>
      <c r="BA110" s="1170"/>
      <c r="BB110" s="1170"/>
      <c r="BC110" s="1170"/>
      <c r="BD110" s="1170"/>
      <c r="BE110" s="1170"/>
      <c r="BF110" s="1170"/>
      <c r="BG110" s="1170"/>
      <c r="BH110" s="1170"/>
      <c r="BI110" s="1170"/>
      <c r="BJ110" s="1170"/>
      <c r="BK110" s="1170"/>
      <c r="BL110" s="1170"/>
      <c r="BM110" s="1170"/>
      <c r="BN110" s="1186" t="str">
        <f>HydroRefineryCalcs!C361</f>
        <v>Mass Flow</v>
      </c>
      <c r="BO110" s="1170" t="str">
        <f>HydroRefineryCalcs!D361</f>
        <v>kg/d</v>
      </c>
      <c r="BP110" s="1170">
        <f ca="1">HydroRefineryCalcs!J361</f>
        <v>4.01525055866854E-8</v>
      </c>
      <c r="BQ110" s="1170"/>
      <c r="BR110" s="1170"/>
      <c r="BS110" s="1170"/>
      <c r="BT110" s="1170"/>
      <c r="BU110" s="1170"/>
      <c r="BV110" s="1170"/>
      <c r="BW110" s="1170"/>
      <c r="BX110" s="1170"/>
      <c r="BY110" s="1170"/>
      <c r="BZ110" s="1170"/>
      <c r="CA110" s="1170"/>
      <c r="CB110" s="1170"/>
      <c r="CC110" s="1170"/>
      <c r="CD110" s="1200" t="s">
        <v>1056</v>
      </c>
      <c r="CE110" s="1199" t="s">
        <v>447</v>
      </c>
      <c r="CF110" s="1199">
        <f ca="1">('Energy &amp; Unit Conversions'!$D$63-('Energy &amp; Unit Conversions'!$E$63*POWER((CF107/'Energy &amp; Unit Conversions'!$E$54),2)))</f>
        <v>42.534646123081181</v>
      </c>
      <c r="CG110" s="1170"/>
      <c r="CH110" s="1170"/>
      <c r="CI110" s="1170"/>
      <c r="CJ110" s="1170"/>
      <c r="CK110" s="1170"/>
      <c r="CL110" s="1170"/>
      <c r="CM110" s="1170"/>
      <c r="CN110" s="1170"/>
      <c r="CO110" s="1170"/>
      <c r="CP110" s="1160"/>
      <c r="CQ110" s="1160"/>
      <c r="CR110" s="1160"/>
      <c r="CS110" s="1160"/>
      <c r="CT110" s="1160"/>
      <c r="CU110" s="1160"/>
      <c r="CV110" s="1160"/>
      <c r="CW110" s="1160"/>
      <c r="CX110" s="1160"/>
      <c r="CY110" s="1160"/>
      <c r="CZ110" s="1171"/>
      <c r="DA110" s="1160"/>
      <c r="DB110" s="1160"/>
      <c r="DC110" s="1160"/>
      <c r="DD110" s="1160"/>
      <c r="DE110" s="1160"/>
      <c r="DF110" s="1160"/>
      <c r="DG110" s="1160"/>
      <c r="DH110" s="1160"/>
      <c r="DI110" s="1160"/>
      <c r="DJ110" s="1160"/>
      <c r="DK110" s="1160"/>
      <c r="DL110" s="1191" t="s">
        <v>1065</v>
      </c>
      <c r="DM110" s="1245">
        <f ca="1">BP118/(BP118+BT132)</f>
        <v>0</v>
      </c>
      <c r="DN110" s="1160"/>
      <c r="DO110" s="1160"/>
      <c r="DP110" s="1160"/>
      <c r="DQ110" s="1160"/>
      <c r="DR110" s="1160"/>
      <c r="DS110" s="1160"/>
      <c r="DT110" s="1160"/>
      <c r="DU110" s="1160"/>
      <c r="DV110" s="1160"/>
      <c r="DW110" s="1160"/>
      <c r="DX110" s="1160"/>
      <c r="DY110" s="1160"/>
      <c r="DZ110" s="1160"/>
      <c r="EA110" s="1208" t="s">
        <v>228</v>
      </c>
      <c r="EB110" s="1160"/>
      <c r="EC110" s="1205">
        <f ca="1">EC95/(DM80+DM91+DM102+DM113+DM125+DM136+DM147+DM158+DM57+DM69-DQ48)</f>
        <v>0.98286107030246206</v>
      </c>
      <c r="EE110" s="1160" t="s">
        <v>263</v>
      </c>
      <c r="EF110" s="1160"/>
      <c r="EG110" s="1170">
        <f ca="1">(DM82+DM93+DM104+DM115+DM127+DM138+DM149+DM160+DM59+DM71)*$EG$116</f>
        <v>0</v>
      </c>
    </row>
    <row r="111" spans="1:137" ht="13.5" customHeight="1" x14ac:dyDescent="0.2">
      <c r="A111" s="1160"/>
      <c r="B111" s="1160"/>
      <c r="C111" s="1160"/>
      <c r="D111" s="1160"/>
      <c r="E111" s="1170"/>
      <c r="F111" s="1170"/>
      <c r="G111" s="1170"/>
      <c r="H111" s="1170"/>
      <c r="I111" s="1181"/>
      <c r="J111" s="1170"/>
      <c r="K111" s="1170"/>
      <c r="L111" s="1179" t="str">
        <f>HydroRefineryCalcs!F8</f>
        <v>Output</v>
      </c>
      <c r="M111" s="1170"/>
      <c r="N111" s="1196"/>
      <c r="O111" s="1170"/>
      <c r="P111" s="1170"/>
      <c r="Q111" s="1170"/>
      <c r="R111" s="1170"/>
      <c r="S111" s="1183" t="s">
        <v>226</v>
      </c>
      <c r="T111" s="1170"/>
      <c r="U111" s="1183" t="s">
        <v>522</v>
      </c>
      <c r="V111" s="1170"/>
      <c r="W111" s="1170"/>
      <c r="X111" s="1170"/>
      <c r="Y111" s="1170"/>
      <c r="Z111" s="1170"/>
      <c r="AA111" s="1170"/>
      <c r="AB111" s="1170"/>
      <c r="AC111" s="1170"/>
      <c r="AD111" s="1170"/>
      <c r="AE111" s="1170"/>
      <c r="AF111" s="1170"/>
      <c r="AG111" s="1170"/>
      <c r="AH111" s="1170"/>
      <c r="AI111" s="1170"/>
      <c r="AJ111" s="1170"/>
      <c r="AK111" s="1170"/>
      <c r="AL111" s="1170"/>
      <c r="AM111" s="1170"/>
      <c r="AN111" s="1170"/>
      <c r="AO111" s="1170"/>
      <c r="AP111" s="1170"/>
      <c r="AQ111" s="1170"/>
      <c r="AR111" s="1170"/>
      <c r="AS111" s="1186" t="str">
        <f>HydroRefineryCalcs!C572</f>
        <v>Vol Flow</v>
      </c>
      <c r="AT111" s="1170" t="str">
        <f ca="1">HydroRefineryCalcs!D572</f>
        <v>m^3/d</v>
      </c>
      <c r="AU111" s="1170">
        <f ca="1">HydroRefineryCalcs!G572</f>
        <v>0</v>
      </c>
      <c r="AV111" s="1170"/>
      <c r="AW111" s="1170"/>
      <c r="AX111" s="1170" t="s">
        <v>392</v>
      </c>
      <c r="AY111" s="1170"/>
      <c r="AZ111" s="1170">
        <f ca="1">AE94*$AZ$115</f>
        <v>0</v>
      </c>
      <c r="BA111" s="1170"/>
      <c r="BB111" s="1170"/>
      <c r="BC111" s="1170"/>
      <c r="BD111" s="1170"/>
      <c r="BE111" s="1170"/>
      <c r="BF111" s="1170"/>
      <c r="BG111" s="1170"/>
      <c r="BH111" s="1170"/>
      <c r="BI111" s="1170"/>
      <c r="BJ111" s="1170"/>
      <c r="BK111" s="1170"/>
      <c r="BL111" s="1170"/>
      <c r="BM111" s="1170"/>
      <c r="BN111" s="1186" t="str">
        <f>HydroRefineryCalcs!C362</f>
        <v xml:space="preserve">Sulphur </v>
      </c>
      <c r="BO111" s="1170" t="str">
        <f ca="1">HydroRefineryCalcs!D362</f>
        <v>wt%</v>
      </c>
      <c r="BP111" s="1170">
        <f ca="1">HydroRefineryCalcs!J362</f>
        <v>8.4313001253205329</v>
      </c>
      <c r="BQ111" s="1170"/>
      <c r="BR111" s="1170"/>
      <c r="BS111" s="1170"/>
      <c r="BT111" s="1170"/>
      <c r="BU111" s="1170"/>
      <c r="BV111" s="1170"/>
      <c r="BW111" s="1170"/>
      <c r="BX111" s="1184" t="str">
        <f>'HydroRefinery Detailed Results'!C18</f>
        <v>Gas Oil Hydrocracker Fractionator</v>
      </c>
      <c r="BY111" s="1170"/>
      <c r="BZ111" s="1170"/>
      <c r="CA111" s="1170"/>
      <c r="CB111" s="1170"/>
      <c r="CC111" s="1170"/>
      <c r="CD111" s="1200" t="s">
        <v>1021</v>
      </c>
      <c r="CE111" s="1199" t="s">
        <v>1022</v>
      </c>
      <c r="CF111" s="1290">
        <f>DD38</f>
        <v>97.641761779785156</v>
      </c>
      <c r="CG111" s="1170"/>
      <c r="CH111" s="1170"/>
      <c r="CI111" s="1170"/>
      <c r="CJ111" s="1170"/>
      <c r="CK111" s="1170"/>
      <c r="CL111" s="1170"/>
      <c r="CM111" s="1170"/>
      <c r="CN111" s="1170"/>
      <c r="CO111" s="1170"/>
      <c r="CP111" s="1160"/>
      <c r="CQ111" s="1160"/>
      <c r="CR111" s="1160"/>
      <c r="CS111" s="1160"/>
      <c r="CT111" s="1160"/>
      <c r="CU111" s="1160"/>
      <c r="CV111" s="1160"/>
      <c r="CW111" s="1160"/>
      <c r="CX111" s="1160"/>
      <c r="CY111" s="1160"/>
      <c r="CZ111" s="1171"/>
      <c r="DA111" s="1160"/>
      <c r="DB111" s="1160"/>
      <c r="DC111" s="1160"/>
      <c r="DD111" s="1160"/>
      <c r="DE111" s="1160"/>
      <c r="DF111" s="1160"/>
      <c r="DG111" s="1160"/>
      <c r="DH111" s="1160"/>
      <c r="DI111" s="1160"/>
      <c r="DJ111" s="1160"/>
      <c r="DK111" s="1160"/>
      <c r="DL111" s="1253" t="s">
        <v>228</v>
      </c>
      <c r="DM111" s="1245">
        <f ca="1">+BP110/(BI125+BN132)</f>
        <v>2.4332511828191409E-2</v>
      </c>
      <c r="DN111" s="1160"/>
      <c r="DO111" s="1160"/>
      <c r="DP111" s="1160"/>
      <c r="DQ111" s="1160"/>
      <c r="DR111" s="1160"/>
      <c r="DS111" s="1160"/>
      <c r="DT111" s="1160"/>
      <c r="DU111" s="1160"/>
      <c r="DV111" s="1160"/>
      <c r="DW111" s="1160"/>
      <c r="DX111" s="1160"/>
      <c r="DY111" s="1160"/>
      <c r="DZ111" s="1160"/>
      <c r="EA111" s="1160" t="s">
        <v>80</v>
      </c>
      <c r="EB111" s="1160"/>
      <c r="EC111" s="1170">
        <f ca="1">EC95-'HydroRefinery Detailed Results'!M32</f>
        <v>0</v>
      </c>
      <c r="EE111" s="1160" t="s">
        <v>392</v>
      </c>
      <c r="EF111" s="1160"/>
      <c r="EG111" s="1170">
        <f ca="1">(DO43+DM83+DM94+DM105+DM116+DM128+DM139+DM150+DM161+DM60+DM72)*$EG$116</f>
        <v>0</v>
      </c>
    </row>
    <row r="112" spans="1:137" x14ac:dyDescent="0.2">
      <c r="A112" s="1160"/>
      <c r="B112" s="1160"/>
      <c r="C112" s="1160"/>
      <c r="D112" s="1160"/>
      <c r="E112" s="1170"/>
      <c r="F112" s="1170"/>
      <c r="G112" s="1170"/>
      <c r="H112" s="1170"/>
      <c r="I112" s="1170"/>
      <c r="J112" s="1170"/>
      <c r="K112" s="1170"/>
      <c r="L112" s="1186" t="str">
        <f>HydroRefineryCalcs!C8</f>
        <v>Property</v>
      </c>
      <c r="M112" s="1182" t="str">
        <f>HydroRefineryCalcs!D8</f>
        <v>Units</v>
      </c>
      <c r="N112" s="1170"/>
      <c r="O112" s="1170"/>
      <c r="P112" s="1170"/>
      <c r="Q112" s="1170"/>
      <c r="R112" s="1170"/>
      <c r="S112" s="1170" t="s">
        <v>263</v>
      </c>
      <c r="T112" s="1170"/>
      <c r="U112" s="1187">
        <f ca="1">N124*U117</f>
        <v>558611377.33641267</v>
      </c>
      <c r="V112" s="1170"/>
      <c r="W112" s="1170"/>
      <c r="X112" s="1170"/>
      <c r="Y112" s="1170"/>
      <c r="Z112" s="1170"/>
      <c r="AA112" s="1170"/>
      <c r="AB112" s="1170"/>
      <c r="AC112" s="1170"/>
      <c r="AD112" s="1170"/>
      <c r="AE112" s="1170"/>
      <c r="AF112" s="1170"/>
      <c r="AG112" s="1170"/>
      <c r="AH112" s="1170"/>
      <c r="AI112" s="1170"/>
      <c r="AJ112" s="1170"/>
      <c r="AK112" s="1170"/>
      <c r="AL112" s="1170"/>
      <c r="AM112" s="1170"/>
      <c r="AN112" s="1170"/>
      <c r="AO112" s="1170"/>
      <c r="AP112" s="1170"/>
      <c r="AQ112" s="1170"/>
      <c r="AR112" s="1170"/>
      <c r="AS112" s="1186" t="str">
        <f>HydroRefineryCalcs!C573</f>
        <v>Mass Flow</v>
      </c>
      <c r="AT112" s="1170" t="str">
        <f>HydroRefineryCalcs!D573</f>
        <v>kg/d</v>
      </c>
      <c r="AU112" s="1170">
        <f ca="1">HydroRefineryCalcs!G573</f>
        <v>0</v>
      </c>
      <c r="AV112" s="1170"/>
      <c r="AW112" s="1170"/>
      <c r="AX112" s="1170" t="s">
        <v>224</v>
      </c>
      <c r="AY112" s="1170"/>
      <c r="AZ112" s="1170">
        <f ca="1">AE95*$AZ$115</f>
        <v>0</v>
      </c>
      <c r="BA112" s="1170"/>
      <c r="BB112" s="1170"/>
      <c r="BC112" s="1170"/>
      <c r="BD112" s="1170"/>
      <c r="BE112" s="1170"/>
      <c r="BF112" s="1170"/>
      <c r="BG112" s="1170"/>
      <c r="BH112" s="1170"/>
      <c r="BI112" s="1170"/>
      <c r="BJ112" s="1170"/>
      <c r="BK112" s="1170"/>
      <c r="BL112" s="1170"/>
      <c r="BM112" s="1170"/>
      <c r="BN112" s="1186" t="str">
        <f>HydroRefineryCalcs!C364</f>
        <v xml:space="preserve">API gravity </v>
      </c>
      <c r="BO112" s="1170"/>
      <c r="BP112" s="1170"/>
      <c r="BQ112" s="1170"/>
      <c r="BR112" s="1170"/>
      <c r="BS112" s="1170"/>
      <c r="BT112" s="1170"/>
      <c r="BU112" s="1170"/>
      <c r="BV112" s="1170"/>
      <c r="BW112" s="1170"/>
      <c r="BX112" s="1184" t="s">
        <v>225</v>
      </c>
      <c r="BY112" s="1184" t="s">
        <v>522</v>
      </c>
      <c r="BZ112" s="1170"/>
      <c r="CA112" s="1170"/>
      <c r="CB112" s="1170"/>
      <c r="CC112" s="1170"/>
      <c r="CD112" s="1204" t="s">
        <v>1054</v>
      </c>
      <c r="CE112" s="1204" t="str">
        <f>IF(allocationMethod=1,CokingRefineryPFD!$C$21,IF(allocationMethod=2,CokingRefineryPFD!$C$22,IF(allocationMethod=3,CokingRefineryPFD!$C$23,CokingRefineryPFD!$C$24)))</f>
        <v>Hydrogen Content Basis</v>
      </c>
      <c r="CF112" s="1250">
        <f ca="1">IF(allocationMethod=1,CF104,IF(allocationMethod=2,CF110*CF104,IF(allocationMethod=3,CF111*CF102,CF108*CF104/100)))</f>
        <v>1.1237807823317461E-7</v>
      </c>
      <c r="CG112" s="1170"/>
      <c r="CH112" s="1170"/>
      <c r="CI112" s="1170"/>
      <c r="CJ112" s="1170"/>
      <c r="CK112" s="1170"/>
      <c r="CL112" s="1170"/>
      <c r="CM112" s="1170"/>
      <c r="CN112" s="1170"/>
      <c r="CO112" s="1170"/>
      <c r="CP112" s="1160"/>
      <c r="CQ112" s="1160"/>
      <c r="CR112" s="1160"/>
      <c r="CS112" s="1160"/>
      <c r="CT112" s="1160"/>
      <c r="CU112" s="1160"/>
      <c r="CV112" s="1160"/>
      <c r="CW112" s="1160"/>
      <c r="CX112" s="1160"/>
      <c r="CY112" s="1160"/>
      <c r="CZ112" s="1171"/>
      <c r="DA112" s="1160"/>
      <c r="DB112" s="1160"/>
      <c r="DC112" s="1160"/>
      <c r="DD112" s="1160"/>
      <c r="DE112" s="1160"/>
      <c r="DF112" s="1160"/>
      <c r="DG112" s="1160"/>
      <c r="DH112" s="1160"/>
      <c r="DI112" s="1160"/>
      <c r="DJ112" s="1160"/>
      <c r="DK112" s="1160"/>
      <c r="DL112" s="1160"/>
      <c r="DM112" s="1171"/>
      <c r="DN112" s="1160"/>
      <c r="DO112" s="1160"/>
      <c r="DP112" s="1160"/>
      <c r="DQ112" s="1160"/>
      <c r="DR112" s="1160"/>
      <c r="DS112" s="1160"/>
      <c r="DT112" s="1160"/>
      <c r="DU112" s="1160"/>
      <c r="DV112" s="1160"/>
      <c r="DW112" s="1160"/>
      <c r="DX112" s="1160"/>
      <c r="DY112" s="1160"/>
      <c r="DZ112" s="1160"/>
      <c r="EA112" s="2073" t="s">
        <v>1900</v>
      </c>
      <c r="EB112" s="1160"/>
      <c r="EC112" s="1160">
        <f ca="1">SUM(HydroRefineryCalcs!Q1501:Q1502)</f>
        <v>1</v>
      </c>
      <c r="EE112" s="1160" t="s">
        <v>224</v>
      </c>
      <c r="EF112" s="1160"/>
      <c r="EG112" s="1170">
        <f ca="1">(DO44+DM84+DM95+DM106+DM117+DM129+DM140+DM151+DM162+DM61+DM73)*$EG$116</f>
        <v>0</v>
      </c>
    </row>
    <row r="113" spans="1:137" x14ac:dyDescent="0.2">
      <c r="A113" s="1160"/>
      <c r="B113" s="1160"/>
      <c r="C113" s="1160"/>
      <c r="D113" s="1160"/>
      <c r="E113" s="1170"/>
      <c r="F113" s="1170"/>
      <c r="G113" s="1170"/>
      <c r="H113" s="1170"/>
      <c r="I113" s="1170"/>
      <c r="J113" s="1170"/>
      <c r="K113" s="1170"/>
      <c r="L113" s="1186" t="str">
        <f>HydroRefineryCalcs!C9</f>
        <v>Vol Flow</v>
      </c>
      <c r="M113" s="1170" t="str">
        <f ca="1">HydroRefineryCalcs!D9</f>
        <v>bpd</v>
      </c>
      <c r="N113" s="1187">
        <f ca="1">HydroRefineryCalcs!F9</f>
        <v>99177.64135868111</v>
      </c>
      <c r="O113" s="1170"/>
      <c r="P113" s="1170"/>
      <c r="Q113" s="1170"/>
      <c r="R113" s="1170"/>
      <c r="S113" s="1170" t="s">
        <v>392</v>
      </c>
      <c r="T113" s="1170"/>
      <c r="U113" s="1187">
        <f ca="1">+(N125+Q97)*$U$117</f>
        <v>5356.0204412908206</v>
      </c>
      <c r="V113" s="1170"/>
      <c r="W113" s="1170"/>
      <c r="X113" s="1170"/>
      <c r="Y113" s="1170"/>
      <c r="Z113" s="1170"/>
      <c r="AA113" s="1170"/>
      <c r="AB113" s="1170"/>
      <c r="AC113" s="1170"/>
      <c r="AD113" s="1170"/>
      <c r="AE113" s="1170"/>
      <c r="AF113" s="1170"/>
      <c r="AG113" s="1170"/>
      <c r="AH113" s="1170"/>
      <c r="AI113" s="1170"/>
      <c r="AJ113" s="1170"/>
      <c r="AK113" s="1170"/>
      <c r="AL113" s="1170"/>
      <c r="AM113" s="1170"/>
      <c r="AN113" s="1170"/>
      <c r="AO113" s="1170"/>
      <c r="AP113" s="1170"/>
      <c r="AQ113" s="1170"/>
      <c r="AR113" s="1170"/>
      <c r="AS113" s="1186" t="str">
        <f>HydroRefineryCalcs!C574</f>
        <v xml:space="preserve">Sulphur </v>
      </c>
      <c r="AT113" s="1170" t="str">
        <f ca="1">HydroRefineryCalcs!D574</f>
        <v>wt%</v>
      </c>
      <c r="AU113" s="1170">
        <f ca="1">HydroRefineryCalcs!G574</f>
        <v>0</v>
      </c>
      <c r="AV113" s="1170"/>
      <c r="AW113" s="1170"/>
      <c r="AX113" s="1170" t="s">
        <v>485</v>
      </c>
      <c r="AY113" s="1170"/>
      <c r="AZ113" s="1170">
        <f ca="1">AE96*$AZ$115</f>
        <v>0</v>
      </c>
      <c r="BA113" s="1170"/>
      <c r="BB113" s="1170"/>
      <c r="BC113" s="1170"/>
      <c r="BD113" s="1170"/>
      <c r="BE113" s="1170"/>
      <c r="BF113" s="1170"/>
      <c r="BG113" s="1170"/>
      <c r="BH113" s="1170"/>
      <c r="BI113" s="1170"/>
      <c r="BJ113" s="1170"/>
      <c r="BK113" s="1170"/>
      <c r="BL113" s="1170"/>
      <c r="BM113" s="1170"/>
      <c r="BN113" s="1186" t="str">
        <f>HydroRefineryCalcs!C365</f>
        <v>Density</v>
      </c>
      <c r="BO113" s="1170" t="str">
        <f ca="1">HydroRefineryCalcs!D365</f>
        <v>kg/m^3</v>
      </c>
      <c r="BP113" s="1170">
        <f>'Energy &amp; Unit Conversions'!$E$27/'Energy &amp; Unit Conversions'!$E$93/'Energy &amp; Unit Conversions'!$G$81</f>
        <v>1.1583209290581402</v>
      </c>
      <c r="BQ113" s="1170"/>
      <c r="BR113" s="1170"/>
      <c r="BS113" s="1170"/>
      <c r="BT113" s="1170"/>
      <c r="BU113" s="1170"/>
      <c r="BV113" s="1170"/>
      <c r="BW113" s="1170"/>
      <c r="BX113" s="1170" t="s">
        <v>392</v>
      </c>
      <c r="BY113" s="1170">
        <f ca="1">'HydroRefinery Detailed Results'!F18</f>
        <v>0</v>
      </c>
      <c r="BZ113" s="1170"/>
      <c r="CA113" s="1170"/>
      <c r="CB113" s="1170"/>
      <c r="CC113" s="1170"/>
      <c r="CD113" s="1170"/>
      <c r="CE113" s="1170"/>
      <c r="CF113" s="1170"/>
      <c r="CG113" s="1170"/>
      <c r="CH113" s="1170"/>
      <c r="CI113" s="1170"/>
      <c r="CJ113" s="1170"/>
      <c r="CK113" s="1170"/>
      <c r="CL113" s="1170"/>
      <c r="CM113" s="1170"/>
      <c r="CN113" s="1170"/>
      <c r="CO113" s="1170"/>
      <c r="CP113" s="1160"/>
      <c r="CQ113" s="1160"/>
      <c r="CR113" s="1160"/>
      <c r="CS113" s="1160"/>
      <c r="CT113" s="1160"/>
      <c r="CU113" s="1160"/>
      <c r="CV113" s="1160"/>
      <c r="CW113" s="1160"/>
      <c r="CX113" s="1160"/>
      <c r="CY113" s="1160"/>
      <c r="CZ113" s="1171"/>
      <c r="DA113" s="1160"/>
      <c r="DB113" s="1160"/>
      <c r="DC113" s="1160"/>
      <c r="DD113" s="1160"/>
      <c r="DE113" s="1160"/>
      <c r="DF113" s="1160"/>
      <c r="DG113" s="1160"/>
      <c r="DH113" s="1160"/>
      <c r="DI113" s="1160"/>
      <c r="DJ113" s="1160"/>
      <c r="DK113" s="1160"/>
      <c r="DL113" s="1191" t="str">
        <f>CK68</f>
        <v>DHT Fuel Gas</v>
      </c>
      <c r="DM113" s="1254">
        <f ca="1">HydroRefineryCalcs!L313</f>
        <v>6337.361175245027</v>
      </c>
      <c r="DN113" s="1160" t="s">
        <v>622</v>
      </c>
      <c r="DO113" s="1160"/>
      <c r="DP113" s="1160"/>
      <c r="DQ113" s="1160"/>
      <c r="DR113" s="1160"/>
      <c r="DS113" s="1160"/>
      <c r="DT113" s="1160"/>
      <c r="DU113" s="1160"/>
      <c r="DV113" s="1160"/>
      <c r="DW113" s="1160"/>
      <c r="DX113" s="1160"/>
      <c r="DY113" s="1160"/>
      <c r="DZ113" s="1160"/>
      <c r="EA113" s="1160"/>
      <c r="EB113" s="1160"/>
      <c r="EC113" s="1160"/>
      <c r="EE113" s="1160" t="s">
        <v>485</v>
      </c>
      <c r="EF113" s="1160"/>
      <c r="EG113" s="1170">
        <f ca="1">(DO45+DM85+DM96+DM107+DM118+DM130+DM141+DM152+DM163+DM62+DM74)*$EG$116</f>
        <v>0</v>
      </c>
    </row>
    <row r="114" spans="1:137" x14ac:dyDescent="0.2">
      <c r="A114" s="1160"/>
      <c r="B114" s="1160"/>
      <c r="C114" s="1160"/>
      <c r="D114" s="1160"/>
      <c r="E114" s="1170"/>
      <c r="F114" s="1170"/>
      <c r="G114" s="1170"/>
      <c r="H114" s="1170"/>
      <c r="I114" s="1170"/>
      <c r="J114" s="1170"/>
      <c r="K114" s="1170"/>
      <c r="L114" s="1186" t="str">
        <f>HydroRefineryCalcs!C10</f>
        <v>Vol Flow</v>
      </c>
      <c r="M114" s="1170" t="str">
        <f ca="1">HydroRefineryCalcs!D10</f>
        <v>m^3/d</v>
      </c>
      <c r="N114" s="1187">
        <f ca="1">HydroRefineryCalcs!F10</f>
        <v>15769.244976030297</v>
      </c>
      <c r="O114" s="1170"/>
      <c r="P114" s="1170"/>
      <c r="Q114" s="1170"/>
      <c r="R114" s="1170"/>
      <c r="S114" s="1170" t="s">
        <v>224</v>
      </c>
      <c r="T114" s="1170"/>
      <c r="U114" s="1187">
        <f ca="1">+(N126+Q98)*$U$117</f>
        <v>4212432.3875972163</v>
      </c>
      <c r="V114" s="1170"/>
      <c r="W114" s="1170"/>
      <c r="X114" s="1170"/>
      <c r="Y114" s="1170"/>
      <c r="Z114" s="1170"/>
      <c r="AA114" s="1170"/>
      <c r="AB114" s="1170"/>
      <c r="AC114" s="1170"/>
      <c r="AD114" s="1170"/>
      <c r="AE114" s="1170"/>
      <c r="AF114" s="1170"/>
      <c r="AG114" s="1170"/>
      <c r="AH114" s="1170"/>
      <c r="AI114" s="1170"/>
      <c r="AJ114" s="1170"/>
      <c r="AK114" s="1170"/>
      <c r="AL114" s="1170"/>
      <c r="AM114" s="1170"/>
      <c r="AN114" s="1170"/>
      <c r="AO114" s="1170"/>
      <c r="AP114" s="1170"/>
      <c r="AQ114" s="1170"/>
      <c r="AR114" s="1170"/>
      <c r="AS114" s="1186" t="str">
        <f>HydroRefineryCalcs!C576</f>
        <v xml:space="preserve">API gravity </v>
      </c>
      <c r="AT114" s="1170"/>
      <c r="AU114" s="1170">
        <f ca="1">HydroRefineryCalcs!G576</f>
        <v>0</v>
      </c>
      <c r="AV114" s="1170"/>
      <c r="AW114" s="1170"/>
      <c r="AX114" s="1170" t="s">
        <v>541</v>
      </c>
      <c r="AY114" s="1170"/>
      <c r="AZ114" s="1170">
        <f ca="1">AE97*$AZ$115</f>
        <v>0</v>
      </c>
      <c r="BA114" s="1170"/>
      <c r="BB114" s="1170"/>
      <c r="BC114" s="1170"/>
      <c r="BD114" s="1170"/>
      <c r="BE114" s="1170"/>
      <c r="BF114" s="1170"/>
      <c r="BG114" s="1170"/>
      <c r="BH114" s="1170"/>
      <c r="BI114" s="1170"/>
      <c r="BJ114" s="1170"/>
      <c r="BK114" s="1170"/>
      <c r="BL114" s="1170"/>
      <c r="BM114" s="1170"/>
      <c r="BN114" s="1186" t="str">
        <f>HydroRefineryCalcs!C366</f>
        <v>Hydrogen</v>
      </c>
      <c r="BO114" s="1170" t="str">
        <f ca="1">HydroRefineryCalcs!D366</f>
        <v>wt%</v>
      </c>
      <c r="BP114" s="1170">
        <f ca="1">HydroRefineryCalcs!J366</f>
        <v>20.738223340772556</v>
      </c>
      <c r="BQ114" s="1170"/>
      <c r="BR114" s="1170"/>
      <c r="BS114" s="1170"/>
      <c r="BT114" s="1170"/>
      <c r="BU114" s="1170"/>
      <c r="BV114" s="1170"/>
      <c r="BW114" s="1170"/>
      <c r="BX114" s="1170" t="s">
        <v>224</v>
      </c>
      <c r="BY114" s="1170">
        <f>'HydroRefinery Detailed Results'!H18</f>
        <v>0</v>
      </c>
      <c r="BZ114" s="1170"/>
      <c r="CA114" s="1170"/>
      <c r="CB114" s="1170"/>
      <c r="CC114" s="1170"/>
      <c r="CD114" s="1170"/>
      <c r="CE114" s="1170"/>
      <c r="CF114" s="1170"/>
      <c r="CG114" s="1170"/>
      <c r="CH114" s="1170"/>
      <c r="CI114" s="1170"/>
      <c r="CJ114" s="1170"/>
      <c r="CK114" s="1170"/>
      <c r="CL114" s="1170"/>
      <c r="CM114" s="1170"/>
      <c r="CN114" s="1170"/>
      <c r="CO114" s="1170"/>
      <c r="CP114" s="1160"/>
      <c r="CQ114" s="1160"/>
      <c r="CR114" s="1160"/>
      <c r="CS114" s="1160"/>
      <c r="CT114" s="1160"/>
      <c r="CU114" s="1160"/>
      <c r="CV114" s="1160"/>
      <c r="CW114" s="1160"/>
      <c r="CX114" s="1160"/>
      <c r="CY114" s="1160"/>
      <c r="CZ114" s="1171"/>
      <c r="DA114" s="1160"/>
      <c r="DB114" s="1160"/>
      <c r="DC114" s="1160"/>
      <c r="DD114" s="1160"/>
      <c r="DE114" s="1160"/>
      <c r="DF114" s="1160"/>
      <c r="DG114" s="1160"/>
      <c r="DH114" s="1160"/>
      <c r="DI114" s="1160"/>
      <c r="DJ114" s="1160"/>
      <c r="DK114" s="1160"/>
      <c r="DL114" s="1193" t="s">
        <v>226</v>
      </c>
      <c r="DM114" s="1243" t="s">
        <v>522</v>
      </c>
      <c r="DN114" s="1160"/>
      <c r="DO114" s="1160"/>
      <c r="DP114" s="1160"/>
      <c r="DQ114" s="1160"/>
      <c r="DR114" s="1160"/>
      <c r="DS114" s="1160"/>
      <c r="DT114" s="1160"/>
      <c r="DU114" s="1160"/>
      <c r="DV114" s="1160"/>
      <c r="DW114" s="1160"/>
      <c r="DX114" s="1160"/>
      <c r="DY114" s="1160"/>
      <c r="DZ114" s="1160"/>
      <c r="EA114" s="1254"/>
      <c r="EB114" s="1160"/>
      <c r="EC114" s="1160"/>
      <c r="EE114" s="1160" t="s">
        <v>541</v>
      </c>
      <c r="EF114" s="1160"/>
      <c r="EG114" s="1170">
        <f ca="1">(DO46+DM86+DM97+DM108+DM119+DM131+DM142+DM153+DM164+DM63+DM75)*$EG$116</f>
        <v>0</v>
      </c>
    </row>
    <row r="115" spans="1:137" x14ac:dyDescent="0.2">
      <c r="A115" s="1160"/>
      <c r="B115" s="1160"/>
      <c r="C115" s="1160"/>
      <c r="D115" s="1160"/>
      <c r="E115" s="1170"/>
      <c r="F115" s="1170"/>
      <c r="G115" s="1170"/>
      <c r="H115" s="1170"/>
      <c r="I115" s="1170"/>
      <c r="J115" s="1170"/>
      <c r="K115" s="1170"/>
      <c r="L115" s="1186" t="str">
        <f>HydroRefineryCalcs!C11</f>
        <v>Mass Flow</v>
      </c>
      <c r="M115" s="1170" t="str">
        <f>HydroRefineryCalcs!D11</f>
        <v>kg/d</v>
      </c>
      <c r="N115" s="1187">
        <f ca="1">HydroRefineryCalcs!F11</f>
        <v>13687328.970000003</v>
      </c>
      <c r="O115" s="1170"/>
      <c r="P115" s="1170"/>
      <c r="Q115" s="1170"/>
      <c r="R115" s="1170"/>
      <c r="S115" s="1170" t="s">
        <v>485</v>
      </c>
      <c r="T115" s="1170"/>
      <c r="U115" s="1170">
        <f>+(N127+Q99)*$U$117</f>
        <v>0</v>
      </c>
      <c r="V115" s="1170"/>
      <c r="W115" s="1170"/>
      <c r="X115" s="1170"/>
      <c r="Y115" s="1170"/>
      <c r="Z115" s="1170"/>
      <c r="AA115" s="1170"/>
      <c r="AB115" s="1170"/>
      <c r="AC115" s="1170"/>
      <c r="AD115" s="1170"/>
      <c r="AE115" s="1170"/>
      <c r="AF115" s="1170"/>
      <c r="AG115" s="1170"/>
      <c r="AH115" s="1170"/>
      <c r="AI115" s="1170"/>
      <c r="AJ115" s="1170"/>
      <c r="AK115" s="1170"/>
      <c r="AL115" s="1170"/>
      <c r="AM115" s="1170"/>
      <c r="AN115" s="1170"/>
      <c r="AO115" s="1170"/>
      <c r="AP115" s="1170"/>
      <c r="AQ115" s="1170"/>
      <c r="AR115" s="1170"/>
      <c r="AS115" s="1186" t="str">
        <f>HydroRefineryCalcs!C577</f>
        <v>Density</v>
      </c>
      <c r="AT115" s="1170" t="str">
        <f ca="1">HydroRefineryCalcs!D577</f>
        <v>kg/m^3</v>
      </c>
      <c r="AU115" s="1170">
        <f ca="1">HydroRefineryCalcs!G577</f>
        <v>0</v>
      </c>
      <c r="AV115" s="1170"/>
      <c r="AW115" s="1170"/>
      <c r="AX115" s="1180" t="s">
        <v>1065</v>
      </c>
      <c r="AY115" s="1180"/>
      <c r="AZ115" s="1170">
        <f ca="1">($AU$120/$AA$103)</f>
        <v>0</v>
      </c>
      <c r="BA115" s="1170"/>
      <c r="BB115" s="1170"/>
      <c r="BC115" s="1170"/>
      <c r="BD115" s="1170"/>
      <c r="BE115" s="1170"/>
      <c r="BF115" s="1170"/>
      <c r="BG115" s="1170"/>
      <c r="BH115" s="1170"/>
      <c r="BI115" s="1181"/>
      <c r="BJ115" s="1170"/>
      <c r="BK115" s="1170"/>
      <c r="BL115" s="1170"/>
      <c r="BM115" s="1170"/>
      <c r="BN115" s="1186" t="str">
        <f>HydroRefineryCalcs!C367</f>
        <v>MCR</v>
      </c>
      <c r="BO115" s="1170" t="str">
        <f ca="1">HydroRefineryCalcs!D367</f>
        <v>wt%</v>
      </c>
      <c r="BP115" s="1170">
        <f>HydroRefineryCalcs!U439</f>
        <v>0</v>
      </c>
      <c r="BQ115" s="1170"/>
      <c r="BR115" s="1170"/>
      <c r="BS115" s="1170"/>
      <c r="BT115" s="1170"/>
      <c r="BU115" s="1170"/>
      <c r="BV115" s="1170"/>
      <c r="BW115" s="1170"/>
      <c r="BX115" s="1170" t="s">
        <v>485</v>
      </c>
      <c r="BY115" s="1170">
        <f ca="1">'HydroRefinery Detailed Results'!J18</f>
        <v>1.0184136879437585E-6</v>
      </c>
      <c r="BZ115" s="1170"/>
      <c r="CA115" s="1170"/>
      <c r="CB115" s="1170"/>
      <c r="CC115" s="1170"/>
      <c r="CD115" s="1170"/>
      <c r="CE115" s="1170"/>
      <c r="CF115" s="1170"/>
      <c r="CG115" s="1170"/>
      <c r="CH115" s="1170"/>
      <c r="CI115" s="1170"/>
      <c r="CJ115" s="1170"/>
      <c r="CK115" s="1170"/>
      <c r="CL115" s="1170"/>
      <c r="CM115" s="1170"/>
      <c r="CN115" s="1170"/>
      <c r="CO115" s="1170"/>
      <c r="CP115" s="1160"/>
      <c r="CQ115" s="1160"/>
      <c r="CR115" s="1160"/>
      <c r="CS115" s="1160"/>
      <c r="CT115" s="1160"/>
      <c r="CU115" s="1160"/>
      <c r="CV115" s="1160"/>
      <c r="CW115" s="1160"/>
      <c r="CX115" s="1160"/>
      <c r="CY115" s="1160"/>
      <c r="CZ115" s="1171"/>
      <c r="DA115" s="1160"/>
      <c r="DB115" s="1160"/>
      <c r="DC115" s="1160"/>
      <c r="DD115" s="1160"/>
      <c r="DE115" s="1160"/>
      <c r="DF115" s="1160"/>
      <c r="DG115" s="1160"/>
      <c r="DH115" s="1160"/>
      <c r="DI115" s="1160"/>
      <c r="DJ115" s="1160"/>
      <c r="DK115" s="1160"/>
      <c r="DL115" s="1160" t="s">
        <v>263</v>
      </c>
      <c r="DM115" s="1254">
        <f ca="1">(AE78+BM245+CJ258)*DM121</f>
        <v>0</v>
      </c>
      <c r="DN115" s="1160"/>
      <c r="DO115" s="1160"/>
      <c r="DP115" s="1160"/>
      <c r="DQ115" s="1160"/>
      <c r="DR115" s="1160"/>
      <c r="DS115" s="1160"/>
      <c r="DT115" s="1160"/>
      <c r="DU115" s="1160"/>
      <c r="DV115" s="1160"/>
      <c r="DW115" s="1160"/>
      <c r="DX115" s="1160"/>
      <c r="DY115" s="1160"/>
      <c r="DZ115" s="1160"/>
      <c r="EA115" s="1160"/>
      <c r="EB115" s="1160"/>
      <c r="EC115" s="1160"/>
      <c r="EE115" s="1160" t="s">
        <v>234</v>
      </c>
      <c r="EF115" s="1160"/>
      <c r="EG115" s="1170">
        <f ca="1">(DM120+DM165)*$EG$116</f>
        <v>0</v>
      </c>
    </row>
    <row r="116" spans="1:137" x14ac:dyDescent="0.2">
      <c r="A116" s="1160"/>
      <c r="B116" s="1160"/>
      <c r="C116" s="1160"/>
      <c r="D116" s="1160"/>
      <c r="E116" s="1170"/>
      <c r="F116" s="1170"/>
      <c r="G116" s="1170"/>
      <c r="H116" s="1170"/>
      <c r="I116" s="1170"/>
      <c r="J116" s="1170"/>
      <c r="K116" s="1170"/>
      <c r="L116" s="1186" t="str">
        <f>HydroRefineryCalcs!C12</f>
        <v xml:space="preserve">Sulphur </v>
      </c>
      <c r="M116" s="1170" t="str">
        <f ca="1">HydroRefineryCalcs!D12</f>
        <v>wt%</v>
      </c>
      <c r="N116" s="1170">
        <f ca="1">HydroRefineryCalcs!F12</f>
        <v>0.16980000000000001</v>
      </c>
      <c r="O116" s="1170"/>
      <c r="P116" s="1170"/>
      <c r="Q116" s="1170"/>
      <c r="R116" s="1170"/>
      <c r="S116" s="1170" t="s">
        <v>541</v>
      </c>
      <c r="T116" s="1170"/>
      <c r="U116" s="1170">
        <f>+(N128+Q100)*$U$117</f>
        <v>0</v>
      </c>
      <c r="V116" s="1170"/>
      <c r="W116" s="1170"/>
      <c r="X116" s="1170"/>
      <c r="Y116" s="1170"/>
      <c r="Z116" s="1170"/>
      <c r="AA116" s="1170"/>
      <c r="AB116" s="1170"/>
      <c r="AC116" s="1170"/>
      <c r="AD116" s="1170"/>
      <c r="AE116" s="1170"/>
      <c r="AF116" s="1170"/>
      <c r="AG116" s="1170"/>
      <c r="AH116" s="1170"/>
      <c r="AI116" s="1170"/>
      <c r="AJ116" s="1170"/>
      <c r="AK116" s="1170"/>
      <c r="AL116" s="1170"/>
      <c r="AM116" s="1170"/>
      <c r="AN116" s="1170"/>
      <c r="AO116" s="1170"/>
      <c r="AP116" s="1170"/>
      <c r="AQ116" s="1170"/>
      <c r="AR116" s="1170"/>
      <c r="AS116" s="1186" t="str">
        <f>HydroRefineryCalcs!C578</f>
        <v>Hydrogen</v>
      </c>
      <c r="AT116" s="1170" t="str">
        <f ca="1">HydroRefineryCalcs!D578</f>
        <v>wt%</v>
      </c>
      <c r="AU116" s="1170">
        <f ca="1">HydroRefineryCalcs!G578</f>
        <v>0</v>
      </c>
      <c r="AV116" s="1170"/>
      <c r="AW116" s="1170"/>
      <c r="AX116" s="1170"/>
      <c r="AY116" s="1170"/>
      <c r="AZ116" s="1170"/>
      <c r="BA116" s="1170"/>
      <c r="BB116" s="1170"/>
      <c r="BC116" s="1170"/>
      <c r="BD116" s="1170"/>
      <c r="BE116" s="1170"/>
      <c r="BF116" s="1170"/>
      <c r="BG116" s="1170"/>
      <c r="BH116" s="1170"/>
      <c r="BI116" s="1170"/>
      <c r="BJ116" s="1170"/>
      <c r="BK116" s="1170"/>
      <c r="BL116" s="1170"/>
      <c r="BM116" s="1170"/>
      <c r="BN116" s="1186" t="s">
        <v>1698</v>
      </c>
      <c r="BO116" s="1199" t="s">
        <v>447</v>
      </c>
      <c r="BP116" s="1252">
        <f>'Energy &amp; Unit Conversions'!$Q$27</f>
        <v>46.898519302437805</v>
      </c>
      <c r="BQ116" s="1170"/>
      <c r="BR116" s="1170"/>
      <c r="BS116" s="1170"/>
      <c r="BT116" s="1170"/>
      <c r="BU116" s="1170"/>
      <c r="BV116" s="1170"/>
      <c r="BW116" s="1170"/>
      <c r="BX116" s="1170" t="s">
        <v>541</v>
      </c>
      <c r="BY116" s="1170"/>
      <c r="BZ116" s="1170"/>
      <c r="CA116" s="1170"/>
      <c r="CB116" s="1170"/>
      <c r="CC116" s="1170"/>
      <c r="CD116" s="1170"/>
      <c r="CE116" s="1170"/>
      <c r="CF116" s="1170"/>
      <c r="CG116" s="1170"/>
      <c r="CH116" s="1170"/>
      <c r="CI116" s="1170"/>
      <c r="CJ116" s="1170"/>
      <c r="CK116" s="1170"/>
      <c r="CL116" s="1170"/>
      <c r="CM116" s="1170"/>
      <c r="CN116" s="1170"/>
      <c r="CO116" s="1170"/>
      <c r="CP116" s="1160"/>
      <c r="CQ116" s="1160"/>
      <c r="CR116" s="1160"/>
      <c r="CS116" s="1160"/>
      <c r="CT116" s="1160"/>
      <c r="CU116" s="1160"/>
      <c r="CV116" s="1160"/>
      <c r="CW116" s="1160"/>
      <c r="CX116" s="1160"/>
      <c r="CY116" s="1160"/>
      <c r="CZ116" s="1171"/>
      <c r="DA116" s="1160"/>
      <c r="DB116" s="1160"/>
      <c r="DC116" s="1160"/>
      <c r="DD116" s="1160"/>
      <c r="DE116" s="1160"/>
      <c r="DF116" s="1160"/>
      <c r="DG116" s="1160"/>
      <c r="DH116" s="1160"/>
      <c r="DI116" s="1160"/>
      <c r="DJ116" s="1160"/>
      <c r="DK116" s="1160"/>
      <c r="DL116" s="1160" t="s">
        <v>392</v>
      </c>
      <c r="DM116" s="1254">
        <f ca="1">(CO87+AE79+BM246+CJ259)*$DM$121</f>
        <v>0</v>
      </c>
      <c r="DN116" s="1160"/>
      <c r="DO116" s="1160"/>
      <c r="DP116" s="1160"/>
      <c r="DQ116" s="1160"/>
      <c r="DR116" s="1160"/>
      <c r="DS116" s="1160"/>
      <c r="DT116" s="1160"/>
      <c r="DU116" s="1160"/>
      <c r="DV116" s="1160"/>
      <c r="DW116" s="1160"/>
      <c r="DX116" s="1160"/>
      <c r="DY116" s="1160"/>
      <c r="DZ116" s="1160"/>
      <c r="EA116" s="1160"/>
      <c r="EB116" s="1160"/>
      <c r="EC116" s="1160"/>
      <c r="EE116" s="2073" t="s">
        <v>1065</v>
      </c>
      <c r="EF116" s="1160"/>
      <c r="EG116" s="1170">
        <f ca="1">HydroRefineryCalcs!Q1502</f>
        <v>0</v>
      </c>
    </row>
    <row r="117" spans="1:137" x14ac:dyDescent="0.2">
      <c r="A117" s="1160"/>
      <c r="B117" s="1160"/>
      <c r="C117" s="1160"/>
      <c r="D117" s="1160"/>
      <c r="E117" s="1170"/>
      <c r="F117" s="1170"/>
      <c r="G117" s="1170"/>
      <c r="H117" s="1170"/>
      <c r="I117" s="1170"/>
      <c r="J117" s="1170"/>
      <c r="K117" s="1170"/>
      <c r="L117" s="1186" t="str">
        <f>HydroRefineryCalcs!C14</f>
        <v xml:space="preserve">API gravity </v>
      </c>
      <c r="M117" s="1170"/>
      <c r="N117" s="1170">
        <f ca="1">HydroRefineryCalcs!F14</f>
        <v>32.710282000696282</v>
      </c>
      <c r="O117" s="1170"/>
      <c r="P117" s="1170"/>
      <c r="Q117" s="1170"/>
      <c r="R117" s="1170"/>
      <c r="S117" s="1183" t="s">
        <v>1065</v>
      </c>
      <c r="T117" s="1170"/>
      <c r="U117" s="1184">
        <v>1</v>
      </c>
      <c r="V117" s="1170"/>
      <c r="W117" s="1170"/>
      <c r="X117" s="1170"/>
      <c r="Y117" s="1170"/>
      <c r="Z117" s="1170"/>
      <c r="AA117" s="1170"/>
      <c r="AB117" s="1170"/>
      <c r="AC117" s="1170"/>
      <c r="AD117" s="1170"/>
      <c r="AE117" s="1170"/>
      <c r="AF117" s="1170"/>
      <c r="AG117" s="1170"/>
      <c r="AH117" s="1204"/>
      <c r="AI117" s="1170"/>
      <c r="AJ117" s="1170"/>
      <c r="AK117" s="1204"/>
      <c r="AL117" s="1170"/>
      <c r="AM117" s="1170"/>
      <c r="AN117" s="1170"/>
      <c r="AO117" s="1170"/>
      <c r="AP117" s="1170"/>
      <c r="AQ117" s="1170"/>
      <c r="AR117" s="1170"/>
      <c r="AS117" s="1186" t="str">
        <f>HydroRefineryCalcs!C579</f>
        <v>MCR</v>
      </c>
      <c r="AT117" s="1170" t="str">
        <f ca="1">HydroRefineryCalcs!D579</f>
        <v>wt%</v>
      </c>
      <c r="AU117" s="1170">
        <f ca="1">HydroRefineryCalcs!G579</f>
        <v>0</v>
      </c>
      <c r="AV117" s="1170"/>
      <c r="AW117" s="1170"/>
      <c r="AX117" s="1170"/>
      <c r="AY117" s="1170"/>
      <c r="AZ117" s="1170"/>
      <c r="BA117" s="1170"/>
      <c r="BB117" s="1170"/>
      <c r="BC117" s="1170"/>
      <c r="BD117" s="1170"/>
      <c r="BE117" s="1170"/>
      <c r="BF117" s="1170"/>
      <c r="BG117" s="1170"/>
      <c r="BH117" s="1170"/>
      <c r="BI117" s="1170"/>
      <c r="BJ117" s="1170"/>
      <c r="BK117" s="1170"/>
      <c r="BL117" s="1170"/>
      <c r="BM117" s="1170"/>
      <c r="BN117" s="1200" t="s">
        <v>1021</v>
      </c>
      <c r="BO117" s="1199" t="s">
        <v>1022</v>
      </c>
      <c r="BP117" s="1252">
        <f>Constants!$G$353</f>
        <v>33.957001686096191</v>
      </c>
      <c r="BQ117" s="1170"/>
      <c r="BR117" s="1170"/>
      <c r="BS117" s="1170"/>
      <c r="BT117" s="1170"/>
      <c r="BU117" s="1170"/>
      <c r="BV117" s="1170"/>
      <c r="BW117" s="1170"/>
      <c r="BX117" s="1170"/>
      <c r="BY117" s="1170"/>
      <c r="BZ117" s="1170"/>
      <c r="CA117" s="1170"/>
      <c r="CB117" s="1170"/>
      <c r="CC117" s="1170"/>
      <c r="CD117" s="1170"/>
      <c r="CE117" s="1170"/>
      <c r="CF117" s="1170"/>
      <c r="CG117" s="1170"/>
      <c r="CH117" s="1170"/>
      <c r="CI117" s="1170"/>
      <c r="CJ117" s="1170"/>
      <c r="CK117" s="1170"/>
      <c r="CL117" s="1170"/>
      <c r="CM117" s="1170"/>
      <c r="CN117" s="1170"/>
      <c r="CO117" s="1170"/>
      <c r="CP117" s="1160"/>
      <c r="CQ117" s="1160"/>
      <c r="CR117" s="1160"/>
      <c r="CS117" s="1160"/>
      <c r="CT117" s="1160"/>
      <c r="CU117" s="1160"/>
      <c r="CV117" s="1160"/>
      <c r="CW117" s="1160"/>
      <c r="CX117" s="1160"/>
      <c r="CY117" s="1160"/>
      <c r="CZ117" s="1171"/>
      <c r="DA117" s="1160"/>
      <c r="DB117" s="1160"/>
      <c r="DC117" s="1160"/>
      <c r="DD117" s="1160"/>
      <c r="DE117" s="1160"/>
      <c r="DF117" s="1160"/>
      <c r="DG117" s="1160"/>
      <c r="DH117" s="1160"/>
      <c r="DI117" s="1160"/>
      <c r="DJ117" s="1160"/>
      <c r="DK117" s="1160"/>
      <c r="DL117" s="1160" t="s">
        <v>224</v>
      </c>
      <c r="DM117" s="1254">
        <f ca="1">(CO88+AE80+BM247+CJ260)*$DM$121</f>
        <v>0</v>
      </c>
      <c r="DN117" s="1160"/>
      <c r="DO117" s="1160"/>
      <c r="DP117" s="1160"/>
      <c r="DQ117" s="1160"/>
      <c r="DR117" s="1160"/>
      <c r="DS117" s="1160"/>
      <c r="DT117" s="1160"/>
      <c r="DU117" s="1160"/>
      <c r="DV117" s="1160"/>
      <c r="DW117" s="1160"/>
      <c r="DX117" s="1160"/>
      <c r="DY117" s="1160"/>
      <c r="DZ117" s="1160"/>
      <c r="EA117" s="1160"/>
      <c r="EB117" s="1160"/>
      <c r="EC117" s="1160"/>
    </row>
    <row r="118" spans="1:137" x14ac:dyDescent="0.2">
      <c r="A118" s="1160"/>
      <c r="B118" s="1160"/>
      <c r="C118" s="1183" t="s">
        <v>226</v>
      </c>
      <c r="D118" s="1160"/>
      <c r="E118" s="1184" t="s">
        <v>522</v>
      </c>
      <c r="F118" s="1170"/>
      <c r="G118" s="1170"/>
      <c r="H118" s="1170"/>
      <c r="I118" s="1170"/>
      <c r="J118" s="1170"/>
      <c r="K118" s="1170"/>
      <c r="L118" s="1186" t="str">
        <f>HydroRefineryCalcs!C15</f>
        <v>Density</v>
      </c>
      <c r="M118" s="1170" t="str">
        <f ca="1">HydroRefineryCalcs!D15</f>
        <v>kg/m^3</v>
      </c>
      <c r="N118" s="1187">
        <f ca="1">HydroRefineryCalcs!F15</f>
        <v>860.83830000000012</v>
      </c>
      <c r="O118" s="1170"/>
      <c r="P118" s="1170"/>
      <c r="Q118" s="1170"/>
      <c r="R118" s="1170"/>
      <c r="S118" s="1170"/>
      <c r="T118" s="1170"/>
      <c r="U118" s="1170"/>
      <c r="V118" s="1170"/>
      <c r="W118" s="1170"/>
      <c r="X118" s="1170"/>
      <c r="Y118" s="1170"/>
      <c r="Z118" s="1170"/>
      <c r="AA118" s="1170"/>
      <c r="AB118" s="1170"/>
      <c r="AC118" s="1170"/>
      <c r="AD118" s="1170"/>
      <c r="AE118" s="1170"/>
      <c r="AF118" s="1170"/>
      <c r="AG118" s="1170"/>
      <c r="AH118" s="1204"/>
      <c r="AI118" s="1170"/>
      <c r="AJ118" s="1170"/>
      <c r="AK118" s="1204"/>
      <c r="AL118" s="1170"/>
      <c r="AM118" s="1170"/>
      <c r="AN118" s="1170"/>
      <c r="AO118" s="1170"/>
      <c r="AP118" s="1170"/>
      <c r="AQ118" s="1170"/>
      <c r="AR118" s="1170"/>
      <c r="AS118" s="1200" t="s">
        <v>1056</v>
      </c>
      <c r="AT118" s="1199" t="s">
        <v>447</v>
      </c>
      <c r="AU118" s="1199">
        <f ca="1">('Energy &amp; Unit Conversions'!$D$63-('Energy &amp; Unit Conversions'!$E$63*POWER((AU115/'Energy &amp; Unit Conversions'!$E$54),2)))</f>
        <v>46.693440000000002</v>
      </c>
      <c r="AV118" s="1170"/>
      <c r="AW118" s="1170"/>
      <c r="AX118" s="1170"/>
      <c r="AY118" s="1170"/>
      <c r="AZ118" s="1170"/>
      <c r="BA118" s="1170"/>
      <c r="BB118" s="1170"/>
      <c r="BC118" s="1170"/>
      <c r="BD118" s="1170"/>
      <c r="BE118" s="1170"/>
      <c r="BF118" s="1170"/>
      <c r="BG118" s="1170"/>
      <c r="BH118" s="1170"/>
      <c r="BI118" s="1170"/>
      <c r="BJ118" s="1170"/>
      <c r="BK118" s="1170"/>
      <c r="BL118" s="1170"/>
      <c r="BM118" s="1170"/>
      <c r="BN118" s="1204" t="s">
        <v>1054</v>
      </c>
      <c r="BO118" s="1204" t="str">
        <f>IF(allocationMethod=1,CokingRefineryPFD!$C$21,IF(allocationMethod=2,CokingRefineryPFD!$C$22,IF(allocationMethod=3,CokingRefineryPFD!$C$23,CokingRefineryPFD!$C$24)))</f>
        <v>Hydrogen Content Basis</v>
      </c>
      <c r="BP118" s="1250">
        <f ca="1">HydroRefineryCalcs!R1512</f>
        <v>0</v>
      </c>
      <c r="BQ118" s="1170"/>
      <c r="BR118" s="1170"/>
      <c r="BS118" s="1170"/>
      <c r="BT118" s="1170"/>
      <c r="BU118" s="1170"/>
      <c r="BV118" s="1170"/>
      <c r="BW118" s="1170"/>
      <c r="BX118" s="1170"/>
      <c r="BY118" s="1170"/>
      <c r="BZ118" s="1170"/>
      <c r="CA118" s="1170"/>
      <c r="CB118" s="1170"/>
      <c r="CC118" s="1170"/>
      <c r="CD118" s="1170"/>
      <c r="CE118" s="1170"/>
      <c r="CF118" s="1170"/>
      <c r="CG118" s="1170"/>
      <c r="CH118" s="1170"/>
      <c r="CI118" s="1170"/>
      <c r="CJ118" s="1170"/>
      <c r="CK118" s="1170"/>
      <c r="CL118" s="1170"/>
      <c r="CM118" s="1170"/>
      <c r="CN118" s="1170"/>
      <c r="CO118" s="1170"/>
      <c r="CP118" s="1160"/>
      <c r="CQ118" s="1160"/>
      <c r="CR118" s="1160"/>
      <c r="CS118" s="1160"/>
      <c r="CT118" s="1160"/>
      <c r="CU118" s="1160"/>
      <c r="CV118" s="1160"/>
      <c r="CW118" s="1160"/>
      <c r="CX118" s="1160"/>
      <c r="CY118" s="1160"/>
      <c r="CZ118" s="1171"/>
      <c r="DA118" s="1160"/>
      <c r="DB118" s="1160"/>
      <c r="DC118" s="1160"/>
      <c r="DD118" s="1160"/>
      <c r="DE118" s="1160"/>
      <c r="DF118" s="1160"/>
      <c r="DG118" s="1160"/>
      <c r="DH118" s="1160"/>
      <c r="DI118" s="1160"/>
      <c r="DJ118" s="1160"/>
      <c r="DK118" s="1160"/>
      <c r="DL118" s="1160" t="s">
        <v>485</v>
      </c>
      <c r="DM118" s="1254">
        <f ca="1">(CO89+AE81+BM248+CJ261)*$DM$121</f>
        <v>0</v>
      </c>
      <c r="DN118" s="1160"/>
      <c r="DO118" s="1160"/>
      <c r="DP118" s="1160"/>
      <c r="DQ118" s="1160"/>
      <c r="DR118" s="1160"/>
      <c r="DS118" s="1160"/>
      <c r="DT118" s="1160"/>
      <c r="DU118" s="1160"/>
      <c r="DV118" s="1160"/>
      <c r="DW118" s="1160"/>
      <c r="DX118" s="1160"/>
      <c r="DY118" s="1160"/>
      <c r="DZ118" s="1160"/>
      <c r="EA118" s="1160"/>
      <c r="EB118" s="1160"/>
      <c r="EC118" s="1160"/>
    </row>
    <row r="119" spans="1:137" x14ac:dyDescent="0.2">
      <c r="A119" s="1160"/>
      <c r="B119" s="1160"/>
      <c r="C119" s="1170" t="s">
        <v>263</v>
      </c>
      <c r="D119" s="1160"/>
      <c r="E119" s="1170">
        <f ca="1">E98*E105</f>
        <v>558611377.33641267</v>
      </c>
      <c r="F119" s="1170"/>
      <c r="G119" s="1170"/>
      <c r="H119" s="1170"/>
      <c r="I119" s="1170"/>
      <c r="J119" s="1170"/>
      <c r="K119" s="1170"/>
      <c r="L119" s="1186" t="str">
        <f>HydroRefineryCalcs!C16</f>
        <v>Hydrogen</v>
      </c>
      <c r="M119" s="1170" t="str">
        <f ca="1">HydroRefineryCalcs!D16</f>
        <v>wt%</v>
      </c>
      <c r="N119" s="1170">
        <f ca="1">HydroRefineryCalcs!F16</f>
        <v>12.931648905131908</v>
      </c>
      <c r="O119" s="1170"/>
      <c r="P119" s="1170"/>
      <c r="Q119" s="1170"/>
      <c r="R119" s="1170"/>
      <c r="S119" s="1170"/>
      <c r="T119" s="1170"/>
      <c r="U119" s="1170"/>
      <c r="V119" s="1170"/>
      <c r="W119" s="1170"/>
      <c r="X119" s="1170"/>
      <c r="Y119" s="1170"/>
      <c r="Z119" s="1170"/>
      <c r="AA119" s="1170"/>
      <c r="AB119" s="1170"/>
      <c r="AC119" s="1170"/>
      <c r="AD119" s="1170"/>
      <c r="AE119" s="1170"/>
      <c r="AF119" s="1170"/>
      <c r="AG119" s="1170"/>
      <c r="AH119" s="1170"/>
      <c r="AI119" s="1170"/>
      <c r="AJ119" s="1170"/>
      <c r="AK119" s="1170"/>
      <c r="AL119" s="1170"/>
      <c r="AM119" s="1170"/>
      <c r="AN119" s="1170"/>
      <c r="AO119" s="1170"/>
      <c r="AP119" s="1170"/>
      <c r="AQ119" s="1170"/>
      <c r="AR119" s="1170"/>
      <c r="AS119" s="1200" t="s">
        <v>1021</v>
      </c>
      <c r="AT119" s="1199" t="s">
        <v>1022</v>
      </c>
      <c r="AU119" s="1199">
        <f>AA102</f>
        <v>86.12</v>
      </c>
      <c r="AV119" s="1170"/>
      <c r="AW119" s="1170"/>
      <c r="AX119" s="1170"/>
      <c r="AY119" s="1170"/>
      <c r="AZ119" s="1170"/>
      <c r="BA119" s="1170"/>
      <c r="BB119" s="1170"/>
      <c r="BC119" s="1170"/>
      <c r="BD119" s="1170"/>
      <c r="BE119" s="1170"/>
      <c r="BF119" s="1170"/>
      <c r="BG119" s="1170"/>
      <c r="BH119" s="1170"/>
      <c r="BI119" s="1170"/>
      <c r="BJ119" s="1170"/>
      <c r="BK119" s="1170"/>
      <c r="BL119" s="1170"/>
      <c r="BM119" s="1170"/>
      <c r="BN119" s="1170"/>
      <c r="BO119" s="1170"/>
      <c r="BP119" s="1170"/>
      <c r="BQ119" s="1170"/>
      <c r="BR119" s="1170"/>
      <c r="BS119" s="1170"/>
      <c r="BT119" s="1170"/>
      <c r="BU119" s="1170"/>
      <c r="BV119" s="1170"/>
      <c r="BW119" s="1170"/>
      <c r="BX119" s="1170"/>
      <c r="BY119" s="1170"/>
      <c r="BZ119" s="1170"/>
      <c r="CA119" s="1170"/>
      <c r="CB119" s="1170"/>
      <c r="CC119" s="1170"/>
      <c r="CD119" s="1170"/>
      <c r="CE119" s="1170"/>
      <c r="CF119" s="1170"/>
      <c r="CG119" s="1170"/>
      <c r="CH119" s="1170"/>
      <c r="CI119" s="1170"/>
      <c r="CJ119" s="1170"/>
      <c r="CK119" s="1170"/>
      <c r="CL119" s="1170"/>
      <c r="CM119" s="1170"/>
      <c r="CN119" s="1170"/>
      <c r="CO119" s="1170"/>
      <c r="CP119" s="1160"/>
      <c r="CQ119" s="1160"/>
      <c r="CR119" s="1160"/>
      <c r="CS119" s="1160"/>
      <c r="CT119" s="1160"/>
      <c r="CU119" s="1160"/>
      <c r="CV119" s="1160"/>
      <c r="CW119" s="1160"/>
      <c r="CX119" s="1160"/>
      <c r="CY119" s="1160"/>
      <c r="CZ119" s="1171"/>
      <c r="DA119" s="1160"/>
      <c r="DB119" s="1160"/>
      <c r="DC119" s="1160"/>
      <c r="DD119" s="1160"/>
      <c r="DE119" s="1160"/>
      <c r="DF119" s="1160"/>
      <c r="DG119" s="1160"/>
      <c r="DH119" s="1160"/>
      <c r="DI119" s="1160"/>
      <c r="DJ119" s="1160"/>
      <c r="DK119" s="1160"/>
      <c r="DL119" s="1160" t="s">
        <v>541</v>
      </c>
      <c r="DM119" s="1254">
        <f ca="1">(CO90+AE82+BM249+CJ262)*$DM$121</f>
        <v>0</v>
      </c>
      <c r="DN119" s="1160"/>
      <c r="DO119" s="1160"/>
      <c r="DP119" s="1160"/>
      <c r="DQ119" s="1160"/>
      <c r="DR119" s="1160"/>
      <c r="DS119" s="1160"/>
      <c r="DT119" s="1160"/>
      <c r="DU119" s="1160"/>
      <c r="DV119" s="1160"/>
      <c r="DW119" s="1160"/>
      <c r="DX119" s="1160"/>
      <c r="DY119" s="1160"/>
      <c r="DZ119" s="1160"/>
      <c r="EA119" s="1160"/>
      <c r="EB119" s="1160"/>
      <c r="EC119" s="1160"/>
    </row>
    <row r="120" spans="1:137" x14ac:dyDescent="0.2">
      <c r="A120" s="1160"/>
      <c r="B120" s="1160"/>
      <c r="C120" s="1160"/>
      <c r="D120" s="1160"/>
      <c r="E120" s="1170"/>
      <c r="F120" s="1170"/>
      <c r="G120" s="1180" t="str">
        <f>'HydroRefinery Detailed Results'!C9</f>
        <v>Desalter</v>
      </c>
      <c r="H120" s="1170"/>
      <c r="I120" s="1170"/>
      <c r="J120" s="1170"/>
      <c r="K120" s="1170"/>
      <c r="L120" s="1186" t="str">
        <f>HydroRefineryCalcs!C17</f>
        <v>MCR</v>
      </c>
      <c r="M120" s="1170" t="str">
        <f ca="1">HydroRefineryCalcs!D17</f>
        <v>wt%</v>
      </c>
      <c r="N120" s="1170">
        <f ca="1">HydroRefineryCalcs!F17</f>
        <v>1.2</v>
      </c>
      <c r="O120" s="1170"/>
      <c r="P120" s="1170"/>
      <c r="Q120" s="1170"/>
      <c r="R120" s="1170"/>
      <c r="S120" s="1170"/>
      <c r="T120" s="1170"/>
      <c r="U120" s="1170"/>
      <c r="V120" s="1170"/>
      <c r="W120" s="1170"/>
      <c r="X120" s="1170"/>
      <c r="Y120" s="1170"/>
      <c r="Z120" s="1170"/>
      <c r="AA120" s="1170"/>
      <c r="AB120" s="1170"/>
      <c r="AC120" s="1170"/>
      <c r="AD120" s="1170"/>
      <c r="AE120" s="1170"/>
      <c r="AF120" s="1170"/>
      <c r="AG120" s="1170"/>
      <c r="AH120" s="1170"/>
      <c r="AI120" s="1170"/>
      <c r="AJ120" s="1170"/>
      <c r="AK120" s="1170"/>
      <c r="AL120" s="1170"/>
      <c r="AM120" s="1170"/>
      <c r="AN120" s="1170"/>
      <c r="AO120" s="1170"/>
      <c r="AP120" s="1170"/>
      <c r="AQ120" s="1170"/>
      <c r="AR120" s="1170"/>
      <c r="AS120" s="1204" t="s">
        <v>1054</v>
      </c>
      <c r="AT120" s="1204" t="str">
        <f>IF(allocationMethod=1,CokingRefineryPFD!$C$21,IF(allocationMethod=2,CokingRefineryPFD!$C$22,IF(allocationMethod=3,CokingRefineryPFD!$C$23,CokingRefineryPFD!$C$24)))</f>
        <v>Hydrogen Content Basis</v>
      </c>
      <c r="AU120" s="1250">
        <f ca="1">IF(allocationMethod=1,AU112,IF(allocationMethod=2,AU118*AU112,IF(allocationMethod=3,AU119*AU110,AU116*AU112/100)))</f>
        <v>0</v>
      </c>
      <c r="AV120" s="1170"/>
      <c r="AW120" s="1170"/>
      <c r="AX120" s="1170"/>
      <c r="AY120" s="1170"/>
      <c r="AZ120" s="1170"/>
      <c r="BA120" s="1170"/>
      <c r="BB120" s="1170"/>
      <c r="BC120" s="1170"/>
      <c r="BD120" s="1170"/>
      <c r="BE120" s="1170"/>
      <c r="BF120" s="1170"/>
      <c r="BG120" s="1170"/>
      <c r="BH120" s="1170"/>
      <c r="BI120" s="1170"/>
      <c r="BJ120" s="1170"/>
      <c r="BK120" s="1170"/>
      <c r="BL120" s="1170"/>
      <c r="BM120" s="1170"/>
      <c r="BN120" s="1170"/>
      <c r="BO120" s="1170"/>
      <c r="BP120" s="1170"/>
      <c r="BQ120" s="1170"/>
      <c r="BR120" s="1181" t="str">
        <f>HydroRefineryCalcs!N358</f>
        <v>HC Product Liquids</v>
      </c>
      <c r="BS120" s="1170"/>
      <c r="BT120" s="1170"/>
      <c r="BU120" s="1170"/>
      <c r="BV120" s="1170"/>
      <c r="BW120" s="1170"/>
      <c r="BX120" s="1170"/>
      <c r="BY120" s="1170"/>
      <c r="BZ120" s="1170"/>
      <c r="CA120" s="1170"/>
      <c r="CB120" s="1170"/>
      <c r="CC120" s="1170"/>
      <c r="CD120" s="1170"/>
      <c r="CE120" s="1170"/>
      <c r="CF120" s="1170"/>
      <c r="CG120" s="1170"/>
      <c r="CH120" s="1170"/>
      <c r="CI120" s="1170"/>
      <c r="CJ120" s="1170"/>
      <c r="CK120" s="1170"/>
      <c r="CL120" s="1170"/>
      <c r="CM120" s="1170"/>
      <c r="CN120" s="1170"/>
      <c r="CO120" s="1170"/>
      <c r="CP120" s="1160"/>
      <c r="CQ120" s="1160"/>
      <c r="CR120" s="1160"/>
      <c r="CS120" s="1160"/>
      <c r="CT120" s="1160"/>
      <c r="CU120" s="1160"/>
      <c r="CV120" s="1160"/>
      <c r="CW120" s="1160"/>
      <c r="CX120" s="1160"/>
      <c r="CY120" s="1160"/>
      <c r="CZ120" s="1171"/>
      <c r="DA120" s="1160"/>
      <c r="DB120" s="1160"/>
      <c r="DC120" s="1160"/>
      <c r="DD120" s="1160"/>
      <c r="DE120" s="1160"/>
      <c r="DF120" s="1160"/>
      <c r="DG120" s="1160"/>
      <c r="DH120" s="1160"/>
      <c r="DI120" s="1160"/>
      <c r="DJ120" s="1160"/>
      <c r="DK120" s="1160"/>
      <c r="DL120" s="1160" t="str">
        <f>CH263</f>
        <v>Catalyst Coke</v>
      </c>
      <c r="DM120" s="1245">
        <f ca="1">(CJ263)*$DM$121</f>
        <v>0</v>
      </c>
      <c r="DN120" s="1160"/>
      <c r="DO120" s="1160"/>
      <c r="DP120" s="1160"/>
      <c r="DQ120" s="1160"/>
      <c r="DR120" s="1160"/>
      <c r="DS120" s="1160"/>
      <c r="DT120" s="1160"/>
      <c r="DU120" s="1160"/>
      <c r="DV120" s="1160"/>
      <c r="DW120" s="1160"/>
      <c r="DX120" s="1160"/>
      <c r="DY120" s="1160"/>
      <c r="DZ120" s="1160"/>
      <c r="EA120" s="1160"/>
      <c r="EB120" s="1160"/>
      <c r="EC120" s="1160"/>
    </row>
    <row r="121" spans="1:137" x14ac:dyDescent="0.2">
      <c r="A121" s="1160"/>
      <c r="B121" s="1160"/>
      <c r="C121" s="1160"/>
      <c r="D121" s="1160"/>
      <c r="E121" s="1170"/>
      <c r="F121" s="1170"/>
      <c r="G121" s="1184" t="s">
        <v>225</v>
      </c>
      <c r="H121" s="1184" t="s">
        <v>522</v>
      </c>
      <c r="I121" s="1170"/>
      <c r="J121" s="1170"/>
      <c r="K121" s="1170"/>
      <c r="L121" s="1200"/>
      <c r="M121" s="1199"/>
      <c r="N121" s="1199"/>
      <c r="O121" s="1170"/>
      <c r="P121" s="1170"/>
      <c r="Q121" s="1170"/>
      <c r="R121" s="1170"/>
      <c r="S121" s="1170"/>
      <c r="T121" s="1170"/>
      <c r="U121" s="1170"/>
      <c r="V121" s="1170"/>
      <c r="W121" s="1170"/>
      <c r="X121" s="1170"/>
      <c r="Y121" s="1170"/>
      <c r="Z121" s="1170"/>
      <c r="AA121" s="1170"/>
      <c r="AB121" s="1170"/>
      <c r="AC121" s="1170"/>
      <c r="AD121" s="1170"/>
      <c r="AE121" s="1170"/>
      <c r="AF121" s="1170"/>
      <c r="AG121" s="1170"/>
      <c r="AH121" s="1170"/>
      <c r="AI121" s="1170"/>
      <c r="AJ121" s="1170"/>
      <c r="AK121" s="1170"/>
      <c r="AL121" s="1170"/>
      <c r="AM121" s="1170"/>
      <c r="AN121" s="1170"/>
      <c r="AO121" s="1170"/>
      <c r="AP121" s="1170"/>
      <c r="AQ121" s="1170"/>
      <c r="AR121" s="1170"/>
      <c r="AS121" s="1170"/>
      <c r="AT121" s="1170"/>
      <c r="AU121" s="1170"/>
      <c r="AV121" s="1170"/>
      <c r="AW121" s="1170"/>
      <c r="AX121" s="1170"/>
      <c r="AY121" s="1170"/>
      <c r="AZ121" s="1170"/>
      <c r="BA121" s="1170"/>
      <c r="BB121" s="1170"/>
      <c r="BC121" s="1170"/>
      <c r="BD121" s="1170"/>
      <c r="BE121" s="1170"/>
      <c r="BF121" s="1170"/>
      <c r="BG121" s="1181" t="str">
        <f>HydroRefineryCalcs!I358</f>
        <v>Gas Oil Hydrocracker Feed</v>
      </c>
      <c r="BH121" s="1181"/>
      <c r="BI121" s="1170"/>
      <c r="BJ121" s="1170"/>
      <c r="BK121" s="1170"/>
      <c r="BL121" s="1170"/>
      <c r="BM121" s="1170"/>
      <c r="BN121" s="1170"/>
      <c r="BO121" s="1170"/>
      <c r="BP121" s="1170"/>
      <c r="BQ121" s="1170"/>
      <c r="BR121" s="1182" t="str">
        <f>HydroRefineryCalcs!C358</f>
        <v>Property</v>
      </c>
      <c r="BS121" s="1182" t="str">
        <f>HydroRefineryCalcs!D358</f>
        <v>Units</v>
      </c>
      <c r="BT121" s="1170"/>
      <c r="BU121" s="1170"/>
      <c r="BV121" s="1170"/>
      <c r="BW121" s="1170"/>
      <c r="BX121" s="1170"/>
      <c r="BY121" s="1170"/>
      <c r="BZ121" s="1170"/>
      <c r="CA121" s="1170"/>
      <c r="CB121" s="1170"/>
      <c r="CC121" s="1170"/>
      <c r="CD121" s="1181" t="str">
        <f>HydroRefineryCalcs!G444</f>
        <v>HC Diesel</v>
      </c>
      <c r="CE121" s="1170"/>
      <c r="CF121" s="1170"/>
      <c r="CG121" s="1170"/>
      <c r="CH121" s="1180" t="str">
        <f>CD121</f>
        <v>HC Diesel</v>
      </c>
      <c r="CI121" s="1170"/>
      <c r="CJ121" s="1170"/>
      <c r="CK121" s="1170"/>
      <c r="CL121" s="1170"/>
      <c r="CM121" s="1170"/>
      <c r="CN121" s="1170"/>
      <c r="CO121" s="1170"/>
      <c r="CP121" s="1160"/>
      <c r="CQ121" s="1160"/>
      <c r="CR121" s="1160"/>
      <c r="CS121" s="1160"/>
      <c r="CT121" s="1160"/>
      <c r="CU121" s="1160"/>
      <c r="CV121" s="1160"/>
      <c r="CW121" s="1160"/>
      <c r="CX121" s="1160"/>
      <c r="CY121" s="1160"/>
      <c r="CZ121" s="1171"/>
      <c r="DA121" s="1160"/>
      <c r="DB121" s="1160"/>
      <c r="DC121" s="1160"/>
      <c r="DD121" s="1160"/>
      <c r="DE121" s="1160"/>
      <c r="DF121" s="1160"/>
      <c r="DG121" s="1160"/>
      <c r="DH121" s="1160"/>
      <c r="DI121" s="1160"/>
      <c r="DJ121" s="1160"/>
      <c r="DK121" s="1160"/>
      <c r="DL121" s="1191" t="s">
        <v>1066</v>
      </c>
      <c r="DM121" s="1245">
        <f ca="1">IF('HydroRefineryPFD '!E27=TRUE,DM122,0)</f>
        <v>0</v>
      </c>
      <c r="DN121" s="1160"/>
      <c r="DO121" s="1160"/>
      <c r="DP121" s="1160"/>
      <c r="DQ121" s="1160"/>
      <c r="DR121" s="1160"/>
      <c r="DS121" s="1160"/>
      <c r="DT121" s="1160"/>
      <c r="DU121" s="1160"/>
      <c r="DV121" s="1160"/>
      <c r="DW121" s="1160"/>
      <c r="DX121" s="1160"/>
      <c r="DY121" s="1160"/>
      <c r="DZ121" s="1160"/>
      <c r="EA121" s="1160"/>
      <c r="EB121" s="1160"/>
      <c r="EC121" s="1160"/>
    </row>
    <row r="122" spans="1:137" x14ac:dyDescent="0.2">
      <c r="A122" s="1160"/>
      <c r="B122" s="1160"/>
      <c r="C122" s="1160"/>
      <c r="D122" s="1160"/>
      <c r="E122" s="1170"/>
      <c r="F122" s="1170"/>
      <c r="G122" s="1170" t="s">
        <v>392</v>
      </c>
      <c r="H122" s="1170">
        <f ca="1">'HydroRefinery Detailed Results'!F9</f>
        <v>5356.0204412908206</v>
      </c>
      <c r="I122" s="1170"/>
      <c r="J122" s="1170"/>
      <c r="K122" s="1170"/>
      <c r="L122" s="1200"/>
      <c r="M122" s="1199"/>
      <c r="N122" s="1204"/>
      <c r="O122" s="1170"/>
      <c r="P122" s="1170"/>
      <c r="Q122" s="1170"/>
      <c r="R122" s="1170"/>
      <c r="S122" s="1170"/>
      <c r="T122" s="1170"/>
      <c r="U122" s="1170"/>
      <c r="V122" s="1170"/>
      <c r="W122" s="1170"/>
      <c r="X122" s="1170"/>
      <c r="Y122" s="1170"/>
      <c r="Z122" s="1170"/>
      <c r="AA122" s="1170"/>
      <c r="AB122" s="1170"/>
      <c r="AC122" s="1170"/>
      <c r="AD122" s="1170"/>
      <c r="AE122" s="1170"/>
      <c r="AF122" s="1170"/>
      <c r="AG122" s="1170"/>
      <c r="AH122" s="1170"/>
      <c r="AI122" s="1170"/>
      <c r="AJ122" s="1170"/>
      <c r="AK122" s="1170"/>
      <c r="AL122" s="1170"/>
      <c r="AM122" s="1170"/>
      <c r="AN122" s="1170"/>
      <c r="AO122" s="1170"/>
      <c r="AP122" s="1170"/>
      <c r="AQ122" s="1170"/>
      <c r="AR122" s="1170"/>
      <c r="AS122" s="1170"/>
      <c r="AT122" s="1170"/>
      <c r="AU122" s="1170"/>
      <c r="AV122" s="1170"/>
      <c r="AW122" s="1170"/>
      <c r="AX122" s="1170"/>
      <c r="AY122" s="1170"/>
      <c r="AZ122" s="1170"/>
      <c r="BA122" s="1170"/>
      <c r="BB122" s="1170"/>
      <c r="BC122" s="1170"/>
      <c r="BD122" s="1170"/>
      <c r="BE122" s="1170"/>
      <c r="BF122" s="1170"/>
      <c r="BG122" s="1182" t="str">
        <f>HydroRefineryCalcs!C358</f>
        <v>Property</v>
      </c>
      <c r="BH122" s="1182" t="str">
        <f>HydroRefineryCalcs!D358</f>
        <v>Units</v>
      </c>
      <c r="BI122" s="1170"/>
      <c r="BJ122" s="1170"/>
      <c r="BK122" s="1170"/>
      <c r="BL122" s="1170"/>
      <c r="BM122" s="1170"/>
      <c r="BN122" s="1170"/>
      <c r="BO122" s="1170"/>
      <c r="BP122" s="1170"/>
      <c r="BQ122" s="1170"/>
      <c r="BR122" s="1186" t="str">
        <f>HydroRefineryCalcs!C359</f>
        <v>Vol Flow</v>
      </c>
      <c r="BS122" s="1170" t="str">
        <f ca="1">HydroRefineryCalcs!D359</f>
        <v>bpd</v>
      </c>
      <c r="BT122" s="1170">
        <f ca="1">HydroRefineryCalcs!N359</f>
        <v>1.3049153309122374E-8</v>
      </c>
      <c r="BU122" s="1170"/>
      <c r="BV122" s="1170"/>
      <c r="BW122" s="1170"/>
      <c r="BX122" s="1170"/>
      <c r="BY122" s="1170"/>
      <c r="BZ122" s="1170"/>
      <c r="CA122" s="1170"/>
      <c r="CB122" s="1170"/>
      <c r="CC122" s="1170"/>
      <c r="CD122" s="1182" t="str">
        <f>HydroRefineryCalcs!C444</f>
        <v>Property</v>
      </c>
      <c r="CE122" s="1182" t="str">
        <f>HydroRefineryCalcs!D444</f>
        <v>Units</v>
      </c>
      <c r="CF122" s="1170"/>
      <c r="CG122" s="1170"/>
      <c r="CH122" s="1183" t="s">
        <v>226</v>
      </c>
      <c r="CI122" s="1184" t="s">
        <v>522</v>
      </c>
      <c r="CJ122" s="1170"/>
      <c r="CK122" s="1170"/>
      <c r="CL122" s="1170"/>
      <c r="CM122" s="1170"/>
      <c r="CN122" s="1170"/>
      <c r="CO122" s="1170"/>
      <c r="CP122" s="1160"/>
      <c r="CQ122" s="1160"/>
      <c r="CR122" s="1160"/>
      <c r="CS122" s="1160"/>
      <c r="CT122" s="1160"/>
      <c r="CU122" s="1160"/>
      <c r="CV122" s="1160"/>
      <c r="CW122" s="1160"/>
      <c r="CX122" s="1160"/>
      <c r="CY122" s="1160"/>
      <c r="CZ122" s="1171"/>
      <c r="DA122" s="1160"/>
      <c r="DB122" s="1160"/>
      <c r="DC122" s="1160"/>
      <c r="DD122" s="1160"/>
      <c r="DE122" s="1160"/>
      <c r="DF122" s="1160"/>
      <c r="DG122" s="1160"/>
      <c r="DH122" s="1160"/>
      <c r="DI122" s="1160"/>
      <c r="DJ122" s="1160"/>
      <c r="DK122" s="1160"/>
      <c r="DL122" s="1191" t="s">
        <v>1065</v>
      </c>
      <c r="DM122" s="1245">
        <f ca="1">CM80/(CU92+CM80)</f>
        <v>0</v>
      </c>
      <c r="DN122" s="1160"/>
      <c r="DO122" s="1160"/>
      <c r="DP122" s="1160"/>
      <c r="DQ122" s="1160"/>
      <c r="DR122" s="1160"/>
      <c r="DS122" s="1160"/>
      <c r="DT122" s="1160"/>
      <c r="DU122" s="1160"/>
      <c r="DV122" s="1160"/>
      <c r="DW122" s="1160"/>
      <c r="DX122" s="1160"/>
      <c r="DY122" s="1160"/>
      <c r="DZ122" s="1160"/>
      <c r="EA122" s="1195" t="str">
        <f>CokingRefineryCalcs!T977</f>
        <v>Total Sulphur production</v>
      </c>
      <c r="EB122" s="1160"/>
      <c r="EC122" s="1160"/>
    </row>
    <row r="123" spans="1:137" x14ac:dyDescent="0.2">
      <c r="A123" s="1160"/>
      <c r="B123" s="1160"/>
      <c r="C123" s="1160"/>
      <c r="D123" s="1160"/>
      <c r="E123" s="1170"/>
      <c r="F123" s="1170"/>
      <c r="G123" s="1170" t="s">
        <v>224</v>
      </c>
      <c r="H123" s="1170">
        <f>'HydroRefinery Detailed Results'!H9</f>
        <v>0</v>
      </c>
      <c r="I123" s="1170"/>
      <c r="J123" s="1170"/>
      <c r="K123" s="1170"/>
      <c r="L123" s="1183" t="s">
        <v>226</v>
      </c>
      <c r="M123" s="1170"/>
      <c r="N123" s="1184" t="s">
        <v>522</v>
      </c>
      <c r="O123" s="1170"/>
      <c r="P123" s="1170"/>
      <c r="Q123" s="1170"/>
      <c r="R123" s="1170"/>
      <c r="S123" s="1170"/>
      <c r="T123" s="1170"/>
      <c r="U123" s="1170"/>
      <c r="V123" s="1170"/>
      <c r="W123" s="1170"/>
      <c r="X123" s="1170"/>
      <c r="Y123" s="1170"/>
      <c r="Z123" s="1170"/>
      <c r="AA123" s="1170"/>
      <c r="AB123" s="1170"/>
      <c r="AC123" s="1170"/>
      <c r="AD123" s="1170"/>
      <c r="AE123" s="1170"/>
      <c r="AF123" s="1170"/>
      <c r="AG123" s="1170"/>
      <c r="AH123" s="1170"/>
      <c r="AI123" s="1170"/>
      <c r="AJ123" s="1170"/>
      <c r="AK123" s="1170"/>
      <c r="AL123" s="1170"/>
      <c r="AM123" s="1170"/>
      <c r="AN123" s="1170"/>
      <c r="AO123" s="1170"/>
      <c r="AP123" s="1170"/>
      <c r="AQ123" s="1170"/>
      <c r="AR123" s="1170"/>
      <c r="AS123" s="1170"/>
      <c r="AT123" s="1170"/>
      <c r="AU123" s="1170"/>
      <c r="AV123" s="1170"/>
      <c r="AW123" s="1170"/>
      <c r="AX123" s="1170"/>
      <c r="AY123" s="1170"/>
      <c r="AZ123" s="1170"/>
      <c r="BA123" s="1170"/>
      <c r="BB123" s="1170"/>
      <c r="BC123" s="1170"/>
      <c r="BD123" s="1170"/>
      <c r="BE123" s="1170"/>
      <c r="BF123" s="1170"/>
      <c r="BG123" s="1186" t="str">
        <f>HydroRefineryCalcs!C359</f>
        <v>Vol Flow</v>
      </c>
      <c r="BH123" s="1170" t="str">
        <f ca="1">HydroRefineryCalcs!D359</f>
        <v>bpd</v>
      </c>
      <c r="BI123" s="1170">
        <f ca="1">HydroRefineryCalcs!I359</f>
        <v>1.1182517606218385E-8</v>
      </c>
      <c r="BJ123" s="1170"/>
      <c r="BK123" s="1170"/>
      <c r="BL123" s="1170"/>
      <c r="BM123" s="1170"/>
      <c r="BN123" s="1170"/>
      <c r="BO123" s="1170"/>
      <c r="BP123" s="1170"/>
      <c r="BQ123" s="1170"/>
      <c r="BR123" s="1186" t="str">
        <f>HydroRefineryCalcs!C360</f>
        <v>Vol Flow</v>
      </c>
      <c r="BS123" s="1170" t="str">
        <f ca="1">HydroRefineryCalcs!D360</f>
        <v>m^3/d</v>
      </c>
      <c r="BT123" s="1170">
        <f ca="1">HydroRefineryCalcs!N360</f>
        <v>2.0746496519034315E-9</v>
      </c>
      <c r="BU123" s="1170"/>
      <c r="BV123" s="1170"/>
      <c r="BW123" s="1170"/>
      <c r="BX123" s="1170"/>
      <c r="BY123" s="1170"/>
      <c r="BZ123" s="1170"/>
      <c r="CA123" s="1170"/>
      <c r="CB123" s="1170"/>
      <c r="CC123" s="1170"/>
      <c r="CD123" s="1186" t="str">
        <f>HydroRefineryCalcs!C445</f>
        <v>Vol Flow</v>
      </c>
      <c r="CE123" s="1170" t="str">
        <f>HydroRefineryCalcs!D445</f>
        <v>bpd</v>
      </c>
      <c r="CF123" s="1187">
        <f ca="1">HydroRefineryCalcs!G445</f>
        <v>6.3917148298864941E-9</v>
      </c>
      <c r="CG123" s="1170"/>
      <c r="CH123" s="1170" t="s">
        <v>263</v>
      </c>
      <c r="CI123" s="1187">
        <f ca="1">BT135*CI128</f>
        <v>0</v>
      </c>
      <c r="CJ123" s="1170"/>
      <c r="CK123" s="1170"/>
      <c r="CL123" s="1170"/>
      <c r="CM123" s="1170"/>
      <c r="CN123" s="1170"/>
      <c r="CO123" s="1170"/>
      <c r="CP123" s="1160"/>
      <c r="CQ123" s="1160"/>
      <c r="CR123" s="1160"/>
      <c r="CS123" s="1160"/>
      <c r="CT123" s="1160"/>
      <c r="CU123" s="1160"/>
      <c r="CV123" s="1160"/>
      <c r="CW123" s="1160"/>
      <c r="CX123" s="1160"/>
      <c r="CY123" s="1160"/>
      <c r="CZ123" s="1171"/>
      <c r="DA123" s="1160"/>
      <c r="DB123" s="1160"/>
      <c r="DC123" s="1160"/>
      <c r="DD123" s="1160"/>
      <c r="DE123" s="1160"/>
      <c r="DF123" s="1160"/>
      <c r="DG123" s="1160"/>
      <c r="DH123" s="1160"/>
      <c r="DI123" s="1160"/>
      <c r="DJ123" s="1160"/>
      <c r="DK123" s="1160"/>
      <c r="DL123" s="1253" t="s">
        <v>228</v>
      </c>
      <c r="DM123" s="1295">
        <f ca="1">CM72/(AA80+CJ247+CO93+BI247)</f>
        <v>3.5888341081237174E-3</v>
      </c>
      <c r="DN123" s="1160"/>
      <c r="DO123" s="1160"/>
      <c r="DP123" s="1160"/>
      <c r="DQ123" s="1160"/>
      <c r="DR123" s="1160"/>
      <c r="DS123" s="1160"/>
      <c r="DT123" s="1160"/>
      <c r="DU123" s="1160"/>
      <c r="DV123" s="1160"/>
      <c r="DW123" s="1160"/>
      <c r="DX123" s="1160"/>
      <c r="DY123" s="1160"/>
      <c r="DZ123" s="1160"/>
      <c r="EA123" s="1229" t="s">
        <v>620</v>
      </c>
      <c r="EB123" s="1160" t="s">
        <v>622</v>
      </c>
      <c r="EC123" s="1187">
        <f ca="1">HydroRefineryCalcs!S1049</f>
        <v>4282.1221115613989</v>
      </c>
    </row>
    <row r="124" spans="1:137" x14ac:dyDescent="0.2">
      <c r="A124" s="1160"/>
      <c r="B124" s="1160"/>
      <c r="C124" s="1160"/>
      <c r="D124" s="1160"/>
      <c r="E124" s="1170"/>
      <c r="F124" s="1170"/>
      <c r="G124" s="1170" t="s">
        <v>485</v>
      </c>
      <c r="H124" s="1170">
        <f>'HydroRefinery Detailed Results'!J9</f>
        <v>0</v>
      </c>
      <c r="I124" s="1170"/>
      <c r="J124" s="1170"/>
      <c r="K124" s="1170"/>
      <c r="L124" s="1170" t="s">
        <v>263</v>
      </c>
      <c r="M124" s="1170"/>
      <c r="N124" s="1187">
        <f ca="1">E119*N129</f>
        <v>558611377.33641267</v>
      </c>
      <c r="O124" s="1170"/>
      <c r="P124" s="1170"/>
      <c r="Q124" s="1170"/>
      <c r="R124" s="1170"/>
      <c r="S124" s="1170"/>
      <c r="T124" s="1170"/>
      <c r="U124" s="1170"/>
      <c r="V124" s="1170"/>
      <c r="W124" s="1170"/>
      <c r="X124" s="1170"/>
      <c r="Y124" s="1170"/>
      <c r="Z124" s="1170"/>
      <c r="AA124" s="1170"/>
      <c r="AB124" s="1170"/>
      <c r="AC124" s="1170"/>
      <c r="AD124" s="1170"/>
      <c r="AE124" s="1170"/>
      <c r="AF124" s="1170"/>
      <c r="AG124" s="1170"/>
      <c r="AH124" s="1170"/>
      <c r="AI124" s="1170"/>
      <c r="AJ124" s="1170"/>
      <c r="AK124" s="1170"/>
      <c r="AL124" s="1170"/>
      <c r="AM124" s="1170"/>
      <c r="AN124" s="1170"/>
      <c r="AO124" s="1170"/>
      <c r="AP124" s="1170"/>
      <c r="AQ124" s="1170"/>
      <c r="AR124" s="1170"/>
      <c r="AS124" s="1170"/>
      <c r="AT124" s="1170"/>
      <c r="AU124" s="1170"/>
      <c r="AV124" s="1170"/>
      <c r="AW124" s="1170"/>
      <c r="AX124" s="1170"/>
      <c r="AY124" s="1170"/>
      <c r="AZ124" s="1170"/>
      <c r="BA124" s="1170"/>
      <c r="BB124" s="1170"/>
      <c r="BC124" s="1170"/>
      <c r="BD124" s="1170"/>
      <c r="BE124" s="1170"/>
      <c r="BF124" s="1170"/>
      <c r="BG124" s="1186" t="str">
        <f>HydroRefineryCalcs!C360</f>
        <v>Vol Flow</v>
      </c>
      <c r="BH124" s="1170" t="str">
        <f ca="1">HydroRefineryCalcs!D360</f>
        <v>m^3/d</v>
      </c>
      <c r="BI124" s="1170">
        <f ca="1">HydroRefineryCalcs!I360</f>
        <v>1.7778782814151241E-9</v>
      </c>
      <c r="BJ124" s="1170"/>
      <c r="BK124" s="1170"/>
      <c r="BL124" s="1170"/>
      <c r="BM124" s="1170"/>
      <c r="BN124" s="1170"/>
      <c r="BO124" s="1170"/>
      <c r="BP124" s="1170"/>
      <c r="BQ124" s="1170"/>
      <c r="BR124" s="1186" t="str">
        <f>HydroRefineryCalcs!C361</f>
        <v>Mass Flow</v>
      </c>
      <c r="BS124" s="1170" t="str">
        <f>HydroRefineryCalcs!D361</f>
        <v>kg/d</v>
      </c>
      <c r="BT124" s="1170">
        <f ca="1">HydroRefineryCalcs!N361</f>
        <v>1.6096579458030726E-6</v>
      </c>
      <c r="BU124" s="1170"/>
      <c r="BV124" s="1170"/>
      <c r="BW124" s="1170"/>
      <c r="BX124" s="1170"/>
      <c r="BY124" s="1170"/>
      <c r="BZ124" s="1170"/>
      <c r="CA124" s="1170"/>
      <c r="CB124" s="1170"/>
      <c r="CC124" s="1170"/>
      <c r="CD124" s="1186" t="str">
        <f>HydroRefineryCalcs!C446</f>
        <v>Vol Flow</v>
      </c>
      <c r="CE124" s="1170" t="str">
        <f>HydroRefineryCalcs!D446</f>
        <v>m^3/d</v>
      </c>
      <c r="CF124" s="1187">
        <f ca="1">HydroRefineryCalcs!G446</f>
        <v>1.0162014831736131E-9</v>
      </c>
      <c r="CG124" s="1170"/>
      <c r="CH124" s="1170" t="s">
        <v>392</v>
      </c>
      <c r="CI124" s="1187">
        <f ca="1">(BT136+BY113)*$CI$128</f>
        <v>9.9588848143028959E-10</v>
      </c>
      <c r="CJ124" s="1170"/>
      <c r="CK124" s="1170"/>
      <c r="CL124" s="1170"/>
      <c r="CM124" s="1170"/>
      <c r="CN124" s="1170"/>
      <c r="CO124" s="1170"/>
      <c r="CP124" s="1160"/>
      <c r="CQ124" s="1160"/>
      <c r="CR124" s="1160"/>
      <c r="CS124" s="1160"/>
      <c r="CT124" s="1160"/>
      <c r="CU124" s="1160"/>
      <c r="CV124" s="1160"/>
      <c r="CW124" s="1160"/>
      <c r="CX124" s="1160"/>
      <c r="CY124" s="1160"/>
      <c r="CZ124" s="1171"/>
      <c r="DA124" s="1160"/>
      <c r="DB124" s="1160"/>
      <c r="DC124" s="1160"/>
      <c r="DD124" s="1160"/>
      <c r="DE124" s="1160"/>
      <c r="DF124" s="1160"/>
      <c r="DG124" s="1160"/>
      <c r="DH124" s="1160"/>
      <c r="DI124" s="1160"/>
      <c r="DJ124" s="1160"/>
      <c r="DK124" s="1160"/>
      <c r="DL124" s="1160"/>
      <c r="DM124" s="1160"/>
      <c r="DN124" s="1160"/>
      <c r="DO124" s="1160"/>
      <c r="DP124" s="1160"/>
      <c r="DQ124" s="1160"/>
      <c r="DR124" s="1160"/>
      <c r="DS124" s="1160"/>
      <c r="DT124" s="1160"/>
      <c r="DU124" s="1160"/>
      <c r="DV124" s="1160"/>
      <c r="DW124" s="1160"/>
      <c r="DX124" s="1160"/>
      <c r="DY124" s="1160"/>
      <c r="DZ124" s="1160"/>
      <c r="EA124" s="1186" t="s">
        <v>1698</v>
      </c>
      <c r="EB124" s="1199" t="s">
        <v>447</v>
      </c>
      <c r="EC124" s="1187">
        <v>0</v>
      </c>
    </row>
    <row r="125" spans="1:137" x14ac:dyDescent="0.2">
      <c r="A125" s="1160"/>
      <c r="B125" s="1160"/>
      <c r="C125" s="1160"/>
      <c r="D125" s="1160"/>
      <c r="E125" s="1170"/>
      <c r="F125" s="1170"/>
      <c r="G125" s="1170" t="s">
        <v>541</v>
      </c>
      <c r="H125" s="1170">
        <f>'HydroRefinery Detailed Results'!L9</f>
        <v>0</v>
      </c>
      <c r="I125" s="1170"/>
      <c r="J125" s="1170"/>
      <c r="K125" s="1170"/>
      <c r="L125" s="1170" t="s">
        <v>392</v>
      </c>
      <c r="M125" s="1170"/>
      <c r="N125" s="1187">
        <f ca="1">H122*$N$129</f>
        <v>5356.0204412908206</v>
      </c>
      <c r="O125" s="1170"/>
      <c r="P125" s="1170"/>
      <c r="Q125" s="1170"/>
      <c r="R125" s="1170"/>
      <c r="S125" s="1170"/>
      <c r="T125" s="1170"/>
      <c r="U125" s="1170"/>
      <c r="V125" s="1170"/>
      <c r="W125" s="1170"/>
      <c r="X125" s="1170"/>
      <c r="Y125" s="1170"/>
      <c r="Z125" s="1170"/>
      <c r="AA125" s="1170"/>
      <c r="AB125" s="1170"/>
      <c r="AC125" s="1170"/>
      <c r="AD125" s="1170"/>
      <c r="AE125" s="1170"/>
      <c r="AF125" s="1170"/>
      <c r="AG125" s="1170"/>
      <c r="AH125" s="1170"/>
      <c r="AI125" s="1170"/>
      <c r="AJ125" s="1170"/>
      <c r="AK125" s="1170"/>
      <c r="AL125" s="1170"/>
      <c r="AM125" s="1170"/>
      <c r="AN125" s="1170"/>
      <c r="AO125" s="1170"/>
      <c r="AP125" s="1170"/>
      <c r="AQ125" s="1170"/>
      <c r="AR125" s="1170"/>
      <c r="AS125" s="1170"/>
      <c r="AT125" s="1170"/>
      <c r="AU125" s="1170"/>
      <c r="AV125" s="1170"/>
      <c r="AW125" s="1170"/>
      <c r="AX125" s="1170"/>
      <c r="AY125" s="1170"/>
      <c r="AZ125" s="1170"/>
      <c r="BA125" s="1170"/>
      <c r="BB125" s="1170"/>
      <c r="BC125" s="1170"/>
      <c r="BD125" s="1170"/>
      <c r="BE125" s="1170"/>
      <c r="BF125" s="1170"/>
      <c r="BG125" s="1186" t="str">
        <f>HydroRefineryCalcs!C361</f>
        <v>Mass Flow</v>
      </c>
      <c r="BH125" s="1170" t="str">
        <f>HydroRefineryCalcs!D361</f>
        <v>kg/d</v>
      </c>
      <c r="BI125" s="1170">
        <f ca="1">HydroRefineryCalcs!I361</f>
        <v>1.6094174951277762E-6</v>
      </c>
      <c r="BJ125" s="1170"/>
      <c r="BK125" s="1170"/>
      <c r="BL125" s="1170"/>
      <c r="BM125" s="1184" t="str">
        <f>'HydroRefinery Detailed Results'!C17</f>
        <v>Gas Oil Hydrocracker</v>
      </c>
      <c r="BN125" s="1170"/>
      <c r="BO125" s="1170"/>
      <c r="BP125" s="1170"/>
      <c r="BQ125" s="1170"/>
      <c r="BR125" s="1186" t="str">
        <f>HydroRefineryCalcs!C362</f>
        <v xml:space="preserve">Sulphur </v>
      </c>
      <c r="BS125" s="1170" t="str">
        <f ca="1">HydroRefineryCalcs!D362</f>
        <v>wt%</v>
      </c>
      <c r="BT125" s="1170">
        <f ca="1">HydroRefineryCalcs!N362</f>
        <v>2.1052715141784285E-4</v>
      </c>
      <c r="BU125" s="1170"/>
      <c r="BV125" s="1170"/>
      <c r="BW125" s="1170"/>
      <c r="BX125" s="1170"/>
      <c r="BY125" s="1170"/>
      <c r="BZ125" s="1170"/>
      <c r="CA125" s="1170"/>
      <c r="CB125" s="1170"/>
      <c r="CC125" s="1170"/>
      <c r="CD125" s="1186" t="str">
        <f>HydroRefineryCalcs!C447</f>
        <v>Mass Flow</v>
      </c>
      <c r="CE125" s="1170" t="str">
        <f>HydroRefineryCalcs!D447</f>
        <v>kg/d</v>
      </c>
      <c r="CF125" s="1187">
        <f ca="1">HydroRefineryCalcs!G447</f>
        <v>8.4345446730125368E-7</v>
      </c>
      <c r="CG125" s="1170"/>
      <c r="CH125" s="1170" t="s">
        <v>224</v>
      </c>
      <c r="CI125" s="1187">
        <f ca="1">(BT137+BY114)*$CI$128</f>
        <v>6.0486970741760666E-7</v>
      </c>
      <c r="CJ125" s="1170"/>
      <c r="CK125" s="1170"/>
      <c r="CL125" s="1170"/>
      <c r="CM125" s="1170"/>
      <c r="CN125" s="1170"/>
      <c r="CO125" s="1170"/>
      <c r="CP125" s="1160"/>
      <c r="CQ125" s="1160"/>
      <c r="CR125" s="1160"/>
      <c r="CS125" s="1160"/>
      <c r="CT125" s="1160"/>
      <c r="CU125" s="1160"/>
      <c r="CV125" s="1160"/>
      <c r="CW125" s="1160"/>
      <c r="CX125" s="1160"/>
      <c r="CY125" s="1160"/>
      <c r="CZ125" s="1171"/>
      <c r="DA125" s="1160"/>
      <c r="DB125" s="1160"/>
      <c r="DC125" s="1160"/>
      <c r="DD125" s="1160"/>
      <c r="DE125" s="1160"/>
      <c r="DF125" s="1160"/>
      <c r="DG125" s="1160"/>
      <c r="DH125" s="1160"/>
      <c r="DI125" s="1160"/>
      <c r="DJ125" s="1160"/>
      <c r="DK125" s="1160"/>
      <c r="DL125" s="1191" t="str">
        <f>AU226</f>
        <v>RHC Fuel Gas</v>
      </c>
      <c r="DM125" s="1171">
        <f ca="1">HydroRefineryCalcs!G828</f>
        <v>8.7633800156215396E-16</v>
      </c>
      <c r="DN125" s="1160" t="s">
        <v>622</v>
      </c>
      <c r="DO125" s="1160"/>
      <c r="DP125" s="1160"/>
      <c r="DQ125" s="1160"/>
      <c r="DR125" s="1160"/>
      <c r="DS125" s="1160"/>
      <c r="DT125" s="1160"/>
      <c r="DU125" s="1160"/>
      <c r="DV125" s="1160"/>
      <c r="DW125" s="1160"/>
      <c r="DX125" s="1160"/>
      <c r="DY125" s="1160"/>
      <c r="DZ125" s="1160"/>
      <c r="EA125" s="1200" t="s">
        <v>1021</v>
      </c>
      <c r="EB125" s="1199" t="s">
        <v>1064</v>
      </c>
      <c r="EC125" s="1187">
        <v>0</v>
      </c>
    </row>
    <row r="126" spans="1:137" x14ac:dyDescent="0.2">
      <c r="A126" s="1160"/>
      <c r="B126" s="1160"/>
      <c r="C126" s="1160"/>
      <c r="D126" s="1160"/>
      <c r="E126" s="1170"/>
      <c r="F126" s="1170"/>
      <c r="G126" s="1170"/>
      <c r="H126" s="1170"/>
      <c r="I126" s="1170"/>
      <c r="J126" s="1170"/>
      <c r="K126" s="1170"/>
      <c r="L126" s="1170" t="s">
        <v>224</v>
      </c>
      <c r="M126" s="1170"/>
      <c r="N126" s="1170">
        <f>H123*$N$129</f>
        <v>0</v>
      </c>
      <c r="O126" s="1170"/>
      <c r="P126" s="1170"/>
      <c r="Q126" s="1170"/>
      <c r="R126" s="1170"/>
      <c r="S126" s="1170"/>
      <c r="T126" s="1170"/>
      <c r="U126" s="1170"/>
      <c r="V126" s="1170"/>
      <c r="W126" s="1170"/>
      <c r="X126" s="1170"/>
      <c r="Y126" s="1170"/>
      <c r="Z126" s="1170"/>
      <c r="AA126" s="1170"/>
      <c r="AB126" s="1170"/>
      <c r="AC126" s="1170"/>
      <c r="AD126" s="1170"/>
      <c r="AE126" s="1170"/>
      <c r="AF126" s="1170"/>
      <c r="AG126" s="1170"/>
      <c r="AH126" s="1170"/>
      <c r="AI126" s="1170"/>
      <c r="AJ126" s="1170"/>
      <c r="AK126" s="1170"/>
      <c r="AL126" s="1170"/>
      <c r="AM126" s="1170"/>
      <c r="AN126" s="1170"/>
      <c r="AO126" s="1170"/>
      <c r="AP126" s="1170"/>
      <c r="AQ126" s="1170"/>
      <c r="AR126" s="1170"/>
      <c r="AS126" s="1170"/>
      <c r="AT126" s="1170"/>
      <c r="AU126" s="1170"/>
      <c r="AV126" s="1170"/>
      <c r="AW126" s="1170"/>
      <c r="AX126" s="1170"/>
      <c r="AY126" s="1170"/>
      <c r="AZ126" s="1170"/>
      <c r="BA126" s="1170"/>
      <c r="BB126" s="1170"/>
      <c r="BC126" s="1170"/>
      <c r="BD126" s="1170"/>
      <c r="BE126" s="1170"/>
      <c r="BF126" s="1170"/>
      <c r="BG126" s="1186" t="str">
        <f>HydroRefineryCalcs!C362</f>
        <v xml:space="preserve">Sulphur </v>
      </c>
      <c r="BH126" s="1170" t="str">
        <f ca="1">HydroRefineryCalcs!D362</f>
        <v>wt%</v>
      </c>
      <c r="BI126" s="1170">
        <f ca="1">HydroRefineryCalcs!I362</f>
        <v>0.21055860465847406</v>
      </c>
      <c r="BJ126" s="1170"/>
      <c r="BK126" s="1170"/>
      <c r="BL126" s="1170"/>
      <c r="BM126" s="1184" t="s">
        <v>225</v>
      </c>
      <c r="BN126" s="1184" t="s">
        <v>522</v>
      </c>
      <c r="BO126" s="1170"/>
      <c r="BP126" s="1170"/>
      <c r="BQ126" s="1170"/>
      <c r="BR126" s="1186" t="str">
        <f>HydroRefineryCalcs!C364</f>
        <v xml:space="preserve">API gravity </v>
      </c>
      <c r="BS126" s="1170"/>
      <c r="BT126" s="1170">
        <f ca="1">HydroRefineryCalcs!N364</f>
        <v>24.787724032405976</v>
      </c>
      <c r="BU126" s="1170"/>
      <c r="BV126" s="1170"/>
      <c r="BW126" s="1170"/>
      <c r="BX126" s="1170"/>
      <c r="BY126" s="1170"/>
      <c r="BZ126" s="1170"/>
      <c r="CA126" s="1170"/>
      <c r="CB126" s="1170"/>
      <c r="CC126" s="1170"/>
      <c r="CD126" s="1186" t="str">
        <f>HydroRefineryCalcs!C448</f>
        <v>S</v>
      </c>
      <c r="CE126" s="1170" t="str">
        <f>HydroRefineryCalcs!D448</f>
        <v>wt%</v>
      </c>
      <c r="CF126" s="1170">
        <f ca="1">HydroRefineryCalcs!G448</f>
        <v>4.017723721006432E-6</v>
      </c>
      <c r="CG126" s="1170"/>
      <c r="CH126" s="1170" t="s">
        <v>485</v>
      </c>
      <c r="CI126" s="1187">
        <f ca="1">(BT138+BY115)*$CI$128</f>
        <v>4.9810762073173043E-7</v>
      </c>
      <c r="CJ126" s="1170"/>
      <c r="CK126" s="1170"/>
      <c r="CL126" s="1170"/>
      <c r="CM126" s="1170"/>
      <c r="CN126" s="1170"/>
      <c r="CO126" s="1170"/>
      <c r="CP126" s="1160"/>
      <c r="CQ126" s="1160"/>
      <c r="CR126" s="1160"/>
      <c r="CS126" s="1160"/>
      <c r="CT126" s="1160"/>
      <c r="CU126" s="1160"/>
      <c r="CV126" s="1160"/>
      <c r="CW126" s="1160"/>
      <c r="CX126" s="1160"/>
      <c r="CY126" s="1160"/>
      <c r="CZ126" s="1171"/>
      <c r="DA126" s="1160"/>
      <c r="DB126" s="1160"/>
      <c r="DC126" s="1160"/>
      <c r="DD126" s="1160"/>
      <c r="DE126" s="1160"/>
      <c r="DF126" s="1160"/>
      <c r="DG126" s="1160"/>
      <c r="DH126" s="1160"/>
      <c r="DI126" s="1160"/>
      <c r="DJ126" s="1160"/>
      <c r="DK126" s="1160"/>
      <c r="DL126" s="1193" t="s">
        <v>226</v>
      </c>
      <c r="DM126" s="1243" t="s">
        <v>522</v>
      </c>
      <c r="DN126" s="1160"/>
      <c r="DO126" s="1160"/>
      <c r="DP126" s="1160"/>
      <c r="DQ126" s="1160"/>
      <c r="DR126" s="1160"/>
      <c r="DS126" s="1160"/>
      <c r="DT126" s="1160"/>
      <c r="DU126" s="1160"/>
      <c r="DV126" s="1160"/>
      <c r="DW126" s="1160"/>
      <c r="DX126" s="1160"/>
      <c r="DY126" s="1160"/>
      <c r="DZ126" s="1160"/>
      <c r="EA126" s="1285" t="s">
        <v>1054</v>
      </c>
      <c r="EB126" s="1204" t="str">
        <f>IF(allocationMethod=1,CokingRefineryPFD!$C$21,IF(allocationMethod=2,CokingRefineryPFD!$C$22,IF(allocationMethod=3,CokingRefineryPFD!$C$23,CokingRefineryPFD!$C$24)))</f>
        <v>Hydrogen Content Basis</v>
      </c>
      <c r="EC126" s="1204">
        <f>IF(allocationMethod=1,EC123,0)</f>
        <v>0</v>
      </c>
    </row>
    <row r="127" spans="1:137" x14ac:dyDescent="0.2">
      <c r="A127" s="1160"/>
      <c r="B127" s="1160"/>
      <c r="C127" s="1160"/>
      <c r="D127" s="1160"/>
      <c r="E127" s="1170"/>
      <c r="F127" s="1170"/>
      <c r="G127" s="1170"/>
      <c r="H127" s="1170"/>
      <c r="I127" s="1170"/>
      <c r="J127" s="1170"/>
      <c r="K127" s="1170"/>
      <c r="L127" s="1170" t="s">
        <v>485</v>
      </c>
      <c r="M127" s="1170"/>
      <c r="N127" s="1170">
        <f>H124*$N$129</f>
        <v>0</v>
      </c>
      <c r="O127" s="1170"/>
      <c r="P127" s="1170"/>
      <c r="Q127" s="1170"/>
      <c r="R127" s="1170"/>
      <c r="S127" s="1170"/>
      <c r="T127" s="1170"/>
      <c r="U127" s="1170"/>
      <c r="V127" s="1170"/>
      <c r="W127" s="1170"/>
      <c r="X127" s="1170"/>
      <c r="Y127" s="1170"/>
      <c r="Z127" s="1170"/>
      <c r="AA127" s="1170"/>
      <c r="AB127" s="1170"/>
      <c r="AC127" s="1170"/>
      <c r="AD127" s="1170"/>
      <c r="AE127" s="1170"/>
      <c r="AF127" s="1170"/>
      <c r="AG127" s="1170"/>
      <c r="AH127" s="1170"/>
      <c r="AI127" s="1170"/>
      <c r="AJ127" s="1170"/>
      <c r="AK127" s="1170"/>
      <c r="AL127" s="1170"/>
      <c r="AM127" s="1170"/>
      <c r="AN127" s="1170"/>
      <c r="AO127" s="1170"/>
      <c r="AP127" s="1170"/>
      <c r="AQ127" s="1170"/>
      <c r="AR127" s="1170"/>
      <c r="AS127" s="1170"/>
      <c r="AT127" s="1170"/>
      <c r="AU127" s="1170"/>
      <c r="AV127" s="1170"/>
      <c r="AW127" s="1170"/>
      <c r="AX127" s="1170"/>
      <c r="AY127" s="1170"/>
      <c r="AZ127" s="1170"/>
      <c r="BA127" s="1170"/>
      <c r="BB127" s="1170"/>
      <c r="BC127" s="1170"/>
      <c r="BD127" s="1197"/>
      <c r="BE127" s="1196"/>
      <c r="BF127" s="1170"/>
      <c r="BG127" s="1186" t="str">
        <f>HydroRefineryCalcs!C364</f>
        <v xml:space="preserve">API gravity </v>
      </c>
      <c r="BH127" s="1170"/>
      <c r="BI127" s="1170">
        <f ca="1">HydroRefineryCalcs!I364</f>
        <v>24.81107377782493</v>
      </c>
      <c r="BJ127" s="1170"/>
      <c r="BK127" s="1170"/>
      <c r="BL127" s="1170"/>
      <c r="BM127" s="1170" t="s">
        <v>392</v>
      </c>
      <c r="BN127" s="1170">
        <f ca="1">'HydroRefinery Detailed Results'!F17+IF(AND($EC$147+$EC$164=0,E28=FALSE),'HydroRefinery Detailed Results'!F31*HydroRefineryCalcs!$T$1041,0)</f>
        <v>1.9870608005702995E-9</v>
      </c>
      <c r="BO127" s="1170"/>
      <c r="BP127" s="1170"/>
      <c r="BQ127" s="1170"/>
      <c r="BR127" s="1186" t="str">
        <f>HydroRefineryCalcs!C365</f>
        <v>Density</v>
      </c>
      <c r="BS127" s="1170" t="str">
        <f ca="1">HydroRefineryCalcs!D365</f>
        <v>kg/m^3</v>
      </c>
      <c r="BT127" s="1170">
        <f ca="1">HydroRefineryCalcs!N365</f>
        <v>905.38141031895907</v>
      </c>
      <c r="BU127" s="1170"/>
      <c r="BV127" s="1170"/>
      <c r="BW127" s="1170"/>
      <c r="BX127" s="1170"/>
      <c r="BY127" s="1170"/>
      <c r="BZ127" s="1170"/>
      <c r="CA127" s="1170"/>
      <c r="CB127" s="1170"/>
      <c r="CC127" s="1170"/>
      <c r="CD127" s="1186" t="str">
        <f>HydroRefineryCalcs!C450</f>
        <v>API</v>
      </c>
      <c r="CE127" s="1170"/>
      <c r="CF127" s="1170">
        <f ca="1">HydroRefineryCalcs!G450</f>
        <v>38.980465091553498</v>
      </c>
      <c r="CG127" s="1170"/>
      <c r="CH127" s="1170" t="s">
        <v>541</v>
      </c>
      <c r="CI127" s="1187">
        <f ca="1">(BT139+BO97)*$CI$128</f>
        <v>2.7240881777675936E-6</v>
      </c>
      <c r="CJ127" s="1170"/>
      <c r="CK127" s="1170"/>
      <c r="CL127" s="1170"/>
      <c r="CM127" s="1170"/>
      <c r="CN127" s="1170"/>
      <c r="CO127" s="1170"/>
      <c r="CP127" s="1160"/>
      <c r="CQ127" s="1160"/>
      <c r="CR127" s="1160"/>
      <c r="CS127" s="1160"/>
      <c r="CT127" s="1160"/>
      <c r="CU127" s="1160"/>
      <c r="CV127" s="1160"/>
      <c r="CW127" s="1160"/>
      <c r="CX127" s="1160"/>
      <c r="CY127" s="1160"/>
      <c r="CZ127" s="1171"/>
      <c r="DA127" s="1160"/>
      <c r="DB127" s="1160"/>
      <c r="DC127" s="1160"/>
      <c r="DD127" s="1160"/>
      <c r="DE127" s="1160"/>
      <c r="DF127" s="1160"/>
      <c r="DG127" s="1160"/>
      <c r="DH127" s="1160"/>
      <c r="DI127" s="1160"/>
      <c r="DJ127" s="1160"/>
      <c r="DK127" s="1160"/>
      <c r="DL127" s="1160" t="s">
        <v>263</v>
      </c>
      <c r="DM127" s="1254">
        <f ca="1">AT268*DM132</f>
        <v>0</v>
      </c>
      <c r="DN127" s="1160"/>
      <c r="DO127" s="1160"/>
      <c r="DP127" s="1160"/>
      <c r="DQ127" s="1160"/>
      <c r="DR127" s="1160"/>
      <c r="DS127" s="1160"/>
      <c r="DT127" s="1160"/>
      <c r="DU127" s="1170"/>
      <c r="DV127" s="1170"/>
      <c r="DW127" s="1170"/>
      <c r="DX127" s="1170"/>
      <c r="DY127" s="1160"/>
      <c r="DZ127" s="1160"/>
      <c r="EA127" s="1160"/>
      <c r="EB127" s="1160"/>
      <c r="EC127" s="1160"/>
    </row>
    <row r="128" spans="1:137" x14ac:dyDescent="0.2">
      <c r="A128" s="1160"/>
      <c r="B128" s="1160"/>
      <c r="C128" s="1160"/>
      <c r="D128" s="1160"/>
      <c r="E128" s="1170"/>
      <c r="F128" s="1170"/>
      <c r="G128" s="1170"/>
      <c r="H128" s="1170"/>
      <c r="I128" s="1170"/>
      <c r="J128" s="1170"/>
      <c r="K128" s="1170"/>
      <c r="L128" s="1170" t="s">
        <v>541</v>
      </c>
      <c r="M128" s="1170"/>
      <c r="N128" s="1170">
        <f>H125*$N$129</f>
        <v>0</v>
      </c>
      <c r="O128" s="1170"/>
      <c r="P128" s="1170"/>
      <c r="Q128" s="1170"/>
      <c r="R128" s="1170"/>
      <c r="S128" s="1170"/>
      <c r="T128" s="1170"/>
      <c r="U128" s="1170"/>
      <c r="V128" s="1170"/>
      <c r="W128" s="1170"/>
      <c r="X128" s="1170"/>
      <c r="Y128" s="1170"/>
      <c r="Z128" s="1170"/>
      <c r="AA128" s="1170"/>
      <c r="AB128" s="1170"/>
      <c r="AC128" s="1170"/>
      <c r="AD128" s="1170"/>
      <c r="AE128" s="1170"/>
      <c r="AF128" s="1170"/>
      <c r="AG128" s="1170"/>
      <c r="AH128" s="1170"/>
      <c r="AI128" s="1170"/>
      <c r="AJ128" s="1170"/>
      <c r="AK128" s="1170"/>
      <c r="AL128" s="1170"/>
      <c r="AM128" s="1170"/>
      <c r="AN128" s="1170"/>
      <c r="AO128" s="1170"/>
      <c r="AP128" s="1170"/>
      <c r="AQ128" s="1170"/>
      <c r="AR128" s="1170"/>
      <c r="AS128" s="1170"/>
      <c r="AT128" s="1170"/>
      <c r="AU128" s="1170"/>
      <c r="AV128" s="1170"/>
      <c r="AW128" s="1170"/>
      <c r="AX128" s="1170"/>
      <c r="AY128" s="1170"/>
      <c r="AZ128" s="1170"/>
      <c r="BA128" s="1170"/>
      <c r="BB128" s="1170"/>
      <c r="BC128" s="1170"/>
      <c r="BD128" s="1170"/>
      <c r="BE128" s="1170"/>
      <c r="BF128" s="1170"/>
      <c r="BG128" s="1186" t="str">
        <f>HydroRefineryCalcs!C365</f>
        <v>Density</v>
      </c>
      <c r="BH128" s="1170" t="str">
        <f ca="1">HydroRefineryCalcs!D365</f>
        <v>kg/m^3</v>
      </c>
      <c r="BI128" s="1170">
        <f ca="1">HydroRefineryCalcs!I365</f>
        <v>905.24616445999925</v>
      </c>
      <c r="BJ128" s="1170"/>
      <c r="BK128" s="1170"/>
      <c r="BL128" s="1170"/>
      <c r="BM128" s="1170" t="s">
        <v>224</v>
      </c>
      <c r="BN128" s="1170">
        <f ca="1">'HydroRefinery Detailed Results'!H17+IF(AND($EC$147+$EC$164=0,E28=FALSE),'HydroRefinery Detailed Results'!H31*HydroRefineryCalcs!$T$1041,0)</f>
        <v>1.2068749739285783E-6</v>
      </c>
      <c r="BO128" s="1170"/>
      <c r="BP128" s="1170"/>
      <c r="BQ128" s="1170"/>
      <c r="BR128" s="1186" t="str">
        <f>HydroRefineryCalcs!C366</f>
        <v>Hydrogen</v>
      </c>
      <c r="BS128" s="1170" t="str">
        <f ca="1">HydroRefineryCalcs!D366</f>
        <v>wt%</v>
      </c>
      <c r="BT128" s="1170">
        <f ca="1">HydroRefineryCalcs!N366</f>
        <v>14.500360201057855</v>
      </c>
      <c r="BU128" s="1170"/>
      <c r="BV128" s="1170"/>
      <c r="BW128" s="1170"/>
      <c r="BX128" s="1170"/>
      <c r="BY128" s="1170"/>
      <c r="BZ128" s="1170"/>
      <c r="CA128" s="1170"/>
      <c r="CB128" s="1170"/>
      <c r="CC128" s="1170"/>
      <c r="CD128" s="1186" t="str">
        <f>HydroRefineryCalcs!C451</f>
        <v>Density</v>
      </c>
      <c r="CE128" s="1170" t="str">
        <f>HydroRefineryCalcs!D451</f>
        <v>kg/m^3</v>
      </c>
      <c r="CF128" s="1266">
        <f ca="1">HydroRefineryCalcs!G451</f>
        <v>830.00712089804506</v>
      </c>
      <c r="CG128" s="1170"/>
      <c r="CH128" s="1180" t="s">
        <v>1066</v>
      </c>
      <c r="CI128" s="1205">
        <f ca="1">IF('HydroRefineryPFD '!E23=TRUE,CI129,CF133/(CF112+CF133))</f>
        <v>0.50118671816406579</v>
      </c>
      <c r="CJ128" s="1170"/>
      <c r="CK128" s="1170"/>
      <c r="CL128" s="1170"/>
      <c r="CM128" s="1170"/>
      <c r="CN128" s="1170"/>
      <c r="CO128" s="1170"/>
      <c r="CP128" s="1160"/>
      <c r="CQ128" s="1160"/>
      <c r="CR128" s="1160"/>
      <c r="CS128" s="1160"/>
      <c r="CT128" s="1160"/>
      <c r="CU128" s="1160"/>
      <c r="CV128" s="1160"/>
      <c r="CW128" s="1160"/>
      <c r="CX128" s="1160"/>
      <c r="CY128" s="1160"/>
      <c r="CZ128" s="1171"/>
      <c r="DA128" s="1160"/>
      <c r="DB128" s="1160"/>
      <c r="DC128" s="1160"/>
      <c r="DD128" s="1160"/>
      <c r="DE128" s="1160"/>
      <c r="DF128" s="1160"/>
      <c r="DG128" s="1160"/>
      <c r="DH128" s="1160"/>
      <c r="DI128" s="1160"/>
      <c r="DJ128" s="1160"/>
      <c r="DK128" s="1160"/>
      <c r="DL128" s="1160" t="s">
        <v>392</v>
      </c>
      <c r="DM128" s="1254">
        <f ca="1">(AT269+AW252)*$DM$132</f>
        <v>0</v>
      </c>
      <c r="DN128" s="1160"/>
      <c r="DO128" s="1160"/>
      <c r="DP128" s="1160"/>
      <c r="DQ128" s="1160"/>
      <c r="DR128" s="1160"/>
      <c r="DS128" s="1160"/>
      <c r="DT128" s="1160"/>
      <c r="DU128" s="1160"/>
      <c r="DV128" s="1160"/>
      <c r="DW128" s="1160"/>
      <c r="DX128" s="1160"/>
      <c r="DY128" s="1160"/>
      <c r="DZ128" s="1160"/>
      <c r="EA128" s="1191" t="str">
        <f>EA122</f>
        <v>Total Sulphur production</v>
      </c>
      <c r="EB128" s="1160"/>
      <c r="EC128" s="1160"/>
    </row>
    <row r="129" spans="1:133" x14ac:dyDescent="0.2">
      <c r="A129" s="1160"/>
      <c r="B129" s="1160"/>
      <c r="C129" s="1160"/>
      <c r="D129" s="1160"/>
      <c r="E129" s="1170"/>
      <c r="F129" s="1170"/>
      <c r="G129" s="1170"/>
      <c r="H129" s="1170"/>
      <c r="I129" s="1170"/>
      <c r="J129" s="1170"/>
      <c r="K129" s="1170"/>
      <c r="L129" s="1183" t="s">
        <v>1065</v>
      </c>
      <c r="M129" s="1170"/>
      <c r="N129" s="1184">
        <v>1</v>
      </c>
      <c r="O129" s="1170"/>
      <c r="P129" s="1170"/>
      <c r="Q129" s="1170"/>
      <c r="R129" s="1170"/>
      <c r="S129" s="1170"/>
      <c r="T129" s="1170"/>
      <c r="U129" s="1181" t="str">
        <f>HydroRefineryCalcs!K46</f>
        <v>ATM Resid</v>
      </c>
      <c r="V129" s="1170"/>
      <c r="W129" s="1170"/>
      <c r="X129" s="1170"/>
      <c r="Y129" s="1180" t="str">
        <f>U129</f>
        <v>ATM Resid</v>
      </c>
      <c r="Z129" s="1170"/>
      <c r="AA129" s="1170"/>
      <c r="AB129" s="1170"/>
      <c r="AC129" s="1170"/>
      <c r="AD129" s="1170"/>
      <c r="AE129" s="1170"/>
      <c r="AF129" s="1170"/>
      <c r="AG129" s="1170"/>
      <c r="AH129" s="1170"/>
      <c r="AI129" s="1170"/>
      <c r="AJ129" s="1170"/>
      <c r="AK129" s="1170"/>
      <c r="AL129" s="1170"/>
      <c r="AM129" s="1170"/>
      <c r="AN129" s="1170"/>
      <c r="AO129" s="1170"/>
      <c r="AP129" s="1170"/>
      <c r="AQ129" s="1170"/>
      <c r="AR129" s="1170"/>
      <c r="AS129" s="1181" t="str">
        <f>HydroRefineryCalcs!F587</f>
        <v>LVGO To Gas Oil HC</v>
      </c>
      <c r="AT129" s="1170"/>
      <c r="AU129" s="1170"/>
      <c r="AV129" s="1170"/>
      <c r="AW129" s="1170"/>
      <c r="AX129" s="1180" t="str">
        <f>AS129</f>
        <v>LVGO To Gas Oil HC</v>
      </c>
      <c r="AY129" s="1170"/>
      <c r="AZ129" s="1170"/>
      <c r="BA129" s="1170"/>
      <c r="BB129" s="1170"/>
      <c r="BC129" s="1170"/>
      <c r="BD129" s="1170"/>
      <c r="BE129" s="1170"/>
      <c r="BF129" s="1170"/>
      <c r="BG129" s="1186" t="str">
        <f>HydroRefineryCalcs!C366</f>
        <v>Hydrogen</v>
      </c>
      <c r="BH129" s="1170" t="str">
        <f ca="1">HydroRefineryCalcs!D366</f>
        <v>wt%</v>
      </c>
      <c r="BI129" s="1170">
        <f ca="1">HydroRefineryCalcs!I366</f>
        <v>12.331915988948833</v>
      </c>
      <c r="BJ129" s="1170"/>
      <c r="BK129" s="1170"/>
      <c r="BL129" s="1170"/>
      <c r="BM129" s="1170" t="s">
        <v>485</v>
      </c>
      <c r="BN129" s="1170">
        <f ca="1">'HydroRefinery Detailed Results'!J17+IF(AND($EC$147+$EC$164=0,E28=FALSE),'HydroRefinery Detailed Results'!J31*HydroRefineryCalcs!$T$1041,0)</f>
        <v>-2.4557301333224554E-8</v>
      </c>
      <c r="BO129" s="1170"/>
      <c r="BP129" s="1170"/>
      <c r="BQ129" s="1170"/>
      <c r="BR129" s="1186" t="str">
        <f>HydroRefineryCalcs!C367</f>
        <v>MCR</v>
      </c>
      <c r="BS129" s="1170" t="str">
        <f ca="1">HydroRefineryCalcs!D367</f>
        <v>wt%</v>
      </c>
      <c r="BT129" s="1170">
        <f>HydroRefineryCalcs!N367</f>
        <v>0</v>
      </c>
      <c r="BU129" s="1170"/>
      <c r="BV129" s="1170"/>
      <c r="BW129" s="1170"/>
      <c r="BX129" s="1170"/>
      <c r="BY129" s="1170"/>
      <c r="BZ129" s="1170"/>
      <c r="CA129" s="1170"/>
      <c r="CB129" s="1170"/>
      <c r="CC129" s="1170"/>
      <c r="CD129" s="1186" t="str">
        <f>HydroRefineryCalcs!C452</f>
        <v>H</v>
      </c>
      <c r="CE129" s="1170" t="str">
        <f>HydroRefineryCalcs!D452</f>
        <v>wt%</v>
      </c>
      <c r="CF129" s="1170">
        <f ca="1">HydroRefineryCalcs!G452</f>
        <v>13.386945726864488</v>
      </c>
      <c r="CG129" s="1170"/>
      <c r="CH129" s="1180" t="s">
        <v>1065</v>
      </c>
      <c r="CI129" s="1205">
        <f ca="1">CF133/(CF112+CF133+CF156)</f>
        <v>0.50118671816368909</v>
      </c>
      <c r="CJ129" s="1170"/>
      <c r="CK129" s="1170"/>
      <c r="CL129" s="1170"/>
      <c r="CM129" s="1170"/>
      <c r="CN129" s="1170"/>
      <c r="CO129" s="1170"/>
      <c r="CP129" s="1160"/>
      <c r="CQ129" s="1160"/>
      <c r="CR129" s="1160"/>
      <c r="CS129" s="1160"/>
      <c r="CT129" s="1160"/>
      <c r="CU129" s="1160"/>
      <c r="CV129" s="1160"/>
      <c r="CW129" s="1160"/>
      <c r="CX129" s="1160"/>
      <c r="CY129" s="1160"/>
      <c r="CZ129" s="1171"/>
      <c r="DA129" s="1160"/>
      <c r="DB129" s="1160"/>
      <c r="DC129" s="1160"/>
      <c r="DD129" s="1160"/>
      <c r="DE129" s="1160"/>
      <c r="DF129" s="1160"/>
      <c r="DG129" s="1160"/>
      <c r="DH129" s="1160"/>
      <c r="DI129" s="1160"/>
      <c r="DJ129" s="1160"/>
      <c r="DK129" s="1160"/>
      <c r="DL129" s="1160" t="s">
        <v>224</v>
      </c>
      <c r="DM129" s="1254">
        <f ca="1">(AT270+AW253)*$DM$132</f>
        <v>0</v>
      </c>
      <c r="DN129" s="1160"/>
      <c r="DO129" s="1160"/>
      <c r="DP129" s="1160"/>
      <c r="DQ129" s="1160"/>
      <c r="DR129" s="1160"/>
      <c r="DS129" s="1160"/>
      <c r="DT129" s="1160"/>
      <c r="DU129" s="1160"/>
      <c r="DV129" s="1160"/>
      <c r="DW129" s="1160"/>
      <c r="DX129" s="1160"/>
      <c r="DY129" s="1160"/>
      <c r="DZ129" s="1160"/>
      <c r="EA129" s="1193" t="s">
        <v>226</v>
      </c>
      <c r="EB129" s="1160"/>
      <c r="EC129" s="1194" t="s">
        <v>522</v>
      </c>
    </row>
    <row r="130" spans="1:133" x14ac:dyDescent="0.2">
      <c r="A130" s="1160"/>
      <c r="B130" s="1160"/>
      <c r="C130" s="1195"/>
      <c r="D130" s="1160"/>
      <c r="E130" s="1170"/>
      <c r="F130" s="1170"/>
      <c r="G130" s="1170"/>
      <c r="H130" s="1170"/>
      <c r="I130" s="1170"/>
      <c r="J130" s="1170"/>
      <c r="K130" s="1170"/>
      <c r="L130" s="1170"/>
      <c r="M130" s="1170"/>
      <c r="N130" s="1170"/>
      <c r="O130" s="1170"/>
      <c r="P130" s="1170"/>
      <c r="Q130" s="1170"/>
      <c r="R130" s="1170"/>
      <c r="S130" s="1170"/>
      <c r="T130" s="1170"/>
      <c r="U130" s="1182" t="str">
        <f>HydroRefineryCalcs!C46</f>
        <v>Property</v>
      </c>
      <c r="V130" s="1182" t="str">
        <f>HydroRefineryCalcs!D46</f>
        <v>Units</v>
      </c>
      <c r="W130" s="1170"/>
      <c r="X130" s="1170"/>
      <c r="Y130" s="1180" t="s">
        <v>226</v>
      </c>
      <c r="Z130" s="1170"/>
      <c r="AA130" s="1184" t="s">
        <v>522</v>
      </c>
      <c r="AB130" s="1170"/>
      <c r="AC130" s="1170"/>
      <c r="AD130" s="1170"/>
      <c r="AE130" s="1170"/>
      <c r="AF130" s="1170"/>
      <c r="AG130" s="1170"/>
      <c r="AH130" s="1170"/>
      <c r="AI130" s="1170"/>
      <c r="AJ130" s="1170"/>
      <c r="AK130" s="1170"/>
      <c r="AL130" s="1170"/>
      <c r="AM130" s="1170"/>
      <c r="AN130" s="1170"/>
      <c r="AO130" s="1170"/>
      <c r="AP130" s="1170"/>
      <c r="AQ130" s="1170"/>
      <c r="AR130" s="1170"/>
      <c r="AS130" s="1182" t="str">
        <f>HydroRefineryCalcs!C587</f>
        <v>Property</v>
      </c>
      <c r="AT130" s="1182" t="str">
        <f>HydroRefineryCalcs!D587</f>
        <v>Units</v>
      </c>
      <c r="AU130" s="1170"/>
      <c r="AV130" s="1170"/>
      <c r="AW130" s="1170"/>
      <c r="AX130" s="1183" t="s">
        <v>226</v>
      </c>
      <c r="AY130" s="1170"/>
      <c r="AZ130" s="1184" t="s">
        <v>522</v>
      </c>
      <c r="BA130" s="1170"/>
      <c r="BB130" s="1170"/>
      <c r="BC130" s="1170"/>
      <c r="BD130" s="1170"/>
      <c r="BE130" s="1170"/>
      <c r="BF130" s="1170"/>
      <c r="BG130" s="1186" t="str">
        <f>HydroRefineryCalcs!C367</f>
        <v>MCR</v>
      </c>
      <c r="BH130" s="1170" t="str">
        <f ca="1">HydroRefineryCalcs!D367</f>
        <v>wt%</v>
      </c>
      <c r="BI130" s="1170">
        <f>HydroRefineryCalcs!I367</f>
        <v>0</v>
      </c>
      <c r="BJ130" s="1170"/>
      <c r="BK130" s="1170"/>
      <c r="BL130" s="1170"/>
      <c r="BM130" s="1170" t="s">
        <v>541</v>
      </c>
      <c r="BN130" s="1170">
        <f ca="1">'HydroRefinery Detailed Results'!L17+IF(AND($EC$147+$EC$164=0,E28=FALSE),'HydroRefinery Detailed Results'!L31*HydroRefineryCalcs!$T$1041,0)</f>
        <v>5.4352760738480919E-6</v>
      </c>
      <c r="BO130" s="1170"/>
      <c r="BP130" s="1170"/>
      <c r="BQ130" s="1170"/>
      <c r="BR130" s="1200" t="s">
        <v>1056</v>
      </c>
      <c r="BS130" s="1199" t="s">
        <v>447</v>
      </c>
      <c r="BT130" s="1199">
        <f ca="1">('Energy &amp; Unit Conversions'!$D$63-('Energy &amp; Unit Conversions'!$E$63*POWER((BT127/'Energy &amp; Unit Conversions'!$E$54),2)))</f>
        <v>40.187927806302483</v>
      </c>
      <c r="BU130" s="1170"/>
      <c r="BV130" s="1170"/>
      <c r="BW130" s="1170"/>
      <c r="BX130" s="1170"/>
      <c r="BY130" s="1170"/>
      <c r="BZ130" s="1170"/>
      <c r="CA130" s="1170"/>
      <c r="CB130" s="1170"/>
      <c r="CC130" s="1170"/>
      <c r="CD130" s="1186" t="str">
        <f>HydroRefineryCalcs!C453</f>
        <v>MCR</v>
      </c>
      <c r="CE130" s="1170" t="str">
        <f>HydroRefineryCalcs!D453</f>
        <v>wt%</v>
      </c>
      <c r="CF130" s="1170">
        <f>HydroRefineryCalcs!G453</f>
        <v>0</v>
      </c>
      <c r="CG130" s="1170"/>
      <c r="CH130" s="1239" t="s">
        <v>228</v>
      </c>
      <c r="CI130" s="1205">
        <f ca="1">CF125/BT124</f>
        <v>0.523996088423896</v>
      </c>
      <c r="CJ130" s="1170"/>
      <c r="CK130" s="1170"/>
      <c r="CL130" s="1170"/>
      <c r="CM130" s="1170"/>
      <c r="CN130" s="1170"/>
      <c r="CO130" s="1170"/>
      <c r="CP130" s="1160"/>
      <c r="CQ130" s="1160"/>
      <c r="CR130" s="1160"/>
      <c r="CS130" s="1160"/>
      <c r="CT130" s="1160"/>
      <c r="CU130" s="1160"/>
      <c r="CV130" s="1160"/>
      <c r="CW130" s="1160"/>
      <c r="CX130" s="1160"/>
      <c r="CY130" s="1160"/>
      <c r="CZ130" s="1171"/>
      <c r="DA130" s="1160"/>
      <c r="DB130" s="1160"/>
      <c r="DC130" s="1160"/>
      <c r="DD130" s="1160"/>
      <c r="DE130" s="1160"/>
      <c r="DF130" s="1160"/>
      <c r="DG130" s="1160"/>
      <c r="DH130" s="1160"/>
      <c r="DI130" s="1160"/>
      <c r="DJ130" s="1160"/>
      <c r="DK130" s="1160"/>
      <c r="DL130" s="1160" t="s">
        <v>485</v>
      </c>
      <c r="DM130" s="1254">
        <f ca="1">(AT271+AW254)*$DM$132</f>
        <v>0</v>
      </c>
      <c r="DN130" s="1160"/>
      <c r="DO130" s="1160"/>
      <c r="DP130" s="1160"/>
      <c r="DQ130" s="1160"/>
      <c r="DR130" s="1160"/>
      <c r="DS130" s="1160"/>
      <c r="DT130" s="1160"/>
      <c r="DU130" s="1160"/>
      <c r="DV130" s="1160"/>
      <c r="DW130" s="1160"/>
      <c r="DX130" s="1160"/>
      <c r="DY130" s="1160"/>
      <c r="DZ130" s="1160"/>
      <c r="EA130" s="1160" t="s">
        <v>263</v>
      </c>
      <c r="EB130" s="1160"/>
      <c r="EC130" s="1187">
        <f ca="1">(DM82+DM93+DM104+DM115+DM127+DM138+DM149+DM160+DM59+DM71)*$EC$139</f>
        <v>0</v>
      </c>
    </row>
    <row r="131" spans="1:133" x14ac:dyDescent="0.2">
      <c r="A131" s="1160"/>
      <c r="B131" s="1160"/>
      <c r="C131" s="1160"/>
      <c r="D131" s="1160"/>
      <c r="E131" s="1170"/>
      <c r="F131" s="1170"/>
      <c r="G131" s="1170"/>
      <c r="H131" s="1170"/>
      <c r="I131" s="1170"/>
      <c r="J131" s="1170"/>
      <c r="K131" s="1170"/>
      <c r="L131" s="1170"/>
      <c r="M131" s="1170"/>
      <c r="N131" s="1170"/>
      <c r="O131" s="1170"/>
      <c r="P131" s="1170"/>
      <c r="Q131" s="1170"/>
      <c r="R131" s="1170"/>
      <c r="S131" s="1170"/>
      <c r="T131" s="1170"/>
      <c r="U131" s="1186" t="str">
        <f>HydroRefineryCalcs!C47</f>
        <v>Vol Flow</v>
      </c>
      <c r="V131" s="1170" t="str">
        <f ca="1">HydroRefineryCalcs!D47</f>
        <v>bpd</v>
      </c>
      <c r="W131" s="1187">
        <f ca="1">HydroRefineryCalcs!K47</f>
        <v>1E-14</v>
      </c>
      <c r="X131" s="1170"/>
      <c r="Y131" s="1170" t="s">
        <v>263</v>
      </c>
      <c r="Z131" s="1170"/>
      <c r="AA131" s="1187">
        <f ca="1">U112*AA136</f>
        <v>4.315608334441117E-28</v>
      </c>
      <c r="AB131" s="1170"/>
      <c r="AC131" s="1170"/>
      <c r="AD131" s="1170"/>
      <c r="AE131" s="1170"/>
      <c r="AF131" s="1170"/>
      <c r="AG131" s="1170"/>
      <c r="AH131" s="1170"/>
      <c r="AI131" s="1170"/>
      <c r="AJ131" s="1170"/>
      <c r="AK131" s="1170"/>
      <c r="AL131" s="1170"/>
      <c r="AM131" s="1170"/>
      <c r="AN131" s="1170"/>
      <c r="AO131" s="1170"/>
      <c r="AP131" s="1170"/>
      <c r="AQ131" s="1170"/>
      <c r="AR131" s="1170"/>
      <c r="AS131" s="1186" t="str">
        <f>HydroRefineryCalcs!C588</f>
        <v>Vol Flow</v>
      </c>
      <c r="AT131" s="1170" t="str">
        <f ca="1">HydroRefineryCalcs!D588</f>
        <v>bpd</v>
      </c>
      <c r="AU131" s="1170">
        <f ca="1">HydroRefineryCalcs!F588</f>
        <v>1E-26</v>
      </c>
      <c r="AV131" s="1170"/>
      <c r="AW131" s="1170"/>
      <c r="AX131" s="1170" t="s">
        <v>263</v>
      </c>
      <c r="AY131" s="1170"/>
      <c r="AZ131" s="1187">
        <f ca="1">AM148*$AZ$136</f>
        <v>0</v>
      </c>
      <c r="BA131" s="1170"/>
      <c r="BB131" s="1170"/>
      <c r="BC131" s="1170"/>
      <c r="BD131" s="1170"/>
      <c r="BE131" s="1170"/>
      <c r="BF131" s="1170"/>
      <c r="BG131" s="1200" t="s">
        <v>1056</v>
      </c>
      <c r="BH131" s="1199" t="s">
        <v>447</v>
      </c>
      <c r="BI131" s="1199">
        <f ca="1">('Energy &amp; Unit Conversions'!$D$63-('Energy &amp; Unit Conversions'!$E$63*POWER((BI128/'Energy &amp; Unit Conversions'!$E$54),2)))</f>
        <v>40.189871247727439</v>
      </c>
      <c r="BJ131" s="1170"/>
      <c r="BK131" s="1170"/>
      <c r="BL131" s="1170"/>
      <c r="BM131" s="1181" t="str">
        <f>CokingRefineryCalcs!C375</f>
        <v>Total hydrogen consumed</v>
      </c>
      <c r="BN131" s="1181"/>
      <c r="BO131" s="1170"/>
      <c r="BP131" s="1170"/>
      <c r="BQ131" s="1170"/>
      <c r="BR131" s="1200" t="s">
        <v>1021</v>
      </c>
      <c r="BS131" s="1199" t="s">
        <v>1022</v>
      </c>
      <c r="BT131" s="1246">
        <f ca="1">(CF111*CF102+CF132*CF123+CF155*CF146)/BT122</f>
        <v>93.585638495919454</v>
      </c>
      <c r="BU131" s="1170"/>
      <c r="BV131" s="1170"/>
      <c r="BW131" s="1170"/>
      <c r="BX131" s="1170"/>
      <c r="BY131" s="1170"/>
      <c r="BZ131" s="1170"/>
      <c r="CA131" s="1170"/>
      <c r="CB131" s="1170"/>
      <c r="CC131" s="1170"/>
      <c r="CD131" s="1200" t="s">
        <v>1056</v>
      </c>
      <c r="CE131" s="1199" t="s">
        <v>447</v>
      </c>
      <c r="CF131" s="1199">
        <f ca="1">('Energy &amp; Unit Conversions'!$D$63-('Energy &amp; Unit Conversions'!$E$63*POWER((CF128/'Energy &amp; Unit Conversions'!$E$54),2)))</f>
        <v>41.226025683295752</v>
      </c>
      <c r="CG131" s="1170"/>
      <c r="CH131" s="1170"/>
      <c r="CI131" s="1170"/>
      <c r="CJ131" s="1170"/>
      <c r="CK131" s="1170"/>
      <c r="CL131" s="1170"/>
      <c r="CM131" s="1170"/>
      <c r="CN131" s="1170"/>
      <c r="CO131" s="1170"/>
      <c r="CP131" s="1160"/>
      <c r="CQ131" s="1160"/>
      <c r="CR131" s="1160"/>
      <c r="CS131" s="1160"/>
      <c r="CT131" s="1160"/>
      <c r="CU131" s="1160"/>
      <c r="CV131" s="1160"/>
      <c r="CW131" s="1160"/>
      <c r="CX131" s="1160"/>
      <c r="CY131" s="1160"/>
      <c r="CZ131" s="1171"/>
      <c r="DA131" s="1160"/>
      <c r="DB131" s="1160"/>
      <c r="DC131" s="1160"/>
      <c r="DD131" s="1160"/>
      <c r="DE131" s="1160"/>
      <c r="DF131" s="1160"/>
      <c r="DG131" s="1160"/>
      <c r="DH131" s="1160"/>
      <c r="DI131" s="1160"/>
      <c r="DJ131" s="1160"/>
      <c r="DK131" s="1160"/>
      <c r="DL131" s="1160" t="s">
        <v>541</v>
      </c>
      <c r="DM131" s="1254">
        <f ca="1">(AT272+AW255)*$DM$132</f>
        <v>0</v>
      </c>
      <c r="DN131" s="1160"/>
      <c r="DO131" s="1160"/>
      <c r="DP131" s="1160"/>
      <c r="DQ131" s="1160"/>
      <c r="DR131" s="1160"/>
      <c r="DS131" s="1160"/>
      <c r="DT131" s="1160"/>
      <c r="DU131" s="1160"/>
      <c r="DV131" s="1160"/>
      <c r="DW131" s="1160"/>
      <c r="DX131" s="1160"/>
      <c r="DY131" s="1160"/>
      <c r="DZ131" s="1160"/>
      <c r="EA131" s="1160" t="s">
        <v>392</v>
      </c>
      <c r="EB131" s="1160"/>
      <c r="EC131" s="1187">
        <f ca="1">(DO43+DM83+DM94+DM105+DM116+DM128+DM139+DM150+DM161+DM60+DM72)*$EC$139</f>
        <v>0</v>
      </c>
    </row>
    <row r="132" spans="1:133" x14ac:dyDescent="0.2">
      <c r="A132" s="1160"/>
      <c r="B132" s="1160"/>
      <c r="C132" s="1229"/>
      <c r="D132" s="1160"/>
      <c r="E132" s="1170"/>
      <c r="F132" s="1170"/>
      <c r="G132" s="1170"/>
      <c r="H132" s="1170"/>
      <c r="I132" s="1170"/>
      <c r="J132" s="1170"/>
      <c r="K132" s="1170"/>
      <c r="L132" s="1170"/>
      <c r="M132" s="1170"/>
      <c r="N132" s="1170"/>
      <c r="O132" s="1170"/>
      <c r="P132" s="1170"/>
      <c r="Q132" s="1170"/>
      <c r="R132" s="1170"/>
      <c r="S132" s="1170"/>
      <c r="T132" s="1170"/>
      <c r="U132" s="1186" t="str">
        <f>HydroRefineryCalcs!C48</f>
        <v>Vol Flow</v>
      </c>
      <c r="V132" s="1170" t="str">
        <f ca="1">HydroRefineryCalcs!D48</f>
        <v>m^3/d</v>
      </c>
      <c r="W132" s="1187">
        <f ca="1">HydroRefineryCalcs!K48</f>
        <v>1.589873E-15</v>
      </c>
      <c r="X132" s="1170"/>
      <c r="Y132" s="1170" t="s">
        <v>392</v>
      </c>
      <c r="Z132" s="1170"/>
      <c r="AA132" s="1187">
        <f ca="1">(U113+W50)*$AA$136</f>
        <v>2.8964931928634858E-32</v>
      </c>
      <c r="AB132" s="1170"/>
      <c r="AC132" s="1170"/>
      <c r="AD132" s="1170"/>
      <c r="AE132" s="1170"/>
      <c r="AF132" s="1170"/>
      <c r="AG132" s="1170"/>
      <c r="AH132" s="1170"/>
      <c r="AI132" s="1170"/>
      <c r="AJ132" s="1170"/>
      <c r="AK132" s="1170"/>
      <c r="AL132" s="1170"/>
      <c r="AM132" s="1170"/>
      <c r="AN132" s="1170"/>
      <c r="AO132" s="1170"/>
      <c r="AP132" s="1170"/>
      <c r="AQ132" s="1170"/>
      <c r="AR132" s="1170"/>
      <c r="AS132" s="1186" t="str">
        <f>HydroRefineryCalcs!C589</f>
        <v>Vol Flow</v>
      </c>
      <c r="AT132" s="1170" t="str">
        <f ca="1">HydroRefineryCalcs!D589</f>
        <v>m^3/d</v>
      </c>
      <c r="AU132" s="1170">
        <f ca="1">HydroRefineryCalcs!F589</f>
        <v>1.5898730000000001E-27</v>
      </c>
      <c r="AV132" s="1170"/>
      <c r="AW132" s="1170"/>
      <c r="AX132" s="1170" t="s">
        <v>392</v>
      </c>
      <c r="AY132" s="1170"/>
      <c r="AZ132" s="1187">
        <f ca="1">AM149*$AZ$136</f>
        <v>0</v>
      </c>
      <c r="BA132" s="1170"/>
      <c r="BB132" s="1170"/>
      <c r="BC132" s="1170"/>
      <c r="BD132" s="1170"/>
      <c r="BE132" s="1170"/>
      <c r="BF132" s="1170"/>
      <c r="BG132" s="1200" t="s">
        <v>1021</v>
      </c>
      <c r="BH132" s="1199" t="s">
        <v>1022</v>
      </c>
      <c r="BI132" s="1246">
        <f ca="1">(AU103*AU94+AU140*AU131+AU178*AU169+BQ157*BQ148)/BI123</f>
        <v>86.12</v>
      </c>
      <c r="BJ132" s="1170"/>
      <c r="BK132" s="1170"/>
      <c r="BL132" s="1170"/>
      <c r="BM132" s="1170" t="str">
        <f>CokingRefineryCalcs!E375</f>
        <v>kg/d</v>
      </c>
      <c r="BN132" s="1170">
        <f ca="1">HydroRefineryCalcs!D372</f>
        <v>4.0741184345877698E-8</v>
      </c>
      <c r="BO132" s="1170"/>
      <c r="BP132" s="1170"/>
      <c r="BQ132" s="1170"/>
      <c r="BR132" s="1204" t="s">
        <v>1054</v>
      </c>
      <c r="BS132" s="1204" t="str">
        <f>IF(allocationMethod=1,CokingRefineryPFD!$C$21,IF(allocationMethod=2,CokingRefineryPFD!$C$22,IF(allocationMethod=3,CokingRefineryPFD!$C$23,CokingRefineryPFD!$C$24)))</f>
        <v>Hydrogen Content Basis</v>
      </c>
      <c r="BT132" s="1250">
        <f ca="1">IF(allocationMethod=1,BT124,IF(allocationMethod=2,BT130*BT124,IF(allocationMethod=3,BT131*BT122,BT128*BT124/100)))</f>
        <v>2.3340620014639416E-7</v>
      </c>
      <c r="BU132" s="1170"/>
      <c r="BV132" s="1170"/>
      <c r="BW132" s="1170"/>
      <c r="BX132" s="1170"/>
      <c r="BY132" s="1170"/>
      <c r="BZ132" s="1170"/>
      <c r="CA132" s="1170"/>
      <c r="CB132" s="1170"/>
      <c r="CC132" s="1170"/>
      <c r="CD132" s="1200" t="s">
        <v>1021</v>
      </c>
      <c r="CE132" s="1199" t="s">
        <v>1022</v>
      </c>
      <c r="CF132" s="1290">
        <f>DD93</f>
        <v>89.360889434814453</v>
      </c>
      <c r="CG132" s="1170"/>
      <c r="CH132" s="1170"/>
      <c r="CI132" s="1170"/>
      <c r="CJ132" s="1170"/>
      <c r="CK132" s="1170"/>
      <c r="CL132" s="1170"/>
      <c r="CM132" s="1170"/>
      <c r="CN132" s="1170"/>
      <c r="CO132" s="1170"/>
      <c r="CP132" s="1160"/>
      <c r="CQ132" s="1160"/>
      <c r="CR132" s="1160"/>
      <c r="CS132" s="1160"/>
      <c r="CT132" s="1160"/>
      <c r="CU132" s="1160"/>
      <c r="CV132" s="1160"/>
      <c r="CW132" s="1160"/>
      <c r="CX132" s="1160"/>
      <c r="CY132" s="1160"/>
      <c r="CZ132" s="1171"/>
      <c r="DA132" s="1160"/>
      <c r="DB132" s="1160"/>
      <c r="DC132" s="1160"/>
      <c r="DD132" s="1160"/>
      <c r="DE132" s="1160"/>
      <c r="DF132" s="1160"/>
      <c r="DG132" s="1160"/>
      <c r="DH132" s="1160"/>
      <c r="DI132" s="1160"/>
      <c r="DJ132" s="1160"/>
      <c r="DK132" s="1160"/>
      <c r="DL132" s="1191" t="s">
        <v>1066</v>
      </c>
      <c r="DM132" s="1245">
        <f ca="1">IF('HydroRefineryPFD '!E27=TRUE,DM133,0)</f>
        <v>0</v>
      </c>
      <c r="DN132" s="1160"/>
      <c r="DO132" s="1160"/>
      <c r="DP132" s="1160"/>
      <c r="DQ132" s="1160"/>
      <c r="DR132" s="1160"/>
      <c r="DS132" s="1160"/>
      <c r="DT132" s="1160"/>
      <c r="DU132" s="1160"/>
      <c r="DV132" s="1160"/>
      <c r="DW132" s="1160"/>
      <c r="DX132" s="1160"/>
      <c r="DY132" s="1160"/>
      <c r="DZ132" s="1160"/>
      <c r="EA132" s="1160" t="s">
        <v>224</v>
      </c>
      <c r="EB132" s="1160"/>
      <c r="EC132" s="1187">
        <f ca="1">(DO44+DM84+DM95+DM106+DM117+DM129+DM140+DM151+DM162+DM61+DM73)*$EC$139</f>
        <v>0</v>
      </c>
    </row>
    <row r="133" spans="1:133" ht="18.75" customHeight="1" x14ac:dyDescent="0.2">
      <c r="A133" s="1160"/>
      <c r="B133" s="1160"/>
      <c r="C133" s="1229"/>
      <c r="D133" s="1229"/>
      <c r="E133" s="1296"/>
      <c r="F133" s="1296"/>
      <c r="G133" s="1296"/>
      <c r="H133" s="1296"/>
      <c r="I133" s="1296"/>
      <c r="J133" s="1296"/>
      <c r="K133" s="1296"/>
      <c r="L133" s="1181"/>
      <c r="M133" s="1170"/>
      <c r="N133" s="1170"/>
      <c r="O133" s="1170"/>
      <c r="P133" s="1170"/>
      <c r="Q133" s="1170"/>
      <c r="R133" s="1170"/>
      <c r="S133" s="1170"/>
      <c r="T133" s="1170"/>
      <c r="U133" s="1186" t="str">
        <f>HydroRefineryCalcs!C49</f>
        <v>Mass Flow</v>
      </c>
      <c r="V133" s="1170" t="str">
        <f>HydroRefineryCalcs!D49</f>
        <v>kg/d</v>
      </c>
      <c r="W133" s="1187">
        <f ca="1">HydroRefineryCalcs!K49</f>
        <v>1E-14</v>
      </c>
      <c r="X133" s="1170"/>
      <c r="Y133" s="1170" t="s">
        <v>224</v>
      </c>
      <c r="Z133" s="1170"/>
      <c r="AA133" s="1187">
        <f ca="1">(U114+W51)*$AA$136</f>
        <v>3.2543569747660489E-30</v>
      </c>
      <c r="AB133" s="1170"/>
      <c r="AC133" s="1170"/>
      <c r="AD133" s="1170"/>
      <c r="AE133" s="1170"/>
      <c r="AF133" s="1170"/>
      <c r="AG133" s="1170"/>
      <c r="AH133" s="1170"/>
      <c r="AI133" s="1170"/>
      <c r="AJ133" s="1170"/>
      <c r="AK133" s="1181" t="str">
        <f>HydroRefineryCalcs!G514</f>
        <v>LVGO</v>
      </c>
      <c r="AL133" s="1170"/>
      <c r="AM133" s="1170"/>
      <c r="AN133" s="1170"/>
      <c r="AO133" s="1170"/>
      <c r="AP133" s="1170"/>
      <c r="AQ133" s="1170"/>
      <c r="AR133" s="1170"/>
      <c r="AS133" s="1186" t="str">
        <f>HydroRefineryCalcs!C590</f>
        <v>Mass Flow</v>
      </c>
      <c r="AT133" s="1170" t="str">
        <f>HydroRefineryCalcs!D590</f>
        <v>kg/d</v>
      </c>
      <c r="AU133" s="1170">
        <f ca="1">HydroRefineryCalcs!F590</f>
        <v>1E-26</v>
      </c>
      <c r="AV133" s="1170"/>
      <c r="AW133" s="1170"/>
      <c r="AX133" s="1170" t="s">
        <v>224</v>
      </c>
      <c r="AY133" s="1170"/>
      <c r="AZ133" s="1187">
        <f ca="1">AM150*$AZ$136</f>
        <v>0</v>
      </c>
      <c r="BA133" s="1170"/>
      <c r="BB133" s="1170"/>
      <c r="BC133" s="1170"/>
      <c r="BD133" s="1170"/>
      <c r="BE133" s="1170"/>
      <c r="BF133" s="1170"/>
      <c r="BG133" s="1204" t="s">
        <v>1054</v>
      </c>
      <c r="BH133" s="1204" t="str">
        <f>IF(allocationMethod=1,CokingRefineryPFD!$C$21,IF(allocationMethod=2,CokingRefineryPFD!$C$22,IF(allocationMethod=3,CokingRefineryPFD!$C$23,CokingRefineryPFD!$C$24)))</f>
        <v>Hydrogen Content Basis</v>
      </c>
      <c r="BI133" s="1204">
        <f ca="1">IF(allocationMethod=1,BI125,IF(allocationMethod=2,BI131*BI125,IF(allocationMethod=3,BI132*BI123,BI129*BI125/100)))</f>
        <v>1.9847201341060203E-7</v>
      </c>
      <c r="BJ133" s="1170"/>
      <c r="BK133" s="1170"/>
      <c r="BL133" s="1170"/>
      <c r="BM133" s="1170"/>
      <c r="BN133" s="1170"/>
      <c r="BO133" s="1170"/>
      <c r="BP133" s="1170"/>
      <c r="BQ133" s="1170"/>
      <c r="BR133" s="1180" t="str">
        <f>BR120</f>
        <v>HC Product Liquids</v>
      </c>
      <c r="BS133" s="1170"/>
      <c r="BT133" s="1170"/>
      <c r="BU133" s="1170"/>
      <c r="BV133" s="1170"/>
      <c r="BW133" s="1170"/>
      <c r="BX133" s="1170"/>
      <c r="BY133" s="1170"/>
      <c r="BZ133" s="1170"/>
      <c r="CA133" s="1170"/>
      <c r="CB133" s="1170"/>
      <c r="CC133" s="1170"/>
      <c r="CD133" s="1204" t="s">
        <v>1054</v>
      </c>
      <c r="CE133" s="1204" t="str">
        <f>IF(allocationMethod=1,CokingRefineryPFD!$C$21,IF(allocationMethod=2,CokingRefineryPFD!$C$22,IF(allocationMethod=3,CokingRefineryPFD!$C$23,CokingRefineryPFD!$C$24)))</f>
        <v>Hydrogen Content Basis</v>
      </c>
      <c r="CF133" s="1250">
        <f ca="1">IF(allocationMethod=1,CF125,IF(allocationMethod=2,CF131*CF125,IF(allocationMethod=3,CF132*CF123,CF129*CF125/100)))</f>
        <v>1.129127917684328E-7</v>
      </c>
      <c r="CG133" s="1170"/>
      <c r="CH133" s="1170"/>
      <c r="CI133" s="1170"/>
      <c r="CJ133" s="1170"/>
      <c r="CK133" s="1170"/>
      <c r="CL133" s="1170"/>
      <c r="CM133" s="1170"/>
      <c r="CN133" s="1170"/>
      <c r="CO133" s="1170"/>
      <c r="CP133" s="1160"/>
      <c r="CQ133" s="1160"/>
      <c r="CR133" s="1160"/>
      <c r="CS133" s="1160"/>
      <c r="CT133" s="1160"/>
      <c r="CU133" s="1160"/>
      <c r="CV133" s="1160"/>
      <c r="CW133" s="1160"/>
      <c r="CX133" s="1160"/>
      <c r="CY133" s="1160"/>
      <c r="CZ133" s="1171"/>
      <c r="DA133" s="1160"/>
      <c r="DB133" s="1160"/>
      <c r="DC133" s="1160"/>
      <c r="DD133" s="1160"/>
      <c r="DE133" s="1160"/>
      <c r="DF133" s="1160"/>
      <c r="DG133" s="1160"/>
      <c r="DH133" s="1160"/>
      <c r="DI133" s="1160"/>
      <c r="DJ133" s="1160"/>
      <c r="DK133" s="1160"/>
      <c r="DL133" s="1191" t="s">
        <v>1065</v>
      </c>
      <c r="DM133" s="1245">
        <f ca="1">AW238/(AW238+BB252)</f>
        <v>0</v>
      </c>
      <c r="DN133" s="1160"/>
      <c r="DO133" s="1160"/>
      <c r="DP133" s="1160"/>
      <c r="DQ133" s="1160"/>
      <c r="DR133" s="1160"/>
      <c r="DS133" s="1160"/>
      <c r="DT133" s="1160"/>
      <c r="DU133" s="1160"/>
      <c r="DV133" s="1160"/>
      <c r="DW133" s="1160"/>
      <c r="DX133" s="1160"/>
      <c r="DY133" s="1160"/>
      <c r="DZ133" s="1160"/>
      <c r="EA133" s="1160" t="s">
        <v>485</v>
      </c>
      <c r="EB133" s="1160"/>
      <c r="EC133" s="1187">
        <f ca="1">(DO45+DM85+DM96+DM107+DM118+DM130+DM141+DM152+DM163+DM62+DM74)*$EC$139</f>
        <v>0</v>
      </c>
    </row>
    <row r="134" spans="1:133" x14ac:dyDescent="0.2">
      <c r="A134" s="1160"/>
      <c r="B134" s="1160"/>
      <c r="C134" s="1229"/>
      <c r="D134" s="1229"/>
      <c r="E134" s="1296"/>
      <c r="F134" s="1296"/>
      <c r="G134" s="1296"/>
      <c r="H134" s="1296"/>
      <c r="I134" s="1181"/>
      <c r="J134" s="1181"/>
      <c r="K134" s="1296"/>
      <c r="L134" s="1181"/>
      <c r="M134" s="1170"/>
      <c r="N134" s="1170"/>
      <c r="O134" s="1170"/>
      <c r="P134" s="1170"/>
      <c r="Q134" s="1170"/>
      <c r="R134" s="1170"/>
      <c r="S134" s="1170"/>
      <c r="T134" s="1170"/>
      <c r="U134" s="1186" t="str">
        <f>HydroRefineryCalcs!C50</f>
        <v xml:space="preserve">Sulphur </v>
      </c>
      <c r="V134" s="1170" t="str">
        <f ca="1">HydroRefineryCalcs!D50</f>
        <v>wt%</v>
      </c>
      <c r="W134" s="1170">
        <f ca="1">HydroRefineryCalcs!K50</f>
        <v>1E-14</v>
      </c>
      <c r="X134" s="1170"/>
      <c r="Y134" s="1170" t="s">
        <v>485</v>
      </c>
      <c r="Z134" s="1170"/>
      <c r="AA134" s="1187">
        <f ca="1">(U115+W52)*$AA$136</f>
        <v>6.2242382397956034E-31</v>
      </c>
      <c r="AB134" s="1170"/>
      <c r="AC134" s="1170"/>
      <c r="AD134" s="1170"/>
      <c r="AE134" s="1170"/>
      <c r="AF134" s="1170"/>
      <c r="AG134" s="1170"/>
      <c r="AH134" s="1170"/>
      <c r="AI134" s="1170"/>
      <c r="AJ134" s="1170"/>
      <c r="AK134" s="1182" t="str">
        <f>HydroRefineryCalcs!C514</f>
        <v>Property</v>
      </c>
      <c r="AL134" s="1182" t="str">
        <f>HydroRefineryCalcs!D514</f>
        <v>Units</v>
      </c>
      <c r="AM134" s="1170"/>
      <c r="AN134" s="1170"/>
      <c r="AO134" s="1170"/>
      <c r="AP134" s="1170"/>
      <c r="AQ134" s="1170"/>
      <c r="AR134" s="1170"/>
      <c r="AS134" s="1186" t="str">
        <f>HydroRefineryCalcs!C591</f>
        <v xml:space="preserve">Sulphur </v>
      </c>
      <c r="AT134" s="1170" t="str">
        <f ca="1">HydroRefineryCalcs!D591</f>
        <v>wt%</v>
      </c>
      <c r="AU134" s="1170">
        <f ca="1">HydroRefineryCalcs!F591</f>
        <v>0</v>
      </c>
      <c r="AV134" s="1170"/>
      <c r="AW134" s="1170"/>
      <c r="AX134" s="1170" t="s">
        <v>485</v>
      </c>
      <c r="AY134" s="1170"/>
      <c r="AZ134" s="1187">
        <f ca="1">AM151*$AZ$136</f>
        <v>0</v>
      </c>
      <c r="BA134" s="1170"/>
      <c r="BB134" s="1170"/>
      <c r="BC134" s="1170"/>
      <c r="BD134" s="1170"/>
      <c r="BE134" s="1170"/>
      <c r="BF134" s="1170"/>
      <c r="BG134" s="1170"/>
      <c r="BH134" s="1170"/>
      <c r="BI134" s="1170"/>
      <c r="BJ134" s="1170"/>
      <c r="BK134" s="1170"/>
      <c r="BL134" s="1170"/>
      <c r="BM134" s="1170"/>
      <c r="BN134" s="1170"/>
      <c r="BO134" s="1170"/>
      <c r="BP134" s="1170"/>
      <c r="BQ134" s="1170"/>
      <c r="BR134" s="1183" t="s">
        <v>226</v>
      </c>
      <c r="BS134" s="1170"/>
      <c r="BT134" s="1184" t="s">
        <v>522</v>
      </c>
      <c r="BU134" s="1170"/>
      <c r="BV134" s="1170"/>
      <c r="BW134" s="1170"/>
      <c r="BX134" s="1170"/>
      <c r="BY134" s="1170"/>
      <c r="BZ134" s="1170"/>
      <c r="CA134" s="1170"/>
      <c r="CB134" s="1170"/>
      <c r="CC134" s="1170"/>
      <c r="CD134" s="1170"/>
      <c r="CE134" s="1170"/>
      <c r="CF134" s="1170"/>
      <c r="CG134" s="1170"/>
      <c r="CH134" s="1170"/>
      <c r="CI134" s="1170"/>
      <c r="CJ134" s="1170"/>
      <c r="CK134" s="1170"/>
      <c r="CL134" s="1170"/>
      <c r="CM134" s="1170"/>
      <c r="CN134" s="1170"/>
      <c r="CO134" s="1170"/>
      <c r="CP134" s="1160"/>
      <c r="CQ134" s="1160"/>
      <c r="CR134" s="1160"/>
      <c r="CS134" s="1160"/>
      <c r="CT134" s="1160"/>
      <c r="CU134" s="1160"/>
      <c r="CV134" s="1160"/>
      <c r="CW134" s="1160"/>
      <c r="CX134" s="1160"/>
      <c r="CY134" s="1160"/>
      <c r="CZ134" s="1171"/>
      <c r="DA134" s="1160"/>
      <c r="DB134" s="1160"/>
      <c r="DC134" s="1160"/>
      <c r="DD134" s="1160"/>
      <c r="DE134" s="1160"/>
      <c r="DF134" s="1160"/>
      <c r="DG134" s="1160"/>
      <c r="DH134" s="1160"/>
      <c r="DI134" s="1160"/>
      <c r="DJ134" s="1160"/>
      <c r="DK134" s="1160"/>
      <c r="DL134" s="1253" t="s">
        <v>228</v>
      </c>
      <c r="DM134" s="1245">
        <f ca="1">AW230/(AT253+AW258)</f>
        <v>8.4455421694071803E-2</v>
      </c>
      <c r="DN134" s="1160"/>
      <c r="DO134" s="1160"/>
      <c r="DP134" s="1160"/>
      <c r="DQ134" s="1160"/>
      <c r="DR134" s="1160"/>
      <c r="DS134" s="1160"/>
      <c r="DT134" s="1160"/>
      <c r="DU134" s="1160"/>
      <c r="DV134" s="1160"/>
      <c r="DW134" s="1160"/>
      <c r="DX134" s="1160"/>
      <c r="DY134" s="1160"/>
      <c r="DZ134" s="1160"/>
      <c r="EA134" s="1160" t="s">
        <v>541</v>
      </c>
      <c r="EB134" s="1160"/>
      <c r="EC134" s="1187">
        <f ca="1">(DO46+DM86+DM97+DM108+DM119+DM131+DM142+DM153+DM164+DM63+DM75)*$EC$139</f>
        <v>0</v>
      </c>
    </row>
    <row r="135" spans="1:133" x14ac:dyDescent="0.2">
      <c r="A135" s="1160"/>
      <c r="B135" s="1160"/>
      <c r="C135" s="1229"/>
      <c r="D135" s="1229"/>
      <c r="E135" s="1296"/>
      <c r="F135" s="1296"/>
      <c r="G135" s="1296"/>
      <c r="H135" s="1296"/>
      <c r="I135" s="1181"/>
      <c r="J135" s="1181"/>
      <c r="K135" s="1296"/>
      <c r="L135" s="1181"/>
      <c r="M135" s="1170"/>
      <c r="N135" s="1170"/>
      <c r="O135" s="1170"/>
      <c r="P135" s="1170"/>
      <c r="Q135" s="1170"/>
      <c r="R135" s="1170"/>
      <c r="S135" s="1170"/>
      <c r="T135" s="1170"/>
      <c r="U135" s="1186" t="str">
        <f>HydroRefineryCalcs!C52</f>
        <v xml:space="preserve">API gravity </v>
      </c>
      <c r="V135" s="1170"/>
      <c r="W135" s="1170">
        <f ca="1">HydroRefineryCalcs!K52</f>
        <v>1E-14</v>
      </c>
      <c r="X135" s="1170"/>
      <c r="Y135" s="1170" t="s">
        <v>541</v>
      </c>
      <c r="Z135" s="1170"/>
      <c r="AA135" s="1170">
        <f ca="1">(U116+W53)*$AA$136</f>
        <v>0</v>
      </c>
      <c r="AB135" s="1170"/>
      <c r="AC135" s="1170"/>
      <c r="AD135" s="1170"/>
      <c r="AE135" s="1170"/>
      <c r="AF135" s="1170"/>
      <c r="AG135" s="1170"/>
      <c r="AH135" s="1170"/>
      <c r="AI135" s="1170"/>
      <c r="AJ135" s="1170"/>
      <c r="AK135" s="1186" t="str">
        <f>HydroRefineryCalcs!C515</f>
        <v>Vol Flow</v>
      </c>
      <c r="AL135" s="1170" t="str">
        <f ca="1">HydroRefineryCalcs!D515</f>
        <v>bpd</v>
      </c>
      <c r="AM135" s="1187">
        <f ca="1">HydroRefineryCalcs!G515</f>
        <v>1E-14</v>
      </c>
      <c r="AN135" s="1170"/>
      <c r="AO135" s="1170"/>
      <c r="AP135" s="1170"/>
      <c r="AQ135" s="1170"/>
      <c r="AR135" s="1170"/>
      <c r="AS135" s="1186" t="str">
        <f>HydroRefineryCalcs!C593</f>
        <v xml:space="preserve">API gravity </v>
      </c>
      <c r="AT135" s="1170"/>
      <c r="AU135" s="1170">
        <f ca="1">HydroRefineryCalcs!F593</f>
        <v>0</v>
      </c>
      <c r="AV135" s="1170"/>
      <c r="AW135" s="1170"/>
      <c r="AX135" s="1170" t="s">
        <v>541</v>
      </c>
      <c r="AY135" s="1170"/>
      <c r="AZ135" s="1170">
        <f ca="1">AM152*$AZ$136</f>
        <v>0</v>
      </c>
      <c r="BA135" s="1170"/>
      <c r="BB135" s="1170"/>
      <c r="BC135" s="1170"/>
      <c r="BD135" s="1170"/>
      <c r="BE135" s="1170"/>
      <c r="BF135" s="1170"/>
      <c r="BG135" s="1170"/>
      <c r="BH135" s="1170"/>
      <c r="BI135" s="1170"/>
      <c r="BJ135" s="1170"/>
      <c r="BK135" s="1170"/>
      <c r="BL135" s="1170"/>
      <c r="BM135" s="1170"/>
      <c r="BN135" s="1170"/>
      <c r="BO135" s="1170"/>
      <c r="BP135" s="1170"/>
      <c r="BQ135" s="1170"/>
      <c r="BR135" s="1170" t="s">
        <v>263</v>
      </c>
      <c r="BS135" s="1170"/>
      <c r="BT135" s="1187">
        <f ca="1">(AZ94+AZ131+AZ169+BT148)*BT140</f>
        <v>0</v>
      </c>
      <c r="BU135" s="1170"/>
      <c r="BV135" s="1170"/>
      <c r="BW135" s="1170"/>
      <c r="BX135" s="1170"/>
      <c r="BY135" s="1170"/>
      <c r="BZ135" s="1170"/>
      <c r="CA135" s="1170"/>
      <c r="CB135" s="1170"/>
      <c r="CC135" s="1170"/>
      <c r="CD135" s="1170"/>
      <c r="CE135" s="1170"/>
      <c r="CF135" s="1170"/>
      <c r="CG135" s="1170"/>
      <c r="CH135" s="1170"/>
      <c r="CI135" s="1170"/>
      <c r="CJ135" s="1170"/>
      <c r="CK135" s="1170"/>
      <c r="CL135" s="1170"/>
      <c r="CM135" s="1170"/>
      <c r="CN135" s="1170"/>
      <c r="CO135" s="1170"/>
      <c r="CP135" s="1160"/>
      <c r="CQ135" s="1160"/>
      <c r="CR135" s="1160"/>
      <c r="CS135" s="1160"/>
      <c r="CT135" s="1160"/>
      <c r="CU135" s="1160"/>
      <c r="CV135" s="1160"/>
      <c r="CW135" s="1160"/>
      <c r="CX135" s="1160"/>
      <c r="CY135" s="1160"/>
      <c r="CZ135" s="1171"/>
      <c r="DA135" s="1160"/>
      <c r="DB135" s="1160"/>
      <c r="DC135" s="1160"/>
      <c r="DD135" s="1160"/>
      <c r="DE135" s="1160"/>
      <c r="DF135" s="1160"/>
      <c r="DG135" s="1160"/>
      <c r="DH135" s="1160"/>
      <c r="DI135" s="1160"/>
      <c r="DJ135" s="1160"/>
      <c r="DK135" s="1160"/>
      <c r="DL135" s="1257"/>
      <c r="DM135" s="1171"/>
      <c r="DN135" s="1160"/>
      <c r="DO135" s="1160"/>
      <c r="DP135" s="1160"/>
      <c r="DQ135" s="1160"/>
      <c r="DR135" s="1160"/>
      <c r="DS135" s="1160"/>
      <c r="DT135" s="1160"/>
      <c r="DU135" s="1160"/>
      <c r="DV135" s="1160"/>
      <c r="DW135" s="1160"/>
      <c r="DX135" s="1160"/>
      <c r="DY135" s="1160"/>
      <c r="DZ135" s="1160"/>
      <c r="EA135" s="1160" t="str">
        <f>DL120</f>
        <v>Catalyst Coke</v>
      </c>
      <c r="EB135" s="1160"/>
      <c r="EC135" s="1187">
        <f ca="1">(DM120+DM165)*$EC$139</f>
        <v>0</v>
      </c>
    </row>
    <row r="136" spans="1:133" x14ac:dyDescent="0.2">
      <c r="A136" s="1160"/>
      <c r="B136" s="1160"/>
      <c r="C136" s="1229"/>
      <c r="D136" s="1229"/>
      <c r="E136" s="1296"/>
      <c r="F136" s="1296"/>
      <c r="G136" s="1296"/>
      <c r="H136" s="1296"/>
      <c r="I136" s="1181"/>
      <c r="J136" s="1181"/>
      <c r="K136" s="1296"/>
      <c r="L136" s="1181"/>
      <c r="M136" s="1170"/>
      <c r="N136" s="1170"/>
      <c r="O136" s="1170"/>
      <c r="P136" s="1170"/>
      <c r="Q136" s="1170"/>
      <c r="R136" s="1170"/>
      <c r="S136" s="1170"/>
      <c r="T136" s="1170"/>
      <c r="U136" s="1186" t="str">
        <f>HydroRefineryCalcs!C53</f>
        <v>Density</v>
      </c>
      <c r="V136" s="1170" t="str">
        <f ca="1">HydroRefineryCalcs!D53</f>
        <v>kg/m^3</v>
      </c>
      <c r="W136" s="1187">
        <f ca="1">HydroRefineryCalcs!K53</f>
        <v>0</v>
      </c>
      <c r="X136" s="1170"/>
      <c r="Y136" s="1180" t="s">
        <v>1065</v>
      </c>
      <c r="Z136" s="1170"/>
      <c r="AA136" s="1170">
        <f ca="1">W141/(AA54+AA71+AA88+AA103+W141)</f>
        <v>7.7256004971093289E-37</v>
      </c>
      <c r="AB136" s="1170"/>
      <c r="AC136" s="1170"/>
      <c r="AD136" s="1170"/>
      <c r="AE136" s="1170"/>
      <c r="AF136" s="1170"/>
      <c r="AG136" s="1170"/>
      <c r="AH136" s="1170"/>
      <c r="AI136" s="1170"/>
      <c r="AJ136" s="1170"/>
      <c r="AK136" s="1186" t="str">
        <f>HydroRefineryCalcs!C516</f>
        <v>Vol Flow</v>
      </c>
      <c r="AL136" s="1170" t="str">
        <f ca="1">HydroRefineryCalcs!D516</f>
        <v>m^3/d</v>
      </c>
      <c r="AM136" s="1187">
        <f ca="1">HydroRefineryCalcs!G516</f>
        <v>1.589873E-15</v>
      </c>
      <c r="AN136" s="1170"/>
      <c r="AO136" s="1170"/>
      <c r="AP136" s="1170"/>
      <c r="AQ136" s="1170"/>
      <c r="AR136" s="1170"/>
      <c r="AS136" s="1186" t="str">
        <f>HydroRefineryCalcs!C594</f>
        <v>Density</v>
      </c>
      <c r="AT136" s="1170" t="str">
        <f ca="1">HydroRefineryCalcs!D594</f>
        <v>kg/m^3</v>
      </c>
      <c r="AU136" s="1170">
        <f ca="1">HydroRefineryCalcs!F594</f>
        <v>0</v>
      </c>
      <c r="AV136" s="1170"/>
      <c r="AW136" s="1170"/>
      <c r="AX136" s="1180" t="s">
        <v>1065</v>
      </c>
      <c r="AY136" s="1170"/>
      <c r="AZ136" s="1170">
        <f ca="1">IF(AM145=0,0,AU141/AM145)</f>
        <v>0</v>
      </c>
      <c r="BA136" s="1170"/>
      <c r="BB136" s="1170"/>
      <c r="BC136" s="1170"/>
      <c r="BD136" s="1170"/>
      <c r="BE136" s="1170"/>
      <c r="BF136" s="1170"/>
      <c r="BG136" s="1170"/>
      <c r="BH136" s="1170"/>
      <c r="BI136" s="1170"/>
      <c r="BJ136" s="1170"/>
      <c r="BK136" s="1170"/>
      <c r="BL136" s="1170"/>
      <c r="BM136" s="1170"/>
      <c r="BN136" s="1170"/>
      <c r="BO136" s="1170"/>
      <c r="BP136" s="1170"/>
      <c r="BQ136" s="1170"/>
      <c r="BR136" s="1170" t="s">
        <v>392</v>
      </c>
      <c r="BS136" s="1170"/>
      <c r="BT136" s="1187">
        <f ca="1">(BN127+AZ95+AZ132+AZ170+BT149)*$BT$140</f>
        <v>1.9870608005702995E-9</v>
      </c>
      <c r="BU136" s="1170"/>
      <c r="BV136" s="1170"/>
      <c r="BW136" s="1170"/>
      <c r="BX136" s="1170"/>
      <c r="BY136" s="1170"/>
      <c r="BZ136" s="1170"/>
      <c r="CA136" s="1170"/>
      <c r="CB136" s="1170"/>
      <c r="CC136" s="1170"/>
      <c r="CD136" s="1170"/>
      <c r="CE136" s="1170"/>
      <c r="CF136" s="1170"/>
      <c r="CG136" s="1170"/>
      <c r="CH136" s="1170"/>
      <c r="CI136" s="1170"/>
      <c r="CJ136" s="1170"/>
      <c r="CK136" s="1170"/>
      <c r="CL136" s="1170"/>
      <c r="CM136" s="1170"/>
      <c r="CN136" s="1170"/>
      <c r="CO136" s="1170"/>
      <c r="CP136" s="1160"/>
      <c r="CQ136" s="1160"/>
      <c r="CR136" s="1160"/>
      <c r="CS136" s="1160"/>
      <c r="CT136" s="1160"/>
      <c r="CU136" s="1160"/>
      <c r="CV136" s="1160"/>
      <c r="CW136" s="1160"/>
      <c r="CX136" s="1160"/>
      <c r="CY136" s="1160"/>
      <c r="CZ136" s="1171"/>
      <c r="DA136" s="1160"/>
      <c r="DB136" s="1160"/>
      <c r="DC136" s="1160"/>
      <c r="DD136" s="1160"/>
      <c r="DE136" s="1160"/>
      <c r="DF136" s="1160"/>
      <c r="DG136" s="1160"/>
      <c r="DH136" s="1160"/>
      <c r="DI136" s="1160"/>
      <c r="DJ136" s="1160"/>
      <c r="DK136" s="1160"/>
      <c r="DL136" s="1191" t="str">
        <f>BO160</f>
        <v>HC NHT Fuel Gas</v>
      </c>
      <c r="DM136" s="1171">
        <f ca="1">HydroRefineryCalcs!G981</f>
        <v>2.4516129032278489E-18</v>
      </c>
      <c r="DN136" s="1160" t="s">
        <v>622</v>
      </c>
      <c r="DO136" s="1160"/>
      <c r="DP136" s="1160"/>
      <c r="DQ136" s="1160"/>
      <c r="DR136" s="1160"/>
      <c r="DS136" s="1160"/>
      <c r="DT136" s="1160"/>
      <c r="DU136" s="1160"/>
      <c r="DV136" s="1160"/>
      <c r="DW136" s="1160"/>
      <c r="DX136" s="1160"/>
      <c r="DY136" s="1160"/>
      <c r="DZ136" s="1160"/>
      <c r="EA136" s="1191" t="s">
        <v>1066</v>
      </c>
      <c r="EB136" s="1160"/>
      <c r="EC136" s="1205">
        <f>IF('HydroRefineryPFD '!E28=FALSE,0,IF('HydroRefineryPFD '!E27=TRUE,EC137,1))</f>
        <v>0</v>
      </c>
    </row>
    <row r="137" spans="1:133" x14ac:dyDescent="0.2">
      <c r="A137" s="1160"/>
      <c r="B137" s="1160"/>
      <c r="C137" s="1229"/>
      <c r="D137" s="1229"/>
      <c r="E137" s="1296"/>
      <c r="F137" s="1296"/>
      <c r="G137" s="1296"/>
      <c r="H137" s="1296"/>
      <c r="I137" s="1181"/>
      <c r="J137" s="1181"/>
      <c r="K137" s="1296"/>
      <c r="L137" s="1181"/>
      <c r="M137" s="1170"/>
      <c r="N137" s="1170"/>
      <c r="O137" s="1170"/>
      <c r="P137" s="1170"/>
      <c r="Q137" s="1170"/>
      <c r="R137" s="1170"/>
      <c r="S137" s="1170"/>
      <c r="T137" s="1170"/>
      <c r="U137" s="1186" t="str">
        <f>HydroRefineryCalcs!C54</f>
        <v>Hydrogen</v>
      </c>
      <c r="V137" s="1170" t="str">
        <f ca="1">HydroRefineryCalcs!D54</f>
        <v>wt%</v>
      </c>
      <c r="W137" s="1170">
        <f ca="1">HydroRefineryCalcs!K54</f>
        <v>1E-14</v>
      </c>
      <c r="X137" s="1170"/>
      <c r="Y137" s="1198" t="s">
        <v>228</v>
      </c>
      <c r="Z137" s="1170"/>
      <c r="AA137" s="1217">
        <f ca="1">W133/U102</f>
        <v>7.3060273643733411E-22</v>
      </c>
      <c r="AB137" s="1170"/>
      <c r="AC137" s="1170"/>
      <c r="AD137" s="1170"/>
      <c r="AE137" s="1170"/>
      <c r="AF137" s="1170"/>
      <c r="AG137" s="1170"/>
      <c r="AH137" s="1170"/>
      <c r="AI137" s="1170"/>
      <c r="AJ137" s="1170"/>
      <c r="AK137" s="1186" t="str">
        <f>HydroRefineryCalcs!C517</f>
        <v>Mass Flow</v>
      </c>
      <c r="AL137" s="1170" t="str">
        <f>HydroRefineryCalcs!D517</f>
        <v>kg/d</v>
      </c>
      <c r="AM137" s="1187">
        <f ca="1">HydroRefineryCalcs!G517</f>
        <v>1E-14</v>
      </c>
      <c r="AN137" s="1170"/>
      <c r="AO137" s="1170"/>
      <c r="AP137" s="1170"/>
      <c r="AQ137" s="1170"/>
      <c r="AR137" s="1170"/>
      <c r="AS137" s="1186" t="str">
        <f>HydroRefineryCalcs!C595</f>
        <v>Hydrogen</v>
      </c>
      <c r="AT137" s="1170" t="str">
        <f ca="1">HydroRefineryCalcs!D595</f>
        <v>wt%</v>
      </c>
      <c r="AU137" s="1170">
        <f ca="1">HydroRefineryCalcs!F595</f>
        <v>0</v>
      </c>
      <c r="AV137" s="1170"/>
      <c r="AW137" s="1170"/>
      <c r="AX137" s="1170"/>
      <c r="AY137" s="1170"/>
      <c r="AZ137" s="1170"/>
      <c r="BA137" s="1170"/>
      <c r="BB137" s="1170"/>
      <c r="BC137" s="1170"/>
      <c r="BD137" s="1170"/>
      <c r="BE137" s="1170"/>
      <c r="BF137" s="1170"/>
      <c r="BG137" s="1170"/>
      <c r="BH137" s="1297"/>
      <c r="BI137" s="1170"/>
      <c r="BJ137" s="1170"/>
      <c r="BK137" s="1170"/>
      <c r="BL137" s="1170"/>
      <c r="BM137" s="1170"/>
      <c r="BN137" s="1170"/>
      <c r="BO137" s="1170"/>
      <c r="BP137" s="1170"/>
      <c r="BQ137" s="1170"/>
      <c r="BR137" s="1170" t="s">
        <v>224</v>
      </c>
      <c r="BS137" s="1170"/>
      <c r="BT137" s="1187">
        <f ca="1">(BN128+AZ96+AZ133+AZ171+BT150)*$BT$140</f>
        <v>1.2068749739285783E-6</v>
      </c>
      <c r="BU137" s="1170"/>
      <c r="BV137" s="1170"/>
      <c r="BW137" s="1170"/>
      <c r="BX137" s="1170"/>
      <c r="BY137" s="1170"/>
      <c r="BZ137" s="1170"/>
      <c r="CA137" s="1170"/>
      <c r="CB137" s="1170"/>
      <c r="CC137" s="1170"/>
      <c r="CD137" s="1170"/>
      <c r="CE137" s="1170"/>
      <c r="CF137" s="1170"/>
      <c r="CG137" s="1170"/>
      <c r="CH137" s="1170"/>
      <c r="CI137" s="1170"/>
      <c r="CJ137" s="1170"/>
      <c r="CK137" s="1170"/>
      <c r="CL137" s="1170"/>
      <c r="CM137" s="1170"/>
      <c r="CN137" s="1170"/>
      <c r="CO137" s="1170"/>
      <c r="CP137" s="1160"/>
      <c r="CQ137" s="1160"/>
      <c r="CR137" s="1160"/>
      <c r="CS137" s="1160"/>
      <c r="CT137" s="1160"/>
      <c r="CU137" s="1160"/>
      <c r="CV137" s="1160"/>
      <c r="CW137" s="1160"/>
      <c r="CX137" s="1160"/>
      <c r="CY137" s="1160"/>
      <c r="CZ137" s="1171"/>
      <c r="DA137" s="1160"/>
      <c r="DB137" s="1160"/>
      <c r="DC137" s="1160"/>
      <c r="DD137" s="1160"/>
      <c r="DE137" s="1160"/>
      <c r="DF137" s="1160"/>
      <c r="DG137" s="1160"/>
      <c r="DH137" s="1160"/>
      <c r="DI137" s="1160"/>
      <c r="DJ137" s="1160"/>
      <c r="DK137" s="1160"/>
      <c r="DL137" s="1193" t="s">
        <v>226</v>
      </c>
      <c r="DM137" s="1243" t="s">
        <v>522</v>
      </c>
      <c r="DN137" s="1160"/>
      <c r="DO137" s="1160"/>
      <c r="DP137" s="1160"/>
      <c r="DQ137" s="1160"/>
      <c r="DR137" s="1160"/>
      <c r="DS137" s="1160"/>
      <c r="DT137" s="1160"/>
      <c r="DU137" s="1160"/>
      <c r="DV137" s="1160"/>
      <c r="DW137" s="1160"/>
      <c r="DX137" s="1160"/>
      <c r="DY137" s="1160"/>
      <c r="DZ137" s="1160"/>
      <c r="EA137" s="1191" t="s">
        <v>1065</v>
      </c>
      <c r="EB137" s="1160"/>
      <c r="EC137" s="1205">
        <f>EC126/(EC126+EC98)</f>
        <v>0</v>
      </c>
    </row>
    <row r="138" spans="1:133" x14ac:dyDescent="0.2">
      <c r="A138" s="1160"/>
      <c r="B138" s="1160"/>
      <c r="C138" s="1229"/>
      <c r="D138" s="1229"/>
      <c r="E138" s="1296"/>
      <c r="F138" s="1296"/>
      <c r="G138" s="1296"/>
      <c r="H138" s="1296"/>
      <c r="I138" s="1181"/>
      <c r="J138" s="1181"/>
      <c r="K138" s="1296"/>
      <c r="L138" s="1181"/>
      <c r="M138" s="1170"/>
      <c r="N138" s="1170"/>
      <c r="O138" s="1170"/>
      <c r="P138" s="1170"/>
      <c r="Q138" s="1170"/>
      <c r="R138" s="1170"/>
      <c r="S138" s="1170"/>
      <c r="T138" s="1170"/>
      <c r="U138" s="1186" t="str">
        <f>HydroRefineryCalcs!C55</f>
        <v>MCR</v>
      </c>
      <c r="V138" s="1170" t="str">
        <f ca="1">HydroRefineryCalcs!D55</f>
        <v>wt%</v>
      </c>
      <c r="W138" s="1170">
        <f ca="1">HydroRefineryCalcs!K55</f>
        <v>4.4374255523499508</v>
      </c>
      <c r="X138" s="1170"/>
      <c r="Y138" s="1170"/>
      <c r="Z138" s="1170"/>
      <c r="AA138" s="1170"/>
      <c r="AB138" s="1170"/>
      <c r="AC138" s="1170"/>
      <c r="AD138" s="1170"/>
      <c r="AE138" s="1170"/>
      <c r="AF138" s="1170"/>
      <c r="AG138" s="1170"/>
      <c r="AH138" s="1170"/>
      <c r="AI138" s="1170"/>
      <c r="AJ138" s="1170"/>
      <c r="AK138" s="1186" t="str">
        <f>HydroRefineryCalcs!C518</f>
        <v xml:space="preserve">Sulphur </v>
      </c>
      <c r="AL138" s="1170" t="str">
        <f ca="1">HydroRefineryCalcs!D518</f>
        <v>wt%</v>
      </c>
      <c r="AM138" s="1170">
        <f ca="1">HydroRefineryCalcs!G518</f>
        <v>0</v>
      </c>
      <c r="AN138" s="1170"/>
      <c r="AO138" s="1170"/>
      <c r="AP138" s="1170"/>
      <c r="AQ138" s="1170"/>
      <c r="AR138" s="1170"/>
      <c r="AS138" s="1186" t="str">
        <f>HydroRefineryCalcs!C596</f>
        <v>MCR</v>
      </c>
      <c r="AT138" s="1170" t="str">
        <f ca="1">HydroRefineryCalcs!D596</f>
        <v>wt%</v>
      </c>
      <c r="AU138" s="1170" t="str">
        <f ca="1">HydroRefineryCalcs!F596</f>
        <v/>
      </c>
      <c r="AV138" s="1170"/>
      <c r="AW138" s="1170"/>
      <c r="AX138" s="1170"/>
      <c r="AY138" s="1170"/>
      <c r="AZ138" s="1170"/>
      <c r="BA138" s="1170"/>
      <c r="BB138" s="1170"/>
      <c r="BC138" s="1170"/>
      <c r="BD138" s="1170"/>
      <c r="BE138" s="1170"/>
      <c r="BF138" s="1170"/>
      <c r="BG138" s="1170"/>
      <c r="BH138" s="1170"/>
      <c r="BI138" s="1170"/>
      <c r="BJ138" s="1170"/>
      <c r="BK138" s="1170"/>
      <c r="BL138" s="1170"/>
      <c r="BM138" s="1170"/>
      <c r="BN138" s="1170"/>
      <c r="BO138" s="1170"/>
      <c r="BP138" s="1170"/>
      <c r="BQ138" s="1170"/>
      <c r="BR138" s="1170" t="s">
        <v>485</v>
      </c>
      <c r="BS138" s="1170"/>
      <c r="BT138" s="1187">
        <f ca="1">(BN129+AZ97+AZ134+AZ172+BT151)*$BT$140</f>
        <v>-2.4557301333224554E-8</v>
      </c>
      <c r="BU138" s="1170"/>
      <c r="BV138" s="1170"/>
      <c r="BW138" s="1170"/>
      <c r="BX138" s="1170"/>
      <c r="BY138" s="1170"/>
      <c r="BZ138" s="1170"/>
      <c r="CA138" s="1170"/>
      <c r="CB138" s="1170"/>
      <c r="CC138" s="1170"/>
      <c r="CD138" s="1170"/>
      <c r="CE138" s="1170"/>
      <c r="CF138" s="1170"/>
      <c r="CG138" s="1170"/>
      <c r="CH138" s="1170"/>
      <c r="CI138" s="1170"/>
      <c r="CJ138" s="1170"/>
      <c r="CK138" s="1170"/>
      <c r="CL138" s="1170"/>
      <c r="CM138" s="1170"/>
      <c r="CN138" s="1170"/>
      <c r="CO138" s="1170"/>
      <c r="CP138" s="1160"/>
      <c r="CQ138" s="1160"/>
      <c r="CR138" s="1160"/>
      <c r="CS138" s="1160"/>
      <c r="CT138" s="1160"/>
      <c r="CU138" s="1160"/>
      <c r="CV138" s="1160"/>
      <c r="CW138" s="1160"/>
      <c r="CX138" s="1160"/>
      <c r="CY138" s="1160"/>
      <c r="CZ138" s="1171"/>
      <c r="DA138" s="1160"/>
      <c r="DB138" s="1160"/>
      <c r="DC138" s="1160"/>
      <c r="DD138" s="1160"/>
      <c r="DE138" s="1160"/>
      <c r="DF138" s="1160"/>
      <c r="DG138" s="1160"/>
      <c r="DH138" s="1160"/>
      <c r="DI138" s="1160"/>
      <c r="DJ138" s="1160"/>
      <c r="DK138" s="1160"/>
      <c r="DL138" s="1160" t="s">
        <v>263</v>
      </c>
      <c r="DM138" s="1254">
        <f ca="1">BI186*DM143</f>
        <v>0</v>
      </c>
      <c r="DN138" s="1160"/>
      <c r="DO138" s="1160"/>
      <c r="DP138" s="1160"/>
      <c r="DQ138" s="1160"/>
      <c r="DR138" s="1160"/>
      <c r="DS138" s="1160"/>
      <c r="DT138" s="1160"/>
      <c r="DU138" s="1160"/>
      <c r="DV138" s="1160"/>
      <c r="DW138" s="1160"/>
      <c r="DX138" s="1160"/>
      <c r="DY138" s="1160"/>
      <c r="DZ138" s="1160"/>
      <c r="EA138" s="1208" t="s">
        <v>228</v>
      </c>
      <c r="EB138" s="1160"/>
      <c r="EC138" s="1205">
        <f ca="1">EC123/(DM80+DM91+DM102+DM113+DM125+DM136+DM147+DM158+DM57+DM69-DQ48)</f>
        <v>1.7348234109858585E-2</v>
      </c>
    </row>
    <row r="139" spans="1:133" x14ac:dyDescent="0.2">
      <c r="A139" s="1160"/>
      <c r="B139" s="1160"/>
      <c r="C139" s="1229"/>
      <c r="D139" s="1229"/>
      <c r="E139" s="1296"/>
      <c r="F139" s="1296"/>
      <c r="G139" s="1296"/>
      <c r="H139" s="1296"/>
      <c r="I139" s="1181"/>
      <c r="J139" s="1181"/>
      <c r="K139" s="1296"/>
      <c r="L139" s="1181"/>
      <c r="M139" s="1170"/>
      <c r="N139" s="1170"/>
      <c r="O139" s="1170"/>
      <c r="P139" s="1170"/>
      <c r="Q139" s="1170"/>
      <c r="R139" s="1170"/>
      <c r="S139" s="1170"/>
      <c r="T139" s="1170"/>
      <c r="U139" s="1200" t="s">
        <v>1056</v>
      </c>
      <c r="V139" s="1199" t="s">
        <v>447</v>
      </c>
      <c r="W139" s="1199">
        <f ca="1">('Energy &amp; Unit Conversions'!$D$63-('Energy &amp; Unit Conversions'!$E$63*POWER((W136/'Energy &amp; Unit Conversions'!$E$54),2)))</f>
        <v>46.693440000000002</v>
      </c>
      <c r="X139" s="1170"/>
      <c r="Y139" s="1170"/>
      <c r="Z139" s="1170"/>
      <c r="AA139" s="1170"/>
      <c r="AB139" s="1170"/>
      <c r="AC139" s="1170"/>
      <c r="AD139" s="1170"/>
      <c r="AE139" s="1170"/>
      <c r="AF139" s="1170"/>
      <c r="AG139" s="1170"/>
      <c r="AH139" s="1170"/>
      <c r="AI139" s="1170"/>
      <c r="AJ139" s="1170"/>
      <c r="AK139" s="1186" t="str">
        <f>HydroRefineryCalcs!C520</f>
        <v xml:space="preserve">API gravity </v>
      </c>
      <c r="AL139" s="1170"/>
      <c r="AM139" s="1170">
        <f ca="1">HydroRefineryCalcs!G520</f>
        <v>0</v>
      </c>
      <c r="AN139" s="1170"/>
      <c r="AO139" s="1170"/>
      <c r="AP139" s="1170"/>
      <c r="AQ139" s="1170"/>
      <c r="AR139" s="1170"/>
      <c r="AS139" s="1200" t="s">
        <v>1056</v>
      </c>
      <c r="AT139" s="1199" t="s">
        <v>447</v>
      </c>
      <c r="AU139" s="1199">
        <f ca="1">('Energy &amp; Unit Conversions'!$D$63-('Energy &amp; Unit Conversions'!$E$63*POWER((AU136/'Energy &amp; Unit Conversions'!$E$54),2)))</f>
        <v>46.693440000000002</v>
      </c>
      <c r="AV139" s="1170"/>
      <c r="AW139" s="1170"/>
      <c r="AX139" s="1170"/>
      <c r="AY139" s="1170"/>
      <c r="AZ139" s="1170"/>
      <c r="BA139" s="1170"/>
      <c r="BB139" s="1170"/>
      <c r="BC139" s="1170"/>
      <c r="BD139" s="1170"/>
      <c r="BE139" s="1170"/>
      <c r="BF139" s="1170"/>
      <c r="BG139" s="1170"/>
      <c r="BH139" s="1170"/>
      <c r="BI139" s="1170"/>
      <c r="BJ139" s="1170"/>
      <c r="BK139" s="1170"/>
      <c r="BL139" s="1170"/>
      <c r="BM139" s="1170"/>
      <c r="BN139" s="1170"/>
      <c r="BO139" s="1170"/>
      <c r="BP139" s="1170"/>
      <c r="BQ139" s="1170"/>
      <c r="BR139" s="1170" t="s">
        <v>541</v>
      </c>
      <c r="BS139" s="1170"/>
      <c r="BT139" s="1187">
        <f ca="1">(BN130+AZ98+AZ135+AZ173+BT152)*$BT$140</f>
        <v>5.4352760738480919E-6</v>
      </c>
      <c r="BU139" s="1170"/>
      <c r="BV139" s="1170"/>
      <c r="BW139" s="1170"/>
      <c r="BX139" s="1170"/>
      <c r="BY139" s="1170"/>
      <c r="BZ139" s="1170"/>
      <c r="CA139" s="1170"/>
      <c r="CB139" s="1170"/>
      <c r="CC139" s="1170"/>
      <c r="CD139" s="1170"/>
      <c r="CE139" s="1170"/>
      <c r="CF139" s="1170"/>
      <c r="CG139" s="1170"/>
      <c r="CH139" s="1170"/>
      <c r="CI139" s="1170"/>
      <c r="CJ139" s="1170"/>
      <c r="CK139" s="1170"/>
      <c r="CL139" s="1170"/>
      <c r="CM139" s="1170"/>
      <c r="CN139" s="1170"/>
      <c r="CO139" s="1170"/>
      <c r="CP139" s="1160"/>
      <c r="CQ139" s="1160"/>
      <c r="CR139" s="1160"/>
      <c r="CS139" s="1160"/>
      <c r="CT139" s="1160"/>
      <c r="CU139" s="1160"/>
      <c r="CV139" s="1160"/>
      <c r="CW139" s="1160"/>
      <c r="CX139" s="1160"/>
      <c r="CY139" s="1160"/>
      <c r="CZ139" s="1171"/>
      <c r="DA139" s="1160"/>
      <c r="DB139" s="1160"/>
      <c r="DC139" s="1160"/>
      <c r="DD139" s="1160"/>
      <c r="DE139" s="1160"/>
      <c r="DF139" s="1160"/>
      <c r="DG139" s="1160"/>
      <c r="DH139" s="1160"/>
      <c r="DI139" s="1160"/>
      <c r="DJ139" s="1160"/>
      <c r="DK139" s="1160"/>
      <c r="DL139" s="1160" t="s">
        <v>392</v>
      </c>
      <c r="DM139" s="1254">
        <f ca="1">(BI187+BQ181)*$DM$143</f>
        <v>0</v>
      </c>
      <c r="DN139" s="1160"/>
      <c r="DO139" s="1160"/>
      <c r="DP139" s="1160"/>
      <c r="DQ139" s="1160"/>
      <c r="DR139" s="1160"/>
      <c r="DS139" s="1160"/>
      <c r="DT139" s="1160"/>
      <c r="DU139" s="1160"/>
      <c r="DV139" s="1160"/>
      <c r="DW139" s="1160"/>
      <c r="DX139" s="1160"/>
      <c r="DY139" s="1160"/>
      <c r="DZ139" s="1160"/>
      <c r="EA139" s="2073" t="s">
        <v>1900</v>
      </c>
      <c r="EB139" s="1160"/>
      <c r="EC139" s="1160">
        <f ca="1">HydroRefineryCalcs!Q1503</f>
        <v>0</v>
      </c>
    </row>
    <row r="140" spans="1:133" x14ac:dyDescent="0.2">
      <c r="A140" s="1160"/>
      <c r="B140" s="1160"/>
      <c r="C140" s="1229"/>
      <c r="D140" s="1229"/>
      <c r="E140" s="1296"/>
      <c r="F140" s="1296"/>
      <c r="G140" s="1296"/>
      <c r="H140" s="1296"/>
      <c r="I140" s="1181"/>
      <c r="J140" s="1181"/>
      <c r="K140" s="1296"/>
      <c r="L140" s="1181"/>
      <c r="M140" s="1170"/>
      <c r="N140" s="1170"/>
      <c r="O140" s="1170"/>
      <c r="P140" s="1170"/>
      <c r="Q140" s="1170"/>
      <c r="R140" s="1170"/>
      <c r="S140" s="1170"/>
      <c r="T140" s="1170"/>
      <c r="U140" s="1200" t="s">
        <v>1021</v>
      </c>
      <c r="V140" s="1199" t="s">
        <v>1022</v>
      </c>
      <c r="W140" s="1199">
        <f>Constants!G341</f>
        <v>69.300827026367188</v>
      </c>
      <c r="X140" s="1170"/>
      <c r="Y140" s="1170"/>
      <c r="Z140" s="1170"/>
      <c r="AA140" s="1170"/>
      <c r="AB140" s="1170"/>
      <c r="AC140" s="1170"/>
      <c r="AD140" s="1170"/>
      <c r="AE140" s="1170"/>
      <c r="AF140" s="1170"/>
      <c r="AG140" s="1170"/>
      <c r="AH140" s="1170"/>
      <c r="AI140" s="1170"/>
      <c r="AJ140" s="1170"/>
      <c r="AK140" s="1186" t="str">
        <f>HydroRefineryCalcs!C521</f>
        <v>Density</v>
      </c>
      <c r="AL140" s="1170" t="str">
        <f ca="1">HydroRefineryCalcs!D521</f>
        <v>kg/m^3</v>
      </c>
      <c r="AM140" s="1187">
        <f ca="1">HydroRefineryCalcs!G521</f>
        <v>0</v>
      </c>
      <c r="AN140" s="1170"/>
      <c r="AO140" s="1170"/>
      <c r="AP140" s="1170"/>
      <c r="AQ140" s="1170"/>
      <c r="AR140" s="1170"/>
      <c r="AS140" s="1200" t="s">
        <v>1021</v>
      </c>
      <c r="AT140" s="1199" t="s">
        <v>1022</v>
      </c>
      <c r="AU140" s="1199">
        <f>AM144</f>
        <v>85.620002746582003</v>
      </c>
      <c r="AV140" s="1170"/>
      <c r="AW140" s="1170"/>
      <c r="AX140" s="1170"/>
      <c r="AY140" s="1170"/>
      <c r="AZ140" s="1170"/>
      <c r="BA140" s="1170"/>
      <c r="BB140" s="1170"/>
      <c r="BC140" s="1170"/>
      <c r="BD140" s="1170"/>
      <c r="BE140" s="1170"/>
      <c r="BF140" s="1170"/>
      <c r="BG140" s="1170"/>
      <c r="BH140" s="1170"/>
      <c r="BI140" s="1170"/>
      <c r="BJ140" s="1170"/>
      <c r="BK140" s="1170"/>
      <c r="BL140" s="1170"/>
      <c r="BM140" s="1170"/>
      <c r="BN140" s="1170"/>
      <c r="BO140" s="1170"/>
      <c r="BP140" s="1170"/>
      <c r="BQ140" s="1170"/>
      <c r="BR140" s="1180" t="s">
        <v>1066</v>
      </c>
      <c r="BS140" s="1170"/>
      <c r="BT140" s="1170">
        <f ca="1">IF('HydroRefineryPFD '!E27=TRUE,BT141,1)</f>
        <v>1</v>
      </c>
      <c r="BU140" s="1170"/>
      <c r="BV140" s="1170"/>
      <c r="BW140" s="1170"/>
      <c r="BX140" s="1170"/>
      <c r="BY140" s="1170"/>
      <c r="BZ140" s="1170"/>
      <c r="CA140" s="1170"/>
      <c r="CB140" s="1170"/>
      <c r="CC140" s="1170"/>
      <c r="CD140" s="1170"/>
      <c r="CE140" s="1170"/>
      <c r="CF140" s="1170"/>
      <c r="CG140" s="1170"/>
      <c r="CH140" s="1170"/>
      <c r="CI140" s="1170"/>
      <c r="CJ140" s="1170"/>
      <c r="CK140" s="1170"/>
      <c r="CL140" s="1170"/>
      <c r="CM140" s="1170"/>
      <c r="CN140" s="1170"/>
      <c r="CO140" s="1170"/>
      <c r="CP140" s="1160"/>
      <c r="CQ140" s="1160"/>
      <c r="CR140" s="1160"/>
      <c r="CS140" s="1160"/>
      <c r="CT140" s="1160"/>
      <c r="CU140" s="1160"/>
      <c r="CV140" s="1160"/>
      <c r="CW140" s="1160"/>
      <c r="CX140" s="1160"/>
      <c r="CY140" s="1160"/>
      <c r="CZ140" s="1171"/>
      <c r="DA140" s="1160"/>
      <c r="DB140" s="1160"/>
      <c r="DC140" s="1160"/>
      <c r="DD140" s="1160"/>
      <c r="DE140" s="1160"/>
      <c r="DF140" s="1160"/>
      <c r="DG140" s="1160"/>
      <c r="DH140" s="1160"/>
      <c r="DI140" s="1160"/>
      <c r="DJ140" s="1160"/>
      <c r="DK140" s="1160"/>
      <c r="DL140" s="1160" t="s">
        <v>224</v>
      </c>
      <c r="DM140" s="1254">
        <f ca="1">(BI188+BQ182)*$DM$143</f>
        <v>0</v>
      </c>
      <c r="DN140" s="1160"/>
      <c r="DO140" s="1160"/>
      <c r="DP140" s="1160"/>
      <c r="DQ140" s="1160"/>
      <c r="DR140" s="1160"/>
      <c r="DS140" s="1160"/>
      <c r="DT140" s="1160"/>
      <c r="DU140" s="1160"/>
      <c r="DV140" s="1160"/>
      <c r="DW140" s="1160"/>
      <c r="DX140" s="1160"/>
      <c r="DY140" s="1160"/>
      <c r="DZ140" s="1160"/>
      <c r="EA140" s="1160"/>
      <c r="EB140" s="1160"/>
      <c r="EC140" s="1160"/>
    </row>
    <row r="141" spans="1:133" x14ac:dyDescent="0.2">
      <c r="A141" s="1160"/>
      <c r="B141" s="1160"/>
      <c r="C141" s="1229"/>
      <c r="D141" s="1229"/>
      <c r="E141" s="1296"/>
      <c r="F141" s="1296"/>
      <c r="G141" s="1296"/>
      <c r="H141" s="1296"/>
      <c r="I141" s="1181"/>
      <c r="J141" s="1181"/>
      <c r="K141" s="1296"/>
      <c r="L141" s="1181"/>
      <c r="M141" s="1170"/>
      <c r="N141" s="1170"/>
      <c r="O141" s="1170"/>
      <c r="P141" s="1170"/>
      <c r="Q141" s="1170"/>
      <c r="R141" s="1170"/>
      <c r="S141" s="1170"/>
      <c r="T141" s="1170"/>
      <c r="U141" s="1204" t="s">
        <v>1054</v>
      </c>
      <c r="V141" s="1204" t="str">
        <f>IF(allocationMethod=1,CokingRefineryPFD!$C$21,IF(allocationMethod=2,CokingRefineryPFD!$C$22,IF(allocationMethod=3,CokingRefineryPFD!$C$23,CokingRefineryPFD!$C$24)))</f>
        <v>Hydrogen Content Basis</v>
      </c>
      <c r="W141" s="1250">
        <f ca="1">IF(allocationMethod=1,W133,IF(allocationMethod=2,W139*W133,IF(allocationMethod=3,W140*W131,W137*W133/100)))</f>
        <v>9.9999999999999991E-31</v>
      </c>
      <c r="X141" s="1170"/>
      <c r="Y141" s="1170"/>
      <c r="Z141" s="1170"/>
      <c r="AA141" s="1170"/>
      <c r="AB141" s="1170"/>
      <c r="AC141" s="1170"/>
      <c r="AD141" s="1170"/>
      <c r="AE141" s="1170"/>
      <c r="AF141" s="1170"/>
      <c r="AG141" s="1170"/>
      <c r="AH141" s="1170"/>
      <c r="AI141" s="1170"/>
      <c r="AJ141" s="1170"/>
      <c r="AK141" s="1186" t="str">
        <f>HydroRefineryCalcs!C522</f>
        <v>Hydrogen</v>
      </c>
      <c r="AL141" s="1170" t="str">
        <f ca="1">HydroRefineryCalcs!D522</f>
        <v>wt%</v>
      </c>
      <c r="AM141" s="1170">
        <f ca="1">HydroRefineryCalcs!G522</f>
        <v>0</v>
      </c>
      <c r="AN141" s="1170"/>
      <c r="AO141" s="1170"/>
      <c r="AP141" s="1170"/>
      <c r="AQ141" s="1170"/>
      <c r="AR141" s="1170"/>
      <c r="AS141" s="1204" t="s">
        <v>1054</v>
      </c>
      <c r="AT141" s="1204" t="str">
        <f>IF(allocationMethod=1,CokingRefineryPFD!$C$21,IF(allocationMethod=2,CokingRefineryPFD!$C$22,IF(allocationMethod=3,CokingRefineryPFD!$C$23,CokingRefineryPFD!$C$24)))</f>
        <v>Hydrogen Content Basis</v>
      </c>
      <c r="AU141" s="1204">
        <f ca="1">IF(allocationMethod=1,AU133,IF(allocationMethod=2,AU139*AU133,IF(allocationMethod=3,AU140*AU131,AU137*AU133/100)))</f>
        <v>0</v>
      </c>
      <c r="AV141" s="1170"/>
      <c r="AW141" s="1170"/>
      <c r="AX141" s="1170"/>
      <c r="AY141" s="1170"/>
      <c r="AZ141" s="1170"/>
      <c r="BA141" s="1170"/>
      <c r="BB141" s="1170"/>
      <c r="BC141" s="1170"/>
      <c r="BD141" s="1170"/>
      <c r="BE141" s="1170"/>
      <c r="BF141" s="1170"/>
      <c r="BG141" s="1170"/>
      <c r="BH141" s="1170"/>
      <c r="BI141" s="1170"/>
      <c r="BJ141" s="1170"/>
      <c r="BK141" s="1170"/>
      <c r="BL141" s="1170"/>
      <c r="BM141" s="1170"/>
      <c r="BN141" s="1170"/>
      <c r="BO141" s="1170"/>
      <c r="BP141" s="1170"/>
      <c r="BQ141" s="1170"/>
      <c r="BR141" s="1180" t="s">
        <v>1065</v>
      </c>
      <c r="BS141" s="1170"/>
      <c r="BT141" s="1170">
        <f ca="1">BT132/(BP118+BT132)</f>
        <v>1</v>
      </c>
      <c r="BU141" s="1170"/>
      <c r="BV141" s="1170"/>
      <c r="BW141" s="1170"/>
      <c r="BX141" s="1170"/>
      <c r="BY141" s="1170"/>
      <c r="BZ141" s="1170"/>
      <c r="CA141" s="1170"/>
      <c r="CB141" s="1170"/>
      <c r="CC141" s="1170"/>
      <c r="CD141" s="1170"/>
      <c r="CE141" s="1170"/>
      <c r="CF141" s="1170"/>
      <c r="CG141" s="1170"/>
      <c r="CH141" s="1170"/>
      <c r="CI141" s="1170"/>
      <c r="CJ141" s="1170"/>
      <c r="CK141" s="1170"/>
      <c r="CL141" s="1170"/>
      <c r="CM141" s="1170"/>
      <c r="CN141" s="1170"/>
      <c r="CO141" s="1170"/>
      <c r="CP141" s="1160"/>
      <c r="CQ141" s="1160"/>
      <c r="CR141" s="1160"/>
      <c r="CS141" s="1160"/>
      <c r="CT141" s="1160"/>
      <c r="CU141" s="1160"/>
      <c r="CV141" s="1160"/>
      <c r="CW141" s="1160"/>
      <c r="CX141" s="1160"/>
      <c r="CY141" s="1160"/>
      <c r="CZ141" s="1171"/>
      <c r="DA141" s="1160"/>
      <c r="DB141" s="1160"/>
      <c r="DC141" s="1160"/>
      <c r="DD141" s="1160"/>
      <c r="DE141" s="1160"/>
      <c r="DF141" s="1160"/>
      <c r="DG141" s="1160"/>
      <c r="DH141" s="1160"/>
      <c r="DI141" s="1160"/>
      <c r="DJ141" s="1160"/>
      <c r="DK141" s="1160"/>
      <c r="DL141" s="1160" t="s">
        <v>485</v>
      </c>
      <c r="DM141" s="1254">
        <f ca="1">(BI189+BQ183)*$DM$143</f>
        <v>0</v>
      </c>
      <c r="DN141" s="1160"/>
      <c r="DO141" s="1160"/>
      <c r="DP141" s="1160"/>
      <c r="DQ141" s="1160"/>
      <c r="DR141" s="1160"/>
      <c r="DS141" s="1160"/>
      <c r="DT141" s="1160"/>
      <c r="DU141" s="1160"/>
      <c r="DV141" s="1160"/>
      <c r="DW141" s="1160"/>
      <c r="DX141" s="1160"/>
      <c r="DY141" s="1160"/>
      <c r="DZ141" s="1160"/>
      <c r="EA141" s="1160"/>
      <c r="EB141" s="1160"/>
      <c r="EC141" s="1160"/>
    </row>
    <row r="142" spans="1:133" x14ac:dyDescent="0.2">
      <c r="A142" s="1160"/>
      <c r="B142" s="1160"/>
      <c r="C142" s="1229"/>
      <c r="D142" s="1160"/>
      <c r="E142" s="1181"/>
      <c r="F142" s="1296"/>
      <c r="G142" s="1296"/>
      <c r="H142" s="1296"/>
      <c r="I142" s="1181"/>
      <c r="J142" s="1181"/>
      <c r="K142" s="1296"/>
      <c r="L142" s="1181"/>
      <c r="M142" s="1170"/>
      <c r="N142" s="1170"/>
      <c r="O142" s="1170"/>
      <c r="P142" s="1170"/>
      <c r="Q142" s="1170"/>
      <c r="R142" s="1170"/>
      <c r="S142" s="1170"/>
      <c r="T142" s="1170"/>
      <c r="U142" s="1170"/>
      <c r="V142" s="1170"/>
      <c r="W142" s="1170"/>
      <c r="X142" s="1170"/>
      <c r="Y142" s="1170"/>
      <c r="Z142" s="1170"/>
      <c r="AA142" s="1170"/>
      <c r="AB142" s="1170"/>
      <c r="AC142" s="1170"/>
      <c r="AD142" s="1170"/>
      <c r="AE142" s="1170"/>
      <c r="AF142" s="1170"/>
      <c r="AG142" s="1184" t="str">
        <f>'HydroRefinery Detailed Results'!C13</f>
        <v>Vacuum Tower</v>
      </c>
      <c r="AH142" s="1170"/>
      <c r="AI142" s="1170"/>
      <c r="AJ142" s="1170"/>
      <c r="AK142" s="1186" t="str">
        <f>HydroRefineryCalcs!C523</f>
        <v>MCR</v>
      </c>
      <c r="AL142" s="1170" t="str">
        <f ca="1">HydroRefineryCalcs!D523</f>
        <v>wt%</v>
      </c>
      <c r="AM142" s="1170" t="str">
        <f ca="1">HydroRefineryCalcs!G523</f>
        <v/>
      </c>
      <c r="AN142" s="1170"/>
      <c r="AO142" s="1170"/>
      <c r="AP142" s="1170"/>
      <c r="AQ142" s="1170"/>
      <c r="AR142" s="1170"/>
      <c r="AS142" s="1170"/>
      <c r="AT142" s="1170"/>
      <c r="AU142" s="1170"/>
      <c r="AV142" s="1170"/>
      <c r="AW142" s="1170"/>
      <c r="AX142" s="1170"/>
      <c r="AY142" s="1170"/>
      <c r="AZ142" s="1170"/>
      <c r="BA142" s="1170"/>
      <c r="BB142" s="1170"/>
      <c r="BC142" s="1170"/>
      <c r="BD142" s="1170"/>
      <c r="BE142" s="1170"/>
      <c r="BF142" s="1170"/>
      <c r="BG142" s="1170"/>
      <c r="BH142" s="1170"/>
      <c r="BI142" s="1170"/>
      <c r="BJ142" s="1170"/>
      <c r="BK142" s="1170"/>
      <c r="BL142" s="1170"/>
      <c r="BM142" s="1170"/>
      <c r="BN142" s="1170"/>
      <c r="BO142" s="1170"/>
      <c r="BP142" s="1170"/>
      <c r="BQ142" s="1170"/>
      <c r="BR142" s="1239" t="s">
        <v>228</v>
      </c>
      <c r="BS142" s="1170"/>
      <c r="BT142" s="1170">
        <f ca="1">BT124/(BI125+BN132)</f>
        <v>0.97545646114257345</v>
      </c>
      <c r="BU142" s="1170"/>
      <c r="BV142" s="1170"/>
      <c r="BW142" s="1170"/>
      <c r="BX142" s="1170"/>
      <c r="BY142" s="1170"/>
      <c r="BZ142" s="1170"/>
      <c r="CA142" s="1170"/>
      <c r="CB142" s="1170"/>
      <c r="CC142" s="1170"/>
      <c r="CD142" s="1170"/>
      <c r="CE142" s="1170"/>
      <c r="CF142" s="1170"/>
      <c r="CG142" s="1170"/>
      <c r="CH142" s="1170"/>
      <c r="CI142" s="1170"/>
      <c r="CJ142" s="1170"/>
      <c r="CK142" s="1170"/>
      <c r="CL142" s="1170"/>
      <c r="CM142" s="1170"/>
      <c r="CN142" s="1170"/>
      <c r="CO142" s="1170"/>
      <c r="CP142" s="1160"/>
      <c r="CQ142" s="1160"/>
      <c r="CR142" s="1160"/>
      <c r="CS142" s="1160"/>
      <c r="CT142" s="1160"/>
      <c r="CU142" s="1160"/>
      <c r="CV142" s="1160"/>
      <c r="CW142" s="1160"/>
      <c r="CX142" s="1160"/>
      <c r="CY142" s="1160"/>
      <c r="CZ142" s="1171"/>
      <c r="DA142" s="1160"/>
      <c r="DB142" s="1160"/>
      <c r="DC142" s="1160"/>
      <c r="DD142" s="1160"/>
      <c r="DE142" s="1160"/>
      <c r="DF142" s="1160"/>
      <c r="DG142" s="1160"/>
      <c r="DH142" s="1160"/>
      <c r="DI142" s="1160"/>
      <c r="DJ142" s="1160"/>
      <c r="DK142" s="1160"/>
      <c r="DL142" s="1160" t="s">
        <v>541</v>
      </c>
      <c r="DM142" s="1254">
        <f ca="1">(BI190+BQ184)*$DM$143</f>
        <v>0</v>
      </c>
      <c r="DN142" s="1160"/>
      <c r="DO142" s="1160"/>
      <c r="DP142" s="1160"/>
      <c r="DQ142" s="1160"/>
      <c r="DR142" s="1160"/>
      <c r="DS142" s="1160"/>
      <c r="DT142" s="1160"/>
      <c r="DU142" s="1160"/>
      <c r="DV142" s="1160"/>
      <c r="DW142" s="1160"/>
      <c r="DX142" s="1160"/>
      <c r="DY142" s="1160"/>
      <c r="DZ142" s="1160"/>
      <c r="EA142" s="1160"/>
      <c r="EB142" s="1160"/>
      <c r="EC142" s="1160"/>
    </row>
    <row r="143" spans="1:133" x14ac:dyDescent="0.2">
      <c r="A143" s="1160"/>
      <c r="B143" s="1160"/>
      <c r="C143" s="1160"/>
      <c r="D143" s="1160"/>
      <c r="E143" s="1170"/>
      <c r="F143" s="1170"/>
      <c r="G143" s="1170"/>
      <c r="H143" s="1170"/>
      <c r="I143" s="1170"/>
      <c r="J143" s="1170"/>
      <c r="K143" s="1170"/>
      <c r="L143" s="1170"/>
      <c r="M143" s="1170"/>
      <c r="N143" s="1170"/>
      <c r="O143" s="1170"/>
      <c r="P143" s="1170"/>
      <c r="Q143" s="1170"/>
      <c r="R143" s="1170"/>
      <c r="S143" s="1170"/>
      <c r="T143" s="1170"/>
      <c r="U143" s="1170"/>
      <c r="V143" s="1170"/>
      <c r="W143" s="1170"/>
      <c r="X143" s="1170"/>
      <c r="Y143" s="1170"/>
      <c r="Z143" s="1170"/>
      <c r="AA143" s="1170"/>
      <c r="AB143" s="1170"/>
      <c r="AC143" s="1170"/>
      <c r="AD143" s="1170"/>
      <c r="AE143" s="1170"/>
      <c r="AF143" s="1170"/>
      <c r="AG143" s="1184" t="s">
        <v>225</v>
      </c>
      <c r="AH143" s="1184" t="s">
        <v>522</v>
      </c>
      <c r="AI143" s="1170"/>
      <c r="AJ143" s="1170"/>
      <c r="AK143" s="1200" t="s">
        <v>1056</v>
      </c>
      <c r="AL143" s="1199" t="s">
        <v>447</v>
      </c>
      <c r="AM143" s="1199">
        <f ca="1">('Energy &amp; Unit Conversions'!$D$63-('Energy &amp; Unit Conversions'!$E$63*POWER((AM140/'Energy &amp; Unit Conversions'!$E$54),2)))</f>
        <v>46.693440000000002</v>
      </c>
      <c r="AN143" s="1170"/>
      <c r="AO143" s="1170"/>
      <c r="AP143" s="1170"/>
      <c r="AQ143" s="1170"/>
      <c r="AR143" s="1170"/>
      <c r="AS143" s="1170"/>
      <c r="AT143" s="1170"/>
      <c r="AU143" s="1170"/>
      <c r="AV143" s="1170"/>
      <c r="AW143" s="1170"/>
      <c r="AX143" s="1170"/>
      <c r="AY143" s="1170"/>
      <c r="AZ143" s="1170"/>
      <c r="BA143" s="1170"/>
      <c r="BB143" s="1170"/>
      <c r="BC143" s="1170"/>
      <c r="BD143" s="1170"/>
      <c r="BE143" s="1170"/>
      <c r="BF143" s="1170"/>
      <c r="BG143" s="1170"/>
      <c r="BH143" s="1170"/>
      <c r="BI143" s="1170"/>
      <c r="BJ143" s="1170"/>
      <c r="BK143" s="1170"/>
      <c r="BL143" s="1170"/>
      <c r="BM143" s="1170"/>
      <c r="BN143" s="1170"/>
      <c r="BO143" s="1170"/>
      <c r="BP143" s="1170"/>
      <c r="BQ143" s="1170"/>
      <c r="BR143" s="1170"/>
      <c r="BS143" s="1170"/>
      <c r="BT143" s="1170"/>
      <c r="BU143" s="1170"/>
      <c r="BV143" s="1170"/>
      <c r="BW143" s="1170"/>
      <c r="BX143" s="1170"/>
      <c r="BY143" s="1170"/>
      <c r="BZ143" s="1170"/>
      <c r="CA143" s="1170"/>
      <c r="CB143" s="1170"/>
      <c r="CC143" s="1170"/>
      <c r="CD143" s="1170"/>
      <c r="CE143" s="1170"/>
      <c r="CF143" s="1170"/>
      <c r="CG143" s="1170"/>
      <c r="CH143" s="1170"/>
      <c r="CI143" s="1170"/>
      <c r="CJ143" s="1170"/>
      <c r="CK143" s="1170"/>
      <c r="CL143" s="1170"/>
      <c r="CM143" s="1170"/>
      <c r="CN143" s="1170"/>
      <c r="CO143" s="1170"/>
      <c r="CP143" s="1160"/>
      <c r="CQ143" s="1160"/>
      <c r="CR143" s="1160"/>
      <c r="CS143" s="1160"/>
      <c r="CT143" s="1160"/>
      <c r="CU143" s="1160"/>
      <c r="CV143" s="1160"/>
      <c r="CW143" s="1160"/>
      <c r="CX143" s="1160"/>
      <c r="CY143" s="1160"/>
      <c r="CZ143" s="1171"/>
      <c r="DA143" s="1160"/>
      <c r="DB143" s="1160"/>
      <c r="DC143" s="1160"/>
      <c r="DD143" s="1160"/>
      <c r="DE143" s="1160"/>
      <c r="DF143" s="1160"/>
      <c r="DG143" s="1160"/>
      <c r="DH143" s="1160"/>
      <c r="DI143" s="1160"/>
      <c r="DJ143" s="1160"/>
      <c r="DK143" s="1160"/>
      <c r="DL143" s="1191" t="s">
        <v>1066</v>
      </c>
      <c r="DM143" s="1245">
        <f ca="1">IF('HydroRefineryPFD '!E27=TRUE,DM144,0)</f>
        <v>0</v>
      </c>
      <c r="DN143" s="1160"/>
      <c r="DO143" s="1160"/>
      <c r="DP143" s="1160"/>
      <c r="DQ143" s="1160"/>
      <c r="DR143" s="1160"/>
      <c r="DS143" s="1160"/>
      <c r="DT143" s="1160"/>
      <c r="DU143" s="1160"/>
      <c r="DV143" s="1160"/>
      <c r="DW143" s="1160"/>
      <c r="DX143" s="1160"/>
      <c r="DY143" s="1160"/>
      <c r="DZ143" s="1160"/>
      <c r="EA143" s="1160"/>
      <c r="EB143" s="1160"/>
      <c r="EC143" s="1160"/>
    </row>
    <row r="144" spans="1:133" x14ac:dyDescent="0.2">
      <c r="A144" s="1160"/>
      <c r="B144" s="1160"/>
      <c r="C144" s="1160"/>
      <c r="D144" s="1160"/>
      <c r="E144" s="1170"/>
      <c r="F144" s="1170"/>
      <c r="G144" s="1170"/>
      <c r="H144" s="1170"/>
      <c r="I144" s="1170"/>
      <c r="J144" s="1170"/>
      <c r="K144" s="1170"/>
      <c r="L144" s="1170"/>
      <c r="M144" s="1170"/>
      <c r="N144" s="1170"/>
      <c r="O144" s="1170"/>
      <c r="P144" s="1170"/>
      <c r="Q144" s="1170"/>
      <c r="R144" s="1170"/>
      <c r="S144" s="1170"/>
      <c r="T144" s="1170"/>
      <c r="U144" s="1170"/>
      <c r="V144" s="1170"/>
      <c r="W144" s="1170"/>
      <c r="X144" s="1170"/>
      <c r="Y144" s="1170"/>
      <c r="Z144" s="1170"/>
      <c r="AA144" s="1170"/>
      <c r="AB144" s="1170"/>
      <c r="AC144" s="1170"/>
      <c r="AD144" s="1170"/>
      <c r="AE144" s="1170"/>
      <c r="AF144" s="1170"/>
      <c r="AG144" s="1170" t="s">
        <v>392</v>
      </c>
      <c r="AH144" s="1170">
        <f ca="1">'HydroRefinery Detailed Results'!F13</f>
        <v>0</v>
      </c>
      <c r="AI144" s="1170"/>
      <c r="AJ144" s="1170"/>
      <c r="AK144" s="1200" t="s">
        <v>1021</v>
      </c>
      <c r="AL144" s="1199" t="s">
        <v>1022</v>
      </c>
      <c r="AM144" s="1199">
        <f>Constants!G342</f>
        <v>85.620002746582003</v>
      </c>
      <c r="AN144" s="1170"/>
      <c r="AO144" s="1170"/>
      <c r="AP144" s="1170"/>
      <c r="AQ144" s="1170"/>
      <c r="AR144" s="1170"/>
      <c r="AS144" s="1170"/>
      <c r="AT144" s="1170"/>
      <c r="AU144" s="1170"/>
      <c r="AV144" s="1170"/>
      <c r="AW144" s="1170"/>
      <c r="AX144" s="1170"/>
      <c r="AY144" s="1170"/>
      <c r="AZ144" s="1170"/>
      <c r="BA144" s="1170"/>
      <c r="BB144" s="1170"/>
      <c r="BC144" s="1170"/>
      <c r="BD144" s="1170"/>
      <c r="BE144" s="1170"/>
      <c r="BF144" s="1170"/>
      <c r="BG144" s="1170"/>
      <c r="BH144" s="1170"/>
      <c r="BI144" s="1170"/>
      <c r="BJ144" s="1170"/>
      <c r="BK144" s="1170"/>
      <c r="BL144" s="1170"/>
      <c r="BM144" s="1170"/>
      <c r="BN144" s="1170"/>
      <c r="BO144" s="1170"/>
      <c r="BP144" s="1170"/>
      <c r="BQ144" s="1170"/>
      <c r="BR144" s="1170"/>
      <c r="BS144" s="1170"/>
      <c r="BT144" s="1170"/>
      <c r="BU144" s="1170"/>
      <c r="BV144" s="1170"/>
      <c r="BW144" s="1170"/>
      <c r="BX144" s="1170"/>
      <c r="BY144" s="1170"/>
      <c r="BZ144" s="1170"/>
      <c r="CA144" s="1170"/>
      <c r="CB144" s="1170"/>
      <c r="CC144" s="1170"/>
      <c r="CD144" s="1181" t="str">
        <f>HydroRefineryCalcs!H444</f>
        <v>Fuel Oil</v>
      </c>
      <c r="CE144" s="1170"/>
      <c r="CF144" s="1170"/>
      <c r="CG144" s="1170"/>
      <c r="CH144" s="1191" t="str">
        <f>CD144</f>
        <v>Fuel Oil</v>
      </c>
      <c r="CI144" s="1170"/>
      <c r="CJ144" s="1170"/>
      <c r="CK144" s="1170"/>
      <c r="CL144" s="1170"/>
      <c r="CM144" s="1170"/>
      <c r="CN144" s="1170"/>
      <c r="CO144" s="1170"/>
      <c r="CP144" s="1160"/>
      <c r="CQ144" s="1160"/>
      <c r="CR144" s="1160"/>
      <c r="CS144" s="1160"/>
      <c r="CT144" s="1160"/>
      <c r="CU144" s="1160"/>
      <c r="CV144" s="1160"/>
      <c r="CW144" s="1160"/>
      <c r="CX144" s="1160"/>
      <c r="CY144" s="1160"/>
      <c r="CZ144" s="1171"/>
      <c r="DA144" s="1160"/>
      <c r="DB144" s="1160"/>
      <c r="DC144" s="1160"/>
      <c r="DD144" s="1160"/>
      <c r="DE144" s="1160"/>
      <c r="DF144" s="1160"/>
      <c r="DG144" s="1160"/>
      <c r="DH144" s="1160"/>
      <c r="DI144" s="1160"/>
      <c r="DJ144" s="1160"/>
      <c r="DK144" s="1160"/>
      <c r="DL144" s="1191" t="s">
        <v>1065</v>
      </c>
      <c r="DM144" s="1245">
        <f ca="1">BQ172/(BQ172+BY182)</f>
        <v>0</v>
      </c>
      <c r="DN144" s="1160"/>
      <c r="DO144" s="1160"/>
      <c r="DP144" s="1160"/>
      <c r="DQ144" s="1160"/>
      <c r="DR144" s="1160"/>
      <c r="DS144" s="1160"/>
      <c r="DT144" s="1160"/>
      <c r="DU144" s="1160"/>
      <c r="DV144" s="1160"/>
      <c r="DW144" s="1160"/>
      <c r="DX144" s="1160"/>
      <c r="DY144" s="1160"/>
      <c r="DZ144" s="1160"/>
      <c r="EA144" s="1160"/>
      <c r="EB144" s="1160"/>
      <c r="EC144" s="1160"/>
    </row>
    <row r="145" spans="1:133" x14ac:dyDescent="0.2">
      <c r="A145" s="1160"/>
      <c r="B145" s="1160"/>
      <c r="C145" s="1229"/>
      <c r="D145" s="1160"/>
      <c r="E145" s="1170"/>
      <c r="F145" s="1170"/>
      <c r="G145" s="1170"/>
      <c r="H145" s="1170"/>
      <c r="I145" s="1170"/>
      <c r="J145" s="1170"/>
      <c r="K145" s="1170"/>
      <c r="L145" s="1170"/>
      <c r="M145" s="1170"/>
      <c r="N145" s="1170"/>
      <c r="O145" s="1170"/>
      <c r="P145" s="1170"/>
      <c r="Q145" s="1170"/>
      <c r="R145" s="1170"/>
      <c r="S145" s="1170"/>
      <c r="T145" s="1170"/>
      <c r="U145" s="1170"/>
      <c r="V145" s="1170"/>
      <c r="W145" s="1170"/>
      <c r="X145" s="1170"/>
      <c r="Y145" s="1170"/>
      <c r="Z145" s="1170"/>
      <c r="AA145" s="1170"/>
      <c r="AB145" s="1170"/>
      <c r="AC145" s="1170"/>
      <c r="AD145" s="1170"/>
      <c r="AE145" s="1170"/>
      <c r="AF145" s="1170"/>
      <c r="AG145" s="1170" t="s">
        <v>224</v>
      </c>
      <c r="AH145" s="1170">
        <f>'HydroRefinery Detailed Results'!H13</f>
        <v>0</v>
      </c>
      <c r="AI145" s="1170"/>
      <c r="AJ145" s="1170"/>
      <c r="AK145" s="1204" t="s">
        <v>1054</v>
      </c>
      <c r="AL145" s="1204" t="str">
        <f>IF(allocationMethod=1,CokingRefineryPFD!$C$21,IF(allocationMethod=2,CokingRefineryPFD!$C$22,IF(allocationMethod=3,CokingRefineryPFD!$C$23,CokingRefineryPFD!$C$24)))</f>
        <v>Hydrogen Content Basis</v>
      </c>
      <c r="AM145" s="1250">
        <f ca="1">IF(allocationMethod=1,AM137,IF(allocationMethod=2,AM143*AM137,IF(allocationMethod=3,AM144*AM135,AM141*AM137/100)))</f>
        <v>0</v>
      </c>
      <c r="AN145" s="1170"/>
      <c r="AO145" s="1170"/>
      <c r="AP145" s="1170"/>
      <c r="AQ145" s="1170"/>
      <c r="AR145" s="1170"/>
      <c r="AS145" s="1170"/>
      <c r="AT145" s="1170"/>
      <c r="AU145" s="1170"/>
      <c r="AV145" s="1170"/>
      <c r="AW145" s="1170"/>
      <c r="AX145" s="1170"/>
      <c r="AY145" s="1170"/>
      <c r="AZ145" s="1170"/>
      <c r="BA145" s="1170"/>
      <c r="BB145" s="1170"/>
      <c r="BC145" s="1170"/>
      <c r="BD145" s="1170"/>
      <c r="BE145" s="1170"/>
      <c r="BF145" s="1170"/>
      <c r="BG145" s="1170"/>
      <c r="BH145" s="1170"/>
      <c r="BI145" s="1170"/>
      <c r="BJ145" s="1170"/>
      <c r="BK145" s="1170"/>
      <c r="BL145" s="1170"/>
      <c r="BM145" s="1170"/>
      <c r="BN145" s="1170"/>
      <c r="BO145" s="1170"/>
      <c r="BP145" s="1170"/>
      <c r="BQ145" s="1170"/>
      <c r="BR145" s="1170"/>
      <c r="BS145" s="1170"/>
      <c r="BT145" s="1170"/>
      <c r="BU145" s="1170"/>
      <c r="BV145" s="1170"/>
      <c r="BW145" s="1170"/>
      <c r="BX145" s="1170"/>
      <c r="BY145" s="1170"/>
      <c r="BZ145" s="1170"/>
      <c r="CA145" s="1170"/>
      <c r="CB145" s="1170"/>
      <c r="CC145" s="1170"/>
      <c r="CD145" s="1182" t="str">
        <f>HydroRefineryCalcs!C444</f>
        <v>Property</v>
      </c>
      <c r="CE145" s="1182" t="str">
        <f>HydroRefineryCalcs!D444</f>
        <v>Units</v>
      </c>
      <c r="CF145" s="1170"/>
      <c r="CG145" s="1170"/>
      <c r="CH145" s="1191" t="s">
        <v>226</v>
      </c>
      <c r="CI145" s="1194" t="s">
        <v>522</v>
      </c>
      <c r="CJ145" s="1170"/>
      <c r="CK145" s="1170"/>
      <c r="CL145" s="1170"/>
      <c r="CM145" s="1170"/>
      <c r="CN145" s="1170"/>
      <c r="CO145" s="1170"/>
      <c r="CP145" s="1160"/>
      <c r="CQ145" s="1160"/>
      <c r="CR145" s="1160"/>
      <c r="CS145" s="1160"/>
      <c r="CT145" s="1160"/>
      <c r="CU145" s="1160"/>
      <c r="CV145" s="1160"/>
      <c r="CW145" s="1160"/>
      <c r="CX145" s="1160"/>
      <c r="CY145" s="1160"/>
      <c r="CZ145" s="1171"/>
      <c r="DA145" s="1160"/>
      <c r="DB145" s="1160"/>
      <c r="DC145" s="1160"/>
      <c r="DD145" s="1160"/>
      <c r="DE145" s="1160"/>
      <c r="DF145" s="1160"/>
      <c r="DG145" s="1160"/>
      <c r="DH145" s="1160"/>
      <c r="DI145" s="1160"/>
      <c r="DJ145" s="1160"/>
      <c r="DK145" s="1160"/>
      <c r="DL145" s="1253" t="s">
        <v>228</v>
      </c>
      <c r="DM145" s="1245">
        <f ca="1">BQ164/(BI174+BQ187)</f>
        <v>2E-3</v>
      </c>
      <c r="DN145" s="1160"/>
      <c r="DO145" s="1160"/>
      <c r="DP145" s="1160"/>
      <c r="DQ145" s="1160"/>
      <c r="DR145" s="1160"/>
      <c r="DS145" s="1160"/>
      <c r="DT145" s="1160"/>
      <c r="DU145" s="1160"/>
      <c r="DV145" s="1160"/>
      <c r="DW145" s="1160"/>
      <c r="DX145" s="1160"/>
      <c r="DY145" s="1160"/>
      <c r="DZ145" s="1160"/>
      <c r="EA145" s="1160"/>
      <c r="EB145" s="1160"/>
      <c r="EC145" s="1160"/>
    </row>
    <row r="146" spans="1:133" ht="19.5" customHeight="1" x14ac:dyDescent="0.2">
      <c r="A146" s="1160"/>
      <c r="B146" s="1160"/>
      <c r="C146" s="1229"/>
      <c r="D146" s="1229"/>
      <c r="E146" s="1296"/>
      <c r="F146" s="1296"/>
      <c r="G146" s="1296"/>
      <c r="H146" s="1296"/>
      <c r="I146" s="1296"/>
      <c r="J146" s="1296"/>
      <c r="K146" s="1296"/>
      <c r="L146" s="1296"/>
      <c r="M146" s="1296"/>
      <c r="N146" s="1296"/>
      <c r="O146" s="1296"/>
      <c r="P146" s="1296"/>
      <c r="Q146" s="1170"/>
      <c r="R146" s="1170"/>
      <c r="S146" s="1170"/>
      <c r="T146" s="1170"/>
      <c r="U146" s="1170"/>
      <c r="V146" s="1170"/>
      <c r="W146" s="1170"/>
      <c r="X146" s="1170"/>
      <c r="Y146" s="1170"/>
      <c r="Z146" s="1170"/>
      <c r="AA146" s="1170"/>
      <c r="AB146" s="1170"/>
      <c r="AC146" s="1170"/>
      <c r="AD146" s="1170"/>
      <c r="AE146" s="1170"/>
      <c r="AF146" s="1170"/>
      <c r="AG146" s="1170" t="s">
        <v>485</v>
      </c>
      <c r="AH146" s="1170">
        <f ca="1">'HydroRefinery Detailed Results'!J13</f>
        <v>2.3413327987306458E-13</v>
      </c>
      <c r="AI146" s="1170"/>
      <c r="AJ146" s="1170"/>
      <c r="AK146" s="1180" t="str">
        <f>AK133</f>
        <v>LVGO</v>
      </c>
      <c r="AL146" s="1170"/>
      <c r="AM146" s="1170"/>
      <c r="AN146" s="1170"/>
      <c r="AO146" s="1170"/>
      <c r="AP146" s="1170"/>
      <c r="AQ146" s="1170"/>
      <c r="AR146" s="1170"/>
      <c r="AS146" s="1170"/>
      <c r="AT146" s="1170"/>
      <c r="AU146" s="1170"/>
      <c r="AV146" s="1170"/>
      <c r="AW146" s="1170"/>
      <c r="AX146" s="1170"/>
      <c r="AY146" s="1170"/>
      <c r="AZ146" s="1170"/>
      <c r="BA146" s="1170"/>
      <c r="BB146" s="1170"/>
      <c r="BC146" s="1170"/>
      <c r="BD146" s="1170"/>
      <c r="BE146" s="1170"/>
      <c r="BF146" s="1170"/>
      <c r="BG146" s="1170"/>
      <c r="BH146" s="1170"/>
      <c r="BI146" s="1170"/>
      <c r="BJ146" s="1170"/>
      <c r="BK146" s="1170"/>
      <c r="BL146" s="1170"/>
      <c r="BM146" s="1170"/>
      <c r="BN146" s="1170"/>
      <c r="BO146" s="1181" t="str">
        <f>HydroRefineryCalcs!F964</f>
        <v>HC Gas Oil To Gas Oil HC</v>
      </c>
      <c r="BP146" s="1170"/>
      <c r="BQ146" s="1170"/>
      <c r="BR146" s="1180" t="str">
        <f>BO146</f>
        <v>HC Gas Oil To Gas Oil HC</v>
      </c>
      <c r="BS146" s="1170"/>
      <c r="BT146" s="1170"/>
      <c r="BU146" s="1170"/>
      <c r="BV146" s="1170"/>
      <c r="BW146" s="1170"/>
      <c r="BX146" s="1170"/>
      <c r="BY146" s="1170"/>
      <c r="BZ146" s="1170"/>
      <c r="CA146" s="1170"/>
      <c r="CB146" s="1170"/>
      <c r="CC146" s="1170"/>
      <c r="CD146" s="1186" t="str">
        <f>HydroRefineryCalcs!C445</f>
        <v>Vol Flow</v>
      </c>
      <c r="CE146" s="1170" t="str">
        <f>HydroRefineryCalcs!D445</f>
        <v>bpd</v>
      </c>
      <c r="CF146" s="1187">
        <f ca="1">HydroRefineryCalcs!H445</f>
        <v>9.5874308491111665E-21</v>
      </c>
      <c r="CG146" s="1170"/>
      <c r="CH146" s="1160" t="s">
        <v>263</v>
      </c>
      <c r="CI146" s="1187">
        <f ca="1">BT135*CI151</f>
        <v>0</v>
      </c>
      <c r="CJ146" s="1170"/>
      <c r="CK146" s="1170"/>
      <c r="CL146" s="1170"/>
      <c r="CM146" s="1170"/>
      <c r="CN146" s="1170"/>
      <c r="CO146" s="1170"/>
      <c r="CP146" s="1160"/>
      <c r="CQ146" s="1160"/>
      <c r="CR146" s="1160"/>
      <c r="CS146" s="1160"/>
      <c r="CT146" s="1160"/>
      <c r="CU146" s="1160"/>
      <c r="CV146" s="1160"/>
      <c r="CW146" s="1160"/>
      <c r="CX146" s="1160"/>
      <c r="CY146" s="1160"/>
      <c r="CZ146" s="1171"/>
      <c r="DA146" s="1160"/>
      <c r="DB146" s="1160"/>
      <c r="DC146" s="1160"/>
      <c r="DD146" s="1160"/>
      <c r="DE146" s="1160"/>
      <c r="DF146" s="1160"/>
      <c r="DG146" s="1160"/>
      <c r="DH146" s="1160"/>
      <c r="DI146" s="1160"/>
      <c r="DJ146" s="1160"/>
      <c r="DK146" s="1160"/>
      <c r="DL146" s="1160"/>
      <c r="DM146" s="1160"/>
      <c r="DN146" s="1160"/>
      <c r="DO146" s="1160"/>
      <c r="DP146" s="1160"/>
      <c r="DQ146" s="1160"/>
      <c r="DR146" s="1160"/>
      <c r="DS146" s="1160"/>
      <c r="DT146" s="1160"/>
      <c r="DU146" s="1160"/>
      <c r="DV146" s="1160"/>
      <c r="DW146" s="1160"/>
      <c r="DX146" s="1160"/>
      <c r="DY146" s="1160"/>
      <c r="DZ146" s="1160"/>
      <c r="EA146" s="1980" t="s">
        <v>1898</v>
      </c>
      <c r="EB146" s="1160"/>
      <c r="EC146" s="1160"/>
    </row>
    <row r="147" spans="1:133" x14ac:dyDescent="0.2">
      <c r="A147" s="1160"/>
      <c r="B147" s="1160"/>
      <c r="C147" s="1229"/>
      <c r="D147" s="1229"/>
      <c r="E147" s="1296"/>
      <c r="F147" s="1296"/>
      <c r="G147" s="1296"/>
      <c r="H147" s="1296"/>
      <c r="I147" s="1296"/>
      <c r="J147" s="1296"/>
      <c r="K147" s="1296"/>
      <c r="L147" s="1296"/>
      <c r="M147" s="1296"/>
      <c r="N147" s="1296"/>
      <c r="O147" s="1296"/>
      <c r="P147" s="1298"/>
      <c r="Q147" s="1170"/>
      <c r="R147" s="1170"/>
      <c r="S147" s="1170"/>
      <c r="T147" s="1170"/>
      <c r="U147" s="1170"/>
      <c r="V147" s="1170"/>
      <c r="W147" s="1170"/>
      <c r="X147" s="1170"/>
      <c r="Y147" s="1170"/>
      <c r="Z147" s="1170"/>
      <c r="AA147" s="1170"/>
      <c r="AB147" s="1170"/>
      <c r="AC147" s="1170"/>
      <c r="AD147" s="1170"/>
      <c r="AE147" s="1170"/>
      <c r="AF147" s="1170"/>
      <c r="AG147" s="1170" t="s">
        <v>541</v>
      </c>
      <c r="AH147" s="1170">
        <f>'HydroRefinery Detailed Results'!L13</f>
        <v>0</v>
      </c>
      <c r="AI147" s="1170"/>
      <c r="AJ147" s="1170"/>
      <c r="AK147" s="1183" t="s">
        <v>226</v>
      </c>
      <c r="AL147" s="1170"/>
      <c r="AM147" s="1227" t="s">
        <v>522</v>
      </c>
      <c r="AN147" s="1170"/>
      <c r="AO147" s="1170"/>
      <c r="AP147" s="1170"/>
      <c r="AQ147" s="1170"/>
      <c r="AR147" s="1170"/>
      <c r="AS147" s="1170"/>
      <c r="AT147" s="1170"/>
      <c r="AU147" s="1170"/>
      <c r="AV147" s="1170"/>
      <c r="AW147" s="1170"/>
      <c r="AX147" s="1170"/>
      <c r="AY147" s="1170"/>
      <c r="AZ147" s="1170"/>
      <c r="BA147" s="1170"/>
      <c r="BB147" s="1170"/>
      <c r="BC147" s="1170"/>
      <c r="BD147" s="1170"/>
      <c r="BE147" s="1170"/>
      <c r="BF147" s="1170"/>
      <c r="BG147" s="1170"/>
      <c r="BH147" s="1170"/>
      <c r="BI147" s="1170"/>
      <c r="BJ147" s="1170"/>
      <c r="BK147" s="1170"/>
      <c r="BL147" s="1170"/>
      <c r="BM147" s="1170"/>
      <c r="BN147" s="1170"/>
      <c r="BO147" s="1182" t="str">
        <f>HydroRefineryCalcs!C906</f>
        <v>Property</v>
      </c>
      <c r="BP147" s="1182" t="str">
        <f>HydroRefineryCalcs!D906</f>
        <v>Units</v>
      </c>
      <c r="BQ147" s="1170"/>
      <c r="BR147" s="1183" t="s">
        <v>226</v>
      </c>
      <c r="BS147" s="1170"/>
      <c r="BT147" s="1184" t="s">
        <v>522</v>
      </c>
      <c r="BU147" s="1170"/>
      <c r="BV147" s="1170"/>
      <c r="BW147" s="1170"/>
      <c r="BX147" s="1170"/>
      <c r="BY147" s="1170"/>
      <c r="BZ147" s="1170"/>
      <c r="CA147" s="1170"/>
      <c r="CB147" s="1170"/>
      <c r="CC147" s="1170"/>
      <c r="CD147" s="1186" t="str">
        <f>HydroRefineryCalcs!C446</f>
        <v>Vol Flow</v>
      </c>
      <c r="CE147" s="1170" t="str">
        <f>HydroRefineryCalcs!D446</f>
        <v>m^3/d</v>
      </c>
      <c r="CF147" s="1187">
        <f ca="1">HydroRefineryCalcs!H446</f>
        <v>1.5242797446368918E-21</v>
      </c>
      <c r="CG147" s="1170"/>
      <c r="CH147" s="1160" t="s">
        <v>392</v>
      </c>
      <c r="CI147" s="1187">
        <f ca="1">(BT136+BY113)*$CI$151</f>
        <v>0</v>
      </c>
      <c r="CJ147" s="1170"/>
      <c r="CK147" s="1170"/>
      <c r="CL147" s="1170"/>
      <c r="CM147" s="1170"/>
      <c r="CN147" s="1170"/>
      <c r="CO147" s="1170"/>
      <c r="CP147" s="1160"/>
      <c r="CQ147" s="1160"/>
      <c r="CR147" s="1160"/>
      <c r="CS147" s="1160"/>
      <c r="CT147" s="1160"/>
      <c r="CU147" s="1160"/>
      <c r="CV147" s="1160"/>
      <c r="CW147" s="1160"/>
      <c r="CX147" s="1160"/>
      <c r="CY147" s="1160"/>
      <c r="CZ147" s="1171"/>
      <c r="DA147" s="1160"/>
      <c r="DB147" s="1160"/>
      <c r="DC147" s="1160"/>
      <c r="DD147" s="1160"/>
      <c r="DE147" s="1160"/>
      <c r="DF147" s="1160"/>
      <c r="DG147" s="1160"/>
      <c r="DH147" s="1160"/>
      <c r="DI147" s="1160"/>
      <c r="DJ147" s="1160"/>
      <c r="DK147" s="1160"/>
      <c r="DL147" s="1191" t="str">
        <f>BW185</f>
        <v>FCC FHT Fuel Gas</v>
      </c>
      <c r="DM147" s="1254">
        <f ca="1">HydroRefineryCalcs!K622</f>
        <v>4.5005376344041782E-17</v>
      </c>
      <c r="DN147" s="1160" t="s">
        <v>622</v>
      </c>
      <c r="DO147" s="1160"/>
      <c r="DP147" s="1160"/>
      <c r="DQ147" s="1160"/>
      <c r="DR147" s="1160"/>
      <c r="DS147" s="1160"/>
      <c r="DT147" s="1160"/>
      <c r="DU147" s="1160"/>
      <c r="DV147" s="1160"/>
      <c r="DW147" s="1160"/>
      <c r="DX147" s="1160"/>
      <c r="DY147" s="1160"/>
      <c r="DZ147" s="1160"/>
      <c r="EA147" s="1229" t="s">
        <v>620</v>
      </c>
      <c r="EB147" s="1160" t="s">
        <v>622</v>
      </c>
      <c r="EC147" s="1205">
        <f ca="1">HydroRefineryCalcs!E1499</f>
        <v>0</v>
      </c>
    </row>
    <row r="148" spans="1:133" x14ac:dyDescent="0.2">
      <c r="A148" s="1160"/>
      <c r="B148" s="1160"/>
      <c r="C148" s="1229"/>
      <c r="D148" s="1229"/>
      <c r="E148" s="1296"/>
      <c r="F148" s="1296"/>
      <c r="G148" s="1296"/>
      <c r="H148" s="1296"/>
      <c r="I148" s="1296"/>
      <c r="J148" s="1296"/>
      <c r="K148" s="1296"/>
      <c r="L148" s="1296"/>
      <c r="M148" s="1296"/>
      <c r="N148" s="1296"/>
      <c r="O148" s="1296"/>
      <c r="P148" s="1298"/>
      <c r="Q148" s="1170"/>
      <c r="R148" s="1170"/>
      <c r="S148" s="1170"/>
      <c r="T148" s="1170"/>
      <c r="U148" s="1170"/>
      <c r="V148" s="1170"/>
      <c r="W148" s="1170"/>
      <c r="X148" s="1170"/>
      <c r="Y148" s="1170"/>
      <c r="Z148" s="1170"/>
      <c r="AA148" s="1170"/>
      <c r="AB148" s="1170"/>
      <c r="AC148" s="1170"/>
      <c r="AD148" s="1170"/>
      <c r="AE148" s="1170"/>
      <c r="AF148" s="1170"/>
      <c r="AG148" s="1170"/>
      <c r="AH148" s="1170"/>
      <c r="AI148" s="1170"/>
      <c r="AJ148" s="1170"/>
      <c r="AK148" s="1170" t="s">
        <v>263</v>
      </c>
      <c r="AL148" s="1170"/>
      <c r="AM148" s="1187">
        <f ca="1">AE182*AM153</f>
        <v>0</v>
      </c>
      <c r="AN148" s="1170"/>
      <c r="AO148" s="1170"/>
      <c r="AP148" s="1170"/>
      <c r="AQ148" s="1170"/>
      <c r="AR148" s="1170"/>
      <c r="AS148" s="1170"/>
      <c r="AT148" s="1170"/>
      <c r="AU148" s="1170"/>
      <c r="AV148" s="1170"/>
      <c r="AW148" s="1170"/>
      <c r="AX148" s="1170"/>
      <c r="AY148" s="1170"/>
      <c r="AZ148" s="1170"/>
      <c r="BA148" s="1170"/>
      <c r="BB148" s="1170"/>
      <c r="BC148" s="1170"/>
      <c r="BD148" s="1170"/>
      <c r="BE148" s="1170"/>
      <c r="BF148" s="1170"/>
      <c r="BG148" s="1170"/>
      <c r="BH148" s="1170"/>
      <c r="BI148" s="1170"/>
      <c r="BJ148" s="1170"/>
      <c r="BK148" s="1170"/>
      <c r="BL148" s="1170"/>
      <c r="BM148" s="1170"/>
      <c r="BN148" s="1170"/>
      <c r="BO148" s="1186" t="str">
        <f>HydroRefineryCalcs!C907</f>
        <v>Vol Flow</v>
      </c>
      <c r="BP148" s="1170" t="str">
        <f ca="1">HydroRefineryCalcs!D907</f>
        <v>bpd</v>
      </c>
      <c r="BQ148" s="1187">
        <f ca="1">HydroRefineryCalcs!F965</f>
        <v>1.6431560039009141E-29</v>
      </c>
      <c r="BR148" s="1170" t="s">
        <v>263</v>
      </c>
      <c r="BS148" s="1170"/>
      <c r="BT148" s="1187">
        <f ca="1">BL285*$BT$153</f>
        <v>0</v>
      </c>
      <c r="BU148" s="1170"/>
      <c r="BV148" s="1170"/>
      <c r="BW148" s="1170"/>
      <c r="BX148" s="1170"/>
      <c r="BY148" s="1170"/>
      <c r="BZ148" s="1170"/>
      <c r="CA148" s="1170"/>
      <c r="CB148" s="1170"/>
      <c r="CC148" s="1170"/>
      <c r="CD148" s="1186" t="str">
        <f>HydroRefineryCalcs!C447</f>
        <v>Mass Flow</v>
      </c>
      <c r="CE148" s="1170" t="str">
        <f>HydroRefineryCalcs!D447</f>
        <v>kg/d</v>
      </c>
      <c r="CF148" s="1187">
        <f ca="1">HydroRefineryCalcs!H447</f>
        <v>1.2651630422892739E-18</v>
      </c>
      <c r="CG148" s="1170"/>
      <c r="CH148" s="1160" t="s">
        <v>224</v>
      </c>
      <c r="CI148" s="1187">
        <f ca="1">(BT137+BY114)*$CI$151</f>
        <v>0</v>
      </c>
      <c r="CJ148" s="1170"/>
      <c r="CK148" s="1170"/>
      <c r="CL148" s="1170"/>
      <c r="CM148" s="1170"/>
      <c r="CN148" s="1170"/>
      <c r="CO148" s="1170"/>
      <c r="CP148" s="1160"/>
      <c r="CQ148" s="1160"/>
      <c r="CR148" s="1160"/>
      <c r="CS148" s="1160"/>
      <c r="CT148" s="1160"/>
      <c r="CU148" s="1160"/>
      <c r="CV148" s="1160"/>
      <c r="CW148" s="1160"/>
      <c r="CX148" s="1160"/>
      <c r="CY148" s="1160"/>
      <c r="CZ148" s="1171"/>
      <c r="DA148" s="1160"/>
      <c r="DB148" s="1160"/>
      <c r="DC148" s="1160"/>
      <c r="DD148" s="1160"/>
      <c r="DE148" s="1160"/>
      <c r="DF148" s="1160"/>
      <c r="DG148" s="1160"/>
      <c r="DH148" s="1160"/>
      <c r="DI148" s="1160"/>
      <c r="DJ148" s="1160"/>
      <c r="DK148" s="1160"/>
      <c r="DL148" s="1193" t="s">
        <v>226</v>
      </c>
      <c r="DM148" s="1243" t="s">
        <v>522</v>
      </c>
      <c r="DN148" s="1160"/>
      <c r="DO148" s="1160"/>
      <c r="DP148" s="1160"/>
      <c r="DQ148" s="1160"/>
      <c r="DR148" s="1160"/>
      <c r="DS148" s="1160"/>
      <c r="DT148" s="1160"/>
      <c r="DU148" s="1160"/>
      <c r="DV148" s="1160"/>
      <c r="DW148" s="1160"/>
      <c r="DX148" s="1160"/>
      <c r="DY148" s="1160"/>
      <c r="DZ148" s="1160"/>
      <c r="EA148" s="1160"/>
      <c r="EB148" s="1204"/>
      <c r="EC148" s="1160"/>
    </row>
    <row r="149" spans="1:133" x14ac:dyDescent="0.2">
      <c r="A149" s="1160"/>
      <c r="B149" s="1160"/>
      <c r="C149" s="1229"/>
      <c r="D149" s="1229"/>
      <c r="E149" s="1296"/>
      <c r="F149" s="1296"/>
      <c r="G149" s="1296"/>
      <c r="H149" s="1296"/>
      <c r="I149" s="1296"/>
      <c r="J149" s="1296"/>
      <c r="K149" s="1296"/>
      <c r="L149" s="1296"/>
      <c r="M149" s="1296"/>
      <c r="N149" s="1296"/>
      <c r="O149" s="1296"/>
      <c r="P149" s="1181"/>
      <c r="Q149" s="1170"/>
      <c r="R149" s="1170"/>
      <c r="S149" s="1170"/>
      <c r="T149" s="1170"/>
      <c r="U149" s="1170"/>
      <c r="V149" s="1170"/>
      <c r="W149" s="1170"/>
      <c r="X149" s="1170"/>
      <c r="Y149" s="1170"/>
      <c r="Z149" s="1170"/>
      <c r="AA149" s="1170"/>
      <c r="AB149" s="1170"/>
      <c r="AC149" s="1170"/>
      <c r="AD149" s="1170"/>
      <c r="AE149" s="1170"/>
      <c r="AF149" s="1170"/>
      <c r="AG149" s="1170"/>
      <c r="AH149" s="1170"/>
      <c r="AI149" s="1170"/>
      <c r="AJ149" s="1170"/>
      <c r="AK149" s="1170" t="s">
        <v>392</v>
      </c>
      <c r="AL149" s="1170"/>
      <c r="AM149" s="1187">
        <f ca="1">(AE183+AH144)*$AM$153</f>
        <v>0</v>
      </c>
      <c r="AN149" s="1170"/>
      <c r="AO149" s="1170"/>
      <c r="AP149" s="1170"/>
      <c r="AQ149" s="1170"/>
      <c r="AR149" s="1170"/>
      <c r="AS149" s="1170"/>
      <c r="AT149" s="1170"/>
      <c r="AU149" s="1170"/>
      <c r="AV149" s="1170"/>
      <c r="AW149" s="1170"/>
      <c r="AX149" s="1170"/>
      <c r="AY149" s="1170"/>
      <c r="AZ149" s="1170"/>
      <c r="BA149" s="1170"/>
      <c r="BB149" s="1170"/>
      <c r="BC149" s="1170"/>
      <c r="BD149" s="1170"/>
      <c r="BE149" s="1170"/>
      <c r="BF149" s="1170"/>
      <c r="BG149" s="1170"/>
      <c r="BH149" s="1170"/>
      <c r="BI149" s="1170"/>
      <c r="BJ149" s="1170"/>
      <c r="BK149" s="1170"/>
      <c r="BL149" s="1170"/>
      <c r="BM149" s="1170"/>
      <c r="BN149" s="1170"/>
      <c r="BO149" s="1186" t="str">
        <f>HydroRefineryCalcs!C908</f>
        <v>Vol Flow</v>
      </c>
      <c r="BP149" s="1170" t="str">
        <f ca="1">HydroRefineryCalcs!D908</f>
        <v>m^3/d</v>
      </c>
      <c r="BQ149" s="1187">
        <f ca="1">HydroRefineryCalcs!F966</f>
        <v>2.612409365389958E-30</v>
      </c>
      <c r="BR149" s="1170" t="s">
        <v>392</v>
      </c>
      <c r="BS149" s="1170"/>
      <c r="BT149" s="1187">
        <f ca="1">BL286*$BT$153</f>
        <v>0</v>
      </c>
      <c r="BU149" s="1170"/>
      <c r="BV149" s="1170"/>
      <c r="BW149" s="1170"/>
      <c r="BX149" s="1170"/>
      <c r="BY149" s="1170"/>
      <c r="BZ149" s="1170"/>
      <c r="CA149" s="1170"/>
      <c r="CB149" s="1170"/>
      <c r="CC149" s="1170"/>
      <c r="CD149" s="1186" t="str">
        <f>HydroRefineryCalcs!C448</f>
        <v>S</v>
      </c>
      <c r="CE149" s="1170" t="str">
        <f>HydroRefineryCalcs!D448</f>
        <v>wt%</v>
      </c>
      <c r="CF149" s="1170">
        <f ca="1">HydroRefineryCalcs!H448</f>
        <v>4.017723721006432E-6</v>
      </c>
      <c r="CG149" s="1170"/>
      <c r="CH149" s="1160" t="s">
        <v>485</v>
      </c>
      <c r="CI149" s="1187">
        <f ca="1">(BT138+BY115)*$CI$151</f>
        <v>0</v>
      </c>
      <c r="CJ149" s="1170"/>
      <c r="CK149" s="1170"/>
      <c r="CL149" s="1170"/>
      <c r="CM149" s="1170"/>
      <c r="CN149" s="1170"/>
      <c r="CO149" s="1170"/>
      <c r="CP149" s="1160"/>
      <c r="CQ149" s="1160"/>
      <c r="CR149" s="1160"/>
      <c r="CS149" s="1160"/>
      <c r="CT149" s="1160"/>
      <c r="CU149" s="1160"/>
      <c r="CV149" s="1160"/>
      <c r="CW149" s="1160"/>
      <c r="CX149" s="1160"/>
      <c r="CY149" s="1160"/>
      <c r="CZ149" s="1171"/>
      <c r="DA149" s="1160"/>
      <c r="DB149" s="1160"/>
      <c r="DC149" s="1160"/>
      <c r="DD149" s="1160"/>
      <c r="DE149" s="1160"/>
      <c r="DF149" s="1160"/>
      <c r="DG149" s="1160"/>
      <c r="DH149" s="1160"/>
      <c r="DI149" s="1160"/>
      <c r="DJ149" s="1160"/>
      <c r="DK149" s="1160"/>
      <c r="DL149" s="1160" t="s">
        <v>263</v>
      </c>
      <c r="DM149" s="1254">
        <f ca="1">(AZ110+AZ154+AZ188+BS285)*$DM$154</f>
        <v>0</v>
      </c>
      <c r="DN149" s="1160"/>
      <c r="DO149" s="1160"/>
      <c r="DP149" s="1160"/>
      <c r="DQ149" s="1160"/>
      <c r="DR149" s="1160"/>
      <c r="DS149" s="1160"/>
      <c r="DT149" s="1160"/>
      <c r="DU149" s="1160"/>
      <c r="DV149" s="1160"/>
      <c r="DW149" s="1160"/>
      <c r="DX149" s="1160"/>
      <c r="DY149" s="1160"/>
      <c r="DZ149" s="1160"/>
      <c r="EA149" s="1160"/>
      <c r="EB149" s="1160"/>
      <c r="EC149" s="1160"/>
    </row>
    <row r="150" spans="1:133" x14ac:dyDescent="0.2">
      <c r="A150" s="1160"/>
      <c r="B150" s="1160"/>
      <c r="C150" s="1229"/>
      <c r="D150" s="1229"/>
      <c r="E150" s="1296"/>
      <c r="F150" s="1296"/>
      <c r="G150" s="1296"/>
      <c r="H150" s="1296"/>
      <c r="I150" s="1296"/>
      <c r="J150" s="1296"/>
      <c r="K150" s="1296"/>
      <c r="L150" s="1296"/>
      <c r="M150" s="1296"/>
      <c r="N150" s="1296"/>
      <c r="O150" s="1296"/>
      <c r="P150" s="1298"/>
      <c r="Q150" s="1170"/>
      <c r="R150" s="1170"/>
      <c r="S150" s="1170"/>
      <c r="T150" s="1170"/>
      <c r="U150" s="1170"/>
      <c r="V150" s="1170"/>
      <c r="W150" s="1170"/>
      <c r="X150" s="1170"/>
      <c r="Y150" s="1170"/>
      <c r="Z150" s="1170"/>
      <c r="AA150" s="1170"/>
      <c r="AB150" s="1170"/>
      <c r="AC150" s="1170"/>
      <c r="AD150" s="1170"/>
      <c r="AE150" s="1170"/>
      <c r="AF150" s="1170"/>
      <c r="AG150" s="1170"/>
      <c r="AH150" s="1170"/>
      <c r="AI150" s="1170"/>
      <c r="AJ150" s="1170"/>
      <c r="AK150" s="1170" t="s">
        <v>224</v>
      </c>
      <c r="AL150" s="1170"/>
      <c r="AM150" s="1187">
        <f ca="1">(AE184+AH145)*$AM$153</f>
        <v>0</v>
      </c>
      <c r="AN150" s="1170"/>
      <c r="AO150" s="1170"/>
      <c r="AP150" s="1170"/>
      <c r="AQ150" s="1170"/>
      <c r="AR150" s="1170"/>
      <c r="AS150" s="1170"/>
      <c r="AT150" s="1170"/>
      <c r="AU150" s="1170"/>
      <c r="AV150" s="1170"/>
      <c r="AW150" s="1170"/>
      <c r="AX150" s="1170"/>
      <c r="AY150" s="1170"/>
      <c r="AZ150" s="1170"/>
      <c r="BA150" s="1170"/>
      <c r="BB150" s="1170"/>
      <c r="BC150" s="1170"/>
      <c r="BD150" s="1170"/>
      <c r="BE150" s="1170"/>
      <c r="BF150" s="1170"/>
      <c r="BG150" s="1170"/>
      <c r="BH150" s="1170"/>
      <c r="BI150" s="1170"/>
      <c r="BJ150" s="1170"/>
      <c r="BK150" s="1170"/>
      <c r="BL150" s="1170"/>
      <c r="BM150" s="1170"/>
      <c r="BN150" s="1170"/>
      <c r="BO150" s="1186" t="str">
        <f>HydroRefineryCalcs!C909</f>
        <v>Mass Flow</v>
      </c>
      <c r="BP150" s="1170" t="str">
        <f>HydroRefineryCalcs!D909</f>
        <v>kg/d</v>
      </c>
      <c r="BQ150" s="1187">
        <f ca="1">HydroRefineryCalcs!F967</f>
        <v>2.5026881720433934E-27</v>
      </c>
      <c r="BR150" s="1170" t="s">
        <v>224</v>
      </c>
      <c r="BS150" s="1170"/>
      <c r="BT150" s="1187">
        <f ca="1">BL287*$BT$153</f>
        <v>1.4468613315994545E-25</v>
      </c>
      <c r="BU150" s="1170"/>
      <c r="BV150" s="1170"/>
      <c r="BW150" s="1170"/>
      <c r="BX150" s="1170"/>
      <c r="BY150" s="1170"/>
      <c r="BZ150" s="1170"/>
      <c r="CA150" s="1170"/>
      <c r="CB150" s="1170"/>
      <c r="CC150" s="1170"/>
      <c r="CD150" s="1186" t="str">
        <f>HydroRefineryCalcs!C450</f>
        <v>API</v>
      </c>
      <c r="CE150" s="1170"/>
      <c r="CF150" s="1170">
        <f ca="1">HydroRefineryCalcs!H450</f>
        <v>38.980465091553498</v>
      </c>
      <c r="CG150" s="1170"/>
      <c r="CH150" s="1160" t="s">
        <v>541</v>
      </c>
      <c r="CI150" s="1187">
        <f ca="1">(BT139+BY116)*$CI$151</f>
        <v>0</v>
      </c>
      <c r="CJ150" s="1170"/>
      <c r="CK150" s="1170"/>
      <c r="CL150" s="1170"/>
      <c r="CM150" s="1170"/>
      <c r="CN150" s="1170"/>
      <c r="CO150" s="1170"/>
      <c r="CP150" s="1160"/>
      <c r="CQ150" s="1160"/>
      <c r="CR150" s="1160"/>
      <c r="CS150" s="1160"/>
      <c r="CT150" s="1160"/>
      <c r="CU150" s="1160"/>
      <c r="CV150" s="1160"/>
      <c r="CW150" s="1160"/>
      <c r="CX150" s="1160"/>
      <c r="CY150" s="1160"/>
      <c r="CZ150" s="1171"/>
      <c r="DA150" s="1160"/>
      <c r="DB150" s="1179" t="str">
        <f ca="1">IF(HydroRefineryConfig=0,"Heating Oil (Fuel Oil)","Fuel Oil")</f>
        <v>Heating Oil (Fuel Oil)</v>
      </c>
      <c r="DC150" s="1170"/>
      <c r="DD150" s="1170"/>
      <c r="DE150" s="1170"/>
      <c r="DF150" s="1191" t="str">
        <f ca="1">DB150</f>
        <v>Heating Oil (Fuel Oil)</v>
      </c>
      <c r="DG150" s="1160"/>
      <c r="DH150" s="1160"/>
      <c r="DI150" s="1160"/>
      <c r="DJ150" s="1160"/>
      <c r="DK150" s="1160"/>
      <c r="DL150" s="1160" t="s">
        <v>392</v>
      </c>
      <c r="DM150" s="1254">
        <f ca="1">(BX205+AZ111+AZ155+AZ189+BS286)*$DM$154</f>
        <v>0</v>
      </c>
      <c r="DN150" s="1160"/>
      <c r="DO150" s="1160"/>
      <c r="DP150" s="1160"/>
      <c r="DQ150" s="1160"/>
      <c r="DR150" s="1160"/>
      <c r="DS150" s="1160"/>
      <c r="DT150" s="1160"/>
      <c r="DU150" s="1160"/>
      <c r="DV150" s="1160"/>
      <c r="DW150" s="1160"/>
      <c r="DX150" s="1160"/>
      <c r="DY150" s="1160"/>
      <c r="DZ150" s="1160"/>
      <c r="EA150" s="2070" t="s">
        <v>1898</v>
      </c>
      <c r="EB150" s="1160"/>
      <c r="EC150" s="1160"/>
    </row>
    <row r="151" spans="1:133" x14ac:dyDescent="0.2">
      <c r="A151" s="1160"/>
      <c r="B151" s="1160"/>
      <c r="C151" s="1229"/>
      <c r="D151" s="1229"/>
      <c r="E151" s="1296"/>
      <c r="F151" s="1296"/>
      <c r="G151" s="1296"/>
      <c r="H151" s="1296"/>
      <c r="I151" s="1296"/>
      <c r="J151" s="1296"/>
      <c r="K151" s="1296"/>
      <c r="L151" s="1296"/>
      <c r="M151" s="1296"/>
      <c r="N151" s="1296"/>
      <c r="O151" s="1296"/>
      <c r="P151" s="1298"/>
      <c r="Q151" s="1170"/>
      <c r="R151" s="1170"/>
      <c r="S151" s="1170"/>
      <c r="T151" s="1170"/>
      <c r="U151" s="1170"/>
      <c r="V151" s="1170"/>
      <c r="W151" s="1170"/>
      <c r="X151" s="1170"/>
      <c r="Y151" s="1170"/>
      <c r="Z151" s="1170"/>
      <c r="AA151" s="1170"/>
      <c r="AB151" s="1170"/>
      <c r="AC151" s="1170"/>
      <c r="AD151" s="1170"/>
      <c r="AE151" s="1170"/>
      <c r="AF151" s="1170"/>
      <c r="AG151" s="1170"/>
      <c r="AH151" s="1170"/>
      <c r="AI151" s="1170"/>
      <c r="AJ151" s="1170"/>
      <c r="AK151" s="1170" t="s">
        <v>485</v>
      </c>
      <c r="AL151" s="1170"/>
      <c r="AM151" s="1187">
        <f ca="1">(AE185+AH146)*$AM$153</f>
        <v>0</v>
      </c>
      <c r="AN151" s="1170"/>
      <c r="AO151" s="1170"/>
      <c r="AP151" s="1170"/>
      <c r="AQ151" s="1170"/>
      <c r="AR151" s="1170"/>
      <c r="AS151" s="1170"/>
      <c r="AT151" s="1170"/>
      <c r="AU151" s="1170"/>
      <c r="AV151" s="1170"/>
      <c r="AW151" s="1170"/>
      <c r="AX151" s="1170"/>
      <c r="AY151" s="1170"/>
      <c r="AZ151" s="1170"/>
      <c r="BA151" s="1170"/>
      <c r="BB151" s="1170"/>
      <c r="BC151" s="1170"/>
      <c r="BD151" s="1170"/>
      <c r="BE151" s="1170"/>
      <c r="BF151" s="1170"/>
      <c r="BG151" s="1170"/>
      <c r="BH151" s="1170"/>
      <c r="BI151" s="1170"/>
      <c r="BJ151" s="1170"/>
      <c r="BK151" s="1170"/>
      <c r="BL151" s="1170"/>
      <c r="BM151" s="1170"/>
      <c r="BN151" s="1170"/>
      <c r="BO151" s="1186" t="str">
        <f>HydroRefineryCalcs!C910</f>
        <v xml:space="preserve">Sulphur </v>
      </c>
      <c r="BP151" s="1170" t="str">
        <f ca="1">HydroRefineryCalcs!D910</f>
        <v>wt%</v>
      </c>
      <c r="BQ151" s="1170">
        <f ca="1">HydroRefineryCalcs!F968</f>
        <v>0</v>
      </c>
      <c r="BR151" s="1170" t="s">
        <v>485</v>
      </c>
      <c r="BS151" s="1170"/>
      <c r="BT151" s="1187">
        <f ca="1">BL288*$BT$153</f>
        <v>4.1681312098451549E-29</v>
      </c>
      <c r="BU151" s="1170"/>
      <c r="BV151" s="1170"/>
      <c r="BW151" s="1170"/>
      <c r="BX151" s="1170"/>
      <c r="BY151" s="1170"/>
      <c r="BZ151" s="1170"/>
      <c r="CA151" s="1170"/>
      <c r="CB151" s="1170"/>
      <c r="CC151" s="1170"/>
      <c r="CD151" s="1186" t="str">
        <f>HydroRefineryCalcs!C451</f>
        <v>Density</v>
      </c>
      <c r="CE151" s="1170" t="str">
        <f>HydroRefineryCalcs!D451</f>
        <v>kg/m^3</v>
      </c>
      <c r="CF151" s="1266">
        <f ca="1">HydroRefineryCalcs!H451</f>
        <v>830.00712089804506</v>
      </c>
      <c r="CG151" s="1170"/>
      <c r="CH151" s="1191" t="s">
        <v>1066</v>
      </c>
      <c r="CI151" s="1205">
        <f>IF('HydroRefineryPFD '!E23=TRUE,CI152,0)</f>
        <v>0</v>
      </c>
      <c r="CJ151" s="1170"/>
      <c r="CK151" s="1170"/>
      <c r="CL151" s="1170"/>
      <c r="CM151" s="1170"/>
      <c r="CN151" s="1170"/>
      <c r="CO151" s="1170"/>
      <c r="CP151" s="1160"/>
      <c r="CQ151" s="1160"/>
      <c r="CR151" s="1160"/>
      <c r="CS151" s="1160"/>
      <c r="CT151" s="1160"/>
      <c r="CU151" s="1160"/>
      <c r="CV151" s="1160"/>
      <c r="CW151" s="1160"/>
      <c r="CX151" s="1160"/>
      <c r="CY151" s="1160"/>
      <c r="CZ151" s="1171"/>
      <c r="DA151" s="1160"/>
      <c r="DB151" s="1182" t="str">
        <f t="shared" ref="DB151:DC155" si="2">CD145</f>
        <v>Property</v>
      </c>
      <c r="DC151" s="1182" t="str">
        <f t="shared" si="2"/>
        <v>Units</v>
      </c>
      <c r="DD151" s="1170"/>
      <c r="DE151" s="1170"/>
      <c r="DF151" s="1193" t="s">
        <v>226</v>
      </c>
      <c r="DG151" s="1160"/>
      <c r="DH151" s="1194" t="s">
        <v>522</v>
      </c>
      <c r="DI151" s="1160"/>
      <c r="DJ151" s="1160"/>
      <c r="DK151" s="1160"/>
      <c r="DL151" s="1160" t="s">
        <v>224</v>
      </c>
      <c r="DM151" s="1254">
        <f ca="1">(BX206+AZ112+AZ156+AZ190+BS287)*$DM$154</f>
        <v>0</v>
      </c>
      <c r="DN151" s="1160"/>
      <c r="DO151" s="1160"/>
      <c r="DP151" s="1160"/>
      <c r="DQ151" s="1160"/>
      <c r="DR151" s="1160"/>
      <c r="DS151" s="1160"/>
      <c r="DT151" s="1160"/>
      <c r="DU151" s="1160"/>
      <c r="DV151" s="1160"/>
      <c r="DW151" s="1160"/>
      <c r="DX151" s="1160"/>
      <c r="DY151" s="1160"/>
      <c r="DZ151" s="1160"/>
      <c r="EA151" s="1193" t="s">
        <v>226</v>
      </c>
      <c r="EB151" s="1160"/>
      <c r="EC151" s="1194" t="s">
        <v>522</v>
      </c>
    </row>
    <row r="152" spans="1:133" x14ac:dyDescent="0.2">
      <c r="A152" s="1160"/>
      <c r="B152" s="1160"/>
      <c r="C152" s="1229"/>
      <c r="D152" s="1229"/>
      <c r="E152" s="1296"/>
      <c r="F152" s="1296"/>
      <c r="G152" s="1296"/>
      <c r="H152" s="1296"/>
      <c r="I152" s="1296"/>
      <c r="J152" s="1296"/>
      <c r="K152" s="1296"/>
      <c r="L152" s="1296"/>
      <c r="M152" s="1296"/>
      <c r="N152" s="1296"/>
      <c r="O152" s="1296"/>
      <c r="P152" s="1298"/>
      <c r="Q152" s="1170"/>
      <c r="R152" s="1170"/>
      <c r="S152" s="1170"/>
      <c r="T152" s="1170"/>
      <c r="U152" s="1170"/>
      <c r="V152" s="1170"/>
      <c r="W152" s="1170"/>
      <c r="X152" s="1170"/>
      <c r="Y152" s="1170"/>
      <c r="Z152" s="1170"/>
      <c r="AA152" s="1170"/>
      <c r="AB152" s="1170"/>
      <c r="AC152" s="1170"/>
      <c r="AD152" s="1170"/>
      <c r="AE152" s="1170"/>
      <c r="AF152" s="1170"/>
      <c r="AG152" s="1170"/>
      <c r="AH152" s="1170"/>
      <c r="AI152" s="1170"/>
      <c r="AJ152" s="1170"/>
      <c r="AK152" s="1170" t="s">
        <v>541</v>
      </c>
      <c r="AL152" s="1170"/>
      <c r="AM152" s="1187">
        <f ca="1">(AE186+AH147)*$AM$153</f>
        <v>0</v>
      </c>
      <c r="AN152" s="1170"/>
      <c r="AO152" s="1170"/>
      <c r="AP152" s="1170"/>
      <c r="AQ152" s="1170"/>
      <c r="AR152" s="1170"/>
      <c r="AS152" s="1181" t="str">
        <f>HydroRefineryCalcs!G587</f>
        <v>LVGO to FCC</v>
      </c>
      <c r="AT152" s="1170"/>
      <c r="AU152" s="1170"/>
      <c r="AV152" s="1170"/>
      <c r="AW152" s="1170"/>
      <c r="AX152" s="1180" t="str">
        <f>AS152</f>
        <v>LVGO to FCC</v>
      </c>
      <c r="AY152" s="1170"/>
      <c r="AZ152" s="1170"/>
      <c r="BA152" s="1170"/>
      <c r="BB152" s="1170"/>
      <c r="BC152" s="1170"/>
      <c r="BD152" s="1170"/>
      <c r="BE152" s="1170"/>
      <c r="BF152" s="1170"/>
      <c r="BG152" s="1170"/>
      <c r="BH152" s="1170"/>
      <c r="BI152" s="1170"/>
      <c r="BJ152" s="1170"/>
      <c r="BK152" s="1170"/>
      <c r="BL152" s="1170"/>
      <c r="BM152" s="1170"/>
      <c r="BN152" s="1170"/>
      <c r="BO152" s="1186" t="str">
        <f>HydroRefineryCalcs!C912</f>
        <v xml:space="preserve">API gravity </v>
      </c>
      <c r="BP152" s="1170"/>
      <c r="BQ152" s="1170">
        <f ca="1">HydroRefineryCalcs!F970</f>
        <v>16.203549060553797</v>
      </c>
      <c r="BR152" s="1170" t="s">
        <v>541</v>
      </c>
      <c r="BS152" s="1170"/>
      <c r="BT152" s="1187">
        <f ca="1">BL289*$BT$153</f>
        <v>1.6318743724965547E-26</v>
      </c>
      <c r="BU152" s="1170"/>
      <c r="BV152" s="1170"/>
      <c r="BW152" s="1170"/>
      <c r="BX152" s="1170"/>
      <c r="BY152" s="1170"/>
      <c r="BZ152" s="1170"/>
      <c r="CA152" s="1170"/>
      <c r="CB152" s="1170"/>
      <c r="CC152" s="1170"/>
      <c r="CD152" s="1186" t="str">
        <f>HydroRefineryCalcs!C452</f>
        <v>H</v>
      </c>
      <c r="CE152" s="1170" t="str">
        <f>HydroRefineryCalcs!D452</f>
        <v>wt%</v>
      </c>
      <c r="CF152" s="1170">
        <f ca="1">HydroRefineryCalcs!H452</f>
        <v>13.386945726864486</v>
      </c>
      <c r="CG152" s="1170"/>
      <c r="CH152" s="1191" t="s">
        <v>1065</v>
      </c>
      <c r="CI152" s="1205">
        <f ca="1">CF156/(CF112+CF133+CF156)</f>
        <v>7.5176899013385218E-13</v>
      </c>
      <c r="CJ152" s="1170"/>
      <c r="CK152" s="1170"/>
      <c r="CL152" s="1170"/>
      <c r="CM152" s="1170"/>
      <c r="CN152" s="1170"/>
      <c r="CO152" s="1170"/>
      <c r="CP152" s="1160"/>
      <c r="CQ152" s="1160"/>
      <c r="CR152" s="1160"/>
      <c r="CS152" s="1160"/>
      <c r="CT152" s="1160"/>
      <c r="CU152" s="1160"/>
      <c r="CV152" s="1170"/>
      <c r="CW152" s="1160"/>
      <c r="CX152" s="1160"/>
      <c r="CY152" s="1160"/>
      <c r="CZ152" s="1171"/>
      <c r="DA152" s="1160"/>
      <c r="DB152" s="1186" t="str">
        <f t="shared" si="2"/>
        <v>Vol Flow</v>
      </c>
      <c r="DC152" s="1170" t="str">
        <f t="shared" si="2"/>
        <v>bpd</v>
      </c>
      <c r="DD152" s="1170">
        <f t="shared" ref="DD152:DD158" ca="1" si="3">IF(HydroRefineryConfig=0,AA93,CF146)</f>
        <v>11182.517606218385</v>
      </c>
      <c r="DE152" s="1170"/>
      <c r="DF152" s="1160" t="s">
        <v>263</v>
      </c>
      <c r="DG152" s="1160"/>
      <c r="DH152" s="1187">
        <f ca="1">IF(HydroRefineryConfig=0,AE93,CI146)</f>
        <v>0</v>
      </c>
      <c r="DI152" s="1160"/>
      <c r="DJ152" s="1160"/>
      <c r="DK152" s="1160"/>
      <c r="DL152" s="1160" t="s">
        <v>485</v>
      </c>
      <c r="DM152" s="1254">
        <f ca="1">(BX207+AZ113+AZ157+AZ191+BS288)*$DM$154</f>
        <v>0</v>
      </c>
      <c r="DN152" s="1160"/>
      <c r="DO152" s="1160"/>
      <c r="DP152" s="1160"/>
      <c r="DQ152" s="1160"/>
      <c r="DR152" s="1160"/>
      <c r="DS152" s="1160"/>
      <c r="DT152" s="1160"/>
      <c r="DU152" s="1160"/>
      <c r="DV152" s="1160"/>
      <c r="DW152" s="1160"/>
      <c r="DX152" s="1160"/>
      <c r="DY152" s="1160"/>
      <c r="DZ152" s="1160"/>
      <c r="EA152" s="1160" t="s">
        <v>263</v>
      </c>
      <c r="EB152" s="1160"/>
      <c r="EC152" s="1187">
        <f ca="1">(DM82+DM93+DM104+DM115+DM127+DM138+DM149+DM160+DM59+DM71)*$EC$158</f>
        <v>0</v>
      </c>
    </row>
    <row r="153" spans="1:133" x14ac:dyDescent="0.2">
      <c r="A153" s="1160"/>
      <c r="B153" s="1160"/>
      <c r="C153" s="1229"/>
      <c r="D153" s="1229"/>
      <c r="E153" s="1296"/>
      <c r="F153" s="1296"/>
      <c r="G153" s="1296"/>
      <c r="H153" s="1296"/>
      <c r="I153" s="1296"/>
      <c r="J153" s="1296"/>
      <c r="K153" s="1296"/>
      <c r="L153" s="1296"/>
      <c r="M153" s="1296"/>
      <c r="N153" s="1296"/>
      <c r="O153" s="1296"/>
      <c r="P153" s="1298"/>
      <c r="Q153" s="1170"/>
      <c r="R153" s="1170"/>
      <c r="S153" s="1170"/>
      <c r="T153" s="1170"/>
      <c r="U153" s="1170"/>
      <c r="V153" s="1170"/>
      <c r="W153" s="1170"/>
      <c r="X153" s="1170"/>
      <c r="Y153" s="1170"/>
      <c r="Z153" s="1170"/>
      <c r="AA153" s="1170"/>
      <c r="AB153" s="1170"/>
      <c r="AC153" s="1170"/>
      <c r="AD153" s="1170"/>
      <c r="AE153" s="1170"/>
      <c r="AF153" s="1170"/>
      <c r="AG153" s="1170"/>
      <c r="AH153" s="1170"/>
      <c r="AI153" s="1170"/>
      <c r="AJ153" s="1170"/>
      <c r="AK153" s="1180" t="s">
        <v>1065</v>
      </c>
      <c r="AL153" s="1170"/>
      <c r="AM153" s="1170">
        <f ca="1">IF(OR(HydroRefineryConfig=1,HydroRefineryConfig=2,HydroRefineryConfig=3),IF(E24=TRUE,IF((AM145+AM182+AN300)=0,0,AM145/(AM145+AM182+AN300+DD285)),IF((AM145+AM182)=0,0,AM145/(AM145+AM182+DD285))),IF((AM145+AM182+AL257)=0,0,AM145/(AM145+AM182+AL257+DD285)))</f>
        <v>0</v>
      </c>
      <c r="AN153" s="1170"/>
      <c r="AO153" s="1170"/>
      <c r="AP153" s="1170"/>
      <c r="AQ153" s="1170"/>
      <c r="AR153" s="1170"/>
      <c r="AS153" s="1182" t="str">
        <f>HydroRefineryCalcs!C604</f>
        <v>Property</v>
      </c>
      <c r="AT153" s="1182" t="str">
        <f>HydroRefineryCalcs!D604</f>
        <v>Units</v>
      </c>
      <c r="AU153" s="1170"/>
      <c r="AV153" s="1170"/>
      <c r="AW153" s="1170"/>
      <c r="AX153" s="1183" t="s">
        <v>226</v>
      </c>
      <c r="AY153" s="1170"/>
      <c r="AZ153" s="1184" t="s">
        <v>522</v>
      </c>
      <c r="BA153" s="1170"/>
      <c r="BB153" s="1170"/>
      <c r="BC153" s="1170"/>
      <c r="BD153" s="1170"/>
      <c r="BE153" s="1170"/>
      <c r="BF153" s="1170"/>
      <c r="BG153" s="1170"/>
      <c r="BH153" s="1170"/>
      <c r="BI153" s="1170"/>
      <c r="BJ153" s="1170"/>
      <c r="BK153" s="1170"/>
      <c r="BL153" s="1170"/>
      <c r="BM153" s="1170"/>
      <c r="BN153" s="1170"/>
      <c r="BO153" s="1186" t="str">
        <f>HydroRefineryCalcs!C913</f>
        <v>Density</v>
      </c>
      <c r="BP153" s="1170" t="str">
        <f ca="1">HydroRefineryCalcs!D913</f>
        <v>kg/m^3</v>
      </c>
      <c r="BQ153" s="1187">
        <f ca="1">HydroRefineryCalcs!F971</f>
        <v>957.99999999992872</v>
      </c>
      <c r="BR153" s="1180" t="s">
        <v>227</v>
      </c>
      <c r="BS153" s="1170"/>
      <c r="BT153" s="1170">
        <f ca="1">BQ158/BL282</f>
        <v>1.0000000000000002E-12</v>
      </c>
      <c r="BU153" s="1170"/>
      <c r="BV153" s="1170"/>
      <c r="BW153" s="1170"/>
      <c r="BX153" s="1170"/>
      <c r="BY153" s="1170"/>
      <c r="BZ153" s="1170"/>
      <c r="CA153" s="1170"/>
      <c r="CB153" s="1170"/>
      <c r="CC153" s="1170"/>
      <c r="CD153" s="1186" t="str">
        <f>HydroRefineryCalcs!C453</f>
        <v>MCR</v>
      </c>
      <c r="CE153" s="1170" t="str">
        <f>HydroRefineryCalcs!D453</f>
        <v>wt%</v>
      </c>
      <c r="CF153" s="1170">
        <f>HydroRefineryCalcs!H453</f>
        <v>0</v>
      </c>
      <c r="CG153" s="1170"/>
      <c r="CH153" s="1253" t="s">
        <v>228</v>
      </c>
      <c r="CI153" s="1205">
        <f ca="1">CF148/BT124</f>
        <v>7.8598254094168608E-13</v>
      </c>
      <c r="CJ153" s="1170"/>
      <c r="CK153" s="1170"/>
      <c r="CL153" s="1170"/>
      <c r="CM153" s="1170"/>
      <c r="CN153" s="1170"/>
      <c r="CO153" s="1170"/>
      <c r="CP153" s="1160"/>
      <c r="CQ153" s="1160"/>
      <c r="CR153" s="1160"/>
      <c r="CS153" s="1160"/>
      <c r="CT153" s="1160"/>
      <c r="CU153" s="1160"/>
      <c r="CV153" s="1160"/>
      <c r="CW153" s="1160"/>
      <c r="CX153" s="1160"/>
      <c r="CY153" s="1160"/>
      <c r="CZ153" s="1171"/>
      <c r="DA153" s="1160"/>
      <c r="DB153" s="1186" t="str">
        <f t="shared" si="2"/>
        <v>Vol Flow</v>
      </c>
      <c r="DC153" s="1170" t="str">
        <f t="shared" si="2"/>
        <v>m^3/d</v>
      </c>
      <c r="DD153" s="1170">
        <f t="shared" ca="1" si="3"/>
        <v>1777.8782814151243</v>
      </c>
      <c r="DE153" s="1170"/>
      <c r="DF153" s="1160" t="s">
        <v>392</v>
      </c>
      <c r="DG153" s="1160"/>
      <c r="DH153" s="1187">
        <f ca="1">IF(HydroRefineryConfig=0,AE94,CI147)</f>
        <v>0</v>
      </c>
      <c r="DI153" s="1160"/>
      <c r="DJ153" s="1160"/>
      <c r="DK153" s="1160"/>
      <c r="DL153" s="1160" t="s">
        <v>541</v>
      </c>
      <c r="DM153" s="1254">
        <f ca="1">(BX208+AZ114+AZ158+AZ192+BS289)*$DM$154</f>
        <v>0</v>
      </c>
      <c r="DN153" s="1160"/>
      <c r="DO153" s="1160"/>
      <c r="DP153" s="1160"/>
      <c r="DQ153" s="1160"/>
      <c r="DR153" s="1160"/>
      <c r="DS153" s="1160"/>
      <c r="DT153" s="1160"/>
      <c r="DU153" s="1160"/>
      <c r="DV153" s="1160"/>
      <c r="DW153" s="1160"/>
      <c r="DX153" s="1160"/>
      <c r="DY153" s="1160"/>
      <c r="DZ153" s="1160"/>
      <c r="EA153" s="1160" t="s">
        <v>392</v>
      </c>
      <c r="EB153" s="1160"/>
      <c r="EC153" s="1187">
        <f ca="1">(DO43+DM83+DM94+DM105+DM116+DM128+DM139+DM150+DM161+DM60+DM72)*$EC$158</f>
        <v>0</v>
      </c>
    </row>
    <row r="154" spans="1:133" x14ac:dyDescent="0.2">
      <c r="A154" s="1160"/>
      <c r="B154" s="1160"/>
      <c r="C154" s="1229"/>
      <c r="D154" s="1229"/>
      <c r="E154" s="1296"/>
      <c r="F154" s="1296"/>
      <c r="G154" s="1296"/>
      <c r="H154" s="1296"/>
      <c r="I154" s="1296"/>
      <c r="J154" s="1296"/>
      <c r="K154" s="1296"/>
      <c r="L154" s="1296"/>
      <c r="M154" s="1296"/>
      <c r="N154" s="1296"/>
      <c r="O154" s="1296"/>
      <c r="P154" s="1298"/>
      <c r="Q154" s="1170"/>
      <c r="R154" s="1170"/>
      <c r="S154" s="1170"/>
      <c r="T154" s="1170"/>
      <c r="U154" s="1170"/>
      <c r="V154" s="1170"/>
      <c r="W154" s="1170"/>
      <c r="X154" s="1170"/>
      <c r="Y154" s="1170"/>
      <c r="Z154" s="1170"/>
      <c r="AA154" s="1170"/>
      <c r="AB154" s="1170"/>
      <c r="AC154" s="1170"/>
      <c r="AD154" s="1170"/>
      <c r="AE154" s="1170"/>
      <c r="AF154" s="1170"/>
      <c r="AG154" s="1170"/>
      <c r="AH154" s="1170"/>
      <c r="AI154" s="1170"/>
      <c r="AJ154" s="1170"/>
      <c r="AK154" s="1197" t="s">
        <v>228</v>
      </c>
      <c r="AL154" s="1170"/>
      <c r="AM154" s="1196">
        <f ca="1">IF(OR(HydroRefineryConfig=1,HydroRefineryConfig=2,HydroRefineryConfig=3),IF(E24=TRUE,AM137/AE170,AM137/(AE170-AN292)),AM137/AE170)</f>
        <v>1</v>
      </c>
      <c r="AN154" s="1170"/>
      <c r="AO154" s="1170"/>
      <c r="AP154" s="1170"/>
      <c r="AQ154" s="1170"/>
      <c r="AR154" s="1170"/>
      <c r="AS154" s="1186" t="str">
        <f>HydroRefineryCalcs!C605</f>
        <v>Vol Flow</v>
      </c>
      <c r="AT154" s="1170" t="str">
        <f ca="1">HydroRefineryCalcs!D605</f>
        <v>bpd</v>
      </c>
      <c r="AU154" s="1170">
        <f ca="1">HydroRefineryCalcs!G588</f>
        <v>9.9999999999900004E-15</v>
      </c>
      <c r="AV154" s="1170"/>
      <c r="AW154" s="1170"/>
      <c r="AX154" s="1170" t="s">
        <v>263</v>
      </c>
      <c r="AY154" s="1170"/>
      <c r="AZ154" s="1170">
        <f ca="1">AM148*$AZ$159</f>
        <v>0</v>
      </c>
      <c r="BA154" s="1170"/>
      <c r="BB154" s="1170"/>
      <c r="BC154" s="1170"/>
      <c r="BD154" s="1170"/>
      <c r="BE154" s="1170"/>
      <c r="BF154" s="1170"/>
      <c r="BG154" s="1170"/>
      <c r="BH154" s="1170"/>
      <c r="BI154" s="1170"/>
      <c r="BJ154" s="1170"/>
      <c r="BK154" s="1170"/>
      <c r="BL154" s="1170"/>
      <c r="BM154" s="1170"/>
      <c r="BN154" s="1170"/>
      <c r="BO154" s="1186" t="str">
        <f>HydroRefineryCalcs!C914</f>
        <v>Hydrogen</v>
      </c>
      <c r="BP154" s="1170" t="str">
        <f ca="1">HydroRefineryCalcs!D914</f>
        <v>wt%</v>
      </c>
      <c r="BQ154" s="1170">
        <f ca="1">HydroRefineryCalcs!F972</f>
        <v>11.160000000000947</v>
      </c>
      <c r="BR154" s="1170"/>
      <c r="BS154" s="1170"/>
      <c r="BT154" s="1170"/>
      <c r="BU154" s="1170"/>
      <c r="BV154" s="1170"/>
      <c r="BW154" s="1170"/>
      <c r="BX154" s="1170"/>
      <c r="BY154" s="1170"/>
      <c r="BZ154" s="1170"/>
      <c r="CA154" s="1170"/>
      <c r="CB154" s="1170"/>
      <c r="CC154" s="1170"/>
      <c r="CD154" s="1200" t="s">
        <v>1056</v>
      </c>
      <c r="CE154" s="1199" t="s">
        <v>447</v>
      </c>
      <c r="CF154" s="1199">
        <f ca="1">('Energy &amp; Unit Conversions'!$D$63-('Energy &amp; Unit Conversions'!$E$63*POWER((CF151/'Energy &amp; Unit Conversions'!$E$54),2)))</f>
        <v>41.226025683295752</v>
      </c>
      <c r="CG154" s="1170"/>
      <c r="CH154" s="1170"/>
      <c r="CI154" s="1170"/>
      <c r="CJ154" s="1170"/>
      <c r="CK154" s="1170"/>
      <c r="CL154" s="1170"/>
      <c r="CM154" s="1170"/>
      <c r="CN154" s="1170"/>
      <c r="CO154" s="1170"/>
      <c r="CP154" s="1160"/>
      <c r="CQ154" s="1160"/>
      <c r="CR154" s="1160"/>
      <c r="CS154" s="1160"/>
      <c r="CT154" s="1160"/>
      <c r="CU154" s="1160"/>
      <c r="CV154" s="1160"/>
      <c r="CW154" s="1160"/>
      <c r="CX154" s="1160"/>
      <c r="CY154" s="1160"/>
      <c r="CZ154" s="1171"/>
      <c r="DA154" s="1160"/>
      <c r="DB154" s="1186" t="str">
        <f t="shared" si="2"/>
        <v>Mass Flow</v>
      </c>
      <c r="DC154" s="1170" t="str">
        <f t="shared" si="2"/>
        <v>kg/d</v>
      </c>
      <c r="DD154" s="1170">
        <f t="shared" ca="1" si="3"/>
        <v>1609417.4951277762</v>
      </c>
      <c r="DE154" s="1170"/>
      <c r="DF154" s="1160" t="s">
        <v>224</v>
      </c>
      <c r="DG154" s="1160"/>
      <c r="DH154" s="1187">
        <f ca="1">IF(HydroRefineryConfig=0,AE95,CI148)</f>
        <v>0</v>
      </c>
      <c r="DI154" s="1160"/>
      <c r="DJ154" s="1160"/>
      <c r="DK154" s="1160"/>
      <c r="DL154" s="1191" t="s">
        <v>1066</v>
      </c>
      <c r="DM154" s="1245">
        <f ca="1">IF('HydroRefineryPFD '!E27=TRUE,DM155,0)</f>
        <v>0</v>
      </c>
      <c r="DN154" s="1160"/>
      <c r="DO154" s="1160"/>
      <c r="DP154" s="1160"/>
      <c r="DQ154" s="1160"/>
      <c r="DR154" s="1160"/>
      <c r="DS154" s="1160"/>
      <c r="DT154" s="1160"/>
      <c r="DU154" s="1160"/>
      <c r="DV154" s="1160"/>
      <c r="DW154" s="1160"/>
      <c r="DX154" s="1160"/>
      <c r="DY154" s="1160"/>
      <c r="DZ154" s="1160"/>
      <c r="EA154" s="1160" t="s">
        <v>224</v>
      </c>
      <c r="EB154" s="1160"/>
      <c r="EC154" s="1187">
        <f ca="1">(DO44+DM84+DM95+DM106+DM117+DM129+DM140+DM151+DM162+DM61+DM73)*$EC$158</f>
        <v>0</v>
      </c>
    </row>
    <row r="155" spans="1:133" x14ac:dyDescent="0.2">
      <c r="A155" s="1160"/>
      <c r="B155" s="1160"/>
      <c r="C155" s="1229"/>
      <c r="D155" s="1160"/>
      <c r="E155" s="1296"/>
      <c r="F155" s="1296"/>
      <c r="G155" s="1296"/>
      <c r="H155" s="1296"/>
      <c r="I155" s="1296"/>
      <c r="J155" s="1296"/>
      <c r="K155" s="1296"/>
      <c r="L155" s="1296"/>
      <c r="M155" s="1296"/>
      <c r="N155" s="1296"/>
      <c r="O155" s="1296"/>
      <c r="P155" s="1298"/>
      <c r="Q155" s="1170"/>
      <c r="R155" s="1170"/>
      <c r="S155" s="1170"/>
      <c r="T155" s="1170"/>
      <c r="U155" s="1170"/>
      <c r="V155" s="1170"/>
      <c r="W155" s="1170"/>
      <c r="X155" s="1170"/>
      <c r="Y155" s="1170"/>
      <c r="Z155" s="1170"/>
      <c r="AA155" s="1170"/>
      <c r="AB155" s="1170"/>
      <c r="AC155" s="1170"/>
      <c r="AD155" s="1170"/>
      <c r="AE155" s="1170"/>
      <c r="AF155" s="1170"/>
      <c r="AG155" s="1170"/>
      <c r="AH155" s="1170"/>
      <c r="AI155" s="1170"/>
      <c r="AJ155" s="1170"/>
      <c r="AK155" s="1170"/>
      <c r="AL155" s="1170"/>
      <c r="AM155" s="1170"/>
      <c r="AN155" s="1170"/>
      <c r="AO155" s="1170"/>
      <c r="AP155" s="1170"/>
      <c r="AQ155" s="1170"/>
      <c r="AR155" s="1170"/>
      <c r="AS155" s="1186" t="str">
        <f>HydroRefineryCalcs!C606</f>
        <v>Vol Flow</v>
      </c>
      <c r="AT155" s="1170" t="str">
        <f ca="1">HydroRefineryCalcs!D606</f>
        <v>m^3/d</v>
      </c>
      <c r="AU155" s="1170">
        <f ca="1">HydroRefineryCalcs!G589</f>
        <v>1.5898729999984102E-15</v>
      </c>
      <c r="AV155" s="1170"/>
      <c r="AW155" s="1170"/>
      <c r="AX155" s="1170" t="s">
        <v>392</v>
      </c>
      <c r="AY155" s="1170"/>
      <c r="AZ155" s="1170">
        <f ca="1">AM149*$AZ$159</f>
        <v>0</v>
      </c>
      <c r="BA155" s="1170"/>
      <c r="BB155" s="1170"/>
      <c r="BC155" s="1170"/>
      <c r="BD155" s="1170"/>
      <c r="BE155" s="1170"/>
      <c r="BF155" s="1170"/>
      <c r="BG155" s="1170"/>
      <c r="BH155" s="1170"/>
      <c r="BI155" s="1170"/>
      <c r="BJ155" s="1170"/>
      <c r="BK155" s="1170"/>
      <c r="BL155" s="1170"/>
      <c r="BM155" s="1170"/>
      <c r="BN155" s="1170"/>
      <c r="BO155" s="1186" t="str">
        <f>HydroRefineryCalcs!C915</f>
        <v>MCR</v>
      </c>
      <c r="BP155" s="1170" t="str">
        <f ca="1">HydroRefineryCalcs!D915</f>
        <v>wt%</v>
      </c>
      <c r="BQ155" s="1170">
        <f>HydroRefineryCalcs!F973</f>
        <v>0</v>
      </c>
      <c r="BR155" s="1170"/>
      <c r="BS155" s="1170"/>
      <c r="BT155" s="1170"/>
      <c r="BU155" s="1170"/>
      <c r="BV155" s="1170"/>
      <c r="BW155" s="1170"/>
      <c r="BX155" s="1170"/>
      <c r="BY155" s="1170"/>
      <c r="BZ155" s="1170"/>
      <c r="CA155" s="1170"/>
      <c r="CB155" s="1170"/>
      <c r="CC155" s="1170"/>
      <c r="CD155" s="1200" t="s">
        <v>1021</v>
      </c>
      <c r="CE155" s="1199" t="s">
        <v>1022</v>
      </c>
      <c r="CF155" s="1290">
        <f>DD161</f>
        <v>85.352020263671875</v>
      </c>
      <c r="CG155" s="1170"/>
      <c r="CH155" s="1170"/>
      <c r="CI155" s="1170"/>
      <c r="CJ155" s="1170"/>
      <c r="CK155" s="1170"/>
      <c r="CL155" s="1170"/>
      <c r="CM155" s="1170"/>
      <c r="CN155" s="1170"/>
      <c r="CO155" s="1170"/>
      <c r="CP155" s="1160"/>
      <c r="CQ155" s="1160"/>
      <c r="CR155" s="1160"/>
      <c r="CS155" s="1160"/>
      <c r="CT155" s="1160"/>
      <c r="CU155" s="1160"/>
      <c r="CV155" s="1160"/>
      <c r="CW155" s="1160"/>
      <c r="CX155" s="1160"/>
      <c r="CY155" s="1160"/>
      <c r="CZ155" s="1171"/>
      <c r="DA155" s="1160"/>
      <c r="DB155" s="1186" t="str">
        <f t="shared" si="2"/>
        <v>S</v>
      </c>
      <c r="DC155" s="1170" t="str">
        <f t="shared" si="2"/>
        <v>wt%</v>
      </c>
      <c r="DD155" s="1170">
        <f t="shared" ca="1" si="3"/>
        <v>0.21055860465847406</v>
      </c>
      <c r="DE155" s="1170"/>
      <c r="DF155" s="1160" t="s">
        <v>485</v>
      </c>
      <c r="DG155" s="1160"/>
      <c r="DH155" s="1187">
        <f ca="1">IF(HydroRefineryConfig=0,AE96,CI149)</f>
        <v>0</v>
      </c>
      <c r="DI155" s="1160"/>
      <c r="DJ155" s="1160"/>
      <c r="DK155" s="1160"/>
      <c r="DL155" s="1191" t="s">
        <v>1065</v>
      </c>
      <c r="DM155" s="1245">
        <f ca="1">BY196/(BY227+BY196)</f>
        <v>0</v>
      </c>
      <c r="DN155" s="1160"/>
      <c r="DO155" s="1160"/>
      <c r="DP155" s="1160"/>
      <c r="DQ155" s="1160"/>
      <c r="DR155" s="1160"/>
      <c r="DS155" s="1160"/>
      <c r="DT155" s="1160"/>
      <c r="DU155" s="1160"/>
      <c r="DV155" s="1160"/>
      <c r="DW155" s="1160"/>
      <c r="DX155" s="1160"/>
      <c r="DY155" s="1160"/>
      <c r="DZ155" s="1160"/>
      <c r="EA155" s="1160" t="s">
        <v>485</v>
      </c>
      <c r="EB155" s="1160"/>
      <c r="EC155" s="1187">
        <f ca="1">(DO45+DM85+DM96+DM107+DM118+DM130+DM141+DM152+DM163+DM62+DM74)*$EC$158</f>
        <v>0</v>
      </c>
    </row>
    <row r="156" spans="1:133" x14ac:dyDescent="0.2">
      <c r="A156" s="1160"/>
      <c r="B156" s="1160"/>
      <c r="C156" s="1160"/>
      <c r="D156" s="1299"/>
      <c r="E156" s="1170"/>
      <c r="F156" s="1170"/>
      <c r="G156" s="1170"/>
      <c r="H156" s="1170"/>
      <c r="I156" s="1170"/>
      <c r="J156" s="1170"/>
      <c r="K156" s="1170"/>
      <c r="L156" s="1170"/>
      <c r="M156" s="1170"/>
      <c r="N156" s="1170"/>
      <c r="O156" s="1170"/>
      <c r="P156" s="1170"/>
      <c r="Q156" s="1170"/>
      <c r="R156" s="1170"/>
      <c r="S156" s="1170"/>
      <c r="T156" s="1170"/>
      <c r="U156" s="1170"/>
      <c r="V156" s="1170"/>
      <c r="W156" s="1170"/>
      <c r="X156" s="1170"/>
      <c r="Y156" s="1170"/>
      <c r="Z156" s="1170"/>
      <c r="AA156" s="1170"/>
      <c r="AB156" s="1170"/>
      <c r="AC156" s="1170"/>
      <c r="AD156" s="1170"/>
      <c r="AE156" s="1170"/>
      <c r="AF156" s="1170"/>
      <c r="AG156" s="1170"/>
      <c r="AH156" s="1170"/>
      <c r="AI156" s="1170"/>
      <c r="AJ156" s="1170"/>
      <c r="AK156" s="1170"/>
      <c r="AL156" s="1170"/>
      <c r="AM156" s="1170"/>
      <c r="AN156" s="1170"/>
      <c r="AO156" s="1170"/>
      <c r="AP156" s="1170"/>
      <c r="AQ156" s="1170"/>
      <c r="AR156" s="1170"/>
      <c r="AS156" s="1186" t="str">
        <f>HydroRefineryCalcs!C607</f>
        <v>Mass Flow</v>
      </c>
      <c r="AT156" s="1170" t="str">
        <f>HydroRefineryCalcs!D607</f>
        <v>kg/d</v>
      </c>
      <c r="AU156" s="1170">
        <f ca="1">HydroRefineryCalcs!G590</f>
        <v>9.9999999999900004E-15</v>
      </c>
      <c r="AV156" s="1170"/>
      <c r="AW156" s="1170"/>
      <c r="AX156" s="1170" t="s">
        <v>224</v>
      </c>
      <c r="AY156" s="1170"/>
      <c r="AZ156" s="1170">
        <f ca="1">AM150*$AZ$159</f>
        <v>0</v>
      </c>
      <c r="BA156" s="1170"/>
      <c r="BB156" s="1170"/>
      <c r="BC156" s="1170"/>
      <c r="BD156" s="1170"/>
      <c r="BE156" s="1170"/>
      <c r="BF156" s="1170"/>
      <c r="BG156" s="1170"/>
      <c r="BH156" s="1170"/>
      <c r="BI156" s="1170"/>
      <c r="BJ156" s="1170"/>
      <c r="BK156" s="1170"/>
      <c r="BL156" s="1170"/>
      <c r="BM156" s="1170"/>
      <c r="BN156" s="1170"/>
      <c r="BO156" s="1186" t="s">
        <v>1698</v>
      </c>
      <c r="BP156" s="1199" t="s">
        <v>447</v>
      </c>
      <c r="BQ156" s="1199">
        <f ca="1">('Energy &amp; Unit Conversions'!$D$63-('Energy &amp; Unit Conversions'!$E$63*POWER((BQ153/'Energy &amp; Unit Conversions'!$E$54),2)))</f>
        <v>39.409784992375862</v>
      </c>
      <c r="BR156" s="1170"/>
      <c r="BS156" s="1170"/>
      <c r="BT156" s="1170"/>
      <c r="BU156" s="1170"/>
      <c r="BV156" s="1170"/>
      <c r="BW156" s="1170"/>
      <c r="BX156" s="1170"/>
      <c r="BY156" s="1170"/>
      <c r="BZ156" s="1170"/>
      <c r="CA156" s="1170"/>
      <c r="CB156" s="1170"/>
      <c r="CC156" s="1170"/>
      <c r="CD156" s="1204" t="s">
        <v>1054</v>
      </c>
      <c r="CE156" s="1204" t="str">
        <f>IF(allocationMethod=1,CokingRefineryPFD!$C$21,IF(allocationMethod=2,CokingRefineryPFD!$C$22,IF(allocationMethod=3,CokingRefineryPFD!$C$23,CokingRefineryPFD!$C$24)))</f>
        <v>Hydrogen Content Basis</v>
      </c>
      <c r="CF156" s="1250">
        <f ca="1">IF(allocationMethod=1,CF148,IF(allocationMethod=2,CF154*CF148,IF(allocationMethod=3,CF155*CF146,CF152*CF148/100)))</f>
        <v>1.6936668982761268E-19</v>
      </c>
      <c r="CG156" s="1170"/>
      <c r="CH156" s="1170"/>
      <c r="CI156" s="1170"/>
      <c r="CJ156" s="1170"/>
      <c r="CK156" s="1170"/>
      <c r="CL156" s="1170"/>
      <c r="CM156" s="1170"/>
      <c r="CN156" s="1170"/>
      <c r="CO156" s="1170"/>
      <c r="CP156" s="1160"/>
      <c r="CQ156" s="1160"/>
      <c r="CR156" s="1160"/>
      <c r="CS156" s="1160"/>
      <c r="CT156" s="1160"/>
      <c r="CU156" s="1160"/>
      <c r="CV156" s="1160"/>
      <c r="CW156" s="1160"/>
      <c r="CX156" s="1160"/>
      <c r="CY156" s="1160"/>
      <c r="CZ156" s="1171"/>
      <c r="DA156" s="1160"/>
      <c r="DB156" s="1186" t="str">
        <f>CD150</f>
        <v>API</v>
      </c>
      <c r="DC156" s="1170"/>
      <c r="DD156" s="1170">
        <f t="shared" ca="1" si="3"/>
        <v>24.811073777824959</v>
      </c>
      <c r="DE156" s="1170"/>
      <c r="DF156" s="1160" t="s">
        <v>541</v>
      </c>
      <c r="DG156" s="1160"/>
      <c r="DH156" s="1187">
        <f ca="1">IF(HydroRefineryConfig=0,AE97,CI150)</f>
        <v>0</v>
      </c>
      <c r="DI156" s="1160"/>
      <c r="DJ156" s="1160"/>
      <c r="DK156" s="1160"/>
      <c r="DL156" s="1253" t="s">
        <v>228</v>
      </c>
      <c r="DM156" s="1245">
        <f ca="1">BY189/(BT197+BX211)</f>
        <v>2E-3</v>
      </c>
      <c r="DN156" s="1160"/>
      <c r="DO156" s="1160"/>
      <c r="DP156" s="1160"/>
      <c r="DQ156" s="1160"/>
      <c r="DR156" s="1160"/>
      <c r="DS156" s="1160"/>
      <c r="DT156" s="1160"/>
      <c r="DU156" s="1160"/>
      <c r="DV156" s="1160"/>
      <c r="DW156" s="1160"/>
      <c r="DX156" s="1160"/>
      <c r="DY156" s="1160"/>
      <c r="DZ156" s="1160"/>
      <c r="EA156" s="1160" t="s">
        <v>541</v>
      </c>
      <c r="EB156" s="1160"/>
      <c r="EC156" s="1187">
        <f ca="1">(DO46+DM86+DM97+DM108+DM119+DM131+DM142+DM153+DM164+DM63+DM75)*$EC$158</f>
        <v>0</v>
      </c>
    </row>
    <row r="157" spans="1:133" x14ac:dyDescent="0.2">
      <c r="A157" s="1160"/>
      <c r="B157" s="1160"/>
      <c r="C157" s="1160"/>
      <c r="D157" s="1160"/>
      <c r="E157" s="1170"/>
      <c r="F157" s="1170"/>
      <c r="G157" s="1170"/>
      <c r="H157" s="1170"/>
      <c r="I157" s="1170"/>
      <c r="J157" s="1170"/>
      <c r="K157" s="1170"/>
      <c r="L157" s="1170"/>
      <c r="M157" s="1170"/>
      <c r="N157" s="1170"/>
      <c r="O157" s="1170"/>
      <c r="P157" s="1170"/>
      <c r="Q157" s="1170"/>
      <c r="R157" s="1170"/>
      <c r="S157" s="1170"/>
      <c r="T157" s="1170"/>
      <c r="U157" s="1170"/>
      <c r="V157" s="1170"/>
      <c r="W157" s="1170"/>
      <c r="X157" s="1170"/>
      <c r="Y157" s="1170"/>
      <c r="Z157" s="1170"/>
      <c r="AA157" s="1170"/>
      <c r="AB157" s="1170"/>
      <c r="AC157" s="1170"/>
      <c r="AD157" s="1170"/>
      <c r="AE157" s="1170"/>
      <c r="AF157" s="1170"/>
      <c r="AG157" s="1170"/>
      <c r="AH157" s="1170"/>
      <c r="AI157" s="1170"/>
      <c r="AJ157" s="1170"/>
      <c r="AK157" s="1170"/>
      <c r="AL157" s="1170"/>
      <c r="AM157" s="1170"/>
      <c r="AN157" s="1170"/>
      <c r="AO157" s="1170"/>
      <c r="AP157" s="1170"/>
      <c r="AQ157" s="1170"/>
      <c r="AR157" s="1170"/>
      <c r="AS157" s="1186" t="str">
        <f>HydroRefineryCalcs!C608</f>
        <v xml:space="preserve">Sulphur </v>
      </c>
      <c r="AT157" s="1170" t="str">
        <f ca="1">HydroRefineryCalcs!D608</f>
        <v>wt%</v>
      </c>
      <c r="AU157" s="1170">
        <f ca="1">HydroRefineryCalcs!G591</f>
        <v>0</v>
      </c>
      <c r="AV157" s="1170"/>
      <c r="AW157" s="1170"/>
      <c r="AX157" s="1170" t="s">
        <v>485</v>
      </c>
      <c r="AY157" s="1170"/>
      <c r="AZ157" s="1170">
        <f ca="1">AM151*$AZ$159</f>
        <v>0</v>
      </c>
      <c r="BA157" s="1170"/>
      <c r="BB157" s="1170"/>
      <c r="BC157" s="1170"/>
      <c r="BD157" s="1170"/>
      <c r="BE157" s="1170"/>
      <c r="BF157" s="1170"/>
      <c r="BG157" s="1170"/>
      <c r="BH157" s="1170"/>
      <c r="BI157" s="1170"/>
      <c r="BJ157" s="1170"/>
      <c r="BK157" s="1170"/>
      <c r="BL157" s="1170"/>
      <c r="BM157" s="1170"/>
      <c r="BN157" s="1170"/>
      <c r="BO157" s="1200" t="s">
        <v>1021</v>
      </c>
      <c r="BP157" s="1199" t="s">
        <v>1022</v>
      </c>
      <c r="BQ157" s="1290">
        <f>BL281</f>
        <v>85.085002899169922</v>
      </c>
      <c r="BR157" s="1170"/>
      <c r="BS157" s="1170"/>
      <c r="BT157" s="1170"/>
      <c r="BU157" s="1170"/>
      <c r="BV157" s="1170"/>
      <c r="BW157" s="1170"/>
      <c r="BX157" s="1170"/>
      <c r="BY157" s="1170"/>
      <c r="BZ157" s="1170"/>
      <c r="CA157" s="1170"/>
      <c r="CB157" s="1170"/>
      <c r="CC157" s="1170"/>
      <c r="CD157" s="1170"/>
      <c r="CE157" s="1170"/>
      <c r="CF157" s="1170"/>
      <c r="CG157" s="1170"/>
      <c r="CH157" s="1170"/>
      <c r="CI157" s="1170"/>
      <c r="CJ157" s="1170"/>
      <c r="CK157" s="1170"/>
      <c r="CL157" s="1170"/>
      <c r="CM157" s="1170"/>
      <c r="CN157" s="1170"/>
      <c r="CO157" s="1170"/>
      <c r="CP157" s="1160"/>
      <c r="CQ157" s="1160"/>
      <c r="CR157" s="1160"/>
      <c r="CS157" s="1160"/>
      <c r="CT157" s="1160"/>
      <c r="CU157" s="1160"/>
      <c r="CV157" s="1160"/>
      <c r="CW157" s="1160"/>
      <c r="CX157" s="1160"/>
      <c r="CY157" s="1160"/>
      <c r="CZ157" s="1171"/>
      <c r="DA157" s="1160"/>
      <c r="DB157" s="1186" t="str">
        <f>CD151</f>
        <v>Density</v>
      </c>
      <c r="DC157" s="1170" t="str">
        <f>CE151</f>
        <v>kg/m^3</v>
      </c>
      <c r="DD157" s="1170">
        <f t="shared" ca="1" si="3"/>
        <v>905.24616445999914</v>
      </c>
      <c r="DE157" s="1170"/>
      <c r="DF157" s="1160"/>
      <c r="DG157" s="1160"/>
      <c r="DH157" s="1187"/>
      <c r="DI157" s="1160"/>
      <c r="DJ157" s="1160"/>
      <c r="DK157" s="1160"/>
      <c r="DL157" s="1160"/>
      <c r="DM157" s="1160"/>
      <c r="DN157" s="1160"/>
      <c r="DO157" s="1160"/>
      <c r="DP157" s="1160"/>
      <c r="DQ157" s="1160"/>
      <c r="DR157" s="1160"/>
      <c r="DS157" s="1160"/>
      <c r="DT157" s="1160"/>
      <c r="DU157" s="1160"/>
      <c r="DV157" s="1160"/>
      <c r="DW157" s="1160"/>
      <c r="DX157" s="1160"/>
      <c r="DY157" s="1160"/>
      <c r="DZ157" s="1160"/>
      <c r="EA157" s="1160" t="s">
        <v>234</v>
      </c>
      <c r="EB157" s="1160"/>
      <c r="EC157" s="1187">
        <f ca="1">(DM120+DM165)*$EC$158</f>
        <v>0</v>
      </c>
    </row>
    <row r="158" spans="1:133" x14ac:dyDescent="0.2">
      <c r="A158" s="1160"/>
      <c r="B158" s="1160"/>
      <c r="C158" s="1160"/>
      <c r="D158" s="1160"/>
      <c r="E158" s="1170"/>
      <c r="F158" s="1170"/>
      <c r="G158" s="1170"/>
      <c r="H158" s="1170"/>
      <c r="I158" s="1170"/>
      <c r="J158" s="1170"/>
      <c r="K158" s="1170"/>
      <c r="L158" s="1170"/>
      <c r="M158" s="1170"/>
      <c r="N158" s="1170"/>
      <c r="O158" s="1170"/>
      <c r="P158" s="1170"/>
      <c r="Q158" s="1170"/>
      <c r="R158" s="1170"/>
      <c r="S158" s="1170"/>
      <c r="T158" s="1170"/>
      <c r="U158" s="1170"/>
      <c r="V158" s="1170"/>
      <c r="W158" s="1170"/>
      <c r="X158" s="1170"/>
      <c r="Y158" s="1170"/>
      <c r="Z158" s="1170"/>
      <c r="AA158" s="1170"/>
      <c r="AB158" s="1170"/>
      <c r="AC158" s="1170"/>
      <c r="AD158" s="1170"/>
      <c r="AE158" s="1170"/>
      <c r="AF158" s="1170"/>
      <c r="AG158" s="1170"/>
      <c r="AH158" s="1170"/>
      <c r="AI158" s="1170"/>
      <c r="AJ158" s="1170"/>
      <c r="AK158" s="1170"/>
      <c r="AL158" s="1170"/>
      <c r="AM158" s="1170"/>
      <c r="AN158" s="1170"/>
      <c r="AO158" s="1170"/>
      <c r="AP158" s="1170"/>
      <c r="AQ158" s="1170"/>
      <c r="AR158" s="1170"/>
      <c r="AS158" s="1186" t="str">
        <f>HydroRefineryCalcs!C610</f>
        <v xml:space="preserve">API gravity </v>
      </c>
      <c r="AT158" s="1170"/>
      <c r="AU158" s="1170">
        <f ca="1">HydroRefineryCalcs!G593</f>
        <v>0</v>
      </c>
      <c r="AV158" s="1170"/>
      <c r="AW158" s="1170"/>
      <c r="AX158" s="1170" t="s">
        <v>541</v>
      </c>
      <c r="AY158" s="1170"/>
      <c r="AZ158" s="1170">
        <f ca="1">AM152*$AZ$159</f>
        <v>0</v>
      </c>
      <c r="BA158" s="1170"/>
      <c r="BB158" s="1170"/>
      <c r="BC158" s="1170"/>
      <c r="BD158" s="1170"/>
      <c r="BE158" s="1170"/>
      <c r="BF158" s="1170"/>
      <c r="BG158" s="1170"/>
      <c r="BH158" s="1170"/>
      <c r="BI158" s="1170"/>
      <c r="BJ158" s="1170"/>
      <c r="BK158" s="1170"/>
      <c r="BL158" s="1170"/>
      <c r="BM158" s="1170"/>
      <c r="BN158" s="1170"/>
      <c r="BO158" s="1204" t="s">
        <v>1054</v>
      </c>
      <c r="BP158" s="1204" t="str">
        <f>IF(allocationMethod=1,CokingRefineryPFD!$C$21,IF(allocationMethod=2,CokingRefineryPFD!$C$22,IF(allocationMethod=3,CokingRefineryPFD!$C$23,CokingRefineryPFD!$C$24)))</f>
        <v>Hydrogen Content Basis</v>
      </c>
      <c r="BQ158" s="1250">
        <f ca="1">IF(allocationMethod=1,BQ150,IF(allocationMethod=2,BQ156*BQ150,IF(allocationMethod=3,BQ157*BQ148,BQ154*BQ150/100)))</f>
        <v>2.7930000000006641E-28</v>
      </c>
      <c r="BR158" s="1170"/>
      <c r="BS158" s="1170"/>
      <c r="BT158" s="1170"/>
      <c r="BU158" s="1170"/>
      <c r="BV158" s="1170"/>
      <c r="BW158" s="1170"/>
      <c r="BX158" s="1170"/>
      <c r="BY158" s="1170"/>
      <c r="BZ158" s="1170"/>
      <c r="CA158" s="1170"/>
      <c r="CB158" s="1170"/>
      <c r="CC158" s="1170"/>
      <c r="CD158" s="1170"/>
      <c r="CE158" s="1170"/>
      <c r="CF158" s="1170"/>
      <c r="CG158" s="1170"/>
      <c r="CH158" s="1170"/>
      <c r="CI158" s="1170"/>
      <c r="CJ158" s="1170"/>
      <c r="CK158" s="1170"/>
      <c r="CL158" s="1170"/>
      <c r="CM158" s="1170"/>
      <c r="CN158" s="1170"/>
      <c r="CO158" s="1170"/>
      <c r="CP158" s="1160"/>
      <c r="CQ158" s="1160"/>
      <c r="CR158" s="1160"/>
      <c r="CS158" s="1160"/>
      <c r="CT158" s="1160"/>
      <c r="CU158" s="1160"/>
      <c r="CV158" s="1160"/>
      <c r="CW158" s="1160"/>
      <c r="CX158" s="1160"/>
      <c r="CY158" s="1160"/>
      <c r="CZ158" s="1171"/>
      <c r="DA158" s="1160"/>
      <c r="DB158" s="1186" t="str">
        <f>CD152</f>
        <v>H</v>
      </c>
      <c r="DC158" s="1170" t="str">
        <f>CE152</f>
        <v>wt%</v>
      </c>
      <c r="DD158" s="1170">
        <f t="shared" ca="1" si="3"/>
        <v>12.331915988948833</v>
      </c>
      <c r="DE158" s="1170"/>
      <c r="DF158" s="1160"/>
      <c r="DG158" s="1160"/>
      <c r="DH158" s="1288"/>
      <c r="DI158" s="1160"/>
      <c r="DJ158" s="1160"/>
      <c r="DK158" s="1160"/>
      <c r="DL158" s="1191" t="str">
        <f>BR228:BR228</f>
        <v>FCC Fuel Gas</v>
      </c>
      <c r="DM158" s="1254">
        <f ca="1">HydroRefineryCalcs!F673</f>
        <v>8.3675264494798612E-16</v>
      </c>
      <c r="DN158" s="1160" t="s">
        <v>622</v>
      </c>
      <c r="DO158" s="1160"/>
      <c r="DP158" s="1160"/>
      <c r="DQ158" s="1160"/>
      <c r="DR158" s="1160"/>
      <c r="DS158" s="1160"/>
      <c r="DT158" s="1160"/>
      <c r="DU158" s="1160"/>
      <c r="DV158" s="1160"/>
      <c r="DW158" s="1160"/>
      <c r="DX158" s="1160"/>
      <c r="DY158" s="1160"/>
      <c r="DZ158" s="1160"/>
      <c r="EA158" s="2073" t="s">
        <v>1065</v>
      </c>
      <c r="EB158" s="1160"/>
      <c r="EC158" s="1160">
        <f ca="1">HydroRefineryCalcs!Q1499</f>
        <v>0</v>
      </c>
    </row>
    <row r="159" spans="1:133" x14ac:dyDescent="0.2">
      <c r="A159" s="1160"/>
      <c r="B159" s="1160"/>
      <c r="C159" s="1160"/>
      <c r="D159" s="1160"/>
      <c r="E159" s="1170"/>
      <c r="F159" s="1170"/>
      <c r="G159" s="1170"/>
      <c r="H159" s="1170"/>
      <c r="I159" s="1170"/>
      <c r="J159" s="1170"/>
      <c r="K159" s="1170"/>
      <c r="L159" s="1170"/>
      <c r="M159" s="1170"/>
      <c r="N159" s="1170"/>
      <c r="O159" s="1170"/>
      <c r="P159" s="1170"/>
      <c r="Q159" s="1170"/>
      <c r="R159" s="1170"/>
      <c r="S159" s="1170"/>
      <c r="T159" s="1170"/>
      <c r="U159" s="1170"/>
      <c r="V159" s="1170"/>
      <c r="W159" s="1170"/>
      <c r="X159" s="1170"/>
      <c r="Y159" s="1170"/>
      <c r="Z159" s="1170"/>
      <c r="AA159" s="1170"/>
      <c r="AB159" s="1170"/>
      <c r="AC159" s="1170"/>
      <c r="AD159" s="1170"/>
      <c r="AE159" s="1170"/>
      <c r="AF159" s="1170"/>
      <c r="AG159" s="1170"/>
      <c r="AH159" s="1170"/>
      <c r="AI159" s="1170"/>
      <c r="AJ159" s="1170"/>
      <c r="AK159" s="1170"/>
      <c r="AL159" s="1170"/>
      <c r="AM159" s="1170"/>
      <c r="AN159" s="1170"/>
      <c r="AO159" s="1170"/>
      <c r="AP159" s="1170"/>
      <c r="AQ159" s="1170"/>
      <c r="AR159" s="1170"/>
      <c r="AS159" s="1186" t="str">
        <f>HydroRefineryCalcs!C611</f>
        <v>Density</v>
      </c>
      <c r="AT159" s="1170" t="str">
        <f ca="1">HydroRefineryCalcs!D611</f>
        <v>kg/m^3</v>
      </c>
      <c r="AU159" s="1170">
        <f ca="1">HydroRefineryCalcs!G594</f>
        <v>0</v>
      </c>
      <c r="AV159" s="1170"/>
      <c r="AW159" s="1170"/>
      <c r="AX159" s="1180" t="s">
        <v>1065</v>
      </c>
      <c r="AY159" s="1170"/>
      <c r="AZ159" s="1170">
        <f ca="1">IF(AM145=0,0,AU164/AM145)</f>
        <v>0</v>
      </c>
      <c r="BA159" s="1170"/>
      <c r="BB159" s="1170"/>
      <c r="BC159" s="1170"/>
      <c r="BD159" s="1170"/>
      <c r="BE159" s="1170"/>
      <c r="BF159" s="1170"/>
      <c r="BG159" s="1170"/>
      <c r="BH159" s="1170"/>
      <c r="BI159" s="1170"/>
      <c r="BJ159" s="1170"/>
      <c r="BK159" s="1170"/>
      <c r="BL159" s="1170"/>
      <c r="BM159" s="1170"/>
      <c r="BN159" s="1170"/>
      <c r="BO159" s="1170"/>
      <c r="BP159" s="1170"/>
      <c r="BQ159" s="1170"/>
      <c r="BR159" s="1170"/>
      <c r="BS159" s="1170"/>
      <c r="BT159" s="1170"/>
      <c r="BU159" s="1170"/>
      <c r="BV159" s="1170"/>
      <c r="BW159" s="1170"/>
      <c r="BX159" s="1170"/>
      <c r="BY159" s="1170"/>
      <c r="BZ159" s="1170"/>
      <c r="CA159" s="1170"/>
      <c r="CB159" s="1170"/>
      <c r="CC159" s="1170"/>
      <c r="CD159" s="1170"/>
      <c r="CE159" s="1170"/>
      <c r="CF159" s="1170"/>
      <c r="CG159" s="1170"/>
      <c r="CH159" s="1170"/>
      <c r="CI159" s="1170"/>
      <c r="CJ159" s="1170"/>
      <c r="CK159" s="1170"/>
      <c r="CL159" s="1170"/>
      <c r="CM159" s="1170"/>
      <c r="CN159" s="1170"/>
      <c r="CO159" s="1170"/>
      <c r="CP159" s="1160"/>
      <c r="CQ159" s="1160"/>
      <c r="CR159" s="1160"/>
      <c r="CS159" s="1160"/>
      <c r="CT159" s="1160"/>
      <c r="CU159" s="1160"/>
      <c r="CV159" s="1160"/>
      <c r="CW159" s="1160"/>
      <c r="CX159" s="1160"/>
      <c r="CY159" s="1160"/>
      <c r="CZ159" s="1171"/>
      <c r="DA159" s="1160"/>
      <c r="DB159" s="1186" t="str">
        <f>CD153</f>
        <v>MCR</v>
      </c>
      <c r="DC159" s="1170" t="str">
        <f>CE153</f>
        <v>wt%</v>
      </c>
      <c r="DD159" s="1170">
        <f t="shared" ref="DD159" ca="1" si="4">IF(HydroRefineryConfig=0,AA100,CF153)</f>
        <v>0</v>
      </c>
      <c r="DE159" s="1170"/>
      <c r="DF159" s="1160"/>
      <c r="DG159" s="1160"/>
      <c r="DH159" s="1160"/>
      <c r="DI159" s="1160"/>
      <c r="DJ159" s="1160"/>
      <c r="DK159" s="1160"/>
      <c r="DL159" s="1193" t="s">
        <v>226</v>
      </c>
      <c r="DM159" s="1243" t="s">
        <v>522</v>
      </c>
      <c r="DN159" s="1160"/>
      <c r="DO159" s="1160"/>
      <c r="DP159" s="1160"/>
      <c r="DQ159" s="1160"/>
      <c r="DR159" s="1160"/>
      <c r="DS159" s="1160"/>
      <c r="DT159" s="1160"/>
      <c r="DU159" s="1160"/>
      <c r="DV159" s="1160"/>
      <c r="DW159" s="1160"/>
      <c r="DX159" s="1160"/>
      <c r="DY159" s="1160"/>
      <c r="DZ159" s="1160"/>
      <c r="EA159" s="1160"/>
      <c r="EB159" s="1160"/>
      <c r="EC159" s="1160"/>
    </row>
    <row r="160" spans="1:133" x14ac:dyDescent="0.2">
      <c r="A160" s="1160"/>
      <c r="B160" s="1160"/>
      <c r="C160" s="1300"/>
      <c r="D160" s="1160"/>
      <c r="E160" s="1170"/>
      <c r="F160" s="1170"/>
      <c r="G160" s="1170"/>
      <c r="H160" s="1170"/>
      <c r="I160" s="1170"/>
      <c r="J160" s="1170"/>
      <c r="K160" s="1170"/>
      <c r="L160" s="1170"/>
      <c r="M160" s="1170"/>
      <c r="N160" s="1170"/>
      <c r="O160" s="1170"/>
      <c r="P160" s="1170"/>
      <c r="Q160" s="1170"/>
      <c r="R160" s="1170"/>
      <c r="S160" s="1170"/>
      <c r="T160" s="1170"/>
      <c r="U160" s="1170"/>
      <c r="V160" s="1170"/>
      <c r="W160" s="1170"/>
      <c r="X160" s="1170"/>
      <c r="Y160" s="1170"/>
      <c r="Z160" s="1170"/>
      <c r="AA160" s="1170"/>
      <c r="AB160" s="1170"/>
      <c r="AC160" s="1170"/>
      <c r="AD160" s="1170"/>
      <c r="AE160" s="1170"/>
      <c r="AF160" s="1170"/>
      <c r="AG160" s="1170"/>
      <c r="AH160" s="1170"/>
      <c r="AI160" s="1170"/>
      <c r="AJ160" s="1170"/>
      <c r="AK160" s="1170"/>
      <c r="AL160" s="1170"/>
      <c r="AM160" s="1170"/>
      <c r="AN160" s="1170"/>
      <c r="AO160" s="1170"/>
      <c r="AP160" s="1170"/>
      <c r="AQ160" s="1170"/>
      <c r="AR160" s="1170"/>
      <c r="AS160" s="1186" t="str">
        <f>HydroRefineryCalcs!C612</f>
        <v>Hydrogen</v>
      </c>
      <c r="AT160" s="1170" t="str">
        <f ca="1">HydroRefineryCalcs!D612</f>
        <v>wt%</v>
      </c>
      <c r="AU160" s="1170">
        <f ca="1">HydroRefineryCalcs!G595</f>
        <v>0</v>
      </c>
      <c r="AV160" s="1170"/>
      <c r="AW160" s="1170"/>
      <c r="AX160" s="1170"/>
      <c r="AY160" s="1170"/>
      <c r="AZ160" s="1170"/>
      <c r="BA160" s="1170"/>
      <c r="BB160" s="1170"/>
      <c r="BC160" s="1170"/>
      <c r="BD160" s="1170"/>
      <c r="BE160" s="1170"/>
      <c r="BF160" s="1170"/>
      <c r="BG160" s="1170"/>
      <c r="BH160" s="1170"/>
      <c r="BI160" s="1170"/>
      <c r="BJ160" s="1170"/>
      <c r="BK160" s="1170"/>
      <c r="BL160" s="1170"/>
      <c r="BM160" s="1170"/>
      <c r="BN160" s="1170"/>
      <c r="BO160" s="1181" t="str">
        <f>HydroRefineryCalcs!G978</f>
        <v>HC NHT Fuel Gas</v>
      </c>
      <c r="BP160" s="1170"/>
      <c r="BQ160" s="1170"/>
      <c r="BR160" s="1170"/>
      <c r="BS160" s="1170"/>
      <c r="BT160" s="1170"/>
      <c r="BU160" s="1170"/>
      <c r="BV160" s="1170"/>
      <c r="BW160" s="1170"/>
      <c r="BX160" s="1170"/>
      <c r="BY160" s="1170"/>
      <c r="BZ160" s="1170"/>
      <c r="CA160" s="1170"/>
      <c r="CB160" s="1170"/>
      <c r="CC160" s="1170"/>
      <c r="CD160" s="1170"/>
      <c r="CE160" s="1170"/>
      <c r="CF160" s="1170"/>
      <c r="CG160" s="1170"/>
      <c r="CH160" s="1170"/>
      <c r="CI160" s="1170"/>
      <c r="CJ160" s="1170"/>
      <c r="CK160" s="1170"/>
      <c r="CL160" s="1170"/>
      <c r="CM160" s="1170"/>
      <c r="CN160" s="1170"/>
      <c r="CO160" s="1170"/>
      <c r="CP160" s="1160"/>
      <c r="CQ160" s="1160"/>
      <c r="CR160" s="1160"/>
      <c r="CS160" s="1160"/>
      <c r="CT160" s="1160"/>
      <c r="CU160" s="1160"/>
      <c r="CV160" s="1160"/>
      <c r="CW160" s="1160"/>
      <c r="CX160" s="1160"/>
      <c r="CY160" s="1160"/>
      <c r="CZ160" s="1171"/>
      <c r="DA160" s="1160"/>
      <c r="DB160" s="1183" t="s">
        <v>1700</v>
      </c>
      <c r="DC160" s="1184" t="s">
        <v>447</v>
      </c>
      <c r="DD160" s="1170">
        <f ca="1">('Energy &amp; Unit Conversions'!$D$63-('Energy &amp; Unit Conversions'!$E$63*POWER(('HydroRefineryPFD '!DD157/'Energy &amp; Unit Conversions'!$E$54),2)))</f>
        <v>40.189871247727446</v>
      </c>
      <c r="DE160" s="1170"/>
      <c r="DF160" s="1160"/>
      <c r="DG160" s="1160"/>
      <c r="DH160" s="1160"/>
      <c r="DI160" s="1160"/>
      <c r="DJ160" s="1160"/>
      <c r="DK160" s="1160"/>
      <c r="DL160" s="1160" t="s">
        <v>263</v>
      </c>
      <c r="DM160" s="1254">
        <f ca="1">CC217*$DM$166</f>
        <v>0</v>
      </c>
      <c r="DN160" s="1160"/>
      <c r="DO160" s="1160"/>
      <c r="DP160" s="1160"/>
      <c r="DQ160" s="1160"/>
      <c r="DR160" s="1160"/>
      <c r="DS160" s="1160"/>
      <c r="DT160" s="1160"/>
      <c r="DU160" s="1160"/>
      <c r="DV160" s="1160"/>
      <c r="DW160" s="1160"/>
      <c r="DX160" s="1160"/>
      <c r="DY160" s="1160"/>
      <c r="DZ160" s="1160"/>
      <c r="EA160" s="1160"/>
      <c r="EB160" s="1160"/>
      <c r="EC160" s="1160"/>
    </row>
    <row r="161" spans="1:133" x14ac:dyDescent="0.2">
      <c r="A161" s="1160"/>
      <c r="B161" s="1160"/>
      <c r="C161" s="1300"/>
      <c r="D161" s="1160"/>
      <c r="E161" s="1170"/>
      <c r="F161" s="1170"/>
      <c r="G161" s="1170"/>
      <c r="H161" s="1170"/>
      <c r="I161" s="1170"/>
      <c r="J161" s="1170"/>
      <c r="K161" s="1170"/>
      <c r="L161" s="1170"/>
      <c r="M161" s="1170"/>
      <c r="N161" s="1170"/>
      <c r="O161" s="1170"/>
      <c r="P161" s="1170"/>
      <c r="Q161" s="1170"/>
      <c r="R161" s="1170"/>
      <c r="S161" s="1170"/>
      <c r="T161" s="1170"/>
      <c r="U161" s="1170"/>
      <c r="V161" s="1170"/>
      <c r="W161" s="1170"/>
      <c r="X161" s="1170"/>
      <c r="Y161" s="1170"/>
      <c r="Z161" s="1170"/>
      <c r="AA161" s="1170"/>
      <c r="AB161" s="1170"/>
      <c r="AC161" s="1170"/>
      <c r="AD161" s="1170"/>
      <c r="AE161" s="1170"/>
      <c r="AF161" s="1170"/>
      <c r="AG161" s="1170"/>
      <c r="AH161" s="1170"/>
      <c r="AI161" s="1170"/>
      <c r="AJ161" s="1170"/>
      <c r="AK161" s="1170"/>
      <c r="AL161" s="1170"/>
      <c r="AM161" s="1170"/>
      <c r="AN161" s="1170"/>
      <c r="AO161" s="1170"/>
      <c r="AP161" s="1170"/>
      <c r="AQ161" s="1170"/>
      <c r="AR161" s="1170"/>
      <c r="AS161" s="1186" t="str">
        <f>HydroRefineryCalcs!C613</f>
        <v>MCR</v>
      </c>
      <c r="AT161" s="1170" t="str">
        <f ca="1">HydroRefineryCalcs!D613</f>
        <v>wt%</v>
      </c>
      <c r="AU161" s="1170" t="str">
        <f ca="1">HydroRefineryCalcs!G596</f>
        <v/>
      </c>
      <c r="AV161" s="1170"/>
      <c r="AW161" s="1170"/>
      <c r="AX161" s="1170"/>
      <c r="AY161" s="1170"/>
      <c r="AZ161" s="1170"/>
      <c r="BA161" s="1170"/>
      <c r="BB161" s="1170"/>
      <c r="BC161" s="1170"/>
      <c r="BD161" s="1170"/>
      <c r="BE161" s="1170"/>
      <c r="BF161" s="1170"/>
      <c r="BG161" s="1170"/>
      <c r="BH161" s="1170"/>
      <c r="BI161" s="1170"/>
      <c r="BJ161" s="1170"/>
      <c r="BK161" s="1170"/>
      <c r="BL161" s="1170"/>
      <c r="BM161" s="1170"/>
      <c r="BN161" s="1170"/>
      <c r="BO161" s="1182" t="str">
        <f>HydroRefineryCalcs!C978</f>
        <v>Property</v>
      </c>
      <c r="BP161" s="1182" t="str">
        <f>HydroRefineryCalcs!D978</f>
        <v>Units</v>
      </c>
      <c r="BQ161" s="1170"/>
      <c r="BR161" s="1170"/>
      <c r="BS161" s="1170"/>
      <c r="BT161" s="1170"/>
      <c r="BU161" s="1170"/>
      <c r="BV161" s="1170"/>
      <c r="BW161" s="1170"/>
      <c r="BX161" s="1170"/>
      <c r="BY161" s="1170"/>
      <c r="BZ161" s="1170"/>
      <c r="CA161" s="1170"/>
      <c r="CB161" s="1170"/>
      <c r="CC161" s="1170"/>
      <c r="CD161" s="1170"/>
      <c r="CE161" s="1170"/>
      <c r="CF161" s="1170"/>
      <c r="CG161" s="1170"/>
      <c r="CH161" s="1170"/>
      <c r="CI161" s="1170"/>
      <c r="CJ161" s="1170"/>
      <c r="CK161" s="1170"/>
      <c r="CL161" s="1170"/>
      <c r="CM161" s="1170"/>
      <c r="CN161" s="1170"/>
      <c r="CO161" s="1170"/>
      <c r="CP161" s="1160"/>
      <c r="CQ161" s="1160"/>
      <c r="CR161" s="1160"/>
      <c r="CS161" s="1160"/>
      <c r="CT161" s="1160"/>
      <c r="CU161" s="1160"/>
      <c r="CV161" s="1160"/>
      <c r="CW161" s="1160"/>
      <c r="CX161" s="1160"/>
      <c r="CY161" s="1160"/>
      <c r="CZ161" s="1171"/>
      <c r="DA161" s="1160"/>
      <c r="DB161" s="1200" t="s">
        <v>1021</v>
      </c>
      <c r="DC161" s="1199" t="s">
        <v>1022</v>
      </c>
      <c r="DD161" s="1170">
        <f>Constants!G358</f>
        <v>85.352020263671875</v>
      </c>
      <c r="DE161" s="1170"/>
      <c r="DF161" s="1160"/>
      <c r="DG161" s="1160"/>
      <c r="DH161" s="1160"/>
      <c r="DI161" s="1160"/>
      <c r="DJ161" s="1160"/>
      <c r="DK161" s="1160"/>
      <c r="DL161" s="1160" t="s">
        <v>392</v>
      </c>
      <c r="DM161" s="1254">
        <f ca="1">(CC218+BX247)*$DM$166</f>
        <v>0</v>
      </c>
      <c r="DN161" s="1160"/>
      <c r="DO161" s="1160"/>
      <c r="DP161" s="1160"/>
      <c r="DQ161" s="1160"/>
      <c r="DR161" s="1160"/>
      <c r="DS161" s="1160"/>
      <c r="DT161" s="1160"/>
      <c r="DU161" s="1160"/>
      <c r="DV161" s="1160"/>
      <c r="DW161" s="1160"/>
      <c r="DX161" s="1160"/>
      <c r="DY161" s="1160"/>
      <c r="DZ161" s="1160"/>
      <c r="EA161" s="1160"/>
      <c r="EB161" s="1160"/>
      <c r="EC161" s="1160"/>
    </row>
    <row r="162" spans="1:133" x14ac:dyDescent="0.2">
      <c r="A162" s="1160"/>
      <c r="B162" s="1160"/>
      <c r="C162" s="1300"/>
      <c r="D162" s="1160"/>
      <c r="E162" s="1170"/>
      <c r="F162" s="1170"/>
      <c r="G162" s="1170"/>
      <c r="H162" s="1170"/>
      <c r="I162" s="1170"/>
      <c r="J162" s="1170"/>
      <c r="K162" s="1170"/>
      <c r="L162" s="1170"/>
      <c r="M162" s="1170"/>
      <c r="N162" s="1170"/>
      <c r="O162" s="1170"/>
      <c r="P162" s="1170"/>
      <c r="Q162" s="1170"/>
      <c r="R162" s="1170"/>
      <c r="S162" s="1170"/>
      <c r="T162" s="1170"/>
      <c r="U162" s="1170"/>
      <c r="V162" s="1170"/>
      <c r="W162" s="1170"/>
      <c r="X162" s="1170"/>
      <c r="Y162" s="1170"/>
      <c r="Z162" s="1170"/>
      <c r="AA162" s="1170"/>
      <c r="AB162" s="1170"/>
      <c r="AC162" s="1170"/>
      <c r="AD162" s="1170"/>
      <c r="AE162" s="1170"/>
      <c r="AF162" s="1170"/>
      <c r="AG162" s="1170"/>
      <c r="AH162" s="1170"/>
      <c r="AI162" s="1170"/>
      <c r="AJ162" s="1170"/>
      <c r="AK162" s="1170"/>
      <c r="AL162" s="1170"/>
      <c r="AM162" s="1170"/>
      <c r="AN162" s="1170"/>
      <c r="AO162" s="1170"/>
      <c r="AP162" s="1170"/>
      <c r="AQ162" s="1170"/>
      <c r="AR162" s="1170"/>
      <c r="AS162" s="1200" t="s">
        <v>1056</v>
      </c>
      <c r="AT162" s="1199" t="s">
        <v>447</v>
      </c>
      <c r="AU162" s="1199">
        <f ca="1">('Energy &amp; Unit Conversions'!$D$63-('Energy &amp; Unit Conversions'!$E$63*POWER((AU159/'Energy &amp; Unit Conversions'!$E$54),2)))</f>
        <v>46.693440000000002</v>
      </c>
      <c r="AV162" s="1170"/>
      <c r="AW162" s="1170"/>
      <c r="AX162" s="1170"/>
      <c r="AY162" s="1170"/>
      <c r="AZ162" s="1170"/>
      <c r="BA162" s="1170"/>
      <c r="BB162" s="1170"/>
      <c r="BC162" s="1170"/>
      <c r="BD162" s="1170"/>
      <c r="BE162" s="1170"/>
      <c r="BF162" s="1170"/>
      <c r="BG162" s="1170"/>
      <c r="BH162" s="1170"/>
      <c r="BI162" s="1170"/>
      <c r="BJ162" s="1170"/>
      <c r="BK162" s="1170"/>
      <c r="BL162" s="1170"/>
      <c r="BM162" s="1170"/>
      <c r="BN162" s="1170"/>
      <c r="BO162" s="1186" t="str">
        <f>HydroRefineryCalcs!C979</f>
        <v>Vol Flow</v>
      </c>
      <c r="BP162" s="1170" t="str">
        <f ca="1">HydroRefineryCalcs!D979</f>
        <v>bpd</v>
      </c>
      <c r="BQ162" s="1187">
        <f ca="1">BQ163/'Energy &amp; Unit Conversions'!$G$80</f>
        <v>1.7861518094576149E-17</v>
      </c>
      <c r="BR162" s="1170"/>
      <c r="BS162" s="1170"/>
      <c r="BT162" s="1170"/>
      <c r="BU162" s="1170"/>
      <c r="BV162" s="1170"/>
      <c r="BW162" s="1170"/>
      <c r="BX162" s="1170"/>
      <c r="BY162" s="1170"/>
      <c r="BZ162" s="1170"/>
      <c r="CA162" s="1170"/>
      <c r="CB162" s="1170"/>
      <c r="CC162" s="1170"/>
      <c r="CD162" s="1170"/>
      <c r="CE162" s="1170"/>
      <c r="CF162" s="1170"/>
      <c r="CG162" s="1170"/>
      <c r="CH162" s="1170"/>
      <c r="CI162" s="1170"/>
      <c r="CJ162" s="1170"/>
      <c r="CK162" s="1170"/>
      <c r="CL162" s="1170"/>
      <c r="CM162" s="1170"/>
      <c r="CN162" s="1170"/>
      <c r="CO162" s="1170"/>
      <c r="CP162" s="1160"/>
      <c r="CQ162" s="1160"/>
      <c r="CR162" s="1160"/>
      <c r="CS162" s="1160"/>
      <c r="CT162" s="1160"/>
      <c r="CU162" s="1160"/>
      <c r="CV162" s="1160"/>
      <c r="CW162" s="1160"/>
      <c r="CX162" s="1160"/>
      <c r="CY162" s="1160"/>
      <c r="CZ162" s="1171"/>
      <c r="DA162" s="1160"/>
      <c r="DB162" s="1160"/>
      <c r="DC162" s="1160"/>
      <c r="DD162" s="1160"/>
      <c r="DE162" s="1160"/>
      <c r="DF162" s="1160"/>
      <c r="DG162" s="1160"/>
      <c r="DH162" s="1160"/>
      <c r="DI162" s="1160"/>
      <c r="DJ162" s="1160"/>
      <c r="DK162" s="1160"/>
      <c r="DL162" s="1160" t="s">
        <v>224</v>
      </c>
      <c r="DM162" s="1254">
        <f ca="1">(CC219+BX248)*$DM$166</f>
        <v>0</v>
      </c>
      <c r="DN162" s="1160"/>
      <c r="DO162" s="1160"/>
      <c r="DP162" s="1160"/>
      <c r="DQ162" s="1160"/>
      <c r="DR162" s="1160"/>
      <c r="DS162" s="1160"/>
      <c r="DT162" s="1160"/>
      <c r="DU162" s="1160"/>
      <c r="DV162" s="1160"/>
      <c r="DW162" s="1160"/>
      <c r="DX162" s="1160"/>
      <c r="DY162" s="1160"/>
      <c r="DZ162" s="1160"/>
      <c r="EA162" s="1160"/>
      <c r="EB162" s="1160"/>
      <c r="EC162" s="1160"/>
    </row>
    <row r="163" spans="1:133" x14ac:dyDescent="0.2">
      <c r="A163" s="1160"/>
      <c r="B163" s="1160"/>
      <c r="C163" s="1300"/>
      <c r="D163" s="1160"/>
      <c r="E163" s="1170"/>
      <c r="F163" s="1170"/>
      <c r="G163" s="1170"/>
      <c r="H163" s="1170"/>
      <c r="I163" s="1170"/>
      <c r="J163" s="1170"/>
      <c r="K163" s="1170"/>
      <c r="L163" s="1170"/>
      <c r="M163" s="1170"/>
      <c r="N163" s="1170"/>
      <c r="O163" s="1170"/>
      <c r="P163" s="1170"/>
      <c r="Q163" s="1170"/>
      <c r="R163" s="1170"/>
      <c r="S163" s="1170"/>
      <c r="T163" s="1170"/>
      <c r="U163" s="1170"/>
      <c r="V163" s="1170"/>
      <c r="W163" s="1170"/>
      <c r="X163" s="1170"/>
      <c r="Y163" s="1170"/>
      <c r="Z163" s="1170"/>
      <c r="AA163" s="1170"/>
      <c r="AB163" s="1170"/>
      <c r="AC163" s="1170"/>
      <c r="AD163" s="1170"/>
      <c r="AE163" s="1170"/>
      <c r="AF163" s="1170"/>
      <c r="AG163" s="1170"/>
      <c r="AH163" s="1170"/>
      <c r="AI163" s="1170"/>
      <c r="AJ163" s="1170"/>
      <c r="AK163" s="1170"/>
      <c r="AL163" s="1170"/>
      <c r="AM163" s="1170"/>
      <c r="AN163" s="1170"/>
      <c r="AO163" s="1170"/>
      <c r="AP163" s="1170"/>
      <c r="AQ163" s="1170"/>
      <c r="AR163" s="1170"/>
      <c r="AS163" s="1200" t="s">
        <v>1021</v>
      </c>
      <c r="AT163" s="1199" t="s">
        <v>1022</v>
      </c>
      <c r="AU163" s="1199">
        <f>AM144</f>
        <v>85.620002746582003</v>
      </c>
      <c r="AV163" s="1170"/>
      <c r="AW163" s="1170"/>
      <c r="AX163" s="1170"/>
      <c r="AY163" s="1170"/>
      <c r="AZ163" s="1170"/>
      <c r="BA163" s="1170"/>
      <c r="BB163" s="1170"/>
      <c r="BC163" s="1170"/>
      <c r="BD163" s="1170"/>
      <c r="BE163" s="1170"/>
      <c r="BF163" s="1170"/>
      <c r="BG163" s="1170"/>
      <c r="BH163" s="1170"/>
      <c r="BI163" s="1170"/>
      <c r="BJ163" s="1170"/>
      <c r="BK163" s="1170"/>
      <c r="BL163" s="1170"/>
      <c r="BM163" s="1170"/>
      <c r="BN163" s="1170"/>
      <c r="BO163" s="1186" t="str">
        <f>HydroRefineryCalcs!C980</f>
        <v>Vol Flow</v>
      </c>
      <c r="BP163" s="1170" t="str">
        <f ca="1">HydroRefineryCalcs!D980</f>
        <v>m^3/d</v>
      </c>
      <c r="BQ163" s="1187">
        <f ca="1">BQ164*BQ167</f>
        <v>2.8397545357578064E-18</v>
      </c>
      <c r="BR163" s="1170"/>
      <c r="BS163" s="1170"/>
      <c r="BT163" s="1170"/>
      <c r="BU163" s="1170"/>
      <c r="BV163" s="1170"/>
      <c r="BW163" s="1170"/>
      <c r="BX163" s="1170"/>
      <c r="BY163" s="1170"/>
      <c r="BZ163" s="1170"/>
      <c r="CA163" s="1170"/>
      <c r="CB163" s="1170"/>
      <c r="CC163" s="1170"/>
      <c r="CD163" s="1170"/>
      <c r="CE163" s="1170"/>
      <c r="CF163" s="1170"/>
      <c r="CG163" s="1170"/>
      <c r="CH163" s="1170"/>
      <c r="CI163" s="1170"/>
      <c r="CJ163" s="1170"/>
      <c r="CK163" s="1170"/>
      <c r="CL163" s="1170"/>
      <c r="CM163" s="1170"/>
      <c r="CN163" s="1170"/>
      <c r="CO163" s="1170"/>
      <c r="CP163" s="1160"/>
      <c r="CQ163" s="1160"/>
      <c r="CR163" s="1160"/>
      <c r="CS163" s="1191"/>
      <c r="CT163" s="1205"/>
      <c r="CU163" s="1160"/>
      <c r="CV163" s="1160"/>
      <c r="CW163" s="1160"/>
      <c r="CX163" s="1160"/>
      <c r="CY163" s="1160"/>
      <c r="CZ163" s="1171"/>
      <c r="DA163" s="1160"/>
      <c r="DB163" s="1160"/>
      <c r="DC163" s="1160"/>
      <c r="DD163" s="1160"/>
      <c r="DE163" s="1160"/>
      <c r="DF163" s="1160"/>
      <c r="DG163" s="1160"/>
      <c r="DH163" s="1160"/>
      <c r="DI163" s="1160"/>
      <c r="DJ163" s="1160"/>
      <c r="DK163" s="1160"/>
      <c r="DL163" s="1160" t="s">
        <v>485</v>
      </c>
      <c r="DM163" s="1254">
        <f ca="1">(CC220+BX249)*$DM$166</f>
        <v>0</v>
      </c>
      <c r="DN163" s="1160"/>
      <c r="DO163" s="1160"/>
      <c r="DP163" s="1160"/>
      <c r="DQ163" s="1160"/>
      <c r="DR163" s="1160"/>
      <c r="DS163" s="1160"/>
      <c r="DT163" s="1160"/>
      <c r="DU163" s="1160"/>
      <c r="DV163" s="1160"/>
      <c r="DW163" s="1160"/>
      <c r="DX163" s="1160"/>
      <c r="DY163" s="1160"/>
      <c r="DZ163" s="1160"/>
      <c r="EA163" s="1980" t="s">
        <v>1899</v>
      </c>
      <c r="EB163" s="1160"/>
      <c r="EC163" s="1160"/>
    </row>
    <row r="164" spans="1:133" x14ac:dyDescent="0.2">
      <c r="A164" s="1160"/>
      <c r="B164" s="1160"/>
      <c r="C164" s="1160"/>
      <c r="D164" s="1160"/>
      <c r="E164" s="1170"/>
      <c r="F164" s="1170"/>
      <c r="G164" s="1170"/>
      <c r="H164" s="1170"/>
      <c r="I164" s="1170"/>
      <c r="J164" s="1170"/>
      <c r="K164" s="1170"/>
      <c r="L164" s="1170"/>
      <c r="M164" s="1170"/>
      <c r="N164" s="1170"/>
      <c r="O164" s="1170"/>
      <c r="P164" s="1170"/>
      <c r="Q164" s="1170"/>
      <c r="R164" s="1170"/>
      <c r="S164" s="1170"/>
      <c r="T164" s="1170"/>
      <c r="U164" s="1170"/>
      <c r="V164" s="1170"/>
      <c r="W164" s="1170"/>
      <c r="X164" s="1170"/>
      <c r="Y164" s="1170"/>
      <c r="Z164" s="1170"/>
      <c r="AA164" s="1170"/>
      <c r="AB164" s="1170"/>
      <c r="AC164" s="1170"/>
      <c r="AD164" s="1170"/>
      <c r="AE164" s="1170"/>
      <c r="AF164" s="1170"/>
      <c r="AG164" s="1170"/>
      <c r="AH164" s="1170"/>
      <c r="AI164" s="1170"/>
      <c r="AJ164" s="1170"/>
      <c r="AK164" s="1170"/>
      <c r="AL164" s="1170"/>
      <c r="AM164" s="1170"/>
      <c r="AN164" s="1170"/>
      <c r="AO164" s="1170"/>
      <c r="AP164" s="1170"/>
      <c r="AQ164" s="1170"/>
      <c r="AR164" s="1170"/>
      <c r="AS164" s="1204" t="s">
        <v>1054</v>
      </c>
      <c r="AT164" s="1204" t="str">
        <f>IF(allocationMethod=1,CokingRefineryPFD!$C$21,IF(allocationMethod=2,CokingRefineryPFD!$C$22,IF(allocationMethod=3,CokingRefineryPFD!$C$23,CokingRefineryPFD!$C$24)))</f>
        <v>Hydrogen Content Basis</v>
      </c>
      <c r="AU164" s="1204">
        <f ca="1">IF(allocationMethod=1,AU156,IF(allocationMethod=2,AU162*AU156,IF(allocationMethod=3,AU163*AU154,AU160*AU156/100)))</f>
        <v>0</v>
      </c>
      <c r="AV164" s="1170"/>
      <c r="AW164" s="1170"/>
      <c r="AX164" s="1170"/>
      <c r="AY164" s="1170"/>
      <c r="AZ164" s="1170"/>
      <c r="BA164" s="1170"/>
      <c r="BB164" s="1170"/>
      <c r="BC164" s="1170"/>
      <c r="BD164" s="1170"/>
      <c r="BE164" s="1170"/>
      <c r="BF164" s="1170"/>
      <c r="BG164" s="1170"/>
      <c r="BH164" s="1170"/>
      <c r="BI164" s="1170"/>
      <c r="BJ164" s="1170"/>
      <c r="BK164" s="1170"/>
      <c r="BL164" s="1170"/>
      <c r="BM164" s="1170"/>
      <c r="BN164" s="1170"/>
      <c r="BO164" s="1186" t="str">
        <f>HydroRefineryCalcs!C981</f>
        <v>Mass Flow</v>
      </c>
      <c r="BP164" s="1170" t="str">
        <f>HydroRefineryCalcs!D981</f>
        <v>kg/d</v>
      </c>
      <c r="BQ164" s="1170">
        <f ca="1">HydroRefineryCalcs!G981</f>
        <v>2.4516129032278489E-18</v>
      </c>
      <c r="BR164" s="1170"/>
      <c r="BS164" s="1170"/>
      <c r="BT164" s="1170"/>
      <c r="BU164" s="1170"/>
      <c r="BV164" s="1170"/>
      <c r="BW164" s="1170"/>
      <c r="BX164" s="1170"/>
      <c r="BY164" s="1170"/>
      <c r="BZ164" s="1170"/>
      <c r="CA164" s="1170"/>
      <c r="CB164" s="1170"/>
      <c r="CC164" s="1170"/>
      <c r="CD164" s="1170"/>
      <c r="CE164" s="1170"/>
      <c r="CF164" s="1170"/>
      <c r="CG164" s="1170"/>
      <c r="CH164" s="1170"/>
      <c r="CI164" s="1170"/>
      <c r="CJ164" s="1170"/>
      <c r="CK164" s="1170"/>
      <c r="CL164" s="1170"/>
      <c r="CM164" s="1170"/>
      <c r="CN164" s="1170"/>
      <c r="CO164" s="1170"/>
      <c r="CP164" s="1160"/>
      <c r="CQ164" s="1160"/>
      <c r="CR164" s="1160"/>
      <c r="CS164" s="1191"/>
      <c r="CT164" s="1205"/>
      <c r="CU164" s="1160"/>
      <c r="CV164" s="1160"/>
      <c r="CW164" s="1160"/>
      <c r="CX164" s="1160"/>
      <c r="CY164" s="1160"/>
      <c r="CZ164" s="1171"/>
      <c r="DA164" s="1160"/>
      <c r="DB164" s="1160"/>
      <c r="DC164" s="1160"/>
      <c r="DD164" s="1160"/>
      <c r="DE164" s="1160"/>
      <c r="DF164" s="1160"/>
      <c r="DG164" s="1160"/>
      <c r="DH164" s="1160"/>
      <c r="DI164" s="1160"/>
      <c r="DJ164" s="1160"/>
      <c r="DK164" s="1160"/>
      <c r="DL164" s="1160" t="s">
        <v>541</v>
      </c>
      <c r="DM164" s="1254">
        <f ca="1">(CC221+BX250)*$DM$166</f>
        <v>0</v>
      </c>
      <c r="DN164" s="1160"/>
      <c r="DO164" s="1160"/>
      <c r="DP164" s="1160"/>
      <c r="DQ164" s="1160"/>
      <c r="DR164" s="1160"/>
      <c r="DS164" s="1160"/>
      <c r="DT164" s="1160"/>
      <c r="DU164" s="1160"/>
      <c r="DV164" s="1160"/>
      <c r="DW164" s="1160"/>
      <c r="DX164" s="1160"/>
      <c r="DY164" s="1160"/>
      <c r="DZ164" s="1160"/>
      <c r="EA164" s="1229" t="s">
        <v>620</v>
      </c>
      <c r="EB164" s="1160" t="s">
        <v>622</v>
      </c>
      <c r="EC164" s="1205">
        <f ca="1">HydroRefineryCalcs!E1500</f>
        <v>0</v>
      </c>
    </row>
    <row r="165" spans="1:133" x14ac:dyDescent="0.2">
      <c r="A165" s="1160"/>
      <c r="B165" s="1160"/>
      <c r="C165" s="1300"/>
      <c r="D165" s="1160"/>
      <c r="E165" s="1170"/>
      <c r="F165" s="1170"/>
      <c r="G165" s="1170"/>
      <c r="H165" s="1170"/>
      <c r="I165" s="1170"/>
      <c r="J165" s="1170"/>
      <c r="K165" s="1170"/>
      <c r="L165" s="1170"/>
      <c r="M165" s="1170"/>
      <c r="N165" s="1170"/>
      <c r="O165" s="1170"/>
      <c r="P165" s="1170"/>
      <c r="Q165" s="1170"/>
      <c r="R165" s="1170"/>
      <c r="S165" s="1170"/>
      <c r="T165" s="1170"/>
      <c r="U165" s="1170"/>
      <c r="V165" s="1170"/>
      <c r="W165" s="1170"/>
      <c r="X165" s="1170"/>
      <c r="Y165" s="1170"/>
      <c r="Z165" s="1170"/>
      <c r="AA165" s="1170"/>
      <c r="AB165" s="1170"/>
      <c r="AC165" s="1170"/>
      <c r="AD165" s="1170"/>
      <c r="AE165" s="1170"/>
      <c r="AF165" s="1170"/>
      <c r="AG165" s="1170"/>
      <c r="AH165" s="1170"/>
      <c r="AI165" s="1170"/>
      <c r="AJ165" s="1170"/>
      <c r="AK165" s="1170"/>
      <c r="AL165" s="1170"/>
      <c r="AM165" s="1170"/>
      <c r="AN165" s="1170"/>
      <c r="AO165" s="1170"/>
      <c r="AP165" s="1170"/>
      <c r="AQ165" s="1170"/>
      <c r="AR165" s="1170"/>
      <c r="AS165" s="1170"/>
      <c r="AT165" s="1170"/>
      <c r="AU165" s="1170"/>
      <c r="AV165" s="1170"/>
      <c r="AW165" s="1170"/>
      <c r="AX165" s="1170"/>
      <c r="AY165" s="1170"/>
      <c r="AZ165" s="1170"/>
      <c r="BA165" s="1170"/>
      <c r="BB165" s="1170"/>
      <c r="BC165" s="1170"/>
      <c r="BD165" s="1170"/>
      <c r="BE165" s="1170"/>
      <c r="BF165" s="1170"/>
      <c r="BG165" s="1170"/>
      <c r="BH165" s="1170"/>
      <c r="BI165" s="1170"/>
      <c r="BJ165" s="1170"/>
      <c r="BK165" s="1170"/>
      <c r="BL165" s="1170"/>
      <c r="BM165" s="1170"/>
      <c r="BN165" s="1170"/>
      <c r="BO165" s="1186" t="str">
        <f>HydroRefineryCalcs!C982</f>
        <v xml:space="preserve">Sulphur </v>
      </c>
      <c r="BP165" s="1170" t="str">
        <f ca="1">HydroRefineryCalcs!D982</f>
        <v>wt%</v>
      </c>
      <c r="BQ165" s="1170">
        <f ca="1">HydroRefineryCalcs!G982</f>
        <v>0</v>
      </c>
      <c r="BR165" s="1170"/>
      <c r="BS165" s="1170"/>
      <c r="BT165" s="1170"/>
      <c r="BU165" s="1170"/>
      <c r="BV165" s="1170"/>
      <c r="BW165" s="1170"/>
      <c r="BX165" s="1170"/>
      <c r="BY165" s="1170"/>
      <c r="BZ165" s="1170"/>
      <c r="CA165" s="1170"/>
      <c r="CB165" s="1170"/>
      <c r="CC165" s="1170"/>
      <c r="CD165" s="1170"/>
      <c r="CE165" s="1170"/>
      <c r="CF165" s="1170"/>
      <c r="CG165" s="1170"/>
      <c r="CH165" s="1170"/>
      <c r="CI165" s="1170"/>
      <c r="CJ165" s="1170"/>
      <c r="CK165" s="1170"/>
      <c r="CL165" s="1170"/>
      <c r="CM165" s="1170"/>
      <c r="CN165" s="1170"/>
      <c r="CO165" s="1170"/>
      <c r="CP165" s="1160"/>
      <c r="CQ165" s="1160"/>
      <c r="CR165" s="1160"/>
      <c r="CS165" s="1253"/>
      <c r="CT165" s="1205"/>
      <c r="CU165" s="1160"/>
      <c r="CV165" s="1160"/>
      <c r="CW165" s="1160"/>
      <c r="CX165" s="1160"/>
      <c r="CY165" s="1160"/>
      <c r="CZ165" s="1171"/>
      <c r="DA165" s="1160"/>
      <c r="DB165" s="1160"/>
      <c r="DC165" s="1160"/>
      <c r="DD165" s="1160"/>
      <c r="DE165" s="1160"/>
      <c r="DF165" s="1160"/>
      <c r="DG165" s="1160"/>
      <c r="DH165" s="1160"/>
      <c r="DI165" s="1160"/>
      <c r="DJ165" s="1160"/>
      <c r="DK165" s="1160"/>
      <c r="DL165" s="1160" t="str">
        <f>BW251</f>
        <v>Catalyst Coke</v>
      </c>
      <c r="DM165" s="1245">
        <f ca="1">BX251*DM166</f>
        <v>0</v>
      </c>
      <c r="DN165" s="1160"/>
      <c r="DO165" s="1160"/>
      <c r="DP165" s="1160"/>
      <c r="DQ165" s="1160"/>
      <c r="DR165" s="1160"/>
      <c r="DS165" s="1160"/>
      <c r="DT165" s="1160"/>
      <c r="DU165" s="1160"/>
      <c r="DV165" s="1160"/>
      <c r="DW165" s="1160"/>
      <c r="DX165" s="1160"/>
      <c r="DY165" s="1160"/>
      <c r="DZ165" s="1160"/>
      <c r="EA165" s="1160"/>
      <c r="EB165" s="1204"/>
      <c r="EC165" s="1160"/>
    </row>
    <row r="166" spans="1:133" ht="15.75" customHeight="1" x14ac:dyDescent="0.2">
      <c r="A166" s="1160"/>
      <c r="B166" s="1160"/>
      <c r="C166" s="1300"/>
      <c r="D166" s="1160"/>
      <c r="E166" s="1170"/>
      <c r="F166" s="1170"/>
      <c r="G166" s="1170"/>
      <c r="H166" s="1170"/>
      <c r="I166" s="1170"/>
      <c r="J166" s="1170"/>
      <c r="K166" s="1170"/>
      <c r="L166" s="1170"/>
      <c r="M166" s="1170"/>
      <c r="N166" s="1170"/>
      <c r="O166" s="1170"/>
      <c r="P166" s="1170"/>
      <c r="Q166" s="1170"/>
      <c r="R166" s="1170"/>
      <c r="S166" s="1170"/>
      <c r="T166" s="1170"/>
      <c r="U166" s="1170"/>
      <c r="V166" s="1170"/>
      <c r="W166" s="1170"/>
      <c r="X166" s="1170"/>
      <c r="Y166" s="1170"/>
      <c r="Z166" s="1170"/>
      <c r="AA166" s="1170"/>
      <c r="AB166" s="1170"/>
      <c r="AC166" s="1181" t="str">
        <f>CokingRefineryCalcs!F518</f>
        <v>Output</v>
      </c>
      <c r="AD166" s="1170"/>
      <c r="AE166" s="1170"/>
      <c r="AF166" s="1170"/>
      <c r="AG166" s="1170"/>
      <c r="AH166" s="1170"/>
      <c r="AI166" s="1170"/>
      <c r="AJ166" s="1170"/>
      <c r="AK166" s="1170"/>
      <c r="AL166" s="1170"/>
      <c r="AM166" s="1170"/>
      <c r="AN166" s="1170"/>
      <c r="AO166" s="1170"/>
      <c r="AP166" s="1170"/>
      <c r="AQ166" s="1170"/>
      <c r="AR166" s="1170"/>
      <c r="AS166" s="1170"/>
      <c r="AT166" s="1170"/>
      <c r="AU166" s="1170"/>
      <c r="AV166" s="1170"/>
      <c r="AW166" s="1170"/>
      <c r="AX166" s="1170"/>
      <c r="AY166" s="1170"/>
      <c r="AZ166" s="1170"/>
      <c r="BA166" s="1170"/>
      <c r="BB166" s="1170"/>
      <c r="BC166" s="1170"/>
      <c r="BD166" s="1170"/>
      <c r="BE166" s="1170"/>
      <c r="BF166" s="1170"/>
      <c r="BG166" s="1170"/>
      <c r="BH166" s="1170"/>
      <c r="BI166" s="1170"/>
      <c r="BJ166" s="1170"/>
      <c r="BK166" s="1170"/>
      <c r="BL166" s="1186"/>
      <c r="BM166" s="1170"/>
      <c r="BN166" s="1170"/>
      <c r="BO166" s="1186" t="str">
        <f>HydroRefineryCalcs!C984</f>
        <v xml:space="preserve">API gravity </v>
      </c>
      <c r="BP166" s="1170"/>
      <c r="BQ166" s="1170"/>
      <c r="BR166" s="1170"/>
      <c r="BS166" s="1170"/>
      <c r="BT166" s="1170"/>
      <c r="BU166" s="1170"/>
      <c r="BV166" s="1170"/>
      <c r="BW166" s="1170"/>
      <c r="BX166" s="1170"/>
      <c r="BY166" s="1170"/>
      <c r="BZ166" s="1170"/>
      <c r="CA166" s="1170"/>
      <c r="CB166" s="1170"/>
      <c r="CC166" s="1170"/>
      <c r="CD166" s="1170"/>
      <c r="CE166" s="1170"/>
      <c r="CF166" s="1170"/>
      <c r="CG166" s="1170"/>
      <c r="CH166" s="1170"/>
      <c r="CI166" s="1170"/>
      <c r="CJ166" s="1170"/>
      <c r="CK166" s="1170"/>
      <c r="CL166" s="1170"/>
      <c r="CM166" s="1170"/>
      <c r="CN166" s="1170"/>
      <c r="CO166" s="1170"/>
      <c r="CP166" s="1160"/>
      <c r="CQ166" s="1160"/>
      <c r="CR166" s="1160"/>
      <c r="CS166" s="1179" t="str">
        <f>HydroRefineryCalcs!F780</f>
        <v>Alkylate</v>
      </c>
      <c r="CT166" s="1170"/>
      <c r="CU166" s="1170"/>
      <c r="CV166" s="1160"/>
      <c r="CW166" s="1160"/>
      <c r="CX166" s="1160"/>
      <c r="CY166" s="1160"/>
      <c r="CZ166" s="1171"/>
      <c r="DA166" s="1160"/>
      <c r="DB166" s="1160"/>
      <c r="DC166" s="1160"/>
      <c r="DD166" s="1160"/>
      <c r="DE166" s="1160"/>
      <c r="DF166" s="1160"/>
      <c r="DG166" s="1160"/>
      <c r="DH166" s="1160"/>
      <c r="DI166" s="1160"/>
      <c r="DJ166" s="1160"/>
      <c r="DK166" s="1160"/>
      <c r="DL166" s="1191" t="s">
        <v>1066</v>
      </c>
      <c r="DM166" s="1245">
        <f ca="1">IF('HydroRefineryPFD '!E27=TRUE,DM167,0)</f>
        <v>0</v>
      </c>
      <c r="DN166" s="1160"/>
      <c r="DO166" s="1160"/>
      <c r="DP166" s="1160"/>
      <c r="DQ166" s="1160"/>
      <c r="DR166" s="1160"/>
      <c r="DS166" s="1160"/>
      <c r="DT166" s="1160"/>
      <c r="DU166" s="1160"/>
      <c r="DV166" s="1160"/>
      <c r="DW166" s="1160"/>
      <c r="DX166" s="1160"/>
      <c r="DY166" s="1160"/>
      <c r="DZ166" s="1160"/>
      <c r="EA166" s="1160"/>
      <c r="EB166" s="1160"/>
      <c r="EC166" s="1160"/>
    </row>
    <row r="167" spans="1:133" x14ac:dyDescent="0.2">
      <c r="A167" s="1160"/>
      <c r="B167" s="1160"/>
      <c r="C167" s="1300"/>
      <c r="D167" s="1160"/>
      <c r="E167" s="1170"/>
      <c r="F167" s="1170"/>
      <c r="G167" s="1170"/>
      <c r="H167" s="1170"/>
      <c r="I167" s="1170"/>
      <c r="J167" s="1170"/>
      <c r="K167" s="1170"/>
      <c r="L167" s="1170"/>
      <c r="M167" s="1170"/>
      <c r="N167" s="1170"/>
      <c r="O167" s="1170"/>
      <c r="P167" s="1170"/>
      <c r="Q167" s="1170"/>
      <c r="R167" s="1170"/>
      <c r="S167" s="1170"/>
      <c r="T167" s="1170"/>
      <c r="U167" s="1170"/>
      <c r="V167" s="1170"/>
      <c r="W167" s="1170"/>
      <c r="X167" s="1170"/>
      <c r="Y167" s="1170"/>
      <c r="Z167" s="1170"/>
      <c r="AA167" s="1170"/>
      <c r="AB167" s="1170"/>
      <c r="AC167" s="1182" t="str">
        <f>CokingRefineryCalcs!C518</f>
        <v>Property</v>
      </c>
      <c r="AD167" s="1182" t="str">
        <f>CokingRefineryCalcs!D518</f>
        <v>Units</v>
      </c>
      <c r="AE167" s="1170"/>
      <c r="AF167" s="1170"/>
      <c r="AG167" s="1170"/>
      <c r="AH167" s="1170"/>
      <c r="AI167" s="1170"/>
      <c r="AJ167" s="1170"/>
      <c r="AK167" s="1170"/>
      <c r="AL167" s="1170"/>
      <c r="AM167" s="1170"/>
      <c r="AN167" s="1170"/>
      <c r="AO167" s="1170"/>
      <c r="AP167" s="1170"/>
      <c r="AQ167" s="1170"/>
      <c r="AR167" s="1170"/>
      <c r="AS167" s="1181" t="str">
        <f>HydroRefineryCalcs!F604</f>
        <v>HVGO To Gas Oil HC</v>
      </c>
      <c r="AT167" s="1170"/>
      <c r="AU167" s="1170"/>
      <c r="AV167" s="1170"/>
      <c r="AW167" s="1170"/>
      <c r="AX167" s="1180" t="str">
        <f>AS167</f>
        <v>HVGO To Gas Oil HC</v>
      </c>
      <c r="AY167" s="1170"/>
      <c r="AZ167" s="1170"/>
      <c r="BA167" s="1170"/>
      <c r="BB167" s="1170"/>
      <c r="BC167" s="1170"/>
      <c r="BD167" s="1170"/>
      <c r="BE167" s="1170"/>
      <c r="BF167" s="1170"/>
      <c r="BG167" s="1170"/>
      <c r="BH167" s="1170"/>
      <c r="BI167" s="1170"/>
      <c r="BJ167" s="1170"/>
      <c r="BK167" s="1170"/>
      <c r="BL167" s="1170"/>
      <c r="BM167" s="1170"/>
      <c r="BN167" s="1170"/>
      <c r="BO167" s="1186" t="str">
        <f>HydroRefineryCalcs!C985</f>
        <v>Density</v>
      </c>
      <c r="BP167" s="1170" t="str">
        <f ca="1">HydroRefineryCalcs!D985</f>
        <v>kg/m^3</v>
      </c>
      <c r="BQ167" s="1170">
        <f>'Energy &amp; Unit Conversions'!$E$27/'Energy &amp; Unit Conversions'!$E$93/'Energy &amp; Unit Conversions'!$G$81</f>
        <v>1.1583209290581402</v>
      </c>
      <c r="BR167" s="1170"/>
      <c r="BS167" s="1170"/>
      <c r="BT167" s="1170"/>
      <c r="BU167" s="1170"/>
      <c r="BV167" s="1170"/>
      <c r="BW167" s="1170"/>
      <c r="BX167" s="1170"/>
      <c r="BY167" s="1170"/>
      <c r="BZ167" s="1170"/>
      <c r="CA167" s="1170"/>
      <c r="CB167" s="1170"/>
      <c r="CC167" s="1170"/>
      <c r="CD167" s="1170"/>
      <c r="CE167" s="1170"/>
      <c r="CF167" s="1170"/>
      <c r="CG167" s="1170"/>
      <c r="CH167" s="1170"/>
      <c r="CI167" s="1170"/>
      <c r="CJ167" s="1170"/>
      <c r="CK167" s="1170"/>
      <c r="CL167" s="1170"/>
      <c r="CM167" s="1170"/>
      <c r="CN167" s="1170"/>
      <c r="CO167" s="1170"/>
      <c r="CP167" s="1160"/>
      <c r="CQ167" s="1160"/>
      <c r="CR167" s="1160"/>
      <c r="CS167" s="1182" t="str">
        <f>HydroRefineryCalcs!C780</f>
        <v>Property</v>
      </c>
      <c r="CT167" s="1182" t="str">
        <f>HydroRefineryCalcs!D780</f>
        <v>Units</v>
      </c>
      <c r="CU167" s="1170"/>
      <c r="CV167" s="1160"/>
      <c r="CW167" s="1160"/>
      <c r="CX167" s="1160"/>
      <c r="CY167" s="1160"/>
      <c r="CZ167" s="1171"/>
      <c r="DA167" s="1160"/>
      <c r="DB167" s="1160"/>
      <c r="DC167" s="1160"/>
      <c r="DD167" s="1160"/>
      <c r="DE167" s="1160"/>
      <c r="DF167" s="1160"/>
      <c r="DG167" s="1160"/>
      <c r="DH167" s="1160"/>
      <c r="DI167" s="1160"/>
      <c r="DJ167" s="1160"/>
      <c r="DK167" s="1160"/>
      <c r="DL167" s="1191" t="s">
        <v>1065</v>
      </c>
      <c r="DM167" s="1245">
        <f ca="1">BT240/(BT240+CC248)</f>
        <v>0</v>
      </c>
      <c r="DN167" s="1160"/>
      <c r="DO167" s="1160"/>
      <c r="DP167" s="1160"/>
      <c r="DQ167" s="1160"/>
      <c r="DR167" s="1160"/>
      <c r="DS167" s="1160"/>
      <c r="DT167" s="1160"/>
      <c r="DU167" s="1160"/>
      <c r="DV167" s="1160"/>
      <c r="DW167" s="1160"/>
      <c r="DX167" s="1160"/>
      <c r="DY167" s="1160"/>
      <c r="DZ167" s="1160"/>
      <c r="EA167" s="2070" t="s">
        <v>1899</v>
      </c>
      <c r="EB167" s="1160"/>
      <c r="EC167" s="1160"/>
    </row>
    <row r="168" spans="1:133" x14ac:dyDescent="0.2">
      <c r="A168" s="1160"/>
      <c r="B168" s="1160"/>
      <c r="C168" s="1300"/>
      <c r="D168" s="1160"/>
      <c r="E168" s="1170"/>
      <c r="F168" s="1170"/>
      <c r="G168" s="1170"/>
      <c r="H168" s="1170"/>
      <c r="I168" s="1170"/>
      <c r="J168" s="1170"/>
      <c r="K168" s="1170"/>
      <c r="L168" s="1170"/>
      <c r="M168" s="1170"/>
      <c r="N168" s="1170"/>
      <c r="O168" s="1170"/>
      <c r="P168" s="1170"/>
      <c r="Q168" s="1170"/>
      <c r="R168" s="1170"/>
      <c r="S168" s="1170"/>
      <c r="T168" s="1170"/>
      <c r="U168" s="1170"/>
      <c r="V168" s="1170"/>
      <c r="W168" s="1170"/>
      <c r="X168" s="1170"/>
      <c r="Y168" s="1170"/>
      <c r="Z168" s="1170"/>
      <c r="AA168" s="1170"/>
      <c r="AB168" s="1170"/>
      <c r="AC168" s="1186" t="str">
        <f>CokingRefineryCalcs!C519</f>
        <v>Vol Flow</v>
      </c>
      <c r="AD168" s="1170" t="str">
        <f ca="1">CokingRefineryCalcs!D519</f>
        <v>bpd</v>
      </c>
      <c r="AE168" s="1187">
        <f ca="1">HydroRefineryCalcs!F494</f>
        <v>1E-14</v>
      </c>
      <c r="AF168" s="1170"/>
      <c r="AG168" s="1170"/>
      <c r="AH168" s="1170"/>
      <c r="AI168" s="1170"/>
      <c r="AJ168" s="1170"/>
      <c r="AK168" s="1170"/>
      <c r="AL168" s="1170"/>
      <c r="AM168" s="1170"/>
      <c r="AN168" s="1170"/>
      <c r="AO168" s="1170"/>
      <c r="AP168" s="1170"/>
      <c r="AQ168" s="1170"/>
      <c r="AR168" s="1170"/>
      <c r="AS168" s="1182" t="str">
        <f>HydroRefineryCalcs!C604</f>
        <v>Property</v>
      </c>
      <c r="AT168" s="1182" t="str">
        <f>HydroRefineryCalcs!D604</f>
        <v>Units</v>
      </c>
      <c r="AU168" s="1170"/>
      <c r="AV168" s="1170"/>
      <c r="AW168" s="1170"/>
      <c r="AX168" s="1183" t="s">
        <v>226</v>
      </c>
      <c r="AY168" s="1170"/>
      <c r="AZ168" s="1184" t="s">
        <v>522</v>
      </c>
      <c r="BA168" s="1170"/>
      <c r="BB168" s="1170"/>
      <c r="BC168" s="1170"/>
      <c r="BD168" s="1170"/>
      <c r="BE168" s="1170"/>
      <c r="BF168" s="1170"/>
      <c r="BG168" s="1170"/>
      <c r="BH168" s="1170"/>
      <c r="BI168" s="1170"/>
      <c r="BJ168" s="1170"/>
      <c r="BK168" s="1170"/>
      <c r="BL168" s="1170"/>
      <c r="BM168" s="1170"/>
      <c r="BN168" s="1170"/>
      <c r="BO168" s="1186" t="str">
        <f>HydroRefineryCalcs!C986</f>
        <v>Hydrogen</v>
      </c>
      <c r="BP168" s="1170" t="str">
        <f ca="1">HydroRefineryCalcs!D986</f>
        <v>wt%</v>
      </c>
      <c r="BQ168" s="1170">
        <f ca="1">HydroRefineryCalcs!G986</f>
        <v>18.364315923905643</v>
      </c>
      <c r="BR168" s="1170"/>
      <c r="BS168" s="1170"/>
      <c r="BT168" s="1170"/>
      <c r="BU168" s="1170"/>
      <c r="BV168" s="1170"/>
      <c r="BW168" s="1170"/>
      <c r="BX168" s="1170"/>
      <c r="BY168" s="1170"/>
      <c r="BZ168" s="1170"/>
      <c r="CA168" s="1170"/>
      <c r="CB168" s="1170"/>
      <c r="CC168" s="1170"/>
      <c r="CD168" s="1170"/>
      <c r="CE168" s="1170"/>
      <c r="CF168" s="1170"/>
      <c r="CG168" s="1170"/>
      <c r="CH168" s="1170"/>
      <c r="CI168" s="1170"/>
      <c r="CJ168" s="1170"/>
      <c r="CK168" s="1170"/>
      <c r="CL168" s="1170"/>
      <c r="CM168" s="1170"/>
      <c r="CN168" s="1170"/>
      <c r="CO168" s="1184" t="str">
        <f>'HydroRefinery Detailed Results'!C27</f>
        <v>Alkylation Unit</v>
      </c>
      <c r="CP168" s="1170"/>
      <c r="CQ168" s="1170"/>
      <c r="CR168" s="1160"/>
      <c r="CS168" s="1186" t="str">
        <f>HydroRefineryCalcs!C781</f>
        <v>Vol Flow</v>
      </c>
      <c r="CT168" s="1170" t="str">
        <f>HydroRefineryCalcs!D781</f>
        <v>bpd</v>
      </c>
      <c r="CU168" s="1187">
        <f ca="1">HydroRefineryCalcs!F781</f>
        <v>1.1506877498974791E-17</v>
      </c>
      <c r="CV168" s="1160"/>
      <c r="CW168" s="1160"/>
      <c r="CX168" s="1160"/>
      <c r="CY168" s="1160"/>
      <c r="CZ168" s="1171"/>
      <c r="DA168" s="1160"/>
      <c r="DB168" s="1160"/>
      <c r="DC168" s="1160"/>
      <c r="DD168" s="1160"/>
      <c r="DE168" s="1160"/>
      <c r="DF168" s="1160"/>
      <c r="DG168" s="1160"/>
      <c r="DH168" s="1160"/>
      <c r="DI168" s="1160"/>
      <c r="DJ168" s="1160"/>
      <c r="DK168" s="1160"/>
      <c r="DL168" s="1255" t="s">
        <v>228</v>
      </c>
      <c r="DM168" s="1245">
        <f ca="1">+BT232/(BY219-'HydroRefinery Detailed Results'!Q25)</f>
        <v>3.4663865546218489E-2</v>
      </c>
      <c r="DN168" s="1160"/>
      <c r="DO168" s="1160"/>
      <c r="DP168" s="1160"/>
      <c r="DQ168" s="1160"/>
      <c r="DR168" s="1160"/>
      <c r="DS168" s="1160"/>
      <c r="DT168" s="1160"/>
      <c r="DU168" s="1160"/>
      <c r="DV168" s="1160"/>
      <c r="DW168" s="1160"/>
      <c r="DX168" s="1160"/>
      <c r="DY168" s="1160"/>
      <c r="DZ168" s="1160"/>
      <c r="EA168" s="1193" t="s">
        <v>226</v>
      </c>
      <c r="EB168" s="1160"/>
      <c r="EC168" s="1194" t="s">
        <v>522</v>
      </c>
    </row>
    <row r="169" spans="1:133" x14ac:dyDescent="0.2">
      <c r="A169" s="1160"/>
      <c r="B169" s="1160"/>
      <c r="C169" s="1300"/>
      <c r="D169" s="1160"/>
      <c r="E169" s="1170"/>
      <c r="F169" s="1170"/>
      <c r="G169" s="1170"/>
      <c r="H169" s="1170"/>
      <c r="I169" s="1170"/>
      <c r="J169" s="1170"/>
      <c r="K169" s="1170"/>
      <c r="L169" s="1170"/>
      <c r="M169" s="1170"/>
      <c r="N169" s="1170"/>
      <c r="O169" s="1170"/>
      <c r="P169" s="1170"/>
      <c r="Q169" s="1170"/>
      <c r="R169" s="1170"/>
      <c r="S169" s="1170"/>
      <c r="T169" s="1170"/>
      <c r="U169" s="1170"/>
      <c r="V169" s="1170"/>
      <c r="W169" s="1170"/>
      <c r="X169" s="1170"/>
      <c r="Y169" s="1170"/>
      <c r="Z169" s="1170"/>
      <c r="AA169" s="1170"/>
      <c r="AB169" s="1197"/>
      <c r="AC169" s="1186" t="str">
        <f>CokingRefineryCalcs!C520</f>
        <v>Vol Flow</v>
      </c>
      <c r="AD169" s="1170" t="str">
        <f ca="1">CokingRefineryCalcs!D520</f>
        <v>m^3/d</v>
      </c>
      <c r="AE169" s="1187">
        <f ca="1">HydroRefineryCalcs!F495</f>
        <v>1.589873E-15</v>
      </c>
      <c r="AF169" s="1170"/>
      <c r="AG169" s="1170"/>
      <c r="AH169" s="1170"/>
      <c r="AI169" s="1170"/>
      <c r="AJ169" s="1170"/>
      <c r="AK169" s="1170"/>
      <c r="AL169" s="1170"/>
      <c r="AM169" s="1170"/>
      <c r="AN169" s="1170"/>
      <c r="AO169" s="1170"/>
      <c r="AP169" s="1170"/>
      <c r="AQ169" s="1170"/>
      <c r="AR169" s="1170"/>
      <c r="AS169" s="1186" t="str">
        <f>HydroRefineryCalcs!C605</f>
        <v>Vol Flow</v>
      </c>
      <c r="AT169" s="1170" t="str">
        <f ca="1">HydroRefineryCalcs!D605</f>
        <v>bpd</v>
      </c>
      <c r="AU169" s="1170">
        <f ca="1">HydroRefineryCalcs!F605</f>
        <v>1E-26</v>
      </c>
      <c r="AV169" s="1170"/>
      <c r="AW169" s="1170"/>
      <c r="AX169" s="1170" t="s">
        <v>263</v>
      </c>
      <c r="AY169" s="1170"/>
      <c r="AZ169" s="1187">
        <f ca="1">AM186*$AZ$174</f>
        <v>0</v>
      </c>
      <c r="BA169" s="1170"/>
      <c r="BB169" s="1170"/>
      <c r="BC169" s="1170"/>
      <c r="BD169" s="1170"/>
      <c r="BE169" s="1170"/>
      <c r="BF169" s="1170"/>
      <c r="BG169" s="1170"/>
      <c r="BH169" s="1170"/>
      <c r="BI169" s="1170"/>
      <c r="BJ169" s="1170"/>
      <c r="BK169" s="1170"/>
      <c r="BL169" s="1170"/>
      <c r="BM169" s="1170"/>
      <c r="BN169" s="1170"/>
      <c r="BO169" s="1170"/>
      <c r="BP169" s="1170"/>
      <c r="BQ169" s="1170"/>
      <c r="BR169" s="1170"/>
      <c r="BS169" s="1170"/>
      <c r="BT169" s="1170"/>
      <c r="BU169" s="1170"/>
      <c r="BV169" s="1170"/>
      <c r="BW169" s="1170"/>
      <c r="BX169" s="1170"/>
      <c r="BY169" s="1170"/>
      <c r="BZ169" s="1170"/>
      <c r="CA169" s="1170"/>
      <c r="CB169" s="1170"/>
      <c r="CC169" s="1170"/>
      <c r="CD169" s="1170"/>
      <c r="CE169" s="1170"/>
      <c r="CF169" s="1170"/>
      <c r="CG169" s="1170"/>
      <c r="CH169" s="1170"/>
      <c r="CI169" s="1170"/>
      <c r="CJ169" s="1170"/>
      <c r="CK169" s="1181" t="str">
        <f>HydroRefineryCalcs!G724</f>
        <v>FCC C4</v>
      </c>
      <c r="CL169" s="1170"/>
      <c r="CM169" s="1170"/>
      <c r="CN169" s="1170"/>
      <c r="CO169" s="1184" t="s">
        <v>225</v>
      </c>
      <c r="CP169" s="1160"/>
      <c r="CQ169" s="1184" t="s">
        <v>522</v>
      </c>
      <c r="CR169" s="1160"/>
      <c r="CS169" s="1186" t="str">
        <f>HydroRefineryCalcs!C782</f>
        <v>Vol Flow</v>
      </c>
      <c r="CT169" s="1170" t="str">
        <f>HydroRefineryCalcs!D782</f>
        <v>m^3/d</v>
      </c>
      <c r="CU169" s="1187">
        <f ca="1">HydroRefineryCalcs!F782</f>
        <v>1.8294473849927548E-18</v>
      </c>
      <c r="CV169" s="1160"/>
      <c r="CW169" s="1160"/>
      <c r="CX169" s="1160"/>
      <c r="CY169" s="1160"/>
      <c r="CZ169" s="1171"/>
      <c r="DA169" s="1160"/>
      <c r="DB169" s="1160"/>
      <c r="DC169" s="1160"/>
      <c r="DD169" s="1160"/>
      <c r="DE169" s="1160"/>
      <c r="DF169" s="1160"/>
      <c r="DG169" s="1160"/>
      <c r="DH169" s="1160"/>
      <c r="DI169" s="1160"/>
      <c r="DJ169" s="1160"/>
      <c r="DK169" s="1160"/>
      <c r="DL169" s="1253"/>
      <c r="DM169" s="1263"/>
      <c r="DN169" s="1160"/>
      <c r="DO169" s="1160"/>
      <c r="DP169" s="1160"/>
      <c r="DQ169" s="1160"/>
      <c r="DR169" s="1160"/>
      <c r="DS169" s="1160"/>
      <c r="DT169" s="1160"/>
      <c r="DU169" s="1160"/>
      <c r="DV169" s="1160"/>
      <c r="DW169" s="1160"/>
      <c r="DX169" s="1160"/>
      <c r="DY169" s="1160"/>
      <c r="DZ169" s="1160"/>
      <c r="EA169" s="1160" t="s">
        <v>263</v>
      </c>
      <c r="EB169" s="1160"/>
      <c r="EC169" s="1187">
        <f ca="1">(DM82+DM93+DM104+DM115+DM127+DM138+DM149+DM160+DM59+DM71)*$EC$175</f>
        <v>0</v>
      </c>
    </row>
    <row r="170" spans="1:133" x14ac:dyDescent="0.2">
      <c r="A170" s="1160"/>
      <c r="B170" s="1160"/>
      <c r="C170" s="1300"/>
      <c r="D170" s="1160"/>
      <c r="E170" s="1170"/>
      <c r="F170" s="1170"/>
      <c r="G170" s="1170"/>
      <c r="H170" s="1170"/>
      <c r="I170" s="1170"/>
      <c r="J170" s="1170"/>
      <c r="K170" s="1170"/>
      <c r="L170" s="1170"/>
      <c r="M170" s="1170"/>
      <c r="N170" s="1170"/>
      <c r="O170" s="1170"/>
      <c r="P170" s="1170"/>
      <c r="Q170" s="1170"/>
      <c r="R170" s="1170"/>
      <c r="S170" s="1170"/>
      <c r="T170" s="1170"/>
      <c r="U170" s="1170"/>
      <c r="V170" s="1170"/>
      <c r="W170" s="1170"/>
      <c r="X170" s="1170"/>
      <c r="Y170" s="1170"/>
      <c r="Z170" s="1170"/>
      <c r="AA170" s="1170"/>
      <c r="AB170" s="1170"/>
      <c r="AC170" s="1186" t="str">
        <f>CokingRefineryCalcs!C521</f>
        <v>Mass Flow</v>
      </c>
      <c r="AD170" s="1170" t="str">
        <f>CokingRefineryCalcs!D521</f>
        <v>kg/d</v>
      </c>
      <c r="AE170" s="1187">
        <f ca="1">HydroRefineryCalcs!F496</f>
        <v>1E-14</v>
      </c>
      <c r="AF170" s="1170"/>
      <c r="AG170" s="1170"/>
      <c r="AH170" s="1170"/>
      <c r="AI170" s="1170"/>
      <c r="AJ170" s="1170"/>
      <c r="AK170" s="1181" t="str">
        <f>HydroRefineryCalcs!H514</f>
        <v>HVGO</v>
      </c>
      <c r="AL170" s="1170"/>
      <c r="AM170" s="1170"/>
      <c r="AN170" s="1170"/>
      <c r="AO170" s="1170"/>
      <c r="AP170" s="1170"/>
      <c r="AQ170" s="1170"/>
      <c r="AR170" s="1170"/>
      <c r="AS170" s="1186" t="str">
        <f>HydroRefineryCalcs!C606</f>
        <v>Vol Flow</v>
      </c>
      <c r="AT170" s="1170" t="str">
        <f ca="1">HydroRefineryCalcs!D606</f>
        <v>m^3/d</v>
      </c>
      <c r="AU170" s="1170">
        <f ca="1">HydroRefineryCalcs!F606</f>
        <v>1.5898730000000001E-27</v>
      </c>
      <c r="AV170" s="1170"/>
      <c r="AW170" s="1170"/>
      <c r="AX170" s="1170" t="s">
        <v>392</v>
      </c>
      <c r="AY170" s="1170"/>
      <c r="AZ170" s="1187">
        <f ca="1">AM187*$AZ$174</f>
        <v>0</v>
      </c>
      <c r="BA170" s="1170"/>
      <c r="BB170" s="1170"/>
      <c r="BC170" s="1170"/>
      <c r="BD170" s="1170"/>
      <c r="BE170" s="1170"/>
      <c r="BF170" s="1170"/>
      <c r="BG170" s="1181" t="str">
        <f>HydroRefineryCalcs!F906</f>
        <v>Residue HC Naphtha</v>
      </c>
      <c r="BH170" s="1170"/>
      <c r="BI170" s="1170"/>
      <c r="BJ170" s="1170"/>
      <c r="BK170" s="1170"/>
      <c r="BL170" s="1170"/>
      <c r="BM170" s="1170"/>
      <c r="BN170" s="1170"/>
      <c r="BO170" s="1186" t="s">
        <v>1698</v>
      </c>
      <c r="BP170" s="1199" t="s">
        <v>447</v>
      </c>
      <c r="BQ170" s="1252">
        <f>'Energy &amp; Unit Conversions'!$Q$27</f>
        <v>46.898519302437805</v>
      </c>
      <c r="BR170" s="1170"/>
      <c r="BS170" s="1170"/>
      <c r="BT170" s="1170"/>
      <c r="BU170" s="1170"/>
      <c r="BV170" s="1170"/>
      <c r="BW170" s="1181" t="str">
        <f>HydroRefineryCalcs!F978</f>
        <v>HT Naphtha Product</v>
      </c>
      <c r="BX170" s="1170"/>
      <c r="BY170" s="1170"/>
      <c r="BZ170" s="1170"/>
      <c r="CA170" s="1180" t="str">
        <f>BW170</f>
        <v>HT Naphtha Product</v>
      </c>
      <c r="CB170" s="1170"/>
      <c r="CC170" s="1170"/>
      <c r="CD170" s="1170"/>
      <c r="CE170" s="1170"/>
      <c r="CF170" s="1170"/>
      <c r="CG170" s="1170"/>
      <c r="CH170" s="1170"/>
      <c r="CI170" s="1170"/>
      <c r="CJ170" s="1170"/>
      <c r="CK170" s="1182" t="str">
        <f>HydroRefineryCalcs!C724</f>
        <v>Property</v>
      </c>
      <c r="CL170" s="1182" t="str">
        <f>HydroRefineryCalcs!D724</f>
        <v>Units</v>
      </c>
      <c r="CM170" s="1170"/>
      <c r="CN170" s="1170"/>
      <c r="CO170" s="1170" t="s">
        <v>392</v>
      </c>
      <c r="CP170" s="1160"/>
      <c r="CQ170" s="1170">
        <f ca="1">'HydroRefinery Detailed Results'!F27</f>
        <v>0</v>
      </c>
      <c r="CR170" s="1160"/>
      <c r="CS170" s="1186" t="str">
        <f>HydroRefineryCalcs!C783</f>
        <v>Mass Flow</v>
      </c>
      <c r="CT170" s="1170" t="str">
        <f>HydroRefineryCalcs!D783</f>
        <v>kg/d</v>
      </c>
      <c r="CU170" s="1187">
        <f ca="1">HydroRefineryCalcs!F783</f>
        <v>1.2678070377999791E-15</v>
      </c>
      <c r="CV170" s="1160"/>
      <c r="CW170" s="1160"/>
      <c r="CX170" s="1160"/>
      <c r="CY170" s="1160"/>
      <c r="CZ170" s="1171"/>
      <c r="DA170" s="1160"/>
      <c r="DB170" s="1160"/>
      <c r="DC170" s="1160"/>
      <c r="DD170" s="1160"/>
      <c r="DE170" s="1160"/>
      <c r="DF170" s="1160"/>
      <c r="DG170" s="1160"/>
      <c r="DH170" s="1160"/>
      <c r="DI170" s="1160"/>
      <c r="DJ170" s="1160"/>
      <c r="DK170" s="1160"/>
      <c r="DL170" s="1160"/>
      <c r="DM170" s="1171"/>
      <c r="DN170" s="1160"/>
      <c r="DO170" s="1160"/>
      <c r="DP170" s="1160"/>
      <c r="DQ170" s="1160"/>
      <c r="DR170" s="1160"/>
      <c r="DS170" s="1160"/>
      <c r="DT170" s="1160"/>
      <c r="DU170" s="1160"/>
      <c r="DV170" s="1160"/>
      <c r="DW170" s="1160"/>
      <c r="DX170" s="1160"/>
      <c r="DY170" s="1160"/>
      <c r="DZ170" s="1160"/>
      <c r="EA170" s="1160" t="s">
        <v>392</v>
      </c>
      <c r="EB170" s="1160"/>
      <c r="EC170" s="1187">
        <f ca="1">(DO43+DM83+DM94+DM105+DM116+DM128+DM139+DM150+DM161+DM60+DM72)*$EC$175</f>
        <v>0</v>
      </c>
    </row>
    <row r="171" spans="1:133" x14ac:dyDescent="0.2">
      <c r="A171" s="1160"/>
      <c r="B171" s="1160"/>
      <c r="C171" s="1160"/>
      <c r="D171" s="1160"/>
      <c r="E171" s="1170"/>
      <c r="F171" s="1170"/>
      <c r="G171" s="1170"/>
      <c r="H171" s="1170"/>
      <c r="I171" s="1170"/>
      <c r="J171" s="1170"/>
      <c r="K171" s="1170"/>
      <c r="L171" s="1170"/>
      <c r="M171" s="1170"/>
      <c r="N171" s="1170"/>
      <c r="O171" s="1170"/>
      <c r="P171" s="1170"/>
      <c r="Q171" s="1170"/>
      <c r="R171" s="1170"/>
      <c r="S171" s="1170"/>
      <c r="T171" s="1170"/>
      <c r="U171" s="1170"/>
      <c r="V171" s="1170"/>
      <c r="W171" s="1170"/>
      <c r="X171" s="1170"/>
      <c r="Y171" s="1170"/>
      <c r="Z171" s="1170"/>
      <c r="AA171" s="1170"/>
      <c r="AB171" s="1170"/>
      <c r="AC171" s="1186" t="str">
        <f>CokingRefineryCalcs!C522</f>
        <v xml:space="preserve">Sulphur </v>
      </c>
      <c r="AD171" s="1170" t="str">
        <f ca="1">CokingRefineryCalcs!D522</f>
        <v>wt%</v>
      </c>
      <c r="AE171" s="1170">
        <f ca="1">HydroRefineryCalcs!F497</f>
        <v>1E-14</v>
      </c>
      <c r="AF171" s="1170"/>
      <c r="AG171" s="1170"/>
      <c r="AH171" s="1170"/>
      <c r="AI171" s="1170"/>
      <c r="AJ171" s="1170"/>
      <c r="AK171" s="1182" t="str">
        <f>HydroRefineryCalcs!C514</f>
        <v>Property</v>
      </c>
      <c r="AL171" s="1182" t="str">
        <f>HydroRefineryCalcs!D514</f>
        <v>Units</v>
      </c>
      <c r="AM171" s="1170"/>
      <c r="AN171" s="1170"/>
      <c r="AO171" s="1170"/>
      <c r="AP171" s="1170"/>
      <c r="AQ171" s="1170"/>
      <c r="AR171" s="1170"/>
      <c r="AS171" s="1186" t="str">
        <f>HydroRefineryCalcs!C607</f>
        <v>Mass Flow</v>
      </c>
      <c r="AT171" s="1170" t="str">
        <f>HydroRefineryCalcs!D607</f>
        <v>kg/d</v>
      </c>
      <c r="AU171" s="1170">
        <f ca="1">HydroRefineryCalcs!F607</f>
        <v>1E-26</v>
      </c>
      <c r="AV171" s="1170"/>
      <c r="AW171" s="1170"/>
      <c r="AX171" s="1170" t="s">
        <v>224</v>
      </c>
      <c r="AY171" s="1170"/>
      <c r="AZ171" s="1187">
        <f ca="1">AM188*$AZ$174</f>
        <v>0</v>
      </c>
      <c r="BA171" s="1170"/>
      <c r="BB171" s="1170"/>
      <c r="BC171" s="1170"/>
      <c r="BD171" s="1170"/>
      <c r="BE171" s="1170"/>
      <c r="BF171" s="1170"/>
      <c r="BG171" s="1182" t="str">
        <f>HydroRefineryCalcs!C906</f>
        <v>Property</v>
      </c>
      <c r="BH171" s="1182" t="str">
        <f>HydroRefineryCalcs!D906</f>
        <v>Units</v>
      </c>
      <c r="BI171" s="1170"/>
      <c r="BJ171" s="1170"/>
      <c r="BK171" s="1170"/>
      <c r="BL171" s="1170"/>
      <c r="BM171" s="1170"/>
      <c r="BN171" s="1170"/>
      <c r="BO171" s="1200" t="s">
        <v>1021</v>
      </c>
      <c r="BP171" s="1199" t="s">
        <v>1022</v>
      </c>
      <c r="BQ171" s="1252">
        <f>Constants!$G$353</f>
        <v>33.957001686096191</v>
      </c>
      <c r="BR171" s="1170"/>
      <c r="BS171" s="1170"/>
      <c r="BT171" s="1170"/>
      <c r="BU171" s="1170"/>
      <c r="BV171" s="1170"/>
      <c r="BW171" s="1182" t="str">
        <f>HydroRefineryCalcs!C978</f>
        <v>Property</v>
      </c>
      <c r="BX171" s="1182" t="str">
        <f>HydroRefineryCalcs!D978</f>
        <v>Units</v>
      </c>
      <c r="BY171" s="1170"/>
      <c r="BZ171" s="1170"/>
      <c r="CA171" s="1183" t="s">
        <v>226</v>
      </c>
      <c r="CB171" s="1170"/>
      <c r="CC171" s="1184" t="s">
        <v>522</v>
      </c>
      <c r="CD171" s="1170"/>
      <c r="CE171" s="1170"/>
      <c r="CF171" s="1170"/>
      <c r="CG171" s="1170"/>
      <c r="CH171" s="1170"/>
      <c r="CI171" s="1170"/>
      <c r="CJ171" s="1170"/>
      <c r="CK171" s="1186" t="str">
        <f>HydroRefineryCalcs!C725</f>
        <v>Vol Flow</v>
      </c>
      <c r="CL171" s="1170" t="str">
        <f>HydroRefineryCalcs!D725</f>
        <v>bpd</v>
      </c>
      <c r="CM171" s="1187">
        <f ca="1">HydroRefineryCalcs!G725</f>
        <v>1.2758825770863247E-17</v>
      </c>
      <c r="CN171" s="1170"/>
      <c r="CO171" s="1170" t="s">
        <v>224</v>
      </c>
      <c r="CP171" s="1160"/>
      <c r="CQ171" s="1170">
        <f>'HydroRefinery Detailed Results'!H27</f>
        <v>0</v>
      </c>
      <c r="CR171" s="1160"/>
      <c r="CS171" s="1186" t="str">
        <f>HydroRefineryCalcs!C784</f>
        <v>S</v>
      </c>
      <c r="CT171" s="1170" t="str">
        <f>HydroRefineryCalcs!D784</f>
        <v>wt%</v>
      </c>
      <c r="CU171" s="1170">
        <f ca="1">HydroRefineryCalcs!F784</f>
        <v>0</v>
      </c>
      <c r="CV171" s="1160"/>
      <c r="CW171" s="1160"/>
      <c r="CX171" s="1160"/>
      <c r="CY171" s="1160"/>
      <c r="CZ171" s="1171"/>
      <c r="DA171" s="1160"/>
      <c r="DB171" s="1160"/>
      <c r="DC171" s="1160"/>
      <c r="DD171" s="1160"/>
      <c r="DE171" s="1160"/>
      <c r="DF171" s="1160"/>
      <c r="DG171" s="1160"/>
      <c r="DH171" s="1160"/>
      <c r="DI171" s="1160"/>
      <c r="DJ171" s="1160"/>
      <c r="DK171" s="1160"/>
      <c r="DL171" s="1160"/>
      <c r="DM171" s="1171"/>
      <c r="DN171" s="1160"/>
      <c r="DO171" s="1160"/>
      <c r="DP171" s="1160"/>
      <c r="DQ171" s="1160"/>
      <c r="DR171" s="1160"/>
      <c r="DS171" s="1160"/>
      <c r="DT171" s="1160"/>
      <c r="DU171" s="1160"/>
      <c r="DV171" s="1160"/>
      <c r="DW171" s="1160"/>
      <c r="DX171" s="1160"/>
      <c r="DY171" s="1160"/>
      <c r="DZ171" s="1160"/>
      <c r="EA171" s="1160" t="s">
        <v>224</v>
      </c>
      <c r="EB171" s="1160"/>
      <c r="EC171" s="1187">
        <f ca="1">(DO44+DM84+DM95+DM106+DM117+DM129+DM140+DM151+DM162+DM61+DM73)*$EC$175</f>
        <v>0</v>
      </c>
    </row>
    <row r="172" spans="1:133" x14ac:dyDescent="0.2">
      <c r="A172" s="1160"/>
      <c r="B172" s="1160"/>
      <c r="C172" s="1160"/>
      <c r="D172" s="1160"/>
      <c r="E172" s="1170"/>
      <c r="F172" s="1170"/>
      <c r="G172" s="1170"/>
      <c r="H172" s="1170"/>
      <c r="I172" s="1170"/>
      <c r="J172" s="1170"/>
      <c r="K172" s="1170"/>
      <c r="L172" s="1170"/>
      <c r="M172" s="1170"/>
      <c r="N172" s="1170"/>
      <c r="O172" s="1170"/>
      <c r="P172" s="1170"/>
      <c r="Q172" s="1170"/>
      <c r="R172" s="1170"/>
      <c r="S172" s="1170"/>
      <c r="T172" s="1170"/>
      <c r="U172" s="1170"/>
      <c r="V172" s="1170"/>
      <c r="W172" s="1170"/>
      <c r="X172" s="1170"/>
      <c r="Y172" s="1170"/>
      <c r="Z172" s="1170"/>
      <c r="AA172" s="1170"/>
      <c r="AB172" s="1170"/>
      <c r="AC172" s="1186" t="str">
        <f>CokingRefineryCalcs!C524</f>
        <v xml:space="preserve">API gravity </v>
      </c>
      <c r="AD172" s="1170"/>
      <c r="AE172" s="1170">
        <f ca="1">HydroRefineryCalcs!F499</f>
        <v>1E-14</v>
      </c>
      <c r="AF172" s="1170"/>
      <c r="AG172" s="1170"/>
      <c r="AH172" s="1170"/>
      <c r="AI172" s="1170"/>
      <c r="AJ172" s="1170"/>
      <c r="AK172" s="1186" t="str">
        <f>HydroRefineryCalcs!C515</f>
        <v>Vol Flow</v>
      </c>
      <c r="AL172" s="1170" t="str">
        <f ca="1">HydroRefineryCalcs!D515</f>
        <v>bpd</v>
      </c>
      <c r="AM172" s="1187">
        <f ca="1">HydroRefineryCalcs!H515</f>
        <v>1E-14</v>
      </c>
      <c r="AN172" s="1170"/>
      <c r="AO172" s="1170"/>
      <c r="AP172" s="1170"/>
      <c r="AQ172" s="1170"/>
      <c r="AR172" s="1170"/>
      <c r="AS172" s="1186" t="str">
        <f>HydroRefineryCalcs!C608</f>
        <v xml:space="preserve">Sulphur </v>
      </c>
      <c r="AT172" s="1170" t="str">
        <f ca="1">HydroRefineryCalcs!D608</f>
        <v>wt%</v>
      </c>
      <c r="AU172" s="1170">
        <f ca="1">HydroRefineryCalcs!F608</f>
        <v>0</v>
      </c>
      <c r="AV172" s="1170"/>
      <c r="AW172" s="1170"/>
      <c r="AX172" s="1170" t="s">
        <v>485</v>
      </c>
      <c r="AY172" s="1170"/>
      <c r="AZ172" s="1187">
        <f ca="1">AM189*$AZ$174</f>
        <v>0</v>
      </c>
      <c r="BA172" s="1170"/>
      <c r="BB172" s="1170"/>
      <c r="BC172" s="1170"/>
      <c r="BD172" s="1170"/>
      <c r="BE172" s="1170"/>
      <c r="BF172" s="1170"/>
      <c r="BG172" s="1186" t="str">
        <f>HydroRefineryCalcs!C907</f>
        <v>Vol Flow</v>
      </c>
      <c r="BH172" s="1170" t="str">
        <f ca="1">HydroRefineryCalcs!D907</f>
        <v>bpd</v>
      </c>
      <c r="BI172" s="1170">
        <f ca="1">HydroRefineryCalcs!F907</f>
        <v>1.0504210321332737E-17</v>
      </c>
      <c r="BJ172" s="1170"/>
      <c r="BK172" s="1170"/>
      <c r="BL172" s="1170"/>
      <c r="BM172" s="1170"/>
      <c r="BN172" s="1170"/>
      <c r="BO172" s="1204" t="s">
        <v>1054</v>
      </c>
      <c r="BP172" s="1204" t="str">
        <f>IF(allocationMethod=1,CokingRefineryPFD!$C$21,IF(allocationMethod=2,CokingRefineryPFD!$C$22,IF(allocationMethod=3,CokingRefineryPFD!$C$23,CokingRefineryPFD!$C$24)))</f>
        <v>Hydrogen Content Basis</v>
      </c>
      <c r="BQ172" s="1250">
        <f ca="1">HydroRefineryCalcs!R1515</f>
        <v>0</v>
      </c>
      <c r="BR172" s="1170"/>
      <c r="BS172" s="1170"/>
      <c r="BT172" s="1170"/>
      <c r="BU172" s="1170"/>
      <c r="BV172" s="1170"/>
      <c r="BW172" s="1186" t="str">
        <f>HydroRefineryCalcs!C979</f>
        <v>Vol Flow</v>
      </c>
      <c r="BX172" s="1170" t="str">
        <f ca="1">HydroRefineryCalcs!D979</f>
        <v>bpd</v>
      </c>
      <c r="BY172" s="1170">
        <f ca="1">HydroRefineryCalcs!F979</f>
        <v>1.0943045066169453E-17</v>
      </c>
      <c r="BZ172" s="1170"/>
      <c r="CA172" s="1170" t="s">
        <v>263</v>
      </c>
      <c r="CB172" s="1170"/>
      <c r="CC172" s="1170">
        <f ca="1">BI186*CC177</f>
        <v>0</v>
      </c>
      <c r="CD172" s="1170"/>
      <c r="CE172" s="1170"/>
      <c r="CF172" s="1170"/>
      <c r="CG172" s="1170"/>
      <c r="CH172" s="1170"/>
      <c r="CI172" s="1170"/>
      <c r="CJ172" s="1170"/>
      <c r="CK172" s="1186" t="str">
        <f>HydroRefineryCalcs!C726</f>
        <v>Vol Flow</v>
      </c>
      <c r="CL172" s="1170" t="str">
        <f>HydroRefineryCalcs!D726</f>
        <v>m^3/d</v>
      </c>
      <c r="CM172" s="1187">
        <f ca="1">HydroRefineryCalcs!G726</f>
        <v>2.0284912604799663E-18</v>
      </c>
      <c r="CN172" s="1170"/>
      <c r="CO172" s="1170" t="s">
        <v>485</v>
      </c>
      <c r="CP172" s="1160"/>
      <c r="CQ172" s="1170">
        <f ca="1">'HydroRefinery Detailed Results'!J27</f>
        <v>3.0415246322791786E-15</v>
      </c>
      <c r="CR172" s="1160"/>
      <c r="CS172" s="1186" t="str">
        <f>HydroRefineryCalcs!C786</f>
        <v>API</v>
      </c>
      <c r="CT172" s="1170"/>
      <c r="CU172" s="1170">
        <f>HydroRefineryCalcs!F786</f>
        <v>72.684704184704202</v>
      </c>
      <c r="CV172" s="1160"/>
      <c r="CW172" s="1160"/>
      <c r="CX172" s="1160"/>
      <c r="CY172" s="1160"/>
      <c r="CZ172" s="1171"/>
      <c r="DA172" s="1160"/>
      <c r="DB172" s="1160"/>
      <c r="DC172" s="1160"/>
      <c r="DD172" s="1160"/>
      <c r="DE172" s="1160"/>
      <c r="DF172" s="1160"/>
      <c r="DG172" s="1160"/>
      <c r="DH172" s="1160"/>
      <c r="DI172" s="1160"/>
      <c r="DJ172" s="1160"/>
      <c r="DK172" s="1160"/>
      <c r="DL172" s="1160" t="s">
        <v>78</v>
      </c>
      <c r="DM172" s="1171">
        <f ca="1">(DM80+DM91+DM102+DM113+DM125+DM136+DM147+DM158+DM57+DM69)</f>
        <v>247907.20291792063</v>
      </c>
      <c r="DN172" s="1160"/>
      <c r="DO172" s="1160"/>
      <c r="DP172" s="1160"/>
      <c r="DQ172" s="1160"/>
      <c r="DR172" s="1160"/>
      <c r="DS172" s="1160"/>
      <c r="DT172" s="1160"/>
      <c r="DU172" s="1160"/>
      <c r="DV172" s="1160"/>
      <c r="DW172" s="1160"/>
      <c r="DX172" s="1160"/>
      <c r="DY172" s="1160"/>
      <c r="DZ172" s="1160"/>
      <c r="EA172" s="1160" t="s">
        <v>485</v>
      </c>
      <c r="EB172" s="1160"/>
      <c r="EC172" s="1187">
        <f ca="1">(DO45+DM85+DM96+DM107+DM118+DM130+DM141+DM152+DM163+DM62+DM74)*$EC$175</f>
        <v>0</v>
      </c>
    </row>
    <row r="173" spans="1:133" x14ac:dyDescent="0.2">
      <c r="A173" s="1160"/>
      <c r="B173" s="1160"/>
      <c r="C173" s="1160"/>
      <c r="D173" s="1160"/>
      <c r="E173" s="1170"/>
      <c r="F173" s="1170"/>
      <c r="G173" s="1170"/>
      <c r="H173" s="1170"/>
      <c r="I173" s="1170"/>
      <c r="J173" s="1170"/>
      <c r="K173" s="1170"/>
      <c r="L173" s="1170"/>
      <c r="M173" s="1170"/>
      <c r="N173" s="1170"/>
      <c r="O173" s="1170"/>
      <c r="P173" s="1170"/>
      <c r="Q173" s="1170"/>
      <c r="R173" s="1170"/>
      <c r="S173" s="1170"/>
      <c r="T173" s="1170"/>
      <c r="U173" s="1170"/>
      <c r="V173" s="1170"/>
      <c r="W173" s="1170"/>
      <c r="X173" s="1170"/>
      <c r="Y173" s="1170"/>
      <c r="Z173" s="1170"/>
      <c r="AA173" s="1170"/>
      <c r="AB173" s="1170"/>
      <c r="AC173" s="1186" t="str">
        <f>CokingRefineryCalcs!C525</f>
        <v>Density</v>
      </c>
      <c r="AD173" s="1170" t="str">
        <f ca="1">CokingRefineryCalcs!D525</f>
        <v>kg/m^3</v>
      </c>
      <c r="AE173" s="1187">
        <f ca="1">HydroRefineryCalcs!F500</f>
        <v>0</v>
      </c>
      <c r="AF173" s="1170"/>
      <c r="AG173" s="1170"/>
      <c r="AH173" s="1170"/>
      <c r="AI173" s="1170"/>
      <c r="AJ173" s="1170"/>
      <c r="AK173" s="1186" t="str">
        <f>HydroRefineryCalcs!C516</f>
        <v>Vol Flow</v>
      </c>
      <c r="AL173" s="1170" t="str">
        <f ca="1">HydroRefineryCalcs!D516</f>
        <v>m^3/d</v>
      </c>
      <c r="AM173" s="1187">
        <f ca="1">HydroRefineryCalcs!H516</f>
        <v>1.589873E-15</v>
      </c>
      <c r="AN173" s="1170"/>
      <c r="AO173" s="1170"/>
      <c r="AP173" s="1170"/>
      <c r="AQ173" s="1170"/>
      <c r="AR173" s="1170"/>
      <c r="AS173" s="1186" t="str">
        <f>HydroRefineryCalcs!C610</f>
        <v xml:space="preserve">API gravity </v>
      </c>
      <c r="AT173" s="1170"/>
      <c r="AU173" s="1170">
        <f ca="1">HydroRefineryCalcs!F610</f>
        <v>0</v>
      </c>
      <c r="AV173" s="1170"/>
      <c r="AW173" s="1170"/>
      <c r="AX173" s="1170" t="s">
        <v>541</v>
      </c>
      <c r="AY173" s="1170"/>
      <c r="AZ173" s="1170">
        <f ca="1">AM190*$AZ$174</f>
        <v>0</v>
      </c>
      <c r="BA173" s="1170"/>
      <c r="BB173" s="1170"/>
      <c r="BC173" s="1170"/>
      <c r="BD173" s="1170"/>
      <c r="BE173" s="1170"/>
      <c r="BF173" s="1170"/>
      <c r="BG173" s="1186" t="str">
        <f>HydroRefineryCalcs!C908</f>
        <v>Vol Flow</v>
      </c>
      <c r="BH173" s="1170" t="str">
        <f ca="1">HydroRefineryCalcs!D908</f>
        <v>m^3/d</v>
      </c>
      <c r="BI173" s="1170">
        <f ca="1">HydroRefineryCalcs!F908</f>
        <v>1.6700360376208241E-18</v>
      </c>
      <c r="BJ173" s="1170"/>
      <c r="BK173" s="1170"/>
      <c r="BL173" s="1170"/>
      <c r="BM173" s="1170"/>
      <c r="BN173" s="1170"/>
      <c r="BO173" s="1170"/>
      <c r="BP173" s="1170"/>
      <c r="BQ173" s="1170"/>
      <c r="BR173" s="1170"/>
      <c r="BS173" s="1170"/>
      <c r="BT173" s="1170"/>
      <c r="BU173" s="1170"/>
      <c r="BV173" s="1170"/>
      <c r="BW173" s="1186" t="str">
        <f>HydroRefineryCalcs!C980</f>
        <v>Vol Flow</v>
      </c>
      <c r="BX173" s="1170" t="str">
        <f ca="1">HydroRefineryCalcs!D980</f>
        <v>m^3/d</v>
      </c>
      <c r="BY173" s="1170">
        <f ca="1">HydroRefineryCalcs!F980</f>
        <v>1.7398051888486026E-18</v>
      </c>
      <c r="BZ173" s="1170"/>
      <c r="CA173" s="1170" t="s">
        <v>392</v>
      </c>
      <c r="CB173" s="1170"/>
      <c r="CC173" s="1170">
        <f ca="1">(BI187+BQ181)*$CC$177</f>
        <v>0</v>
      </c>
      <c r="CD173" s="1170"/>
      <c r="CE173" s="1170"/>
      <c r="CF173" s="1170"/>
      <c r="CG173" s="1170"/>
      <c r="CH173" s="1170"/>
      <c r="CI173" s="1170"/>
      <c r="CJ173" s="1170"/>
      <c r="CK173" s="1186" t="str">
        <f>HydroRefineryCalcs!C727</f>
        <v>Mass Flow</v>
      </c>
      <c r="CL173" s="1170" t="str">
        <f>HydroRefineryCalcs!D727</f>
        <v>kg/d</v>
      </c>
      <c r="CM173" s="1187">
        <f ca="1">HydroRefineryCalcs!G727</f>
        <v>1.2678070377999791E-15</v>
      </c>
      <c r="CN173" s="1170"/>
      <c r="CO173" s="1170" t="s">
        <v>541</v>
      </c>
      <c r="CP173" s="1160"/>
      <c r="CQ173" s="1170">
        <f>'HydroRefinery Detailed Results'!L27</f>
        <v>0</v>
      </c>
      <c r="CR173" s="1160"/>
      <c r="CS173" s="1186" t="str">
        <f>HydroRefineryCalcs!C787</f>
        <v>Density</v>
      </c>
      <c r="CT173" s="1170" t="str">
        <f>HydroRefineryCalcs!D787</f>
        <v>kg/m^3</v>
      </c>
      <c r="CU173" s="1266">
        <f>HydroRefineryCalcs!F787</f>
        <v>693</v>
      </c>
      <c r="CV173" s="1160"/>
      <c r="CW173" s="1160"/>
      <c r="CX173" s="1160"/>
      <c r="CY173" s="1160"/>
      <c r="CZ173" s="1171"/>
      <c r="DA173" s="1160"/>
      <c r="DB173" s="1160"/>
      <c r="DC173" s="1160"/>
      <c r="DD173" s="1160"/>
      <c r="DE173" s="1160"/>
      <c r="DF173" s="1160"/>
      <c r="DG173" s="1160"/>
      <c r="DH173" s="1160"/>
      <c r="DI173" s="1160"/>
      <c r="DJ173" s="1160"/>
      <c r="DK173" s="1160"/>
      <c r="DL173" s="1160" t="s">
        <v>79</v>
      </c>
      <c r="DM173" s="1171">
        <f ca="1">DM172-HydroRefineryCalcs!E1049</f>
        <v>9.0862158685922623E-8</v>
      </c>
      <c r="DN173" s="1160"/>
      <c r="DO173" s="1160"/>
      <c r="DP173" s="1160"/>
      <c r="DQ173" s="1160"/>
      <c r="DR173" s="1160"/>
      <c r="DS173" s="1160"/>
      <c r="DT173" s="1160"/>
      <c r="DU173" s="1160"/>
      <c r="DV173" s="1160"/>
      <c r="DW173" s="1160"/>
      <c r="DX173" s="1160"/>
      <c r="DY173" s="1160"/>
      <c r="DZ173" s="1160"/>
      <c r="EA173" s="1160" t="s">
        <v>541</v>
      </c>
      <c r="EB173" s="1160"/>
      <c r="EC173" s="1187">
        <f ca="1">(DO46+DM86+DM97+DM108+DM119+DM131+DM142+DM153+DM164+DM63+DM75)*$EC$175</f>
        <v>0</v>
      </c>
    </row>
    <row r="174" spans="1:133" x14ac:dyDescent="0.2">
      <c r="A174" s="1160"/>
      <c r="B174" s="1160"/>
      <c r="C174" s="1160"/>
      <c r="D174" s="1160"/>
      <c r="E174" s="1170"/>
      <c r="F174" s="1170"/>
      <c r="G174" s="1170"/>
      <c r="H174" s="1170"/>
      <c r="I174" s="1170"/>
      <c r="J174" s="1170"/>
      <c r="K174" s="1170"/>
      <c r="L174" s="1170"/>
      <c r="M174" s="1170"/>
      <c r="N174" s="1170"/>
      <c r="O174" s="1170"/>
      <c r="P174" s="1170"/>
      <c r="Q174" s="1170"/>
      <c r="R174" s="1170"/>
      <c r="S174" s="1170"/>
      <c r="T174" s="1170"/>
      <c r="U174" s="1170"/>
      <c r="V174" s="1170"/>
      <c r="W174" s="1170"/>
      <c r="X174" s="1170"/>
      <c r="Y174" s="1170"/>
      <c r="Z174" s="1170"/>
      <c r="AA174" s="1170"/>
      <c r="AB174" s="1170"/>
      <c r="AC174" s="1186" t="str">
        <f>CokingRefineryCalcs!C526</f>
        <v>Hydrogen</v>
      </c>
      <c r="AD174" s="1170" t="str">
        <f ca="1">CokingRefineryCalcs!D526</f>
        <v>wt%</v>
      </c>
      <c r="AE174" s="1170">
        <f ca="1">HydroRefineryCalcs!F501</f>
        <v>1E-14</v>
      </c>
      <c r="AF174" s="1170"/>
      <c r="AG174" s="1170"/>
      <c r="AH174" s="1170"/>
      <c r="AI174" s="1170"/>
      <c r="AJ174" s="1170"/>
      <c r="AK174" s="1186" t="str">
        <f>HydroRefineryCalcs!C517</f>
        <v>Mass Flow</v>
      </c>
      <c r="AL174" s="1170" t="str">
        <f>HydroRefineryCalcs!D517</f>
        <v>kg/d</v>
      </c>
      <c r="AM174" s="1187">
        <f ca="1">HydroRefineryCalcs!H517</f>
        <v>1E-14</v>
      </c>
      <c r="AN174" s="1170"/>
      <c r="AO174" s="1170"/>
      <c r="AP174" s="1170"/>
      <c r="AQ174" s="1170"/>
      <c r="AR174" s="1170"/>
      <c r="AS174" s="1186" t="str">
        <f>HydroRefineryCalcs!C611</f>
        <v>Density</v>
      </c>
      <c r="AT174" s="1170" t="str">
        <f ca="1">HydroRefineryCalcs!D611</f>
        <v>kg/m^3</v>
      </c>
      <c r="AU174" s="1170">
        <f ca="1">HydroRefineryCalcs!F611</f>
        <v>0</v>
      </c>
      <c r="AV174" s="1170"/>
      <c r="AW174" s="1170"/>
      <c r="AX174" s="1180" t="s">
        <v>1065</v>
      </c>
      <c r="AY174" s="1170"/>
      <c r="AZ174" s="1170">
        <f ca="1">IF(AM182=0,0,AU179/AM182)</f>
        <v>0</v>
      </c>
      <c r="BA174" s="1170"/>
      <c r="BB174" s="1170"/>
      <c r="BC174" s="1170"/>
      <c r="BD174" s="1170"/>
      <c r="BE174" s="1170"/>
      <c r="BF174" s="1170"/>
      <c r="BG174" s="1186" t="str">
        <f>HydroRefineryCalcs!C909</f>
        <v>Mass Flow</v>
      </c>
      <c r="BH174" s="1170" t="str">
        <f>HydroRefineryCalcs!D909</f>
        <v>kg/d</v>
      </c>
      <c r="BI174" s="1170">
        <f ca="1">HydroRefineryCalcs!F909</f>
        <v>1.2258064516139244E-15</v>
      </c>
      <c r="BJ174" s="1170"/>
      <c r="BK174" s="1170"/>
      <c r="BL174" s="1170"/>
      <c r="BM174" s="1170"/>
      <c r="BN174" s="1170"/>
      <c r="BO174" s="1170"/>
      <c r="BP174" s="1170"/>
      <c r="BQ174" s="1170"/>
      <c r="BR174" s="1170"/>
      <c r="BS174" s="1170"/>
      <c r="BT174" s="1170"/>
      <c r="BU174" s="1170"/>
      <c r="BV174" s="1170"/>
      <c r="BW174" s="1186" t="str">
        <f>HydroRefineryCalcs!C981</f>
        <v>Mass Flow</v>
      </c>
      <c r="BX174" s="1170" t="str">
        <f>HydroRefineryCalcs!D981</f>
        <v>kg/d</v>
      </c>
      <c r="BY174" s="1170">
        <f ca="1">HydroRefineryCalcs!F981</f>
        <v>1.2526597359709939E-15</v>
      </c>
      <c r="BZ174" s="1170"/>
      <c r="CA174" s="1170" t="s">
        <v>224</v>
      </c>
      <c r="CB174" s="1170"/>
      <c r="CC174" s="1170">
        <f ca="1">(BI188+BQ182)*$CC$177</f>
        <v>8.8035273133141907E-14</v>
      </c>
      <c r="CD174" s="1170"/>
      <c r="CE174" s="1170"/>
      <c r="CF174" s="1170"/>
      <c r="CG174" s="1170"/>
      <c r="CH174" s="1170"/>
      <c r="CI174" s="1170"/>
      <c r="CJ174" s="1170"/>
      <c r="CK174" s="1186" t="str">
        <f>HydroRefineryCalcs!C728</f>
        <v>S</v>
      </c>
      <c r="CL174" s="1170" t="str">
        <f>HydroRefineryCalcs!D728</f>
        <v>wt%</v>
      </c>
      <c r="CM174" s="1170">
        <f ca="1">HydroRefineryCalcs!G728</f>
        <v>0</v>
      </c>
      <c r="CN174" s="1170"/>
      <c r="CO174" s="1170"/>
      <c r="CP174" s="1170"/>
      <c r="CQ174" s="1170"/>
      <c r="CR174" s="1160"/>
      <c r="CS174" s="1186" t="str">
        <f>HydroRefineryCalcs!C788</f>
        <v>H</v>
      </c>
      <c r="CT174" s="1170" t="str">
        <f>HydroRefineryCalcs!D788</f>
        <v>wt%</v>
      </c>
      <c r="CU174" s="1170">
        <f ca="1">HydroRefineryCalcs!F788</f>
        <v>16.099999999999998</v>
      </c>
      <c r="CV174" s="1160"/>
      <c r="CW174" s="1160"/>
      <c r="CX174" s="1160"/>
      <c r="CY174" s="1160"/>
      <c r="CZ174" s="1171"/>
      <c r="DA174" s="1160"/>
      <c r="DB174" s="1160"/>
      <c r="DC174" s="1160"/>
      <c r="DD174" s="1160"/>
      <c r="DE174" s="1160"/>
      <c r="DF174" s="1160"/>
      <c r="DG174" s="1160"/>
      <c r="DH174" s="1160"/>
      <c r="DI174" s="1160"/>
      <c r="DJ174" s="1160"/>
      <c r="DK174" s="1160"/>
      <c r="DL174" s="1160"/>
      <c r="DM174" s="1171"/>
      <c r="DN174" s="1160"/>
      <c r="DO174" s="1160"/>
      <c r="DP174" s="1160"/>
      <c r="DQ174" s="1160"/>
      <c r="DR174" s="1160"/>
      <c r="DS174" s="1160"/>
      <c r="DT174" s="1160"/>
      <c r="DU174" s="1160"/>
      <c r="DV174" s="1160"/>
      <c r="DW174" s="1160"/>
      <c r="DX174" s="1160"/>
      <c r="DY174" s="1160"/>
      <c r="DZ174" s="1160"/>
      <c r="EA174" s="1160" t="s">
        <v>234</v>
      </c>
      <c r="EB174" s="1160"/>
      <c r="EC174" s="1187">
        <f ca="1">(DM120+DM165)*$EC$175</f>
        <v>0</v>
      </c>
    </row>
    <row r="175" spans="1:133" x14ac:dyDescent="0.2">
      <c r="A175" s="1160"/>
      <c r="B175" s="1160"/>
      <c r="C175" s="1160"/>
      <c r="D175" s="1160"/>
      <c r="E175" s="1170"/>
      <c r="F175" s="1170"/>
      <c r="G175" s="1170"/>
      <c r="H175" s="1170"/>
      <c r="I175" s="1170"/>
      <c r="J175" s="1170"/>
      <c r="K175" s="1170"/>
      <c r="L175" s="1170"/>
      <c r="M175" s="1170"/>
      <c r="N175" s="1170"/>
      <c r="O175" s="1170"/>
      <c r="P175" s="1170"/>
      <c r="Q175" s="1170"/>
      <c r="R175" s="1170"/>
      <c r="S175" s="1170"/>
      <c r="T175" s="1170"/>
      <c r="U175" s="1170"/>
      <c r="V175" s="1170"/>
      <c r="W175" s="1170"/>
      <c r="X175" s="1170"/>
      <c r="Y175" s="1170"/>
      <c r="Z175" s="1170"/>
      <c r="AA175" s="1170"/>
      <c r="AB175" s="1170"/>
      <c r="AC175" s="1186" t="str">
        <f>CokingRefineryCalcs!C527</f>
        <v>MCR</v>
      </c>
      <c r="AD175" s="1170" t="str">
        <f ca="1">CokingRefineryCalcs!D527</f>
        <v>wt%</v>
      </c>
      <c r="AE175" s="1170">
        <f ca="1">HydroRefineryCalcs!F502</f>
        <v>4.4374255523499508</v>
      </c>
      <c r="AF175" s="1170"/>
      <c r="AG175" s="1170"/>
      <c r="AH175" s="1170"/>
      <c r="AI175" s="1170"/>
      <c r="AJ175" s="1170"/>
      <c r="AK175" s="1186" t="str">
        <f>HydroRefineryCalcs!C518</f>
        <v xml:space="preserve">Sulphur </v>
      </c>
      <c r="AL175" s="1170" t="str">
        <f ca="1">HydroRefineryCalcs!D518</f>
        <v>wt%</v>
      </c>
      <c r="AM175" s="1170">
        <f ca="1">HydroRefineryCalcs!H518</f>
        <v>0</v>
      </c>
      <c r="AN175" s="1170"/>
      <c r="AO175" s="1170"/>
      <c r="AP175" s="1170"/>
      <c r="AQ175" s="1170"/>
      <c r="AR175" s="1170"/>
      <c r="AS175" s="1186" t="str">
        <f>HydroRefineryCalcs!C612</f>
        <v>Hydrogen</v>
      </c>
      <c r="AT175" s="1170" t="str">
        <f ca="1">HydroRefineryCalcs!D612</f>
        <v>wt%</v>
      </c>
      <c r="AU175" s="1170">
        <f ca="1">HydroRefineryCalcs!F612</f>
        <v>0</v>
      </c>
      <c r="AV175" s="1170"/>
      <c r="AW175" s="1170"/>
      <c r="AX175" s="1170"/>
      <c r="AY175" s="1170"/>
      <c r="AZ175" s="1170"/>
      <c r="BA175" s="1170"/>
      <c r="BB175" s="1170"/>
      <c r="BC175" s="1170"/>
      <c r="BD175" s="1170"/>
      <c r="BE175" s="1170"/>
      <c r="BF175" s="1170"/>
      <c r="BG175" s="1186" t="str">
        <f>HydroRefineryCalcs!C910</f>
        <v xml:space="preserve">Sulphur </v>
      </c>
      <c r="BH175" s="1170" t="str">
        <f ca="1">HydroRefineryCalcs!D910</f>
        <v>wt%</v>
      </c>
      <c r="BI175" s="1170">
        <f ca="1">HydroRefineryCalcs!F910</f>
        <v>0</v>
      </c>
      <c r="BJ175" s="1170"/>
      <c r="BK175" s="1170"/>
      <c r="BL175" s="1170"/>
      <c r="BM175" s="1170"/>
      <c r="BN175" s="1170"/>
      <c r="BO175" s="1170"/>
      <c r="BP175" s="1170"/>
      <c r="BQ175" s="1170"/>
      <c r="BR175" s="1170"/>
      <c r="BS175" s="1170"/>
      <c r="BT175" s="1170"/>
      <c r="BU175" s="1170"/>
      <c r="BV175" s="1170"/>
      <c r="BW175" s="1186" t="str">
        <f>HydroRefineryCalcs!C982</f>
        <v xml:space="preserve">Sulphur </v>
      </c>
      <c r="BX175" s="1170" t="str">
        <f ca="1">HydroRefineryCalcs!D982</f>
        <v>wt%</v>
      </c>
      <c r="BY175" s="1170">
        <f>HydroRefineryCalcs!F982</f>
        <v>0</v>
      </c>
      <c r="BZ175" s="1170"/>
      <c r="CA175" s="1170" t="s">
        <v>485</v>
      </c>
      <c r="CB175" s="1170"/>
      <c r="CC175" s="1170">
        <f ca="1">(BI189+BQ183)*$CC$177</f>
        <v>1.1811049352764108E-16</v>
      </c>
      <c r="CD175" s="1170"/>
      <c r="CE175" s="1170"/>
      <c r="CF175" s="1170"/>
      <c r="CG175" s="1170"/>
      <c r="CH175" s="1170"/>
      <c r="CI175" s="1170"/>
      <c r="CJ175" s="1170"/>
      <c r="CK175" s="1186" t="str">
        <f>HydroRefineryCalcs!C730</f>
        <v>API</v>
      </c>
      <c r="CL175" s="1170"/>
      <c r="CM175" s="1170">
        <f>HydroRefineryCalcs!G730</f>
        <v>94.9</v>
      </c>
      <c r="CN175" s="1170"/>
      <c r="CO175" s="1170"/>
      <c r="CP175" s="1160"/>
      <c r="CQ175" s="1160"/>
      <c r="CR175" s="1160"/>
      <c r="CS175" s="1186" t="str">
        <f>HydroRefineryCalcs!C789</f>
        <v>MCR</v>
      </c>
      <c r="CT175" s="1170" t="str">
        <f>HydroRefineryCalcs!D789</f>
        <v>wt%</v>
      </c>
      <c r="CU175" s="1170">
        <f>HydroRefineryCalcs!F789</f>
        <v>0</v>
      </c>
      <c r="CV175" s="1160"/>
      <c r="CW175" s="1160"/>
      <c r="CX175" s="1160"/>
      <c r="CY175" s="1160"/>
      <c r="CZ175" s="1171"/>
      <c r="DA175" s="1160"/>
      <c r="DB175" s="1160"/>
      <c r="DC175" s="1160"/>
      <c r="DD175" s="1160"/>
      <c r="DE175" s="1160"/>
      <c r="DF175" s="1160"/>
      <c r="DG175" s="1160"/>
      <c r="DH175" s="1160"/>
      <c r="DI175" s="1160"/>
      <c r="DJ175" s="1160"/>
      <c r="DK175" s="1160"/>
      <c r="DL175" s="1160"/>
      <c r="DM175" s="1171"/>
      <c r="DN175" s="1160"/>
      <c r="DO175" s="1160"/>
      <c r="DP175" s="1160"/>
      <c r="DQ175" s="1160"/>
      <c r="DR175" s="1160"/>
      <c r="DS175" s="1160"/>
      <c r="DT175" s="1160"/>
      <c r="DU175" s="1160"/>
      <c r="DV175" s="1160"/>
      <c r="DW175" s="1160"/>
      <c r="DX175" s="1160"/>
      <c r="DY175" s="1160"/>
      <c r="DZ175" s="1160"/>
      <c r="EA175" s="2073" t="s">
        <v>1065</v>
      </c>
      <c r="EB175" s="1160"/>
      <c r="EC175" s="1160">
        <f ca="1">HydroRefineryCalcs!Q1500</f>
        <v>0</v>
      </c>
    </row>
    <row r="176" spans="1:133" x14ac:dyDescent="0.2">
      <c r="A176" s="1160"/>
      <c r="B176" s="1160"/>
      <c r="C176" s="1160"/>
      <c r="D176" s="1160"/>
      <c r="E176" s="1170"/>
      <c r="F176" s="1170"/>
      <c r="G176" s="1170"/>
      <c r="H176" s="1170"/>
      <c r="I176" s="1170"/>
      <c r="J176" s="1170"/>
      <c r="K176" s="1170"/>
      <c r="L176" s="1170"/>
      <c r="M176" s="1170"/>
      <c r="N176" s="1170"/>
      <c r="O176" s="1170"/>
      <c r="P176" s="1170"/>
      <c r="Q176" s="1170"/>
      <c r="R176" s="1170"/>
      <c r="S176" s="1170"/>
      <c r="T176" s="1170"/>
      <c r="U176" s="1170"/>
      <c r="V176" s="1170"/>
      <c r="W176" s="1170"/>
      <c r="X176" s="1170"/>
      <c r="Y176" s="1170"/>
      <c r="Z176" s="1170"/>
      <c r="AA176" s="1170"/>
      <c r="AB176" s="1170"/>
      <c r="AC176" s="1200" t="s">
        <v>1056</v>
      </c>
      <c r="AD176" s="1199" t="s">
        <v>447</v>
      </c>
      <c r="AE176" s="1199">
        <f ca="1">('Energy &amp; Unit Conversions'!$D$63-('Energy &amp; Unit Conversions'!$E$63*POWER((AE173/'Energy &amp; Unit Conversions'!$E$54),2)))</f>
        <v>46.693440000000002</v>
      </c>
      <c r="AF176" s="1170"/>
      <c r="AG176" s="1170"/>
      <c r="AH176" s="1170"/>
      <c r="AI176" s="1170"/>
      <c r="AJ176" s="1170"/>
      <c r="AK176" s="1186" t="str">
        <f>HydroRefineryCalcs!C520</f>
        <v xml:space="preserve">API gravity </v>
      </c>
      <c r="AL176" s="1170"/>
      <c r="AM176" s="1170">
        <f ca="1">HydroRefineryCalcs!H520</f>
        <v>0</v>
      </c>
      <c r="AN176" s="1170"/>
      <c r="AO176" s="1170"/>
      <c r="AP176" s="1170"/>
      <c r="AQ176" s="1170"/>
      <c r="AR176" s="1170"/>
      <c r="AS176" s="1186" t="str">
        <f>HydroRefineryCalcs!C613</f>
        <v>MCR</v>
      </c>
      <c r="AT176" s="1170" t="str">
        <f ca="1">HydroRefineryCalcs!D613</f>
        <v>wt%</v>
      </c>
      <c r="AU176" s="1170" t="str">
        <f ca="1">HydroRefineryCalcs!F613</f>
        <v/>
      </c>
      <c r="AV176" s="1170"/>
      <c r="AW176" s="1170"/>
      <c r="AX176" s="1170"/>
      <c r="AY176" s="1170"/>
      <c r="AZ176" s="1170"/>
      <c r="BA176" s="1170"/>
      <c r="BB176" s="1170"/>
      <c r="BC176" s="1170"/>
      <c r="BD176" s="1170"/>
      <c r="BE176" s="1170"/>
      <c r="BF176" s="1170"/>
      <c r="BG176" s="1186" t="str">
        <f>HydroRefineryCalcs!C912</f>
        <v xml:space="preserve">API gravity </v>
      </c>
      <c r="BH176" s="1170"/>
      <c r="BI176" s="1187">
        <f ca="1">HydroRefineryCalcs!F912</f>
        <v>61.279291553095874</v>
      </c>
      <c r="BJ176" s="1170"/>
      <c r="BK176" s="1170"/>
      <c r="BL176" s="1170"/>
      <c r="BM176" s="1170"/>
      <c r="BN176" s="1170"/>
      <c r="BO176" s="1170"/>
      <c r="BP176" s="1170"/>
      <c r="BQ176" s="1170"/>
      <c r="BR176" s="1170"/>
      <c r="BS176" s="1170"/>
      <c r="BT176" s="1170"/>
      <c r="BU176" s="1170"/>
      <c r="BV176" s="1170"/>
      <c r="BW176" s="1186" t="str">
        <f>HydroRefineryCalcs!C984</f>
        <v xml:space="preserve">API gravity </v>
      </c>
      <c r="BX176" s="1170"/>
      <c r="BY176" s="1170">
        <f>HydroRefineryCalcs!F984</f>
        <v>65.027777777777771</v>
      </c>
      <c r="BZ176" s="1170"/>
      <c r="CA176" s="1170" t="s">
        <v>541</v>
      </c>
      <c r="CB176" s="1170"/>
      <c r="CC176" s="1170">
        <f ca="1">(BI190+BQ184)*$CC$177</f>
        <v>9.8048541406577932E-15</v>
      </c>
      <c r="CD176" s="1170"/>
      <c r="CE176" s="1170"/>
      <c r="CF176" s="1170"/>
      <c r="CG176" s="1170"/>
      <c r="CH176" s="1170"/>
      <c r="CI176" s="1170"/>
      <c r="CJ176" s="1170"/>
      <c r="CK176" s="1186" t="str">
        <f>HydroRefineryCalcs!C731</f>
        <v>Density</v>
      </c>
      <c r="CL176" s="1170" t="str">
        <f>HydroRefineryCalcs!D731</f>
        <v>kg/m^3</v>
      </c>
      <c r="CM176" s="1266">
        <f>HydroRefineryCalcs!G731</f>
        <v>625</v>
      </c>
      <c r="CN176" s="1170"/>
      <c r="CO176" s="1170"/>
      <c r="CP176" s="1160"/>
      <c r="CQ176" s="1160"/>
      <c r="CR176" s="1160"/>
      <c r="CS176" s="1186" t="s">
        <v>1698</v>
      </c>
      <c r="CT176" s="1199" t="s">
        <v>447</v>
      </c>
      <c r="CU176" s="1199">
        <f>('Energy &amp; Unit Conversions'!$D$63-('Energy &amp; Unit Conversions'!$E$63*POWER((CU173/'Energy &amp; Unit Conversions'!$E$54),2)))</f>
        <v>42.882037467587523</v>
      </c>
      <c r="CV176" s="1160"/>
      <c r="CW176" s="1160"/>
      <c r="CX176" s="1160"/>
      <c r="CY176" s="1160"/>
      <c r="CZ176" s="1171"/>
      <c r="DA176" s="1160"/>
      <c r="DB176" s="1160"/>
      <c r="DC176" s="1160"/>
      <c r="DD176" s="1160"/>
      <c r="DE176" s="1160"/>
      <c r="DF176" s="1160"/>
      <c r="DG176" s="1160"/>
      <c r="DH176" s="1160"/>
      <c r="DI176" s="1160"/>
      <c r="DJ176" s="1160"/>
      <c r="DK176" s="1160"/>
      <c r="DL176" s="1160"/>
      <c r="DM176" s="1171"/>
      <c r="DN176" s="1160"/>
      <c r="DO176" s="1160"/>
      <c r="DP176" s="1160"/>
      <c r="DQ176" s="1160"/>
      <c r="DR176" s="1160"/>
      <c r="DS176" s="1160"/>
      <c r="DT176" s="1160"/>
      <c r="DU176" s="1160"/>
      <c r="DV176" s="1160"/>
      <c r="DW176" s="1160"/>
      <c r="DX176" s="1160"/>
      <c r="DY176" s="1160"/>
      <c r="DZ176" s="1160"/>
      <c r="EA176" s="1160"/>
      <c r="EB176" s="1160"/>
      <c r="EC176" s="1160"/>
    </row>
    <row r="177" spans="1:133" x14ac:dyDescent="0.2">
      <c r="A177" s="1160"/>
      <c r="B177" s="1160"/>
      <c r="C177" s="1160"/>
      <c r="D177" s="1160"/>
      <c r="E177" s="1170"/>
      <c r="F177" s="1170"/>
      <c r="G177" s="1170"/>
      <c r="H177" s="1170"/>
      <c r="I177" s="1170"/>
      <c r="J177" s="1170"/>
      <c r="K177" s="1170"/>
      <c r="L177" s="1170"/>
      <c r="M177" s="1170"/>
      <c r="N177" s="1170"/>
      <c r="O177" s="1170"/>
      <c r="P177" s="1170"/>
      <c r="Q177" s="1170"/>
      <c r="R177" s="1170"/>
      <c r="S177" s="1170"/>
      <c r="T177" s="1170"/>
      <c r="U177" s="1170"/>
      <c r="V177" s="1170"/>
      <c r="W177" s="1170"/>
      <c r="X177" s="1170"/>
      <c r="Y177" s="1170"/>
      <c r="Z177" s="1170"/>
      <c r="AA177" s="1170"/>
      <c r="AB177" s="1170"/>
      <c r="AC177" s="1200" t="s">
        <v>1021</v>
      </c>
      <c r="AD177" s="1199" t="s">
        <v>1022</v>
      </c>
      <c r="AE177" s="1246">
        <f>W140</f>
        <v>69.300827026367188</v>
      </c>
      <c r="AF177" s="1170"/>
      <c r="AG177" s="1170"/>
      <c r="AH177" s="1170"/>
      <c r="AI177" s="1170"/>
      <c r="AJ177" s="1170"/>
      <c r="AK177" s="1186" t="str">
        <f>HydroRefineryCalcs!C521</f>
        <v>Density</v>
      </c>
      <c r="AL177" s="1170" t="str">
        <f ca="1">HydroRefineryCalcs!D521</f>
        <v>kg/m^3</v>
      </c>
      <c r="AM177" s="1187">
        <f ca="1">HydroRefineryCalcs!H521</f>
        <v>0</v>
      </c>
      <c r="AN177" s="1170"/>
      <c r="AO177" s="1170"/>
      <c r="AP177" s="1170"/>
      <c r="AQ177" s="1170"/>
      <c r="AR177" s="1170"/>
      <c r="AS177" s="1200" t="s">
        <v>1056</v>
      </c>
      <c r="AT177" s="1199" t="s">
        <v>447</v>
      </c>
      <c r="AU177" s="1199">
        <f ca="1">('Energy &amp; Unit Conversions'!$D$63-('Energy &amp; Unit Conversions'!$E$63*POWER((AU174/'Energy &amp; Unit Conversions'!$E$54),2)))</f>
        <v>46.693440000000002</v>
      </c>
      <c r="AV177" s="1170"/>
      <c r="AW177" s="1170"/>
      <c r="AX177" s="1170"/>
      <c r="AY177" s="1170"/>
      <c r="AZ177" s="1170"/>
      <c r="BA177" s="1170"/>
      <c r="BB177" s="1170"/>
      <c r="BC177" s="1170"/>
      <c r="BD177" s="1170"/>
      <c r="BE177" s="1170"/>
      <c r="BF177" s="1170"/>
      <c r="BG177" s="1186" t="str">
        <f>HydroRefineryCalcs!C913</f>
        <v>Density</v>
      </c>
      <c r="BH177" s="1170" t="str">
        <f ca="1">HydroRefineryCalcs!D913</f>
        <v>kg/m^3</v>
      </c>
      <c r="BI177" s="1170">
        <f ca="1">HydroRefineryCalcs!F913</f>
        <v>734.00000000014336</v>
      </c>
      <c r="BJ177" s="1170"/>
      <c r="BK177" s="1170"/>
      <c r="BL177" s="1170"/>
      <c r="BM177" s="1170"/>
      <c r="BN177" s="1170"/>
      <c r="BO177" s="1170"/>
      <c r="BP177" s="1170"/>
      <c r="BQ177" s="1170"/>
      <c r="BR177" s="1170"/>
      <c r="BS177" s="1170"/>
      <c r="BT177" s="1170"/>
      <c r="BU177" s="1170"/>
      <c r="BV177" s="1170"/>
      <c r="BW177" s="1186" t="str">
        <f>HydroRefineryCalcs!C985</f>
        <v>Density</v>
      </c>
      <c r="BX177" s="1170" t="str">
        <f ca="1">HydroRefineryCalcs!D985</f>
        <v>kg/m^3</v>
      </c>
      <c r="BY177" s="1170">
        <f>HydroRefineryCalcs!F985</f>
        <v>720</v>
      </c>
      <c r="BZ177" s="1170"/>
      <c r="CA177" s="1180" t="s">
        <v>1066</v>
      </c>
      <c r="CB177" s="1170"/>
      <c r="CC177" s="1170">
        <f ca="1">IF('HydroRefineryPFD '!E27=TRUE,CC178,1)</f>
        <v>1</v>
      </c>
      <c r="CD177" s="1170"/>
      <c r="CE177" s="1170"/>
      <c r="CF177" s="1170"/>
      <c r="CG177" s="1170"/>
      <c r="CH177" s="1170"/>
      <c r="CI177" s="1170"/>
      <c r="CJ177" s="1170"/>
      <c r="CK177" s="1186" t="str">
        <f>HydroRefineryCalcs!C732</f>
        <v>H</v>
      </c>
      <c r="CL177" s="1170" t="str">
        <f>HydroRefineryCalcs!D732</f>
        <v>wt%</v>
      </c>
      <c r="CM177" s="1170">
        <f ca="1">HydroRefineryCalcs!G732</f>
        <v>16.099999999999998</v>
      </c>
      <c r="CN177" s="1170"/>
      <c r="CO177" s="1170"/>
      <c r="CP177" s="1160"/>
      <c r="CQ177" s="1160"/>
      <c r="CR177" s="1160"/>
      <c r="CS177" s="1200" t="s">
        <v>1021</v>
      </c>
      <c r="CT177" s="1199" t="s">
        <v>1022</v>
      </c>
      <c r="CU177" s="1252">
        <f>Constants!G349</f>
        <v>112.06692504882813</v>
      </c>
      <c r="CV177" s="1160"/>
      <c r="CW177" s="1160"/>
      <c r="CX177" s="1160"/>
      <c r="CY177" s="1160"/>
      <c r="CZ177" s="1171"/>
      <c r="DA177" s="1160"/>
      <c r="DB177" s="1160"/>
      <c r="DC177" s="1160"/>
      <c r="DD177" s="1160"/>
      <c r="DE177" s="1160"/>
      <c r="DF177" s="1160"/>
      <c r="DG177" s="1160"/>
      <c r="DH177" s="1160"/>
      <c r="DI177" s="1160"/>
      <c r="DJ177" s="1160"/>
      <c r="DK177" s="1160"/>
      <c r="DL177" s="1160"/>
      <c r="DM177" s="1171"/>
      <c r="DN177" s="1160"/>
      <c r="DO177" s="1160"/>
      <c r="DP177" s="1160"/>
      <c r="DQ177" s="1160"/>
      <c r="DR177" s="1160"/>
      <c r="DS177" s="1160"/>
      <c r="DT177" s="1160"/>
      <c r="DU177" s="1160"/>
      <c r="DV177" s="1160"/>
      <c r="DW177" s="1160"/>
      <c r="DX177" s="1160"/>
      <c r="DY177" s="1160"/>
      <c r="DZ177" s="1160"/>
      <c r="EA177" s="1160"/>
      <c r="EB177" s="1160"/>
      <c r="EC177" s="1160"/>
    </row>
    <row r="178" spans="1:133" x14ac:dyDescent="0.2">
      <c r="A178" s="1160"/>
      <c r="B178" s="1160"/>
      <c r="C178" s="1160"/>
      <c r="D178" s="1160"/>
      <c r="E178" s="1170"/>
      <c r="F178" s="1170"/>
      <c r="G178" s="1170"/>
      <c r="H178" s="1170"/>
      <c r="I178" s="1170"/>
      <c r="J178" s="1170"/>
      <c r="K178" s="1170"/>
      <c r="L178" s="1170"/>
      <c r="M178" s="1170"/>
      <c r="N178" s="1170"/>
      <c r="O178" s="1170"/>
      <c r="P178" s="1170"/>
      <c r="Q178" s="1170"/>
      <c r="R178" s="1170"/>
      <c r="S178" s="1170"/>
      <c r="T178" s="1170"/>
      <c r="U178" s="1170"/>
      <c r="V178" s="1170"/>
      <c r="W178" s="1170"/>
      <c r="X178" s="1170"/>
      <c r="Y178" s="1170"/>
      <c r="Z178" s="1170"/>
      <c r="AA178" s="1170"/>
      <c r="AB178" s="1170"/>
      <c r="AC178" s="1204" t="s">
        <v>1054</v>
      </c>
      <c r="AD178" s="1204" t="str">
        <f>IF(allocationMethod=1,CokingRefineryPFD!$C$21,IF(allocationMethod=2,CokingRefineryPFD!$C$22,IF(allocationMethod=3,CokingRefineryPFD!$C$23,CokingRefineryPFD!$C$24)))</f>
        <v>Hydrogen Content Basis</v>
      </c>
      <c r="AE178" s="1250">
        <f ca="1">IF(allocationMethod=1,AE170,IF(allocationMethod=2,AE176*AE170,IF(allocationMethod=3,AE177*AE168,AE174*AE170/100)))</f>
        <v>9.9999999999999991E-31</v>
      </c>
      <c r="AF178" s="1170"/>
      <c r="AG178" s="1170"/>
      <c r="AH178" s="1170"/>
      <c r="AI178" s="1170"/>
      <c r="AJ178" s="1170"/>
      <c r="AK178" s="1186" t="str">
        <f>HydroRefineryCalcs!C522</f>
        <v>Hydrogen</v>
      </c>
      <c r="AL178" s="1170" t="str">
        <f ca="1">HydroRefineryCalcs!D522</f>
        <v>wt%</v>
      </c>
      <c r="AM178" s="1170">
        <f ca="1">HydroRefineryCalcs!H522</f>
        <v>0</v>
      </c>
      <c r="AN178" s="1170"/>
      <c r="AO178" s="1170"/>
      <c r="AP178" s="1170"/>
      <c r="AQ178" s="1170"/>
      <c r="AR178" s="1170"/>
      <c r="AS178" s="1200" t="s">
        <v>1021</v>
      </c>
      <c r="AT178" s="1199" t="s">
        <v>1022</v>
      </c>
      <c r="AU178" s="1199">
        <f>AM181</f>
        <v>85.085002899169922</v>
      </c>
      <c r="AV178" s="1170"/>
      <c r="AW178" s="1170"/>
      <c r="AX178" s="1170"/>
      <c r="AY178" s="1170"/>
      <c r="AZ178" s="1170"/>
      <c r="BA178" s="1170"/>
      <c r="BB178" s="1170"/>
      <c r="BC178" s="1170"/>
      <c r="BD178" s="1170"/>
      <c r="BE178" s="1170"/>
      <c r="BF178" s="1170"/>
      <c r="BG178" s="1186" t="str">
        <f>HydroRefineryCalcs!C914</f>
        <v>Hydrogen</v>
      </c>
      <c r="BH178" s="1170" t="str">
        <f ca="1">HydroRefineryCalcs!D914</f>
        <v>wt%</v>
      </c>
      <c r="BI178" s="1170">
        <f ca="1">HydroRefineryCalcs!F914</f>
        <v>13.689999999998561</v>
      </c>
      <c r="BJ178" s="1170"/>
      <c r="BK178" s="1170"/>
      <c r="BL178" s="1170"/>
      <c r="BM178" s="1170"/>
      <c r="BN178" s="1170"/>
      <c r="BO178" s="1170"/>
      <c r="BP178" s="1170"/>
      <c r="BQ178" s="1170"/>
      <c r="BR178" s="1170"/>
      <c r="BS178" s="1170"/>
      <c r="BT178" s="1170"/>
      <c r="BU178" s="1170"/>
      <c r="BV178" s="1170"/>
      <c r="BW178" s="1186" t="str">
        <f>HydroRefineryCalcs!C986</f>
        <v>Hydrogen</v>
      </c>
      <c r="BX178" s="1170" t="str">
        <f ca="1">HydroRefineryCalcs!D986</f>
        <v>wt%</v>
      </c>
      <c r="BY178" s="1170">
        <f ca="1">HydroRefineryCalcs!F986</f>
        <v>15.7</v>
      </c>
      <c r="BZ178" s="1170"/>
      <c r="CA178" s="1180" t="s">
        <v>1065</v>
      </c>
      <c r="CB178" s="1170"/>
      <c r="CC178" s="1170">
        <f ca="1">BY182/(BQ172+BY182)</f>
        <v>1</v>
      </c>
      <c r="CD178" s="1170"/>
      <c r="CE178" s="1170"/>
      <c r="CF178" s="1170"/>
      <c r="CG178" s="1170"/>
      <c r="CH178" s="1170"/>
      <c r="CI178" s="1170"/>
      <c r="CJ178" s="1170"/>
      <c r="CK178" s="1186" t="str">
        <f>HydroRefineryCalcs!C733</f>
        <v>MCR</v>
      </c>
      <c r="CL178" s="1170" t="str">
        <f>HydroRefineryCalcs!D733</f>
        <v>wt%</v>
      </c>
      <c r="CM178" s="1170">
        <f ca="1">HydroRefineryCalcs!G733</f>
        <v>9.7999999999999989</v>
      </c>
      <c r="CN178" s="1170"/>
      <c r="CO178" s="1170"/>
      <c r="CP178" s="1160"/>
      <c r="CQ178" s="1160"/>
      <c r="CR178" s="1160"/>
      <c r="CS178" s="1204" t="s">
        <v>1054</v>
      </c>
      <c r="CT178" s="1204" t="str">
        <f>IF(allocationMethod=1,CokingRefineryPFD!$C$21,IF(allocationMethod=2,CokingRefineryPFD!$C$22,IF(allocationMethod=3,CokingRefineryPFD!$C$23,CokingRefineryPFD!$C$24)))</f>
        <v>Hydrogen Content Basis</v>
      </c>
      <c r="CU178" s="1250">
        <f ca="1">IF(allocationMethod=1,CU170,IF(allocationMethod=2,CU176*CU170,IF(allocationMethod=3,CU177*CU168,CU174*CU170/100)))</f>
        <v>2.0411693308579661E-16</v>
      </c>
      <c r="CV178" s="1160"/>
      <c r="CW178" s="1160"/>
      <c r="CX178" s="1160"/>
      <c r="CY178" s="1160"/>
      <c r="CZ178" s="1171"/>
      <c r="DA178" s="1160"/>
      <c r="DB178" s="1160"/>
      <c r="DC178" s="1160"/>
      <c r="DD178" s="1160"/>
      <c r="DE178" s="1160"/>
      <c r="DF178" s="1160"/>
      <c r="DG178" s="1160"/>
      <c r="DH178" s="1160"/>
      <c r="DI178" s="1160"/>
      <c r="DJ178" s="1160"/>
      <c r="DK178" s="1160"/>
      <c r="DL178" s="1160"/>
      <c r="DM178" s="1171"/>
      <c r="DN178" s="1160"/>
      <c r="DO178" s="1160"/>
      <c r="DP178" s="1160"/>
      <c r="DQ178" s="1160"/>
      <c r="DR178" s="1160"/>
      <c r="DS178" s="1160"/>
      <c r="DT178" s="1160"/>
      <c r="DU178" s="1160"/>
      <c r="DV178" s="1160"/>
      <c r="DW178" s="1160"/>
      <c r="DX178" s="1160"/>
      <c r="DY178" s="1160"/>
      <c r="DZ178" s="1160"/>
      <c r="EA178" s="1160"/>
      <c r="EB178" s="1160"/>
      <c r="EC178" s="1160"/>
    </row>
    <row r="179" spans="1:133" x14ac:dyDescent="0.2">
      <c r="A179" s="1160"/>
      <c r="B179" s="1160"/>
      <c r="C179" s="1160"/>
      <c r="D179" s="1160"/>
      <c r="E179" s="1170"/>
      <c r="F179" s="1170"/>
      <c r="G179" s="1170"/>
      <c r="H179" s="1170"/>
      <c r="I179" s="1170"/>
      <c r="J179" s="1170"/>
      <c r="K179" s="1170"/>
      <c r="L179" s="1170"/>
      <c r="M179" s="1170"/>
      <c r="N179" s="1170"/>
      <c r="O179" s="1170"/>
      <c r="P179" s="1170"/>
      <c r="Q179" s="1170"/>
      <c r="R179" s="1170"/>
      <c r="S179" s="1170"/>
      <c r="T179" s="1170"/>
      <c r="U179" s="1170"/>
      <c r="V179" s="1170"/>
      <c r="W179" s="1170"/>
      <c r="X179" s="1170"/>
      <c r="Y179" s="1170"/>
      <c r="Z179" s="1170"/>
      <c r="AA179" s="1170"/>
      <c r="AB179" s="1170"/>
      <c r="AC179" s="1170"/>
      <c r="AD179" s="1170"/>
      <c r="AE179" s="1170"/>
      <c r="AF179" s="1170"/>
      <c r="AG179" s="1170"/>
      <c r="AH179" s="1170"/>
      <c r="AI179" s="1170"/>
      <c r="AJ179" s="1170"/>
      <c r="AK179" s="1186" t="str">
        <f>HydroRefineryCalcs!C523</f>
        <v>MCR</v>
      </c>
      <c r="AL179" s="1170" t="str">
        <f ca="1">HydroRefineryCalcs!D523</f>
        <v>wt%</v>
      </c>
      <c r="AM179" s="1170" t="str">
        <f ca="1">HydroRefineryCalcs!H523</f>
        <v/>
      </c>
      <c r="AN179" s="1170"/>
      <c r="AO179" s="1170"/>
      <c r="AP179" s="1170"/>
      <c r="AQ179" s="1170"/>
      <c r="AR179" s="1170"/>
      <c r="AS179" s="1204" t="s">
        <v>1054</v>
      </c>
      <c r="AT179" s="1204" t="str">
        <f>IF(allocationMethod=1,CokingRefineryPFD!$C$21,IF(allocationMethod=2,CokingRefineryPFD!$C$22,IF(allocationMethod=3,CokingRefineryPFD!$C$23,CokingRefineryPFD!$C$24)))</f>
        <v>Hydrogen Content Basis</v>
      </c>
      <c r="AU179" s="1204">
        <f ca="1">IF(allocationMethod=1,AU171,IF(allocationMethod=2,AU177*AU171,IF(allocationMethod=3,AU178*AU169,AU175*AU171/100)))</f>
        <v>0</v>
      </c>
      <c r="AV179" s="1170"/>
      <c r="AW179" s="1170"/>
      <c r="AX179" s="1170"/>
      <c r="AY179" s="1170"/>
      <c r="AZ179" s="1170"/>
      <c r="BA179" s="1170"/>
      <c r="BB179" s="1170"/>
      <c r="BC179" s="1170"/>
      <c r="BD179" s="1170"/>
      <c r="BE179" s="1170"/>
      <c r="BF179" s="1170"/>
      <c r="BG179" s="1186" t="str">
        <f>HydroRefineryCalcs!C915</f>
        <v>MCR</v>
      </c>
      <c r="BH179" s="1170" t="str">
        <f ca="1">HydroRefineryCalcs!D915</f>
        <v>wt%</v>
      </c>
      <c r="BI179" s="1170">
        <f>HydroRefineryCalcs!F915</f>
        <v>0</v>
      </c>
      <c r="BJ179" s="1170"/>
      <c r="BK179" s="1170"/>
      <c r="BL179" s="1170"/>
      <c r="BM179" s="1170"/>
      <c r="BN179" s="1170"/>
      <c r="BO179" s="1184" t="str">
        <f>'HydroRefinery Detailed Results'!C23</f>
        <v>HC Naphtha Hydrotreater</v>
      </c>
      <c r="BP179" s="1170"/>
      <c r="BQ179" s="1170"/>
      <c r="BR179" s="1170"/>
      <c r="BS179" s="1170"/>
      <c r="BT179" s="1170"/>
      <c r="BU179" s="1170"/>
      <c r="BV179" s="1170"/>
      <c r="BW179" s="1186" t="str">
        <f>HydroRefineryCalcs!C987</f>
        <v>MCR</v>
      </c>
      <c r="BX179" s="1170" t="str">
        <f ca="1">HydroRefineryCalcs!D987</f>
        <v>wt%</v>
      </c>
      <c r="BY179" s="1170">
        <f ca="1">HydroRefineryCalcs!F987</f>
        <v>0.27398518285937168</v>
      </c>
      <c r="BZ179" s="1170"/>
      <c r="CA179" s="1239" t="s">
        <v>228</v>
      </c>
      <c r="CB179" s="1170"/>
      <c r="CC179" s="1170">
        <f ca="1">BY174/(BI174+BQ187)</f>
        <v>1.021906626712328</v>
      </c>
      <c r="CD179" s="1170"/>
      <c r="CE179" s="1170"/>
      <c r="CF179" s="1170"/>
      <c r="CG179" s="1170"/>
      <c r="CH179" s="1170"/>
      <c r="CI179" s="1170"/>
      <c r="CJ179" s="1170"/>
      <c r="CK179" s="1186" t="s">
        <v>1698</v>
      </c>
      <c r="CL179" s="1199" t="s">
        <v>447</v>
      </c>
      <c r="CM179" s="1199">
        <f>('Energy &amp; Unit Conversions'!$D$63-('Energy &amp; Unit Conversions'!$E$63*POWER((CM176/'Energy &amp; Unit Conversions'!$E$54),2)))</f>
        <v>43.593320865501802</v>
      </c>
      <c r="CN179" s="1170"/>
      <c r="CO179" s="1170"/>
      <c r="CP179" s="1160"/>
      <c r="CQ179" s="1160"/>
      <c r="CR179" s="1160"/>
      <c r="CS179" s="1160"/>
      <c r="CT179" s="1160"/>
      <c r="CU179" s="1170"/>
      <c r="CV179" s="1160"/>
      <c r="CW179" s="1160"/>
      <c r="CX179" s="1160"/>
      <c r="CY179" s="1160"/>
      <c r="CZ179" s="1171"/>
      <c r="DA179" s="1160"/>
      <c r="DB179" s="1160"/>
      <c r="DC179" s="1160"/>
      <c r="DD179" s="1160"/>
      <c r="DE179" s="1160"/>
      <c r="DF179" s="1160"/>
      <c r="DG179" s="1160"/>
      <c r="DH179" s="1160"/>
      <c r="DI179" s="1160"/>
      <c r="DJ179" s="1160"/>
      <c r="DK179" s="1160"/>
      <c r="DL179" s="1160"/>
      <c r="DM179" s="1171"/>
      <c r="DN179" s="1160"/>
      <c r="DO179" s="1160"/>
      <c r="DP179" s="1160"/>
      <c r="DQ179" s="1160"/>
      <c r="DR179" s="1160"/>
      <c r="DS179" s="1160"/>
      <c r="DT179" s="1160"/>
      <c r="DU179" s="1160"/>
      <c r="DV179" s="1160"/>
      <c r="DW179" s="1160"/>
      <c r="DX179" s="1160"/>
      <c r="DY179" s="1160"/>
      <c r="DZ179" s="1160"/>
      <c r="EA179" s="1160"/>
      <c r="EB179" s="1160"/>
      <c r="EC179" s="1160"/>
    </row>
    <row r="180" spans="1:133" x14ac:dyDescent="0.2">
      <c r="A180" s="1160"/>
      <c r="B180" s="1160"/>
      <c r="C180" s="1160"/>
      <c r="D180" s="1160"/>
      <c r="E180" s="1170"/>
      <c r="F180" s="1170"/>
      <c r="G180" s="1170"/>
      <c r="H180" s="1170"/>
      <c r="I180" s="1170"/>
      <c r="J180" s="1170"/>
      <c r="K180" s="1170"/>
      <c r="L180" s="1170"/>
      <c r="M180" s="1170"/>
      <c r="N180" s="1170"/>
      <c r="O180" s="1170"/>
      <c r="P180" s="1170"/>
      <c r="Q180" s="1170"/>
      <c r="R180" s="1170"/>
      <c r="S180" s="1170"/>
      <c r="T180" s="1170"/>
      <c r="U180" s="1170"/>
      <c r="V180" s="1170"/>
      <c r="W180" s="1170"/>
      <c r="X180" s="1170"/>
      <c r="Y180" s="1170"/>
      <c r="Z180" s="1170"/>
      <c r="AA180" s="1170"/>
      <c r="AB180" s="1170"/>
      <c r="AC180" s="1180" t="str">
        <f>AC166</f>
        <v>Output</v>
      </c>
      <c r="AD180" s="1170"/>
      <c r="AE180" s="1170"/>
      <c r="AF180" s="1170"/>
      <c r="AG180" s="1170"/>
      <c r="AH180" s="1170"/>
      <c r="AI180" s="1170"/>
      <c r="AJ180" s="1170"/>
      <c r="AK180" s="1200" t="s">
        <v>1056</v>
      </c>
      <c r="AL180" s="1199" t="s">
        <v>447</v>
      </c>
      <c r="AM180" s="1199">
        <f ca="1">('Energy &amp; Unit Conversions'!$D$63-('Energy &amp; Unit Conversions'!$E$63*POWER((AM177/'Energy &amp; Unit Conversions'!$E$54),2)))</f>
        <v>46.693440000000002</v>
      </c>
      <c r="AN180" s="1170"/>
      <c r="AO180" s="1170"/>
      <c r="AP180" s="1170"/>
      <c r="AQ180" s="1170"/>
      <c r="AR180" s="1170"/>
      <c r="AS180" s="1170"/>
      <c r="AT180" s="1170"/>
      <c r="AU180" s="1170"/>
      <c r="AV180" s="1170"/>
      <c r="AW180" s="1170"/>
      <c r="AX180" s="1170"/>
      <c r="AY180" s="1170"/>
      <c r="AZ180" s="1170"/>
      <c r="BA180" s="1170"/>
      <c r="BB180" s="1170"/>
      <c r="BC180" s="1170"/>
      <c r="BD180" s="1170"/>
      <c r="BE180" s="1170"/>
      <c r="BF180" s="1170"/>
      <c r="BG180" s="1186" t="s">
        <v>1698</v>
      </c>
      <c r="BH180" s="1199" t="s">
        <v>447</v>
      </c>
      <c r="BI180" s="1199">
        <f ca="1">('Energy &amp; Unit Conversions'!$D$63-('Energy &amp; Unit Conversions'!$E$63*POWER((BI177/'Energy &amp; Unit Conversions'!$E$54),2)))</f>
        <v>42.41770807186851</v>
      </c>
      <c r="BJ180" s="1170"/>
      <c r="BK180" s="1170"/>
      <c r="BL180" s="1170"/>
      <c r="BM180" s="1170"/>
      <c r="BN180" s="1170"/>
      <c r="BO180" s="1184" t="s">
        <v>225</v>
      </c>
      <c r="BP180" s="1170"/>
      <c r="BQ180" s="1184" t="s">
        <v>522</v>
      </c>
      <c r="BR180" s="1170"/>
      <c r="BS180" s="1170"/>
      <c r="BT180" s="1170"/>
      <c r="BU180" s="1170"/>
      <c r="BV180" s="1170"/>
      <c r="BW180" s="1186" t="s">
        <v>1698</v>
      </c>
      <c r="BX180" s="1199" t="s">
        <v>447</v>
      </c>
      <c r="BY180" s="1199">
        <f>('Energy &amp; Unit Conversions'!$D$63-('Energy &amp; Unit Conversions'!$E$63*POWER((BY177/'Energy &amp; Unit Conversions'!$E$54),2)))</f>
        <v>42.579259496130909</v>
      </c>
      <c r="BZ180" s="1170"/>
      <c r="CA180" s="1170"/>
      <c r="CB180" s="1170"/>
      <c r="CC180" s="1170"/>
      <c r="CD180" s="1170"/>
      <c r="CE180" s="1170"/>
      <c r="CF180" s="1170"/>
      <c r="CG180" s="1170"/>
      <c r="CH180" s="1181"/>
      <c r="CI180" s="1170"/>
      <c r="CJ180" s="1170"/>
      <c r="CK180" s="1200" t="s">
        <v>1021</v>
      </c>
      <c r="CL180" s="1199" t="s">
        <v>1022</v>
      </c>
      <c r="CM180" s="1252">
        <f>Constants!G350</f>
        <v>71.685001373291016</v>
      </c>
      <c r="CN180" s="1170"/>
      <c r="CO180" s="1170"/>
      <c r="CP180" s="1160"/>
      <c r="CQ180" s="1160"/>
      <c r="CR180" s="1160"/>
      <c r="CS180" s="1180" t="str">
        <f>CS166</f>
        <v>Alkylate</v>
      </c>
      <c r="CT180" s="1170"/>
      <c r="CU180" s="1170"/>
      <c r="CV180" s="1160"/>
      <c r="CW180" s="1160"/>
      <c r="CX180" s="1160"/>
      <c r="CY180" s="1160"/>
      <c r="CZ180" s="1171"/>
      <c r="DA180" s="1160"/>
      <c r="DB180" s="1160"/>
      <c r="DC180" s="1160"/>
      <c r="DD180" s="1160"/>
      <c r="DE180" s="1160"/>
      <c r="DF180" s="1160"/>
      <c r="DG180" s="1160"/>
      <c r="DH180" s="1160"/>
      <c r="DI180" s="1160"/>
      <c r="DJ180" s="1160"/>
      <c r="DK180" s="1160"/>
      <c r="DL180" s="1160"/>
      <c r="DM180" s="1171"/>
      <c r="DN180" s="1160"/>
      <c r="DO180" s="1160"/>
      <c r="DP180" s="1160"/>
      <c r="DQ180" s="1160"/>
      <c r="DR180" s="1160"/>
      <c r="DS180" s="1160"/>
      <c r="DT180" s="1160"/>
      <c r="DU180" s="1160"/>
      <c r="DV180" s="1160"/>
      <c r="DW180" s="1160"/>
      <c r="DX180" s="1160"/>
      <c r="DY180" s="1160"/>
      <c r="DZ180" s="1160"/>
      <c r="EA180" s="1160"/>
      <c r="EB180" s="1160"/>
      <c r="EC180" s="1160"/>
    </row>
    <row r="181" spans="1:133" x14ac:dyDescent="0.2">
      <c r="A181" s="1160"/>
      <c r="B181" s="1160"/>
      <c r="C181" s="1160"/>
      <c r="D181" s="1160"/>
      <c r="E181" s="1170"/>
      <c r="F181" s="1170"/>
      <c r="G181" s="1170"/>
      <c r="H181" s="1170"/>
      <c r="I181" s="1170"/>
      <c r="J181" s="1170"/>
      <c r="K181" s="1170"/>
      <c r="L181" s="1170"/>
      <c r="M181" s="1170"/>
      <c r="N181" s="1170"/>
      <c r="O181" s="1170"/>
      <c r="P181" s="1170"/>
      <c r="Q181" s="1170"/>
      <c r="R181" s="1170"/>
      <c r="S181" s="1170"/>
      <c r="T181" s="1170"/>
      <c r="U181" s="1170"/>
      <c r="V181" s="1170"/>
      <c r="W181" s="1170"/>
      <c r="X181" s="1170"/>
      <c r="Y181" s="1170"/>
      <c r="Z181" s="1170"/>
      <c r="AA181" s="1170"/>
      <c r="AB181" s="1170"/>
      <c r="AC181" s="1183" t="s">
        <v>226</v>
      </c>
      <c r="AD181" s="1170"/>
      <c r="AE181" s="1184" t="s">
        <v>522</v>
      </c>
      <c r="AF181" s="1170"/>
      <c r="AG181" s="1170"/>
      <c r="AH181" s="1170"/>
      <c r="AI181" s="1170"/>
      <c r="AJ181" s="1170"/>
      <c r="AK181" s="1200" t="s">
        <v>1021</v>
      </c>
      <c r="AL181" s="1199" t="s">
        <v>1022</v>
      </c>
      <c r="AM181" s="1199">
        <f>Constants!G343</f>
        <v>85.085002899169922</v>
      </c>
      <c r="AN181" s="1170"/>
      <c r="AO181" s="1170"/>
      <c r="AP181" s="1170"/>
      <c r="AQ181" s="1170"/>
      <c r="AR181" s="1170"/>
      <c r="AS181" s="1170"/>
      <c r="AT181" s="1170"/>
      <c r="AU181" s="1170"/>
      <c r="AV181" s="1170"/>
      <c r="AW181" s="1170"/>
      <c r="AX181" s="1170"/>
      <c r="AY181" s="1170"/>
      <c r="AZ181" s="1170"/>
      <c r="BA181" s="1170"/>
      <c r="BB181" s="1170"/>
      <c r="BC181" s="1170"/>
      <c r="BD181" s="1170"/>
      <c r="BE181" s="1170"/>
      <c r="BF181" s="1170"/>
      <c r="BG181" s="1200" t="s">
        <v>1021</v>
      </c>
      <c r="BH181" s="1199" t="s">
        <v>1022</v>
      </c>
      <c r="BI181" s="1290">
        <f>AA53</f>
        <v>72.819999999999993</v>
      </c>
      <c r="BJ181" s="1170"/>
      <c r="BK181" s="1170"/>
      <c r="BL181" s="1170"/>
      <c r="BM181" s="1170"/>
      <c r="BN181" s="1170"/>
      <c r="BO181" s="1170" t="s">
        <v>392</v>
      </c>
      <c r="BP181" s="1170"/>
      <c r="BQ181" s="1170">
        <f ca="1">'HydroRefinery Detailed Results'!F23+IF(AND($EC$147+$EC$164=0,E28=FALSE),'HydroRefinery Detailed Results'!F31*HydroRefineryCalcs!$T$1043,0)</f>
        <v>0</v>
      </c>
      <c r="BR181" s="1170"/>
      <c r="BS181" s="1170"/>
      <c r="BT181" s="1170"/>
      <c r="BU181" s="1170"/>
      <c r="BV181" s="1170"/>
      <c r="BW181" s="1200" t="s">
        <v>1021</v>
      </c>
      <c r="BX181" s="1199" t="s">
        <v>1022</v>
      </c>
      <c r="BY181" s="1290">
        <f>BG45</f>
        <v>84.555000305175781</v>
      </c>
      <c r="BZ181" s="1170"/>
      <c r="CA181" s="1170"/>
      <c r="CB181" s="1170"/>
      <c r="CC181" s="1170"/>
      <c r="CD181" s="1170"/>
      <c r="CE181" s="1170"/>
      <c r="CF181" s="1170"/>
      <c r="CG181" s="1170"/>
      <c r="CH181" s="1182"/>
      <c r="CI181" s="1182"/>
      <c r="CJ181" s="1170"/>
      <c r="CK181" s="1204" t="s">
        <v>1054</v>
      </c>
      <c r="CL181" s="1204" t="str">
        <f>IF(allocationMethod=1,CokingRefineryPFD!$C$21,IF(allocationMethod=2,CokingRefineryPFD!$C$22,IF(allocationMethod=3,CokingRefineryPFD!$C$23,CokingRefineryPFD!$C$24)))</f>
        <v>Hydrogen Content Basis</v>
      </c>
      <c r="CM181" s="1250">
        <f ca="1">IF(allocationMethod=1,CM173,IF(allocationMethod=2,CM179*CM173,IF(allocationMethod=3,CM180*CM171,CM177*CM173/100)))</f>
        <v>2.0411693308579661E-16</v>
      </c>
      <c r="CN181" s="1170"/>
      <c r="CO181" s="1170"/>
      <c r="CP181" s="1160"/>
      <c r="CQ181" s="1160"/>
      <c r="CR181" s="1160"/>
      <c r="CS181" s="1183" t="s">
        <v>226</v>
      </c>
      <c r="CT181" s="1160"/>
      <c r="CU181" s="1184" t="s">
        <v>522</v>
      </c>
      <c r="CV181" s="1160"/>
      <c r="CW181" s="1160"/>
      <c r="CX181" s="1160"/>
      <c r="CY181" s="1160"/>
      <c r="CZ181" s="1171"/>
      <c r="DA181" s="1160"/>
      <c r="DB181" s="1160"/>
      <c r="DC181" s="1160"/>
      <c r="DD181" s="1160"/>
      <c r="DE181" s="1160"/>
      <c r="DF181" s="1160"/>
      <c r="DG181" s="1160"/>
      <c r="DH181" s="1160"/>
      <c r="DI181" s="1160"/>
      <c r="DJ181" s="1160"/>
      <c r="DK181" s="1160"/>
      <c r="DL181" s="1160"/>
      <c r="DM181" s="1171"/>
      <c r="DN181" s="1160"/>
      <c r="DO181" s="1160"/>
      <c r="DP181" s="1160"/>
      <c r="DQ181" s="1160"/>
      <c r="DR181" s="1160"/>
      <c r="DS181" s="1160"/>
      <c r="DT181" s="1160"/>
      <c r="DU181" s="1160"/>
      <c r="DV181" s="1160"/>
      <c r="DW181" s="1160"/>
      <c r="DX181" s="1160"/>
      <c r="DY181" s="1160"/>
      <c r="DZ181" s="1160"/>
      <c r="EA181" s="1160"/>
      <c r="EB181" s="1160"/>
      <c r="EC181" s="1160"/>
    </row>
    <row r="182" spans="1:133" x14ac:dyDescent="0.2">
      <c r="A182" s="1160"/>
      <c r="B182" s="1160"/>
      <c r="C182" s="1160"/>
      <c r="D182" s="1160"/>
      <c r="E182" s="1170"/>
      <c r="F182" s="1170"/>
      <c r="G182" s="1170"/>
      <c r="H182" s="1170"/>
      <c r="I182" s="1170"/>
      <c r="J182" s="1170"/>
      <c r="K182" s="1170"/>
      <c r="L182" s="1170"/>
      <c r="M182" s="1170"/>
      <c r="N182" s="1170"/>
      <c r="O182" s="1170"/>
      <c r="P182" s="1170"/>
      <c r="Q182" s="1170"/>
      <c r="R182" s="1170"/>
      <c r="S182" s="1170"/>
      <c r="T182" s="1170"/>
      <c r="U182" s="1170"/>
      <c r="V182" s="1170"/>
      <c r="W182" s="1170"/>
      <c r="X182" s="1170"/>
      <c r="Y182" s="1170"/>
      <c r="Z182" s="1170"/>
      <c r="AA182" s="1170"/>
      <c r="AB182" s="1170"/>
      <c r="AC182" s="1170" t="s">
        <v>263</v>
      </c>
      <c r="AD182" s="1170"/>
      <c r="AE182" s="1187">
        <f ca="1">+AA131*AE187</f>
        <v>4.315608334441117E-28</v>
      </c>
      <c r="AF182" s="1170"/>
      <c r="AG182" s="1170"/>
      <c r="AH182" s="1170"/>
      <c r="AI182" s="1170"/>
      <c r="AJ182" s="1170"/>
      <c r="AK182" s="1204" t="s">
        <v>1054</v>
      </c>
      <c r="AL182" s="1204" t="str">
        <f>IF(allocationMethod=1,CokingRefineryPFD!$C$21,IF(allocationMethod=2,CokingRefineryPFD!$C$22,IF(allocationMethod=3,CokingRefineryPFD!$C$23,CokingRefineryPFD!$C$24)))</f>
        <v>Hydrogen Content Basis</v>
      </c>
      <c r="AM182" s="1250">
        <f ca="1">IF(allocationMethod=1,AM174,IF(allocationMethod=2,AM180*AM174,IF(allocationMethod=3,AM181*AM172,AM178*AM174/100)))</f>
        <v>0</v>
      </c>
      <c r="AN182" s="1170"/>
      <c r="AO182" s="1170"/>
      <c r="AP182" s="1170"/>
      <c r="AQ182" s="1170"/>
      <c r="AR182" s="1170"/>
      <c r="AS182" s="1170"/>
      <c r="AT182" s="1170"/>
      <c r="AU182" s="1170"/>
      <c r="AV182" s="1170"/>
      <c r="AW182" s="1170"/>
      <c r="AX182" s="1170"/>
      <c r="AY182" s="1170"/>
      <c r="AZ182" s="1170"/>
      <c r="BA182" s="1170"/>
      <c r="BB182" s="1170"/>
      <c r="BC182" s="1170"/>
      <c r="BD182" s="1170"/>
      <c r="BE182" s="1170"/>
      <c r="BF182" s="1170"/>
      <c r="BG182" s="1204" t="s">
        <v>1054</v>
      </c>
      <c r="BH182" s="1204" t="str">
        <f>IF(allocationMethod=1,CokingRefineryPFD!$C$21,IF(allocationMethod=2,CokingRefineryPFD!$C$22,IF(allocationMethod=3,CokingRefineryPFD!$C$23,CokingRefineryPFD!$C$24)))</f>
        <v>Hydrogen Content Basis</v>
      </c>
      <c r="BI182" s="1250">
        <f ca="1">IF(allocationMethod=1,BI174,IF(allocationMethod=2,BI180*BI174,IF(allocationMethod=3,BI181*BI172,BI178*BI174/100)))</f>
        <v>1.6781290322592859E-16</v>
      </c>
      <c r="BJ182" s="1170"/>
      <c r="BK182" s="1170"/>
      <c r="BL182" s="1170"/>
      <c r="BM182" s="1170"/>
      <c r="BN182" s="1170"/>
      <c r="BO182" s="1170" t="s">
        <v>224</v>
      </c>
      <c r="BP182" s="1170"/>
      <c r="BQ182" s="1170">
        <f ca="1">'HydroRefinery Detailed Results'!H23+IF(AND($EC$147+$EC$164=0,E28=FALSE),'HydroRefinery Detailed Results'!H31*HydroRefineryCalcs!$T$1043,0)</f>
        <v>1.1029420837399374E-15</v>
      </c>
      <c r="BR182" s="1170"/>
      <c r="BS182" s="1170"/>
      <c r="BT182" s="1170"/>
      <c r="BU182" s="1170"/>
      <c r="BV182" s="1170"/>
      <c r="BW182" s="1204" t="s">
        <v>1054</v>
      </c>
      <c r="BX182" s="1204" t="str">
        <f>IF(allocationMethod=1,CokingRefineryPFD!$C$21,IF(allocationMethod=2,CokingRefineryPFD!$C$22,IF(allocationMethod=3,CokingRefineryPFD!$C$23,CokingRefineryPFD!$C$24)))</f>
        <v>Hydrogen Content Basis</v>
      </c>
      <c r="BY182" s="1250">
        <f ca="1">IF(allocationMethod=1,BY174,IF(allocationMethod=2,BY180*BY174,IF(allocationMethod=3,BY181*BY172,BY178*BY174/100)))</f>
        <v>1.9666757854744603E-16</v>
      </c>
      <c r="BZ182" s="1170"/>
      <c r="CA182" s="1170"/>
      <c r="CB182" s="1170"/>
      <c r="CC182" s="1170"/>
      <c r="CD182" s="1170"/>
      <c r="CE182" s="1170"/>
      <c r="CF182" s="1170"/>
      <c r="CG182" s="1170"/>
      <c r="CH182" s="1186"/>
      <c r="CI182" s="1170"/>
      <c r="CJ182" s="1170"/>
      <c r="CK182" s="1170"/>
      <c r="CL182" s="1170"/>
      <c r="CM182" s="1170"/>
      <c r="CN182" s="1170"/>
      <c r="CO182" s="1170"/>
      <c r="CP182" s="1160"/>
      <c r="CQ182" s="1160"/>
      <c r="CR182" s="1160"/>
      <c r="CS182" s="1170" t="s">
        <v>263</v>
      </c>
      <c r="CT182" s="1160"/>
      <c r="CU182" s="1187">
        <f ca="1">(CM185)*CU188</f>
        <v>0</v>
      </c>
      <c r="CV182" s="1160"/>
      <c r="CW182" s="1160"/>
      <c r="CX182" s="1160"/>
      <c r="CY182" s="1160"/>
      <c r="CZ182" s="1171"/>
      <c r="DA182" s="1160"/>
      <c r="DB182" s="1160"/>
      <c r="DC182" s="1160"/>
      <c r="DD182" s="1160"/>
      <c r="DE182" s="1160"/>
      <c r="DF182" s="1160"/>
      <c r="DG182" s="1160"/>
      <c r="DH182" s="1160"/>
      <c r="DI182" s="1160"/>
      <c r="DJ182" s="1160"/>
      <c r="DK182" s="1160"/>
      <c r="DL182" s="1160"/>
      <c r="DM182" s="1171"/>
      <c r="DN182" s="1160"/>
      <c r="DO182" s="1160"/>
      <c r="DP182" s="1160"/>
      <c r="DQ182" s="1160"/>
      <c r="DR182" s="1160"/>
      <c r="DS182" s="1160"/>
      <c r="DT182" s="1160"/>
      <c r="DU182" s="1160"/>
      <c r="DV182" s="1160"/>
      <c r="DW182" s="1160"/>
      <c r="DX182" s="1160"/>
      <c r="DY182" s="1160"/>
      <c r="DZ182" s="1160"/>
      <c r="EA182" s="1160"/>
      <c r="EB182" s="1160"/>
      <c r="EC182" s="1160"/>
    </row>
    <row r="183" spans="1:133" x14ac:dyDescent="0.2">
      <c r="A183" s="1160"/>
      <c r="B183" s="1160"/>
      <c r="C183" s="1160"/>
      <c r="D183" s="1160"/>
      <c r="E183" s="1170"/>
      <c r="F183" s="1170"/>
      <c r="G183" s="1170"/>
      <c r="H183" s="1170"/>
      <c r="I183" s="1170"/>
      <c r="J183" s="1170"/>
      <c r="K183" s="1170"/>
      <c r="L183" s="1170"/>
      <c r="M183" s="1170"/>
      <c r="N183" s="1170"/>
      <c r="O183" s="1170"/>
      <c r="P183" s="1170"/>
      <c r="Q183" s="1170"/>
      <c r="R183" s="1170"/>
      <c r="S183" s="1170"/>
      <c r="T183" s="1170"/>
      <c r="U183" s="1170"/>
      <c r="V183" s="1170"/>
      <c r="W183" s="1170"/>
      <c r="X183" s="1170"/>
      <c r="Y183" s="1170"/>
      <c r="Z183" s="1170"/>
      <c r="AA183" s="1170"/>
      <c r="AB183" s="1170"/>
      <c r="AC183" s="1170" t="s">
        <v>392</v>
      </c>
      <c r="AD183" s="1170"/>
      <c r="AE183" s="1187">
        <f ca="1">(AA132+AA188)*$AE$187</f>
        <v>2.8964931928634858E-32</v>
      </c>
      <c r="AF183" s="1170"/>
      <c r="AG183" s="1170"/>
      <c r="AH183" s="1170"/>
      <c r="AI183" s="1170"/>
      <c r="AJ183" s="1170"/>
      <c r="AK183" s="1170"/>
      <c r="AL183" s="1170"/>
      <c r="AM183" s="1170"/>
      <c r="AN183" s="1170"/>
      <c r="AO183" s="1170"/>
      <c r="AP183" s="1170"/>
      <c r="AQ183" s="1170"/>
      <c r="AR183" s="1170"/>
      <c r="AS183" s="1170"/>
      <c r="AT183" s="1170"/>
      <c r="AU183" s="1170"/>
      <c r="AV183" s="1170"/>
      <c r="AW183" s="1170"/>
      <c r="AX183" s="1170"/>
      <c r="AY183" s="1170"/>
      <c r="AZ183" s="1170"/>
      <c r="BA183" s="1170"/>
      <c r="BB183" s="1170"/>
      <c r="BC183" s="1170"/>
      <c r="BD183" s="1170"/>
      <c r="BE183" s="1170"/>
      <c r="BF183" s="1170"/>
      <c r="BG183" s="1170"/>
      <c r="BH183" s="1170"/>
      <c r="BI183" s="1170"/>
      <c r="BJ183" s="1170"/>
      <c r="BK183" s="1170"/>
      <c r="BL183" s="1170"/>
      <c r="BM183" s="1170"/>
      <c r="BN183" s="1170"/>
      <c r="BO183" s="1170" t="s">
        <v>485</v>
      </c>
      <c r="BP183" s="1170"/>
      <c r="BQ183" s="1170">
        <f ca="1">'HydroRefinery Detailed Results'!J23+IF(AND($EC$147+$EC$164=0,E28=FALSE),'HydroRefinery Detailed Results'!J31*HydroRefineryCalcs!$T$1043,0)</f>
        <v>9.306694897516878E-17</v>
      </c>
      <c r="BR183" s="1170"/>
      <c r="BS183" s="1170"/>
      <c r="BT183" s="1170"/>
      <c r="BU183" s="1170"/>
      <c r="BV183" s="1170"/>
      <c r="BW183" s="1170"/>
      <c r="BX183" s="1170"/>
      <c r="BY183" s="1170"/>
      <c r="BZ183" s="1170"/>
      <c r="CA183" s="1170"/>
      <c r="CB183" s="1170"/>
      <c r="CC183" s="1170"/>
      <c r="CD183" s="1170"/>
      <c r="CE183" s="1170"/>
      <c r="CF183" s="1170"/>
      <c r="CG183" s="1170"/>
      <c r="CH183" s="1186"/>
      <c r="CI183" s="1170"/>
      <c r="CJ183" s="1170"/>
      <c r="CK183" s="1180" t="str">
        <f>CK169</f>
        <v>FCC C4</v>
      </c>
      <c r="CL183" s="1170"/>
      <c r="CM183" s="1170"/>
      <c r="CN183" s="1170"/>
      <c r="CO183" s="1170"/>
      <c r="CP183" s="1160"/>
      <c r="CQ183" s="1160"/>
      <c r="CR183" s="1160"/>
      <c r="CS183" s="1170" t="s">
        <v>392</v>
      </c>
      <c r="CT183" s="1160"/>
      <c r="CU183" s="1187">
        <f ca="1">(CQ170+CM186)*$CU$188</f>
        <v>0</v>
      </c>
      <c r="CV183" s="1160"/>
      <c r="CW183" s="1160"/>
      <c r="CX183" s="1160"/>
      <c r="CY183" s="1160"/>
      <c r="CZ183" s="1171"/>
      <c r="DA183" s="1160"/>
      <c r="DB183" s="1160"/>
      <c r="DC183" s="1160"/>
      <c r="DD183" s="1160"/>
      <c r="DE183" s="1160"/>
      <c r="DF183" s="1160"/>
      <c r="DG183" s="1160"/>
      <c r="DH183" s="1160"/>
      <c r="DI183" s="1160"/>
      <c r="DJ183" s="1160"/>
      <c r="DK183" s="1160"/>
      <c r="DL183" s="1160"/>
      <c r="DM183" s="1171"/>
      <c r="DN183" s="1160"/>
      <c r="DO183" s="1160"/>
      <c r="DP183" s="1160"/>
      <c r="DQ183" s="1160"/>
      <c r="DR183" s="1160"/>
      <c r="DS183" s="1160"/>
      <c r="DT183" s="1160"/>
      <c r="DU183" s="1160"/>
      <c r="DV183" s="1160"/>
      <c r="DW183" s="1160"/>
      <c r="DX183" s="1160"/>
      <c r="DY183" s="1160"/>
      <c r="DZ183" s="1160"/>
      <c r="EA183" s="1160"/>
      <c r="EB183" s="1160"/>
      <c r="EC183" s="1160"/>
    </row>
    <row r="184" spans="1:133" x14ac:dyDescent="0.2">
      <c r="A184" s="1160"/>
      <c r="B184" s="1160"/>
      <c r="C184" s="1160"/>
      <c r="D184" s="1160"/>
      <c r="E184" s="1170"/>
      <c r="F184" s="1170"/>
      <c r="G184" s="1170"/>
      <c r="H184" s="1170"/>
      <c r="I184" s="1170"/>
      <c r="J184" s="1170"/>
      <c r="K184" s="1170"/>
      <c r="L184" s="1170"/>
      <c r="M184" s="1170"/>
      <c r="N184" s="1170"/>
      <c r="O184" s="1170"/>
      <c r="P184" s="1170"/>
      <c r="Q184" s="1170"/>
      <c r="R184" s="1170"/>
      <c r="S184" s="1170"/>
      <c r="T184" s="1170"/>
      <c r="U184" s="1170"/>
      <c r="V184" s="1170"/>
      <c r="W184" s="1170"/>
      <c r="X184" s="1170"/>
      <c r="Y184" s="1170"/>
      <c r="Z184" s="1170"/>
      <c r="AA184" s="1170"/>
      <c r="AB184" s="1170"/>
      <c r="AC184" s="1170" t="s">
        <v>224</v>
      </c>
      <c r="AD184" s="1170"/>
      <c r="AE184" s="1187">
        <f ca="1">(AA133+AA189)*$AE$187</f>
        <v>6.6158838385611097E-15</v>
      </c>
      <c r="AF184" s="1170"/>
      <c r="AG184" s="1170"/>
      <c r="AH184" s="1170"/>
      <c r="AI184" s="1170"/>
      <c r="AJ184" s="1170"/>
      <c r="AK184" s="1180" t="str">
        <f>AK170</f>
        <v>HVGO</v>
      </c>
      <c r="AL184" s="1170"/>
      <c r="AM184" s="1170"/>
      <c r="AN184" s="1170"/>
      <c r="AO184" s="1170"/>
      <c r="AP184" s="1170"/>
      <c r="AQ184" s="1170"/>
      <c r="AR184" s="1170"/>
      <c r="AS184" s="1170"/>
      <c r="AT184" s="1170"/>
      <c r="AU184" s="1170"/>
      <c r="AV184" s="1170"/>
      <c r="AW184" s="1170"/>
      <c r="AX184" s="1170"/>
      <c r="AY184" s="1170"/>
      <c r="AZ184" s="1170"/>
      <c r="BA184" s="1170"/>
      <c r="BB184" s="1170"/>
      <c r="BC184" s="1170"/>
      <c r="BD184" s="1170"/>
      <c r="BE184" s="1170"/>
      <c r="BF184" s="1170"/>
      <c r="BG184" s="1180" t="str">
        <f>BG170</f>
        <v>Residue HC Naphtha</v>
      </c>
      <c r="BH184" s="1170"/>
      <c r="BI184" s="1170"/>
      <c r="BJ184" s="1170"/>
      <c r="BK184" s="1170"/>
      <c r="BL184" s="1170"/>
      <c r="BM184" s="1170"/>
      <c r="BN184" s="1170"/>
      <c r="BO184" s="1170" t="s">
        <v>541</v>
      </c>
      <c r="BP184" s="1170"/>
      <c r="BQ184" s="1170">
        <f ca="1">'HydroRefinery Detailed Results'!L23+IF(AND($EC$147+$EC$164=0,E28=FALSE),'HydroRefinery Detailed Results'!L31*HydroRefineryCalcs!$T$1043,0)</f>
        <v>0</v>
      </c>
      <c r="BR184" s="1170"/>
      <c r="BS184" s="1170"/>
      <c r="BT184" s="1170"/>
      <c r="BU184" s="1170"/>
      <c r="BV184" s="1170"/>
      <c r="BW184" s="1170"/>
      <c r="BX184" s="1170"/>
      <c r="BY184" s="1170"/>
      <c r="BZ184" s="1170"/>
      <c r="CA184" s="1170"/>
      <c r="CB184" s="1170"/>
      <c r="CC184" s="1170"/>
      <c r="CD184" s="1170"/>
      <c r="CE184" s="1170"/>
      <c r="CF184" s="1170"/>
      <c r="CG184" s="1170"/>
      <c r="CH184" s="1186"/>
      <c r="CI184" s="1170"/>
      <c r="CJ184" s="1170"/>
      <c r="CK184" s="1183" t="s">
        <v>226</v>
      </c>
      <c r="CL184" s="1170"/>
      <c r="CM184" s="1184" t="s">
        <v>522</v>
      </c>
      <c r="CN184" s="1170"/>
      <c r="CO184" s="1170"/>
      <c r="CP184" s="1160"/>
      <c r="CQ184" s="1160"/>
      <c r="CR184" s="1160"/>
      <c r="CS184" s="1170" t="s">
        <v>224</v>
      </c>
      <c r="CT184" s="1160"/>
      <c r="CU184" s="1187">
        <f ca="1">(CQ171+CM187)*$CU$188</f>
        <v>1.7817492769219491E-13</v>
      </c>
      <c r="CV184" s="1160"/>
      <c r="CW184" s="1160"/>
      <c r="CX184" s="1160"/>
      <c r="CY184" s="1160"/>
      <c r="CZ184" s="1171"/>
      <c r="DA184" s="1160"/>
      <c r="DB184" s="1160"/>
      <c r="DC184" s="1160"/>
      <c r="DD184" s="1160"/>
      <c r="DE184" s="1160"/>
      <c r="DF184" s="1160"/>
      <c r="DG184" s="1160"/>
      <c r="DH184" s="1160"/>
      <c r="DI184" s="1160"/>
      <c r="DJ184" s="1160"/>
      <c r="DK184" s="1160"/>
      <c r="DL184" s="1160"/>
      <c r="DM184" s="1171"/>
      <c r="DN184" s="1160"/>
      <c r="DO184" s="1160"/>
      <c r="DP184" s="1160"/>
      <c r="DQ184" s="1160"/>
      <c r="DR184" s="1160"/>
      <c r="DS184" s="1160"/>
      <c r="DT184" s="1160"/>
      <c r="DU184" s="1160"/>
      <c r="DV184" s="1160"/>
      <c r="DW184" s="1160"/>
      <c r="DX184" s="1160"/>
      <c r="DY184" s="1160"/>
      <c r="DZ184" s="1160"/>
      <c r="EA184" s="1160"/>
      <c r="EB184" s="1160"/>
      <c r="EC184" s="1160"/>
    </row>
    <row r="185" spans="1:133" x14ac:dyDescent="0.2">
      <c r="A185" s="1160"/>
      <c r="B185" s="1160"/>
      <c r="C185" s="1160"/>
      <c r="D185" s="1160"/>
      <c r="E185" s="1170"/>
      <c r="F185" s="1170"/>
      <c r="G185" s="1170"/>
      <c r="H185" s="1170"/>
      <c r="I185" s="1170"/>
      <c r="J185" s="1170"/>
      <c r="K185" s="1170"/>
      <c r="L185" s="1170"/>
      <c r="M185" s="1170"/>
      <c r="N185" s="1170"/>
      <c r="O185" s="1170"/>
      <c r="P185" s="1170"/>
      <c r="Q185" s="1170"/>
      <c r="R185" s="1170"/>
      <c r="S185" s="1170"/>
      <c r="T185" s="1170"/>
      <c r="U185" s="1170"/>
      <c r="V185" s="1170"/>
      <c r="W185" s="1170"/>
      <c r="X185" s="1170"/>
      <c r="Y185" s="1170"/>
      <c r="Z185" s="1170"/>
      <c r="AA185" s="1170"/>
      <c r="AB185" s="1170"/>
      <c r="AC185" s="1170" t="s">
        <v>485</v>
      </c>
      <c r="AD185" s="1170"/>
      <c r="AE185" s="1187">
        <f ca="1">(AA134+AA190)*$AE$187</f>
        <v>6.2242382397956034E-31</v>
      </c>
      <c r="AF185" s="1170"/>
      <c r="AG185" s="1170"/>
      <c r="AH185" s="1170"/>
      <c r="AI185" s="1170"/>
      <c r="AJ185" s="1170"/>
      <c r="AK185" s="1180" t="s">
        <v>226</v>
      </c>
      <c r="AL185" s="1170"/>
      <c r="AM185" s="1227" t="s">
        <v>522</v>
      </c>
      <c r="AN185" s="1170"/>
      <c r="AO185" s="1170"/>
      <c r="AP185" s="1170"/>
      <c r="AQ185" s="1170"/>
      <c r="AR185" s="1170"/>
      <c r="AS185" s="1170"/>
      <c r="AT185" s="1170"/>
      <c r="AU185" s="1170"/>
      <c r="AV185" s="1170"/>
      <c r="AW185" s="1170"/>
      <c r="AX185" s="1170"/>
      <c r="AY185" s="1170"/>
      <c r="AZ185" s="1170"/>
      <c r="BA185" s="1170"/>
      <c r="BB185" s="1170"/>
      <c r="BC185" s="1170"/>
      <c r="BD185" s="1170"/>
      <c r="BE185" s="1170"/>
      <c r="BF185" s="1170"/>
      <c r="BG185" s="1183" t="s">
        <v>226</v>
      </c>
      <c r="BH185" s="1170"/>
      <c r="BI185" s="1184" t="s">
        <v>522</v>
      </c>
      <c r="BJ185" s="1170"/>
      <c r="BK185" s="1170"/>
      <c r="BL185" s="1170"/>
      <c r="BM185" s="1170"/>
      <c r="BN185" s="1170"/>
      <c r="BO185" s="1170"/>
      <c r="BP185" s="1170"/>
      <c r="BQ185" s="1170"/>
      <c r="BR185" s="1170"/>
      <c r="BS185" s="1170"/>
      <c r="BT185" s="1170"/>
      <c r="BU185" s="1170"/>
      <c r="BV185" s="1170"/>
      <c r="BW185" s="1181" t="str">
        <f>HydroRefineryCalcs!K619</f>
        <v>FCC FHT Fuel Gas</v>
      </c>
      <c r="BX185" s="1170"/>
      <c r="BY185" s="1170"/>
      <c r="BZ185" s="1170"/>
      <c r="CA185" s="1170"/>
      <c r="CB185" s="1170"/>
      <c r="CC185" s="1170"/>
      <c r="CD185" s="1170"/>
      <c r="CE185" s="1170"/>
      <c r="CF185" s="1170"/>
      <c r="CG185" s="1170"/>
      <c r="CH185" s="1186"/>
      <c r="CI185" s="1170"/>
      <c r="CJ185" s="1170"/>
      <c r="CK185" s="1170" t="s">
        <v>263</v>
      </c>
      <c r="CL185" s="1170"/>
      <c r="CM185" s="1187">
        <f ca="1">CC252*CM191</f>
        <v>0</v>
      </c>
      <c r="CN185" s="1170"/>
      <c r="CO185" s="1170"/>
      <c r="CP185" s="1160"/>
      <c r="CQ185" s="1160"/>
      <c r="CR185" s="1160"/>
      <c r="CS185" s="1170" t="s">
        <v>485</v>
      </c>
      <c r="CT185" s="1160"/>
      <c r="CU185" s="1187">
        <f ca="1">(CQ172+CM188)*$CU$188</f>
        <v>1.7018794312773651E-14</v>
      </c>
      <c r="CV185" s="1160"/>
      <c r="CW185" s="1160"/>
      <c r="CX185" s="1160"/>
      <c r="CY185" s="1160"/>
      <c r="CZ185" s="1171"/>
      <c r="DA185" s="1160"/>
      <c r="DB185" s="1160"/>
      <c r="DC185" s="1160"/>
      <c r="DD185" s="1160"/>
      <c r="DE185" s="1160"/>
      <c r="DF185" s="1160"/>
      <c r="DG185" s="1160"/>
      <c r="DH185" s="1160"/>
      <c r="DI185" s="1160"/>
      <c r="DJ185" s="1160"/>
      <c r="DK185" s="1160"/>
      <c r="DL185" s="1160"/>
      <c r="DM185" s="1171"/>
      <c r="DN185" s="1160"/>
      <c r="DO185" s="1160"/>
      <c r="DP185" s="1160"/>
      <c r="DQ185" s="1160"/>
      <c r="DR185" s="1160"/>
      <c r="DS185" s="1160"/>
      <c r="DT185" s="1160"/>
      <c r="DU185" s="1160"/>
      <c r="DV185" s="1160"/>
      <c r="DW185" s="1160"/>
      <c r="DX185" s="1160"/>
      <c r="DY185" s="1160"/>
      <c r="DZ185" s="1160"/>
      <c r="EA185" s="1160"/>
      <c r="EB185" s="1160"/>
      <c r="EC185" s="1160"/>
    </row>
    <row r="186" spans="1:133" x14ac:dyDescent="0.2">
      <c r="A186" s="1160"/>
      <c r="B186" s="1160"/>
      <c r="C186" s="1160"/>
      <c r="D186" s="1160"/>
      <c r="E186" s="1170"/>
      <c r="F186" s="1170"/>
      <c r="G186" s="1170"/>
      <c r="H186" s="1170"/>
      <c r="I186" s="1170"/>
      <c r="J186" s="1170"/>
      <c r="K186" s="1170"/>
      <c r="L186" s="1170"/>
      <c r="M186" s="1170"/>
      <c r="N186" s="1170"/>
      <c r="O186" s="1170"/>
      <c r="P186" s="1170"/>
      <c r="Q186" s="1170"/>
      <c r="R186" s="1170"/>
      <c r="S186" s="1170"/>
      <c r="T186" s="1170"/>
      <c r="U186" s="1170"/>
      <c r="V186" s="1170"/>
      <c r="W186" s="1170"/>
      <c r="X186" s="1170"/>
      <c r="Y186" s="1170"/>
      <c r="Z186" s="1184" t="str">
        <f>'HydroRefinery Detailed Results'!C12</f>
        <v>Vacuum Tower Furnace</v>
      </c>
      <c r="AA186" s="1170"/>
      <c r="AB186" s="1170"/>
      <c r="AC186" s="1170" t="s">
        <v>541</v>
      </c>
      <c r="AD186" s="1170"/>
      <c r="AE186" s="1170">
        <f ca="1">(AA135+AA191)*$AE$187</f>
        <v>0</v>
      </c>
      <c r="AF186" s="1170"/>
      <c r="AG186" s="1170"/>
      <c r="AH186" s="1170"/>
      <c r="AI186" s="1170"/>
      <c r="AJ186" s="1170"/>
      <c r="AK186" s="1170" t="s">
        <v>263</v>
      </c>
      <c r="AL186" s="1170"/>
      <c r="AM186" s="1187">
        <f ca="1">AE182*AM191</f>
        <v>0</v>
      </c>
      <c r="AN186" s="1170"/>
      <c r="AO186" s="1170"/>
      <c r="AP186" s="1170"/>
      <c r="AQ186" s="1170"/>
      <c r="AR186" s="1170"/>
      <c r="AS186" s="1181" t="str">
        <f>HydroRefineryCalcs!G604</f>
        <v>HVGO to FCC</v>
      </c>
      <c r="AT186" s="1170"/>
      <c r="AU186" s="1170"/>
      <c r="AV186" s="1170"/>
      <c r="AW186" s="1170"/>
      <c r="AX186" s="1180" t="str">
        <f>AS186</f>
        <v>HVGO to FCC</v>
      </c>
      <c r="AY186" s="1180"/>
      <c r="AZ186" s="1170"/>
      <c r="BA186" s="1170"/>
      <c r="BB186" s="1170"/>
      <c r="BC186" s="1170"/>
      <c r="BD186" s="1170"/>
      <c r="BE186" s="1170"/>
      <c r="BF186" s="1170"/>
      <c r="BG186" s="1170" t="s">
        <v>263</v>
      </c>
      <c r="BH186" s="1170"/>
      <c r="BI186" s="1170">
        <f ca="1">BB256*BI191</f>
        <v>0</v>
      </c>
      <c r="BJ186" s="1170"/>
      <c r="BK186" s="1170"/>
      <c r="BL186" s="1170"/>
      <c r="BM186" s="1170"/>
      <c r="BN186" s="1170"/>
      <c r="BO186" s="1181" t="str">
        <f>CokingRefineryCalcs!C947</f>
        <v>Total hydrogen consumed</v>
      </c>
      <c r="BP186" s="1170"/>
      <c r="BQ186" s="1170"/>
      <c r="BR186" s="1170"/>
      <c r="BS186" s="1170"/>
      <c r="BT186" s="1170"/>
      <c r="BU186" s="1170"/>
      <c r="BV186" s="1170"/>
      <c r="BW186" s="1182" t="str">
        <f>HydroRefineryCalcs!C619</f>
        <v>Property</v>
      </c>
      <c r="BX186" s="1182" t="str">
        <f>HydroRefineryCalcs!D619</f>
        <v>Units</v>
      </c>
      <c r="BY186" s="1170"/>
      <c r="BZ186" s="1170"/>
      <c r="CA186" s="1170"/>
      <c r="CB186" s="1170"/>
      <c r="CC186" s="1170"/>
      <c r="CD186" s="1170"/>
      <c r="CE186" s="1170"/>
      <c r="CF186" s="1170"/>
      <c r="CG186" s="1170"/>
      <c r="CH186" s="1186"/>
      <c r="CI186" s="1170"/>
      <c r="CJ186" s="1170"/>
      <c r="CK186" s="1170" t="s">
        <v>392</v>
      </c>
      <c r="CL186" s="1170"/>
      <c r="CM186" s="1187">
        <f ca="1">(CC253+CF216)*$CM$191</f>
        <v>0</v>
      </c>
      <c r="CN186" s="1170"/>
      <c r="CO186" s="1170"/>
      <c r="CP186" s="1160"/>
      <c r="CQ186" s="1160"/>
      <c r="CR186" s="1160"/>
      <c r="CS186" s="1170" t="s">
        <v>541</v>
      </c>
      <c r="CT186" s="1160"/>
      <c r="CU186" s="1187">
        <f ca="1">(CQ173+CM189)*$CU$188</f>
        <v>1.2838102808291812E-15</v>
      </c>
      <c r="CV186" s="1160"/>
      <c r="CW186" s="1160"/>
      <c r="CX186" s="1160"/>
      <c r="CY186" s="1160"/>
      <c r="CZ186" s="1171"/>
      <c r="DA186" s="1160"/>
      <c r="DB186" s="1160"/>
      <c r="DC186" s="1160"/>
      <c r="DD186" s="1160"/>
      <c r="DE186" s="1160"/>
      <c r="DF186" s="1160"/>
      <c r="DG186" s="1160"/>
      <c r="DH186" s="1160"/>
      <c r="DI186" s="1160"/>
      <c r="DJ186" s="1160"/>
      <c r="DK186" s="1160"/>
      <c r="DL186" s="1160"/>
      <c r="DM186" s="1171"/>
      <c r="DN186" s="1160"/>
      <c r="DO186" s="1160"/>
      <c r="DP186" s="1160"/>
      <c r="DQ186" s="1160"/>
      <c r="DR186" s="1160"/>
      <c r="DS186" s="1160"/>
      <c r="DT186" s="1160"/>
      <c r="DU186" s="1160"/>
      <c r="DV186" s="1160"/>
      <c r="DW186" s="1160"/>
      <c r="DX186" s="1160"/>
      <c r="DY186" s="1160"/>
      <c r="DZ186" s="1160"/>
      <c r="EA186" s="1160"/>
      <c r="EB186" s="1160"/>
      <c r="EC186" s="1160"/>
    </row>
    <row r="187" spans="1:133" x14ac:dyDescent="0.2">
      <c r="A187" s="1160"/>
      <c r="B187" s="1160"/>
      <c r="C187" s="1160"/>
      <c r="D187" s="1160"/>
      <c r="E187" s="1170"/>
      <c r="F187" s="1170"/>
      <c r="G187" s="1170"/>
      <c r="H187" s="1170"/>
      <c r="I187" s="1170"/>
      <c r="J187" s="1170"/>
      <c r="K187" s="1170"/>
      <c r="L187" s="1170"/>
      <c r="M187" s="1170"/>
      <c r="N187" s="1170"/>
      <c r="O187" s="1170"/>
      <c r="P187" s="1170"/>
      <c r="Q187" s="1170"/>
      <c r="R187" s="1170"/>
      <c r="S187" s="1170"/>
      <c r="T187" s="1170"/>
      <c r="U187" s="1170"/>
      <c r="V187" s="1170"/>
      <c r="W187" s="1170"/>
      <c r="X187" s="1170"/>
      <c r="Y187" s="1170"/>
      <c r="Z187" s="1184" t="s">
        <v>225</v>
      </c>
      <c r="AA187" s="1184" t="s">
        <v>522</v>
      </c>
      <c r="AB187" s="1170"/>
      <c r="AC187" s="1180" t="s">
        <v>1065</v>
      </c>
      <c r="AD187" s="1170"/>
      <c r="AE187" s="1180">
        <v>1</v>
      </c>
      <c r="AF187" s="1170"/>
      <c r="AG187" s="1170"/>
      <c r="AH187" s="1170"/>
      <c r="AI187" s="1170"/>
      <c r="AJ187" s="1170"/>
      <c r="AK187" s="1170" t="s">
        <v>392</v>
      </c>
      <c r="AL187" s="1170"/>
      <c r="AM187" s="1187">
        <f ca="1">(AE183+AH144)*$AM$191</f>
        <v>0</v>
      </c>
      <c r="AN187" s="1170"/>
      <c r="AO187" s="1170"/>
      <c r="AP187" s="1170"/>
      <c r="AQ187" s="1170"/>
      <c r="AR187" s="1170"/>
      <c r="AS187" s="1182" t="str">
        <f>HydroRefineryCalcs!C604</f>
        <v>Property</v>
      </c>
      <c r="AT187" s="1182" t="str">
        <f>HydroRefineryCalcs!D604</f>
        <v>Units</v>
      </c>
      <c r="AU187" s="1170"/>
      <c r="AV187" s="1170"/>
      <c r="AW187" s="1170"/>
      <c r="AX187" s="1183" t="s">
        <v>226</v>
      </c>
      <c r="AY187" s="1183"/>
      <c r="AZ187" s="1184" t="s">
        <v>522</v>
      </c>
      <c r="BA187" s="1170"/>
      <c r="BB187" s="1170"/>
      <c r="BC187" s="1170"/>
      <c r="BD187" s="1170"/>
      <c r="BE187" s="1170"/>
      <c r="BF187" s="1170"/>
      <c r="BG187" s="1170" t="s">
        <v>392</v>
      </c>
      <c r="BH187" s="1170"/>
      <c r="BI187" s="1170">
        <f ca="1">(BB257+BE233)*$BI$191</f>
        <v>0</v>
      </c>
      <c r="BJ187" s="1170"/>
      <c r="BK187" s="1170"/>
      <c r="BL187" s="1170"/>
      <c r="BM187" s="1170"/>
      <c r="BN187" s="1170"/>
      <c r="BO187" s="1170"/>
      <c r="BP187" s="1170" t="str">
        <f>CokingRefineryCalcs!E947</f>
        <v>kg/d</v>
      </c>
      <c r="BQ187" s="1170">
        <f ca="1">HydroRefineryCalcs!D1006</f>
        <v>0</v>
      </c>
      <c r="BR187" s="1170"/>
      <c r="BS187" s="1170"/>
      <c r="BT187" s="1170"/>
      <c r="BU187" s="1170"/>
      <c r="BV187" s="1170"/>
      <c r="BW187" s="1186" t="str">
        <f>HydroRefineryCalcs!C620</f>
        <v>Vol Flow</v>
      </c>
      <c r="BX187" s="1170" t="str">
        <f ca="1">HydroRefineryCalcs!D620</f>
        <v>bpd</v>
      </c>
      <c r="BY187" s="1187">
        <f ca="1">BY188/'Energy &amp; Unit Conversions'!$G$80</f>
        <v>3.2789203502066975E-16</v>
      </c>
      <c r="BZ187" s="1170"/>
      <c r="CA187" s="1170"/>
      <c r="CB187" s="1170"/>
      <c r="CC187" s="1170"/>
      <c r="CD187" s="1170"/>
      <c r="CE187" s="1170"/>
      <c r="CF187" s="1170"/>
      <c r="CG187" s="1170"/>
      <c r="CH187" s="1186"/>
      <c r="CI187" s="1170"/>
      <c r="CJ187" s="1170"/>
      <c r="CK187" s="1170" t="s">
        <v>224</v>
      </c>
      <c r="CL187" s="1170"/>
      <c r="CM187" s="1187">
        <f ca="1">(CC254+CF217)*$CM$191</f>
        <v>1.7817492769219491E-13</v>
      </c>
      <c r="CN187" s="1170"/>
      <c r="CO187" s="1170"/>
      <c r="CP187" s="1160"/>
      <c r="CQ187" s="1160"/>
      <c r="CR187" s="1160"/>
      <c r="CS187" s="1170" t="str">
        <f>CK190</f>
        <v>Catalyst Coke</v>
      </c>
      <c r="CT187" s="1160"/>
      <c r="CU187" s="1187">
        <f ca="1">(CM190)*$CU$188</f>
        <v>2.8251317133975394E-15</v>
      </c>
      <c r="CV187" s="1160"/>
      <c r="CW187" s="1160"/>
      <c r="CX187" s="1160"/>
      <c r="CY187" s="1160"/>
      <c r="CZ187" s="1171"/>
      <c r="DA187" s="1160"/>
      <c r="DB187" s="1160"/>
      <c r="DC187" s="1160"/>
      <c r="DD187" s="1160"/>
      <c r="DE187" s="1160"/>
      <c r="DF187" s="1160"/>
      <c r="DG187" s="1160"/>
      <c r="DH187" s="1160"/>
      <c r="DI187" s="1160"/>
      <c r="DJ187" s="1160"/>
      <c r="DK187" s="1160"/>
      <c r="DL187" s="1160"/>
      <c r="DM187" s="1171"/>
      <c r="DN187" s="1160"/>
      <c r="DO187" s="1160"/>
      <c r="DP187" s="1160"/>
      <c r="DQ187" s="1160"/>
      <c r="DR187" s="1160"/>
      <c r="DS187" s="1160"/>
      <c r="DT187" s="1160"/>
      <c r="DU187" s="1160"/>
      <c r="DV187" s="1160"/>
      <c r="DW187" s="1160"/>
      <c r="DX187" s="1160"/>
      <c r="DY187" s="1160"/>
      <c r="DZ187" s="1160"/>
      <c r="EA187" s="1160"/>
      <c r="EB187" s="1160"/>
      <c r="EC187" s="1160"/>
    </row>
    <row r="188" spans="1:133" x14ac:dyDescent="0.2">
      <c r="A188" s="1160"/>
      <c r="B188" s="1160"/>
      <c r="C188" s="1160"/>
      <c r="D188" s="1160"/>
      <c r="E188" s="1170"/>
      <c r="F188" s="1170"/>
      <c r="G188" s="1170"/>
      <c r="H188" s="1170"/>
      <c r="I188" s="1170"/>
      <c r="J188" s="1170"/>
      <c r="K188" s="1170"/>
      <c r="L188" s="1170"/>
      <c r="M188" s="1170"/>
      <c r="N188" s="1170"/>
      <c r="O188" s="1170"/>
      <c r="P188" s="1170"/>
      <c r="Q188" s="1170"/>
      <c r="R188" s="1170"/>
      <c r="S188" s="1170"/>
      <c r="T188" s="1170"/>
      <c r="U188" s="1170"/>
      <c r="V188" s="1170"/>
      <c r="W188" s="1170"/>
      <c r="X188" s="1170"/>
      <c r="Y188" s="1170"/>
      <c r="Z188" s="1170" t="s">
        <v>392</v>
      </c>
      <c r="AA188" s="1170">
        <f>'HydroRefinery Detailed Results'!F12</f>
        <v>0</v>
      </c>
      <c r="AB188" s="1170"/>
      <c r="AC188" s="1170"/>
      <c r="AD188" s="1170"/>
      <c r="AE188" s="1170"/>
      <c r="AF188" s="1170"/>
      <c r="AG188" s="1170"/>
      <c r="AH188" s="1170"/>
      <c r="AI188" s="1170"/>
      <c r="AJ188" s="1170"/>
      <c r="AK188" s="1170" t="s">
        <v>224</v>
      </c>
      <c r="AL188" s="1170"/>
      <c r="AM188" s="1187">
        <f ca="1">(AE184+AH145)*$AM$191</f>
        <v>0</v>
      </c>
      <c r="AN188" s="1170"/>
      <c r="AO188" s="1170"/>
      <c r="AP188" s="1170"/>
      <c r="AQ188" s="1170"/>
      <c r="AR188" s="1170"/>
      <c r="AS188" s="1186" t="str">
        <f>HydroRefineryCalcs!C605</f>
        <v>Vol Flow</v>
      </c>
      <c r="AT188" s="1170" t="str">
        <f ca="1">HydroRefineryCalcs!D605</f>
        <v>bpd</v>
      </c>
      <c r="AU188" s="1170">
        <f ca="1">HydroRefineryCalcs!G605</f>
        <v>9.9999999999900004E-15</v>
      </c>
      <c r="AV188" s="1170"/>
      <c r="AW188" s="1170"/>
      <c r="AX188" s="1170" t="s">
        <v>263</v>
      </c>
      <c r="AY188" s="1170"/>
      <c r="AZ188" s="1170">
        <f ca="1">AM186*$AZ$193</f>
        <v>0</v>
      </c>
      <c r="BA188" s="1170"/>
      <c r="BB188" s="1170"/>
      <c r="BC188" s="1170"/>
      <c r="BD188" s="1170"/>
      <c r="BE188" s="1170"/>
      <c r="BF188" s="1170"/>
      <c r="BG188" s="1170" t="s">
        <v>224</v>
      </c>
      <c r="BH188" s="1170"/>
      <c r="BI188" s="1170">
        <f ca="1">(BB258+BE234)*$BI$191</f>
        <v>8.6932331049401971E-14</v>
      </c>
      <c r="BJ188" s="1170"/>
      <c r="BK188" s="1170"/>
      <c r="BL188" s="1170"/>
      <c r="BM188" s="1170"/>
      <c r="BN188" s="1170"/>
      <c r="BO188" s="1170"/>
      <c r="BP188" s="1170"/>
      <c r="BQ188" s="1170"/>
      <c r="BR188" s="1170"/>
      <c r="BS188" s="1170"/>
      <c r="BT188" s="1170"/>
      <c r="BU188" s="1170"/>
      <c r="BV188" s="1170"/>
      <c r="BW188" s="1186" t="str">
        <f>HydroRefineryCalcs!C621</f>
        <v>Vol Flow</v>
      </c>
      <c r="BX188" s="1170" t="str">
        <f ca="1">HydroRefineryCalcs!D621</f>
        <v>m^3/d</v>
      </c>
      <c r="BY188" s="1187">
        <f ca="1">BY189*BY192</f>
        <v>5.2130669339441724E-17</v>
      </c>
      <c r="BZ188" s="1170"/>
      <c r="CA188" s="1170"/>
      <c r="CB188" s="1170"/>
      <c r="CC188" s="1170"/>
      <c r="CD188" s="1170"/>
      <c r="CE188" s="1170"/>
      <c r="CF188" s="1170"/>
      <c r="CG188" s="1170"/>
      <c r="CH188" s="1186"/>
      <c r="CI188" s="1170"/>
      <c r="CJ188" s="1170"/>
      <c r="CK188" s="1170" t="s">
        <v>485</v>
      </c>
      <c r="CL188" s="1170"/>
      <c r="CM188" s="1187">
        <f ca="1">(CC255+CF218)*$CM$191</f>
        <v>1.3977269680494474E-14</v>
      </c>
      <c r="CN188" s="1170"/>
      <c r="CO188" s="1170"/>
      <c r="CP188" s="1160"/>
      <c r="CQ188" s="1160"/>
      <c r="CR188" s="1160"/>
      <c r="CS188" s="1180" t="s">
        <v>227</v>
      </c>
      <c r="CT188" s="1160"/>
      <c r="CU188" s="1180">
        <v>1</v>
      </c>
      <c r="CV188" s="1160"/>
      <c r="CW188" s="1160"/>
      <c r="CX188" s="1160"/>
      <c r="CY188" s="1160"/>
      <c r="CZ188" s="1171"/>
      <c r="DA188" s="1160"/>
      <c r="DB188" s="1160"/>
      <c r="DC188" s="1160"/>
      <c r="DD188" s="1160"/>
      <c r="DE188" s="1160"/>
      <c r="DF188" s="1160"/>
      <c r="DG188" s="1160"/>
      <c r="DH188" s="1160"/>
      <c r="DI188" s="1160"/>
      <c r="DJ188" s="1160"/>
      <c r="DK188" s="1160"/>
      <c r="DL188" s="1160"/>
      <c r="DM188" s="1171"/>
      <c r="DN188" s="1160"/>
      <c r="DO188" s="1160"/>
      <c r="DP188" s="1160"/>
      <c r="DQ188" s="1160"/>
      <c r="DR188" s="1160"/>
      <c r="DS188" s="1160"/>
      <c r="DT188" s="1160"/>
      <c r="DU188" s="1160"/>
      <c r="DV188" s="1160"/>
      <c r="DW188" s="1160"/>
      <c r="DX188" s="1160"/>
      <c r="DY188" s="1160"/>
      <c r="DZ188" s="1160"/>
      <c r="EA188" s="1160"/>
      <c r="EB188" s="1160"/>
      <c r="EC188" s="1160"/>
    </row>
    <row r="189" spans="1:133" x14ac:dyDescent="0.2">
      <c r="A189" s="1160"/>
      <c r="B189" s="1160"/>
      <c r="C189" s="1160"/>
      <c r="D189" s="1160"/>
      <c r="E189" s="1170"/>
      <c r="F189" s="1170"/>
      <c r="G189" s="1170"/>
      <c r="H189" s="1170"/>
      <c r="I189" s="1170"/>
      <c r="J189" s="1170"/>
      <c r="K189" s="1170"/>
      <c r="L189" s="1170"/>
      <c r="M189" s="1170"/>
      <c r="N189" s="1170"/>
      <c r="O189" s="1170"/>
      <c r="P189" s="1170"/>
      <c r="Q189" s="1170"/>
      <c r="R189" s="1170"/>
      <c r="S189" s="1170"/>
      <c r="T189" s="1170"/>
      <c r="U189" s="1170"/>
      <c r="V189" s="1170"/>
      <c r="W189" s="1170"/>
      <c r="X189" s="1170"/>
      <c r="Y189" s="1170"/>
      <c r="Z189" s="1170" t="s">
        <v>224</v>
      </c>
      <c r="AA189" s="1170">
        <f ca="1">'HydroRefinery Detailed Results'!H12</f>
        <v>6.6158838385611065E-15</v>
      </c>
      <c r="AB189" s="1170"/>
      <c r="AC189" s="1170"/>
      <c r="AD189" s="1170"/>
      <c r="AE189" s="1170"/>
      <c r="AF189" s="1170"/>
      <c r="AG189" s="1170"/>
      <c r="AH189" s="1170"/>
      <c r="AI189" s="1170"/>
      <c r="AJ189" s="1170"/>
      <c r="AK189" s="1170" t="s">
        <v>485</v>
      </c>
      <c r="AL189" s="1170"/>
      <c r="AM189" s="1187">
        <f ca="1">(AE185+AH146)*$AM$191</f>
        <v>0</v>
      </c>
      <c r="AN189" s="1170"/>
      <c r="AO189" s="1170"/>
      <c r="AP189" s="1170"/>
      <c r="AQ189" s="1170"/>
      <c r="AR189" s="1170"/>
      <c r="AS189" s="1186" t="str">
        <f>HydroRefineryCalcs!C606</f>
        <v>Vol Flow</v>
      </c>
      <c r="AT189" s="1170" t="str">
        <f ca="1">HydroRefineryCalcs!D606</f>
        <v>m^3/d</v>
      </c>
      <c r="AU189" s="1170">
        <f ca="1">HydroRefineryCalcs!G606</f>
        <v>1.5898729999984102E-15</v>
      </c>
      <c r="AV189" s="1170"/>
      <c r="AW189" s="1170"/>
      <c r="AX189" s="1170" t="s">
        <v>392</v>
      </c>
      <c r="AY189" s="1170"/>
      <c r="AZ189" s="1170">
        <f ca="1">AM187*$AZ$193</f>
        <v>0</v>
      </c>
      <c r="BA189" s="1170"/>
      <c r="BB189" s="1170"/>
      <c r="BC189" s="1170"/>
      <c r="BD189" s="1170"/>
      <c r="BE189" s="1170"/>
      <c r="BF189" s="1170"/>
      <c r="BG189" s="1170" t="s">
        <v>485</v>
      </c>
      <c r="BH189" s="1170"/>
      <c r="BI189" s="1170">
        <f ca="1">(BB259+BE235)*$BI$191</f>
        <v>2.5043544552472299E-17</v>
      </c>
      <c r="BJ189" s="1170"/>
      <c r="BK189" s="1170"/>
      <c r="BL189" s="1170"/>
      <c r="BM189" s="1170"/>
      <c r="BN189" s="1170"/>
      <c r="BO189" s="1170"/>
      <c r="BP189" s="1170"/>
      <c r="BQ189" s="1170"/>
      <c r="BR189" s="1170"/>
      <c r="BS189" s="1170"/>
      <c r="BT189" s="1170"/>
      <c r="BU189" s="1170"/>
      <c r="BV189" s="1170"/>
      <c r="BW189" s="1186" t="str">
        <f>HydroRefineryCalcs!C622</f>
        <v>Mass Flow</v>
      </c>
      <c r="BX189" s="1170" t="str">
        <f>HydroRefineryCalcs!D622</f>
        <v>kg/d</v>
      </c>
      <c r="BY189" s="1170">
        <f ca="1">HydroRefineryCalcs!K622</f>
        <v>4.5005376344041782E-17</v>
      </c>
      <c r="BZ189" s="1170"/>
      <c r="CA189" s="1170"/>
      <c r="CB189" s="1170"/>
      <c r="CC189" s="1170"/>
      <c r="CD189" s="1170"/>
      <c r="CE189" s="1170"/>
      <c r="CF189" s="1170"/>
      <c r="CG189" s="1170"/>
      <c r="CH189" s="1186"/>
      <c r="CI189" s="1170"/>
      <c r="CJ189" s="1170"/>
      <c r="CK189" s="1170" t="s">
        <v>541</v>
      </c>
      <c r="CL189" s="1170"/>
      <c r="CM189" s="1187">
        <f ca="1">(CC256+CF219)*$CM$191</f>
        <v>1.2838102808291812E-15</v>
      </c>
      <c r="CN189" s="1170"/>
      <c r="CO189" s="1170"/>
      <c r="CP189" s="1160"/>
      <c r="CQ189" s="1160"/>
      <c r="CR189" s="1160"/>
      <c r="CS189" s="1160"/>
      <c r="CT189" s="1160"/>
      <c r="CU189" s="1170"/>
      <c r="CV189" s="1160"/>
      <c r="CW189" s="1160"/>
      <c r="CX189" s="1160"/>
      <c r="CY189" s="1160"/>
      <c r="CZ189" s="1171"/>
      <c r="DA189" s="1160"/>
      <c r="DB189" s="1160"/>
      <c r="DC189" s="1160"/>
      <c r="DD189" s="1160"/>
      <c r="DE189" s="1160"/>
      <c r="DF189" s="1160"/>
      <c r="DG189" s="1160"/>
      <c r="DH189" s="1160"/>
      <c r="DI189" s="1160"/>
      <c r="DJ189" s="1160"/>
      <c r="DK189" s="1160"/>
      <c r="DL189" s="1160"/>
      <c r="DM189" s="1171"/>
      <c r="DN189" s="1160"/>
      <c r="DO189" s="1160"/>
      <c r="DP189" s="1160"/>
      <c r="DQ189" s="1160"/>
      <c r="DR189" s="1160"/>
      <c r="DS189" s="1160"/>
      <c r="DT189" s="1160"/>
      <c r="DU189" s="1160"/>
      <c r="DV189" s="1160"/>
      <c r="DW189" s="1160"/>
      <c r="DX189" s="1160"/>
      <c r="DY189" s="1160"/>
      <c r="DZ189" s="1160"/>
      <c r="EA189" s="1160"/>
      <c r="EB189" s="1160"/>
      <c r="EC189" s="1160"/>
    </row>
    <row r="190" spans="1:133" x14ac:dyDescent="0.2">
      <c r="A190" s="1160"/>
      <c r="B190" s="1160"/>
      <c r="C190" s="1160"/>
      <c r="D190" s="1160"/>
      <c r="E190" s="1170"/>
      <c r="F190" s="1170"/>
      <c r="G190" s="1170"/>
      <c r="H190" s="1170"/>
      <c r="I190" s="1170"/>
      <c r="J190" s="1170"/>
      <c r="K190" s="1170"/>
      <c r="L190" s="1170"/>
      <c r="M190" s="1170"/>
      <c r="N190" s="1170"/>
      <c r="O190" s="1170"/>
      <c r="P190" s="1170"/>
      <c r="Q190" s="1170"/>
      <c r="R190" s="1170"/>
      <c r="S190" s="1170"/>
      <c r="T190" s="1170"/>
      <c r="U190" s="1170"/>
      <c r="V190" s="1170"/>
      <c r="W190" s="1170"/>
      <c r="X190" s="1170"/>
      <c r="Y190" s="1170"/>
      <c r="Z190" s="1170" t="s">
        <v>485</v>
      </c>
      <c r="AA190" s="1170">
        <f>'HydroRefinery Detailed Results'!J12</f>
        <v>0</v>
      </c>
      <c r="AB190" s="1170"/>
      <c r="AC190" s="1170"/>
      <c r="AD190" s="1170"/>
      <c r="AE190" s="1170"/>
      <c r="AF190" s="1170"/>
      <c r="AG190" s="1170"/>
      <c r="AH190" s="1170"/>
      <c r="AI190" s="1170"/>
      <c r="AJ190" s="1170"/>
      <c r="AK190" s="1170" t="s">
        <v>541</v>
      </c>
      <c r="AL190" s="1170"/>
      <c r="AM190" s="1187">
        <f ca="1">(AE186+AH147)*$AM$191</f>
        <v>0</v>
      </c>
      <c r="AN190" s="1170"/>
      <c r="AO190" s="1170"/>
      <c r="AP190" s="1170"/>
      <c r="AQ190" s="1170"/>
      <c r="AR190" s="1170"/>
      <c r="AS190" s="1186" t="str">
        <f>HydroRefineryCalcs!C607</f>
        <v>Mass Flow</v>
      </c>
      <c r="AT190" s="1170" t="str">
        <f>HydroRefineryCalcs!D607</f>
        <v>kg/d</v>
      </c>
      <c r="AU190" s="1170">
        <f ca="1">HydroRefineryCalcs!G607</f>
        <v>9.9999999999900004E-15</v>
      </c>
      <c r="AV190" s="1170"/>
      <c r="AW190" s="1170"/>
      <c r="AX190" s="1170" t="s">
        <v>224</v>
      </c>
      <c r="AY190" s="1170"/>
      <c r="AZ190" s="1170">
        <f ca="1">AM188*$AZ$193</f>
        <v>0</v>
      </c>
      <c r="BA190" s="1170"/>
      <c r="BB190" s="1170"/>
      <c r="BC190" s="1170"/>
      <c r="BD190" s="1170"/>
      <c r="BE190" s="1170"/>
      <c r="BF190" s="1170"/>
      <c r="BG190" s="1170" t="s">
        <v>541</v>
      </c>
      <c r="BH190" s="1170"/>
      <c r="BI190" s="1170">
        <f ca="1">(BB260+BE236)*$BI$191</f>
        <v>9.8048541406577932E-15</v>
      </c>
      <c r="BJ190" s="1170"/>
      <c r="BK190" s="1170"/>
      <c r="BL190" s="1170"/>
      <c r="BM190" s="1170"/>
      <c r="BN190" s="1170"/>
      <c r="BO190" s="1170"/>
      <c r="BP190" s="1170"/>
      <c r="BQ190" s="1170"/>
      <c r="BR190" s="1170"/>
      <c r="BS190" s="1170"/>
      <c r="BT190" s="1170"/>
      <c r="BU190" s="1170"/>
      <c r="BV190" s="1170"/>
      <c r="BW190" s="1186" t="str">
        <f>HydroRefineryCalcs!C623</f>
        <v xml:space="preserve">Sulphur </v>
      </c>
      <c r="BX190" s="1170" t="str">
        <f ca="1">HydroRefineryCalcs!D623</f>
        <v>wt%</v>
      </c>
      <c r="BY190" s="1170">
        <f ca="1">HydroRefineryCalcs!K623</f>
        <v>0</v>
      </c>
      <c r="BZ190" s="1170"/>
      <c r="CA190" s="1170"/>
      <c r="CB190" s="1170"/>
      <c r="CC190" s="1170"/>
      <c r="CD190" s="1170"/>
      <c r="CE190" s="1170"/>
      <c r="CF190" s="1170"/>
      <c r="CG190" s="1170"/>
      <c r="CH190" s="1170"/>
      <c r="CI190" s="1170"/>
      <c r="CJ190" s="1170"/>
      <c r="CK190" s="1170" t="str">
        <f>CA257</f>
        <v>Catalyst Coke</v>
      </c>
      <c r="CL190" s="1170"/>
      <c r="CM190" s="1187">
        <f ca="1">(CC257)*$CM$191</f>
        <v>2.8251317133975394E-15</v>
      </c>
      <c r="CN190" s="1170"/>
      <c r="CO190" s="1170"/>
      <c r="CP190" s="1160"/>
      <c r="CQ190" s="1160"/>
      <c r="CR190" s="1160"/>
      <c r="CS190" s="1160"/>
      <c r="CT190" s="1160"/>
      <c r="CU190" s="1170"/>
      <c r="CV190" s="1160"/>
      <c r="CW190" s="1160"/>
      <c r="CX190" s="1160"/>
      <c r="CY190" s="1160"/>
      <c r="CZ190" s="1171"/>
      <c r="DA190" s="1160"/>
      <c r="DB190" s="1160"/>
      <c r="DC190" s="1160"/>
      <c r="DD190" s="1160"/>
      <c r="DE190" s="1160"/>
      <c r="DF190" s="1160"/>
      <c r="DG190" s="1160"/>
      <c r="DH190" s="1160"/>
      <c r="DI190" s="1160"/>
      <c r="DJ190" s="1160"/>
      <c r="DK190" s="1160"/>
      <c r="DL190" s="1160"/>
      <c r="DM190" s="1171"/>
      <c r="DN190" s="1160"/>
      <c r="DO190" s="1160"/>
      <c r="DP190" s="1160"/>
      <c r="DQ190" s="1160"/>
      <c r="DR190" s="1160"/>
      <c r="DS190" s="1160"/>
      <c r="DT190" s="1160"/>
      <c r="DU190" s="1160"/>
      <c r="DV190" s="1160"/>
      <c r="DW190" s="1160"/>
      <c r="DX190" s="1160"/>
      <c r="DY190" s="1160"/>
      <c r="DZ190" s="1160"/>
      <c r="EA190" s="1160"/>
      <c r="EB190" s="1160"/>
      <c r="EC190" s="1160"/>
    </row>
    <row r="191" spans="1:133" x14ac:dyDescent="0.2">
      <c r="A191" s="1160"/>
      <c r="B191" s="1160"/>
      <c r="C191" s="1160"/>
      <c r="D191" s="1160"/>
      <c r="E191" s="1170"/>
      <c r="F191" s="1170"/>
      <c r="G191" s="1170"/>
      <c r="H191" s="1170"/>
      <c r="I191" s="1170"/>
      <c r="J191" s="1170"/>
      <c r="K191" s="1170"/>
      <c r="L191" s="1170"/>
      <c r="M191" s="1170"/>
      <c r="N191" s="1170"/>
      <c r="O191" s="1170"/>
      <c r="P191" s="1170"/>
      <c r="Q191" s="1170"/>
      <c r="R191" s="1170"/>
      <c r="S191" s="1170"/>
      <c r="T191" s="1170"/>
      <c r="U191" s="1170"/>
      <c r="V191" s="1170"/>
      <c r="W191" s="1170"/>
      <c r="X191" s="1170"/>
      <c r="Y191" s="1170"/>
      <c r="Z191" s="1170" t="s">
        <v>541</v>
      </c>
      <c r="AA191" s="1170">
        <f>'HydroRefinery Detailed Results'!L12</f>
        <v>0</v>
      </c>
      <c r="AB191" s="1170"/>
      <c r="AC191" s="1170"/>
      <c r="AD191" s="1170"/>
      <c r="AE191" s="1170"/>
      <c r="AF191" s="1170"/>
      <c r="AG191" s="1170"/>
      <c r="AH191" s="1170"/>
      <c r="AI191" s="1170"/>
      <c r="AJ191" s="1170"/>
      <c r="AK191" s="1180" t="s">
        <v>1065</v>
      </c>
      <c r="AL191" s="1170"/>
      <c r="AM191" s="1170">
        <f ca="1">IF(OR(HydroRefineryConfig=1,HydroRefineryConfig=2,HydroRefineryConfig=3),IF(E24=TRUE,IF((AM145+AM182+AN300+DD285)=0,0,AM182/(AM145+AM182+AN300+DD285)),IF((AM145+AM182)=0,0,AM182/(AM145+AM182+DD285))),IF((AM145+AM182+AL257)=0,0,AM182/(AM145+AM182+AL257+DD285)))</f>
        <v>0</v>
      </c>
      <c r="AN191" s="1170"/>
      <c r="AO191" s="1170"/>
      <c r="AP191" s="1170"/>
      <c r="AQ191" s="1170"/>
      <c r="AR191" s="1170"/>
      <c r="AS191" s="1186" t="str">
        <f>HydroRefineryCalcs!C608</f>
        <v xml:space="preserve">Sulphur </v>
      </c>
      <c r="AT191" s="1170" t="str">
        <f ca="1">HydroRefineryCalcs!D608</f>
        <v>wt%</v>
      </c>
      <c r="AU191" s="1170">
        <f ca="1">HydroRefineryCalcs!G608</f>
        <v>0</v>
      </c>
      <c r="AV191" s="1170"/>
      <c r="AW191" s="1170"/>
      <c r="AX191" s="1170" t="s">
        <v>485</v>
      </c>
      <c r="AY191" s="1170"/>
      <c r="AZ191" s="1170">
        <f ca="1">AM189*$AZ$193</f>
        <v>0</v>
      </c>
      <c r="BA191" s="1170"/>
      <c r="BB191" s="1170"/>
      <c r="BC191" s="1170"/>
      <c r="BD191" s="1170"/>
      <c r="BE191" s="1170"/>
      <c r="BF191" s="1170"/>
      <c r="BG191" s="1180" t="s">
        <v>1065</v>
      </c>
      <c r="BH191" s="1170"/>
      <c r="BI191" s="1170">
        <f ca="1">IF('HydroRefineryPFD '!E25=TRUE,BI192,BI182/(BI182+BI255+BL282))</f>
        <v>0.19528779629599821</v>
      </c>
      <c r="BJ191" s="1170"/>
      <c r="BK191" s="1170"/>
      <c r="BL191" s="1170"/>
      <c r="BM191" s="1170"/>
      <c r="BN191" s="1170"/>
      <c r="BO191" s="1170"/>
      <c r="BP191" s="1170"/>
      <c r="BQ191" s="1170"/>
      <c r="BR191" s="1170"/>
      <c r="BS191" s="1170"/>
      <c r="BT191" s="1170"/>
      <c r="BU191" s="1170"/>
      <c r="BV191" s="1170"/>
      <c r="BW191" s="1186" t="str">
        <f>HydroRefineryCalcs!C625</f>
        <v xml:space="preserve">API gravity </v>
      </c>
      <c r="BX191" s="1170"/>
      <c r="BY191" s="1170"/>
      <c r="BZ191" s="1170"/>
      <c r="CA191" s="1170"/>
      <c r="CB191" s="1170"/>
      <c r="CC191" s="1170"/>
      <c r="CD191" s="1170"/>
      <c r="CE191" s="1170"/>
      <c r="CF191" s="1170"/>
      <c r="CG191" s="1170"/>
      <c r="CH191" s="1170"/>
      <c r="CI191" s="1170"/>
      <c r="CJ191" s="1170"/>
      <c r="CK191" s="1180" t="s">
        <v>1066</v>
      </c>
      <c r="CL191" s="1170"/>
      <c r="CM191" s="1170">
        <f ca="1">IF('HydroRefineryPFD '!E24=TRUE,CM192,CM181/(CM181+CU240+CJ255))</f>
        <v>7.867090153921609E-2</v>
      </c>
      <c r="CN191" s="1170"/>
      <c r="CO191" s="1170"/>
      <c r="CP191" s="1160"/>
      <c r="CQ191" s="1160"/>
      <c r="CR191" s="1160"/>
      <c r="CS191" s="1160"/>
      <c r="CT191" s="1160"/>
      <c r="CU191" s="1160"/>
      <c r="CV191" s="1160"/>
      <c r="CW191" s="1160"/>
      <c r="CX191" s="1160"/>
      <c r="CY191" s="1160"/>
      <c r="CZ191" s="1171"/>
      <c r="DA191" s="1160"/>
      <c r="DB191" s="1160"/>
      <c r="DC191" s="1160"/>
      <c r="DD191" s="1160"/>
      <c r="DE191" s="1160"/>
      <c r="DF191" s="1160"/>
      <c r="DG191" s="1160"/>
      <c r="DH191" s="1160"/>
      <c r="DI191" s="1160"/>
      <c r="DJ191" s="1160"/>
      <c r="DK191" s="1160"/>
      <c r="DL191" s="1160"/>
      <c r="DM191" s="1171"/>
      <c r="DN191" s="1160"/>
      <c r="DO191" s="1160"/>
      <c r="DP191" s="1160"/>
      <c r="DQ191" s="1160"/>
      <c r="DR191" s="1160"/>
      <c r="DS191" s="1160"/>
      <c r="DT191" s="1160"/>
      <c r="DU191" s="1160"/>
      <c r="DV191" s="1160"/>
      <c r="DW191" s="1160"/>
      <c r="DX191" s="1160"/>
      <c r="DY191" s="1160"/>
      <c r="DZ191" s="1160"/>
      <c r="EA191" s="1160"/>
      <c r="EB191" s="1160"/>
      <c r="EC191" s="1160"/>
    </row>
    <row r="192" spans="1:133" x14ac:dyDescent="0.2">
      <c r="A192" s="1160"/>
      <c r="B192" s="1160"/>
      <c r="C192" s="1160"/>
      <c r="D192" s="1160"/>
      <c r="E192" s="1170"/>
      <c r="F192" s="1170"/>
      <c r="G192" s="1170"/>
      <c r="H192" s="1170"/>
      <c r="I192" s="1170"/>
      <c r="J192" s="1170"/>
      <c r="K192" s="1170"/>
      <c r="L192" s="1170"/>
      <c r="M192" s="1170"/>
      <c r="N192" s="1170"/>
      <c r="O192" s="1170"/>
      <c r="P192" s="1170"/>
      <c r="Q192" s="1170"/>
      <c r="R192" s="1170"/>
      <c r="S192" s="1170"/>
      <c r="T192" s="1170"/>
      <c r="U192" s="1170"/>
      <c r="V192" s="1170"/>
      <c r="W192" s="1170"/>
      <c r="X192" s="1170"/>
      <c r="Y192" s="1170"/>
      <c r="Z192" s="1170"/>
      <c r="AA192" s="1170"/>
      <c r="AB192" s="1170"/>
      <c r="AC192" s="1170"/>
      <c r="AD192" s="1170"/>
      <c r="AE192" s="1170"/>
      <c r="AF192" s="1170"/>
      <c r="AG192" s="1170"/>
      <c r="AH192" s="1170"/>
      <c r="AI192" s="1170"/>
      <c r="AJ192" s="1170"/>
      <c r="AK192" s="1198" t="s">
        <v>228</v>
      </c>
      <c r="AL192" s="1170"/>
      <c r="AM192" s="1217">
        <f ca="1">IF(OR(HydroRefineryConfig=1,HydroRefineryConfig=2,HydroRefineryConfig=3),IF(E24=TRUE,AM174/AE170,AM174/(AE170-AN292)),AM174/AE170)</f>
        <v>1</v>
      </c>
      <c r="AN192" s="1170"/>
      <c r="AO192" s="1170"/>
      <c r="AP192" s="1170"/>
      <c r="AQ192" s="1170"/>
      <c r="AR192" s="1170"/>
      <c r="AS192" s="1186" t="str">
        <f>HydroRefineryCalcs!C610</f>
        <v xml:space="preserve">API gravity </v>
      </c>
      <c r="AT192" s="1170"/>
      <c r="AU192" s="1170">
        <f ca="1">HydroRefineryCalcs!G610</f>
        <v>0</v>
      </c>
      <c r="AV192" s="1170"/>
      <c r="AW192" s="1170"/>
      <c r="AX192" s="1170" t="s">
        <v>541</v>
      </c>
      <c r="AY192" s="1170"/>
      <c r="AZ192" s="1170">
        <f ca="1">AM190*$AZ$193</f>
        <v>0</v>
      </c>
      <c r="BA192" s="1170"/>
      <c r="BB192" s="1170"/>
      <c r="BC192" s="1170"/>
      <c r="BD192" s="1170"/>
      <c r="BE192" s="1170"/>
      <c r="BF192" s="1170"/>
      <c r="BG192" s="1180" t="s">
        <v>1065</v>
      </c>
      <c r="BH192" s="1170"/>
      <c r="BI192" s="1170">
        <f ca="1">BI182/(BI182+BI255+BL282+DD323)</f>
        <v>0.18864835186218318</v>
      </c>
      <c r="BJ192" s="1170"/>
      <c r="BK192" s="1170"/>
      <c r="BL192" s="1170"/>
      <c r="BM192" s="1170"/>
      <c r="BN192" s="1170"/>
      <c r="BO192" s="1170"/>
      <c r="BP192" s="1170"/>
      <c r="BQ192" s="1170"/>
      <c r="BR192" s="1170"/>
      <c r="BS192" s="1170"/>
      <c r="BT192" s="1170"/>
      <c r="BU192" s="1170"/>
      <c r="BV192" s="1170"/>
      <c r="BW192" s="1186" t="str">
        <f>HydroRefineryCalcs!C626</f>
        <v>Density</v>
      </c>
      <c r="BX192" s="1170" t="str">
        <f ca="1">HydroRefineryCalcs!D626</f>
        <v>kg/m^3</v>
      </c>
      <c r="BY192" s="1170">
        <f>'Energy &amp; Unit Conversions'!$E$27/'Energy &amp; Unit Conversions'!$E$93/'Energy &amp; Unit Conversions'!$G$81</f>
        <v>1.1583209290581402</v>
      </c>
      <c r="BZ192" s="1170"/>
      <c r="CA192" s="1170"/>
      <c r="CB192" s="1170"/>
      <c r="CC192" s="1170"/>
      <c r="CD192" s="1170"/>
      <c r="CE192" s="1170"/>
      <c r="CF192" s="1170"/>
      <c r="CG192" s="1170"/>
      <c r="CH192" s="1170"/>
      <c r="CI192" s="1170"/>
      <c r="CJ192" s="1170"/>
      <c r="CK192" s="1180" t="s">
        <v>1065</v>
      </c>
      <c r="CL192" s="1170"/>
      <c r="CM192" s="1170">
        <f ca="1">CM181/(CM181+CU240+CJ255+CP280)</f>
        <v>7.0216756073095202E-2</v>
      </c>
      <c r="CN192" s="1170"/>
      <c r="CO192" s="1170"/>
      <c r="CP192" s="1160"/>
      <c r="CQ192" s="1160"/>
      <c r="CR192" s="1160"/>
      <c r="CS192" s="1160"/>
      <c r="CT192" s="1160"/>
      <c r="CU192" s="1160"/>
      <c r="CV192" s="1160"/>
      <c r="CW192" s="1160"/>
      <c r="CX192" s="1160"/>
      <c r="CY192" s="1160"/>
      <c r="CZ192" s="1171"/>
      <c r="DA192" s="1160"/>
      <c r="DB192" s="1160"/>
      <c r="DC192" s="1160"/>
      <c r="DD192" s="1160"/>
      <c r="DE192" s="1160"/>
      <c r="DF192" s="1160"/>
      <c r="DG192" s="1160"/>
      <c r="DH192" s="1160"/>
      <c r="DI192" s="1160"/>
      <c r="DJ192" s="1160"/>
      <c r="DK192" s="1160"/>
      <c r="DL192" s="1160"/>
      <c r="DM192" s="1171"/>
      <c r="DN192" s="1160"/>
      <c r="DO192" s="1160"/>
      <c r="DP192" s="1160"/>
      <c r="DQ192" s="1160"/>
      <c r="DR192" s="1160"/>
      <c r="DS192" s="1160"/>
      <c r="DT192" s="1160"/>
      <c r="DU192" s="1160"/>
      <c r="DV192" s="1160"/>
      <c r="DW192" s="1160"/>
      <c r="DX192" s="1160"/>
      <c r="DY192" s="1160"/>
      <c r="DZ192" s="1160"/>
      <c r="EA192" s="1160"/>
      <c r="EB192" s="1160"/>
      <c r="EC192" s="1160"/>
    </row>
    <row r="193" spans="1:133" x14ac:dyDescent="0.2">
      <c r="A193" s="1160"/>
      <c r="B193" s="1160"/>
      <c r="C193" s="1160"/>
      <c r="D193" s="1160"/>
      <c r="E193" s="1170"/>
      <c r="F193" s="1170"/>
      <c r="G193" s="1170"/>
      <c r="H193" s="1170"/>
      <c r="I193" s="1170"/>
      <c r="J193" s="1170"/>
      <c r="K193" s="1170"/>
      <c r="L193" s="1170"/>
      <c r="M193" s="1170"/>
      <c r="N193" s="1170"/>
      <c r="O193" s="1170"/>
      <c r="P193" s="1170"/>
      <c r="Q193" s="1170"/>
      <c r="R193" s="1170"/>
      <c r="S193" s="1170"/>
      <c r="T193" s="1170"/>
      <c r="U193" s="1170"/>
      <c r="V193" s="1170"/>
      <c r="W193" s="1170"/>
      <c r="X193" s="1170"/>
      <c r="Y193" s="1170"/>
      <c r="Z193" s="1170"/>
      <c r="AA193" s="1170"/>
      <c r="AB193" s="1170"/>
      <c r="AC193" s="1170"/>
      <c r="AD193" s="1170"/>
      <c r="AE193" s="1170"/>
      <c r="AF193" s="1170"/>
      <c r="AG193" s="1170"/>
      <c r="AH193" s="1170"/>
      <c r="AI193" s="1170"/>
      <c r="AJ193" s="1170"/>
      <c r="AK193" s="1170"/>
      <c r="AL193" s="1170"/>
      <c r="AM193" s="1170"/>
      <c r="AN193" s="1170"/>
      <c r="AO193" s="1170"/>
      <c r="AP193" s="1170"/>
      <c r="AQ193" s="1170"/>
      <c r="AR193" s="1170"/>
      <c r="AS193" s="1186" t="str">
        <f>HydroRefineryCalcs!C611</f>
        <v>Density</v>
      </c>
      <c r="AT193" s="1170" t="str">
        <f ca="1">HydroRefineryCalcs!D611</f>
        <v>kg/m^3</v>
      </c>
      <c r="AU193" s="1170">
        <f ca="1">HydroRefineryCalcs!G611</f>
        <v>0</v>
      </c>
      <c r="AV193" s="1170"/>
      <c r="AW193" s="1170"/>
      <c r="AX193" s="1180" t="s">
        <v>1065</v>
      </c>
      <c r="AY193" s="1180"/>
      <c r="AZ193" s="1170">
        <f ca="1">IF(AM182=0,0,AU198/AM182)</f>
        <v>0</v>
      </c>
      <c r="BA193" s="1170"/>
      <c r="BB193" s="1170"/>
      <c r="BC193" s="1170"/>
      <c r="BD193" s="1170"/>
      <c r="BE193" s="1170"/>
      <c r="BF193" s="1170"/>
      <c r="BG193" s="1239" t="s">
        <v>228</v>
      </c>
      <c r="BH193" s="1170"/>
      <c r="BI193" s="1170">
        <f ca="1">BI174/(BB244)</f>
        <v>0.12903225806462362</v>
      </c>
      <c r="BJ193" s="1170"/>
      <c r="BK193" s="1170"/>
      <c r="BL193" s="1170"/>
      <c r="BM193" s="1170"/>
      <c r="BN193" s="1170"/>
      <c r="BO193" s="1170"/>
      <c r="BP193" s="1170"/>
      <c r="BQ193" s="1170"/>
      <c r="BR193" s="1181" t="str">
        <f>HydroRefineryCalcs!I619</f>
        <v>Total Feed to FCC HT</v>
      </c>
      <c r="BS193" s="1170"/>
      <c r="BT193" s="1170"/>
      <c r="BU193" s="1170"/>
      <c r="BV193" s="1170"/>
      <c r="BW193" s="1186" t="str">
        <f>HydroRefineryCalcs!C627</f>
        <v>Hydrogen</v>
      </c>
      <c r="BX193" s="1170" t="str">
        <f ca="1">HydroRefineryCalcs!D627</f>
        <v>wt%</v>
      </c>
      <c r="BY193" s="1170">
        <f ca="1">HydroRefineryCalcs!K627</f>
        <v>18.309736506983473</v>
      </c>
      <c r="BZ193" s="1170"/>
      <c r="CA193" s="1170"/>
      <c r="CB193" s="1170"/>
      <c r="CC193" s="1170"/>
      <c r="CD193" s="1170"/>
      <c r="CE193" s="1170"/>
      <c r="CF193" s="1170"/>
      <c r="CG193" s="1170"/>
      <c r="CH193" s="1170"/>
      <c r="CI193" s="1170"/>
      <c r="CJ193" s="1170"/>
      <c r="CK193" s="1239" t="s">
        <v>228</v>
      </c>
      <c r="CL193" s="1170"/>
      <c r="CM193" s="1170">
        <f ca="1">CM173/CC240</f>
        <v>5.4406964091403706E-2</v>
      </c>
      <c r="CN193" s="1170"/>
      <c r="CO193" s="1170"/>
      <c r="CP193" s="1160"/>
      <c r="CQ193" s="1160"/>
      <c r="CR193" s="1160"/>
      <c r="CS193" s="1160"/>
      <c r="CT193" s="1160"/>
      <c r="CU193" s="1160"/>
      <c r="CV193" s="1160"/>
      <c r="CW193" s="1160"/>
      <c r="CX193" s="1160"/>
      <c r="CY193" s="1160"/>
      <c r="CZ193" s="1171"/>
      <c r="DA193" s="1160"/>
      <c r="DB193" s="1160"/>
      <c r="DC193" s="1160"/>
      <c r="DD193" s="1160"/>
      <c r="DE193" s="1160"/>
      <c r="DF193" s="1160"/>
      <c r="DG193" s="1160"/>
      <c r="DH193" s="1160"/>
      <c r="DI193" s="1160"/>
      <c r="DJ193" s="1160"/>
      <c r="DK193" s="1160"/>
      <c r="DL193" s="1160"/>
      <c r="DM193" s="1171"/>
      <c r="DN193" s="1160"/>
      <c r="DO193" s="1160"/>
      <c r="DP193" s="1160"/>
      <c r="DQ193" s="1160"/>
      <c r="DR193" s="1160"/>
      <c r="DS193" s="1160"/>
      <c r="DT193" s="1160"/>
      <c r="DU193" s="1160"/>
      <c r="DV193" s="1160"/>
      <c r="DW193" s="1160"/>
      <c r="DX193" s="1160"/>
      <c r="DY193" s="1160"/>
      <c r="DZ193" s="1160"/>
      <c r="EA193" s="1160"/>
      <c r="EB193" s="1160"/>
      <c r="EC193" s="1160"/>
    </row>
    <row r="194" spans="1:133" ht="13.5" customHeight="1" x14ac:dyDescent="0.2">
      <c r="A194" s="1160"/>
      <c r="B194" s="1160"/>
      <c r="C194" s="1160"/>
      <c r="D194" s="1160"/>
      <c r="E194" s="1170"/>
      <c r="F194" s="1170"/>
      <c r="G194" s="1170"/>
      <c r="H194" s="1170"/>
      <c r="I194" s="1170"/>
      <c r="J194" s="1170"/>
      <c r="K194" s="1170"/>
      <c r="L194" s="1170"/>
      <c r="M194" s="1170"/>
      <c r="N194" s="1170"/>
      <c r="O194" s="1170"/>
      <c r="P194" s="1170"/>
      <c r="Q194" s="1170"/>
      <c r="R194" s="1170"/>
      <c r="S194" s="1170"/>
      <c r="T194" s="1170"/>
      <c r="U194" s="1170"/>
      <c r="V194" s="1170"/>
      <c r="W194" s="1170"/>
      <c r="X194" s="1170"/>
      <c r="Y194" s="1170"/>
      <c r="Z194" s="1170"/>
      <c r="AA194" s="1170"/>
      <c r="AB194" s="1170"/>
      <c r="AC194" s="1170"/>
      <c r="AD194" s="1170"/>
      <c r="AE194" s="1170"/>
      <c r="AF194" s="1170"/>
      <c r="AG194" s="1170"/>
      <c r="AH194" s="1170"/>
      <c r="AI194" s="1170"/>
      <c r="AJ194" s="1170"/>
      <c r="AK194" s="1170"/>
      <c r="AL194" s="1170"/>
      <c r="AM194" s="1170"/>
      <c r="AN194" s="1170"/>
      <c r="AO194" s="1170"/>
      <c r="AP194" s="1170"/>
      <c r="AQ194" s="1170"/>
      <c r="AR194" s="1170"/>
      <c r="AS194" s="1186" t="str">
        <f>HydroRefineryCalcs!C612</f>
        <v>Hydrogen</v>
      </c>
      <c r="AT194" s="1170" t="str">
        <f ca="1">HydroRefineryCalcs!D612</f>
        <v>wt%</v>
      </c>
      <c r="AU194" s="1170">
        <f ca="1">HydroRefineryCalcs!G612</f>
        <v>0</v>
      </c>
      <c r="AV194" s="1170"/>
      <c r="AW194" s="1170"/>
      <c r="AX194" s="1170"/>
      <c r="AY194" s="1170"/>
      <c r="AZ194" s="1170"/>
      <c r="BA194" s="1170"/>
      <c r="BB194" s="1170"/>
      <c r="BC194" s="1170"/>
      <c r="BD194" s="1170"/>
      <c r="BE194" s="1170"/>
      <c r="BF194" s="1170"/>
      <c r="BG194" s="1170"/>
      <c r="BH194" s="1170"/>
      <c r="BI194" s="1170"/>
      <c r="BJ194" s="1170"/>
      <c r="BK194" s="1170"/>
      <c r="BL194" s="1170"/>
      <c r="BM194" s="1170"/>
      <c r="BN194" s="1170"/>
      <c r="BO194" s="1170"/>
      <c r="BP194" s="1170"/>
      <c r="BQ194" s="1170"/>
      <c r="BR194" s="1182" t="str">
        <f>HydroRefineryCalcs!C619</f>
        <v>Property</v>
      </c>
      <c r="BS194" s="1182" t="str">
        <f>HydroRefineryCalcs!D619</f>
        <v>Units</v>
      </c>
      <c r="BT194" s="1170"/>
      <c r="BU194" s="1170"/>
      <c r="BV194" s="1170"/>
      <c r="BW194" s="1186" t="s">
        <v>1698</v>
      </c>
      <c r="BX194" s="1199" t="s">
        <v>447</v>
      </c>
      <c r="BY194" s="1252">
        <f>'Energy &amp; Unit Conversions'!$Q$27</f>
        <v>46.898519302437805</v>
      </c>
      <c r="BZ194" s="1170"/>
      <c r="CA194" s="1170"/>
      <c r="CB194" s="1170"/>
      <c r="CC194" s="1170"/>
      <c r="CD194" s="1170"/>
      <c r="CE194" s="1170"/>
      <c r="CF194" s="1170"/>
      <c r="CG194" s="1170"/>
      <c r="CH194" s="1170"/>
      <c r="CI194" s="1170"/>
      <c r="CJ194" s="1170"/>
      <c r="CK194" s="1170"/>
      <c r="CL194" s="1170"/>
      <c r="CM194" s="1170"/>
      <c r="CN194" s="1170"/>
      <c r="CO194" s="1170"/>
      <c r="CP194" s="1160"/>
      <c r="CQ194" s="1160"/>
      <c r="CR194" s="1160"/>
      <c r="CS194" s="1160"/>
      <c r="CT194" s="1160"/>
      <c r="CU194" s="1160"/>
      <c r="CV194" s="1160"/>
      <c r="CW194" s="1160"/>
      <c r="CX194" s="1160"/>
      <c r="CY194" s="1160"/>
      <c r="CZ194" s="1171"/>
      <c r="DA194" s="1160"/>
      <c r="DB194" s="1160"/>
      <c r="DC194" s="1160"/>
      <c r="DD194" s="1160"/>
      <c r="DE194" s="1160"/>
      <c r="DF194" s="1160"/>
      <c r="DG194" s="1160"/>
      <c r="DH194" s="1160"/>
      <c r="DI194" s="1160"/>
      <c r="DJ194" s="1160"/>
      <c r="DK194" s="1160"/>
      <c r="DL194" s="1160"/>
      <c r="DM194" s="1171"/>
      <c r="DN194" s="1160"/>
      <c r="DO194" s="1160"/>
      <c r="DP194" s="1160"/>
      <c r="DQ194" s="1160"/>
      <c r="DR194" s="1160"/>
      <c r="DS194" s="1160"/>
      <c r="DT194" s="1160"/>
      <c r="DU194" s="1160"/>
      <c r="DV194" s="1160"/>
      <c r="DW194" s="1160"/>
      <c r="DX194" s="1160"/>
      <c r="DY194" s="1160"/>
      <c r="DZ194" s="1160"/>
      <c r="EA194" s="1160"/>
      <c r="EB194" s="1160"/>
      <c r="EC194" s="1160"/>
    </row>
    <row r="195" spans="1:133" x14ac:dyDescent="0.2">
      <c r="A195" s="1160"/>
      <c r="B195" s="1160"/>
      <c r="C195" s="1160"/>
      <c r="D195" s="1160"/>
      <c r="E195" s="1170"/>
      <c r="F195" s="1170"/>
      <c r="G195" s="1170"/>
      <c r="H195" s="1170"/>
      <c r="I195" s="1170"/>
      <c r="J195" s="1170"/>
      <c r="K195" s="1170"/>
      <c r="L195" s="1170"/>
      <c r="M195" s="1170"/>
      <c r="N195" s="1170"/>
      <c r="O195" s="1170"/>
      <c r="P195" s="1170"/>
      <c r="Q195" s="1170"/>
      <c r="R195" s="1170"/>
      <c r="S195" s="1170"/>
      <c r="T195" s="1170"/>
      <c r="U195" s="1170"/>
      <c r="V195" s="1170"/>
      <c r="W195" s="1170"/>
      <c r="X195" s="1170"/>
      <c r="Y195" s="1170"/>
      <c r="Z195" s="1170"/>
      <c r="AA195" s="1170"/>
      <c r="AB195" s="1170"/>
      <c r="AC195" s="1170"/>
      <c r="AD195" s="1170"/>
      <c r="AE195" s="1170"/>
      <c r="AF195" s="1170"/>
      <c r="AG195" s="1170"/>
      <c r="AH195" s="1170"/>
      <c r="AI195" s="1170"/>
      <c r="AJ195" s="1170"/>
      <c r="AK195" s="1170"/>
      <c r="AL195" s="1170"/>
      <c r="AM195" s="1170"/>
      <c r="AN195" s="1170"/>
      <c r="AO195" s="1170"/>
      <c r="AP195" s="1170"/>
      <c r="AQ195" s="1170"/>
      <c r="AR195" s="1170"/>
      <c r="AS195" s="1186" t="str">
        <f>HydroRefineryCalcs!C613</f>
        <v>MCR</v>
      </c>
      <c r="AT195" s="1170" t="str">
        <f ca="1">HydroRefineryCalcs!D613</f>
        <v>wt%</v>
      </c>
      <c r="AU195" s="1170" t="str">
        <f ca="1">HydroRefineryCalcs!G613</f>
        <v/>
      </c>
      <c r="AV195" s="1170"/>
      <c r="AW195" s="1170"/>
      <c r="AX195" s="1170"/>
      <c r="AY195" s="1170"/>
      <c r="AZ195" s="1170"/>
      <c r="BA195" s="1170"/>
      <c r="BB195" s="1170"/>
      <c r="BC195" s="1170"/>
      <c r="BD195" s="1170"/>
      <c r="BE195" s="1170"/>
      <c r="BF195" s="1170"/>
      <c r="BG195" s="1170"/>
      <c r="BH195" s="1170"/>
      <c r="BI195" s="1170"/>
      <c r="BJ195" s="1170"/>
      <c r="BK195" s="1170"/>
      <c r="BL195" s="1170"/>
      <c r="BM195" s="1170"/>
      <c r="BN195" s="1170"/>
      <c r="BO195" s="1170"/>
      <c r="BP195" s="1170"/>
      <c r="BQ195" s="1170"/>
      <c r="BR195" s="1186" t="str">
        <f>HydroRefineryCalcs!C620</f>
        <v>Vol Flow</v>
      </c>
      <c r="BS195" s="1170" t="str">
        <f ca="1">HydroRefineryCalcs!D620</f>
        <v>bpd</v>
      </c>
      <c r="BT195" s="1170">
        <f ca="1">HydroRefineryCalcs!I620</f>
        <v>2.0016431560018994E-14</v>
      </c>
      <c r="BU195" s="1170"/>
      <c r="BV195" s="1170"/>
      <c r="BW195" s="1200" t="s">
        <v>1021</v>
      </c>
      <c r="BX195" s="1199" t="s">
        <v>1022</v>
      </c>
      <c r="BY195" s="1252">
        <f>Constants!$G$353</f>
        <v>33.957001686096191</v>
      </c>
      <c r="BZ195" s="1170"/>
      <c r="CA195" s="1170"/>
      <c r="CB195" s="1170"/>
      <c r="CC195" s="1170"/>
      <c r="CD195" s="1170"/>
      <c r="CE195" s="1170"/>
      <c r="CF195" s="1170"/>
      <c r="CG195" s="1170"/>
      <c r="CH195" s="1170"/>
      <c r="CI195" s="1170"/>
      <c r="CJ195" s="1170"/>
      <c r="CK195" s="1170"/>
      <c r="CL195" s="1170"/>
      <c r="CM195" s="1170"/>
      <c r="CN195" s="1170"/>
      <c r="CO195" s="1170"/>
      <c r="CP195" s="1160"/>
      <c r="CQ195" s="1160"/>
      <c r="CR195" s="1160"/>
      <c r="CS195" s="1160"/>
      <c r="CT195" s="1160"/>
      <c r="CU195" s="1160"/>
      <c r="CV195" s="1160"/>
      <c r="CW195" s="1160"/>
      <c r="CX195" s="1160"/>
      <c r="CY195" s="1160"/>
      <c r="CZ195" s="1171"/>
      <c r="DA195" s="1160"/>
      <c r="DB195" s="1160"/>
      <c r="DC195" s="1160"/>
      <c r="DD195" s="1160"/>
      <c r="DE195" s="1160"/>
      <c r="DF195" s="1160"/>
      <c r="DG195" s="1160"/>
      <c r="DH195" s="1160"/>
      <c r="DI195" s="1160"/>
      <c r="DJ195" s="1160"/>
      <c r="DK195" s="1160"/>
      <c r="DL195" s="1160"/>
      <c r="DM195" s="1171"/>
      <c r="DN195" s="1160"/>
      <c r="DO195" s="1160"/>
      <c r="DP195" s="1160"/>
      <c r="DQ195" s="1160"/>
      <c r="DR195" s="1160"/>
      <c r="DS195" s="1160"/>
      <c r="DT195" s="1160"/>
      <c r="DU195" s="1160"/>
      <c r="DV195" s="1160"/>
      <c r="DW195" s="1160"/>
      <c r="DX195" s="1160"/>
      <c r="DY195" s="1160"/>
      <c r="DZ195" s="1160"/>
      <c r="EA195" s="1160"/>
      <c r="EB195" s="1160"/>
      <c r="EC195" s="1160"/>
    </row>
    <row r="196" spans="1:133" x14ac:dyDescent="0.2">
      <c r="A196" s="1160"/>
      <c r="B196" s="1160"/>
      <c r="C196" s="1160"/>
      <c r="D196" s="1160"/>
      <c r="E196" s="1170"/>
      <c r="F196" s="1170"/>
      <c r="G196" s="1170"/>
      <c r="H196" s="1170"/>
      <c r="I196" s="1170"/>
      <c r="J196" s="1170"/>
      <c r="K196" s="1170"/>
      <c r="L196" s="1170"/>
      <c r="M196" s="1170"/>
      <c r="N196" s="1170"/>
      <c r="O196" s="1170"/>
      <c r="P196" s="1170"/>
      <c r="Q196" s="1170"/>
      <c r="R196" s="1170"/>
      <c r="S196" s="1170"/>
      <c r="T196" s="1170"/>
      <c r="U196" s="1170"/>
      <c r="V196" s="1170"/>
      <c r="W196" s="1170"/>
      <c r="X196" s="1170"/>
      <c r="Y196" s="1170"/>
      <c r="Z196" s="1170"/>
      <c r="AA196" s="1170"/>
      <c r="AB196" s="1170"/>
      <c r="AC196" s="1170"/>
      <c r="AD196" s="1170"/>
      <c r="AE196" s="1170"/>
      <c r="AF196" s="1170"/>
      <c r="AG196" s="1170"/>
      <c r="AH196" s="1170"/>
      <c r="AI196" s="1170"/>
      <c r="AJ196" s="1170"/>
      <c r="AK196" s="1170"/>
      <c r="AL196" s="1170"/>
      <c r="AM196" s="1170"/>
      <c r="AN196" s="1170"/>
      <c r="AO196" s="1170"/>
      <c r="AP196" s="1170"/>
      <c r="AQ196" s="1170"/>
      <c r="AR196" s="1186"/>
      <c r="AS196" s="1200" t="s">
        <v>1056</v>
      </c>
      <c r="AT196" s="1199" t="s">
        <v>447</v>
      </c>
      <c r="AU196" s="1199">
        <f ca="1">('Energy &amp; Unit Conversions'!$D$63-('Energy &amp; Unit Conversions'!$E$63*POWER((AU193/'Energy &amp; Unit Conversions'!$E$54),2)))</f>
        <v>46.693440000000002</v>
      </c>
      <c r="AV196" s="1170"/>
      <c r="AW196" s="1170"/>
      <c r="AX196" s="1170"/>
      <c r="AY196" s="1170"/>
      <c r="AZ196" s="1170"/>
      <c r="BA196" s="1170"/>
      <c r="BB196" s="1170"/>
      <c r="BC196" s="1170"/>
      <c r="BD196" s="1170"/>
      <c r="BE196" s="1170"/>
      <c r="BF196" s="1170"/>
      <c r="BG196" s="1170"/>
      <c r="BH196" s="1170"/>
      <c r="BI196" s="1170"/>
      <c r="BJ196" s="1170"/>
      <c r="BK196" s="1170"/>
      <c r="BL196" s="1170"/>
      <c r="BM196" s="1170"/>
      <c r="BN196" s="1170"/>
      <c r="BO196" s="1170"/>
      <c r="BP196" s="1170"/>
      <c r="BQ196" s="1170"/>
      <c r="BR196" s="1186" t="str">
        <f>HydroRefineryCalcs!C621</f>
        <v>Vol Flow</v>
      </c>
      <c r="BS196" s="1170" t="str">
        <f ca="1">HydroRefineryCalcs!D621</f>
        <v>m^3/d</v>
      </c>
      <c r="BT196" s="1170">
        <f ca="1">HydroRefineryCalcs!I621</f>
        <v>3.1823584093622077E-15</v>
      </c>
      <c r="BU196" s="1170"/>
      <c r="BV196" s="1170"/>
      <c r="BW196" s="1204" t="s">
        <v>1054</v>
      </c>
      <c r="BX196" s="1204" t="str">
        <f>IF(allocationMethod=1,CokingRefineryPFD!$C$21,IF(allocationMethod=2,CokingRefineryPFD!$C$22,IF(allocationMethod=3,CokingRefineryPFD!$C$23,CokingRefineryPFD!$C$24)))</f>
        <v>Hydrogen Content Basis</v>
      </c>
      <c r="BY196" s="1250">
        <f ca="1">HydroRefineryCalcs!R1516</f>
        <v>0</v>
      </c>
      <c r="BZ196" s="1170"/>
      <c r="CA196" s="1170"/>
      <c r="CB196" s="1170"/>
      <c r="CC196" s="1170"/>
      <c r="CD196" s="1170"/>
      <c r="CE196" s="1170"/>
      <c r="CF196" s="1170"/>
      <c r="CG196" s="1170"/>
      <c r="CH196" s="1170"/>
      <c r="CI196" s="1170"/>
      <c r="CJ196" s="1170"/>
      <c r="CK196" s="1170"/>
      <c r="CL196" s="1170"/>
      <c r="CM196" s="1170"/>
      <c r="CN196" s="1170"/>
      <c r="CO196" s="1170"/>
      <c r="CP196" s="1160"/>
      <c r="CQ196" s="1160"/>
      <c r="CR196" s="1160"/>
      <c r="CS196" s="1160"/>
      <c r="CT196" s="1160"/>
      <c r="CU196" s="1160"/>
      <c r="CV196" s="1160"/>
      <c r="CW196" s="1160"/>
      <c r="CX196" s="1160"/>
      <c r="CY196" s="1160"/>
      <c r="CZ196" s="1171"/>
      <c r="DA196" s="1160"/>
      <c r="DB196" s="1160"/>
      <c r="DC196" s="1160"/>
      <c r="DD196" s="1160"/>
      <c r="DE196" s="1160"/>
      <c r="DF196" s="1160"/>
      <c r="DG196" s="1160"/>
      <c r="DH196" s="1160"/>
      <c r="DI196" s="1160"/>
      <c r="DJ196" s="1160"/>
      <c r="DK196" s="1160"/>
      <c r="DL196" s="1160"/>
      <c r="DM196" s="1171"/>
      <c r="DN196" s="1160"/>
      <c r="DO196" s="1160"/>
      <c r="DP196" s="1160"/>
      <c r="DQ196" s="1160"/>
      <c r="DR196" s="1160"/>
      <c r="DS196" s="1160"/>
      <c r="DT196" s="1160"/>
      <c r="DU196" s="1160"/>
      <c r="DV196" s="1160"/>
      <c r="DW196" s="1160"/>
      <c r="DX196" s="1160"/>
      <c r="DY196" s="1160"/>
      <c r="DZ196" s="1160"/>
      <c r="EA196" s="1160"/>
      <c r="EB196" s="1160"/>
      <c r="EC196" s="1160"/>
    </row>
    <row r="197" spans="1:133" x14ac:dyDescent="0.2">
      <c r="A197" s="1160"/>
      <c r="B197" s="1160"/>
      <c r="C197" s="1160"/>
      <c r="D197" s="1160"/>
      <c r="E197" s="1170"/>
      <c r="F197" s="1170"/>
      <c r="G197" s="1170"/>
      <c r="H197" s="1170"/>
      <c r="I197" s="1170"/>
      <c r="J197" s="1170"/>
      <c r="K197" s="1170"/>
      <c r="L197" s="1170"/>
      <c r="M197" s="1170"/>
      <c r="N197" s="1170"/>
      <c r="O197" s="1170"/>
      <c r="P197" s="1170"/>
      <c r="Q197" s="1170"/>
      <c r="R197" s="1170"/>
      <c r="S197" s="1170"/>
      <c r="T197" s="1170"/>
      <c r="U197" s="1170"/>
      <c r="V197" s="1170"/>
      <c r="W197" s="1170"/>
      <c r="X197" s="1170"/>
      <c r="Y197" s="1170"/>
      <c r="Z197" s="1170"/>
      <c r="AA197" s="1170"/>
      <c r="AB197" s="1170"/>
      <c r="AC197" s="1170"/>
      <c r="AD197" s="1170"/>
      <c r="AE197" s="1170"/>
      <c r="AF197" s="1170"/>
      <c r="AG197" s="1170"/>
      <c r="AH197" s="1170"/>
      <c r="AI197" s="1170"/>
      <c r="AJ197" s="1170"/>
      <c r="AK197" s="1170"/>
      <c r="AL197" s="1170"/>
      <c r="AM197" s="1170"/>
      <c r="AN197" s="1170"/>
      <c r="AO197" s="1170"/>
      <c r="AP197" s="1170"/>
      <c r="AQ197" s="1170"/>
      <c r="AR197" s="1170"/>
      <c r="AS197" s="1200" t="s">
        <v>1021</v>
      </c>
      <c r="AT197" s="1199" t="s">
        <v>1022</v>
      </c>
      <c r="AU197" s="1199">
        <f>AM181</f>
        <v>85.085002899169922</v>
      </c>
      <c r="AV197" s="1170"/>
      <c r="AW197" s="1170"/>
      <c r="AX197" s="1170"/>
      <c r="AY197" s="1170"/>
      <c r="AZ197" s="1170"/>
      <c r="BA197" s="1170"/>
      <c r="BB197" s="1170"/>
      <c r="BC197" s="1170"/>
      <c r="BD197" s="1170"/>
      <c r="BE197" s="1170"/>
      <c r="BF197" s="1170"/>
      <c r="BG197" s="1170"/>
      <c r="BH197" s="1170"/>
      <c r="BI197" s="1170"/>
      <c r="BJ197" s="1170"/>
      <c r="BK197" s="1170"/>
      <c r="BL197" s="1170"/>
      <c r="BM197" s="1170"/>
      <c r="BN197" s="1170"/>
      <c r="BO197" s="1170"/>
      <c r="BP197" s="1170"/>
      <c r="BQ197" s="1170"/>
      <c r="BR197" s="1186" t="str">
        <f>HydroRefineryCalcs!C622</f>
        <v>Mass Flow</v>
      </c>
      <c r="BS197" s="1170" t="str">
        <f>HydroRefineryCalcs!D622</f>
        <v>kg/d</v>
      </c>
      <c r="BT197" s="1170">
        <f ca="1">HydroRefineryCalcs!I622</f>
        <v>2.250268817202089E-14</v>
      </c>
      <c r="BU197" s="1170"/>
      <c r="BV197" s="1170"/>
      <c r="BW197" s="1170"/>
      <c r="BX197" s="1170"/>
      <c r="BY197" s="1170"/>
      <c r="BZ197" s="1170"/>
      <c r="CA197" s="1170"/>
      <c r="CB197" s="1170"/>
      <c r="CC197" s="1170"/>
      <c r="CD197" s="1170"/>
      <c r="CE197" s="1170"/>
      <c r="CF197" s="1170"/>
      <c r="CG197" s="1170"/>
      <c r="CH197" s="1170"/>
      <c r="CI197" s="1170"/>
      <c r="CJ197" s="1170"/>
      <c r="CK197" s="1181"/>
      <c r="CL197" s="1170"/>
      <c r="CM197" s="1170"/>
      <c r="CN197" s="1170"/>
      <c r="CO197" s="1170"/>
      <c r="CP197" s="1160"/>
      <c r="CQ197" s="1160"/>
      <c r="CR197" s="1160"/>
      <c r="CS197" s="1160"/>
      <c r="CT197" s="1160"/>
      <c r="CU197" s="1160"/>
      <c r="CV197" s="1160"/>
      <c r="CW197" s="1160"/>
      <c r="CX197" s="1160"/>
      <c r="CY197" s="1160"/>
      <c r="CZ197" s="1171"/>
      <c r="DA197" s="1160"/>
      <c r="DB197" s="1160"/>
      <c r="DC197" s="1160"/>
      <c r="DD197" s="1160"/>
      <c r="DE197" s="1160"/>
      <c r="DF197" s="1160"/>
      <c r="DG197" s="1160"/>
      <c r="DH197" s="1160"/>
      <c r="DI197" s="1160"/>
      <c r="DJ197" s="1160"/>
      <c r="DK197" s="1160"/>
      <c r="DL197" s="1160"/>
      <c r="DM197" s="1171"/>
      <c r="DN197" s="1160"/>
      <c r="DO197" s="1160"/>
      <c r="DP197" s="1160"/>
      <c r="DQ197" s="1160"/>
      <c r="DR197" s="1160"/>
      <c r="DS197" s="1160"/>
      <c r="DT197" s="1160"/>
      <c r="DU197" s="1160"/>
      <c r="DV197" s="1160"/>
      <c r="DW197" s="1160"/>
      <c r="DX197" s="1160"/>
      <c r="DY197" s="1160"/>
      <c r="DZ197" s="1160"/>
      <c r="EA197" s="1160"/>
      <c r="EB197" s="1160"/>
      <c r="EC197" s="1160"/>
    </row>
    <row r="198" spans="1:133" x14ac:dyDescent="0.2">
      <c r="A198" s="1160"/>
      <c r="B198" s="1160"/>
      <c r="C198" s="1160"/>
      <c r="D198" s="1160"/>
      <c r="E198" s="1170"/>
      <c r="F198" s="1170"/>
      <c r="G198" s="1170"/>
      <c r="H198" s="1170"/>
      <c r="I198" s="1170"/>
      <c r="J198" s="1170"/>
      <c r="K198" s="1170"/>
      <c r="L198" s="1170"/>
      <c r="M198" s="1170"/>
      <c r="N198" s="1170"/>
      <c r="O198" s="1170"/>
      <c r="P198" s="1170"/>
      <c r="Q198" s="1170"/>
      <c r="R198" s="1170"/>
      <c r="S198" s="1170"/>
      <c r="T198" s="1170"/>
      <c r="U198" s="1170"/>
      <c r="V198" s="1170"/>
      <c r="W198" s="1170"/>
      <c r="X198" s="1170"/>
      <c r="Y198" s="1170"/>
      <c r="Z198" s="1170"/>
      <c r="AA198" s="1170"/>
      <c r="AB198" s="1170"/>
      <c r="AC198" s="1170"/>
      <c r="AD198" s="1170"/>
      <c r="AE198" s="1170"/>
      <c r="AF198" s="1170"/>
      <c r="AG198" s="1170"/>
      <c r="AH198" s="1170"/>
      <c r="AI198" s="1170"/>
      <c r="AJ198" s="1170"/>
      <c r="AK198" s="1170"/>
      <c r="AL198" s="1170"/>
      <c r="AM198" s="1170"/>
      <c r="AN198" s="1170"/>
      <c r="AO198" s="1170"/>
      <c r="AP198" s="1170"/>
      <c r="AQ198" s="1170"/>
      <c r="AR198" s="1170"/>
      <c r="AS198" s="1204" t="s">
        <v>1054</v>
      </c>
      <c r="AT198" s="1204" t="str">
        <f>IF(allocationMethod=1,CokingRefineryPFD!$C$21,IF(CokingRefineryPFD!$E$20,CokingRefineryPFD!$C$22,IF(CokingRefineryPFD!$E$20,CokingRefineryPFD!$C$23,CokingRefineryPFD!$C$24)))</f>
        <v>Energy Basis</v>
      </c>
      <c r="AU198" s="1204">
        <f ca="1">IF(allocationMethod=1,AU190,IF(allocationMethod=2,AU196*AU190,IF(allocationMethod=3,AU197*AU188,AU194*AU190/100)))</f>
        <v>0</v>
      </c>
      <c r="AV198" s="1170"/>
      <c r="AW198" s="1170"/>
      <c r="AX198" s="1170"/>
      <c r="AY198" s="1170"/>
      <c r="AZ198" s="1170"/>
      <c r="BA198" s="1170"/>
      <c r="BB198" s="1170"/>
      <c r="BC198" s="1170"/>
      <c r="BD198" s="1170"/>
      <c r="BE198" s="1170"/>
      <c r="BF198" s="1170"/>
      <c r="BG198" s="1170"/>
      <c r="BH198" s="1170"/>
      <c r="BI198" s="1170"/>
      <c r="BJ198" s="1170"/>
      <c r="BK198" s="1170"/>
      <c r="BL198" s="1170"/>
      <c r="BM198" s="1170"/>
      <c r="BN198" s="1170"/>
      <c r="BO198" s="1170"/>
      <c r="BP198" s="1170"/>
      <c r="BQ198" s="1170"/>
      <c r="BR198" s="1186" t="str">
        <f>HydroRefineryCalcs!C623</f>
        <v xml:space="preserve">Sulphur </v>
      </c>
      <c r="BS198" s="1170" t="str">
        <f ca="1">HydroRefineryCalcs!D623</f>
        <v>wt%</v>
      </c>
      <c r="BT198" s="1170">
        <f ca="1">HydroRefineryCalcs!I623</f>
        <v>0</v>
      </c>
      <c r="BU198" s="1170"/>
      <c r="BV198" s="1170"/>
      <c r="BW198" s="1170"/>
      <c r="BX198" s="1170"/>
      <c r="BY198" s="1170"/>
      <c r="BZ198" s="1170"/>
      <c r="CA198" s="1170"/>
      <c r="CB198" s="1170"/>
      <c r="CC198" s="1170"/>
      <c r="CD198" s="1170"/>
      <c r="CE198" s="1170"/>
      <c r="CF198" s="1170"/>
      <c r="CG198" s="1170"/>
      <c r="CH198" s="1170"/>
      <c r="CI198" s="1170"/>
      <c r="CJ198" s="1170"/>
      <c r="CK198" s="1182"/>
      <c r="CL198" s="1182"/>
      <c r="CM198" s="1170"/>
      <c r="CN198" s="1170"/>
      <c r="CO198" s="1170"/>
      <c r="CP198" s="1160"/>
      <c r="CQ198" s="1160"/>
      <c r="CR198" s="1160"/>
      <c r="CS198" s="1160"/>
      <c r="CT198" s="1160"/>
      <c r="CU198" s="1160"/>
      <c r="CV198" s="1160"/>
      <c r="CW198" s="1160"/>
      <c r="CX198" s="1160"/>
      <c r="CY198" s="1160"/>
      <c r="CZ198" s="1171"/>
      <c r="DA198" s="1160"/>
      <c r="DB198" s="1160"/>
      <c r="DC198" s="1160"/>
      <c r="DD198" s="1160"/>
      <c r="DE198" s="1160"/>
      <c r="DF198" s="1160"/>
      <c r="DG198" s="1160"/>
      <c r="DH198" s="1160"/>
      <c r="DI198" s="1160"/>
      <c r="DJ198" s="1160"/>
      <c r="DK198" s="1160"/>
      <c r="DL198" s="1160"/>
      <c r="DM198" s="1171"/>
      <c r="DN198" s="1160"/>
      <c r="DO198" s="1160"/>
      <c r="DP198" s="1160"/>
      <c r="DQ198" s="1160"/>
      <c r="DR198" s="1160"/>
      <c r="DS198" s="1160"/>
      <c r="DT198" s="1160"/>
      <c r="DU198" s="1160"/>
      <c r="DV198" s="1160"/>
      <c r="DW198" s="1160"/>
      <c r="DX198" s="1160"/>
      <c r="DY198" s="1160"/>
      <c r="DZ198" s="1160"/>
      <c r="EA198" s="1160"/>
      <c r="EB198" s="1160"/>
      <c r="EC198" s="1160"/>
    </row>
    <row r="199" spans="1:133" x14ac:dyDescent="0.2">
      <c r="A199" s="1160"/>
      <c r="B199" s="1160"/>
      <c r="C199" s="1160"/>
      <c r="D199" s="1160"/>
      <c r="E199" s="1170"/>
      <c r="F199" s="1170"/>
      <c r="G199" s="1170"/>
      <c r="H199" s="1170"/>
      <c r="I199" s="1170"/>
      <c r="J199" s="1170"/>
      <c r="K199" s="1170"/>
      <c r="L199" s="1170"/>
      <c r="M199" s="1170"/>
      <c r="N199" s="1170"/>
      <c r="O199" s="1170"/>
      <c r="P199" s="1170"/>
      <c r="Q199" s="1170"/>
      <c r="R199" s="1170"/>
      <c r="S199" s="1170"/>
      <c r="T199" s="1170"/>
      <c r="U199" s="1170"/>
      <c r="V199" s="1170"/>
      <c r="W199" s="1170"/>
      <c r="X199" s="1170"/>
      <c r="Y199" s="1170"/>
      <c r="Z199" s="1170"/>
      <c r="AA199" s="1170"/>
      <c r="AB199" s="1170"/>
      <c r="AC199" s="1170"/>
      <c r="AD199" s="1170"/>
      <c r="AE199" s="1170"/>
      <c r="AF199" s="1170"/>
      <c r="AG199" s="1170"/>
      <c r="AH199" s="1170"/>
      <c r="AI199" s="1170"/>
      <c r="AJ199" s="1170"/>
      <c r="AK199" s="1170"/>
      <c r="AL199" s="1170"/>
      <c r="AM199" s="1170"/>
      <c r="AN199" s="1170"/>
      <c r="AO199" s="1170"/>
      <c r="AP199" s="1170"/>
      <c r="AQ199" s="1170"/>
      <c r="AR199" s="1170"/>
      <c r="AS199" s="1170"/>
      <c r="AT199" s="1170"/>
      <c r="AU199" s="1170"/>
      <c r="AV199" s="1170"/>
      <c r="AW199" s="1170"/>
      <c r="AX199" s="1170"/>
      <c r="AY199" s="1170"/>
      <c r="AZ199" s="1170"/>
      <c r="BA199" s="1170"/>
      <c r="BB199" s="1170"/>
      <c r="BC199" s="1170"/>
      <c r="BD199" s="1170"/>
      <c r="BE199" s="1170"/>
      <c r="BF199" s="1170"/>
      <c r="BG199" s="1170"/>
      <c r="BH199" s="1170"/>
      <c r="BI199" s="1170"/>
      <c r="BJ199" s="1170"/>
      <c r="BK199" s="1170"/>
      <c r="BL199" s="1170"/>
      <c r="BM199" s="1170"/>
      <c r="BN199" s="1170"/>
      <c r="BO199" s="1170"/>
      <c r="BP199" s="1170"/>
      <c r="BQ199" s="1170"/>
      <c r="BR199" s="1186" t="str">
        <f>HydroRefineryCalcs!C625</f>
        <v xml:space="preserve">API gravity </v>
      </c>
      <c r="BS199" s="1170"/>
      <c r="BT199" s="1170">
        <f ca="1">HydroRefineryCalcs!I625</f>
        <v>19879.607627783127</v>
      </c>
      <c r="BU199" s="1170"/>
      <c r="BV199" s="1170"/>
      <c r="BW199" s="1170"/>
      <c r="BX199" s="1170"/>
      <c r="BY199" s="1170"/>
      <c r="BZ199" s="1170"/>
      <c r="CA199" s="1170"/>
      <c r="CB199" s="1170"/>
      <c r="CC199" s="1170"/>
      <c r="CD199" s="1170"/>
      <c r="CE199" s="1170"/>
      <c r="CF199" s="1170"/>
      <c r="CG199" s="1170"/>
      <c r="CH199" s="1170"/>
      <c r="CI199" s="1170"/>
      <c r="CJ199" s="1170"/>
      <c r="CK199" s="1186"/>
      <c r="CL199" s="1170"/>
      <c r="CM199" s="1170"/>
      <c r="CN199" s="1170"/>
      <c r="CO199" s="1170"/>
      <c r="CP199" s="1160"/>
      <c r="CQ199" s="1160"/>
      <c r="CR199" s="1160"/>
      <c r="CS199" s="1160"/>
      <c r="CT199" s="1160"/>
      <c r="CU199" s="1160"/>
      <c r="CV199" s="1160"/>
      <c r="CW199" s="1160"/>
      <c r="CX199" s="1160"/>
      <c r="CY199" s="1160"/>
      <c r="CZ199" s="1171"/>
      <c r="DA199" s="1160"/>
      <c r="DB199" s="1160"/>
      <c r="DC199" s="1160"/>
      <c r="DD199" s="1160"/>
      <c r="DE199" s="1160"/>
      <c r="DF199" s="1160"/>
      <c r="DG199" s="1160"/>
      <c r="DH199" s="1160"/>
      <c r="DI199" s="1160"/>
      <c r="DJ199" s="1160"/>
      <c r="DK199" s="1160"/>
      <c r="DL199" s="1160"/>
      <c r="DM199" s="1171"/>
      <c r="DN199" s="1160"/>
      <c r="DO199" s="1160"/>
      <c r="DP199" s="1160"/>
      <c r="DQ199" s="1160"/>
      <c r="DR199" s="1160"/>
      <c r="DS199" s="1160"/>
      <c r="DT199" s="1160"/>
      <c r="DU199" s="1160"/>
      <c r="DV199" s="1160"/>
      <c r="DW199" s="1160"/>
      <c r="DX199" s="1160"/>
      <c r="DY199" s="1160"/>
      <c r="DZ199" s="1160"/>
      <c r="EA199" s="1160"/>
      <c r="EB199" s="1160"/>
      <c r="EC199" s="1160"/>
    </row>
    <row r="200" spans="1:133" x14ac:dyDescent="0.2">
      <c r="A200" s="1160"/>
      <c r="B200" s="1160"/>
      <c r="C200" s="1160"/>
      <c r="D200" s="1160"/>
      <c r="E200" s="1170"/>
      <c r="F200" s="1170"/>
      <c r="G200" s="1170"/>
      <c r="H200" s="1170"/>
      <c r="I200" s="1170"/>
      <c r="J200" s="1170"/>
      <c r="K200" s="1170"/>
      <c r="L200" s="1170"/>
      <c r="M200" s="1170"/>
      <c r="N200" s="1170"/>
      <c r="O200" s="1170"/>
      <c r="P200" s="1170"/>
      <c r="Q200" s="1170"/>
      <c r="R200" s="1170"/>
      <c r="S200" s="1170"/>
      <c r="T200" s="1170"/>
      <c r="U200" s="1170"/>
      <c r="V200" s="1170"/>
      <c r="W200" s="1170"/>
      <c r="X200" s="1170"/>
      <c r="Y200" s="1170"/>
      <c r="Z200" s="1170"/>
      <c r="AA200" s="1170"/>
      <c r="AB200" s="1170"/>
      <c r="AC200" s="1170"/>
      <c r="AD200" s="1170"/>
      <c r="AE200" s="1170"/>
      <c r="AF200" s="1170"/>
      <c r="AG200" s="1170"/>
      <c r="AH200" s="1170"/>
      <c r="AI200" s="1170"/>
      <c r="AJ200" s="1170"/>
      <c r="AK200" s="1170"/>
      <c r="AL200" s="1170"/>
      <c r="AM200" s="1170"/>
      <c r="AN200" s="1170"/>
      <c r="AO200" s="1170"/>
      <c r="AP200" s="1170"/>
      <c r="AQ200" s="1170"/>
      <c r="AR200" s="1170"/>
      <c r="AS200" s="1170"/>
      <c r="AT200" s="1170"/>
      <c r="AU200" s="1170"/>
      <c r="AV200" s="1170"/>
      <c r="AW200" s="1170"/>
      <c r="AX200" s="1170"/>
      <c r="AY200" s="1170"/>
      <c r="AZ200" s="1170"/>
      <c r="BA200" s="1170"/>
      <c r="BB200" s="1170"/>
      <c r="BC200" s="1170"/>
      <c r="BD200" s="1170"/>
      <c r="BE200" s="1170"/>
      <c r="BF200" s="1170"/>
      <c r="BG200" s="1170"/>
      <c r="BH200" s="1170"/>
      <c r="BI200" s="1170"/>
      <c r="BJ200" s="1170"/>
      <c r="BK200" s="1170"/>
      <c r="BL200" s="1170"/>
      <c r="BM200" s="1170"/>
      <c r="BN200" s="1170"/>
      <c r="BO200" s="1170"/>
      <c r="BP200" s="1170"/>
      <c r="BQ200" s="1170"/>
      <c r="BR200" s="1186" t="str">
        <f>HydroRefineryCalcs!C626</f>
        <v>Density</v>
      </c>
      <c r="BS200" s="1170" t="str">
        <f ca="1">HydroRefineryCalcs!D626</f>
        <v>kg/m^3</v>
      </c>
      <c r="BT200" s="1170">
        <f ca="1">HydroRefineryCalcs!I626</f>
        <v>7.0710728577334461</v>
      </c>
      <c r="BU200" s="1170"/>
      <c r="BV200" s="1170"/>
      <c r="BW200" s="1170"/>
      <c r="BX200" s="1170"/>
      <c r="BY200" s="1170"/>
      <c r="BZ200" s="1170"/>
      <c r="CA200" s="1170"/>
      <c r="CB200" s="1170"/>
      <c r="CC200" s="1170"/>
      <c r="CD200" s="1170"/>
      <c r="CE200" s="1170"/>
      <c r="CF200" s="1170"/>
      <c r="CG200" s="1170"/>
      <c r="CH200" s="1170"/>
      <c r="CI200" s="1170"/>
      <c r="CJ200" s="1170"/>
      <c r="CK200" s="1186"/>
      <c r="CL200" s="1170"/>
      <c r="CM200" s="1170"/>
      <c r="CN200" s="1170"/>
      <c r="CO200" s="1170"/>
      <c r="CP200" s="1160"/>
      <c r="CQ200" s="1160"/>
      <c r="CR200" s="1160"/>
      <c r="CS200" s="1160"/>
      <c r="CT200" s="1160"/>
      <c r="CU200" s="1160"/>
      <c r="CV200" s="1160"/>
      <c r="CW200" s="1160"/>
      <c r="CX200" s="1160"/>
      <c r="CY200" s="1160"/>
      <c r="CZ200" s="1171"/>
      <c r="DA200" s="1160"/>
      <c r="DB200" s="1160"/>
      <c r="DC200" s="1160"/>
      <c r="DD200" s="1160"/>
      <c r="DE200" s="1160"/>
      <c r="DF200" s="1160"/>
      <c r="DG200" s="1160"/>
      <c r="DH200" s="1160"/>
      <c r="DI200" s="1160"/>
      <c r="DJ200" s="1160"/>
      <c r="DK200" s="1160"/>
      <c r="DL200" s="1160"/>
      <c r="DM200" s="1171"/>
      <c r="DN200" s="1160"/>
      <c r="DO200" s="1160"/>
      <c r="DP200" s="1160"/>
      <c r="DQ200" s="1160"/>
      <c r="DR200" s="1160"/>
      <c r="DS200" s="1160"/>
      <c r="DT200" s="1160"/>
      <c r="DU200" s="1160"/>
      <c r="DV200" s="1160"/>
      <c r="DW200" s="1160"/>
      <c r="DX200" s="1160"/>
      <c r="DY200" s="1160"/>
      <c r="DZ200" s="1160"/>
      <c r="EA200" s="1160"/>
      <c r="EB200" s="1160"/>
      <c r="EC200" s="1160"/>
    </row>
    <row r="201" spans="1:133" x14ac:dyDescent="0.2">
      <c r="A201" s="1160"/>
      <c r="B201" s="1160"/>
      <c r="C201" s="1160"/>
      <c r="D201" s="1160"/>
      <c r="E201" s="1170"/>
      <c r="F201" s="1170"/>
      <c r="G201" s="1170"/>
      <c r="H201" s="1170"/>
      <c r="I201" s="1170"/>
      <c r="J201" s="1170"/>
      <c r="K201" s="1170"/>
      <c r="L201" s="1170"/>
      <c r="M201" s="1170"/>
      <c r="N201" s="1170"/>
      <c r="O201" s="1170"/>
      <c r="P201" s="1170"/>
      <c r="Q201" s="1170"/>
      <c r="R201" s="1170"/>
      <c r="S201" s="1170"/>
      <c r="T201" s="1170"/>
      <c r="U201" s="1170"/>
      <c r="V201" s="1170"/>
      <c r="W201" s="1170"/>
      <c r="X201" s="1170"/>
      <c r="Y201" s="1170"/>
      <c r="Z201" s="1170"/>
      <c r="AA201" s="1170"/>
      <c r="AB201" s="1170"/>
      <c r="AC201" s="1170"/>
      <c r="AD201" s="1170"/>
      <c r="AE201" s="1170"/>
      <c r="AF201" s="1170"/>
      <c r="AG201" s="1170"/>
      <c r="AH201" s="1170"/>
      <c r="AI201" s="1170"/>
      <c r="AJ201" s="1170"/>
      <c r="AK201" s="1170"/>
      <c r="AL201" s="1170"/>
      <c r="AM201" s="1170"/>
      <c r="AN201" s="1170"/>
      <c r="AO201" s="1170"/>
      <c r="AP201" s="1170"/>
      <c r="AQ201" s="1170"/>
      <c r="AR201" s="1170"/>
      <c r="AS201" s="1170"/>
      <c r="AT201" s="1170"/>
      <c r="AU201" s="1170"/>
      <c r="AV201" s="1170"/>
      <c r="AW201" s="1170"/>
      <c r="AX201" s="1170"/>
      <c r="AY201" s="1170"/>
      <c r="AZ201" s="1170"/>
      <c r="BA201" s="1170"/>
      <c r="BB201" s="1170"/>
      <c r="BC201" s="1170"/>
      <c r="BD201" s="1170"/>
      <c r="BE201" s="1170"/>
      <c r="BF201" s="1170"/>
      <c r="BG201" s="1170"/>
      <c r="BH201" s="1170"/>
      <c r="BI201" s="1170"/>
      <c r="BJ201" s="1170"/>
      <c r="BK201" s="1170"/>
      <c r="BL201" s="1170"/>
      <c r="BM201" s="1170"/>
      <c r="BN201" s="1170"/>
      <c r="BO201" s="1170"/>
      <c r="BP201" s="1170"/>
      <c r="BQ201" s="1170"/>
      <c r="BR201" s="1186" t="str">
        <f>HydroRefineryCalcs!C627</f>
        <v>Hydrogen</v>
      </c>
      <c r="BS201" s="1170" t="str">
        <f ca="1">HydroRefineryCalcs!D627</f>
        <v>wt%</v>
      </c>
      <c r="BT201" s="1170">
        <f ca="1">HydroRefineryCalcs!I627</f>
        <v>1.2411850436031888</v>
      </c>
      <c r="BU201" s="1186"/>
      <c r="BV201" s="1186"/>
      <c r="BW201" s="1170"/>
      <c r="BX201" s="1170"/>
      <c r="BY201" s="1170"/>
      <c r="BZ201" s="1170"/>
      <c r="CA201" s="1170"/>
      <c r="CB201" s="1170"/>
      <c r="CC201" s="1170"/>
      <c r="CD201" s="1170"/>
      <c r="CE201" s="1170"/>
      <c r="CF201" s="1170"/>
      <c r="CG201" s="1170"/>
      <c r="CH201" s="1170"/>
      <c r="CI201" s="1170"/>
      <c r="CJ201" s="1170"/>
      <c r="CK201" s="1186"/>
      <c r="CL201" s="1170"/>
      <c r="CM201" s="1170"/>
      <c r="CN201" s="1170"/>
      <c r="CO201" s="1170"/>
      <c r="CP201" s="1160"/>
      <c r="CQ201" s="1160"/>
      <c r="CR201" s="1160"/>
      <c r="CS201" s="1160"/>
      <c r="CT201" s="1160"/>
      <c r="CU201" s="1160"/>
      <c r="CV201" s="1160"/>
      <c r="CW201" s="1160"/>
      <c r="CX201" s="1160"/>
      <c r="CY201" s="1160"/>
      <c r="CZ201" s="1171"/>
      <c r="DA201" s="1160"/>
      <c r="DB201" s="1160"/>
      <c r="DC201" s="1160"/>
      <c r="DD201" s="1160"/>
      <c r="DE201" s="1160"/>
      <c r="DF201" s="1160"/>
      <c r="DG201" s="1160"/>
      <c r="DH201" s="1160"/>
      <c r="DI201" s="1160"/>
      <c r="DJ201" s="1160"/>
      <c r="DK201" s="1160"/>
      <c r="DL201" s="1160"/>
      <c r="DM201" s="1171"/>
      <c r="DN201" s="1160"/>
      <c r="DO201" s="1160"/>
      <c r="DP201" s="1160"/>
      <c r="DQ201" s="1160"/>
      <c r="DR201" s="1160"/>
      <c r="DS201" s="1160"/>
      <c r="DT201" s="1160"/>
      <c r="DU201" s="1160"/>
      <c r="DV201" s="1160"/>
      <c r="DW201" s="1160"/>
      <c r="DX201" s="1160"/>
      <c r="DY201" s="1160"/>
      <c r="DZ201" s="1160"/>
      <c r="EA201" s="1160"/>
      <c r="EB201" s="1160"/>
      <c r="EC201" s="1160"/>
    </row>
    <row r="202" spans="1:133" x14ac:dyDescent="0.2">
      <c r="A202" s="1160"/>
      <c r="B202" s="1160"/>
      <c r="C202" s="1160"/>
      <c r="D202" s="1160"/>
      <c r="E202" s="1170"/>
      <c r="F202" s="1170"/>
      <c r="G202" s="1170"/>
      <c r="H202" s="1170"/>
      <c r="I202" s="1170"/>
      <c r="J202" s="1170"/>
      <c r="K202" s="1170"/>
      <c r="L202" s="1170"/>
      <c r="M202" s="1170"/>
      <c r="N202" s="1170"/>
      <c r="O202" s="1170"/>
      <c r="P202" s="1170"/>
      <c r="Q202" s="1170"/>
      <c r="R202" s="1170"/>
      <c r="S202" s="1170"/>
      <c r="T202" s="1170"/>
      <c r="U202" s="1170"/>
      <c r="V202" s="1170"/>
      <c r="W202" s="1170"/>
      <c r="X202" s="1170"/>
      <c r="Y202" s="1170"/>
      <c r="Z202" s="1170"/>
      <c r="AA202" s="1170"/>
      <c r="AB202" s="1170"/>
      <c r="AC202" s="1170"/>
      <c r="AD202" s="1170"/>
      <c r="AE202" s="1170"/>
      <c r="AF202" s="1170"/>
      <c r="AG202" s="1170"/>
      <c r="AH202" s="1170"/>
      <c r="AI202" s="1170"/>
      <c r="AJ202" s="1170"/>
      <c r="AK202" s="1170"/>
      <c r="AL202" s="1170"/>
      <c r="AM202" s="1170"/>
      <c r="AN202" s="1170"/>
      <c r="AO202" s="1170"/>
      <c r="AP202" s="1170"/>
      <c r="AQ202" s="1170"/>
      <c r="AR202" s="1170"/>
      <c r="AS202" s="1170"/>
      <c r="AT202" s="1170"/>
      <c r="AU202" s="1170"/>
      <c r="AV202" s="1170"/>
      <c r="AW202" s="1170"/>
      <c r="AX202" s="1170"/>
      <c r="AY202" s="1170"/>
      <c r="AZ202" s="1170"/>
      <c r="BA202" s="1170"/>
      <c r="BB202" s="1170"/>
      <c r="BC202" s="1170"/>
      <c r="BD202" s="1170"/>
      <c r="BE202" s="1170"/>
      <c r="BF202" s="1170"/>
      <c r="BG202" s="1170"/>
      <c r="BH202" s="1170"/>
      <c r="BI202" s="1170"/>
      <c r="BJ202" s="1170"/>
      <c r="BK202" s="1170"/>
      <c r="BL202" s="1170"/>
      <c r="BM202" s="1170"/>
      <c r="BN202" s="1170"/>
      <c r="BO202" s="1170"/>
      <c r="BP202" s="1170"/>
      <c r="BQ202" s="1170"/>
      <c r="BR202" s="1186" t="str">
        <f>HydroRefineryCalcs!C628</f>
        <v>MCR</v>
      </c>
      <c r="BS202" s="1170" t="str">
        <f ca="1">HydroRefineryCalcs!D628</f>
        <v>wt%</v>
      </c>
      <c r="BT202" s="1170" t="str">
        <f ca="1">HydroRefineryCalcs!I628</f>
        <v/>
      </c>
      <c r="BU202" s="1182"/>
      <c r="BV202" s="1182"/>
      <c r="BW202" s="1170"/>
      <c r="BX202" s="1170"/>
      <c r="BY202" s="1170"/>
      <c r="BZ202" s="1170"/>
      <c r="CA202" s="1170"/>
      <c r="CB202" s="1170"/>
      <c r="CC202" s="1170"/>
      <c r="CD202" s="1170"/>
      <c r="CE202" s="1170"/>
      <c r="CF202" s="1170"/>
      <c r="CG202" s="1170"/>
      <c r="CH202" s="1170"/>
      <c r="CI202" s="1170"/>
      <c r="CJ202" s="1170"/>
      <c r="CK202" s="1186"/>
      <c r="CL202" s="1170"/>
      <c r="CM202" s="1170"/>
      <c r="CN202" s="1170"/>
      <c r="CO202" s="1170"/>
      <c r="CP202" s="1160"/>
      <c r="CQ202" s="1160"/>
      <c r="CR202" s="1160"/>
      <c r="CS202" s="1160"/>
      <c r="CT202" s="1160"/>
      <c r="CU202" s="1160"/>
      <c r="CV202" s="1160"/>
      <c r="CW202" s="1160"/>
      <c r="CX202" s="1160"/>
      <c r="CY202" s="1160"/>
      <c r="CZ202" s="1171"/>
      <c r="DA202" s="1160"/>
      <c r="DB202" s="1160"/>
      <c r="DC202" s="1160"/>
      <c r="DD202" s="1160"/>
      <c r="DE202" s="1160"/>
      <c r="DF202" s="1160"/>
      <c r="DG202" s="1160"/>
      <c r="DH202" s="1160"/>
      <c r="DI202" s="1160"/>
      <c r="DJ202" s="1160"/>
      <c r="DK202" s="1160"/>
      <c r="DL202" s="1160"/>
      <c r="DM202" s="1171"/>
      <c r="DN202" s="1160"/>
      <c r="DO202" s="1160"/>
      <c r="DP202" s="1160"/>
      <c r="DQ202" s="1160"/>
      <c r="DR202" s="1160"/>
      <c r="DS202" s="1160"/>
      <c r="DT202" s="1160"/>
      <c r="DU202" s="1160"/>
      <c r="DV202" s="1160"/>
      <c r="DW202" s="1160"/>
      <c r="DX202" s="1160"/>
      <c r="DY202" s="1160"/>
      <c r="DZ202" s="1160"/>
      <c r="EA202" s="1160"/>
      <c r="EB202" s="1160"/>
      <c r="EC202" s="1160"/>
    </row>
    <row r="203" spans="1:133" x14ac:dyDescent="0.2">
      <c r="A203" s="1160"/>
      <c r="B203" s="1160"/>
      <c r="C203" s="1160"/>
      <c r="D203" s="1160"/>
      <c r="E203" s="1170"/>
      <c r="F203" s="1170"/>
      <c r="G203" s="1170"/>
      <c r="H203" s="1170"/>
      <c r="I203" s="1170"/>
      <c r="J203" s="1170"/>
      <c r="K203" s="1170"/>
      <c r="L203" s="1170"/>
      <c r="M203" s="1170"/>
      <c r="N203" s="1170"/>
      <c r="O203" s="1170"/>
      <c r="P203" s="1170"/>
      <c r="Q203" s="1170"/>
      <c r="R203" s="1170"/>
      <c r="S203" s="1170"/>
      <c r="T203" s="1170"/>
      <c r="U203" s="1170"/>
      <c r="V203" s="1170"/>
      <c r="W203" s="1170"/>
      <c r="X203" s="1170"/>
      <c r="Y203" s="1170"/>
      <c r="Z203" s="1170"/>
      <c r="AA203" s="1170"/>
      <c r="AB203" s="1170"/>
      <c r="AC203" s="1170"/>
      <c r="AD203" s="1170"/>
      <c r="AE203" s="1170"/>
      <c r="AF203" s="1170"/>
      <c r="AG203" s="1170"/>
      <c r="AH203" s="1170"/>
      <c r="AI203" s="1170"/>
      <c r="AJ203" s="1170"/>
      <c r="AK203" s="1170"/>
      <c r="AL203" s="1170"/>
      <c r="AM203" s="1170"/>
      <c r="AN203" s="1170"/>
      <c r="AO203" s="1170"/>
      <c r="AP203" s="1170"/>
      <c r="AQ203" s="1170"/>
      <c r="AR203" s="1170"/>
      <c r="AS203" s="1170"/>
      <c r="AT203" s="1170"/>
      <c r="AU203" s="1170"/>
      <c r="AV203" s="1170"/>
      <c r="AW203" s="1170"/>
      <c r="AX203" s="1170"/>
      <c r="AY203" s="1170"/>
      <c r="AZ203" s="1170"/>
      <c r="BA203" s="1170"/>
      <c r="BB203" s="1170"/>
      <c r="BC203" s="1170"/>
      <c r="BD203" s="1170"/>
      <c r="BE203" s="1170"/>
      <c r="BF203" s="1170"/>
      <c r="BG203" s="1170"/>
      <c r="BH203" s="1170"/>
      <c r="BI203" s="1170"/>
      <c r="BJ203" s="1170"/>
      <c r="BK203" s="1170"/>
      <c r="BL203" s="1170"/>
      <c r="BM203" s="1170"/>
      <c r="BN203" s="1170"/>
      <c r="BO203" s="1170"/>
      <c r="BP203" s="1170"/>
      <c r="BQ203" s="1170"/>
      <c r="BR203" s="1186" t="s">
        <v>1698</v>
      </c>
      <c r="BS203" s="1199" t="s">
        <v>447</v>
      </c>
      <c r="BT203" s="1199">
        <f ca="1">('Energy &amp; Unit Conversions'!$D$63-('Energy &amp; Unit Conversions'!$E$63*POWER((BT200/'Energy &amp; Unit Conversions'!$E$54),2)))</f>
        <v>46.693043184184454</v>
      </c>
      <c r="BU203" s="1170"/>
      <c r="BV203" s="1170"/>
      <c r="BW203" s="1184" t="str">
        <f>'HydroRefinery Detailed Results'!C24</f>
        <v>Fluid Catalytic Cracking Feed Hydrotreater</v>
      </c>
      <c r="BX203" s="1170"/>
      <c r="BY203" s="1170"/>
      <c r="BZ203" s="1170"/>
      <c r="CA203" s="1170"/>
      <c r="CB203" s="1170"/>
      <c r="CC203" s="1170"/>
      <c r="CD203" s="1170"/>
      <c r="CE203" s="1170"/>
      <c r="CF203" s="1170"/>
      <c r="CG203" s="1170"/>
      <c r="CH203" s="1170"/>
      <c r="CI203" s="1170"/>
      <c r="CJ203" s="1170"/>
      <c r="CK203" s="1186"/>
      <c r="CL203" s="1170"/>
      <c r="CM203" s="1170"/>
      <c r="CN203" s="1170"/>
      <c r="CO203" s="1170"/>
      <c r="CP203" s="1160"/>
      <c r="CQ203" s="1160"/>
      <c r="CR203" s="1160"/>
      <c r="CS203" s="1160"/>
      <c r="CT203" s="1160"/>
      <c r="CU203" s="1160"/>
      <c r="CV203" s="1160"/>
      <c r="CW203" s="1160"/>
      <c r="CX203" s="1160"/>
      <c r="CY203" s="1160"/>
      <c r="CZ203" s="1171"/>
      <c r="DA203" s="1160"/>
      <c r="DB203" s="1160"/>
      <c r="DC203" s="1160"/>
      <c r="DD203" s="1160"/>
      <c r="DE203" s="1160"/>
      <c r="DF203" s="1160"/>
      <c r="DG203" s="1160"/>
      <c r="DH203" s="1160"/>
      <c r="DI203" s="1160"/>
      <c r="DJ203" s="1160"/>
      <c r="DK203" s="1160"/>
      <c r="DL203" s="1160"/>
      <c r="DM203" s="1171"/>
      <c r="DN203" s="1160"/>
      <c r="DO203" s="1160"/>
      <c r="DP203" s="1160"/>
      <c r="DQ203" s="1160"/>
      <c r="DR203" s="1160"/>
      <c r="DS203" s="1160"/>
      <c r="DT203" s="1160"/>
      <c r="DU203" s="1160"/>
      <c r="DV203" s="1160"/>
      <c r="DW203" s="1160"/>
      <c r="DX203" s="1160"/>
      <c r="DY203" s="1160"/>
      <c r="DZ203" s="1160"/>
      <c r="EA203" s="1160"/>
      <c r="EB203" s="1160"/>
      <c r="EC203" s="1160"/>
    </row>
    <row r="204" spans="1:133" x14ac:dyDescent="0.2">
      <c r="A204" s="1160"/>
      <c r="B204" s="1160"/>
      <c r="C204" s="1160"/>
      <c r="D204" s="1160"/>
      <c r="E204" s="1170"/>
      <c r="F204" s="1170"/>
      <c r="G204" s="1170"/>
      <c r="H204" s="1170"/>
      <c r="I204" s="1170"/>
      <c r="J204" s="1170"/>
      <c r="K204" s="1170"/>
      <c r="L204" s="1170"/>
      <c r="M204" s="1170"/>
      <c r="N204" s="1170"/>
      <c r="O204" s="1170"/>
      <c r="P204" s="1170"/>
      <c r="Q204" s="1170"/>
      <c r="R204" s="1170"/>
      <c r="S204" s="1170"/>
      <c r="T204" s="1170"/>
      <c r="U204" s="1170"/>
      <c r="V204" s="1170"/>
      <c r="W204" s="1170"/>
      <c r="X204" s="1170"/>
      <c r="Y204" s="1170"/>
      <c r="Z204" s="1170"/>
      <c r="AA204" s="1170"/>
      <c r="AB204" s="1170"/>
      <c r="AC204" s="1170"/>
      <c r="AD204" s="1170"/>
      <c r="AE204" s="1170"/>
      <c r="AF204" s="1170"/>
      <c r="AG204" s="1170"/>
      <c r="AH204" s="1170"/>
      <c r="AI204" s="1170"/>
      <c r="AJ204" s="1170"/>
      <c r="AK204" s="1170"/>
      <c r="AL204" s="1170"/>
      <c r="AM204" s="1170"/>
      <c r="AN204" s="1170"/>
      <c r="AO204" s="1170"/>
      <c r="AP204" s="1170"/>
      <c r="AQ204" s="1170"/>
      <c r="AR204" s="1170"/>
      <c r="AS204" s="1170"/>
      <c r="AT204" s="1170"/>
      <c r="AU204" s="1170"/>
      <c r="AV204" s="1170"/>
      <c r="AW204" s="1170"/>
      <c r="AX204" s="1170"/>
      <c r="AY204" s="1170"/>
      <c r="AZ204" s="1170"/>
      <c r="BA204" s="1170"/>
      <c r="BB204" s="1170"/>
      <c r="BC204" s="1170"/>
      <c r="BD204" s="1170"/>
      <c r="BE204" s="1170"/>
      <c r="BF204" s="1170"/>
      <c r="BG204" s="1170"/>
      <c r="BH204" s="1170"/>
      <c r="BI204" s="1170"/>
      <c r="BJ204" s="1170"/>
      <c r="BK204" s="1170"/>
      <c r="BL204" s="1170"/>
      <c r="BM204" s="1170"/>
      <c r="BN204" s="1170"/>
      <c r="BO204" s="1170"/>
      <c r="BP204" s="1170"/>
      <c r="BQ204" s="1170"/>
      <c r="BR204" s="1200" t="s">
        <v>1021</v>
      </c>
      <c r="BS204" s="1199" t="s">
        <v>1022</v>
      </c>
      <c r="BT204" s="1290">
        <f ca="1">(AU119*AU110+AU163*AU154+AU197*AU188+BS280*BS271)/BT195</f>
        <v>85.352283231234779</v>
      </c>
      <c r="BU204" s="1170"/>
      <c r="BV204" s="1170"/>
      <c r="BW204" s="1184" t="s">
        <v>225</v>
      </c>
      <c r="BX204" s="1184" t="s">
        <v>522</v>
      </c>
      <c r="BY204" s="1170"/>
      <c r="BZ204" s="1170"/>
      <c r="CA204" s="1170"/>
      <c r="CB204" s="1170"/>
      <c r="CC204" s="1170"/>
      <c r="CD204" s="1170"/>
      <c r="CE204" s="1170"/>
      <c r="CF204" s="1170"/>
      <c r="CG204" s="1170"/>
      <c r="CH204" s="1170"/>
      <c r="CI204" s="1170"/>
      <c r="CJ204" s="1170"/>
      <c r="CK204" s="1186"/>
      <c r="CL204" s="1170"/>
      <c r="CM204" s="1170"/>
      <c r="CN204" s="1170"/>
      <c r="CO204" s="1170"/>
      <c r="CP204" s="1160"/>
      <c r="CQ204" s="1160"/>
      <c r="CR204" s="1160"/>
      <c r="CS204" s="1160"/>
      <c r="CT204" s="1160"/>
      <c r="CU204" s="1160"/>
      <c r="CV204" s="1160"/>
      <c r="CW204" s="1160"/>
      <c r="CX204" s="1160"/>
      <c r="CY204" s="1160"/>
      <c r="CZ204" s="1171"/>
      <c r="DA204" s="1160"/>
      <c r="DB204" s="1160"/>
      <c r="DC204" s="1160"/>
      <c r="DD204" s="1160"/>
      <c r="DE204" s="1160"/>
      <c r="DF204" s="1160"/>
      <c r="DG204" s="1160"/>
      <c r="DH204" s="1160"/>
      <c r="DI204" s="1160"/>
      <c r="DJ204" s="1160"/>
      <c r="DK204" s="1160"/>
      <c r="DL204" s="1160"/>
      <c r="DM204" s="1171"/>
      <c r="DN204" s="1160"/>
      <c r="DO204" s="1160"/>
      <c r="DP204" s="1160"/>
      <c r="DQ204" s="1160"/>
      <c r="DR204" s="1160"/>
      <c r="DS204" s="1160"/>
      <c r="DT204" s="1160"/>
      <c r="DU204" s="1160"/>
      <c r="DV204" s="1160"/>
      <c r="DW204" s="1160"/>
      <c r="DX204" s="1160"/>
      <c r="DY204" s="1160"/>
      <c r="DZ204" s="1160"/>
      <c r="EA204" s="1160"/>
      <c r="EB204" s="1160"/>
      <c r="EC204" s="1160"/>
    </row>
    <row r="205" spans="1:133" x14ac:dyDescent="0.2">
      <c r="A205" s="1160"/>
      <c r="B205" s="1160"/>
      <c r="C205" s="1160"/>
      <c r="D205" s="1160"/>
      <c r="E205" s="1170"/>
      <c r="F205" s="1170"/>
      <c r="G205" s="1170"/>
      <c r="H205" s="1170"/>
      <c r="I205" s="1170"/>
      <c r="J205" s="1170"/>
      <c r="K205" s="1170"/>
      <c r="L205" s="1170"/>
      <c r="M205" s="1170"/>
      <c r="N205" s="1170"/>
      <c r="O205" s="1170"/>
      <c r="P205" s="1170"/>
      <c r="Q205" s="1170"/>
      <c r="R205" s="1170"/>
      <c r="S205" s="1170"/>
      <c r="T205" s="1170"/>
      <c r="U205" s="1170"/>
      <c r="V205" s="1170"/>
      <c r="W205" s="1170"/>
      <c r="X205" s="1170"/>
      <c r="Y205" s="1170"/>
      <c r="Z205" s="1170"/>
      <c r="AA205" s="1170"/>
      <c r="AB205" s="1170"/>
      <c r="AC205" s="1170"/>
      <c r="AD205" s="1170"/>
      <c r="AE205" s="1170"/>
      <c r="AF205" s="1170"/>
      <c r="AG205" s="1170"/>
      <c r="AH205" s="1170"/>
      <c r="AI205" s="1170"/>
      <c r="AJ205" s="1170"/>
      <c r="AK205" s="1170"/>
      <c r="AL205" s="1170"/>
      <c r="AM205" s="1170"/>
      <c r="AN205" s="1170"/>
      <c r="AO205" s="1170"/>
      <c r="AP205" s="1170"/>
      <c r="AQ205" s="1170"/>
      <c r="AR205" s="1170"/>
      <c r="AS205" s="1170"/>
      <c r="AT205" s="1170"/>
      <c r="AU205" s="1170"/>
      <c r="AV205" s="1170"/>
      <c r="AW205" s="1170"/>
      <c r="AX205" s="1170"/>
      <c r="AY205" s="1170"/>
      <c r="AZ205" s="1170"/>
      <c r="BA205" s="1170"/>
      <c r="BB205" s="1170"/>
      <c r="BC205" s="1170"/>
      <c r="BD205" s="1170"/>
      <c r="BE205" s="1170"/>
      <c r="BF205" s="1170"/>
      <c r="BG205" s="1170"/>
      <c r="BH205" s="1170"/>
      <c r="BI205" s="1170"/>
      <c r="BJ205" s="1170"/>
      <c r="BK205" s="1170"/>
      <c r="BL205" s="1170"/>
      <c r="BM205" s="1170"/>
      <c r="BN205" s="1170"/>
      <c r="BO205" s="1170"/>
      <c r="BP205" s="1170"/>
      <c r="BQ205" s="1170"/>
      <c r="BR205" s="1204" t="s">
        <v>1054</v>
      </c>
      <c r="BS205" s="1204" t="str">
        <f>IF(allocationMethod=1,CokingRefineryPFD!$C$21,IF(allocationMethod=2,CokingRefineryPFD!$C$22,IF(allocationMethod=3,CokingRefineryPFD!$C$23,CokingRefineryPFD!$C$24)))</f>
        <v>Hydrogen Content Basis</v>
      </c>
      <c r="BT205" s="1250">
        <f ca="1">IF(allocationMethod=1,BT197,IF(allocationMethod=2,BT203*BT197,IF(allocationMethod=3,BT204*BT195,BT201*BT197/100)))</f>
        <v>2.7929999999978713E-16</v>
      </c>
      <c r="BU205" s="1170"/>
      <c r="BV205" s="1170"/>
      <c r="BW205" s="1170" t="s">
        <v>392</v>
      </c>
      <c r="BX205" s="1170">
        <f ca="1">'HydroRefinery Detailed Results'!F24+IF(AND($EC$147+$EC$164=0,E28=FALSE),'HydroRefinery Detailed Results'!F31*HydroRefineryCalcs!$T$1044,0)</f>
        <v>0</v>
      </c>
      <c r="BY205" s="1170"/>
      <c r="BZ205" s="1170"/>
      <c r="CA205" s="1170"/>
      <c r="CB205" s="1170"/>
      <c r="CC205" s="1170"/>
      <c r="CD205" s="1170"/>
      <c r="CE205" s="1170"/>
      <c r="CF205" s="1170"/>
      <c r="CG205" s="1170"/>
      <c r="CH205" s="1170"/>
      <c r="CI205" s="1170"/>
      <c r="CJ205" s="1170"/>
      <c r="CK205" s="1186"/>
      <c r="CL205" s="1170"/>
      <c r="CM205" s="1170"/>
      <c r="CN205" s="1170"/>
      <c r="CO205" s="1170"/>
      <c r="CP205" s="1160"/>
      <c r="CQ205" s="1160"/>
      <c r="CR205" s="1160"/>
      <c r="CS205" s="1160"/>
      <c r="CT205" s="1160"/>
      <c r="CU205" s="1160"/>
      <c r="CV205" s="1160"/>
      <c r="CW205" s="1160"/>
      <c r="CX205" s="1160"/>
      <c r="CY205" s="1160"/>
      <c r="CZ205" s="1171"/>
      <c r="DA205" s="1160"/>
      <c r="DB205" s="1160"/>
      <c r="DC205" s="1160"/>
      <c r="DD205" s="1160"/>
      <c r="DE205" s="1160"/>
      <c r="DF205" s="1160"/>
      <c r="DG205" s="1160"/>
      <c r="DH205" s="1160"/>
      <c r="DI205" s="1160"/>
      <c r="DJ205" s="1160"/>
      <c r="DK205" s="1160"/>
      <c r="DL205" s="1160"/>
      <c r="DM205" s="1171"/>
      <c r="DN205" s="1160"/>
      <c r="DO205" s="1160"/>
      <c r="DP205" s="1160"/>
      <c r="DQ205" s="1160"/>
      <c r="DR205" s="1160"/>
      <c r="DS205" s="1160"/>
      <c r="DT205" s="1160"/>
      <c r="DU205" s="1160"/>
      <c r="DV205" s="1160"/>
      <c r="DW205" s="1160"/>
      <c r="DX205" s="1160"/>
      <c r="DY205" s="1160"/>
      <c r="DZ205" s="1160"/>
      <c r="EA205" s="1160"/>
      <c r="EB205" s="1160"/>
      <c r="EC205" s="1160"/>
    </row>
    <row r="206" spans="1:133" x14ac:dyDescent="0.2">
      <c r="A206" s="1160"/>
      <c r="B206" s="1160"/>
      <c r="C206" s="1160"/>
      <c r="D206" s="1160"/>
      <c r="E206" s="1170"/>
      <c r="F206" s="1170"/>
      <c r="G206" s="1170"/>
      <c r="H206" s="1170"/>
      <c r="I206" s="1170"/>
      <c r="J206" s="1170"/>
      <c r="K206" s="1170"/>
      <c r="L206" s="1170"/>
      <c r="M206" s="1170"/>
      <c r="N206" s="1170"/>
      <c r="O206" s="1170"/>
      <c r="P206" s="1170"/>
      <c r="Q206" s="1170"/>
      <c r="R206" s="1170"/>
      <c r="S206" s="1170"/>
      <c r="T206" s="1170"/>
      <c r="U206" s="1170"/>
      <c r="V206" s="1170"/>
      <c r="W206" s="1170"/>
      <c r="X206" s="1170"/>
      <c r="Y206" s="1170"/>
      <c r="Z206" s="1170"/>
      <c r="AA206" s="1170"/>
      <c r="AB206" s="1170"/>
      <c r="AC206" s="1170"/>
      <c r="AD206" s="1170"/>
      <c r="AE206" s="1170"/>
      <c r="AF206" s="1170"/>
      <c r="AG206" s="1170"/>
      <c r="AH206" s="1170"/>
      <c r="AI206" s="1170"/>
      <c r="AJ206" s="1170"/>
      <c r="AK206" s="1170"/>
      <c r="AL206" s="1170"/>
      <c r="AM206" s="1170"/>
      <c r="AN206" s="1170"/>
      <c r="AO206" s="1170"/>
      <c r="AP206" s="1170"/>
      <c r="AQ206" s="1170"/>
      <c r="AR206" s="1170"/>
      <c r="AS206" s="1170"/>
      <c r="AT206" s="1170"/>
      <c r="AU206" s="1170"/>
      <c r="AV206" s="1170"/>
      <c r="AW206" s="1170"/>
      <c r="AX206" s="1170"/>
      <c r="AY206" s="1170"/>
      <c r="AZ206" s="1170"/>
      <c r="BA206" s="1170"/>
      <c r="BB206" s="1170"/>
      <c r="BC206" s="1170"/>
      <c r="BD206" s="1170"/>
      <c r="BE206" s="1170"/>
      <c r="BF206" s="1170"/>
      <c r="BG206" s="1170"/>
      <c r="BH206" s="1170"/>
      <c r="BI206" s="1170"/>
      <c r="BJ206" s="1170"/>
      <c r="BK206" s="1170"/>
      <c r="BL206" s="1170"/>
      <c r="BM206" s="1170"/>
      <c r="BN206" s="1170"/>
      <c r="BO206" s="1170"/>
      <c r="BP206" s="1170"/>
      <c r="BQ206" s="1170"/>
      <c r="BR206" s="1170"/>
      <c r="BS206" s="1170"/>
      <c r="BT206" s="1170"/>
      <c r="BU206" s="1170"/>
      <c r="BV206" s="1170"/>
      <c r="BW206" s="1170" t="s">
        <v>224</v>
      </c>
      <c r="BX206" s="1170">
        <f ca="1">'HydroRefinery Detailed Results'!H24+IF(AND($EC$147+$EC$164=0,E28=FALSE),'HydroRefinery Detailed Results'!H31*HydroRefineryCalcs!$T$1044,0)</f>
        <v>2.1017253138019943E-12</v>
      </c>
      <c r="BY206" s="1170"/>
      <c r="BZ206" s="1170"/>
      <c r="CA206" s="1170"/>
      <c r="CB206" s="1170"/>
      <c r="CC206" s="1170"/>
      <c r="CD206" s="1170"/>
      <c r="CE206" s="1170"/>
      <c r="CF206" s="1170"/>
      <c r="CG206" s="1170"/>
      <c r="CH206" s="1170"/>
      <c r="CI206" s="1170"/>
      <c r="CJ206" s="1170"/>
      <c r="CK206" s="1186"/>
      <c r="CL206" s="1170"/>
      <c r="CM206" s="1170"/>
      <c r="CN206" s="1170"/>
      <c r="CO206" s="1170"/>
      <c r="CP206" s="1160"/>
      <c r="CQ206" s="1160"/>
      <c r="CR206" s="1160"/>
      <c r="CS206" s="1160"/>
      <c r="CT206" s="1160"/>
      <c r="CU206" s="1160"/>
      <c r="CV206" s="1160"/>
      <c r="CW206" s="1160"/>
      <c r="CX206" s="1160"/>
      <c r="CY206" s="1160"/>
      <c r="CZ206" s="1171"/>
      <c r="DA206" s="1160"/>
      <c r="DB206" s="1160"/>
      <c r="DC206" s="1160"/>
      <c r="DD206" s="1160"/>
      <c r="DE206" s="1160"/>
      <c r="DF206" s="1160"/>
      <c r="DG206" s="1160"/>
      <c r="DH206" s="1160"/>
      <c r="DI206" s="1160"/>
      <c r="DJ206" s="1160"/>
      <c r="DK206" s="1160"/>
      <c r="DL206" s="1160"/>
      <c r="DM206" s="1171"/>
      <c r="DN206" s="1160"/>
      <c r="DO206" s="1160"/>
      <c r="DP206" s="1160"/>
      <c r="DQ206" s="1160"/>
      <c r="DR206" s="1160"/>
      <c r="DS206" s="1160"/>
      <c r="DT206" s="1160"/>
      <c r="DU206" s="1160"/>
      <c r="DV206" s="1160"/>
      <c r="DW206" s="1160"/>
      <c r="DX206" s="1160"/>
      <c r="DY206" s="1160"/>
      <c r="DZ206" s="1160"/>
      <c r="EA206" s="1160"/>
      <c r="EB206" s="1160"/>
      <c r="EC206" s="1160"/>
    </row>
    <row r="207" spans="1:133" x14ac:dyDescent="0.2">
      <c r="A207" s="1160"/>
      <c r="B207" s="1160"/>
      <c r="C207" s="1160"/>
      <c r="D207" s="1160"/>
      <c r="E207" s="1170"/>
      <c r="F207" s="1170"/>
      <c r="G207" s="1170"/>
      <c r="H207" s="1170"/>
      <c r="I207" s="1170"/>
      <c r="J207" s="1170"/>
      <c r="K207" s="1170"/>
      <c r="L207" s="1170"/>
      <c r="M207" s="1170"/>
      <c r="N207" s="1170"/>
      <c r="O207" s="1170"/>
      <c r="P207" s="1170"/>
      <c r="Q207" s="1170"/>
      <c r="R207" s="1170"/>
      <c r="S207" s="1170"/>
      <c r="T207" s="1170"/>
      <c r="U207" s="1170"/>
      <c r="V207" s="1170"/>
      <c r="W207" s="1170"/>
      <c r="X207" s="1170"/>
      <c r="Y207" s="1170"/>
      <c r="Z207" s="1170"/>
      <c r="AA207" s="1170"/>
      <c r="AB207" s="1170"/>
      <c r="AC207" s="1170"/>
      <c r="AD207" s="1170"/>
      <c r="AE207" s="1170"/>
      <c r="AF207" s="1170"/>
      <c r="AG207" s="1170"/>
      <c r="AH207" s="1170"/>
      <c r="AI207" s="1170"/>
      <c r="AJ207" s="1170"/>
      <c r="AK207" s="1170"/>
      <c r="AL207" s="1170"/>
      <c r="AM207" s="1170"/>
      <c r="AN207" s="1170"/>
      <c r="AO207" s="1170"/>
      <c r="AP207" s="1170"/>
      <c r="AQ207" s="1170"/>
      <c r="AR207" s="1170"/>
      <c r="AS207" s="1170"/>
      <c r="AT207" s="1170"/>
      <c r="AU207" s="1170"/>
      <c r="AV207" s="1170"/>
      <c r="AW207" s="1170"/>
      <c r="AX207" s="1170"/>
      <c r="AY207" s="1170"/>
      <c r="AZ207" s="1170"/>
      <c r="BA207" s="1170"/>
      <c r="BB207" s="1170"/>
      <c r="BC207" s="1170"/>
      <c r="BD207" s="1170"/>
      <c r="BE207" s="1170"/>
      <c r="BF207" s="1170"/>
      <c r="BG207" s="1170"/>
      <c r="BH207" s="1170"/>
      <c r="BI207" s="1170"/>
      <c r="BJ207" s="1170"/>
      <c r="BK207" s="1170"/>
      <c r="BL207" s="1170"/>
      <c r="BM207" s="1170"/>
      <c r="BN207" s="1170"/>
      <c r="BO207" s="1170"/>
      <c r="BP207" s="1170"/>
      <c r="BQ207" s="1170"/>
      <c r="BR207" s="1170"/>
      <c r="BS207" s="1170"/>
      <c r="BT207" s="1170"/>
      <c r="BU207" s="1170"/>
      <c r="BV207" s="1170"/>
      <c r="BW207" s="1170" t="s">
        <v>485</v>
      </c>
      <c r="BX207" s="1170">
        <f ca="1">'HydroRefinery Detailed Results'!J24+IF(AND($EC$147+$EC$164=0,E28=FALSE),'HydroRefinery Detailed Results'!J31*HydroRefineryCalcs!$T$1044,0)</f>
        <v>1.7734490815344713E-13</v>
      </c>
      <c r="BY207" s="1170"/>
      <c r="BZ207" s="1170"/>
      <c r="CA207" s="1170"/>
      <c r="CB207" s="1170"/>
      <c r="CC207" s="1170"/>
      <c r="CD207" s="1181"/>
      <c r="CE207" s="1170"/>
      <c r="CF207" s="1170"/>
      <c r="CG207" s="1170"/>
      <c r="CH207" s="1170"/>
      <c r="CI207" s="1170"/>
      <c r="CJ207" s="1170"/>
      <c r="CK207" s="1170"/>
      <c r="CL207" s="1170"/>
      <c r="CM207" s="1170"/>
      <c r="CN207" s="1170"/>
      <c r="CO207" s="1170"/>
      <c r="CP207" s="1160"/>
      <c r="CQ207" s="1160"/>
      <c r="CR207" s="1160"/>
      <c r="CS207" s="1160"/>
      <c r="CT207" s="1160"/>
      <c r="CU207" s="1160"/>
      <c r="CV207" s="1160"/>
      <c r="CW207" s="1160"/>
      <c r="CX207" s="1160"/>
      <c r="CY207" s="1160"/>
      <c r="CZ207" s="1171"/>
      <c r="DA207" s="1160"/>
      <c r="DB207" s="1160"/>
      <c r="DC207" s="1160"/>
      <c r="DD207" s="1160"/>
      <c r="DE207" s="1160"/>
      <c r="DF207" s="1160"/>
      <c r="DG207" s="1160"/>
      <c r="DH207" s="1160"/>
      <c r="DI207" s="1160"/>
      <c r="DJ207" s="1160"/>
      <c r="DK207" s="1160"/>
      <c r="DL207" s="1160"/>
      <c r="DM207" s="1171"/>
      <c r="DN207" s="1160"/>
      <c r="DO207" s="1160"/>
      <c r="DP207" s="1160"/>
      <c r="DQ207" s="1160"/>
      <c r="DR207" s="1160"/>
      <c r="DS207" s="1160"/>
      <c r="DT207" s="1160"/>
      <c r="DU207" s="1160"/>
      <c r="DV207" s="1160"/>
      <c r="DW207" s="1160"/>
      <c r="DX207" s="1160"/>
      <c r="DY207" s="1160"/>
      <c r="DZ207" s="1160"/>
      <c r="EA207" s="1160"/>
      <c r="EB207" s="1160"/>
      <c r="EC207" s="1160"/>
    </row>
    <row r="208" spans="1:133" x14ac:dyDescent="0.2">
      <c r="A208" s="1160"/>
      <c r="B208" s="1160"/>
      <c r="C208" s="1160"/>
      <c r="D208" s="1160"/>
      <c r="E208" s="1170"/>
      <c r="F208" s="1170"/>
      <c r="G208" s="1170"/>
      <c r="H208" s="1170"/>
      <c r="I208" s="1170"/>
      <c r="J208" s="1170"/>
      <c r="K208" s="1170"/>
      <c r="L208" s="1170"/>
      <c r="M208" s="1170"/>
      <c r="N208" s="1170"/>
      <c r="O208" s="1170"/>
      <c r="P208" s="1170"/>
      <c r="Q208" s="1170"/>
      <c r="R208" s="1170"/>
      <c r="S208" s="1170"/>
      <c r="T208" s="1170"/>
      <c r="U208" s="1170"/>
      <c r="V208" s="1170"/>
      <c r="W208" s="1170"/>
      <c r="X208" s="1170"/>
      <c r="Y208" s="1170"/>
      <c r="Z208" s="1170"/>
      <c r="AA208" s="1170"/>
      <c r="AB208" s="1170"/>
      <c r="AC208" s="1170"/>
      <c r="AD208" s="1170"/>
      <c r="AE208" s="1170"/>
      <c r="AF208" s="1170"/>
      <c r="AG208" s="1170"/>
      <c r="AH208" s="1170"/>
      <c r="AI208" s="1170"/>
      <c r="AJ208" s="1170"/>
      <c r="AK208" s="1170"/>
      <c r="AL208" s="1170"/>
      <c r="AM208" s="1170"/>
      <c r="AN208" s="1170"/>
      <c r="AO208" s="1170"/>
      <c r="AP208" s="1170"/>
      <c r="AQ208" s="1170"/>
      <c r="AR208" s="1170"/>
      <c r="AS208" s="1170"/>
      <c r="AT208" s="1170"/>
      <c r="AU208" s="1170"/>
      <c r="AV208" s="1170"/>
      <c r="AW208" s="1170"/>
      <c r="AX208" s="1170"/>
      <c r="AY208" s="1170"/>
      <c r="AZ208" s="1170"/>
      <c r="BA208" s="1170"/>
      <c r="BB208" s="1170"/>
      <c r="BC208" s="1170"/>
      <c r="BD208" s="1170"/>
      <c r="BE208" s="1170"/>
      <c r="BF208" s="1170"/>
      <c r="BG208" s="1170"/>
      <c r="BH208" s="1170"/>
      <c r="BI208" s="1170"/>
      <c r="BJ208" s="1170"/>
      <c r="BK208" s="1170"/>
      <c r="BL208" s="1170"/>
      <c r="BM208" s="1170"/>
      <c r="BN208" s="1170"/>
      <c r="BO208" s="1170"/>
      <c r="BP208" s="1170"/>
      <c r="BQ208" s="1170"/>
      <c r="BR208" s="1170"/>
      <c r="BS208" s="1170"/>
      <c r="BT208" s="1170"/>
      <c r="BU208" s="1170"/>
      <c r="BV208" s="1170"/>
      <c r="BW208" s="1170" t="s">
        <v>541</v>
      </c>
      <c r="BX208" s="1170">
        <f ca="1">'HydroRefinery Detailed Results'!L24+IF(AND($EC$147+$EC$164=0,E28=FALSE),'HydroRefinery Detailed Results'!L31*HydroRefineryCalcs!$T$1044,0)</f>
        <v>0</v>
      </c>
      <c r="BY208" s="1170"/>
      <c r="BZ208" s="1170"/>
      <c r="CA208" s="1170"/>
      <c r="CB208" s="1170"/>
      <c r="CC208" s="1170"/>
      <c r="CD208" s="1170"/>
      <c r="CE208" s="1170"/>
      <c r="CF208" s="1170"/>
      <c r="CG208" s="1170"/>
      <c r="CH208" s="1170"/>
      <c r="CI208" s="1170"/>
      <c r="CJ208" s="1170"/>
      <c r="CK208" s="1170"/>
      <c r="CL208" s="1170"/>
      <c r="CM208" s="1170"/>
      <c r="CN208" s="1170"/>
      <c r="CO208" s="1170"/>
      <c r="CP208" s="1160"/>
      <c r="CQ208" s="1160"/>
      <c r="CR208" s="1160"/>
      <c r="CS208" s="1160"/>
      <c r="CT208" s="1160"/>
      <c r="CU208" s="1160"/>
      <c r="CV208" s="1160"/>
      <c r="CW208" s="1160"/>
      <c r="CX208" s="1160"/>
      <c r="CY208" s="1160"/>
      <c r="CZ208" s="1171"/>
      <c r="DA208" s="1160"/>
      <c r="DB208" s="1160"/>
      <c r="DC208" s="1160"/>
      <c r="DD208" s="1160"/>
      <c r="DE208" s="1160"/>
      <c r="DF208" s="1160"/>
      <c r="DG208" s="1160"/>
      <c r="DH208" s="1160"/>
      <c r="DI208" s="1160"/>
      <c r="DJ208" s="1160"/>
      <c r="DK208" s="1160"/>
      <c r="DL208" s="1160"/>
      <c r="DM208" s="1171"/>
      <c r="DN208" s="1160"/>
      <c r="DO208" s="1160"/>
      <c r="DP208" s="1160"/>
      <c r="DQ208" s="1160"/>
      <c r="DR208" s="1160"/>
      <c r="DS208" s="1160"/>
      <c r="DT208" s="1160"/>
      <c r="DU208" s="1160"/>
      <c r="DV208" s="1160"/>
      <c r="DW208" s="1160"/>
      <c r="DX208" s="1160"/>
      <c r="DY208" s="1160"/>
      <c r="DZ208" s="1160"/>
      <c r="EA208" s="1160"/>
      <c r="EB208" s="1160"/>
      <c r="EC208" s="1160"/>
    </row>
    <row r="209" spans="1:133" x14ac:dyDescent="0.2">
      <c r="A209" s="1160"/>
      <c r="B209" s="1160"/>
      <c r="C209" s="1160"/>
      <c r="D209" s="1160"/>
      <c r="E209" s="1170"/>
      <c r="F209" s="1170"/>
      <c r="G209" s="1170"/>
      <c r="H209" s="1170"/>
      <c r="I209" s="1170"/>
      <c r="J209" s="1170"/>
      <c r="K209" s="1170"/>
      <c r="L209" s="1170"/>
      <c r="M209" s="1170"/>
      <c r="N209" s="1170"/>
      <c r="O209" s="1170"/>
      <c r="P209" s="1170"/>
      <c r="Q209" s="1170"/>
      <c r="R209" s="1170"/>
      <c r="S209" s="1170"/>
      <c r="T209" s="1170"/>
      <c r="U209" s="1170"/>
      <c r="V209" s="1170"/>
      <c r="W209" s="1170"/>
      <c r="X209" s="1170"/>
      <c r="Y209" s="1170"/>
      <c r="Z209" s="1170"/>
      <c r="AA209" s="1170"/>
      <c r="AB209" s="1170"/>
      <c r="AC209" s="1170"/>
      <c r="AD209" s="1170"/>
      <c r="AE209" s="1170"/>
      <c r="AF209" s="1170"/>
      <c r="AG209" s="1170"/>
      <c r="AH209" s="1170"/>
      <c r="AI209" s="1170"/>
      <c r="AJ209" s="1170"/>
      <c r="AK209" s="1170"/>
      <c r="AL209" s="1170"/>
      <c r="AM209" s="1170"/>
      <c r="AN209" s="1170"/>
      <c r="AO209" s="1170"/>
      <c r="AP209" s="1170"/>
      <c r="AQ209" s="1170"/>
      <c r="AR209" s="1170"/>
      <c r="AS209" s="1170"/>
      <c r="AT209" s="1170"/>
      <c r="AU209" s="1170"/>
      <c r="AV209" s="1170"/>
      <c r="AW209" s="1170"/>
      <c r="AX209" s="1170"/>
      <c r="AY209" s="1170"/>
      <c r="AZ209" s="1170"/>
      <c r="BA209" s="1170"/>
      <c r="BB209" s="1170"/>
      <c r="BC209" s="1170"/>
      <c r="BD209" s="1170"/>
      <c r="BE209" s="1170"/>
      <c r="BF209" s="1170"/>
      <c r="BG209" s="1170"/>
      <c r="BH209" s="1170"/>
      <c r="BI209" s="1170"/>
      <c r="BJ209" s="1170"/>
      <c r="BK209" s="1170"/>
      <c r="BL209" s="1170"/>
      <c r="BM209" s="1170"/>
      <c r="BN209" s="1170"/>
      <c r="BO209" s="1170"/>
      <c r="BP209" s="1170"/>
      <c r="BQ209" s="1170"/>
      <c r="BR209" s="1170"/>
      <c r="BS209" s="1170"/>
      <c r="BT209" s="1170"/>
      <c r="BU209" s="1170"/>
      <c r="BV209" s="1170"/>
      <c r="BW209" s="1170"/>
      <c r="BX209" s="1170"/>
      <c r="BY209" s="1170"/>
      <c r="BZ209" s="1170"/>
      <c r="CA209" s="1170"/>
      <c r="CB209" s="1170"/>
      <c r="CC209" s="1170"/>
      <c r="CD209" s="1170"/>
      <c r="CE209" s="1170"/>
      <c r="CF209" s="1170"/>
      <c r="CG209" s="1170"/>
      <c r="CH209" s="1170"/>
      <c r="CI209" s="1170"/>
      <c r="CJ209" s="1170"/>
      <c r="CK209" s="1170"/>
      <c r="CL209" s="1170"/>
      <c r="CM209" s="1170"/>
      <c r="CN209" s="1170"/>
      <c r="CO209" s="1170"/>
      <c r="CP209" s="1160"/>
      <c r="CQ209" s="1160"/>
      <c r="CR209" s="1160"/>
      <c r="CS209" s="1160"/>
      <c r="CT209" s="1160"/>
      <c r="CU209" s="1160"/>
      <c r="CV209" s="1160"/>
      <c r="CW209" s="1160"/>
      <c r="CX209" s="1160"/>
      <c r="CY209" s="1160"/>
      <c r="CZ209" s="1171"/>
      <c r="DA209" s="1160"/>
      <c r="DB209" s="1160"/>
      <c r="DC209" s="1160"/>
      <c r="DD209" s="1160"/>
      <c r="DE209" s="1160"/>
      <c r="DF209" s="1160"/>
      <c r="DG209" s="1160"/>
      <c r="DH209" s="1160"/>
      <c r="DI209" s="1160"/>
      <c r="DJ209" s="1160"/>
      <c r="DK209" s="1160"/>
      <c r="DL209" s="1160"/>
      <c r="DM209" s="1171"/>
      <c r="DN209" s="1160"/>
      <c r="DO209" s="1160"/>
      <c r="DP209" s="1160"/>
      <c r="DQ209" s="1160"/>
      <c r="DR209" s="1160"/>
      <c r="DS209" s="1160"/>
      <c r="DT209" s="1160"/>
      <c r="DU209" s="1160"/>
      <c r="DV209" s="1160"/>
      <c r="DW209" s="1160"/>
      <c r="DX209" s="1160"/>
      <c r="DY209" s="1160"/>
      <c r="DZ209" s="1160"/>
      <c r="EA209" s="1160"/>
      <c r="EB209" s="1160"/>
      <c r="EC209" s="1160"/>
    </row>
    <row r="210" spans="1:133" x14ac:dyDescent="0.2">
      <c r="A210" s="1160"/>
      <c r="B210" s="1160"/>
      <c r="C210" s="1160"/>
      <c r="D210" s="1160"/>
      <c r="E210" s="1170"/>
      <c r="F210" s="1170"/>
      <c r="G210" s="1170"/>
      <c r="H210" s="1170"/>
      <c r="I210" s="1170"/>
      <c r="J210" s="1170"/>
      <c r="K210" s="1170"/>
      <c r="L210" s="1170"/>
      <c r="M210" s="1170"/>
      <c r="N210" s="1170"/>
      <c r="O210" s="1170"/>
      <c r="P210" s="1170"/>
      <c r="Q210" s="1170"/>
      <c r="R210" s="1170"/>
      <c r="S210" s="1170"/>
      <c r="T210" s="1170"/>
      <c r="U210" s="1170"/>
      <c r="V210" s="1170"/>
      <c r="W210" s="1170"/>
      <c r="X210" s="1170"/>
      <c r="Y210" s="1170"/>
      <c r="Z210" s="1170"/>
      <c r="AA210" s="1170"/>
      <c r="AB210" s="1170"/>
      <c r="AC210" s="1170"/>
      <c r="AD210" s="1170"/>
      <c r="AE210" s="1170"/>
      <c r="AF210" s="1170"/>
      <c r="AG210" s="1170"/>
      <c r="AH210" s="1170"/>
      <c r="AI210" s="1170"/>
      <c r="AJ210" s="1170"/>
      <c r="AK210" s="1170"/>
      <c r="AL210" s="1170"/>
      <c r="AM210" s="1170"/>
      <c r="AN210" s="1170"/>
      <c r="AO210" s="1170"/>
      <c r="AP210" s="1170"/>
      <c r="AQ210" s="1170"/>
      <c r="AR210" s="1170"/>
      <c r="AS210" s="1170"/>
      <c r="AT210" s="1170"/>
      <c r="AU210" s="1170"/>
      <c r="AV210" s="1170"/>
      <c r="AW210" s="1170"/>
      <c r="AX210" s="1170"/>
      <c r="AY210" s="1170"/>
      <c r="AZ210" s="1170"/>
      <c r="BA210" s="1170"/>
      <c r="BB210" s="1170"/>
      <c r="BC210" s="1170"/>
      <c r="BD210" s="1170"/>
      <c r="BE210" s="1170"/>
      <c r="BF210" s="1170"/>
      <c r="BG210" s="1170"/>
      <c r="BH210" s="1170"/>
      <c r="BI210" s="1170"/>
      <c r="BJ210" s="1170"/>
      <c r="BK210" s="1170"/>
      <c r="BL210" s="1170"/>
      <c r="BM210" s="1170"/>
      <c r="BN210" s="1170"/>
      <c r="BO210" s="1170"/>
      <c r="BP210" s="1170"/>
      <c r="BQ210" s="1170"/>
      <c r="BR210" s="1170"/>
      <c r="BS210" s="1170"/>
      <c r="BT210" s="1170"/>
      <c r="BU210" s="1170"/>
      <c r="BV210" s="1170"/>
      <c r="BW210" s="1181" t="str">
        <f>HydroRefineryCalcs!C632</f>
        <v>Total hydrogen consumed</v>
      </c>
      <c r="BX210" s="1170"/>
      <c r="BY210" s="1170"/>
      <c r="BZ210" s="1170"/>
      <c r="CA210" s="1170"/>
      <c r="CB210" s="1170"/>
      <c r="CC210" s="1170"/>
      <c r="CD210" s="1170"/>
      <c r="CE210" s="1170"/>
      <c r="CF210" s="1170"/>
      <c r="CG210" s="1170"/>
      <c r="CH210" s="1170"/>
      <c r="CI210" s="1170"/>
      <c r="CJ210" s="1170"/>
      <c r="CK210" s="1170"/>
      <c r="CL210" s="1170"/>
      <c r="CM210" s="1170"/>
      <c r="CN210" s="1170"/>
      <c r="CO210" s="1170"/>
      <c r="CP210" s="1160"/>
      <c r="CQ210" s="1160"/>
      <c r="CR210" s="1160"/>
      <c r="CS210" s="1160"/>
      <c r="CT210" s="1160"/>
      <c r="CU210" s="1160"/>
      <c r="CV210" s="1160"/>
      <c r="CW210" s="1160"/>
      <c r="CX210" s="1160"/>
      <c r="CY210" s="1160"/>
      <c r="CZ210" s="1171"/>
      <c r="DA210" s="1160"/>
      <c r="DB210" s="1160"/>
      <c r="DC210" s="1160"/>
      <c r="DD210" s="1160"/>
      <c r="DE210" s="1160"/>
      <c r="DF210" s="1160"/>
      <c r="DG210" s="1160"/>
      <c r="DH210" s="1160"/>
      <c r="DI210" s="1160"/>
      <c r="DJ210" s="1160"/>
      <c r="DK210" s="1160"/>
      <c r="DL210" s="1160"/>
      <c r="DM210" s="1171"/>
      <c r="DN210" s="1160"/>
      <c r="DO210" s="1160"/>
      <c r="DP210" s="1160"/>
      <c r="DQ210" s="1160"/>
      <c r="DR210" s="1160"/>
      <c r="DS210" s="1160"/>
      <c r="DT210" s="1160"/>
      <c r="DU210" s="1160"/>
      <c r="DV210" s="1160"/>
      <c r="DW210" s="1160"/>
      <c r="DX210" s="1160"/>
      <c r="DY210" s="1160"/>
      <c r="DZ210" s="1160"/>
      <c r="EA210" s="1160"/>
      <c r="EB210" s="1160"/>
      <c r="EC210" s="1160"/>
    </row>
    <row r="211" spans="1:133" x14ac:dyDescent="0.2">
      <c r="A211" s="1160"/>
      <c r="B211" s="1160"/>
      <c r="C211" s="1160"/>
      <c r="D211" s="1160"/>
      <c r="E211" s="1170"/>
      <c r="F211" s="1170"/>
      <c r="G211" s="1170"/>
      <c r="H211" s="1170"/>
      <c r="I211" s="1170"/>
      <c r="J211" s="1170"/>
      <c r="K211" s="1170"/>
      <c r="L211" s="1170"/>
      <c r="M211" s="1170"/>
      <c r="N211" s="1170"/>
      <c r="O211" s="1170"/>
      <c r="P211" s="1170"/>
      <c r="Q211" s="1170"/>
      <c r="R211" s="1170"/>
      <c r="S211" s="1170"/>
      <c r="T211" s="1170"/>
      <c r="U211" s="1170"/>
      <c r="V211" s="1170"/>
      <c r="W211" s="1170"/>
      <c r="X211" s="1170"/>
      <c r="Y211" s="1170"/>
      <c r="Z211" s="1170"/>
      <c r="AA211" s="1170"/>
      <c r="AB211" s="1170"/>
      <c r="AC211" s="1170"/>
      <c r="AD211" s="1170"/>
      <c r="AE211" s="1170"/>
      <c r="AF211" s="1170"/>
      <c r="AG211" s="1170"/>
      <c r="AH211" s="1170"/>
      <c r="AI211" s="1170"/>
      <c r="AJ211" s="1170"/>
      <c r="AK211" s="1170"/>
      <c r="AL211" s="1170"/>
      <c r="AM211" s="1170"/>
      <c r="AN211" s="1170"/>
      <c r="AO211" s="1170"/>
      <c r="AP211" s="1170"/>
      <c r="AQ211" s="1170"/>
      <c r="AR211" s="1170"/>
      <c r="AS211" s="1170"/>
      <c r="AT211" s="1170"/>
      <c r="AU211" s="1170"/>
      <c r="AV211" s="1170"/>
      <c r="AW211" s="1170"/>
      <c r="AX211" s="1170"/>
      <c r="AY211" s="1170"/>
      <c r="AZ211" s="1170"/>
      <c r="BA211" s="1170"/>
      <c r="BB211" s="1170"/>
      <c r="BC211" s="1170"/>
      <c r="BD211" s="1170"/>
      <c r="BE211" s="1170"/>
      <c r="BF211" s="1170"/>
      <c r="BG211" s="1170"/>
      <c r="BH211" s="1170"/>
      <c r="BI211" s="1170"/>
      <c r="BJ211" s="1170"/>
      <c r="BK211" s="1170"/>
      <c r="BL211" s="1170"/>
      <c r="BM211" s="1170"/>
      <c r="BN211" s="1170"/>
      <c r="BO211" s="1170"/>
      <c r="BP211" s="1170"/>
      <c r="BQ211" s="1170"/>
      <c r="BR211" s="1170"/>
      <c r="BS211" s="1170"/>
      <c r="BT211" s="1170"/>
      <c r="BU211" s="1170"/>
      <c r="BV211" s="1170"/>
      <c r="BW211" s="1170" t="str">
        <f>HydroRefineryCalcs!E632</f>
        <v>kg/d</v>
      </c>
      <c r="BX211" s="1170">
        <f ca="1">HydroRefineryCalcs!D632</f>
        <v>0</v>
      </c>
      <c r="BY211" s="1170"/>
      <c r="BZ211" s="1170"/>
      <c r="CA211" s="1170"/>
      <c r="CB211" s="1170"/>
      <c r="CC211" s="1170"/>
      <c r="CD211" s="1170"/>
      <c r="CE211" s="1170"/>
      <c r="CF211" s="1170"/>
      <c r="CG211" s="1170"/>
      <c r="CH211" s="1170"/>
      <c r="CI211" s="1170"/>
      <c r="CJ211" s="1170"/>
      <c r="CK211" s="1170"/>
      <c r="CL211" s="1170"/>
      <c r="CM211" s="1170"/>
      <c r="CN211" s="1170"/>
      <c r="CO211" s="1170"/>
      <c r="CP211" s="1160"/>
      <c r="CQ211" s="1160"/>
      <c r="CR211" s="1160"/>
      <c r="CS211" s="1160"/>
      <c r="CT211" s="1160"/>
      <c r="CU211" s="1160"/>
      <c r="CV211" s="1160"/>
      <c r="CW211" s="1160"/>
      <c r="CX211" s="1160"/>
      <c r="CY211" s="1160"/>
      <c r="CZ211" s="1171"/>
      <c r="DA211" s="1160"/>
      <c r="DB211" s="1160"/>
      <c r="DC211" s="1160"/>
      <c r="DD211" s="1160"/>
      <c r="DE211" s="1160"/>
      <c r="DF211" s="1160"/>
      <c r="DG211" s="1160"/>
      <c r="DH211" s="1160"/>
      <c r="DI211" s="1160"/>
      <c r="DJ211" s="1160"/>
      <c r="DK211" s="1160"/>
      <c r="DL211" s="1160"/>
      <c r="DM211" s="1171"/>
      <c r="DN211" s="1160"/>
      <c r="DO211" s="1160"/>
      <c r="DP211" s="1160"/>
      <c r="DQ211" s="1160"/>
      <c r="DR211" s="1160"/>
      <c r="DS211" s="1160"/>
      <c r="DT211" s="1160"/>
      <c r="DU211" s="1160"/>
      <c r="DV211" s="1160"/>
      <c r="DW211" s="1160"/>
      <c r="DX211" s="1160"/>
      <c r="DY211" s="1160"/>
      <c r="DZ211" s="1160"/>
      <c r="EA211" s="1160"/>
      <c r="EB211" s="1160"/>
      <c r="EC211" s="1160"/>
    </row>
    <row r="212" spans="1:133" x14ac:dyDescent="0.2">
      <c r="A212" s="1160"/>
      <c r="B212" s="1160"/>
      <c r="C212" s="1160"/>
      <c r="D212" s="1160"/>
      <c r="E212" s="1170"/>
      <c r="F212" s="1170"/>
      <c r="G212" s="1170"/>
      <c r="H212" s="1170"/>
      <c r="I212" s="1170"/>
      <c r="J212" s="1170"/>
      <c r="K212" s="1170"/>
      <c r="L212" s="1170"/>
      <c r="M212" s="1170"/>
      <c r="N212" s="1170"/>
      <c r="O212" s="1170"/>
      <c r="P212" s="1170"/>
      <c r="Q212" s="1170"/>
      <c r="R212" s="1170"/>
      <c r="S212" s="1170"/>
      <c r="T212" s="1170"/>
      <c r="U212" s="1170"/>
      <c r="V212" s="1170"/>
      <c r="W212" s="1170"/>
      <c r="X212" s="1170"/>
      <c r="Y212" s="1170"/>
      <c r="Z212" s="1170"/>
      <c r="AA212" s="1170"/>
      <c r="AB212" s="1170"/>
      <c r="AC212" s="1170"/>
      <c r="AD212" s="1170"/>
      <c r="AE212" s="1170"/>
      <c r="AF212" s="1170"/>
      <c r="AG212" s="1170"/>
      <c r="AH212" s="1170"/>
      <c r="AI212" s="1170"/>
      <c r="AJ212" s="1170"/>
      <c r="AK212" s="1170"/>
      <c r="AL212" s="1170"/>
      <c r="AM212" s="1170"/>
      <c r="AN212" s="1170"/>
      <c r="AO212" s="1170"/>
      <c r="AP212" s="1170"/>
      <c r="AQ212" s="1170"/>
      <c r="AR212" s="1170"/>
      <c r="AS212" s="1170"/>
      <c r="AT212" s="1170"/>
      <c r="AU212" s="1170"/>
      <c r="AV212" s="1170"/>
      <c r="AW212" s="1170"/>
      <c r="AX212" s="1170"/>
      <c r="AY212" s="1170"/>
      <c r="AZ212" s="1170"/>
      <c r="BA212" s="1170"/>
      <c r="BB212" s="1170"/>
      <c r="BC212" s="1170"/>
      <c r="BD212" s="1170"/>
      <c r="BE212" s="1170"/>
      <c r="BF212" s="1170"/>
      <c r="BG212" s="1170"/>
      <c r="BH212" s="1170"/>
      <c r="BI212" s="1170"/>
      <c r="BJ212" s="1170"/>
      <c r="BK212" s="1170"/>
      <c r="BL212" s="1170"/>
      <c r="BM212" s="1170"/>
      <c r="BN212" s="1170"/>
      <c r="BO212" s="1170"/>
      <c r="BP212" s="1170"/>
      <c r="BQ212" s="1170"/>
      <c r="BR212" s="1170"/>
      <c r="BS212" s="1170"/>
      <c r="BT212" s="1170"/>
      <c r="BU212" s="1170"/>
      <c r="BV212" s="1170"/>
      <c r="BW212" s="1170"/>
      <c r="BX212" s="1170"/>
      <c r="BY212" s="1170"/>
      <c r="BZ212" s="1170"/>
      <c r="CA212" s="1170"/>
      <c r="CB212" s="1170"/>
      <c r="CC212" s="1170"/>
      <c r="CD212" s="1170"/>
      <c r="CE212" s="1170"/>
      <c r="CF212" s="1170"/>
      <c r="CG212" s="1170"/>
      <c r="CH212" s="1170"/>
      <c r="CI212" s="1170"/>
      <c r="CJ212" s="1170"/>
      <c r="CK212" s="1170"/>
      <c r="CL212" s="1170"/>
      <c r="CM212" s="1170"/>
      <c r="CN212" s="1170"/>
      <c r="CO212" s="1170"/>
      <c r="CP212" s="1160"/>
      <c r="CQ212" s="1160"/>
      <c r="CR212" s="1160"/>
      <c r="CS212" s="1160"/>
      <c r="CT212" s="1160"/>
      <c r="CU212" s="1160"/>
      <c r="CV212" s="1160"/>
      <c r="CW212" s="1160"/>
      <c r="CX212" s="1160"/>
      <c r="CY212" s="1160"/>
      <c r="CZ212" s="1171"/>
      <c r="DA212" s="1160"/>
      <c r="DB212" s="1160"/>
      <c r="DC212" s="1160"/>
      <c r="DD212" s="1160"/>
      <c r="DE212" s="1160"/>
      <c r="DF212" s="1160"/>
      <c r="DG212" s="1160"/>
      <c r="DH212" s="1160"/>
      <c r="DI212" s="1160"/>
      <c r="DJ212" s="1160"/>
      <c r="DK212" s="1160"/>
      <c r="DL212" s="1160"/>
      <c r="DM212" s="1171"/>
      <c r="DN212" s="1160"/>
      <c r="DO212" s="1160"/>
      <c r="DP212" s="1160"/>
      <c r="DQ212" s="1160"/>
      <c r="DR212" s="1160"/>
      <c r="DS212" s="1160"/>
      <c r="DT212" s="1160"/>
      <c r="DU212" s="1160"/>
      <c r="DV212" s="1160"/>
      <c r="DW212" s="1160"/>
      <c r="DX212" s="1160"/>
      <c r="DY212" s="1160"/>
      <c r="DZ212" s="1160"/>
      <c r="EA212" s="1160"/>
      <c r="EB212" s="1160"/>
      <c r="EC212" s="1160"/>
    </row>
    <row r="213" spans="1:133" x14ac:dyDescent="0.2">
      <c r="A213" s="1160"/>
      <c r="B213" s="1160"/>
      <c r="C213" s="1160"/>
      <c r="D213" s="1160"/>
      <c r="E213" s="1170"/>
      <c r="F213" s="1170"/>
      <c r="G213" s="1170"/>
      <c r="H213" s="1170"/>
      <c r="I213" s="1170"/>
      <c r="J213" s="1170"/>
      <c r="K213" s="1170"/>
      <c r="L213" s="1170"/>
      <c r="M213" s="1170"/>
      <c r="N213" s="1170"/>
      <c r="O213" s="1170"/>
      <c r="P213" s="1170"/>
      <c r="Q213" s="1170"/>
      <c r="R213" s="1170"/>
      <c r="S213" s="1170"/>
      <c r="T213" s="1170"/>
      <c r="U213" s="1170"/>
      <c r="V213" s="1170"/>
      <c r="W213" s="1170"/>
      <c r="X213" s="1170"/>
      <c r="Y213" s="1170"/>
      <c r="Z213" s="1170"/>
      <c r="AA213" s="1170"/>
      <c r="AB213" s="1170"/>
      <c r="AC213" s="1170"/>
      <c r="AD213" s="1170"/>
      <c r="AE213" s="1170"/>
      <c r="AF213" s="1170"/>
      <c r="AG213" s="1170"/>
      <c r="AH213" s="1170"/>
      <c r="AI213" s="1170"/>
      <c r="AJ213" s="1170"/>
      <c r="AK213" s="1170"/>
      <c r="AL213" s="1170"/>
      <c r="AM213" s="1170"/>
      <c r="AN213" s="1170"/>
      <c r="AO213" s="1170"/>
      <c r="AP213" s="1170"/>
      <c r="AQ213" s="1170"/>
      <c r="AR213" s="1170"/>
      <c r="AS213" s="1170"/>
      <c r="AT213" s="1170"/>
      <c r="AU213" s="1170"/>
      <c r="AV213" s="1170"/>
      <c r="AW213" s="1170"/>
      <c r="AX213" s="1170"/>
      <c r="AY213" s="1170"/>
      <c r="AZ213" s="1170"/>
      <c r="BA213" s="1170"/>
      <c r="BB213" s="1170"/>
      <c r="BC213" s="1170"/>
      <c r="BD213" s="1170"/>
      <c r="BE213" s="1170"/>
      <c r="BF213" s="1170"/>
      <c r="BG213" s="1170"/>
      <c r="BH213" s="1170"/>
      <c r="BI213" s="1170"/>
      <c r="BJ213" s="1170"/>
      <c r="BK213" s="1170"/>
      <c r="BL213" s="1170"/>
      <c r="BM213" s="1170"/>
      <c r="BN213" s="1170"/>
      <c r="BO213" s="1170"/>
      <c r="BP213" s="1170"/>
      <c r="BQ213" s="1170"/>
      <c r="BR213" s="1170"/>
      <c r="BS213" s="1170"/>
      <c r="BT213" s="1170"/>
      <c r="BU213" s="1170"/>
      <c r="BV213" s="1170"/>
      <c r="BW213" s="1181"/>
      <c r="BX213" s="1170"/>
      <c r="BY213" s="1170"/>
      <c r="BZ213" s="1170"/>
      <c r="CA213" s="1170"/>
      <c r="CB213" s="1170"/>
      <c r="CC213" s="1170"/>
      <c r="CD213" s="1170"/>
      <c r="CE213" s="1170"/>
      <c r="CF213" s="1170"/>
      <c r="CG213" s="1170"/>
      <c r="CH213" s="1170"/>
      <c r="CI213" s="1170"/>
      <c r="CJ213" s="1170"/>
      <c r="CK213" s="1170"/>
      <c r="CL213" s="1170"/>
      <c r="CM213" s="1170"/>
      <c r="CN213" s="1170"/>
      <c r="CO213" s="1170"/>
      <c r="CP213" s="1160"/>
      <c r="CQ213" s="1160"/>
      <c r="CR213" s="1160"/>
      <c r="CS213" s="1160"/>
      <c r="CT213" s="1160"/>
      <c r="CU213" s="1160"/>
      <c r="CV213" s="1160"/>
      <c r="CW213" s="1160"/>
      <c r="CX213" s="1160"/>
      <c r="CY213" s="1160"/>
      <c r="CZ213" s="1171"/>
      <c r="DA213" s="1160"/>
      <c r="DB213" s="1160"/>
      <c r="DC213" s="1160"/>
      <c r="DD213" s="1160"/>
      <c r="DE213" s="1160"/>
      <c r="DF213" s="1160"/>
      <c r="DG213" s="1160"/>
      <c r="DH213" s="1160"/>
      <c r="DI213" s="1160"/>
      <c r="DJ213" s="1160"/>
      <c r="DK213" s="1160"/>
      <c r="DL213" s="1160"/>
      <c r="DM213" s="1171"/>
      <c r="DN213" s="1160"/>
      <c r="DO213" s="1160"/>
      <c r="DP213" s="1160"/>
      <c r="DQ213" s="1160"/>
      <c r="DR213" s="1160"/>
      <c r="DS213" s="1160"/>
      <c r="DT213" s="1160"/>
      <c r="DU213" s="1160"/>
      <c r="DV213" s="1160"/>
      <c r="DW213" s="1160"/>
      <c r="DX213" s="1160"/>
      <c r="DY213" s="1160"/>
      <c r="DZ213" s="1160"/>
      <c r="EA213" s="1160"/>
      <c r="EB213" s="1160"/>
      <c r="EC213" s="1160"/>
    </row>
    <row r="214" spans="1:133" x14ac:dyDescent="0.2">
      <c r="A214" s="1160"/>
      <c r="B214" s="1160"/>
      <c r="C214" s="1160"/>
      <c r="D214" s="1160"/>
      <c r="E214" s="1184"/>
      <c r="F214" s="1170"/>
      <c r="G214" s="1170"/>
      <c r="H214" s="1170"/>
      <c r="I214" s="1170"/>
      <c r="J214" s="1170"/>
      <c r="K214" s="1170"/>
      <c r="L214" s="1170"/>
      <c r="M214" s="1170"/>
      <c r="N214" s="1170"/>
      <c r="O214" s="1170"/>
      <c r="P214" s="1170"/>
      <c r="Q214" s="1170"/>
      <c r="R214" s="1170"/>
      <c r="S214" s="1170"/>
      <c r="T214" s="1170"/>
      <c r="U214" s="1170"/>
      <c r="V214" s="1170"/>
      <c r="W214" s="1170"/>
      <c r="X214" s="1170"/>
      <c r="Y214" s="1170"/>
      <c r="Z214" s="1170"/>
      <c r="AA214" s="1170"/>
      <c r="AB214" s="1170"/>
      <c r="AC214" s="1170"/>
      <c r="AD214" s="1170"/>
      <c r="AE214" s="1170"/>
      <c r="AF214" s="1170"/>
      <c r="AG214" s="1170"/>
      <c r="AH214" s="1170"/>
      <c r="AI214" s="1170"/>
      <c r="AJ214" s="1170"/>
      <c r="AK214" s="1170"/>
      <c r="AL214" s="1170"/>
      <c r="AM214" s="1170"/>
      <c r="AN214" s="1170"/>
      <c r="AO214" s="1170"/>
      <c r="AP214" s="1170"/>
      <c r="AQ214" s="1170"/>
      <c r="AR214" s="1170"/>
      <c r="AS214" s="1170"/>
      <c r="AT214" s="1170"/>
      <c r="AU214" s="1170"/>
      <c r="AV214" s="1170"/>
      <c r="AW214" s="1170"/>
      <c r="AX214" s="1170"/>
      <c r="AY214" s="1170"/>
      <c r="AZ214" s="1170"/>
      <c r="BA214" s="1170"/>
      <c r="BB214" s="1170"/>
      <c r="BC214" s="1170"/>
      <c r="BD214" s="1170"/>
      <c r="BE214" s="1170"/>
      <c r="BF214" s="1170"/>
      <c r="BG214" s="1170"/>
      <c r="BH214" s="1170"/>
      <c r="BI214" s="1170"/>
      <c r="BJ214" s="1170"/>
      <c r="BK214" s="1170"/>
      <c r="BL214" s="1170"/>
      <c r="BM214" s="1170"/>
      <c r="BN214" s="1170"/>
      <c r="BO214" s="1170"/>
      <c r="BP214" s="1170"/>
      <c r="BQ214" s="1170"/>
      <c r="BR214" s="1170"/>
      <c r="BS214" s="1170"/>
      <c r="BT214" s="1170"/>
      <c r="BU214" s="1170"/>
      <c r="BV214" s="1170"/>
      <c r="BW214" s="1170"/>
      <c r="BX214" s="1170"/>
      <c r="BY214" s="1170"/>
      <c r="BZ214" s="1170"/>
      <c r="CA214" s="1170"/>
      <c r="CB214" s="1170"/>
      <c r="CC214" s="1170"/>
      <c r="CD214" s="1170"/>
      <c r="CE214" s="1184" t="str">
        <f>'HydroRefinery Detailed Results'!C26</f>
        <v>Fluid Catalytic Cracker Main Fractionator</v>
      </c>
      <c r="CF214" s="1170"/>
      <c r="CG214" s="1170"/>
      <c r="CH214" s="1170"/>
      <c r="CI214" s="1170"/>
      <c r="CJ214" s="1170"/>
      <c r="CK214" s="1170"/>
      <c r="CL214" s="1170"/>
      <c r="CM214" s="1170"/>
      <c r="CN214" s="1170"/>
      <c r="CO214" s="1170"/>
      <c r="CP214" s="1160"/>
      <c r="CQ214" s="1160"/>
      <c r="CR214" s="1160"/>
      <c r="CS214" s="1160"/>
      <c r="CT214" s="1160"/>
      <c r="CU214" s="1160"/>
      <c r="CV214" s="1160"/>
      <c r="CW214" s="1160"/>
      <c r="CX214" s="1160"/>
      <c r="CY214" s="1160"/>
      <c r="CZ214" s="1171"/>
      <c r="DA214" s="1160"/>
      <c r="DB214" s="1160"/>
      <c r="DC214" s="1160"/>
      <c r="DD214" s="1160"/>
      <c r="DE214" s="1160"/>
      <c r="DF214" s="1160"/>
      <c r="DG214" s="1160"/>
      <c r="DH214" s="1160"/>
      <c r="DI214" s="1160"/>
      <c r="DJ214" s="1160"/>
      <c r="DK214" s="1160"/>
      <c r="DL214" s="1160"/>
      <c r="DM214" s="1171"/>
      <c r="DN214" s="1160"/>
      <c r="DO214" s="1160"/>
      <c r="DP214" s="1160"/>
      <c r="DQ214" s="1160"/>
      <c r="DR214" s="1160"/>
      <c r="DS214" s="1160"/>
      <c r="DT214" s="1160"/>
      <c r="DU214" s="1160"/>
      <c r="DV214" s="1160"/>
      <c r="DW214" s="1160"/>
      <c r="DX214" s="1160"/>
      <c r="DY214" s="1160"/>
      <c r="DZ214" s="1160"/>
      <c r="EA214" s="1160"/>
      <c r="EB214" s="1160"/>
      <c r="EC214" s="1160"/>
    </row>
    <row r="215" spans="1:133" x14ac:dyDescent="0.2">
      <c r="A215" s="1160"/>
      <c r="B215" s="1160"/>
      <c r="C215" s="1160"/>
      <c r="D215" s="1160"/>
      <c r="E215" s="1184"/>
      <c r="F215" s="1184"/>
      <c r="G215" s="1170"/>
      <c r="H215" s="1170"/>
      <c r="I215" s="1170"/>
      <c r="J215" s="1170"/>
      <c r="K215" s="1170"/>
      <c r="L215" s="1170"/>
      <c r="M215" s="1170"/>
      <c r="N215" s="1170"/>
      <c r="O215" s="1170"/>
      <c r="P215" s="1170"/>
      <c r="Q215" s="1170"/>
      <c r="R215" s="1170"/>
      <c r="S215" s="1170"/>
      <c r="T215" s="1170"/>
      <c r="U215" s="1170"/>
      <c r="V215" s="1170"/>
      <c r="W215" s="1170"/>
      <c r="X215" s="1170"/>
      <c r="Y215" s="1170"/>
      <c r="Z215" s="1170"/>
      <c r="AA215" s="1170"/>
      <c r="AB215" s="1170"/>
      <c r="AC215" s="1170"/>
      <c r="AD215" s="1170"/>
      <c r="AE215" s="1170"/>
      <c r="AF215" s="1170"/>
      <c r="AG215" s="1170"/>
      <c r="AH215" s="1170"/>
      <c r="AI215" s="1170"/>
      <c r="AJ215" s="1170"/>
      <c r="AK215" s="1170"/>
      <c r="AL215" s="1170"/>
      <c r="AM215" s="1170"/>
      <c r="AN215" s="1170"/>
      <c r="AO215" s="1170"/>
      <c r="AP215" s="1170"/>
      <c r="AQ215" s="1170"/>
      <c r="AR215" s="1170"/>
      <c r="AS215" s="1170"/>
      <c r="AT215" s="1170"/>
      <c r="AU215" s="1170"/>
      <c r="AV215" s="1170"/>
      <c r="AW215" s="1170"/>
      <c r="AX215" s="1170"/>
      <c r="AY215" s="1170"/>
      <c r="AZ215" s="1170"/>
      <c r="BA215" s="1170"/>
      <c r="BB215" s="1170"/>
      <c r="BC215" s="1170"/>
      <c r="BD215" s="1170"/>
      <c r="BE215" s="1170"/>
      <c r="BF215" s="1170"/>
      <c r="BG215" s="1170"/>
      <c r="BH215" s="1170"/>
      <c r="BI215" s="1170"/>
      <c r="BJ215" s="1170"/>
      <c r="BK215" s="1170"/>
      <c r="BL215" s="1170"/>
      <c r="BM215" s="1170"/>
      <c r="BN215" s="1170"/>
      <c r="BO215" s="1170"/>
      <c r="BP215" s="1170"/>
      <c r="BQ215" s="1170"/>
      <c r="BR215" s="1170"/>
      <c r="BS215" s="1170"/>
      <c r="BT215" s="1170"/>
      <c r="BU215" s="1170"/>
      <c r="BV215" s="1170"/>
      <c r="BW215" s="1181" t="str">
        <f>HydroRefineryCalcs!J619</f>
        <v>Hydrotreated FCC Feed</v>
      </c>
      <c r="BX215" s="1170"/>
      <c r="BY215" s="1170"/>
      <c r="BZ215" s="1170"/>
      <c r="CA215" s="1180" t="str">
        <f>BW215</f>
        <v>Hydrotreated FCC Feed</v>
      </c>
      <c r="CB215" s="1170"/>
      <c r="CC215" s="1170"/>
      <c r="CD215" s="1170"/>
      <c r="CE215" s="1184" t="s">
        <v>225</v>
      </c>
      <c r="CF215" s="1227" t="s">
        <v>522</v>
      </c>
      <c r="CG215" s="1187"/>
      <c r="CH215" s="1170"/>
      <c r="CI215" s="1170"/>
      <c r="CJ215" s="1170"/>
      <c r="CK215" s="1170"/>
      <c r="CL215" s="1170"/>
      <c r="CM215" s="1170"/>
      <c r="CN215" s="1170"/>
      <c r="CO215" s="1170"/>
      <c r="CP215" s="1160"/>
      <c r="CQ215" s="1160"/>
      <c r="CR215" s="1160"/>
      <c r="CS215" s="1160"/>
      <c r="CT215" s="1160"/>
      <c r="CU215" s="1160"/>
      <c r="CV215" s="1160"/>
      <c r="CW215" s="1160"/>
      <c r="CX215" s="1160"/>
      <c r="CY215" s="1160"/>
      <c r="CZ215" s="1171"/>
      <c r="DA215" s="1160"/>
      <c r="DB215" s="1160"/>
      <c r="DC215" s="1160"/>
      <c r="DD215" s="1160"/>
      <c r="DE215" s="1160"/>
      <c r="DF215" s="1160"/>
      <c r="DG215" s="1160"/>
      <c r="DH215" s="1160"/>
      <c r="DI215" s="1160"/>
      <c r="DJ215" s="1160"/>
      <c r="DK215" s="1160"/>
      <c r="DL215" s="1160"/>
      <c r="DM215" s="1171"/>
      <c r="DN215" s="1160"/>
      <c r="DO215" s="1160"/>
      <c r="DP215" s="1160"/>
      <c r="DQ215" s="1160"/>
      <c r="DR215" s="1160"/>
      <c r="DS215" s="1160"/>
      <c r="DT215" s="1160"/>
      <c r="DU215" s="1160"/>
      <c r="DV215" s="1160"/>
      <c r="DW215" s="1160"/>
      <c r="DX215" s="1160"/>
      <c r="DY215" s="1160"/>
      <c r="DZ215" s="1160"/>
      <c r="EA215" s="1160"/>
      <c r="EB215" s="1160"/>
      <c r="EC215" s="1160"/>
    </row>
    <row r="216" spans="1:133" x14ac:dyDescent="0.2">
      <c r="A216" s="1160"/>
      <c r="B216" s="1160"/>
      <c r="C216" s="1160"/>
      <c r="D216" s="1160"/>
      <c r="E216" s="1170"/>
      <c r="F216" s="1170"/>
      <c r="G216" s="1170"/>
      <c r="H216" s="1170"/>
      <c r="I216" s="1170"/>
      <c r="J216" s="1170"/>
      <c r="K216" s="1170"/>
      <c r="L216" s="1170"/>
      <c r="M216" s="1170"/>
      <c r="N216" s="1170"/>
      <c r="O216" s="1170"/>
      <c r="P216" s="1170"/>
      <c r="Q216" s="1170"/>
      <c r="R216" s="1170"/>
      <c r="S216" s="1170"/>
      <c r="T216" s="1170"/>
      <c r="U216" s="1170"/>
      <c r="V216" s="1170"/>
      <c r="W216" s="1170"/>
      <c r="X216" s="1170"/>
      <c r="Y216" s="1170"/>
      <c r="Z216" s="1170"/>
      <c r="AA216" s="1170"/>
      <c r="AB216" s="1170"/>
      <c r="AC216" s="1170"/>
      <c r="AD216" s="1170"/>
      <c r="AE216" s="1170"/>
      <c r="AF216" s="1170"/>
      <c r="AG216" s="1170"/>
      <c r="AH216" s="1170"/>
      <c r="AI216" s="1170"/>
      <c r="AJ216" s="1170"/>
      <c r="AK216" s="1170"/>
      <c r="AL216" s="1170"/>
      <c r="AM216" s="1170"/>
      <c r="AN216" s="1170"/>
      <c r="AO216" s="1170"/>
      <c r="AP216" s="1170"/>
      <c r="AQ216" s="1170"/>
      <c r="AR216" s="1170"/>
      <c r="AS216" s="1170"/>
      <c r="AT216" s="1170"/>
      <c r="AU216" s="1170"/>
      <c r="AV216" s="1170"/>
      <c r="AW216" s="1170"/>
      <c r="AX216" s="1170"/>
      <c r="AY216" s="1170"/>
      <c r="AZ216" s="1170"/>
      <c r="BA216" s="1170"/>
      <c r="BB216" s="1170"/>
      <c r="BC216" s="1170"/>
      <c r="BD216" s="1170"/>
      <c r="BE216" s="1170"/>
      <c r="BF216" s="1170"/>
      <c r="BG216" s="1170"/>
      <c r="BH216" s="1170"/>
      <c r="BI216" s="1170"/>
      <c r="BJ216" s="1170"/>
      <c r="BK216" s="1170"/>
      <c r="BL216" s="1170"/>
      <c r="BM216" s="1170"/>
      <c r="BN216" s="1170"/>
      <c r="BO216" s="1170"/>
      <c r="BP216" s="1170"/>
      <c r="BQ216" s="1170"/>
      <c r="BR216" s="1170"/>
      <c r="BS216" s="1170"/>
      <c r="BT216" s="1170"/>
      <c r="BU216" s="1170"/>
      <c r="BV216" s="1170"/>
      <c r="BW216" s="1182" t="str">
        <f>HydroRefineryCalcs!C619</f>
        <v>Property</v>
      </c>
      <c r="BX216" s="1182" t="str">
        <f>HydroRefineryCalcs!D619</f>
        <v>Units</v>
      </c>
      <c r="BY216" s="1170"/>
      <c r="BZ216" s="1170"/>
      <c r="CA216" s="1183" t="s">
        <v>226</v>
      </c>
      <c r="CB216" s="1170"/>
      <c r="CC216" s="1184" t="s">
        <v>522</v>
      </c>
      <c r="CD216" s="1170"/>
      <c r="CE216" s="1170" t="s">
        <v>392</v>
      </c>
      <c r="CF216" s="1187">
        <f ca="1">'HydroRefinery Detailed Results'!F26</f>
        <v>0</v>
      </c>
      <c r="CG216" s="1187"/>
      <c r="CH216" s="1170"/>
      <c r="CI216" s="1170"/>
      <c r="CJ216" s="1170"/>
      <c r="CK216" s="1170"/>
      <c r="CL216" s="1170"/>
      <c r="CM216" s="1170"/>
      <c r="CN216" s="1170"/>
      <c r="CO216" s="1170"/>
      <c r="CP216" s="1160"/>
      <c r="CQ216" s="1160"/>
      <c r="CR216" s="1160"/>
      <c r="CS216" s="1160"/>
      <c r="CT216" s="1160"/>
      <c r="CU216" s="1160"/>
      <c r="CV216" s="1160"/>
      <c r="CW216" s="1160"/>
      <c r="CX216" s="1160"/>
      <c r="CY216" s="1160"/>
      <c r="CZ216" s="1171"/>
      <c r="DA216" s="1160"/>
      <c r="DB216" s="1160"/>
      <c r="DC216" s="1160"/>
      <c r="DD216" s="1160"/>
      <c r="DE216" s="1160"/>
      <c r="DF216" s="1160"/>
      <c r="DG216" s="1160"/>
      <c r="DH216" s="1160"/>
      <c r="DI216" s="1160"/>
      <c r="DJ216" s="1160"/>
      <c r="DK216" s="1160"/>
      <c r="DL216" s="1160"/>
      <c r="DM216" s="1171"/>
      <c r="DN216" s="1160"/>
      <c r="DO216" s="1160"/>
      <c r="DP216" s="1160"/>
      <c r="DQ216" s="1160"/>
      <c r="DR216" s="1160"/>
      <c r="DS216" s="1160"/>
      <c r="DT216" s="1160"/>
      <c r="DU216" s="1160"/>
      <c r="DV216" s="1160"/>
      <c r="DW216" s="1160"/>
      <c r="DX216" s="1160"/>
      <c r="DY216" s="1160"/>
      <c r="DZ216" s="1160"/>
      <c r="EA216" s="1160"/>
      <c r="EB216" s="1160"/>
      <c r="EC216" s="1160"/>
    </row>
    <row r="217" spans="1:133" x14ac:dyDescent="0.2">
      <c r="A217" s="1160"/>
      <c r="B217" s="1160"/>
      <c r="C217" s="1160"/>
      <c r="D217" s="1160"/>
      <c r="E217" s="1170"/>
      <c r="F217" s="1170"/>
      <c r="G217" s="1170"/>
      <c r="H217" s="1170"/>
      <c r="I217" s="1170"/>
      <c r="J217" s="1170"/>
      <c r="K217" s="1170"/>
      <c r="L217" s="1170"/>
      <c r="M217" s="1170"/>
      <c r="N217" s="1170"/>
      <c r="O217" s="1170"/>
      <c r="P217" s="1170"/>
      <c r="Q217" s="1170"/>
      <c r="R217" s="1170"/>
      <c r="S217" s="1170"/>
      <c r="T217" s="1170"/>
      <c r="U217" s="1170"/>
      <c r="V217" s="1170"/>
      <c r="W217" s="1170"/>
      <c r="X217" s="1170"/>
      <c r="Y217" s="1170"/>
      <c r="Z217" s="1170"/>
      <c r="AA217" s="1170"/>
      <c r="AB217" s="1170"/>
      <c r="AC217" s="1170"/>
      <c r="AD217" s="1170"/>
      <c r="AE217" s="1170"/>
      <c r="AF217" s="1170"/>
      <c r="AG217" s="1170"/>
      <c r="AH217" s="1170"/>
      <c r="AI217" s="1170"/>
      <c r="AJ217" s="1170"/>
      <c r="AK217" s="1170"/>
      <c r="AL217" s="1170"/>
      <c r="AM217" s="1170"/>
      <c r="AN217" s="1170"/>
      <c r="AO217" s="1170"/>
      <c r="AP217" s="1170"/>
      <c r="AQ217" s="1170"/>
      <c r="AR217" s="1170"/>
      <c r="AS217" s="1170"/>
      <c r="AT217" s="1170"/>
      <c r="AU217" s="1170"/>
      <c r="AV217" s="1170"/>
      <c r="AW217" s="1170"/>
      <c r="AX217" s="1170"/>
      <c r="AY217" s="1170"/>
      <c r="AZ217" s="1170"/>
      <c r="BA217" s="1170"/>
      <c r="BB217" s="1170"/>
      <c r="BC217" s="1170"/>
      <c r="BD217" s="1170"/>
      <c r="BE217" s="1170"/>
      <c r="BF217" s="1170"/>
      <c r="BG217" s="1170"/>
      <c r="BH217" s="1170"/>
      <c r="BI217" s="1170"/>
      <c r="BJ217" s="1170"/>
      <c r="BK217" s="1170"/>
      <c r="BL217" s="1170"/>
      <c r="BM217" s="1170"/>
      <c r="BN217" s="1170"/>
      <c r="BO217" s="1170"/>
      <c r="BP217" s="1170"/>
      <c r="BQ217" s="1184"/>
      <c r="BR217" s="1170"/>
      <c r="BS217" s="1170"/>
      <c r="BT217" s="1170"/>
      <c r="BU217" s="1170"/>
      <c r="BV217" s="1170"/>
      <c r="BW217" s="1186" t="str">
        <f>HydroRefineryCalcs!C620</f>
        <v>Vol Flow</v>
      </c>
      <c r="BX217" s="1170" t="str">
        <f ca="1">HydroRefineryCalcs!D620</f>
        <v>bpd</v>
      </c>
      <c r="BY217" s="1187">
        <f ca="1">HydroRefineryCalcs!J620</f>
        <v>1.7525859575361602E-16</v>
      </c>
      <c r="BZ217" s="1170"/>
      <c r="CA217" s="1170" t="s">
        <v>263</v>
      </c>
      <c r="CB217" s="1170"/>
      <c r="CC217" s="1170">
        <f ca="1">(AZ110+AZ154+AZ188+BS285)*$CC$222</f>
        <v>0</v>
      </c>
      <c r="CD217" s="1170"/>
      <c r="CE217" s="1170" t="s">
        <v>224</v>
      </c>
      <c r="CF217" s="1187">
        <f>'HydroRefinery Detailed Results'!H26</f>
        <v>0</v>
      </c>
      <c r="CG217" s="1187"/>
      <c r="CH217" s="1184"/>
      <c r="CI217" s="1170"/>
      <c r="CJ217" s="1170"/>
      <c r="CK217" s="1170"/>
      <c r="CL217" s="1170"/>
      <c r="CM217" s="1170"/>
      <c r="CN217" s="1170"/>
      <c r="CO217" s="1170"/>
      <c r="CP217" s="1160"/>
      <c r="CQ217" s="1160"/>
      <c r="CR217" s="1160"/>
      <c r="CS217" s="1160"/>
      <c r="CT217" s="1160"/>
      <c r="CU217" s="1160"/>
      <c r="CV217" s="1160"/>
      <c r="CW217" s="1160"/>
      <c r="CX217" s="1160"/>
      <c r="CY217" s="1160"/>
      <c r="CZ217" s="1171"/>
      <c r="DA217" s="1160"/>
      <c r="DB217" s="1160"/>
      <c r="DC217" s="1160"/>
      <c r="DD217" s="1160"/>
      <c r="DE217" s="1160"/>
      <c r="DF217" s="1160"/>
      <c r="DG217" s="1160"/>
      <c r="DH217" s="1160"/>
      <c r="DI217" s="1160"/>
      <c r="DJ217" s="1160"/>
      <c r="DK217" s="1160"/>
      <c r="DL217" s="1160"/>
      <c r="DM217" s="1171"/>
      <c r="DN217" s="1160"/>
      <c r="DO217" s="1160"/>
      <c r="DP217" s="1160"/>
      <c r="DQ217" s="1160"/>
      <c r="DR217" s="1160"/>
      <c r="DS217" s="1160"/>
      <c r="DT217" s="1160"/>
      <c r="DU217" s="1160"/>
      <c r="DV217" s="1160"/>
      <c r="DW217" s="1160"/>
      <c r="DX217" s="1160"/>
      <c r="DY217" s="1160"/>
      <c r="DZ217" s="1160"/>
      <c r="EA217" s="1160"/>
      <c r="EB217" s="1160"/>
      <c r="EC217" s="1160"/>
    </row>
    <row r="218" spans="1:133" x14ac:dyDescent="0.2">
      <c r="A218" s="1160"/>
      <c r="B218" s="1160"/>
      <c r="C218" s="1160"/>
      <c r="D218" s="1160"/>
      <c r="E218" s="1170"/>
      <c r="F218" s="1170"/>
      <c r="G218" s="1170"/>
      <c r="H218" s="1170"/>
      <c r="I218" s="1170"/>
      <c r="J218" s="1170"/>
      <c r="K218" s="1170"/>
      <c r="L218" s="1170"/>
      <c r="M218" s="1170"/>
      <c r="N218" s="1170"/>
      <c r="O218" s="1170"/>
      <c r="P218" s="1170"/>
      <c r="Q218" s="1170"/>
      <c r="R218" s="1170"/>
      <c r="S218" s="1170"/>
      <c r="T218" s="1170"/>
      <c r="U218" s="1170"/>
      <c r="V218" s="1170"/>
      <c r="W218" s="1170"/>
      <c r="X218" s="1170"/>
      <c r="Y218" s="1170"/>
      <c r="Z218" s="1170"/>
      <c r="AA218" s="1170"/>
      <c r="AB218" s="1170"/>
      <c r="AC218" s="1170"/>
      <c r="AD218" s="1170"/>
      <c r="AE218" s="1170"/>
      <c r="AF218" s="1170"/>
      <c r="AG218" s="1170"/>
      <c r="AH218" s="1170"/>
      <c r="AI218" s="1170"/>
      <c r="AJ218" s="1170"/>
      <c r="AK218" s="1170"/>
      <c r="AL218" s="1170"/>
      <c r="AM218" s="1170"/>
      <c r="AN218" s="1170"/>
      <c r="AO218" s="1170"/>
      <c r="AP218" s="1170"/>
      <c r="AQ218" s="1170"/>
      <c r="AR218" s="1170"/>
      <c r="AS218" s="1170"/>
      <c r="AT218" s="1170"/>
      <c r="AU218" s="1170"/>
      <c r="AV218" s="1170"/>
      <c r="AW218" s="1170"/>
      <c r="AX218" s="1170"/>
      <c r="AY218" s="1170"/>
      <c r="AZ218" s="1170"/>
      <c r="BA218" s="1170"/>
      <c r="BB218" s="1170"/>
      <c r="BC218" s="1170"/>
      <c r="BD218" s="1170"/>
      <c r="BE218" s="1170"/>
      <c r="BF218" s="1170"/>
      <c r="BG218" s="1170"/>
      <c r="BH218" s="1170"/>
      <c r="BI218" s="1170"/>
      <c r="BJ218" s="1170"/>
      <c r="BK218" s="1170"/>
      <c r="BL218" s="1170"/>
      <c r="BM218" s="1170"/>
      <c r="BN218" s="1170"/>
      <c r="BO218" s="1170"/>
      <c r="BP218" s="1170"/>
      <c r="BQ218" s="1170"/>
      <c r="BR218" s="1170"/>
      <c r="BS218" s="1170"/>
      <c r="BT218" s="1170"/>
      <c r="BU218" s="1170"/>
      <c r="BV218" s="1170"/>
      <c r="BW218" s="1186" t="str">
        <f>HydroRefineryCalcs!C621</f>
        <v>Vol Flow</v>
      </c>
      <c r="BX218" s="1170" t="str">
        <f ca="1">HydroRefineryCalcs!D621</f>
        <v>m^3/d</v>
      </c>
      <c r="BY218" s="1187">
        <f ca="1">HydroRefineryCalcs!J621</f>
        <v>2.7863890940658877E-17</v>
      </c>
      <c r="BZ218" s="1170"/>
      <c r="CA218" s="1170" t="s">
        <v>392</v>
      </c>
      <c r="CB218" s="1170"/>
      <c r="CC218" s="1170">
        <f ca="1">(BX205+AZ111+AZ155+AZ189+BS286)*$CC$222</f>
        <v>0</v>
      </c>
      <c r="CD218" s="1170"/>
      <c r="CE218" s="1170" t="s">
        <v>485</v>
      </c>
      <c r="CF218" s="1187">
        <f ca="1">'HydroRefinery Detailed Results'!J26</f>
        <v>2.8100308806267251E-16</v>
      </c>
      <c r="CG218" s="1187"/>
      <c r="CH218" s="1184"/>
      <c r="CI218" s="1184"/>
      <c r="CJ218" s="1170"/>
      <c r="CK218" s="1170"/>
      <c r="CL218" s="1170"/>
      <c r="CM218" s="1170"/>
      <c r="CN218" s="1170"/>
      <c r="CO218" s="1170"/>
      <c r="CP218" s="1160"/>
      <c r="CQ218" s="1160"/>
      <c r="CR218" s="1160"/>
      <c r="CS218" s="1160"/>
      <c r="CT218" s="1160"/>
      <c r="CU218" s="1160"/>
      <c r="CV218" s="1160"/>
      <c r="CW218" s="1160"/>
      <c r="CX218" s="1160"/>
      <c r="CY218" s="1160"/>
      <c r="CZ218" s="1171"/>
      <c r="DA218" s="1160"/>
      <c r="DB218" s="1160"/>
      <c r="DC218" s="1160"/>
      <c r="DD218" s="1160"/>
      <c r="DE218" s="1160"/>
      <c r="DF218" s="1160"/>
      <c r="DG218" s="1160"/>
      <c r="DH218" s="1160"/>
      <c r="DI218" s="1160"/>
      <c r="DJ218" s="1160"/>
      <c r="DK218" s="1160"/>
      <c r="DL218" s="1160"/>
      <c r="DM218" s="1171"/>
      <c r="DN218" s="1160"/>
      <c r="DO218" s="1160"/>
      <c r="DP218" s="1160"/>
      <c r="DQ218" s="1160"/>
      <c r="DR218" s="1160"/>
      <c r="DS218" s="1160"/>
      <c r="DT218" s="1160"/>
      <c r="DU218" s="1160"/>
      <c r="DV218" s="1160"/>
      <c r="DW218" s="1160"/>
      <c r="DX218" s="1160"/>
      <c r="DY218" s="1160"/>
      <c r="DZ218" s="1160"/>
      <c r="EA218" s="1160"/>
      <c r="EB218" s="1160"/>
      <c r="EC218" s="1160"/>
    </row>
    <row r="219" spans="1:133" x14ac:dyDescent="0.2">
      <c r="A219" s="1160"/>
      <c r="B219" s="1160"/>
      <c r="C219" s="1160"/>
      <c r="D219" s="1160"/>
      <c r="E219" s="1170"/>
      <c r="F219" s="1170"/>
      <c r="G219" s="1170"/>
      <c r="H219" s="1170"/>
      <c r="I219" s="1170"/>
      <c r="J219" s="1170"/>
      <c r="K219" s="1170"/>
      <c r="L219" s="1170"/>
      <c r="M219" s="1170"/>
      <c r="N219" s="1170"/>
      <c r="O219" s="1170"/>
      <c r="P219" s="1170"/>
      <c r="Q219" s="1170"/>
      <c r="R219" s="1170"/>
      <c r="S219" s="1170"/>
      <c r="T219" s="1170"/>
      <c r="U219" s="1170"/>
      <c r="V219" s="1170"/>
      <c r="W219" s="1170"/>
      <c r="X219" s="1170"/>
      <c r="Y219" s="1170"/>
      <c r="Z219" s="1170"/>
      <c r="AA219" s="1170"/>
      <c r="AB219" s="1170"/>
      <c r="AC219" s="1170"/>
      <c r="AD219" s="1170"/>
      <c r="AE219" s="1170"/>
      <c r="AF219" s="1170"/>
      <c r="AG219" s="1170"/>
      <c r="AH219" s="1170"/>
      <c r="AI219" s="1170"/>
      <c r="AJ219" s="1170"/>
      <c r="AK219" s="1170"/>
      <c r="AL219" s="1170"/>
      <c r="AM219" s="1170"/>
      <c r="AN219" s="1170"/>
      <c r="AO219" s="1170"/>
      <c r="AP219" s="1170"/>
      <c r="AQ219" s="1170"/>
      <c r="AR219" s="1170"/>
      <c r="AS219" s="1170"/>
      <c r="AT219" s="1170"/>
      <c r="AU219" s="1170"/>
      <c r="AV219" s="1170"/>
      <c r="AW219" s="1170"/>
      <c r="AX219" s="1170"/>
      <c r="AY219" s="1170"/>
      <c r="AZ219" s="1170"/>
      <c r="BA219" s="1170"/>
      <c r="BB219" s="1170"/>
      <c r="BC219" s="1170"/>
      <c r="BD219" s="1170"/>
      <c r="BE219" s="1170"/>
      <c r="BF219" s="1170"/>
      <c r="BG219" s="1170"/>
      <c r="BH219" s="1170"/>
      <c r="BI219" s="1170"/>
      <c r="BJ219" s="1170"/>
      <c r="BK219" s="1170"/>
      <c r="BL219" s="1170"/>
      <c r="BM219" s="1170"/>
      <c r="BN219" s="1170"/>
      <c r="BO219" s="1170"/>
      <c r="BP219" s="1170"/>
      <c r="BQ219" s="1170"/>
      <c r="BR219" s="1170"/>
      <c r="BS219" s="1170"/>
      <c r="BT219" s="1170"/>
      <c r="BU219" s="1170"/>
      <c r="BV219" s="1170"/>
      <c r="BW219" s="1186" t="str">
        <f>HydroRefineryCalcs!C622</f>
        <v>Mass Flow</v>
      </c>
      <c r="BX219" s="1170" t="str">
        <f>HydroRefineryCalcs!D622</f>
        <v>kg/d</v>
      </c>
      <c r="BY219" s="1187">
        <f ca="1">HydroRefineryCalcs!J622</f>
        <v>2.5356140755999578E-14</v>
      </c>
      <c r="BZ219" s="1170"/>
      <c r="CA219" s="1170" t="s">
        <v>224</v>
      </c>
      <c r="CB219" s="1170"/>
      <c r="CC219" s="1170">
        <f ca="1">(BX206+AZ112+AZ156+AZ190+BS287)*$CC$222</f>
        <v>2.246411446961795E-12</v>
      </c>
      <c r="CD219" s="1170"/>
      <c r="CE219" s="1170" t="s">
        <v>541</v>
      </c>
      <c r="CF219" s="1187">
        <f>'HydroRefinery Detailed Results'!L26</f>
        <v>0</v>
      </c>
      <c r="CG219" s="1187"/>
      <c r="CH219" s="1170"/>
      <c r="CI219" s="1170"/>
      <c r="CJ219" s="1170"/>
      <c r="CK219" s="1170"/>
      <c r="CL219" s="1170"/>
      <c r="CM219" s="1170"/>
      <c r="CN219" s="1170"/>
      <c r="CO219" s="1170"/>
      <c r="CP219" s="1160"/>
      <c r="CQ219" s="1160"/>
      <c r="CR219" s="1160"/>
      <c r="CS219" s="1160"/>
      <c r="CT219" s="1160"/>
      <c r="CU219" s="1160"/>
      <c r="CV219" s="1160"/>
      <c r="CW219" s="1160"/>
      <c r="CX219" s="1160"/>
      <c r="CY219" s="1160"/>
      <c r="CZ219" s="1171"/>
      <c r="DA219" s="1160"/>
      <c r="DB219" s="1160"/>
      <c r="DC219" s="1160"/>
      <c r="DD219" s="1160"/>
      <c r="DE219" s="1160"/>
      <c r="DF219" s="1160"/>
      <c r="DG219" s="1160"/>
      <c r="DH219" s="1160"/>
      <c r="DI219" s="1160"/>
      <c r="DJ219" s="1160"/>
      <c r="DK219" s="1160"/>
      <c r="DL219" s="1160"/>
      <c r="DM219" s="1171"/>
      <c r="DN219" s="1160"/>
      <c r="DO219" s="1160"/>
      <c r="DP219" s="1160"/>
      <c r="DQ219" s="1160"/>
      <c r="DR219" s="1160"/>
      <c r="DS219" s="1160"/>
      <c r="DT219" s="1160"/>
      <c r="DU219" s="1160"/>
      <c r="DV219" s="1160"/>
      <c r="DW219" s="1160"/>
      <c r="DX219" s="1160"/>
      <c r="DY219" s="1160"/>
      <c r="DZ219" s="1160"/>
      <c r="EA219" s="1160"/>
      <c r="EB219" s="1160"/>
      <c r="EC219" s="1160"/>
    </row>
    <row r="220" spans="1:133" x14ac:dyDescent="0.2">
      <c r="A220" s="1160"/>
      <c r="B220" s="1160"/>
      <c r="C220" s="1160"/>
      <c r="D220" s="1160"/>
      <c r="E220" s="1170"/>
      <c r="F220" s="1170"/>
      <c r="G220" s="1170"/>
      <c r="H220" s="1170"/>
      <c r="I220" s="1170"/>
      <c r="J220" s="1170"/>
      <c r="K220" s="1170"/>
      <c r="L220" s="1170"/>
      <c r="M220" s="1170"/>
      <c r="N220" s="1170"/>
      <c r="O220" s="1170"/>
      <c r="P220" s="1170"/>
      <c r="Q220" s="1170"/>
      <c r="R220" s="1170"/>
      <c r="S220" s="1170"/>
      <c r="T220" s="1170"/>
      <c r="U220" s="1170"/>
      <c r="V220" s="1170"/>
      <c r="W220" s="1170"/>
      <c r="X220" s="1170"/>
      <c r="Y220" s="1170"/>
      <c r="Z220" s="1170"/>
      <c r="AA220" s="1170"/>
      <c r="AB220" s="1170"/>
      <c r="AC220" s="1170"/>
      <c r="AD220" s="1170"/>
      <c r="AE220" s="1170"/>
      <c r="AF220" s="1170"/>
      <c r="AG220" s="1170"/>
      <c r="AH220" s="1170"/>
      <c r="AI220" s="1170"/>
      <c r="AJ220" s="1170"/>
      <c r="AK220" s="1170"/>
      <c r="AL220" s="1170"/>
      <c r="AM220" s="1170"/>
      <c r="AN220" s="1170"/>
      <c r="AO220" s="1170"/>
      <c r="AP220" s="1170"/>
      <c r="AQ220" s="1170"/>
      <c r="AR220" s="1170"/>
      <c r="AS220" s="1170"/>
      <c r="AT220" s="1170"/>
      <c r="AU220" s="1170"/>
      <c r="AV220" s="1170"/>
      <c r="AW220" s="1170"/>
      <c r="AX220" s="1170"/>
      <c r="AY220" s="1170"/>
      <c r="AZ220" s="1170"/>
      <c r="BA220" s="1170"/>
      <c r="BB220" s="1170"/>
      <c r="BC220" s="1170"/>
      <c r="BD220" s="1170"/>
      <c r="BE220" s="1170"/>
      <c r="BF220" s="1170"/>
      <c r="BG220" s="1170"/>
      <c r="BH220" s="1170"/>
      <c r="BI220" s="1170"/>
      <c r="BJ220" s="1170"/>
      <c r="BK220" s="1170"/>
      <c r="BL220" s="1170"/>
      <c r="BM220" s="1170"/>
      <c r="BN220" s="1170"/>
      <c r="BO220" s="1170"/>
      <c r="BP220" s="1170"/>
      <c r="BQ220" s="1170"/>
      <c r="BR220" s="1170"/>
      <c r="BS220" s="1170"/>
      <c r="BT220" s="1170"/>
      <c r="BU220" s="1170"/>
      <c r="BV220" s="1170"/>
      <c r="BW220" s="1186" t="str">
        <f>HydroRefineryCalcs!C623</f>
        <v xml:space="preserve">Sulphur </v>
      </c>
      <c r="BX220" s="1170" t="str">
        <f ca="1">HydroRefineryCalcs!D623</f>
        <v>wt%</v>
      </c>
      <c r="BY220" s="1170">
        <f ca="1">HydroRefineryCalcs!J623</f>
        <v>0</v>
      </c>
      <c r="BZ220" s="1170"/>
      <c r="CA220" s="1170" t="s">
        <v>485</v>
      </c>
      <c r="CB220" s="1170"/>
      <c r="CC220" s="1170">
        <f ca="1">(BX207+AZ113+AZ157+AZ191+BS288)*$CC$222</f>
        <v>1.7738658946554554E-13</v>
      </c>
      <c r="CD220" s="1170"/>
      <c r="CE220" s="1170"/>
      <c r="CF220" s="1187"/>
      <c r="CG220" s="1187"/>
      <c r="CH220" s="1170"/>
      <c r="CI220" s="1170"/>
      <c r="CJ220" s="1170"/>
      <c r="CK220" s="1170"/>
      <c r="CL220" s="1170"/>
      <c r="CM220" s="1170"/>
      <c r="CN220" s="1170"/>
      <c r="CO220" s="1170"/>
      <c r="CP220" s="1160"/>
      <c r="CQ220" s="1160"/>
      <c r="CR220" s="1160"/>
      <c r="CS220" s="1160"/>
      <c r="CT220" s="1160"/>
      <c r="CU220" s="1160"/>
      <c r="CV220" s="1160"/>
      <c r="CW220" s="1160"/>
      <c r="CX220" s="1160"/>
      <c r="CY220" s="1160"/>
      <c r="CZ220" s="1171"/>
      <c r="DA220" s="1160"/>
      <c r="DB220" s="1160"/>
      <c r="DC220" s="1160"/>
      <c r="DD220" s="1160"/>
      <c r="DE220" s="1160"/>
      <c r="DF220" s="1160"/>
      <c r="DG220" s="1160"/>
      <c r="DH220" s="1160"/>
      <c r="DI220" s="1160"/>
      <c r="DJ220" s="1160"/>
      <c r="DK220" s="1160"/>
      <c r="DL220" s="1160"/>
      <c r="DM220" s="1171"/>
      <c r="DN220" s="1160"/>
      <c r="DO220" s="1160"/>
      <c r="DP220" s="1160"/>
      <c r="DQ220" s="1160"/>
      <c r="DR220" s="1160"/>
      <c r="DS220" s="1160"/>
      <c r="DT220" s="1160"/>
      <c r="DU220" s="1160"/>
      <c r="DV220" s="1160"/>
      <c r="DW220" s="1160"/>
      <c r="DX220" s="1160"/>
      <c r="DY220" s="1160"/>
      <c r="DZ220" s="1160"/>
      <c r="EA220" s="1160"/>
      <c r="EB220" s="1160"/>
      <c r="EC220" s="1160"/>
    </row>
    <row r="221" spans="1:133" x14ac:dyDescent="0.2">
      <c r="A221" s="1160"/>
      <c r="B221" s="1160"/>
      <c r="C221" s="1160"/>
      <c r="D221" s="1160"/>
      <c r="E221" s="1170"/>
      <c r="F221" s="1170"/>
      <c r="G221" s="1170"/>
      <c r="H221" s="1170"/>
      <c r="I221" s="1170"/>
      <c r="J221" s="1170"/>
      <c r="K221" s="1170"/>
      <c r="L221" s="1170"/>
      <c r="M221" s="1170"/>
      <c r="N221" s="1170"/>
      <c r="O221" s="1170"/>
      <c r="P221" s="1170"/>
      <c r="Q221" s="1170"/>
      <c r="R221" s="1170"/>
      <c r="S221" s="1170"/>
      <c r="T221" s="1170"/>
      <c r="U221" s="1170"/>
      <c r="V221" s="1170"/>
      <c r="W221" s="1170"/>
      <c r="X221" s="1170"/>
      <c r="Y221" s="1170"/>
      <c r="Z221" s="1170"/>
      <c r="AA221" s="1170"/>
      <c r="AB221" s="1170"/>
      <c r="AC221" s="1170"/>
      <c r="AD221" s="1170"/>
      <c r="AE221" s="1170"/>
      <c r="AF221" s="1170"/>
      <c r="AG221" s="1170"/>
      <c r="AH221" s="1170"/>
      <c r="AI221" s="1170"/>
      <c r="AJ221" s="1170"/>
      <c r="AK221" s="1170"/>
      <c r="AL221" s="1170"/>
      <c r="AM221" s="1170"/>
      <c r="AN221" s="1170"/>
      <c r="AO221" s="1170"/>
      <c r="AP221" s="1170"/>
      <c r="AQ221" s="1170"/>
      <c r="AR221" s="1170"/>
      <c r="AS221" s="1170"/>
      <c r="AT221" s="1170"/>
      <c r="AU221" s="1170"/>
      <c r="AV221" s="1170"/>
      <c r="AW221" s="1170"/>
      <c r="AX221" s="1170"/>
      <c r="AY221" s="1170"/>
      <c r="AZ221" s="1170"/>
      <c r="BA221" s="1170"/>
      <c r="BB221" s="1170"/>
      <c r="BC221" s="1170"/>
      <c r="BD221" s="1170"/>
      <c r="BE221" s="1170"/>
      <c r="BF221" s="1170"/>
      <c r="BG221" s="1170"/>
      <c r="BH221" s="1170"/>
      <c r="BI221" s="1170"/>
      <c r="BJ221" s="1170"/>
      <c r="BK221" s="1170"/>
      <c r="BL221" s="1170"/>
      <c r="BM221" s="1170"/>
      <c r="BN221" s="1170"/>
      <c r="BO221" s="1170"/>
      <c r="BP221" s="1170"/>
      <c r="BQ221" s="1170"/>
      <c r="BR221" s="1170"/>
      <c r="BS221" s="1170"/>
      <c r="BT221" s="1170"/>
      <c r="BU221" s="1170"/>
      <c r="BV221" s="1170"/>
      <c r="BW221" s="1186" t="str">
        <f>HydroRefineryCalcs!C625</f>
        <v xml:space="preserve">API gravity </v>
      </c>
      <c r="BX221" s="1170"/>
      <c r="BY221" s="1187">
        <f>HydroRefineryCalcs!J625</f>
        <v>23.994505494505489</v>
      </c>
      <c r="BZ221" s="1170"/>
      <c r="CA221" s="1170" t="s">
        <v>541</v>
      </c>
      <c r="CB221" s="1170"/>
      <c r="CC221" s="1170">
        <f ca="1">(BX208+AZ114+AZ158+AZ192+BS289)*$CC$222</f>
        <v>1.6318743724949227E-14</v>
      </c>
      <c r="CD221" s="1170"/>
      <c r="CE221" s="1170"/>
      <c r="CF221" s="1170"/>
      <c r="CG221" s="1170"/>
      <c r="CH221" s="1170"/>
      <c r="CI221" s="1170"/>
      <c r="CJ221" s="1170"/>
      <c r="CK221" s="1170"/>
      <c r="CL221" s="1170"/>
      <c r="CM221" s="1170"/>
      <c r="CN221" s="1170"/>
      <c r="CO221" s="1170"/>
      <c r="CP221" s="1160"/>
      <c r="CQ221" s="1160"/>
      <c r="CR221" s="1160"/>
      <c r="CS221" s="1160"/>
      <c r="CT221" s="1160"/>
      <c r="CU221" s="1160"/>
      <c r="CV221" s="1160"/>
      <c r="CW221" s="1160"/>
      <c r="CX221" s="1160"/>
      <c r="CY221" s="1160"/>
      <c r="CZ221" s="1171"/>
      <c r="DA221" s="1160"/>
      <c r="DB221" s="1160"/>
      <c r="DC221" s="1160"/>
      <c r="DD221" s="1160"/>
      <c r="DE221" s="1160"/>
      <c r="DF221" s="1160"/>
      <c r="DG221" s="1160"/>
      <c r="DH221" s="1160"/>
      <c r="DI221" s="1160"/>
      <c r="DJ221" s="1160"/>
      <c r="DK221" s="1160"/>
      <c r="DL221" s="1160"/>
      <c r="DM221" s="1171"/>
      <c r="DN221" s="1160"/>
      <c r="DO221" s="1160"/>
      <c r="DP221" s="1160"/>
      <c r="DQ221" s="1160"/>
      <c r="DR221" s="1160"/>
      <c r="DS221" s="1160"/>
      <c r="DT221" s="1160"/>
      <c r="DU221" s="1160"/>
      <c r="DV221" s="1160"/>
      <c r="DW221" s="1160"/>
      <c r="DX221" s="1160"/>
      <c r="DY221" s="1160"/>
      <c r="DZ221" s="1160"/>
      <c r="EA221" s="1160"/>
      <c r="EB221" s="1160"/>
      <c r="EC221" s="1160"/>
    </row>
    <row r="222" spans="1:133" x14ac:dyDescent="0.2">
      <c r="A222" s="1160"/>
      <c r="B222" s="1160"/>
      <c r="C222" s="1160"/>
      <c r="D222" s="1160"/>
      <c r="E222" s="1170"/>
      <c r="F222" s="1170"/>
      <c r="G222" s="1170"/>
      <c r="H222" s="1170"/>
      <c r="I222" s="1170"/>
      <c r="J222" s="1170"/>
      <c r="K222" s="1170"/>
      <c r="L222" s="1170"/>
      <c r="M222" s="1170"/>
      <c r="N222" s="1170"/>
      <c r="O222" s="1170"/>
      <c r="P222" s="1170"/>
      <c r="Q222" s="1170"/>
      <c r="R222" s="1170"/>
      <c r="S222" s="1170"/>
      <c r="T222" s="1170"/>
      <c r="U222" s="1170"/>
      <c r="V222" s="1170"/>
      <c r="W222" s="1170"/>
      <c r="X222" s="1170"/>
      <c r="Y222" s="1170"/>
      <c r="Z222" s="1170"/>
      <c r="AA222" s="1170"/>
      <c r="AB222" s="1170"/>
      <c r="AC222" s="1170"/>
      <c r="AD222" s="1170"/>
      <c r="AE222" s="1170"/>
      <c r="AF222" s="1170"/>
      <c r="AG222" s="1170"/>
      <c r="AH222" s="1170"/>
      <c r="AI222" s="1170"/>
      <c r="AJ222" s="1170"/>
      <c r="AK222" s="1170"/>
      <c r="AL222" s="1170"/>
      <c r="AM222" s="1170"/>
      <c r="AN222" s="1170"/>
      <c r="AO222" s="1170"/>
      <c r="AP222" s="1170"/>
      <c r="AQ222" s="1170"/>
      <c r="AR222" s="1170"/>
      <c r="AS222" s="1170"/>
      <c r="AT222" s="1170"/>
      <c r="AU222" s="1170"/>
      <c r="AV222" s="1170"/>
      <c r="AW222" s="1170"/>
      <c r="AX222" s="1170"/>
      <c r="AY222" s="1170"/>
      <c r="AZ222" s="1170"/>
      <c r="BA222" s="1170"/>
      <c r="BB222" s="1170"/>
      <c r="BC222" s="1170"/>
      <c r="BD222" s="1170"/>
      <c r="BE222" s="1170"/>
      <c r="BF222" s="1170"/>
      <c r="BG222" s="1170"/>
      <c r="BH222" s="1170"/>
      <c r="BI222" s="1170"/>
      <c r="BJ222" s="1170"/>
      <c r="BK222" s="1170"/>
      <c r="BL222" s="1170"/>
      <c r="BM222" s="1170"/>
      <c r="BN222" s="1170"/>
      <c r="BO222" s="1170"/>
      <c r="BP222" s="1170"/>
      <c r="BQ222" s="1170"/>
      <c r="BR222" s="1170"/>
      <c r="BS222" s="1170"/>
      <c r="BT222" s="1170"/>
      <c r="BU222" s="1170"/>
      <c r="BV222" s="1170"/>
      <c r="BW222" s="1186" t="str">
        <f>HydroRefineryCalcs!C626</f>
        <v>Density</v>
      </c>
      <c r="BX222" s="1170" t="str">
        <f ca="1">HydroRefineryCalcs!D626</f>
        <v>kg/m^3</v>
      </c>
      <c r="BY222" s="1187">
        <f>HydroRefineryCalcs!J626</f>
        <v>910</v>
      </c>
      <c r="BZ222" s="1170"/>
      <c r="CA222" s="1180" t="s">
        <v>1066</v>
      </c>
      <c r="CB222" s="1170"/>
      <c r="CC222" s="1170">
        <f ca="1">IF('HydroRefineryPFD '!E27=TRUE,CC223,1)</f>
        <v>1</v>
      </c>
      <c r="CD222" s="1170"/>
      <c r="CE222" s="1170"/>
      <c r="CF222" s="1170"/>
      <c r="CG222" s="1170"/>
      <c r="CH222" s="1170"/>
      <c r="CI222" s="1170"/>
      <c r="CJ222" s="1170"/>
      <c r="CK222" s="1170"/>
      <c r="CL222" s="1170"/>
      <c r="CM222" s="1170"/>
      <c r="CN222" s="1170"/>
      <c r="CO222" s="1170"/>
      <c r="CP222" s="1160"/>
      <c r="CQ222" s="1160"/>
      <c r="CR222" s="1160"/>
      <c r="CS222" s="1160"/>
      <c r="CT222" s="1160"/>
      <c r="CU222" s="1160"/>
      <c r="CV222" s="1160"/>
      <c r="CW222" s="1160"/>
      <c r="CX222" s="1160"/>
      <c r="CY222" s="1160"/>
      <c r="CZ222" s="1171"/>
      <c r="DA222" s="1160"/>
      <c r="DB222" s="1160"/>
      <c r="DC222" s="1160"/>
      <c r="DD222" s="1160"/>
      <c r="DE222" s="1160"/>
      <c r="DF222" s="1160"/>
      <c r="DG222" s="1160"/>
      <c r="DH222" s="1160"/>
      <c r="DI222" s="1160"/>
      <c r="DJ222" s="1160"/>
      <c r="DK222" s="1160"/>
      <c r="DL222" s="1160"/>
      <c r="DM222" s="1171"/>
      <c r="DN222" s="1160"/>
      <c r="DO222" s="1160"/>
      <c r="DP222" s="1160"/>
      <c r="DQ222" s="1160"/>
      <c r="DR222" s="1160"/>
      <c r="DS222" s="1160"/>
      <c r="DT222" s="1160"/>
      <c r="DU222" s="1160"/>
      <c r="DV222" s="1160"/>
      <c r="DW222" s="1160"/>
      <c r="DX222" s="1160"/>
      <c r="DY222" s="1160"/>
      <c r="DZ222" s="1160"/>
      <c r="EA222" s="1160"/>
      <c r="EB222" s="1160"/>
      <c r="EC222" s="1160"/>
    </row>
    <row r="223" spans="1:133" x14ac:dyDescent="0.2">
      <c r="A223" s="1160"/>
      <c r="B223" s="1160"/>
      <c r="C223" s="1160"/>
      <c r="D223" s="1160"/>
      <c r="E223" s="1170"/>
      <c r="F223" s="1170"/>
      <c r="G223" s="1170"/>
      <c r="H223" s="1170"/>
      <c r="I223" s="1170"/>
      <c r="J223" s="1170"/>
      <c r="K223" s="1170"/>
      <c r="L223" s="1170"/>
      <c r="M223" s="1170"/>
      <c r="N223" s="1170"/>
      <c r="O223" s="1170"/>
      <c r="P223" s="1170"/>
      <c r="Q223" s="1170"/>
      <c r="R223" s="1170"/>
      <c r="S223" s="1170"/>
      <c r="T223" s="1170"/>
      <c r="U223" s="1170"/>
      <c r="V223" s="1170"/>
      <c r="W223" s="1170"/>
      <c r="X223" s="1170"/>
      <c r="Y223" s="1170"/>
      <c r="Z223" s="1170"/>
      <c r="AA223" s="1170"/>
      <c r="AB223" s="1170"/>
      <c r="AC223" s="1170"/>
      <c r="AD223" s="1170"/>
      <c r="AE223" s="1170"/>
      <c r="AF223" s="1170"/>
      <c r="AG223" s="1170"/>
      <c r="AH223" s="1170"/>
      <c r="AI223" s="1170"/>
      <c r="AJ223" s="1170"/>
      <c r="AK223" s="1170"/>
      <c r="AL223" s="1170"/>
      <c r="AM223" s="1170"/>
      <c r="AN223" s="1170"/>
      <c r="AO223" s="1170"/>
      <c r="AP223" s="1170"/>
      <c r="AQ223" s="1170"/>
      <c r="AR223" s="1170"/>
      <c r="AS223" s="1170"/>
      <c r="AT223" s="1170"/>
      <c r="AU223" s="1170"/>
      <c r="AV223" s="1170"/>
      <c r="AW223" s="1170"/>
      <c r="AX223" s="1170"/>
      <c r="AY223" s="1170"/>
      <c r="AZ223" s="1170"/>
      <c r="BA223" s="1170"/>
      <c r="BB223" s="1170"/>
      <c r="BC223" s="1170"/>
      <c r="BD223" s="1170"/>
      <c r="BE223" s="1170"/>
      <c r="BF223" s="1170"/>
      <c r="BG223" s="1170"/>
      <c r="BH223" s="1170"/>
      <c r="BI223" s="1170"/>
      <c r="BJ223" s="1170"/>
      <c r="BK223" s="1170"/>
      <c r="BL223" s="1170"/>
      <c r="BM223" s="1170"/>
      <c r="BN223" s="1170"/>
      <c r="BO223" s="1170"/>
      <c r="BP223" s="1170"/>
      <c r="BQ223" s="1170"/>
      <c r="BR223" s="1170"/>
      <c r="BS223" s="1170"/>
      <c r="BT223" s="1170"/>
      <c r="BU223" s="1170"/>
      <c r="BV223" s="1170"/>
      <c r="BW223" s="1186" t="str">
        <f>HydroRefineryCalcs!C627</f>
        <v>Hydrogen</v>
      </c>
      <c r="BX223" s="1170" t="str">
        <f ca="1">HydroRefineryCalcs!D627</f>
        <v>wt%</v>
      </c>
      <c r="BY223" s="1170">
        <f ca="1">HydroRefineryCalcs!J627</f>
        <v>12.5</v>
      </c>
      <c r="BZ223" s="1170"/>
      <c r="CA223" s="1180" t="s">
        <v>1065</v>
      </c>
      <c r="CB223" s="1170"/>
      <c r="CC223" s="1170">
        <f ca="1">BY227/(BY227+BY196)</f>
        <v>1</v>
      </c>
      <c r="CD223" s="1170"/>
      <c r="CE223" s="1170"/>
      <c r="CF223" s="1170"/>
      <c r="CG223" s="1170"/>
      <c r="CH223" s="1170"/>
      <c r="CI223" s="1170"/>
      <c r="CJ223" s="1170"/>
      <c r="CK223" s="1170"/>
      <c r="CL223" s="1170"/>
      <c r="CM223" s="1170"/>
      <c r="CN223" s="1170"/>
      <c r="CO223" s="1170"/>
      <c r="CP223" s="1160"/>
      <c r="CQ223" s="1160"/>
      <c r="CR223" s="1160"/>
      <c r="CS223" s="1160"/>
      <c r="CT223" s="1160"/>
      <c r="CU223" s="1160"/>
      <c r="CV223" s="1160"/>
      <c r="CW223" s="1160"/>
      <c r="CX223" s="1160"/>
      <c r="CY223" s="1160"/>
      <c r="CZ223" s="1171"/>
      <c r="DA223" s="1160"/>
      <c r="DB223" s="1160"/>
      <c r="DC223" s="1160"/>
      <c r="DD223" s="1160"/>
      <c r="DE223" s="1160"/>
      <c r="DF223" s="1160"/>
      <c r="DG223" s="1160"/>
      <c r="DH223" s="1160"/>
      <c r="DI223" s="1160"/>
      <c r="DJ223" s="1160"/>
      <c r="DK223" s="1160"/>
      <c r="DL223" s="1160"/>
      <c r="DM223" s="1171"/>
      <c r="DN223" s="1160"/>
      <c r="DO223" s="1160"/>
      <c r="DP223" s="1160"/>
      <c r="DQ223" s="1160"/>
      <c r="DR223" s="1160"/>
      <c r="DS223" s="1160"/>
      <c r="DT223" s="1160"/>
      <c r="DU223" s="1160"/>
      <c r="DV223" s="1160"/>
      <c r="DW223" s="1160"/>
      <c r="DX223" s="1160"/>
      <c r="DY223" s="1160"/>
      <c r="DZ223" s="1160"/>
      <c r="EA223" s="1160"/>
      <c r="EB223" s="1160"/>
      <c r="EC223" s="1160"/>
    </row>
    <row r="224" spans="1:133" x14ac:dyDescent="0.2">
      <c r="A224" s="1160"/>
      <c r="B224" s="1160"/>
      <c r="C224" s="1160"/>
      <c r="D224" s="1160"/>
      <c r="E224" s="1170"/>
      <c r="F224" s="1170"/>
      <c r="G224" s="1170"/>
      <c r="H224" s="1170"/>
      <c r="I224" s="1170"/>
      <c r="J224" s="1170"/>
      <c r="K224" s="1170"/>
      <c r="L224" s="1170"/>
      <c r="M224" s="1170"/>
      <c r="N224" s="1170"/>
      <c r="O224" s="1170"/>
      <c r="P224" s="1170"/>
      <c r="Q224" s="1170"/>
      <c r="R224" s="1170"/>
      <c r="S224" s="1170"/>
      <c r="T224" s="1170"/>
      <c r="U224" s="1170"/>
      <c r="V224" s="1170"/>
      <c r="W224" s="1170"/>
      <c r="X224" s="1170"/>
      <c r="Y224" s="1170"/>
      <c r="Z224" s="1170"/>
      <c r="AA224" s="1170"/>
      <c r="AB224" s="1170"/>
      <c r="AC224" s="1170"/>
      <c r="AD224" s="1170"/>
      <c r="AE224" s="1170"/>
      <c r="AF224" s="1170"/>
      <c r="AG224" s="1170"/>
      <c r="AH224" s="1170"/>
      <c r="AI224" s="1170"/>
      <c r="AJ224" s="1170"/>
      <c r="AK224" s="1170"/>
      <c r="AL224" s="1170"/>
      <c r="AM224" s="1170"/>
      <c r="AN224" s="1170"/>
      <c r="AO224" s="1170"/>
      <c r="AP224" s="1170"/>
      <c r="AQ224" s="1170"/>
      <c r="AR224" s="1170"/>
      <c r="AS224" s="1170"/>
      <c r="AT224" s="1170"/>
      <c r="AU224" s="1170"/>
      <c r="AV224" s="1170"/>
      <c r="AW224" s="1170"/>
      <c r="AX224" s="1170"/>
      <c r="AY224" s="1170"/>
      <c r="AZ224" s="1170"/>
      <c r="BA224" s="1170"/>
      <c r="BB224" s="1170"/>
      <c r="BC224" s="1170"/>
      <c r="BD224" s="1170"/>
      <c r="BE224" s="1170"/>
      <c r="BF224" s="1170"/>
      <c r="BG224" s="1170"/>
      <c r="BH224" s="1170"/>
      <c r="BI224" s="1170"/>
      <c r="BJ224" s="1170"/>
      <c r="BK224" s="1170"/>
      <c r="BL224" s="1170"/>
      <c r="BM224" s="1170"/>
      <c r="BN224" s="1170"/>
      <c r="BO224" s="1170"/>
      <c r="BP224" s="1170"/>
      <c r="BQ224" s="1170"/>
      <c r="BR224" s="1170"/>
      <c r="BS224" s="1170"/>
      <c r="BT224" s="1170"/>
      <c r="BU224" s="1184"/>
      <c r="BV224" s="1184"/>
      <c r="BW224" s="1186" t="str">
        <f>HydroRefineryCalcs!C628</f>
        <v>MCR</v>
      </c>
      <c r="BX224" s="1170" t="str">
        <f ca="1">HydroRefineryCalcs!D628</f>
        <v>wt%</v>
      </c>
      <c r="BY224" s="1170">
        <f>HydroRefineryCalcs!J628</f>
        <v>0</v>
      </c>
      <c r="BZ224" s="1170"/>
      <c r="CA224" s="1239" t="s">
        <v>228</v>
      </c>
      <c r="CB224" s="1170"/>
      <c r="CC224" s="1170">
        <f ca="1">+BY219/(BT197+BX211)</f>
        <v>1.1268049649075518</v>
      </c>
      <c r="CD224" s="1170"/>
      <c r="CE224" s="1170"/>
      <c r="CF224" s="1170"/>
      <c r="CG224" s="1170"/>
      <c r="CH224" s="1170"/>
      <c r="CI224" s="1170"/>
      <c r="CJ224" s="1170"/>
      <c r="CK224" s="1170"/>
      <c r="CL224" s="1170"/>
      <c r="CM224" s="1170"/>
      <c r="CN224" s="1170"/>
      <c r="CO224" s="1170"/>
      <c r="CP224" s="1160"/>
      <c r="CQ224" s="1160"/>
      <c r="CR224" s="1160"/>
      <c r="CS224" s="1160"/>
      <c r="CT224" s="1160"/>
      <c r="CU224" s="1160"/>
      <c r="CV224" s="1160"/>
      <c r="CW224" s="1160"/>
      <c r="CX224" s="1160"/>
      <c r="CY224" s="1160"/>
      <c r="CZ224" s="1171"/>
      <c r="DA224" s="1160"/>
      <c r="DB224" s="1160"/>
      <c r="DC224" s="1160"/>
      <c r="DD224" s="1160"/>
      <c r="DE224" s="1160"/>
      <c r="DF224" s="1160"/>
      <c r="DG224" s="1160"/>
      <c r="DH224" s="1160"/>
      <c r="DI224" s="1160"/>
      <c r="DJ224" s="1160"/>
      <c r="DK224" s="1160"/>
      <c r="DL224" s="1160"/>
      <c r="DM224" s="1171"/>
      <c r="DN224" s="1160"/>
      <c r="DO224" s="1160"/>
      <c r="DP224" s="1160"/>
      <c r="DQ224" s="1160"/>
      <c r="DR224" s="1160"/>
      <c r="DS224" s="1160"/>
      <c r="DT224" s="1160"/>
      <c r="DU224" s="1160"/>
      <c r="DV224" s="1160"/>
      <c r="DW224" s="1160"/>
      <c r="DX224" s="1160"/>
      <c r="DY224" s="1160"/>
      <c r="DZ224" s="1160"/>
      <c r="EA224" s="1160"/>
      <c r="EB224" s="1160"/>
      <c r="EC224" s="1160"/>
    </row>
    <row r="225" spans="1:133" x14ac:dyDescent="0.2">
      <c r="A225" s="1160"/>
      <c r="B225" s="1160"/>
      <c r="C225" s="1160"/>
      <c r="D225" s="1160"/>
      <c r="E225" s="1170"/>
      <c r="F225" s="1170"/>
      <c r="G225" s="1170"/>
      <c r="H225" s="1170"/>
      <c r="I225" s="1170"/>
      <c r="J225" s="1170"/>
      <c r="K225" s="1170"/>
      <c r="L225" s="1170"/>
      <c r="M225" s="1170"/>
      <c r="N225" s="1170"/>
      <c r="O225" s="1170"/>
      <c r="P225" s="1170"/>
      <c r="Q225" s="1170"/>
      <c r="R225" s="1170"/>
      <c r="S225" s="1170"/>
      <c r="T225" s="1170"/>
      <c r="U225" s="1170"/>
      <c r="V225" s="1170"/>
      <c r="W225" s="1170"/>
      <c r="X225" s="1170"/>
      <c r="Y225" s="1170"/>
      <c r="Z225" s="1170"/>
      <c r="AA225" s="1170"/>
      <c r="AB225" s="1170"/>
      <c r="AC225" s="1170"/>
      <c r="AD225" s="1170"/>
      <c r="AE225" s="1170"/>
      <c r="AF225" s="1170"/>
      <c r="AG225" s="1170"/>
      <c r="AH225" s="1170"/>
      <c r="AI225" s="1170"/>
      <c r="AJ225" s="1170"/>
      <c r="AK225" s="1170"/>
      <c r="AL225" s="1170"/>
      <c r="AM225" s="1170"/>
      <c r="AN225" s="1170"/>
      <c r="AO225" s="1170"/>
      <c r="AP225" s="1170"/>
      <c r="AQ225" s="1170"/>
      <c r="AR225" s="1170"/>
      <c r="AS225" s="1170"/>
      <c r="AT225" s="1170"/>
      <c r="AU225" s="1170"/>
      <c r="AV225" s="1170"/>
      <c r="AW225" s="1170"/>
      <c r="AX225" s="1170"/>
      <c r="AY225" s="1170"/>
      <c r="AZ225" s="1170"/>
      <c r="BA225" s="1170"/>
      <c r="BB225" s="1170"/>
      <c r="BC225" s="1170"/>
      <c r="BD225" s="1170"/>
      <c r="BE225" s="1170"/>
      <c r="BF225" s="1170"/>
      <c r="BG225" s="1170"/>
      <c r="BH225" s="1170"/>
      <c r="BI225" s="1170"/>
      <c r="BJ225" s="1170"/>
      <c r="BK225" s="1170"/>
      <c r="BL225" s="1170"/>
      <c r="BM225" s="1170"/>
      <c r="BN225" s="1170"/>
      <c r="BO225" s="1170"/>
      <c r="BP225" s="1170"/>
      <c r="BQ225" s="1170"/>
      <c r="BR225" s="1170"/>
      <c r="BS225" s="1170"/>
      <c r="BT225" s="1170"/>
      <c r="BU225" s="1170"/>
      <c r="BV225" s="1170"/>
      <c r="BW225" s="1186" t="s">
        <v>1698</v>
      </c>
      <c r="BX225" s="1199" t="s">
        <v>447</v>
      </c>
      <c r="BY225" s="1199">
        <f>('Energy &amp; Unit Conversions'!$D$63-('Energy &amp; Unit Conversions'!$E$63*POWER((BY222/'Energy &amp; Unit Conversions'!$E$54),2)))</f>
        <v>40.121385842488429</v>
      </c>
      <c r="BZ225" s="1170"/>
      <c r="CA225" s="1170"/>
      <c r="CB225" s="1170"/>
      <c r="CC225" s="1170"/>
      <c r="CD225" s="1170"/>
      <c r="CE225" s="1170"/>
      <c r="CF225" s="1170"/>
      <c r="CG225" s="1170"/>
      <c r="CH225" s="1170"/>
      <c r="CI225" s="1170"/>
      <c r="CJ225" s="1170"/>
      <c r="CK225" s="1170"/>
      <c r="CL225" s="1170"/>
      <c r="CM225" s="1170"/>
      <c r="CN225" s="1170"/>
      <c r="CO225" s="1170"/>
      <c r="CP225" s="1160"/>
      <c r="CQ225" s="1160"/>
      <c r="CR225" s="1160"/>
      <c r="CS225" s="1160"/>
      <c r="CT225" s="1160"/>
      <c r="CU225" s="1160"/>
      <c r="CV225" s="1160"/>
      <c r="CW225" s="1160"/>
      <c r="CX225" s="1160"/>
      <c r="CY225" s="1160"/>
      <c r="CZ225" s="1171"/>
      <c r="DA225" s="1160"/>
      <c r="DB225" s="1160"/>
      <c r="DC225" s="1160"/>
      <c r="DD225" s="1160"/>
      <c r="DE225" s="1160"/>
      <c r="DF225" s="1160"/>
      <c r="DG225" s="1160"/>
      <c r="DH225" s="1160"/>
      <c r="DI225" s="1160"/>
      <c r="DJ225" s="1160"/>
      <c r="DK225" s="1160"/>
      <c r="DL225" s="1160"/>
      <c r="DM225" s="1171"/>
      <c r="DN225" s="1160"/>
      <c r="DO225" s="1160"/>
      <c r="DP225" s="1160"/>
      <c r="DQ225" s="1160"/>
      <c r="DR225" s="1160"/>
      <c r="DS225" s="1160"/>
      <c r="DT225" s="1160"/>
      <c r="DU225" s="1160"/>
      <c r="DV225" s="1160"/>
      <c r="DW225" s="1160"/>
      <c r="DX225" s="1160"/>
      <c r="DY225" s="1160"/>
      <c r="DZ225" s="1160"/>
      <c r="EA225" s="1160"/>
      <c r="EB225" s="1160"/>
      <c r="EC225" s="1160"/>
    </row>
    <row r="226" spans="1:133" x14ac:dyDescent="0.2">
      <c r="A226" s="1160"/>
      <c r="B226" s="1160"/>
      <c r="C226" s="1160"/>
      <c r="D226" s="1160"/>
      <c r="E226" s="1170"/>
      <c r="F226" s="1170"/>
      <c r="G226" s="1170"/>
      <c r="H226" s="1170"/>
      <c r="I226" s="1170"/>
      <c r="J226" s="1170"/>
      <c r="K226" s="1170"/>
      <c r="L226" s="1170"/>
      <c r="M226" s="1170"/>
      <c r="N226" s="1170"/>
      <c r="O226" s="1170"/>
      <c r="P226" s="1170"/>
      <c r="Q226" s="1170"/>
      <c r="R226" s="1170"/>
      <c r="S226" s="1170"/>
      <c r="T226" s="1170"/>
      <c r="U226" s="1170"/>
      <c r="V226" s="1170"/>
      <c r="W226" s="1170"/>
      <c r="X226" s="1170"/>
      <c r="Y226" s="1170"/>
      <c r="Z226" s="1170"/>
      <c r="AA226" s="1170"/>
      <c r="AB226" s="1170"/>
      <c r="AC226" s="1170"/>
      <c r="AD226" s="1170"/>
      <c r="AE226" s="1170"/>
      <c r="AF226" s="1170"/>
      <c r="AG226" s="1170"/>
      <c r="AH226" s="1170"/>
      <c r="AI226" s="1170"/>
      <c r="AJ226" s="1170"/>
      <c r="AK226" s="1170"/>
      <c r="AL226" s="1170"/>
      <c r="AM226" s="1170"/>
      <c r="AN226" s="1170"/>
      <c r="AO226" s="1170"/>
      <c r="AP226" s="1170"/>
      <c r="AQ226" s="1170"/>
      <c r="AR226" s="1170"/>
      <c r="AS226" s="1170"/>
      <c r="AT226" s="1170"/>
      <c r="AU226" s="1181" t="str">
        <f>HydroRefineryCalcs!G825</f>
        <v>RHC Fuel Gas</v>
      </c>
      <c r="AV226" s="1170"/>
      <c r="AW226" s="1170"/>
      <c r="AX226" s="1170"/>
      <c r="AY226" s="1170"/>
      <c r="AZ226" s="1170"/>
      <c r="BA226" s="1170"/>
      <c r="BB226" s="1170"/>
      <c r="BC226" s="1170"/>
      <c r="BD226" s="1170"/>
      <c r="BE226" s="1170"/>
      <c r="BF226" s="1170"/>
      <c r="BG226" s="1170"/>
      <c r="BH226" s="1170"/>
      <c r="BI226" s="1170"/>
      <c r="BJ226" s="1170"/>
      <c r="BK226" s="1170"/>
      <c r="BL226" s="1170"/>
      <c r="BM226" s="1170"/>
      <c r="BN226" s="1170"/>
      <c r="BO226" s="1170"/>
      <c r="BP226" s="1170"/>
      <c r="BQ226" s="1170"/>
      <c r="BR226" s="1170"/>
      <c r="BS226" s="1170"/>
      <c r="BT226" s="1170"/>
      <c r="BU226" s="1170"/>
      <c r="BV226" s="1170"/>
      <c r="BW226" s="1200" t="s">
        <v>1021</v>
      </c>
      <c r="BX226" s="1199" t="s">
        <v>1022</v>
      </c>
      <c r="BY226" s="1290">
        <f ca="1">BT204</f>
        <v>85.352283231234779</v>
      </c>
      <c r="BZ226" s="1170"/>
      <c r="CA226" s="1170"/>
      <c r="CB226" s="1170"/>
      <c r="CC226" s="1170"/>
      <c r="CD226" s="1170"/>
      <c r="CE226" s="1170"/>
      <c r="CF226" s="1170"/>
      <c r="CG226" s="1170"/>
      <c r="CH226" s="1170"/>
      <c r="CI226" s="1170"/>
      <c r="CJ226" s="1170"/>
      <c r="CK226" s="1170"/>
      <c r="CL226" s="1170"/>
      <c r="CM226" s="1170"/>
      <c r="CN226" s="1170"/>
      <c r="CO226" s="1170"/>
      <c r="CP226" s="1160"/>
      <c r="CQ226" s="1160"/>
      <c r="CR226" s="1160"/>
      <c r="CS226" s="1160"/>
      <c r="CT226" s="1160"/>
      <c r="CU226" s="1160"/>
      <c r="CV226" s="1160"/>
      <c r="CW226" s="1160"/>
      <c r="CX226" s="1160"/>
      <c r="CY226" s="1160"/>
      <c r="CZ226" s="1171"/>
      <c r="DA226" s="1160"/>
      <c r="DB226" s="1160"/>
      <c r="DC226" s="1160"/>
      <c r="DD226" s="1160"/>
      <c r="DE226" s="1160"/>
      <c r="DF226" s="1160"/>
      <c r="DG226" s="1160"/>
      <c r="DH226" s="1160"/>
      <c r="DI226" s="1160"/>
      <c r="DJ226" s="1160"/>
      <c r="DK226" s="1160"/>
      <c r="DL226" s="1160"/>
      <c r="DM226" s="1171"/>
      <c r="DN226" s="1160"/>
      <c r="DO226" s="1160"/>
      <c r="DP226" s="1160"/>
      <c r="DQ226" s="1160"/>
      <c r="DR226" s="1160"/>
      <c r="DS226" s="1160"/>
      <c r="DT226" s="1160"/>
      <c r="DU226" s="1160"/>
      <c r="DV226" s="1160"/>
      <c r="DW226" s="1160"/>
      <c r="DX226" s="1160"/>
      <c r="DY226" s="1160"/>
      <c r="DZ226" s="1160"/>
      <c r="EA226" s="1160"/>
      <c r="EB226" s="1160"/>
      <c r="EC226" s="1160"/>
    </row>
    <row r="227" spans="1:133" x14ac:dyDescent="0.2">
      <c r="A227" s="1160"/>
      <c r="B227" s="1160"/>
      <c r="C227" s="1160"/>
      <c r="D227" s="1160"/>
      <c r="E227" s="1170"/>
      <c r="F227" s="1170"/>
      <c r="G227" s="1170"/>
      <c r="H227" s="1170"/>
      <c r="I227" s="1170"/>
      <c r="J227" s="1170"/>
      <c r="K227" s="1170"/>
      <c r="L227" s="1170"/>
      <c r="M227" s="1170"/>
      <c r="N227" s="1170"/>
      <c r="O227" s="1170"/>
      <c r="P227" s="1170"/>
      <c r="Q227" s="1170"/>
      <c r="R227" s="1170"/>
      <c r="S227" s="1170"/>
      <c r="T227" s="1170"/>
      <c r="U227" s="1170"/>
      <c r="V227" s="1170"/>
      <c r="W227" s="1170"/>
      <c r="X227" s="1170"/>
      <c r="Y227" s="1170"/>
      <c r="Z227" s="1170"/>
      <c r="AA227" s="1170"/>
      <c r="AB227" s="1170"/>
      <c r="AC227" s="1170"/>
      <c r="AD227" s="1170"/>
      <c r="AE227" s="1170"/>
      <c r="AF227" s="1170"/>
      <c r="AG227" s="1170"/>
      <c r="AH227" s="1170"/>
      <c r="AI227" s="1170"/>
      <c r="AJ227" s="1170"/>
      <c r="AK227" s="1170"/>
      <c r="AL227" s="1170"/>
      <c r="AM227" s="1170"/>
      <c r="AN227" s="1170"/>
      <c r="AO227" s="1170"/>
      <c r="AP227" s="1170"/>
      <c r="AQ227" s="1170"/>
      <c r="AR227" s="1170"/>
      <c r="AS227" s="1170"/>
      <c r="AT227" s="1170"/>
      <c r="AU227" s="1182" t="str">
        <f>HydroRefineryCalcs!C825</f>
        <v>Property</v>
      </c>
      <c r="AV227" s="1182" t="str">
        <f>HydroRefineryCalcs!D825</f>
        <v>Units</v>
      </c>
      <c r="AW227" s="1170"/>
      <c r="AX227" s="1170"/>
      <c r="AY227" s="1170"/>
      <c r="AZ227" s="1170"/>
      <c r="BA227" s="1170"/>
      <c r="BB227" s="1170"/>
      <c r="BC227" s="1170"/>
      <c r="BD227" s="1170"/>
      <c r="BE227" s="1170"/>
      <c r="BF227" s="1170"/>
      <c r="BG227" s="1170"/>
      <c r="BH227" s="1170"/>
      <c r="BI227" s="1170"/>
      <c r="BJ227" s="1170"/>
      <c r="BK227" s="1170"/>
      <c r="BL227" s="1170"/>
      <c r="BM227" s="1170"/>
      <c r="BN227" s="1170"/>
      <c r="BO227" s="1170"/>
      <c r="BP227" s="1170"/>
      <c r="BQ227" s="1170"/>
      <c r="BR227" s="1170"/>
      <c r="BS227" s="1170"/>
      <c r="BT227" s="1170"/>
      <c r="BU227" s="1170"/>
      <c r="BV227" s="1170"/>
      <c r="BW227" s="1204" t="s">
        <v>1054</v>
      </c>
      <c r="BX227" s="1204" t="str">
        <f>IF(allocationMethod=1,CokingRefineryPFD!$C$21,IF(allocationMethod=2,CokingRefineryPFD!$C$22,IF(allocationMethod=3,CokingRefineryPFD!$C$23,CokingRefineryPFD!$C$24)))</f>
        <v>Hydrogen Content Basis</v>
      </c>
      <c r="BY227" s="1250">
        <f ca="1">IF(allocationMethod=1,BY219,IF(allocationMethod=2,BY225*BY219,IF(allocationMethod=3,BY226*BY217,BY223*BY219/100)))</f>
        <v>3.1695175944999473E-15</v>
      </c>
      <c r="BZ227" s="1170"/>
      <c r="CA227" s="1170"/>
      <c r="CB227" s="1170"/>
      <c r="CC227" s="1170"/>
      <c r="CD227" s="1170"/>
      <c r="CE227" s="1170"/>
      <c r="CF227" s="1170"/>
      <c r="CG227" s="1170"/>
      <c r="CH227" s="1170"/>
      <c r="CI227" s="1170"/>
      <c r="CJ227" s="1170"/>
      <c r="CK227" s="1170"/>
      <c r="CL227" s="1170"/>
      <c r="CM227" s="1170"/>
      <c r="CN227" s="1170"/>
      <c r="CO227" s="1170"/>
      <c r="CP227" s="1160"/>
      <c r="CQ227" s="1160"/>
      <c r="CR227" s="1160"/>
      <c r="CS227" s="1160"/>
      <c r="CT227" s="1160"/>
      <c r="CU227" s="1160"/>
      <c r="CV227" s="1160"/>
      <c r="CW227" s="1160"/>
      <c r="CX227" s="1160"/>
      <c r="CY227" s="1160"/>
      <c r="CZ227" s="1171"/>
      <c r="DA227" s="1160"/>
      <c r="DB227" s="1160"/>
      <c r="DC227" s="1160"/>
      <c r="DD227" s="1160"/>
      <c r="DE227" s="1160"/>
      <c r="DF227" s="1160"/>
      <c r="DG227" s="1160"/>
      <c r="DH227" s="1160"/>
      <c r="DI227" s="1160"/>
      <c r="DJ227" s="1160"/>
      <c r="DK227" s="1160"/>
      <c r="DL227" s="1160"/>
      <c r="DM227" s="1171"/>
      <c r="DN227" s="1160"/>
      <c r="DO227" s="1160"/>
      <c r="DP227" s="1160"/>
      <c r="DQ227" s="1160"/>
      <c r="DR227" s="1160"/>
      <c r="DS227" s="1160"/>
      <c r="DT227" s="1160"/>
      <c r="DU227" s="1160"/>
      <c r="DV227" s="1160"/>
      <c r="DW227" s="1160"/>
      <c r="DX227" s="1160"/>
      <c r="DY227" s="1160"/>
      <c r="DZ227" s="1160"/>
      <c r="EA227" s="1160"/>
      <c r="EB227" s="1160"/>
      <c r="EC227" s="1160"/>
    </row>
    <row r="228" spans="1:133" x14ac:dyDescent="0.2">
      <c r="A228" s="1160"/>
      <c r="B228" s="1160"/>
      <c r="C228" s="1160"/>
      <c r="D228" s="1160"/>
      <c r="E228" s="1170"/>
      <c r="F228" s="1170"/>
      <c r="G228" s="1170"/>
      <c r="H228" s="1170"/>
      <c r="I228" s="1170"/>
      <c r="J228" s="1170"/>
      <c r="K228" s="1170"/>
      <c r="L228" s="1170"/>
      <c r="M228" s="1170"/>
      <c r="N228" s="1170"/>
      <c r="O228" s="1170"/>
      <c r="P228" s="1170"/>
      <c r="Q228" s="1170"/>
      <c r="R228" s="1170"/>
      <c r="S228" s="1170"/>
      <c r="T228" s="1170"/>
      <c r="U228" s="1170"/>
      <c r="V228" s="1170"/>
      <c r="W228" s="1170"/>
      <c r="X228" s="1170"/>
      <c r="Y228" s="1170"/>
      <c r="Z228" s="1170"/>
      <c r="AA228" s="1170"/>
      <c r="AB228" s="1170"/>
      <c r="AC228" s="1170"/>
      <c r="AD228" s="1170"/>
      <c r="AE228" s="1170"/>
      <c r="AF228" s="1170"/>
      <c r="AG228" s="1170"/>
      <c r="AH228" s="1170"/>
      <c r="AI228" s="1170"/>
      <c r="AJ228" s="1170"/>
      <c r="AK228" s="1170"/>
      <c r="AL228" s="1170"/>
      <c r="AM228" s="1170"/>
      <c r="AN228" s="1170"/>
      <c r="AO228" s="1170"/>
      <c r="AP228" s="1170"/>
      <c r="AQ228" s="1170"/>
      <c r="AR228" s="1170"/>
      <c r="AS228" s="1170"/>
      <c r="AT228" s="1170"/>
      <c r="AU228" s="1186" t="str">
        <f>HydroRefineryCalcs!C826</f>
        <v>Vol Flow</v>
      </c>
      <c r="AV228" s="1170" t="str">
        <f ca="1">HydroRefineryCalcs!D826</f>
        <v>bpd</v>
      </c>
      <c r="AW228" s="1187">
        <f ca="1">AW229/'Energy &amp; Unit Conversions'!$G$80</f>
        <v>6.3846649898352138E-15</v>
      </c>
      <c r="AX228" s="1170"/>
      <c r="AY228" s="1170"/>
      <c r="AZ228" s="1170"/>
      <c r="BA228" s="1170"/>
      <c r="BB228" s="1170"/>
      <c r="BC228" s="1170"/>
      <c r="BD228" s="1170"/>
      <c r="BE228" s="1170"/>
      <c r="BF228" s="1170"/>
      <c r="BG228" s="1170"/>
      <c r="BH228" s="1170"/>
      <c r="BI228" s="1170"/>
      <c r="BJ228" s="1170"/>
      <c r="BK228" s="1170"/>
      <c r="BL228" s="1170"/>
      <c r="BM228" s="1170"/>
      <c r="BN228" s="1170"/>
      <c r="BO228" s="1170"/>
      <c r="BP228" s="1170"/>
      <c r="BQ228" s="1170"/>
      <c r="BR228" s="1181" t="str">
        <f>HydroRefineryCalcs!F670</f>
        <v>FCC Fuel Gas</v>
      </c>
      <c r="BS228" s="1181"/>
      <c r="BT228" s="1181"/>
      <c r="BU228" s="1170"/>
      <c r="BV228" s="1170"/>
      <c r="BW228" s="1170"/>
      <c r="BX228" s="1170"/>
      <c r="BY228" s="1170"/>
      <c r="BZ228" s="1170"/>
      <c r="CA228" s="1170"/>
      <c r="CB228" s="1170"/>
      <c r="CC228" s="1170"/>
      <c r="CD228" s="1170"/>
      <c r="CE228" s="1170"/>
      <c r="CF228" s="1170"/>
      <c r="CG228" s="1170"/>
      <c r="CH228" s="1170"/>
      <c r="CI228" s="1170"/>
      <c r="CJ228" s="1170"/>
      <c r="CK228" s="1170"/>
      <c r="CL228" s="1170"/>
      <c r="CM228" s="1170"/>
      <c r="CN228" s="1170"/>
      <c r="CO228" s="1170"/>
      <c r="CP228" s="1160"/>
      <c r="CQ228" s="1160"/>
      <c r="CR228" s="1160"/>
      <c r="CS228" s="1181" t="str">
        <f>HydroRefineryCalcs!H724</f>
        <v>FCC Gasoline</v>
      </c>
      <c r="CT228" s="1170"/>
      <c r="CU228" s="1170"/>
      <c r="CV228" s="1160"/>
      <c r="CW228" s="1160"/>
      <c r="CX228" s="1160"/>
      <c r="CY228" s="1160"/>
      <c r="CZ228" s="1171"/>
      <c r="DA228" s="1160"/>
      <c r="DB228" s="1160"/>
      <c r="DC228" s="1160"/>
      <c r="DD228" s="1160"/>
      <c r="DE228" s="1160"/>
      <c r="DF228" s="1160"/>
      <c r="DG228" s="1160"/>
      <c r="DH228" s="1160"/>
      <c r="DI228" s="1160"/>
      <c r="DJ228" s="1160"/>
      <c r="DK228" s="1160"/>
      <c r="DL228" s="1160"/>
      <c r="DM228" s="1171"/>
      <c r="DN228" s="1160"/>
      <c r="DO228" s="1160"/>
      <c r="DP228" s="1160"/>
      <c r="DQ228" s="1160"/>
      <c r="DR228" s="1160"/>
      <c r="DS228" s="1160"/>
      <c r="DT228" s="1160"/>
      <c r="DU228" s="1160"/>
      <c r="DV228" s="1160"/>
      <c r="DW228" s="1160"/>
      <c r="DX228" s="1160"/>
      <c r="DY228" s="1160"/>
      <c r="DZ228" s="1160"/>
      <c r="EA228" s="1160"/>
      <c r="EB228" s="1160"/>
      <c r="EC228" s="1160"/>
    </row>
    <row r="229" spans="1:133" x14ac:dyDescent="0.2">
      <c r="A229" s="1160"/>
      <c r="B229" s="1160"/>
      <c r="C229" s="1160"/>
      <c r="D229" s="1160"/>
      <c r="E229" s="1170"/>
      <c r="F229" s="1170"/>
      <c r="G229" s="1170"/>
      <c r="H229" s="1170"/>
      <c r="I229" s="1170"/>
      <c r="J229" s="1170"/>
      <c r="K229" s="1170"/>
      <c r="L229" s="1170"/>
      <c r="M229" s="1170"/>
      <c r="N229" s="1170"/>
      <c r="O229" s="1170"/>
      <c r="P229" s="1170"/>
      <c r="Q229" s="1170"/>
      <c r="R229" s="1170"/>
      <c r="S229" s="1170"/>
      <c r="T229" s="1170"/>
      <c r="U229" s="1170"/>
      <c r="V229" s="1170"/>
      <c r="W229" s="1170"/>
      <c r="X229" s="1170"/>
      <c r="Y229" s="1170"/>
      <c r="Z229" s="1170"/>
      <c r="AA229" s="1170"/>
      <c r="AB229" s="1170"/>
      <c r="AC229" s="1170"/>
      <c r="AD229" s="1170"/>
      <c r="AE229" s="1170"/>
      <c r="AF229" s="1170"/>
      <c r="AG229" s="1170"/>
      <c r="AH229" s="1170"/>
      <c r="AI229" s="1170"/>
      <c r="AJ229" s="1170"/>
      <c r="AK229" s="1170"/>
      <c r="AL229" s="1170"/>
      <c r="AM229" s="1170"/>
      <c r="AN229" s="1170"/>
      <c r="AO229" s="1170"/>
      <c r="AP229" s="1170"/>
      <c r="AQ229" s="1170"/>
      <c r="AR229" s="1170"/>
      <c r="AS229" s="1170"/>
      <c r="AT229" s="1170"/>
      <c r="AU229" s="1186" t="str">
        <f>HydroRefineryCalcs!C827</f>
        <v>Vol Flow</v>
      </c>
      <c r="AV229" s="1170" t="str">
        <f ca="1">HydroRefineryCalcs!D827</f>
        <v>m^3/d</v>
      </c>
      <c r="AW229" s="1187">
        <f ca="1">AW230*AW233</f>
        <v>1.0150806481384281E-15</v>
      </c>
      <c r="AX229" s="1170"/>
      <c r="AY229" s="1170"/>
      <c r="AZ229" s="1170"/>
      <c r="BA229" s="1170"/>
      <c r="BB229" s="1170"/>
      <c r="BC229" s="1170"/>
      <c r="BD229" s="1170"/>
      <c r="BE229" s="1170"/>
      <c r="BF229" s="1170"/>
      <c r="BG229" s="1170"/>
      <c r="BH229" s="1170"/>
      <c r="BI229" s="1170"/>
      <c r="BJ229" s="1170"/>
      <c r="BK229" s="1170"/>
      <c r="BL229" s="1170"/>
      <c r="BM229" s="1170"/>
      <c r="BN229" s="1170"/>
      <c r="BO229" s="1170"/>
      <c r="BP229" s="1170"/>
      <c r="BQ229" s="1170"/>
      <c r="BR229" s="1182" t="str">
        <f>HydroRefineryCalcs!C670</f>
        <v>Property</v>
      </c>
      <c r="BS229" s="1182" t="str">
        <f>HydroRefineryCalcs!D670</f>
        <v>Units</v>
      </c>
      <c r="BT229" s="1170"/>
      <c r="BU229" s="1170"/>
      <c r="BV229" s="1170"/>
      <c r="BW229" s="1170"/>
      <c r="BX229" s="1170"/>
      <c r="BY229" s="1170"/>
      <c r="BZ229" s="1170"/>
      <c r="CA229" s="1170"/>
      <c r="CB229" s="1170"/>
      <c r="CC229" s="1170"/>
      <c r="CD229" s="1170"/>
      <c r="CE229" s="1170"/>
      <c r="CF229" s="1170"/>
      <c r="CG229" s="1170"/>
      <c r="CH229" s="1170"/>
      <c r="CI229" s="1170"/>
      <c r="CJ229" s="1170"/>
      <c r="CK229" s="1170"/>
      <c r="CL229" s="1170"/>
      <c r="CM229" s="1170"/>
      <c r="CN229" s="1170"/>
      <c r="CO229" s="1170"/>
      <c r="CP229" s="1160"/>
      <c r="CQ229" s="1160"/>
      <c r="CR229" s="1160"/>
      <c r="CS229" s="1182" t="str">
        <f>HydroRefineryCalcs!C724</f>
        <v>Property</v>
      </c>
      <c r="CT229" s="1182" t="str">
        <f>HydroRefineryCalcs!D724</f>
        <v>Units</v>
      </c>
      <c r="CU229" s="1170"/>
      <c r="CV229" s="1160"/>
      <c r="CW229" s="1160"/>
      <c r="CX229" s="1160"/>
      <c r="CY229" s="1160"/>
      <c r="CZ229" s="1171"/>
      <c r="DA229" s="1160"/>
      <c r="DB229" s="1160"/>
      <c r="DC229" s="1160"/>
      <c r="DD229" s="1160"/>
      <c r="DE229" s="1160"/>
      <c r="DF229" s="1160"/>
      <c r="DG229" s="1160"/>
      <c r="DH229" s="1160"/>
      <c r="DI229" s="1160"/>
      <c r="DJ229" s="1160"/>
      <c r="DK229" s="1160"/>
      <c r="DL229" s="1160"/>
      <c r="DM229" s="1171"/>
      <c r="DN229" s="1160"/>
      <c r="DO229" s="1160"/>
      <c r="DP229" s="1160"/>
      <c r="DQ229" s="1160"/>
      <c r="DR229" s="1160"/>
      <c r="DS229" s="1160"/>
      <c r="DT229" s="1160"/>
      <c r="DU229" s="1160"/>
      <c r="DV229" s="1160"/>
      <c r="DW229" s="1160"/>
      <c r="DX229" s="1160"/>
      <c r="DY229" s="1160"/>
      <c r="DZ229" s="1160"/>
      <c r="EA229" s="1160"/>
      <c r="EB229" s="1160"/>
      <c r="EC229" s="1160"/>
    </row>
    <row r="230" spans="1:133" x14ac:dyDescent="0.2">
      <c r="A230" s="1160"/>
      <c r="B230" s="1160"/>
      <c r="C230" s="1160"/>
      <c r="D230" s="1160"/>
      <c r="E230" s="1170"/>
      <c r="F230" s="1170"/>
      <c r="G230" s="1170"/>
      <c r="H230" s="1170"/>
      <c r="I230" s="1170"/>
      <c r="J230" s="1170"/>
      <c r="K230" s="1170"/>
      <c r="L230" s="1170"/>
      <c r="M230" s="1170"/>
      <c r="N230" s="1170"/>
      <c r="O230" s="1170"/>
      <c r="P230" s="1170"/>
      <c r="Q230" s="1170"/>
      <c r="R230" s="1170"/>
      <c r="S230" s="1170"/>
      <c r="T230" s="1170"/>
      <c r="U230" s="1170"/>
      <c r="V230" s="1170"/>
      <c r="W230" s="1170"/>
      <c r="X230" s="1170"/>
      <c r="Y230" s="1170"/>
      <c r="Z230" s="1170"/>
      <c r="AA230" s="1170"/>
      <c r="AB230" s="1170"/>
      <c r="AC230" s="1170"/>
      <c r="AD230" s="1170"/>
      <c r="AE230" s="1170"/>
      <c r="AF230" s="1170"/>
      <c r="AG230" s="1170"/>
      <c r="AH230" s="1170"/>
      <c r="AI230" s="1170"/>
      <c r="AJ230" s="1170"/>
      <c r="AK230" s="1170"/>
      <c r="AL230" s="1170"/>
      <c r="AM230" s="1170"/>
      <c r="AN230" s="1170"/>
      <c r="AO230" s="1170"/>
      <c r="AP230" s="1170"/>
      <c r="AQ230" s="1170"/>
      <c r="AR230" s="1170"/>
      <c r="AS230" s="1170"/>
      <c r="AT230" s="1170"/>
      <c r="AU230" s="1186" t="str">
        <f>HydroRefineryCalcs!C828</f>
        <v>Mass Flow</v>
      </c>
      <c r="AV230" s="1170" t="str">
        <f>HydroRefineryCalcs!D828</f>
        <v>kg/d</v>
      </c>
      <c r="AW230" s="1170">
        <f ca="1">HydroRefineryCalcs!G828</f>
        <v>8.7633800156215396E-16</v>
      </c>
      <c r="AX230" s="1170"/>
      <c r="AY230" s="1170"/>
      <c r="AZ230" s="1170"/>
      <c r="BA230" s="1170"/>
      <c r="BB230" s="1170"/>
      <c r="BC230" s="1170"/>
      <c r="BD230" s="1170"/>
      <c r="BE230" s="1170"/>
      <c r="BF230" s="1170"/>
      <c r="BG230" s="1170"/>
      <c r="BH230" s="1170"/>
      <c r="BI230" s="1170"/>
      <c r="BJ230" s="1170"/>
      <c r="BK230" s="1170"/>
      <c r="BL230" s="1170"/>
      <c r="BM230" s="1170"/>
      <c r="BN230" s="1170"/>
      <c r="BO230" s="1170"/>
      <c r="BP230" s="1170"/>
      <c r="BQ230" s="1170"/>
      <c r="BR230" s="1186" t="str">
        <f>HydroRefineryCalcs!C671</f>
        <v>Vol Flow</v>
      </c>
      <c r="BS230" s="1170" t="str">
        <f>HydroRefineryCalcs!D671</f>
        <v>bpd</v>
      </c>
      <c r="BT230" s="1187">
        <f ca="1">BT231/'Energy &amp; Unit Conversions'!$G$80</f>
        <v>6.0962611547463686E-15</v>
      </c>
      <c r="BU230" s="1186"/>
      <c r="BV230" s="1186"/>
      <c r="BW230" s="1170"/>
      <c r="BX230" s="1170"/>
      <c r="BY230" s="1170"/>
      <c r="BZ230" s="1170"/>
      <c r="CA230" s="1170"/>
      <c r="CB230" s="1170"/>
      <c r="CC230" s="1170"/>
      <c r="CD230" s="1170"/>
      <c r="CE230" s="1170"/>
      <c r="CF230" s="1170"/>
      <c r="CG230" s="1170"/>
      <c r="CH230" s="1170"/>
      <c r="CI230" s="1170"/>
      <c r="CJ230" s="1170"/>
      <c r="CK230" s="1170"/>
      <c r="CL230" s="1170"/>
      <c r="CM230" s="1170"/>
      <c r="CN230" s="1170"/>
      <c r="CO230" s="1170"/>
      <c r="CP230" s="1160"/>
      <c r="CQ230" s="1160"/>
      <c r="CR230" s="1160"/>
      <c r="CS230" s="1186" t="str">
        <f>HydroRefineryCalcs!C725</f>
        <v>Vol Flow</v>
      </c>
      <c r="CT230" s="1170" t="str">
        <f>HydroRefineryCalcs!D725</f>
        <v>bpd</v>
      </c>
      <c r="CU230" s="1170">
        <f ca="1">HydroRefineryCalcs!H725</f>
        <v>1.1099316337824997E-16</v>
      </c>
      <c r="CV230" s="1160"/>
      <c r="CW230" s="1160"/>
      <c r="CX230" s="1160"/>
      <c r="CY230" s="1160"/>
      <c r="CZ230" s="1171"/>
      <c r="DA230" s="1160"/>
      <c r="DB230" s="1160"/>
      <c r="DC230" s="1160"/>
      <c r="DD230" s="1160"/>
      <c r="DE230" s="1160"/>
      <c r="DF230" s="1160"/>
      <c r="DG230" s="1160"/>
      <c r="DH230" s="1160"/>
      <c r="DI230" s="1160"/>
      <c r="DJ230" s="1160"/>
      <c r="DK230" s="1160"/>
      <c r="DL230" s="1160"/>
      <c r="DM230" s="1171"/>
      <c r="DN230" s="1160"/>
      <c r="DO230" s="1160"/>
      <c r="DP230" s="1160"/>
      <c r="DQ230" s="1160"/>
      <c r="DR230" s="1160"/>
      <c r="DS230" s="1160"/>
      <c r="DT230" s="1160"/>
      <c r="DU230" s="1160"/>
      <c r="DV230" s="1160"/>
      <c r="DW230" s="1160"/>
      <c r="DX230" s="1160"/>
      <c r="DY230" s="1160"/>
      <c r="DZ230" s="1160"/>
      <c r="EA230" s="1160"/>
      <c r="EB230" s="1160"/>
      <c r="EC230" s="1160"/>
    </row>
    <row r="231" spans="1:133" x14ac:dyDescent="0.2">
      <c r="A231" s="1160"/>
      <c r="B231" s="1160"/>
      <c r="C231" s="1160"/>
      <c r="D231" s="1160"/>
      <c r="E231" s="1170"/>
      <c r="F231" s="1170"/>
      <c r="G231" s="1170"/>
      <c r="H231" s="1170"/>
      <c r="I231" s="1170"/>
      <c r="J231" s="1170"/>
      <c r="K231" s="1170"/>
      <c r="L231" s="1170"/>
      <c r="M231" s="1170"/>
      <c r="N231" s="1170"/>
      <c r="O231" s="1170"/>
      <c r="P231" s="1170"/>
      <c r="Q231" s="1170"/>
      <c r="R231" s="1170"/>
      <c r="S231" s="1170"/>
      <c r="T231" s="1170"/>
      <c r="U231" s="1170"/>
      <c r="V231" s="1170"/>
      <c r="W231" s="1170"/>
      <c r="X231" s="1170"/>
      <c r="Y231" s="1170"/>
      <c r="Z231" s="1170"/>
      <c r="AA231" s="1170"/>
      <c r="AB231" s="1170"/>
      <c r="AC231" s="1170"/>
      <c r="AD231" s="1170"/>
      <c r="AE231" s="1170"/>
      <c r="AF231" s="1170"/>
      <c r="AG231" s="1170"/>
      <c r="AH231" s="1170"/>
      <c r="AI231" s="1170"/>
      <c r="AJ231" s="1170"/>
      <c r="AK231" s="1170"/>
      <c r="AL231" s="1170"/>
      <c r="AM231" s="1170"/>
      <c r="AN231" s="1170"/>
      <c r="AO231" s="1170"/>
      <c r="AP231" s="1170"/>
      <c r="AQ231" s="1170"/>
      <c r="AR231" s="1170"/>
      <c r="AS231" s="1170"/>
      <c r="AT231" s="1170"/>
      <c r="AU231" s="1186" t="str">
        <f>HydroRefineryCalcs!C829</f>
        <v xml:space="preserve">Sulphur </v>
      </c>
      <c r="AV231" s="1170" t="str">
        <f ca="1">HydroRefineryCalcs!D829</f>
        <v>wt%</v>
      </c>
      <c r="AW231" s="1170">
        <f ca="1">HydroRefineryCalcs!G829</f>
        <v>0</v>
      </c>
      <c r="AX231" s="1170"/>
      <c r="AY231" s="1170"/>
      <c r="AZ231" s="1170"/>
      <c r="BA231" s="1170"/>
      <c r="BB231" s="1170"/>
      <c r="BC231" s="1170"/>
      <c r="BD231" s="1184" t="str">
        <f>'HydroRefinery Detailed Results'!C22</f>
        <v>Residue Hydrocracker Fractionator</v>
      </c>
      <c r="BE231" s="1170"/>
      <c r="BF231" s="1170"/>
      <c r="BG231" s="1170"/>
      <c r="BH231" s="1170"/>
      <c r="BI231" s="1170"/>
      <c r="BJ231" s="1170"/>
      <c r="BK231" s="1170"/>
      <c r="BL231" s="1170"/>
      <c r="BM231" s="1170"/>
      <c r="BN231" s="1170"/>
      <c r="BO231" s="1170"/>
      <c r="BP231" s="1170"/>
      <c r="BQ231" s="1170"/>
      <c r="BR231" s="1186" t="str">
        <f>HydroRefineryCalcs!C672</f>
        <v>Vol Flow</v>
      </c>
      <c r="BS231" s="1170" t="str">
        <f>HydroRefineryCalcs!D672</f>
        <v>m^3/d</v>
      </c>
      <c r="BT231" s="1187">
        <f ca="1">BT232*BT235</f>
        <v>9.6922810108800733E-16</v>
      </c>
      <c r="BU231" s="1186"/>
      <c r="BV231" s="1186"/>
      <c r="BW231" s="1170"/>
      <c r="BX231" s="1170"/>
      <c r="BY231" s="1170"/>
      <c r="BZ231" s="1170"/>
      <c r="CA231" s="1170"/>
      <c r="CB231" s="1170"/>
      <c r="CC231" s="1170"/>
      <c r="CD231" s="1170"/>
      <c r="CE231" s="1170"/>
      <c r="CF231" s="1170"/>
      <c r="CG231" s="1170"/>
      <c r="CH231" s="1170"/>
      <c r="CI231" s="1170"/>
      <c r="CJ231" s="1170"/>
      <c r="CK231" s="1170"/>
      <c r="CL231" s="1170"/>
      <c r="CM231" s="1170"/>
      <c r="CN231" s="1170"/>
      <c r="CO231" s="1170"/>
      <c r="CP231" s="1160"/>
      <c r="CQ231" s="1160"/>
      <c r="CR231" s="1160"/>
      <c r="CS231" s="1186" t="str">
        <f>HydroRefineryCalcs!C726</f>
        <v>Vol Flow</v>
      </c>
      <c r="CT231" s="1170" t="str">
        <f>HydroRefineryCalcs!D726</f>
        <v>m^3/d</v>
      </c>
      <c r="CU231" s="1170">
        <f ca="1">HydroRefineryCalcs!H726</f>
        <v>1.7646503363966841E-17</v>
      </c>
      <c r="CV231" s="1160"/>
      <c r="CW231" s="1160"/>
      <c r="CX231" s="1160"/>
      <c r="CY231" s="1160"/>
      <c r="CZ231" s="1171"/>
      <c r="DA231" s="1160"/>
      <c r="DB231" s="1160"/>
      <c r="DC231" s="1160"/>
      <c r="DD231" s="1160"/>
      <c r="DE231" s="1160"/>
      <c r="DF231" s="1160"/>
      <c r="DG231" s="1160"/>
      <c r="DH231" s="1160"/>
      <c r="DI231" s="1160"/>
      <c r="DJ231" s="1160"/>
      <c r="DK231" s="1160"/>
      <c r="DL231" s="1160"/>
      <c r="DM231" s="1171"/>
      <c r="DN231" s="1160"/>
      <c r="DO231" s="1160"/>
      <c r="DP231" s="1160"/>
      <c r="DQ231" s="1160"/>
      <c r="DR231" s="1160"/>
      <c r="DS231" s="1160"/>
      <c r="DT231" s="1160"/>
      <c r="DU231" s="1160"/>
      <c r="DV231" s="1160"/>
      <c r="DW231" s="1160"/>
      <c r="DX231" s="1160"/>
      <c r="DY231" s="1160"/>
      <c r="DZ231" s="1160"/>
      <c r="EA231" s="1160"/>
      <c r="EB231" s="1160"/>
      <c r="EC231" s="1160"/>
    </row>
    <row r="232" spans="1:133" x14ac:dyDescent="0.2">
      <c r="A232" s="1160"/>
      <c r="B232" s="1160"/>
      <c r="C232" s="1160"/>
      <c r="D232" s="1160"/>
      <c r="E232" s="1170"/>
      <c r="F232" s="1170"/>
      <c r="G232" s="1170"/>
      <c r="H232" s="1170"/>
      <c r="I232" s="1170"/>
      <c r="J232" s="1170"/>
      <c r="K232" s="1170"/>
      <c r="L232" s="1170"/>
      <c r="M232" s="1170"/>
      <c r="N232" s="1170"/>
      <c r="O232" s="1170"/>
      <c r="P232" s="1170"/>
      <c r="Q232" s="1170"/>
      <c r="R232" s="1170"/>
      <c r="S232" s="1170"/>
      <c r="T232" s="1170"/>
      <c r="U232" s="1170"/>
      <c r="V232" s="1170"/>
      <c r="W232" s="1170"/>
      <c r="X232" s="1170"/>
      <c r="Y232" s="1170"/>
      <c r="Z232" s="1170"/>
      <c r="AA232" s="1170"/>
      <c r="AB232" s="1170"/>
      <c r="AC232" s="1170"/>
      <c r="AD232" s="1170"/>
      <c r="AE232" s="1170"/>
      <c r="AF232" s="1170"/>
      <c r="AG232" s="1170"/>
      <c r="AH232" s="1170"/>
      <c r="AI232" s="1170"/>
      <c r="AJ232" s="1170"/>
      <c r="AK232" s="1170"/>
      <c r="AL232" s="1170"/>
      <c r="AM232" s="1170"/>
      <c r="AN232" s="1170"/>
      <c r="AO232" s="1170"/>
      <c r="AP232" s="1170"/>
      <c r="AQ232" s="1170"/>
      <c r="AR232" s="1170"/>
      <c r="AS232" s="1170"/>
      <c r="AT232" s="1170"/>
      <c r="AU232" s="1186" t="str">
        <f>HydroRefineryCalcs!C831</f>
        <v xml:space="preserve">API gravity </v>
      </c>
      <c r="AV232" s="1170"/>
      <c r="AW232" s="1170"/>
      <c r="AX232" s="1170"/>
      <c r="AY232" s="1170"/>
      <c r="AZ232" s="1170"/>
      <c r="BA232" s="1170"/>
      <c r="BB232" s="1170"/>
      <c r="BC232" s="1170"/>
      <c r="BD232" s="1184" t="s">
        <v>225</v>
      </c>
      <c r="BE232" s="1184" t="s">
        <v>522</v>
      </c>
      <c r="BF232" s="1170"/>
      <c r="BG232" s="1170"/>
      <c r="BH232" s="1170"/>
      <c r="BI232" s="1170"/>
      <c r="BJ232" s="1170"/>
      <c r="BK232" s="1170"/>
      <c r="BL232" s="1170"/>
      <c r="BM232" s="1170"/>
      <c r="BN232" s="1170"/>
      <c r="BO232" s="1170"/>
      <c r="BP232" s="1170"/>
      <c r="BQ232" s="1170"/>
      <c r="BR232" s="1186" t="str">
        <f>HydroRefineryCalcs!C673</f>
        <v>Mass Flow</v>
      </c>
      <c r="BS232" s="1170" t="str">
        <f>HydroRefineryCalcs!D673</f>
        <v>kg/d</v>
      </c>
      <c r="BT232" s="1170">
        <f ca="1">HydroRefineryCalcs!F673</f>
        <v>8.3675264494798612E-16</v>
      </c>
      <c r="BU232" s="1186"/>
      <c r="BV232" s="1186"/>
      <c r="BW232" s="1170"/>
      <c r="BX232" s="1170"/>
      <c r="BY232" s="1170"/>
      <c r="BZ232" s="1170"/>
      <c r="CA232" s="1170"/>
      <c r="CB232" s="1170"/>
      <c r="CC232" s="1170"/>
      <c r="CD232" s="1170"/>
      <c r="CE232" s="1170"/>
      <c r="CF232" s="1170"/>
      <c r="CG232" s="1170"/>
      <c r="CH232" s="1170"/>
      <c r="CI232" s="1170"/>
      <c r="CJ232" s="1170"/>
      <c r="CK232" s="1170"/>
      <c r="CL232" s="1170"/>
      <c r="CM232" s="1170"/>
      <c r="CN232" s="1170"/>
      <c r="CO232" s="1170"/>
      <c r="CP232" s="1160"/>
      <c r="CQ232" s="1160"/>
      <c r="CR232" s="1160"/>
      <c r="CS232" s="1186" t="str">
        <f>HydroRefineryCalcs!C727</f>
        <v>Mass Flow</v>
      </c>
      <c r="CT232" s="1170" t="str">
        <f>HydroRefineryCalcs!D727</f>
        <v>kg/d</v>
      </c>
      <c r="CU232" s="1170">
        <f ca="1">HydroRefineryCalcs!H727</f>
        <v>1.305841248933579E-14</v>
      </c>
      <c r="CV232" s="1160"/>
      <c r="CW232" s="1160"/>
      <c r="CX232" s="1160"/>
      <c r="CY232" s="1160"/>
      <c r="CZ232" s="1171"/>
      <c r="DA232" s="1160"/>
      <c r="DB232" s="1160"/>
      <c r="DC232" s="1160"/>
      <c r="DD232" s="1160"/>
      <c r="DE232" s="1160"/>
      <c r="DF232" s="1160"/>
      <c r="DG232" s="1160"/>
      <c r="DH232" s="1160"/>
      <c r="DI232" s="1160"/>
      <c r="DJ232" s="1160"/>
      <c r="DK232" s="1160"/>
      <c r="DL232" s="1160"/>
      <c r="DM232" s="1171"/>
      <c r="DN232" s="1160"/>
      <c r="DO232" s="1160"/>
      <c r="DP232" s="1160"/>
      <c r="DQ232" s="1160"/>
      <c r="DR232" s="1160"/>
      <c r="DS232" s="1160"/>
      <c r="DT232" s="1160"/>
      <c r="DU232" s="1160"/>
      <c r="DV232" s="1160"/>
      <c r="DW232" s="1160"/>
      <c r="DX232" s="1160"/>
      <c r="DY232" s="1160"/>
      <c r="DZ232" s="1160"/>
      <c r="EA232" s="1160"/>
      <c r="EB232" s="1160"/>
      <c r="EC232" s="1160"/>
    </row>
    <row r="233" spans="1:133" x14ac:dyDescent="0.2">
      <c r="A233" s="1160"/>
      <c r="B233" s="1160"/>
      <c r="C233" s="1160"/>
      <c r="D233" s="1160"/>
      <c r="E233" s="1170"/>
      <c r="F233" s="1170"/>
      <c r="G233" s="1170"/>
      <c r="H233" s="1170"/>
      <c r="I233" s="1170"/>
      <c r="J233" s="1170"/>
      <c r="K233" s="1170"/>
      <c r="L233" s="1170"/>
      <c r="M233" s="1170"/>
      <c r="N233" s="1170"/>
      <c r="O233" s="1170"/>
      <c r="P233" s="1170"/>
      <c r="Q233" s="1170"/>
      <c r="R233" s="1170"/>
      <c r="S233" s="1170"/>
      <c r="T233" s="1170"/>
      <c r="U233" s="1170"/>
      <c r="V233" s="1170"/>
      <c r="W233" s="1170"/>
      <c r="X233" s="1170"/>
      <c r="Y233" s="1170"/>
      <c r="Z233" s="1170"/>
      <c r="AA233" s="1170"/>
      <c r="AB233" s="1170"/>
      <c r="AC233" s="1170"/>
      <c r="AD233" s="1170"/>
      <c r="AE233" s="1170"/>
      <c r="AF233" s="1170"/>
      <c r="AG233" s="1170"/>
      <c r="AH233" s="1170"/>
      <c r="AI233" s="1170"/>
      <c r="AJ233" s="1170"/>
      <c r="AK233" s="1170"/>
      <c r="AL233" s="1170"/>
      <c r="AM233" s="1170"/>
      <c r="AN233" s="1170"/>
      <c r="AO233" s="1170"/>
      <c r="AP233" s="1170"/>
      <c r="AQ233" s="1170"/>
      <c r="AR233" s="1170"/>
      <c r="AS233" s="1170"/>
      <c r="AT233" s="1170"/>
      <c r="AU233" s="1186" t="str">
        <f>HydroRefineryCalcs!C832</f>
        <v>Density</v>
      </c>
      <c r="AV233" s="1170" t="str">
        <f ca="1">HydroRefineryCalcs!D832</f>
        <v>kg/m^3</v>
      </c>
      <c r="AW233" s="1170">
        <f>'Energy &amp; Unit Conversions'!$E$27/'Energy &amp; Unit Conversions'!$E$93/'Energy &amp; Unit Conversions'!$G$81</f>
        <v>1.1583209290581402</v>
      </c>
      <c r="AX233" s="1170"/>
      <c r="AY233" s="1170"/>
      <c r="AZ233" s="1170"/>
      <c r="BA233" s="1170"/>
      <c r="BB233" s="1170"/>
      <c r="BC233" s="1170"/>
      <c r="BD233" s="1170" t="s">
        <v>392</v>
      </c>
      <c r="BE233" s="1170">
        <f ca="1">'HydroRefinery Detailed Results'!F22</f>
        <v>0</v>
      </c>
      <c r="BF233" s="1170"/>
      <c r="BG233" s="1170"/>
      <c r="BH233" s="1170"/>
      <c r="BI233" s="1170"/>
      <c r="BJ233" s="1170"/>
      <c r="BK233" s="1170"/>
      <c r="BL233" s="1170"/>
      <c r="BM233" s="1170"/>
      <c r="BN233" s="1170"/>
      <c r="BO233" s="1170"/>
      <c r="BP233" s="1170"/>
      <c r="BQ233" s="1170"/>
      <c r="BR233" s="1186" t="str">
        <f>HydroRefineryCalcs!C674</f>
        <v>S</v>
      </c>
      <c r="BS233" s="1170" t="str">
        <f>HydroRefineryCalcs!D674</f>
        <v>wt%</v>
      </c>
      <c r="BT233" s="1170">
        <f ca="1">HydroRefineryCalcs!F674</f>
        <v>0</v>
      </c>
      <c r="BU233" s="1170"/>
      <c r="BV233" s="1170"/>
      <c r="BW233" s="1170"/>
      <c r="BX233" s="1170"/>
      <c r="BY233" s="1170"/>
      <c r="BZ233" s="1170"/>
      <c r="CA233" s="1170"/>
      <c r="CB233" s="1170"/>
      <c r="CC233" s="1170"/>
      <c r="CD233" s="1170"/>
      <c r="CE233" s="1170"/>
      <c r="CF233" s="1170"/>
      <c r="CG233" s="1170"/>
      <c r="CH233" s="1170"/>
      <c r="CI233" s="1170"/>
      <c r="CJ233" s="1170"/>
      <c r="CK233" s="1170"/>
      <c r="CL233" s="1170"/>
      <c r="CM233" s="1170"/>
      <c r="CN233" s="1170"/>
      <c r="CO233" s="1170"/>
      <c r="CP233" s="1160"/>
      <c r="CQ233" s="1160"/>
      <c r="CR233" s="1160"/>
      <c r="CS233" s="1186" t="str">
        <f>HydroRefineryCalcs!C728</f>
        <v>S</v>
      </c>
      <c r="CT233" s="1170" t="str">
        <f>HydroRefineryCalcs!D728</f>
        <v>wt%</v>
      </c>
      <c r="CU233" s="1170">
        <f ca="1">HydroRefineryCalcs!H728</f>
        <v>0</v>
      </c>
      <c r="CV233" s="1160"/>
      <c r="CW233" s="1160"/>
      <c r="CX233" s="1160"/>
      <c r="CY233" s="1160"/>
      <c r="CZ233" s="1171"/>
      <c r="DA233" s="1160"/>
      <c r="DB233" s="1160"/>
      <c r="DC233" s="1160"/>
      <c r="DD233" s="1160"/>
      <c r="DE233" s="1160"/>
      <c r="DF233" s="1160"/>
      <c r="DG233" s="1160"/>
      <c r="DH233" s="1160"/>
      <c r="DI233" s="1160"/>
      <c r="DJ233" s="1160"/>
      <c r="DK233" s="1160"/>
      <c r="DL233" s="1160"/>
      <c r="DM233" s="1171"/>
      <c r="DN233" s="1160"/>
      <c r="DO233" s="1160"/>
      <c r="DP233" s="1160"/>
      <c r="DQ233" s="1160"/>
      <c r="DR233" s="1160"/>
      <c r="DS233" s="1160"/>
      <c r="DT233" s="1160"/>
      <c r="DU233" s="1160"/>
      <c r="DV233" s="1160"/>
      <c r="DW233" s="1160"/>
      <c r="DX233" s="1160"/>
      <c r="DY233" s="1160"/>
      <c r="DZ233" s="1160"/>
      <c r="EA233" s="1160"/>
      <c r="EB233" s="1160"/>
      <c r="EC233" s="1160"/>
    </row>
    <row r="234" spans="1:133" x14ac:dyDescent="0.2">
      <c r="A234" s="1160"/>
      <c r="B234" s="1160"/>
      <c r="C234" s="1160"/>
      <c r="D234" s="1160"/>
      <c r="E234" s="1170"/>
      <c r="F234" s="1170"/>
      <c r="G234" s="1170"/>
      <c r="H234" s="1170"/>
      <c r="I234" s="1170"/>
      <c r="J234" s="1170"/>
      <c r="K234" s="1170"/>
      <c r="L234" s="1170"/>
      <c r="M234" s="1170"/>
      <c r="N234" s="1170"/>
      <c r="O234" s="1170"/>
      <c r="P234" s="1170"/>
      <c r="Q234" s="1170"/>
      <c r="R234" s="1170"/>
      <c r="S234" s="1170"/>
      <c r="T234" s="1170"/>
      <c r="U234" s="1170"/>
      <c r="V234" s="1170"/>
      <c r="W234" s="1170"/>
      <c r="X234" s="1170"/>
      <c r="Y234" s="1170"/>
      <c r="Z234" s="1170"/>
      <c r="AA234" s="1170"/>
      <c r="AB234" s="1170"/>
      <c r="AC234" s="1170"/>
      <c r="AD234" s="1170"/>
      <c r="AE234" s="1170"/>
      <c r="AF234" s="1170"/>
      <c r="AG234" s="1170"/>
      <c r="AH234" s="1170"/>
      <c r="AI234" s="1170"/>
      <c r="AJ234" s="1170"/>
      <c r="AK234" s="1170"/>
      <c r="AL234" s="1170"/>
      <c r="AM234" s="1170"/>
      <c r="AN234" s="1170"/>
      <c r="AO234" s="1170"/>
      <c r="AP234" s="1170"/>
      <c r="AQ234" s="1170"/>
      <c r="AR234" s="1170"/>
      <c r="AS234" s="1170"/>
      <c r="AT234" s="1170"/>
      <c r="AU234" s="1186" t="str">
        <f>HydroRefineryCalcs!C833</f>
        <v>Hydrogen</v>
      </c>
      <c r="AV234" s="1170" t="str">
        <f ca="1">HydroRefineryCalcs!D833</f>
        <v>wt%</v>
      </c>
      <c r="AW234" s="1170">
        <f ca="1">HydroRefineryCalcs!G833</f>
        <v>21.263257011562786</v>
      </c>
      <c r="AX234" s="1170"/>
      <c r="AY234" s="1170"/>
      <c r="AZ234" s="1170"/>
      <c r="BA234" s="1170"/>
      <c r="BB234" s="1170"/>
      <c r="BC234" s="1170"/>
      <c r="BD234" s="1170" t="s">
        <v>224</v>
      </c>
      <c r="BE234" s="1170">
        <f ca="1">'HydroRefinery Detailed Results'!H22</f>
        <v>2.8820116714686205E-15</v>
      </c>
      <c r="BF234" s="1170"/>
      <c r="BG234" s="1170"/>
      <c r="BH234" s="1170"/>
      <c r="BI234" s="1170"/>
      <c r="BJ234" s="1170"/>
      <c r="BK234" s="1180"/>
      <c r="BL234" s="1170"/>
      <c r="BM234" s="1170"/>
      <c r="BN234" s="1170"/>
      <c r="BO234" s="1170"/>
      <c r="BP234" s="1170"/>
      <c r="BQ234" s="1170"/>
      <c r="BR234" s="1186" t="str">
        <f>HydroRefineryCalcs!C675</f>
        <v>API</v>
      </c>
      <c r="BS234" s="1170"/>
      <c r="BT234" s="1170"/>
      <c r="BU234" s="1170"/>
      <c r="BV234" s="1170"/>
      <c r="BW234" s="1170"/>
      <c r="BX234" s="1170"/>
      <c r="BY234" s="1170"/>
      <c r="BZ234" s="1170"/>
      <c r="CA234" s="1170"/>
      <c r="CB234" s="1170"/>
      <c r="CC234" s="1170"/>
      <c r="CD234" s="1170"/>
      <c r="CE234" s="1170"/>
      <c r="CF234" s="1170"/>
      <c r="CG234" s="1170"/>
      <c r="CH234" s="1170"/>
      <c r="CI234" s="1170"/>
      <c r="CJ234" s="1170"/>
      <c r="CK234" s="1170"/>
      <c r="CL234" s="1170"/>
      <c r="CM234" s="1170"/>
      <c r="CN234" s="1170"/>
      <c r="CO234" s="1170"/>
      <c r="CP234" s="1160"/>
      <c r="CQ234" s="1160"/>
      <c r="CR234" s="1160"/>
      <c r="CS234" s="1186" t="str">
        <f>HydroRefineryCalcs!C730</f>
        <v>API</v>
      </c>
      <c r="CT234" s="1170"/>
      <c r="CU234" s="1170">
        <f ca="1">HydroRefineryCalcs!H730</f>
        <v>59.716216216211393</v>
      </c>
      <c r="CV234" s="1160"/>
      <c r="CW234" s="1160"/>
      <c r="CX234" s="1160"/>
      <c r="CY234" s="1160"/>
      <c r="CZ234" s="1171"/>
      <c r="DA234" s="1160"/>
      <c r="DB234" s="1160"/>
      <c r="DC234" s="1160"/>
      <c r="DD234" s="1160"/>
      <c r="DE234" s="1160"/>
      <c r="DF234" s="1160"/>
      <c r="DG234" s="1160"/>
      <c r="DH234" s="1160"/>
      <c r="DI234" s="1160"/>
      <c r="DJ234" s="1160"/>
      <c r="DK234" s="1160"/>
      <c r="DL234" s="1160"/>
      <c r="DM234" s="1171"/>
      <c r="DN234" s="1160"/>
      <c r="DO234" s="1160"/>
      <c r="DP234" s="1160"/>
      <c r="DQ234" s="1160"/>
      <c r="DR234" s="1160"/>
      <c r="DS234" s="1160"/>
      <c r="DT234" s="1160"/>
      <c r="DU234" s="1160"/>
      <c r="DV234" s="1160"/>
      <c r="DW234" s="1160"/>
      <c r="DX234" s="1160"/>
      <c r="DY234" s="1160"/>
      <c r="DZ234" s="1160"/>
      <c r="EA234" s="1160"/>
      <c r="EB234" s="1160"/>
      <c r="EC234" s="1160"/>
    </row>
    <row r="235" spans="1:133" x14ac:dyDescent="0.2">
      <c r="A235" s="1160"/>
      <c r="B235" s="1160"/>
      <c r="C235" s="1160"/>
      <c r="D235" s="1160"/>
      <c r="E235" s="1170"/>
      <c r="F235" s="1170"/>
      <c r="G235" s="1170"/>
      <c r="H235" s="1170"/>
      <c r="I235" s="1170"/>
      <c r="J235" s="1170"/>
      <c r="K235" s="1170"/>
      <c r="L235" s="1170"/>
      <c r="M235" s="1170"/>
      <c r="N235" s="1170"/>
      <c r="O235" s="1170"/>
      <c r="P235" s="1170"/>
      <c r="Q235" s="1170"/>
      <c r="R235" s="1170"/>
      <c r="S235" s="1170"/>
      <c r="T235" s="1170"/>
      <c r="U235" s="1170"/>
      <c r="V235" s="1170"/>
      <c r="W235" s="1170"/>
      <c r="X235" s="1170"/>
      <c r="Y235" s="1170"/>
      <c r="Z235" s="1170"/>
      <c r="AA235" s="1170"/>
      <c r="AB235" s="1170"/>
      <c r="AC235" s="1170"/>
      <c r="AD235" s="1170"/>
      <c r="AE235" s="1170"/>
      <c r="AF235" s="1170"/>
      <c r="AG235" s="1170"/>
      <c r="AH235" s="1170"/>
      <c r="AI235" s="1170"/>
      <c r="AJ235" s="1170"/>
      <c r="AK235" s="1170"/>
      <c r="AL235" s="1170"/>
      <c r="AM235" s="1170"/>
      <c r="AN235" s="1170"/>
      <c r="AO235" s="1170"/>
      <c r="AP235" s="1170"/>
      <c r="AQ235" s="1170"/>
      <c r="AR235" s="1170"/>
      <c r="AS235" s="1170"/>
      <c r="AT235" s="1170"/>
      <c r="AU235" s="1186" t="str">
        <f>HydroRefineryCalcs!C834</f>
        <v>MCR</v>
      </c>
      <c r="AV235" s="1170" t="str">
        <f ca="1">HydroRefineryCalcs!D834</f>
        <v>wt%</v>
      </c>
      <c r="AW235" s="1170">
        <f>HydroRefineryCalcs!G834</f>
        <v>0</v>
      </c>
      <c r="AX235" s="1170"/>
      <c r="AY235" s="1170"/>
      <c r="AZ235" s="1170"/>
      <c r="BA235" s="1170"/>
      <c r="BB235" s="1170"/>
      <c r="BC235" s="1170"/>
      <c r="BD235" s="1170" t="s">
        <v>485</v>
      </c>
      <c r="BE235" s="1170">
        <f ca="1">'HydroRefinery Detailed Results'!J22</f>
        <v>1.2823916817881305E-16</v>
      </c>
      <c r="BF235" s="1170"/>
      <c r="BG235" s="1170"/>
      <c r="BH235" s="1170"/>
      <c r="BI235" s="1170"/>
      <c r="BJ235" s="1170"/>
      <c r="BK235" s="1183"/>
      <c r="BL235" s="1170"/>
      <c r="BM235" s="1170"/>
      <c r="BN235" s="1170"/>
      <c r="BO235" s="1170"/>
      <c r="BP235" s="1170"/>
      <c r="BQ235" s="1170"/>
      <c r="BR235" s="1186" t="str">
        <f>HydroRefineryCalcs!C676</f>
        <v>Density</v>
      </c>
      <c r="BS235" s="1170" t="str">
        <f>HydroRefineryCalcs!D676</f>
        <v>kg/m^3</v>
      </c>
      <c r="BT235" s="1170">
        <f>'Energy &amp; Unit Conversions'!$E$27/'Energy &amp; Unit Conversions'!$E$93/'Energy &amp; Unit Conversions'!$G$81</f>
        <v>1.1583209290581402</v>
      </c>
      <c r="BU235" s="1170"/>
      <c r="BV235" s="1170"/>
      <c r="BW235" s="1170"/>
      <c r="BX235" s="1170"/>
      <c r="BY235" s="1170"/>
      <c r="BZ235" s="1170"/>
      <c r="CA235" s="1170"/>
      <c r="CB235" s="1170"/>
      <c r="CC235" s="1170"/>
      <c r="CD235" s="1170"/>
      <c r="CE235" s="1170"/>
      <c r="CF235" s="1170"/>
      <c r="CG235" s="1170"/>
      <c r="CH235" s="1170"/>
      <c r="CI235" s="1170"/>
      <c r="CJ235" s="1170"/>
      <c r="CK235" s="1170"/>
      <c r="CL235" s="1170"/>
      <c r="CM235" s="1170"/>
      <c r="CN235" s="1170"/>
      <c r="CO235" s="1170"/>
      <c r="CP235" s="1160"/>
      <c r="CQ235" s="1160"/>
      <c r="CR235" s="1160"/>
      <c r="CS235" s="1186" t="str">
        <f>HydroRefineryCalcs!C731</f>
        <v>Density</v>
      </c>
      <c r="CT235" s="1170" t="str">
        <f>HydroRefineryCalcs!D731</f>
        <v>kg/m^3</v>
      </c>
      <c r="CU235" s="1170">
        <f ca="1">HydroRefineryCalcs!H731</f>
        <v>740.00000000001864</v>
      </c>
      <c r="CV235" s="1160"/>
      <c r="CW235" s="1160"/>
      <c r="CX235" s="1160"/>
      <c r="CY235" s="1160"/>
      <c r="CZ235" s="1171"/>
      <c r="DA235" s="1160"/>
      <c r="DB235" s="1160"/>
      <c r="DC235" s="1160"/>
      <c r="DD235" s="1160"/>
      <c r="DE235" s="1160"/>
      <c r="DF235" s="1160"/>
      <c r="DG235" s="1160"/>
      <c r="DH235" s="1160"/>
      <c r="DI235" s="1160"/>
      <c r="DJ235" s="1160"/>
      <c r="DK235" s="1160"/>
      <c r="DL235" s="1160"/>
      <c r="DM235" s="1171"/>
      <c r="DN235" s="1160"/>
      <c r="DO235" s="1160"/>
      <c r="DP235" s="1160"/>
      <c r="DQ235" s="1160"/>
      <c r="DR235" s="1160"/>
      <c r="DS235" s="1160"/>
      <c r="DT235" s="1160"/>
      <c r="DU235" s="1160"/>
      <c r="DV235" s="1160"/>
      <c r="DW235" s="1160"/>
      <c r="DX235" s="1160"/>
      <c r="DY235" s="1160"/>
      <c r="DZ235" s="1160"/>
      <c r="EA235" s="1160"/>
      <c r="EB235" s="1160"/>
      <c r="EC235" s="1160"/>
    </row>
    <row r="236" spans="1:133" x14ac:dyDescent="0.2">
      <c r="A236" s="1160"/>
      <c r="B236" s="1160"/>
      <c r="C236" s="1160"/>
      <c r="D236" s="1160"/>
      <c r="E236" s="1170"/>
      <c r="F236" s="1170"/>
      <c r="G236" s="1170"/>
      <c r="H236" s="1170"/>
      <c r="I236" s="1170"/>
      <c r="J236" s="1170"/>
      <c r="K236" s="1170"/>
      <c r="L236" s="1170"/>
      <c r="M236" s="1170"/>
      <c r="N236" s="1170"/>
      <c r="O236" s="1170"/>
      <c r="P236" s="1170"/>
      <c r="Q236" s="1170"/>
      <c r="R236" s="1170"/>
      <c r="S236" s="1170"/>
      <c r="T236" s="1170"/>
      <c r="U236" s="1170"/>
      <c r="V236" s="1170"/>
      <c r="W236" s="1170"/>
      <c r="X236" s="1170"/>
      <c r="Y236" s="1170"/>
      <c r="Z236" s="1170"/>
      <c r="AA236" s="1170"/>
      <c r="AB236" s="1170"/>
      <c r="AC236" s="1170"/>
      <c r="AD236" s="1170"/>
      <c r="AE236" s="1170"/>
      <c r="AF236" s="1170"/>
      <c r="AG236" s="1170"/>
      <c r="AH236" s="1170"/>
      <c r="AI236" s="1170"/>
      <c r="AJ236" s="1170"/>
      <c r="AK236" s="1170"/>
      <c r="AL236" s="1170"/>
      <c r="AM236" s="1170"/>
      <c r="AN236" s="1170"/>
      <c r="AO236" s="1170"/>
      <c r="AP236" s="1170"/>
      <c r="AQ236" s="1170"/>
      <c r="AR236" s="1170"/>
      <c r="AS236" s="1170"/>
      <c r="AT236" s="1170"/>
      <c r="AU236" s="1186" t="s">
        <v>1698</v>
      </c>
      <c r="AV236" s="1199" t="s">
        <v>447</v>
      </c>
      <c r="AW236" s="1252">
        <f>'Energy &amp; Unit Conversions'!$Q$27</f>
        <v>46.898519302437805</v>
      </c>
      <c r="AX236" s="1170"/>
      <c r="AY236" s="1170"/>
      <c r="AZ236" s="1170"/>
      <c r="BA236" s="1170"/>
      <c r="BB236" s="1170"/>
      <c r="BC236" s="1170"/>
      <c r="BD236" s="1170" t="s">
        <v>541</v>
      </c>
      <c r="BE236" s="1170">
        <f>'HydroRefinery Detailed Results'!L22</f>
        <v>0</v>
      </c>
      <c r="BF236" s="1170"/>
      <c r="BG236" s="1170"/>
      <c r="BH236" s="1170"/>
      <c r="BI236" s="1170"/>
      <c r="BJ236" s="1170"/>
      <c r="BK236" s="1170"/>
      <c r="BL236" s="1170"/>
      <c r="BM236" s="1170"/>
      <c r="BN236" s="1170"/>
      <c r="BO236" s="1170"/>
      <c r="BP236" s="1170"/>
      <c r="BQ236" s="1170"/>
      <c r="BR236" s="1186" t="str">
        <f>HydroRefineryCalcs!C677</f>
        <v>H</v>
      </c>
      <c r="BS236" s="1170" t="str">
        <f>HydroRefineryCalcs!D677</f>
        <v>wt%</v>
      </c>
      <c r="BT236" s="1170">
        <f ca="1">HydroRefineryCalcs!F677</f>
        <v>22.79696969696969</v>
      </c>
      <c r="BU236" s="1170"/>
      <c r="BV236" s="1170"/>
      <c r="BW236" s="1170"/>
      <c r="BX236" s="1170"/>
      <c r="BY236" s="1170"/>
      <c r="BZ236" s="1170"/>
      <c r="CA236" s="1181" t="str">
        <f>HydroRefineryCalcs!K670</f>
        <v>Total FCC Liquids</v>
      </c>
      <c r="CB236" s="1170"/>
      <c r="CC236" s="1170"/>
      <c r="CD236" s="1170"/>
      <c r="CE236" s="1170"/>
      <c r="CF236" s="1170"/>
      <c r="CG236" s="1170"/>
      <c r="CH236" s="1170"/>
      <c r="CI236" s="1170"/>
      <c r="CJ236" s="1170"/>
      <c r="CK236" s="1170"/>
      <c r="CL236" s="1170"/>
      <c r="CM236" s="1170"/>
      <c r="CN236" s="1170"/>
      <c r="CO236" s="1170"/>
      <c r="CP236" s="1160"/>
      <c r="CQ236" s="1160"/>
      <c r="CR236" s="1160"/>
      <c r="CS236" s="1186" t="str">
        <f>HydroRefineryCalcs!C732</f>
        <v>H</v>
      </c>
      <c r="CT236" s="1170" t="str">
        <f>HydroRefineryCalcs!D732</f>
        <v>wt%</v>
      </c>
      <c r="CU236" s="1170">
        <f ca="1">HydroRefineryCalcs!H732</f>
        <v>14.499999999999085</v>
      </c>
      <c r="CV236" s="1160"/>
      <c r="CW236" s="1160"/>
      <c r="CX236" s="1160"/>
      <c r="CY236" s="1160"/>
      <c r="CZ236" s="1171"/>
      <c r="DA236" s="1160"/>
      <c r="DB236" s="1160"/>
      <c r="DC236" s="1160"/>
      <c r="DD236" s="1160"/>
      <c r="DE236" s="1160"/>
      <c r="DF236" s="1160"/>
      <c r="DG236" s="1160"/>
      <c r="DH236" s="1160"/>
      <c r="DI236" s="1160"/>
      <c r="DJ236" s="1160"/>
      <c r="DK236" s="1160"/>
      <c r="DL236" s="1160"/>
      <c r="DM236" s="1171"/>
      <c r="DN236" s="1160"/>
      <c r="DO236" s="1160"/>
      <c r="DP236" s="1160"/>
      <c r="DQ236" s="1160"/>
      <c r="DR236" s="1160"/>
      <c r="DS236" s="1160"/>
      <c r="DT236" s="1160"/>
      <c r="DU236" s="1160"/>
      <c r="DV236" s="1160"/>
      <c r="DW236" s="1160"/>
      <c r="DX236" s="1160"/>
      <c r="DY236" s="1160"/>
      <c r="DZ236" s="1160"/>
      <c r="EA236" s="1160"/>
      <c r="EB236" s="1160"/>
      <c r="EC236" s="1160"/>
    </row>
    <row r="237" spans="1:133" x14ac:dyDescent="0.2">
      <c r="A237" s="1160"/>
      <c r="B237" s="1160"/>
      <c r="C237" s="1160"/>
      <c r="D237" s="1160"/>
      <c r="E237" s="1170"/>
      <c r="F237" s="1170"/>
      <c r="G237" s="1170"/>
      <c r="H237" s="1170"/>
      <c r="I237" s="1170"/>
      <c r="J237" s="1170"/>
      <c r="K237" s="1170"/>
      <c r="L237" s="1170"/>
      <c r="M237" s="1170"/>
      <c r="N237" s="1170"/>
      <c r="O237" s="1170"/>
      <c r="P237" s="1170"/>
      <c r="Q237" s="1170"/>
      <c r="R237" s="1170"/>
      <c r="S237" s="1170"/>
      <c r="T237" s="1170"/>
      <c r="U237" s="1170"/>
      <c r="V237" s="1170"/>
      <c r="W237" s="1170"/>
      <c r="X237" s="1170"/>
      <c r="Y237" s="1170"/>
      <c r="Z237" s="1170"/>
      <c r="AA237" s="1170"/>
      <c r="AB237" s="1170"/>
      <c r="AC237" s="1170"/>
      <c r="AD237" s="1170"/>
      <c r="AE237" s="1170"/>
      <c r="AF237" s="1170"/>
      <c r="AG237" s="1170"/>
      <c r="AH237" s="1170"/>
      <c r="AI237" s="1170"/>
      <c r="AJ237" s="1170"/>
      <c r="AK237" s="1170"/>
      <c r="AL237" s="1170"/>
      <c r="AM237" s="1170"/>
      <c r="AN237" s="1170"/>
      <c r="AO237" s="1170"/>
      <c r="AP237" s="1170"/>
      <c r="AQ237" s="1170"/>
      <c r="AR237" s="1170"/>
      <c r="AS237" s="1170"/>
      <c r="AT237" s="1170"/>
      <c r="AU237" s="1200" t="s">
        <v>1021</v>
      </c>
      <c r="AV237" s="1199" t="s">
        <v>1022</v>
      </c>
      <c r="AW237" s="1252">
        <f>Constants!$G$353</f>
        <v>33.957001686096191</v>
      </c>
      <c r="AX237" s="1170"/>
      <c r="AY237" s="1170"/>
      <c r="AZ237" s="1170"/>
      <c r="BA237" s="1170"/>
      <c r="BB237" s="1170"/>
      <c r="BC237" s="1170"/>
      <c r="BD237" s="1170"/>
      <c r="BE237" s="1170"/>
      <c r="BF237" s="1170"/>
      <c r="BG237" s="1170"/>
      <c r="BH237" s="1170"/>
      <c r="BI237" s="1170"/>
      <c r="BJ237" s="1170"/>
      <c r="BK237" s="1170"/>
      <c r="BL237" s="1170"/>
      <c r="BM237" s="1170"/>
      <c r="BN237" s="1170"/>
      <c r="BO237" s="1170"/>
      <c r="BP237" s="1170"/>
      <c r="BQ237" s="1170"/>
      <c r="BR237" s="1170"/>
      <c r="BS237" s="1170"/>
      <c r="BT237" s="1170"/>
      <c r="BU237" s="1170"/>
      <c r="BV237" s="1170"/>
      <c r="BW237" s="1170"/>
      <c r="BX237" s="1170"/>
      <c r="BY237" s="1170"/>
      <c r="BZ237" s="1170"/>
      <c r="CA237" s="1182" t="str">
        <f>HydroRefineryCalcs!C670</f>
        <v>Property</v>
      </c>
      <c r="CB237" s="1182" t="str">
        <f>HydroRefineryCalcs!D670</f>
        <v>Units</v>
      </c>
      <c r="CC237" s="1170"/>
      <c r="CD237" s="1170"/>
      <c r="CE237" s="1170"/>
      <c r="CF237" s="1170"/>
      <c r="CG237" s="1170"/>
      <c r="CH237" s="1170"/>
      <c r="CI237" s="1170"/>
      <c r="CJ237" s="1170"/>
      <c r="CK237" s="1170"/>
      <c r="CL237" s="1170"/>
      <c r="CM237" s="1170"/>
      <c r="CN237" s="1170"/>
      <c r="CO237" s="1170"/>
      <c r="CP237" s="1160"/>
      <c r="CQ237" s="1160"/>
      <c r="CR237" s="1160"/>
      <c r="CS237" s="1186" t="str">
        <f>HydroRefineryCalcs!C733</f>
        <v>MCR</v>
      </c>
      <c r="CT237" s="1170" t="str">
        <f>HydroRefineryCalcs!D733</f>
        <v>wt%</v>
      </c>
      <c r="CU237" s="1170">
        <f ca="1">HydroRefineryCalcs!H733</f>
        <v>8</v>
      </c>
      <c r="CV237" s="1160"/>
      <c r="CW237" s="1160"/>
      <c r="CX237" s="1160"/>
      <c r="CY237" s="1160"/>
      <c r="CZ237" s="1171"/>
      <c r="DA237" s="1160"/>
      <c r="DB237" s="1160"/>
      <c r="DC237" s="1160"/>
      <c r="DD237" s="1160"/>
      <c r="DE237" s="1160"/>
      <c r="DF237" s="1160"/>
      <c r="DG237" s="1160"/>
      <c r="DH237" s="1160"/>
      <c r="DI237" s="1160"/>
      <c r="DJ237" s="1160"/>
      <c r="DK237" s="1160"/>
      <c r="DL237" s="1160"/>
      <c r="DM237" s="1171"/>
      <c r="DN237" s="1160"/>
      <c r="DO237" s="1160"/>
      <c r="DP237" s="1160"/>
      <c r="DQ237" s="1160"/>
      <c r="DR237" s="1160"/>
      <c r="DS237" s="1160"/>
      <c r="DT237" s="1160"/>
      <c r="DU237" s="1160"/>
      <c r="DV237" s="1160"/>
      <c r="DW237" s="1160"/>
      <c r="DX237" s="1160"/>
      <c r="DY237" s="1160"/>
      <c r="DZ237" s="1160"/>
      <c r="EA237" s="1160"/>
      <c r="EB237" s="1160"/>
      <c r="EC237" s="1160"/>
    </row>
    <row r="238" spans="1:133" x14ac:dyDescent="0.2">
      <c r="A238" s="1160"/>
      <c r="B238" s="1160"/>
      <c r="C238" s="1160"/>
      <c r="D238" s="1160"/>
      <c r="E238" s="1170"/>
      <c r="F238" s="1170"/>
      <c r="G238" s="1170"/>
      <c r="H238" s="1170"/>
      <c r="I238" s="1170"/>
      <c r="J238" s="1170"/>
      <c r="K238" s="1170"/>
      <c r="L238" s="1170"/>
      <c r="M238" s="1170"/>
      <c r="N238" s="1170"/>
      <c r="O238" s="1170"/>
      <c r="P238" s="1170"/>
      <c r="Q238" s="1170"/>
      <c r="R238" s="1170"/>
      <c r="S238" s="1170"/>
      <c r="T238" s="1170"/>
      <c r="U238" s="1170"/>
      <c r="V238" s="1170"/>
      <c r="W238" s="1170"/>
      <c r="X238" s="1170"/>
      <c r="Y238" s="1170"/>
      <c r="Z238" s="1170"/>
      <c r="AA238" s="1170"/>
      <c r="AB238" s="1170"/>
      <c r="AC238" s="1170"/>
      <c r="AD238" s="1170"/>
      <c r="AE238" s="1170"/>
      <c r="AF238" s="1170"/>
      <c r="AG238" s="1170"/>
      <c r="AH238" s="1170"/>
      <c r="AI238" s="1170"/>
      <c r="AJ238" s="1170"/>
      <c r="AK238" s="1170"/>
      <c r="AL238" s="1170"/>
      <c r="AM238" s="1170"/>
      <c r="AN238" s="1170"/>
      <c r="AO238" s="1170"/>
      <c r="AP238" s="1170"/>
      <c r="AQ238" s="1170"/>
      <c r="AR238" s="1170"/>
      <c r="AS238" s="1170"/>
      <c r="AT238" s="1170"/>
      <c r="AU238" s="1204" t="s">
        <v>1054</v>
      </c>
      <c r="AV238" s="1204" t="str">
        <f>IF(allocationMethod=1,CokingRefineryPFD!$C$21,IF(CokingRefineryPFD!$E$20,CokingRefineryPFD!$C$22,IF(CokingRefineryPFD!$E$20,CokingRefineryPFD!$C$23,CokingRefineryPFD!$C$24)))</f>
        <v>Energy Basis</v>
      </c>
      <c r="AW238" s="1250">
        <f ca="1">HydroRefineryCalcs!R1514</f>
        <v>0</v>
      </c>
      <c r="AX238" s="1170"/>
      <c r="AY238" s="1170"/>
      <c r="AZ238" s="1170"/>
      <c r="BA238" s="1170"/>
      <c r="BB238" s="1170"/>
      <c r="BC238" s="1170"/>
      <c r="BD238" s="1170"/>
      <c r="BE238" s="1170"/>
      <c r="BF238" s="1170"/>
      <c r="BG238" s="1170"/>
      <c r="BH238" s="1170"/>
      <c r="BI238" s="1170"/>
      <c r="BJ238" s="1170"/>
      <c r="BK238" s="1170"/>
      <c r="BL238" s="1170"/>
      <c r="BM238" s="1170"/>
      <c r="BN238" s="1170"/>
      <c r="BO238" s="1170"/>
      <c r="BP238" s="1170"/>
      <c r="BQ238" s="1170"/>
      <c r="BR238" s="1186" t="s">
        <v>1698</v>
      </c>
      <c r="BS238" s="1199" t="s">
        <v>447</v>
      </c>
      <c r="BT238" s="1252">
        <f>'Energy &amp; Unit Conversions'!$Q$27</f>
        <v>46.898519302437805</v>
      </c>
      <c r="BU238" s="1170"/>
      <c r="BV238" s="1170"/>
      <c r="BW238" s="1170"/>
      <c r="BX238" s="1170"/>
      <c r="BY238" s="1170"/>
      <c r="BZ238" s="1170"/>
      <c r="CA238" s="1186" t="str">
        <f>HydroRefineryCalcs!C671</f>
        <v>Vol Flow</v>
      </c>
      <c r="CB238" s="1170" t="str">
        <f>HydroRefineryCalcs!D671</f>
        <v>bpd</v>
      </c>
      <c r="CC238" s="1187">
        <f ca="1">HydroRefineryCalcs!K671</f>
        <v>1.8559551126796729E-16</v>
      </c>
      <c r="CD238" s="1170"/>
      <c r="CE238" s="1170"/>
      <c r="CF238" s="1170"/>
      <c r="CG238" s="1170"/>
      <c r="CH238" s="1170"/>
      <c r="CI238" s="1170"/>
      <c r="CJ238" s="1170"/>
      <c r="CK238" s="1170"/>
      <c r="CL238" s="1170"/>
      <c r="CM238" s="1170"/>
      <c r="CN238" s="1170"/>
      <c r="CO238" s="1170"/>
      <c r="CP238" s="1160"/>
      <c r="CQ238" s="1160"/>
      <c r="CR238" s="1160"/>
      <c r="CS238" s="1186" t="s">
        <v>1698</v>
      </c>
      <c r="CT238" s="1199" t="s">
        <v>447</v>
      </c>
      <c r="CU238" s="1199">
        <f ca="1">('Energy &amp; Unit Conversions'!$D$63-('Energy &amp; Unit Conversions'!$E$63*POWER((CU235/'Energy &amp; Unit Conversions'!$E$54),2)))</f>
        <v>42.34751939058868</v>
      </c>
      <c r="CV238" s="1160"/>
      <c r="CW238" s="1160"/>
      <c r="CX238" s="1160"/>
      <c r="CY238" s="1160"/>
      <c r="CZ238" s="1171"/>
      <c r="DA238" s="1160"/>
      <c r="DB238" s="1160"/>
      <c r="DC238" s="1160"/>
      <c r="DD238" s="1160"/>
      <c r="DE238" s="1160"/>
      <c r="DF238" s="1160"/>
      <c r="DG238" s="1160"/>
      <c r="DH238" s="1160"/>
      <c r="DI238" s="1160"/>
      <c r="DJ238" s="1160"/>
      <c r="DK238" s="1160"/>
      <c r="DL238" s="1160"/>
      <c r="DM238" s="1171"/>
      <c r="DN238" s="1160"/>
      <c r="DO238" s="1160"/>
      <c r="DP238" s="1160"/>
      <c r="DQ238" s="1160"/>
      <c r="DR238" s="1160"/>
      <c r="DS238" s="1160"/>
      <c r="DT238" s="1160"/>
      <c r="DU238" s="1160"/>
      <c r="DV238" s="1160"/>
      <c r="DW238" s="1160"/>
      <c r="DX238" s="1160"/>
      <c r="DY238" s="1160"/>
      <c r="DZ238" s="1160"/>
      <c r="EA238" s="1160"/>
      <c r="EB238" s="1160"/>
      <c r="EC238" s="1160"/>
    </row>
    <row r="239" spans="1:133" x14ac:dyDescent="0.2">
      <c r="A239" s="1160"/>
      <c r="B239" s="1160"/>
      <c r="C239" s="1160"/>
      <c r="D239" s="1160"/>
      <c r="E239" s="1170"/>
      <c r="F239" s="1170"/>
      <c r="G239" s="1170"/>
      <c r="H239" s="1170"/>
      <c r="I239" s="1170"/>
      <c r="J239" s="1170"/>
      <c r="K239" s="1170"/>
      <c r="L239" s="1170"/>
      <c r="M239" s="1170"/>
      <c r="N239" s="1170"/>
      <c r="O239" s="1170"/>
      <c r="P239" s="1170"/>
      <c r="Q239" s="1170"/>
      <c r="R239" s="1170"/>
      <c r="S239" s="1170"/>
      <c r="T239" s="1170"/>
      <c r="U239" s="1170"/>
      <c r="V239" s="1170"/>
      <c r="W239" s="1170"/>
      <c r="X239" s="1170"/>
      <c r="Y239" s="1170"/>
      <c r="Z239" s="1170"/>
      <c r="AA239" s="1170"/>
      <c r="AB239" s="1170"/>
      <c r="AC239" s="1170"/>
      <c r="AD239" s="1170"/>
      <c r="AE239" s="1170"/>
      <c r="AF239" s="1170"/>
      <c r="AG239" s="1170"/>
      <c r="AH239" s="1170"/>
      <c r="AI239" s="1170"/>
      <c r="AJ239" s="1170"/>
      <c r="AK239" s="1170"/>
      <c r="AL239" s="1170"/>
      <c r="AM239" s="1170"/>
      <c r="AN239" s="1170"/>
      <c r="AO239" s="1170"/>
      <c r="AP239" s="1170"/>
      <c r="AQ239" s="1170"/>
      <c r="AR239" s="1170"/>
      <c r="AS239" s="1170"/>
      <c r="AT239" s="1170"/>
      <c r="AU239" s="1170"/>
      <c r="AV239" s="1170"/>
      <c r="AW239" s="1170"/>
      <c r="AX239" s="1170"/>
      <c r="AY239" s="1170"/>
      <c r="AZ239" s="1170"/>
      <c r="BA239" s="1170"/>
      <c r="BB239" s="1170"/>
      <c r="BC239" s="1170"/>
      <c r="BD239" s="1170"/>
      <c r="BE239" s="1170"/>
      <c r="BF239" s="1170"/>
      <c r="BG239" s="1170"/>
      <c r="BH239" s="1170"/>
      <c r="BI239" s="1170"/>
      <c r="BJ239" s="1170"/>
      <c r="BK239" s="1170"/>
      <c r="BL239" s="1170"/>
      <c r="BM239" s="1170"/>
      <c r="BN239" s="1170"/>
      <c r="BO239" s="1170"/>
      <c r="BP239" s="1170"/>
      <c r="BQ239" s="1170"/>
      <c r="BR239" s="1200" t="s">
        <v>1021</v>
      </c>
      <c r="BS239" s="1199" t="s">
        <v>1022</v>
      </c>
      <c r="BT239" s="1252">
        <f>Constants!$G$353</f>
        <v>33.957001686096191</v>
      </c>
      <c r="BU239" s="1170"/>
      <c r="BV239" s="1170"/>
      <c r="BW239" s="1170"/>
      <c r="BX239" s="1170"/>
      <c r="BY239" s="1170"/>
      <c r="BZ239" s="1170"/>
      <c r="CA239" s="1186" t="str">
        <f>HydroRefineryCalcs!C672</f>
        <v>Vol Flow</v>
      </c>
      <c r="CB239" s="1170" t="str">
        <f>HydroRefineryCalcs!D672</f>
        <v>m^3/d</v>
      </c>
      <c r="CC239" s="1187">
        <f ca="1">HydroRefineryCalcs!K672</f>
        <v>2.9507329228613699E-17</v>
      </c>
      <c r="CD239" s="1170"/>
      <c r="CE239" s="1170"/>
      <c r="CF239" s="1170"/>
      <c r="CG239" s="1170"/>
      <c r="CH239" s="1170"/>
      <c r="CI239" s="1170"/>
      <c r="CJ239" s="1170"/>
      <c r="CK239" s="1170"/>
      <c r="CL239" s="1170"/>
      <c r="CM239" s="1170"/>
      <c r="CN239" s="1170"/>
      <c r="CO239" s="1170"/>
      <c r="CP239" s="1160"/>
      <c r="CQ239" s="1160"/>
      <c r="CR239" s="1160"/>
      <c r="CS239" s="1200" t="s">
        <v>1021</v>
      </c>
      <c r="CT239" s="1199" t="s">
        <v>1022</v>
      </c>
      <c r="CU239" s="1252">
        <f>Constants!G351</f>
        <v>85.724998474121094</v>
      </c>
      <c r="CV239" s="1160"/>
      <c r="CW239" s="1160"/>
      <c r="CX239" s="1160"/>
      <c r="CY239" s="1160"/>
      <c r="CZ239" s="1171"/>
      <c r="DA239" s="1160"/>
      <c r="DB239" s="1160"/>
      <c r="DC239" s="1160"/>
      <c r="DD239" s="1160"/>
      <c r="DE239" s="1160"/>
      <c r="DF239" s="1160"/>
      <c r="DG239" s="1160"/>
      <c r="DH239" s="1160"/>
      <c r="DI239" s="1160"/>
      <c r="DJ239" s="1160"/>
      <c r="DK239" s="1160"/>
      <c r="DL239" s="1160"/>
      <c r="DM239" s="1171"/>
      <c r="DN239" s="1160"/>
      <c r="DO239" s="1160"/>
      <c r="DP239" s="1160"/>
      <c r="DQ239" s="1160"/>
      <c r="DR239" s="1160"/>
      <c r="DS239" s="1160"/>
      <c r="DT239" s="1160"/>
      <c r="DU239" s="1160"/>
      <c r="DV239" s="1160"/>
      <c r="DW239" s="1160"/>
      <c r="DX239" s="1160"/>
      <c r="DY239" s="1160"/>
      <c r="DZ239" s="1160"/>
      <c r="EA239" s="1160"/>
      <c r="EB239" s="1160"/>
      <c r="EC239" s="1160"/>
    </row>
    <row r="240" spans="1:133" x14ac:dyDescent="0.2">
      <c r="A240" s="1160"/>
      <c r="B240" s="1160"/>
      <c r="C240" s="1160"/>
      <c r="D240" s="1160"/>
      <c r="E240" s="1170"/>
      <c r="F240" s="1170"/>
      <c r="G240" s="1170"/>
      <c r="H240" s="1170"/>
      <c r="I240" s="1170"/>
      <c r="J240" s="1170"/>
      <c r="K240" s="1170"/>
      <c r="L240" s="1170"/>
      <c r="M240" s="1170"/>
      <c r="N240" s="1170"/>
      <c r="O240" s="1170"/>
      <c r="P240" s="1170"/>
      <c r="Q240" s="1170"/>
      <c r="R240" s="1170"/>
      <c r="S240" s="1170"/>
      <c r="T240" s="1170"/>
      <c r="U240" s="1170"/>
      <c r="V240" s="1170"/>
      <c r="W240" s="1170"/>
      <c r="X240" s="1170"/>
      <c r="Y240" s="1170"/>
      <c r="Z240" s="1170"/>
      <c r="AA240" s="1170"/>
      <c r="AB240" s="1170"/>
      <c r="AC240" s="1170"/>
      <c r="AD240" s="1170"/>
      <c r="AE240" s="1170"/>
      <c r="AF240" s="1170"/>
      <c r="AG240" s="1170"/>
      <c r="AH240" s="1170"/>
      <c r="AI240" s="1170"/>
      <c r="AJ240" s="1170"/>
      <c r="AK240" s="1170"/>
      <c r="AL240" s="1170"/>
      <c r="AM240" s="1170"/>
      <c r="AN240" s="1170"/>
      <c r="AO240" s="1170"/>
      <c r="AP240" s="1170"/>
      <c r="AQ240" s="1170"/>
      <c r="AR240" s="1170"/>
      <c r="AS240" s="1170"/>
      <c r="AT240" s="1170"/>
      <c r="AU240" s="1170"/>
      <c r="AV240" s="1170"/>
      <c r="AW240" s="1170"/>
      <c r="AX240" s="1170"/>
      <c r="AY240" s="1170"/>
      <c r="AZ240" s="1181" t="str">
        <f>HydroRefineryCalcs!F825</f>
        <v>RHC  Liquids Product</v>
      </c>
      <c r="BA240" s="1170"/>
      <c r="BB240" s="1170"/>
      <c r="BC240" s="1170"/>
      <c r="BD240" s="1170"/>
      <c r="BE240" s="1170"/>
      <c r="BF240" s="1170"/>
      <c r="BG240" s="1170"/>
      <c r="BH240" s="1170"/>
      <c r="BI240" s="1170"/>
      <c r="BJ240" s="1170"/>
      <c r="BK240" s="1170"/>
      <c r="BL240" s="1170"/>
      <c r="BM240" s="1170"/>
      <c r="BN240" s="1170"/>
      <c r="BO240" s="1170"/>
      <c r="BP240" s="1170"/>
      <c r="BQ240" s="1170"/>
      <c r="BR240" s="1204" t="s">
        <v>1054</v>
      </c>
      <c r="BS240" s="1204" t="str">
        <f>IF(allocationMethod=1,CokingRefineryPFD!$C$21,IF(allocationMethod=2,CokingRefineryPFD!$C$22,IF(allocationMethod=3,CokingRefineryPFD!$C$23,CokingRefineryPFD!$C$24)))</f>
        <v>Hydrogen Content Basis</v>
      </c>
      <c r="BT240" s="1250">
        <f ca="1">HydroRefineryCalcs!R1517</f>
        <v>0</v>
      </c>
      <c r="BU240" s="1170"/>
      <c r="BV240" s="1170"/>
      <c r="BW240" s="1170"/>
      <c r="BX240" s="1170"/>
      <c r="BY240" s="1170"/>
      <c r="BZ240" s="1170"/>
      <c r="CA240" s="1186" t="str">
        <f>HydroRefineryCalcs!C673</f>
        <v>Mass Flow</v>
      </c>
      <c r="CB240" s="1170" t="str">
        <f>HydroRefineryCalcs!D673</f>
        <v>kg/d</v>
      </c>
      <c r="CC240" s="1187">
        <f ca="1">HydroRefineryCalcs!K673</f>
        <v>2.3302293354763614E-14</v>
      </c>
      <c r="CD240" s="1170"/>
      <c r="CE240" s="1170"/>
      <c r="CF240" s="1170"/>
      <c r="CG240" s="1170"/>
      <c r="CH240" s="1170"/>
      <c r="CI240" s="1170"/>
      <c r="CJ240" s="1170"/>
      <c r="CK240" s="1170"/>
      <c r="CL240" s="1170"/>
      <c r="CM240" s="1170"/>
      <c r="CN240" s="1170"/>
      <c r="CO240" s="1170"/>
      <c r="CP240" s="1160"/>
      <c r="CQ240" s="1160"/>
      <c r="CR240" s="1160"/>
      <c r="CS240" s="1204" t="s">
        <v>1054</v>
      </c>
      <c r="CT240" s="1204" t="str">
        <f>IF(allocationMethod=1,CokingRefineryPFD!$C$21,IF(allocationMethod=2,CokingRefineryPFD!$C$22,IF(allocationMethod=3,CokingRefineryPFD!$C$23,CokingRefineryPFD!$C$24)))</f>
        <v>Hydrogen Content Basis</v>
      </c>
      <c r="CU240" s="1250">
        <f ca="1">IF(allocationMethod=1,CU232,IF(allocationMethod=2,CU238*CU232,IF(allocationMethod=3,CU239*CU230,CU236*CU232/100)))</f>
        <v>1.8934698109535699E-15</v>
      </c>
      <c r="CV240" s="1160"/>
      <c r="CW240" s="1160"/>
      <c r="CX240" s="1160"/>
      <c r="CY240" s="1160"/>
      <c r="CZ240" s="1171"/>
      <c r="DA240" s="1160"/>
      <c r="DB240" s="1160"/>
      <c r="DC240" s="1160"/>
      <c r="DD240" s="1160"/>
      <c r="DE240" s="1160"/>
      <c r="DF240" s="1160"/>
      <c r="DG240" s="1160"/>
      <c r="DH240" s="1160"/>
      <c r="DI240" s="1160"/>
      <c r="DJ240" s="1160"/>
      <c r="DK240" s="1160"/>
      <c r="DL240" s="1160"/>
      <c r="DM240" s="1171"/>
      <c r="DN240" s="1160"/>
      <c r="DO240" s="1160"/>
      <c r="DP240" s="1160"/>
      <c r="DQ240" s="1160"/>
      <c r="DR240" s="1160"/>
      <c r="DS240" s="1160"/>
      <c r="DT240" s="1160"/>
      <c r="DU240" s="1160"/>
      <c r="DV240" s="1160"/>
      <c r="DW240" s="1160"/>
      <c r="DX240" s="1160"/>
      <c r="DY240" s="1160"/>
      <c r="DZ240" s="1160"/>
      <c r="EA240" s="1160"/>
      <c r="EB240" s="1160"/>
      <c r="EC240" s="1160"/>
    </row>
    <row r="241" spans="1:133" x14ac:dyDescent="0.2">
      <c r="A241" s="1160"/>
      <c r="B241" s="1160"/>
      <c r="C241" s="1160"/>
      <c r="D241" s="1160"/>
      <c r="E241" s="1170"/>
      <c r="F241" s="1170"/>
      <c r="G241" s="1170"/>
      <c r="H241" s="1170"/>
      <c r="I241" s="1170"/>
      <c r="J241" s="1170"/>
      <c r="K241" s="1170"/>
      <c r="L241" s="1170"/>
      <c r="M241" s="1170"/>
      <c r="N241" s="1170"/>
      <c r="O241" s="1170"/>
      <c r="P241" s="1170"/>
      <c r="Q241" s="1170"/>
      <c r="R241" s="1170"/>
      <c r="S241" s="1170"/>
      <c r="T241" s="1170"/>
      <c r="U241" s="1170"/>
      <c r="V241" s="1170"/>
      <c r="W241" s="1170"/>
      <c r="X241" s="1170"/>
      <c r="Y241" s="1170"/>
      <c r="Z241" s="1170"/>
      <c r="AA241" s="1170"/>
      <c r="AB241" s="1170"/>
      <c r="AC241" s="1170"/>
      <c r="AD241" s="1170"/>
      <c r="AE241" s="1170"/>
      <c r="AF241" s="1170"/>
      <c r="AG241" s="1170"/>
      <c r="AH241" s="1170"/>
      <c r="AI241" s="1170"/>
      <c r="AJ241" s="1170"/>
      <c r="AK241" s="1170"/>
      <c r="AL241" s="1170"/>
      <c r="AM241" s="1170"/>
      <c r="AN241" s="1170"/>
      <c r="AO241" s="1170"/>
      <c r="AP241" s="1170"/>
      <c r="AQ241" s="1170"/>
      <c r="AR241" s="1170"/>
      <c r="AS241" s="1170"/>
      <c r="AT241" s="1170"/>
      <c r="AU241" s="1170"/>
      <c r="AV241" s="1170"/>
      <c r="AW241" s="1170"/>
      <c r="AX241" s="1170"/>
      <c r="AY241" s="1170"/>
      <c r="AZ241" s="1182" t="str">
        <f>HydroRefineryCalcs!C803</f>
        <v>Property</v>
      </c>
      <c r="BA241" s="1182" t="str">
        <f>HydroRefineryCalcs!D803</f>
        <v>Units</v>
      </c>
      <c r="BB241" s="1170"/>
      <c r="BC241" s="1170"/>
      <c r="BD241" s="1170"/>
      <c r="BE241" s="1170"/>
      <c r="BF241" s="1170"/>
      <c r="BG241" s="1170"/>
      <c r="BH241" s="1170"/>
      <c r="BI241" s="1170"/>
      <c r="BJ241" s="1170"/>
      <c r="BK241" s="1180"/>
      <c r="BL241" s="1170"/>
      <c r="BM241" s="1170"/>
      <c r="BN241" s="1170"/>
      <c r="BO241" s="1170"/>
      <c r="BP241" s="1170"/>
      <c r="BQ241" s="1170"/>
      <c r="BR241" s="1170"/>
      <c r="BS241" s="1170"/>
      <c r="BT241" s="1170"/>
      <c r="BU241" s="1170"/>
      <c r="BV241" s="1170"/>
      <c r="BW241" s="1170"/>
      <c r="BX241" s="1170"/>
      <c r="BY241" s="1170"/>
      <c r="BZ241" s="1170"/>
      <c r="CA241" s="1186" t="str">
        <f>HydroRefineryCalcs!C674</f>
        <v>S</v>
      </c>
      <c r="CB241" s="1170" t="str">
        <f>HydroRefineryCalcs!D674</f>
        <v>wt%</v>
      </c>
      <c r="CC241" s="1170">
        <f ca="1">HydroRefineryCalcs!K674</f>
        <v>0</v>
      </c>
      <c r="CD241" s="1170"/>
      <c r="CE241" s="1170"/>
      <c r="CF241" s="1170"/>
      <c r="CG241" s="1170"/>
      <c r="CH241" s="1170"/>
      <c r="CI241" s="1170"/>
      <c r="CJ241" s="1170"/>
      <c r="CK241" s="1170"/>
      <c r="CL241" s="1170"/>
      <c r="CM241" s="1170"/>
      <c r="CN241" s="1170"/>
      <c r="CO241" s="1170"/>
      <c r="CP241" s="1160"/>
      <c r="CQ241" s="1160"/>
      <c r="CR241" s="1160"/>
      <c r="CS241" s="1180" t="str">
        <f>CS228</f>
        <v>FCC Gasoline</v>
      </c>
      <c r="CT241" s="1170"/>
      <c r="CU241" s="1160"/>
      <c r="CV241" s="1160"/>
      <c r="CW241" s="1160"/>
      <c r="CX241" s="1160"/>
      <c r="CY241" s="1160"/>
      <c r="CZ241" s="1171"/>
      <c r="DA241" s="1160"/>
      <c r="DB241" s="1160"/>
      <c r="DC241" s="1160"/>
      <c r="DD241" s="1160"/>
      <c r="DE241" s="1160"/>
      <c r="DF241" s="1160"/>
      <c r="DG241" s="1160"/>
      <c r="DH241" s="1160"/>
      <c r="DI241" s="1160"/>
      <c r="DJ241" s="1160"/>
      <c r="DK241" s="1160"/>
      <c r="DL241" s="1160"/>
      <c r="DM241" s="1171"/>
      <c r="DN241" s="1160"/>
      <c r="DO241" s="1160"/>
      <c r="DP241" s="1160"/>
      <c r="DQ241" s="1160"/>
      <c r="DR241" s="1160"/>
      <c r="DS241" s="1160"/>
      <c r="DT241" s="1160"/>
      <c r="DU241" s="1160"/>
      <c r="DV241" s="1160"/>
      <c r="DW241" s="1160"/>
      <c r="DX241" s="1160"/>
      <c r="DY241" s="1160"/>
      <c r="DZ241" s="1160"/>
      <c r="EA241" s="1160"/>
      <c r="EB241" s="1160"/>
      <c r="EC241" s="1160"/>
    </row>
    <row r="242" spans="1:133" x14ac:dyDescent="0.2">
      <c r="A242" s="1160"/>
      <c r="B242" s="1160"/>
      <c r="C242" s="1160"/>
      <c r="D242" s="1160"/>
      <c r="E242" s="1170"/>
      <c r="F242" s="1170"/>
      <c r="G242" s="1170"/>
      <c r="H242" s="1170"/>
      <c r="I242" s="1170"/>
      <c r="J242" s="1170"/>
      <c r="K242" s="1170"/>
      <c r="L242" s="1170"/>
      <c r="M242" s="1170"/>
      <c r="N242" s="1170"/>
      <c r="O242" s="1170"/>
      <c r="P242" s="1170"/>
      <c r="Q242" s="1170"/>
      <c r="R242" s="1170"/>
      <c r="S242" s="1170"/>
      <c r="T242" s="1170"/>
      <c r="U242" s="1170"/>
      <c r="V242" s="1170"/>
      <c r="W242" s="1170"/>
      <c r="X242" s="1170"/>
      <c r="Y242" s="1170"/>
      <c r="Z242" s="1170"/>
      <c r="AA242" s="1170"/>
      <c r="AB242" s="1170"/>
      <c r="AC242" s="1170"/>
      <c r="AD242" s="1170"/>
      <c r="AE242" s="1170"/>
      <c r="AF242" s="1170"/>
      <c r="AG242" s="1170"/>
      <c r="AH242" s="1170"/>
      <c r="AI242" s="1170"/>
      <c r="AJ242" s="1170"/>
      <c r="AK242" s="1170"/>
      <c r="AL242" s="1170"/>
      <c r="AM242" s="1170"/>
      <c r="AN242" s="1170"/>
      <c r="AO242" s="1170"/>
      <c r="AP242" s="1170"/>
      <c r="AQ242" s="1170"/>
      <c r="AR242" s="1170"/>
      <c r="AS242" s="1170"/>
      <c r="AT242" s="1170"/>
      <c r="AU242" s="1170"/>
      <c r="AV242" s="1170"/>
      <c r="AW242" s="1170"/>
      <c r="AX242" s="1170"/>
      <c r="AY242" s="1170"/>
      <c r="AZ242" s="1186" t="str">
        <f>HydroRefineryCalcs!C804</f>
        <v>Vol Flow</v>
      </c>
      <c r="BA242" s="1170" t="str">
        <f ca="1">HydroRefineryCalcs!D804</f>
        <v>bpd</v>
      </c>
      <c r="BB242" s="1170">
        <f ca="1">HydroRefineryCalcs!F826</f>
        <v>6.5271473276813377E-17</v>
      </c>
      <c r="BC242" s="1170"/>
      <c r="BD242" s="1170"/>
      <c r="BE242" s="1170"/>
      <c r="BF242" s="1170"/>
      <c r="BG242" s="1170"/>
      <c r="BH242" s="1170"/>
      <c r="BI242" s="1170"/>
      <c r="BJ242" s="1170"/>
      <c r="BK242" s="1170"/>
      <c r="BL242" s="1170"/>
      <c r="BM242" s="1170"/>
      <c r="BN242" s="1170"/>
      <c r="BO242" s="1170"/>
      <c r="BP242" s="1170"/>
      <c r="BQ242" s="1170"/>
      <c r="BR242" s="1170"/>
      <c r="BS242" s="1170"/>
      <c r="BT242" s="1170"/>
      <c r="BU242" s="1170"/>
      <c r="BV242" s="1170"/>
      <c r="BW242" s="1170"/>
      <c r="BX242" s="1170"/>
      <c r="BY242" s="1170"/>
      <c r="BZ242" s="1170"/>
      <c r="CA242" s="1186" t="str">
        <f>HydroRefineryCalcs!C675</f>
        <v>API</v>
      </c>
      <c r="CB242" s="1170"/>
      <c r="CC242" s="1170">
        <f ca="1">HydroRefineryCalcs!K675</f>
        <v>47.679234519219449</v>
      </c>
      <c r="CD242" s="1170"/>
      <c r="CE242" s="1170"/>
      <c r="CF242" s="1170"/>
      <c r="CG242" s="1170"/>
      <c r="CH242" s="1170"/>
      <c r="CI242" s="1170"/>
      <c r="CJ242" s="1170"/>
      <c r="CK242" s="1170"/>
      <c r="CL242" s="1170"/>
      <c r="CM242" s="1170"/>
      <c r="CN242" s="1170"/>
      <c r="CO242" s="1170"/>
      <c r="CP242" s="1160"/>
      <c r="CQ242" s="1160"/>
      <c r="CR242" s="1160"/>
      <c r="CS242" s="1183" t="s">
        <v>226</v>
      </c>
      <c r="CT242" s="1160"/>
      <c r="CU242" s="1184" t="s">
        <v>522</v>
      </c>
      <c r="CV242" s="1160"/>
      <c r="CW242" s="1160"/>
      <c r="CX242" s="1160"/>
      <c r="CY242" s="1160"/>
      <c r="CZ242" s="1171"/>
      <c r="DA242" s="1160"/>
      <c r="DB242" s="1160"/>
      <c r="DC242" s="1160"/>
      <c r="DD242" s="1160"/>
      <c r="DE242" s="1160"/>
      <c r="DF242" s="1160"/>
      <c r="DG242" s="1160"/>
      <c r="DH242" s="1160"/>
      <c r="DI242" s="1160"/>
      <c r="DJ242" s="1160"/>
      <c r="DK242" s="1160"/>
      <c r="DL242" s="1160"/>
      <c r="DM242" s="1171"/>
      <c r="DN242" s="1160"/>
      <c r="DO242" s="1160"/>
      <c r="DP242" s="1160"/>
      <c r="DQ242" s="1160"/>
      <c r="DR242" s="1160"/>
      <c r="DS242" s="1160"/>
      <c r="DT242" s="1160"/>
      <c r="DU242" s="1160"/>
      <c r="DV242" s="1160"/>
      <c r="DW242" s="1160"/>
      <c r="DX242" s="1160"/>
      <c r="DY242" s="1160"/>
      <c r="DZ242" s="1160"/>
      <c r="EA242" s="1160"/>
      <c r="EB242" s="1160"/>
      <c r="EC242" s="1160"/>
    </row>
    <row r="243" spans="1:133" x14ac:dyDescent="0.2">
      <c r="A243" s="1160"/>
      <c r="B243" s="1160"/>
      <c r="C243" s="1160"/>
      <c r="D243" s="1160"/>
      <c r="E243" s="1170"/>
      <c r="F243" s="1170"/>
      <c r="G243" s="1170"/>
      <c r="H243" s="1170"/>
      <c r="I243" s="1170"/>
      <c r="J243" s="1170"/>
      <c r="K243" s="1170"/>
      <c r="L243" s="1170"/>
      <c r="M243" s="1170"/>
      <c r="N243" s="1170"/>
      <c r="O243" s="1170"/>
      <c r="P243" s="1170"/>
      <c r="Q243" s="1170"/>
      <c r="R243" s="1170"/>
      <c r="S243" s="1170"/>
      <c r="T243" s="1170"/>
      <c r="U243" s="1170"/>
      <c r="V243" s="1170"/>
      <c r="W243" s="1170"/>
      <c r="X243" s="1170"/>
      <c r="Y243" s="1170"/>
      <c r="Z243" s="1170"/>
      <c r="AA243" s="1170"/>
      <c r="AB243" s="1170"/>
      <c r="AC243" s="1170"/>
      <c r="AD243" s="1170"/>
      <c r="AE243" s="1170"/>
      <c r="AF243" s="1170"/>
      <c r="AG243" s="1170"/>
      <c r="AH243" s="1170"/>
      <c r="AI243" s="1170"/>
      <c r="AJ243" s="1170"/>
      <c r="AK243" s="1170"/>
      <c r="AL243" s="1170"/>
      <c r="AM243" s="1170"/>
      <c r="AN243" s="1170"/>
      <c r="AO243" s="1170"/>
      <c r="AP243" s="1170"/>
      <c r="AQ243" s="1170"/>
      <c r="AR243" s="1170"/>
      <c r="AS243" s="1170"/>
      <c r="AT243" s="1170"/>
      <c r="AU243" s="1170"/>
      <c r="AV243" s="1170"/>
      <c r="AW243" s="1170"/>
      <c r="AX243" s="1170"/>
      <c r="AY243" s="1170"/>
      <c r="AZ243" s="1186" t="str">
        <f>HydroRefineryCalcs!C805</f>
        <v>Vol Flow</v>
      </c>
      <c r="BA243" s="1170" t="str">
        <f ca="1">HydroRefineryCalcs!D805</f>
        <v>m^3/d</v>
      </c>
      <c r="BB243" s="1170">
        <f ca="1">HydroRefineryCalcs!F827</f>
        <v>1.0377335303302712E-17</v>
      </c>
      <c r="BC243" s="1170"/>
      <c r="BD243" s="1170"/>
      <c r="BE243" s="1170"/>
      <c r="BF243" s="1170"/>
      <c r="BG243" s="1181" t="str">
        <f>HydroRefineryCalcs!G906</f>
        <v>Residue HC Diesel</v>
      </c>
      <c r="BH243" s="1170"/>
      <c r="BI243" s="1170"/>
      <c r="BJ243" s="1170"/>
      <c r="BK243" s="1180" t="str">
        <f>BG243</f>
        <v>Residue HC Diesel</v>
      </c>
      <c r="BL243" s="1170"/>
      <c r="BM243" s="1170"/>
      <c r="BN243" s="1170"/>
      <c r="BO243" s="1170"/>
      <c r="BP243" s="1170"/>
      <c r="BQ243" s="1170"/>
      <c r="BR243" s="1170"/>
      <c r="BS243" s="1170"/>
      <c r="BT243" s="1170"/>
      <c r="BU243" s="1170"/>
      <c r="BV243" s="1170"/>
      <c r="BW243" s="1170"/>
      <c r="BX243" s="1170"/>
      <c r="BY243" s="1170"/>
      <c r="BZ243" s="1170"/>
      <c r="CA243" s="1186" t="str">
        <f>HydroRefineryCalcs!C676</f>
        <v>Density</v>
      </c>
      <c r="CB243" s="1170" t="str">
        <f>HydroRefineryCalcs!D676</f>
        <v>kg/m^3</v>
      </c>
      <c r="CC243" s="1187">
        <f ca="1">HydroRefineryCalcs!K676</f>
        <v>789.71204659780017</v>
      </c>
      <c r="CD243" s="1170"/>
      <c r="CE243" s="1170"/>
      <c r="CF243" s="1170"/>
      <c r="CG243" s="1170"/>
      <c r="CH243" s="1181" t="str">
        <f>HydroRefineryCalcs!I724</f>
        <v>FCC LCO</v>
      </c>
      <c r="CI243" s="1170"/>
      <c r="CJ243" s="1170"/>
      <c r="CK243" s="1170"/>
      <c r="CL243" s="1170"/>
      <c r="CM243" s="1170"/>
      <c r="CN243" s="1170"/>
      <c r="CO243" s="1170"/>
      <c r="CP243" s="1160"/>
      <c r="CQ243" s="1160"/>
      <c r="CR243" s="1160"/>
      <c r="CS243" s="1170" t="s">
        <v>263</v>
      </c>
      <c r="CT243" s="1160"/>
      <c r="CU243" s="1170">
        <f ca="1">CC252*CU249</f>
        <v>0</v>
      </c>
      <c r="CV243" s="1160"/>
      <c r="CW243" s="1160"/>
      <c r="CX243" s="1160"/>
      <c r="CY243" s="1160"/>
      <c r="CZ243" s="1171"/>
      <c r="DA243" s="1160"/>
      <c r="DB243" s="1160"/>
      <c r="DC243" s="1160"/>
      <c r="DD243" s="1160"/>
      <c r="DE243" s="1160"/>
      <c r="DF243" s="1160"/>
      <c r="DG243" s="1160"/>
      <c r="DH243" s="1160"/>
      <c r="DI243" s="1160"/>
      <c r="DJ243" s="1160"/>
      <c r="DK243" s="1160"/>
      <c r="DL243" s="1160"/>
      <c r="DM243" s="1171"/>
      <c r="DN243" s="1160"/>
      <c r="DO243" s="1160"/>
      <c r="DP243" s="1160"/>
      <c r="DQ243" s="1160"/>
      <c r="DR243" s="1160"/>
      <c r="DS243" s="1160"/>
      <c r="DT243" s="1160"/>
      <c r="DU243" s="1160"/>
      <c r="DV243" s="1160"/>
      <c r="DW243" s="1160"/>
      <c r="DX243" s="1160"/>
      <c r="DY243" s="1160"/>
      <c r="DZ243" s="1160"/>
      <c r="EA243" s="1160"/>
      <c r="EB243" s="1160"/>
      <c r="EC243" s="1160"/>
    </row>
    <row r="244" spans="1:133" x14ac:dyDescent="0.2">
      <c r="A244" s="1160"/>
      <c r="B244" s="1160"/>
      <c r="C244" s="1160"/>
      <c r="D244" s="1160"/>
      <c r="E244" s="1170"/>
      <c r="F244" s="1170"/>
      <c r="G244" s="1170"/>
      <c r="H244" s="1170"/>
      <c r="I244" s="1170"/>
      <c r="J244" s="1170"/>
      <c r="K244" s="1170"/>
      <c r="L244" s="1170"/>
      <c r="M244" s="1170"/>
      <c r="N244" s="1170"/>
      <c r="O244" s="1170"/>
      <c r="P244" s="1170"/>
      <c r="Q244" s="1170"/>
      <c r="R244" s="1170"/>
      <c r="S244" s="1170"/>
      <c r="T244" s="1170"/>
      <c r="U244" s="1170"/>
      <c r="V244" s="1170"/>
      <c r="W244" s="1170"/>
      <c r="X244" s="1170"/>
      <c r="Y244" s="1170"/>
      <c r="Z244" s="1170"/>
      <c r="AA244" s="1170"/>
      <c r="AB244" s="1170"/>
      <c r="AC244" s="1170"/>
      <c r="AD244" s="1170"/>
      <c r="AE244" s="1170"/>
      <c r="AF244" s="1170"/>
      <c r="AG244" s="1170"/>
      <c r="AH244" s="1170"/>
      <c r="AI244" s="1170"/>
      <c r="AJ244" s="1170"/>
      <c r="AK244" s="1170"/>
      <c r="AL244" s="1170"/>
      <c r="AM244" s="1170"/>
      <c r="AN244" s="1170"/>
      <c r="AO244" s="1170"/>
      <c r="AP244" s="1170"/>
      <c r="AQ244" s="1170"/>
      <c r="AR244" s="1170"/>
      <c r="AS244" s="1170"/>
      <c r="AT244" s="1170"/>
      <c r="AU244" s="1170"/>
      <c r="AV244" s="1170"/>
      <c r="AW244" s="1170"/>
      <c r="AX244" s="1170"/>
      <c r="AY244" s="1170"/>
      <c r="AZ244" s="1186" t="str">
        <f>HydroRefineryCalcs!C806</f>
        <v>Mass Flow</v>
      </c>
      <c r="BA244" s="1170" t="str">
        <f>HydroRefineryCalcs!D806</f>
        <v>kg/d</v>
      </c>
      <c r="BB244" s="1170">
        <f ca="1">HydroRefineryCalcs!F828</f>
        <v>9.499999999999999E-15</v>
      </c>
      <c r="BC244" s="1170"/>
      <c r="BD244" s="1170"/>
      <c r="BE244" s="1170"/>
      <c r="BF244" s="1170"/>
      <c r="BG244" s="1182" t="str">
        <f>HydroRefineryCalcs!C906</f>
        <v>Property</v>
      </c>
      <c r="BH244" s="1182" t="str">
        <f>HydroRefineryCalcs!D906</f>
        <v>Units</v>
      </c>
      <c r="BI244" s="1170"/>
      <c r="BJ244" s="1170"/>
      <c r="BK244" s="1183" t="s">
        <v>226</v>
      </c>
      <c r="BL244" s="1170"/>
      <c r="BM244" s="1184" t="s">
        <v>522</v>
      </c>
      <c r="BN244" s="1170"/>
      <c r="BO244" s="1170"/>
      <c r="BP244" s="1170"/>
      <c r="BQ244" s="1170"/>
      <c r="BR244" s="1170"/>
      <c r="BS244" s="1170"/>
      <c r="BT244" s="1170"/>
      <c r="BU244" s="1170"/>
      <c r="BV244" s="1170"/>
      <c r="BW244" s="1170"/>
      <c r="BX244" s="1170"/>
      <c r="BY244" s="1170"/>
      <c r="BZ244" s="1170"/>
      <c r="CA244" s="1186" t="str">
        <f>HydroRefineryCalcs!C677</f>
        <v>H</v>
      </c>
      <c r="CB244" s="1170" t="str">
        <f>HydroRefineryCalcs!D677</f>
        <v>wt%</v>
      </c>
      <c r="CC244" s="1170">
        <f ca="1">HydroRefineryCalcs!K677</f>
        <v>12.474972796517951</v>
      </c>
      <c r="CD244" s="1170"/>
      <c r="CE244" s="1170"/>
      <c r="CF244" s="1170"/>
      <c r="CG244" s="1170"/>
      <c r="CH244" s="1182" t="str">
        <f>HydroRefineryCalcs!C724</f>
        <v>Property</v>
      </c>
      <c r="CI244" s="1182" t="str">
        <f>HydroRefineryCalcs!D724</f>
        <v>Units</v>
      </c>
      <c r="CJ244" s="1170"/>
      <c r="CK244" s="1170"/>
      <c r="CL244" s="1170"/>
      <c r="CM244" s="1170"/>
      <c r="CN244" s="1170"/>
      <c r="CO244" s="1170"/>
      <c r="CP244" s="1160"/>
      <c r="CQ244" s="1160"/>
      <c r="CR244" s="1160"/>
      <c r="CS244" s="1170" t="s">
        <v>392</v>
      </c>
      <c r="CT244" s="1160"/>
      <c r="CU244" s="1170">
        <f ca="1">(CC253+CF216)*$CU$249</f>
        <v>0</v>
      </c>
      <c r="CV244" s="1160"/>
      <c r="CW244" s="1160"/>
      <c r="CX244" s="1160"/>
      <c r="CY244" s="1160"/>
      <c r="CZ244" s="1171"/>
      <c r="DA244" s="1160"/>
      <c r="DB244" s="1160"/>
      <c r="DC244" s="1160"/>
      <c r="DD244" s="1160"/>
      <c r="DE244" s="1160"/>
      <c r="DF244" s="1160"/>
      <c r="DG244" s="1160"/>
      <c r="DH244" s="1160"/>
      <c r="DI244" s="1160"/>
      <c r="DJ244" s="1160"/>
      <c r="DK244" s="1160"/>
      <c r="DL244" s="1160"/>
      <c r="DM244" s="1171"/>
      <c r="DN244" s="1160"/>
      <c r="DO244" s="1160"/>
      <c r="DP244" s="1160"/>
      <c r="DQ244" s="1160"/>
      <c r="DR244" s="1160"/>
      <c r="DS244" s="1160"/>
      <c r="DT244" s="1160"/>
      <c r="DU244" s="1160"/>
      <c r="DV244" s="1160"/>
      <c r="DW244" s="1160"/>
      <c r="DX244" s="1160"/>
      <c r="DY244" s="1160"/>
      <c r="DZ244" s="1160"/>
      <c r="EA244" s="1160"/>
      <c r="EB244" s="1160"/>
      <c r="EC244" s="1160"/>
    </row>
    <row r="245" spans="1:133" x14ac:dyDescent="0.2">
      <c r="A245" s="1160"/>
      <c r="B245" s="1160"/>
      <c r="C245" s="1160"/>
      <c r="D245" s="1160"/>
      <c r="E245" s="1170"/>
      <c r="F245" s="1170"/>
      <c r="G245" s="1170"/>
      <c r="H245" s="1170"/>
      <c r="I245" s="1170"/>
      <c r="J245" s="1170"/>
      <c r="K245" s="1170"/>
      <c r="L245" s="1170"/>
      <c r="M245" s="1170"/>
      <c r="N245" s="1170"/>
      <c r="O245" s="1170"/>
      <c r="P245" s="1170"/>
      <c r="Q245" s="1170"/>
      <c r="R245" s="1170"/>
      <c r="S245" s="1170"/>
      <c r="T245" s="1170"/>
      <c r="U245" s="1170"/>
      <c r="V245" s="1170"/>
      <c r="W245" s="1170"/>
      <c r="X245" s="1170"/>
      <c r="Y245" s="1170"/>
      <c r="Z245" s="1170"/>
      <c r="AA245" s="1170"/>
      <c r="AB245" s="1170"/>
      <c r="AC245" s="1170"/>
      <c r="AD245" s="1170"/>
      <c r="AE245" s="1170"/>
      <c r="AF245" s="1170"/>
      <c r="AG245" s="1170"/>
      <c r="AH245" s="1170"/>
      <c r="AI245" s="1170"/>
      <c r="AJ245" s="1181" t="str">
        <f>HydroRefineryCalcs!I514</f>
        <v>Vac Resid</v>
      </c>
      <c r="AK245" s="1170"/>
      <c r="AL245" s="1170"/>
      <c r="AM245" s="1170"/>
      <c r="AN245" s="1170"/>
      <c r="AO245" s="1170"/>
      <c r="AP245" s="1170"/>
      <c r="AQ245" s="1170"/>
      <c r="AR245" s="1170"/>
      <c r="AS245" s="1170"/>
      <c r="AT245" s="1170"/>
      <c r="AU245" s="1170"/>
      <c r="AV245" s="1170"/>
      <c r="AW245" s="1170"/>
      <c r="AX245" s="1170"/>
      <c r="AY245" s="1170"/>
      <c r="AZ245" s="1186" t="str">
        <f>HydroRefineryCalcs!C807</f>
        <v xml:space="preserve">Sulphur </v>
      </c>
      <c r="BA245" s="1170" t="str">
        <f ca="1">HydroRefineryCalcs!D807</f>
        <v>wt%</v>
      </c>
      <c r="BB245" s="1170">
        <f ca="1">HydroRefineryCalcs!F829</f>
        <v>0</v>
      </c>
      <c r="BC245" s="1170"/>
      <c r="BD245" s="1170"/>
      <c r="BE245" s="1170"/>
      <c r="BF245" s="1170"/>
      <c r="BG245" s="1186" t="str">
        <f>HydroRefineryCalcs!C907</f>
        <v>Vol Flow</v>
      </c>
      <c r="BH245" s="1170" t="str">
        <f ca="1">HydroRefineryCalcs!D907</f>
        <v>bpd</v>
      </c>
      <c r="BI245" s="1170">
        <f ca="1">HydroRefineryCalcs!G907</f>
        <v>2.3907256979379672E-17</v>
      </c>
      <c r="BJ245" s="1170"/>
      <c r="BK245" s="1170" t="s">
        <v>263</v>
      </c>
      <c r="BL245" s="1170"/>
      <c r="BM245" s="1170">
        <f ca="1">BB256*BM250</f>
        <v>0</v>
      </c>
      <c r="BN245" s="1170"/>
      <c r="BO245" s="1170"/>
      <c r="BP245" s="1170"/>
      <c r="BQ245" s="1170"/>
      <c r="BR245" s="1170"/>
      <c r="BS245" s="1170"/>
      <c r="BT245" s="1170"/>
      <c r="BU245" s="1170"/>
      <c r="BV245" s="1170"/>
      <c r="BW245" s="1184" t="str">
        <f>'HydroRefinery Detailed Results'!C25</f>
        <v>Fluid Catalytic Cracker</v>
      </c>
      <c r="BX245" s="1170"/>
      <c r="BY245" s="1170"/>
      <c r="BZ245" s="1170"/>
      <c r="CA245" s="1186" t="str">
        <f>HydroRefineryCalcs!C678</f>
        <v>MCR</v>
      </c>
      <c r="CB245" s="1170" t="str">
        <f>HydroRefineryCalcs!D678</f>
        <v>wt%</v>
      </c>
      <c r="CC245" s="1170" t="e">
        <f ca="1">HydroRefineryCalcs!K678</f>
        <v>#DIV/0!</v>
      </c>
      <c r="CD245" s="1170"/>
      <c r="CE245" s="1170"/>
      <c r="CF245" s="1170"/>
      <c r="CG245" s="1170"/>
      <c r="CH245" s="1186" t="str">
        <f>HydroRefineryCalcs!C725</f>
        <v>Vol Flow</v>
      </c>
      <c r="CI245" s="1170" t="str">
        <f>HydroRefineryCalcs!D725</f>
        <v>bpd</v>
      </c>
      <c r="CJ245" s="1187">
        <f ca="1">HydroRefineryCalcs!I725</f>
        <v>3.7525958149627914E-17</v>
      </c>
      <c r="CK245" s="1170"/>
      <c r="CL245" s="1170"/>
      <c r="CM245" s="1170"/>
      <c r="CN245" s="1170"/>
      <c r="CO245" s="1170"/>
      <c r="CP245" s="1160"/>
      <c r="CQ245" s="1160"/>
      <c r="CR245" s="1160"/>
      <c r="CS245" s="1170" t="s">
        <v>224</v>
      </c>
      <c r="CT245" s="1160"/>
      <c r="CU245" s="1170">
        <f ca="1">(CC254+CF217)*$CU$249</f>
        <v>1.6528214565726391E-12</v>
      </c>
      <c r="CV245" s="1160"/>
      <c r="CW245" s="1160"/>
      <c r="CX245" s="1160"/>
      <c r="CY245" s="1160"/>
      <c r="CZ245" s="1171"/>
      <c r="DA245" s="1160"/>
      <c r="DB245" s="1160"/>
      <c r="DC245" s="1160"/>
      <c r="DD245" s="1160"/>
      <c r="DE245" s="1160"/>
      <c r="DF245" s="1160"/>
      <c r="DG245" s="1160"/>
      <c r="DH245" s="1160"/>
      <c r="DI245" s="1160"/>
      <c r="DJ245" s="1160"/>
      <c r="DK245" s="1160"/>
      <c r="DL245" s="1160"/>
      <c r="DM245" s="1171"/>
      <c r="DN245" s="1160"/>
      <c r="DO245" s="1160"/>
      <c r="DP245" s="1160"/>
      <c r="DQ245" s="1160"/>
      <c r="DR245" s="1160"/>
      <c r="DS245" s="1160"/>
      <c r="DT245" s="1160"/>
      <c r="DU245" s="1160"/>
      <c r="DV245" s="1160"/>
      <c r="DW245" s="1160"/>
      <c r="DX245" s="1160"/>
      <c r="DY245" s="1160"/>
      <c r="DZ245" s="1160"/>
      <c r="EA245" s="1160"/>
      <c r="EB245" s="1160"/>
      <c r="EC245" s="1160"/>
    </row>
    <row r="246" spans="1:133" x14ac:dyDescent="0.2">
      <c r="A246" s="1160"/>
      <c r="B246" s="1160"/>
      <c r="C246" s="1160"/>
      <c r="D246" s="1160"/>
      <c r="E246" s="1170"/>
      <c r="F246" s="1170"/>
      <c r="G246" s="1170"/>
      <c r="H246" s="1170"/>
      <c r="I246" s="1170"/>
      <c r="J246" s="1170"/>
      <c r="K246" s="1170"/>
      <c r="L246" s="1170"/>
      <c r="M246" s="1170"/>
      <c r="N246" s="1170"/>
      <c r="O246" s="1170"/>
      <c r="P246" s="1170"/>
      <c r="Q246" s="1170"/>
      <c r="R246" s="1170"/>
      <c r="S246" s="1170"/>
      <c r="T246" s="1170"/>
      <c r="U246" s="1170"/>
      <c r="V246" s="1170"/>
      <c r="W246" s="1170"/>
      <c r="X246" s="1170"/>
      <c r="Y246" s="1170"/>
      <c r="Z246" s="1170"/>
      <c r="AA246" s="1170"/>
      <c r="AB246" s="1170"/>
      <c r="AC246" s="1170"/>
      <c r="AD246" s="1170"/>
      <c r="AE246" s="1170"/>
      <c r="AF246" s="1170"/>
      <c r="AG246" s="1170"/>
      <c r="AH246" s="1170"/>
      <c r="AI246" s="1170"/>
      <c r="AJ246" s="1182" t="str">
        <f>HydroRefineryCalcs!C514</f>
        <v>Property</v>
      </c>
      <c r="AK246" s="1182" t="str">
        <f>HydroRefineryCalcs!D514</f>
        <v>Units</v>
      </c>
      <c r="AL246" s="1170"/>
      <c r="AM246" s="1170"/>
      <c r="AN246" s="1170"/>
      <c r="AO246" s="1170"/>
      <c r="AP246" s="1170"/>
      <c r="AQ246" s="1170"/>
      <c r="AR246" s="1170"/>
      <c r="AS246" s="1170"/>
      <c r="AT246" s="1170"/>
      <c r="AU246" s="1170"/>
      <c r="AV246" s="1170"/>
      <c r="AW246" s="1170"/>
      <c r="AX246" s="1170"/>
      <c r="AY246" s="1170"/>
      <c r="AZ246" s="1186" t="str">
        <f>HydroRefineryCalcs!C809</f>
        <v xml:space="preserve">API gravity </v>
      </c>
      <c r="BA246" s="1170"/>
      <c r="BB246" s="1170">
        <f>HydroRefineryCalcs!F831</f>
        <v>23.067678464982521</v>
      </c>
      <c r="BC246" s="1170"/>
      <c r="BD246" s="1170"/>
      <c r="BE246" s="1170"/>
      <c r="BF246" s="1170"/>
      <c r="BG246" s="1186" t="str">
        <f>HydroRefineryCalcs!C908</f>
        <v>Vol Flow</v>
      </c>
      <c r="BH246" s="1170" t="str">
        <f ca="1">HydroRefineryCalcs!D908</f>
        <v>m^3/d</v>
      </c>
      <c r="BI246" s="1170">
        <f ca="1">HydroRefineryCalcs!G908</f>
        <v>3.8009502375577299E-18</v>
      </c>
      <c r="BJ246" s="1170"/>
      <c r="BK246" s="1170" t="s">
        <v>392</v>
      </c>
      <c r="BL246" s="1170"/>
      <c r="BM246" s="1170">
        <f ca="1">(BB257+BE233)*$BM$250</f>
        <v>0</v>
      </c>
      <c r="BN246" s="1170"/>
      <c r="BO246" s="1170"/>
      <c r="BP246" s="1170"/>
      <c r="BQ246" s="1170"/>
      <c r="BR246" s="1170"/>
      <c r="BS246" s="1170"/>
      <c r="BT246" s="1170"/>
      <c r="BU246" s="1170"/>
      <c r="BV246" s="1170"/>
      <c r="BW246" s="1184" t="s">
        <v>225</v>
      </c>
      <c r="BX246" s="1184" t="s">
        <v>522</v>
      </c>
      <c r="BY246" s="1170"/>
      <c r="BZ246" s="1170"/>
      <c r="CA246" s="1186" t="s">
        <v>1698</v>
      </c>
      <c r="CB246" s="1199" t="s">
        <v>447</v>
      </c>
      <c r="CC246" s="1199">
        <f ca="1">('Energy &amp; Unit Conversions'!$D$63-('Energy &amp; Unit Conversions'!$E$63*POWER((CC243/'Energy &amp; Unit Conversions'!$E$54),2)))</f>
        <v>41.744002153146269</v>
      </c>
      <c r="CD246" s="1170"/>
      <c r="CE246" s="1170"/>
      <c r="CF246" s="1170"/>
      <c r="CG246" s="1170"/>
      <c r="CH246" s="1186" t="str">
        <f>HydroRefineryCalcs!C726</f>
        <v>Vol Flow</v>
      </c>
      <c r="CI246" s="1170" t="str">
        <f>HydroRefineryCalcs!D726</f>
        <v>m^3/d</v>
      </c>
      <c r="CJ246" s="1187">
        <f ca="1">HydroRefineryCalcs!I726</f>
        <v>5.9661507661223382E-18</v>
      </c>
      <c r="CK246" s="1170"/>
      <c r="CL246" s="1170"/>
      <c r="CM246" s="1170"/>
      <c r="CN246" s="1170"/>
      <c r="CO246" s="1170"/>
      <c r="CP246" s="1160"/>
      <c r="CQ246" s="1160"/>
      <c r="CR246" s="1160"/>
      <c r="CS246" s="1170" t="s">
        <v>485</v>
      </c>
      <c r="CT246" s="1160"/>
      <c r="CU246" s="1170">
        <f ca="1">(CC255+CF218)*$CU$249</f>
        <v>1.2965870973795524E-13</v>
      </c>
      <c r="CV246" s="1160"/>
      <c r="CW246" s="1160"/>
      <c r="CX246" s="1160"/>
      <c r="CY246" s="1160"/>
      <c r="CZ246" s="1171"/>
      <c r="DA246" s="1160"/>
      <c r="DB246" s="1160"/>
      <c r="DC246" s="1160"/>
      <c r="DD246" s="1160"/>
      <c r="DE246" s="1160"/>
      <c r="DF246" s="1160"/>
      <c r="DG246" s="1160"/>
      <c r="DH246" s="1160"/>
      <c r="DI246" s="1160"/>
      <c r="DJ246" s="1160"/>
      <c r="DK246" s="1160"/>
      <c r="DL246" s="1160"/>
      <c r="DM246" s="1171"/>
      <c r="DN246" s="1160"/>
      <c r="DO246" s="1160"/>
      <c r="DP246" s="1160"/>
      <c r="DQ246" s="1160"/>
      <c r="DR246" s="1160"/>
      <c r="DS246" s="1160"/>
      <c r="DT246" s="1160"/>
      <c r="DU246" s="1160"/>
      <c r="DV246" s="1160"/>
      <c r="DW246" s="1160"/>
      <c r="DX246" s="1160"/>
      <c r="DY246" s="1160"/>
      <c r="DZ246" s="1160"/>
      <c r="EA246" s="1160"/>
      <c r="EB246" s="1160"/>
      <c r="EC246" s="1160"/>
    </row>
    <row r="247" spans="1:133" x14ac:dyDescent="0.2">
      <c r="A247" s="1160"/>
      <c r="B247" s="1160"/>
      <c r="C247" s="1160"/>
      <c r="D247" s="1160"/>
      <c r="E247" s="1170"/>
      <c r="F247" s="1170"/>
      <c r="G247" s="1170"/>
      <c r="H247" s="1170"/>
      <c r="I247" s="1170"/>
      <c r="J247" s="1170"/>
      <c r="K247" s="1170"/>
      <c r="L247" s="1170"/>
      <c r="M247" s="1170"/>
      <c r="N247" s="1170"/>
      <c r="O247" s="1170"/>
      <c r="P247" s="1170"/>
      <c r="Q247" s="1170"/>
      <c r="R247" s="1170"/>
      <c r="S247" s="1170"/>
      <c r="T247" s="1170"/>
      <c r="U247" s="1170"/>
      <c r="V247" s="1170"/>
      <c r="W247" s="1170"/>
      <c r="X247" s="1170"/>
      <c r="Y247" s="1170"/>
      <c r="Z247" s="1170"/>
      <c r="AA247" s="1170"/>
      <c r="AB247" s="1170"/>
      <c r="AC247" s="1170"/>
      <c r="AD247" s="1170"/>
      <c r="AE247" s="1170"/>
      <c r="AF247" s="1170"/>
      <c r="AG247" s="1170"/>
      <c r="AH247" s="1170"/>
      <c r="AI247" s="1170"/>
      <c r="AJ247" s="1186" t="str">
        <f>HydroRefineryCalcs!C515</f>
        <v>Vol Flow</v>
      </c>
      <c r="AK247" s="1170" t="str">
        <f ca="1">HydroRefineryCalcs!D515</f>
        <v>bpd</v>
      </c>
      <c r="AL247" s="2092">
        <f ca="1">HydroRefineryCalcs!D560</f>
        <v>1E-14</v>
      </c>
      <c r="AM247" s="1170"/>
      <c r="AN247" s="1170"/>
      <c r="AO247" s="1170"/>
      <c r="AP247" s="1170"/>
      <c r="AQ247" s="1170"/>
      <c r="AR247" s="1170"/>
      <c r="AS247" s="1170"/>
      <c r="AT247" s="1170"/>
      <c r="AU247" s="1170"/>
      <c r="AV247" s="1170"/>
      <c r="AW247" s="1170"/>
      <c r="AX247" s="1170"/>
      <c r="AY247" s="1170"/>
      <c r="AZ247" s="1186" t="str">
        <f>HydroRefineryCalcs!C810</f>
        <v>Density</v>
      </c>
      <c r="BA247" s="1170" t="str">
        <f ca="1">HydroRefineryCalcs!D810</f>
        <v>kg/m^3</v>
      </c>
      <c r="BB247" s="1170">
        <f>HydroRefineryCalcs!F832</f>
        <v>915.4565909590018</v>
      </c>
      <c r="BC247" s="1170"/>
      <c r="BD247" s="1170"/>
      <c r="BE247" s="1170"/>
      <c r="BF247" s="1170"/>
      <c r="BG247" s="1186" t="str">
        <f>HydroRefineryCalcs!C909</f>
        <v>Mass Flow</v>
      </c>
      <c r="BH247" s="1170" t="str">
        <f>HydroRefineryCalcs!D909</f>
        <v>kg/d</v>
      </c>
      <c r="BI247" s="1170">
        <f ca="1">HydroRefineryCalcs!G909</f>
        <v>3.26881720429967E-15</v>
      </c>
      <c r="BJ247" s="1170"/>
      <c r="BK247" s="1170" t="s">
        <v>224</v>
      </c>
      <c r="BL247" s="1170"/>
      <c r="BM247" s="1170">
        <f ca="1">(BB258+BE234)*$BM$250</f>
        <v>2.1353137463484958E-13</v>
      </c>
      <c r="BN247" s="1170"/>
      <c r="BO247" s="1170"/>
      <c r="BP247" s="1170"/>
      <c r="BQ247" s="1170"/>
      <c r="BR247" s="1170"/>
      <c r="BS247" s="1170"/>
      <c r="BT247" s="1170"/>
      <c r="BU247" s="1170"/>
      <c r="BV247" s="1170"/>
      <c r="BW247" s="1170" t="s">
        <v>392</v>
      </c>
      <c r="BX247" s="1170">
        <f ca="1">'HydroRefinery Detailed Results'!F25+IF(AND($EC$147+$EC$164=0,E28=FALSE),'HydroRefinery Detailed Results'!F31*HydroRefineryCalcs!$T$1045,0)</f>
        <v>0</v>
      </c>
      <c r="BY247" s="1170"/>
      <c r="BZ247" s="1170"/>
      <c r="CA247" s="1200" t="s">
        <v>1021</v>
      </c>
      <c r="CB247" s="1199" t="s">
        <v>1022</v>
      </c>
      <c r="CC247" s="1290">
        <f ca="1">(CM180*CM171+CU239*CU230+CJ254*CJ245+CP279*CP270)/CC238</f>
        <v>80.178774713628925</v>
      </c>
      <c r="CD247" s="1170"/>
      <c r="CE247" s="1170"/>
      <c r="CF247" s="1170"/>
      <c r="CG247" s="1170"/>
      <c r="CH247" s="1186" t="str">
        <f>HydroRefineryCalcs!C727</f>
        <v>Mass Flow</v>
      </c>
      <c r="CI247" s="1170" t="str">
        <f>HydroRefineryCalcs!D727</f>
        <v>kg/d</v>
      </c>
      <c r="CJ247" s="1187">
        <f ca="1">HydroRefineryCalcs!I727</f>
        <v>5.0712281512033266E-15</v>
      </c>
      <c r="CK247" s="1170"/>
      <c r="CL247" s="1170"/>
      <c r="CM247" s="1170"/>
      <c r="CN247" s="1170"/>
      <c r="CO247" s="1170"/>
      <c r="CP247" s="1160"/>
      <c r="CQ247" s="1160"/>
      <c r="CR247" s="1160"/>
      <c r="CS247" s="1170" t="s">
        <v>541</v>
      </c>
      <c r="CT247" s="1160"/>
      <c r="CU247" s="1170">
        <f ca="1">(CC256+CF219)*$CU$249</f>
        <v>1.1909134499488661E-14</v>
      </c>
      <c r="CV247" s="1160"/>
      <c r="CW247" s="1160"/>
      <c r="CX247" s="1160"/>
      <c r="CY247" s="1160"/>
      <c r="CZ247" s="1171"/>
      <c r="DA247" s="1160"/>
      <c r="DB247" s="1160"/>
      <c r="DC247" s="1160"/>
      <c r="DD247" s="1160"/>
      <c r="DE247" s="1160"/>
      <c r="DF247" s="1160"/>
      <c r="DG247" s="1160"/>
      <c r="DH247" s="1160"/>
      <c r="DI247" s="1160"/>
      <c r="DJ247" s="1160"/>
      <c r="DK247" s="1160"/>
      <c r="DL247" s="1160"/>
      <c r="DM247" s="1171"/>
      <c r="DN247" s="1160"/>
      <c r="DO247" s="1160"/>
      <c r="DP247" s="1160"/>
      <c r="DQ247" s="1160"/>
      <c r="DR247" s="1160"/>
      <c r="DS247" s="1160"/>
      <c r="DT247" s="1160"/>
      <c r="DU247" s="1160"/>
      <c r="DV247" s="1160"/>
      <c r="DW247" s="1160"/>
      <c r="DX247" s="1160"/>
      <c r="DY247" s="1160"/>
      <c r="DZ247" s="1160"/>
      <c r="EA247" s="1160"/>
      <c r="EB247" s="1160"/>
      <c r="EC247" s="1160"/>
    </row>
    <row r="248" spans="1:133" x14ac:dyDescent="0.2">
      <c r="A248" s="1160"/>
      <c r="B248" s="1160"/>
      <c r="C248" s="1160"/>
      <c r="D248" s="1160"/>
      <c r="E248" s="1170"/>
      <c r="F248" s="1170"/>
      <c r="G248" s="1170"/>
      <c r="H248" s="1170"/>
      <c r="I248" s="1170"/>
      <c r="J248" s="1170"/>
      <c r="K248" s="1170"/>
      <c r="L248" s="1170"/>
      <c r="M248" s="1170"/>
      <c r="N248" s="1170"/>
      <c r="O248" s="1170"/>
      <c r="P248" s="1170"/>
      <c r="Q248" s="1170"/>
      <c r="R248" s="1170"/>
      <c r="S248" s="1170"/>
      <c r="T248" s="1170"/>
      <c r="U248" s="1170"/>
      <c r="V248" s="1170"/>
      <c r="W248" s="1170"/>
      <c r="X248" s="1170"/>
      <c r="Y248" s="1170"/>
      <c r="Z248" s="1170"/>
      <c r="AA248" s="1170"/>
      <c r="AB248" s="1170"/>
      <c r="AC248" s="1170"/>
      <c r="AD248" s="1170"/>
      <c r="AE248" s="1170"/>
      <c r="AF248" s="1170"/>
      <c r="AG248" s="1170"/>
      <c r="AH248" s="1170"/>
      <c r="AI248" s="1170"/>
      <c r="AJ248" s="1186" t="str">
        <f>HydroRefineryCalcs!C516</f>
        <v>Vol Flow</v>
      </c>
      <c r="AK248" s="1170" t="str">
        <f ca="1">HydroRefineryCalcs!D516</f>
        <v>m^3/d</v>
      </c>
      <c r="AL248" s="1187">
        <f ca="1">AL247*'Energy &amp; Unit Conversions'!G80</f>
        <v>1.589873E-15</v>
      </c>
      <c r="AM248" s="1170"/>
      <c r="AN248" s="1170"/>
      <c r="AO248" s="1170"/>
      <c r="AP248" s="1170"/>
      <c r="AQ248" s="1170"/>
      <c r="AR248" s="1170"/>
      <c r="AS248" s="1170"/>
      <c r="AT248" s="1170"/>
      <c r="AU248" s="1170"/>
      <c r="AV248" s="1170"/>
      <c r="AW248" s="1170"/>
      <c r="AX248" s="1170"/>
      <c r="AY248" s="1170"/>
      <c r="AZ248" s="1186" t="str">
        <f>HydroRefineryCalcs!C811</f>
        <v>Hydrogen</v>
      </c>
      <c r="BA248" s="1170" t="str">
        <f ca="1">HydroRefineryCalcs!D811</f>
        <v>wt%</v>
      </c>
      <c r="BB248" s="1170">
        <f ca="1">HydroRefineryCalcs!F833</f>
        <v>1.9999999999999993</v>
      </c>
      <c r="BC248" s="1170"/>
      <c r="BD248" s="1170"/>
      <c r="BE248" s="1170"/>
      <c r="BF248" s="1170"/>
      <c r="BG248" s="1186" t="str">
        <f>HydroRefineryCalcs!C910</f>
        <v xml:space="preserve">Sulphur </v>
      </c>
      <c r="BH248" s="1170" t="str">
        <f ca="1">HydroRefineryCalcs!D910</f>
        <v>wt%</v>
      </c>
      <c r="BI248" s="1170">
        <f ca="1">HydroRefineryCalcs!G910</f>
        <v>0</v>
      </c>
      <c r="BJ248" s="1170"/>
      <c r="BK248" s="1170" t="s">
        <v>485</v>
      </c>
      <c r="BL248" s="1170"/>
      <c r="BM248" s="1170">
        <f ca="1">(BB259+BE235)*$BM$250</f>
        <v>6.1514311527889209E-17</v>
      </c>
      <c r="BN248" s="1170"/>
      <c r="BO248" s="1170"/>
      <c r="BP248" s="1170"/>
      <c r="BQ248" s="1170"/>
      <c r="BR248" s="1170"/>
      <c r="BS248" s="1170"/>
      <c r="BT248" s="1170"/>
      <c r="BU248" s="1170"/>
      <c r="BV248" s="1170"/>
      <c r="BW248" s="1170" t="s">
        <v>224</v>
      </c>
      <c r="BX248" s="1170">
        <f ca="1">'HydroRefinery Detailed Results'!H25+IF(AND($EC$147+$EC$164=0,E28=FALSE),'HydroRefinery Detailed Results'!H31*HydroRefineryCalcs!$T$1045,0)</f>
        <v>1.8402152554129682E-14</v>
      </c>
      <c r="BY248" s="1170"/>
      <c r="BZ248" s="1170"/>
      <c r="CA248" s="1204" t="s">
        <v>1054</v>
      </c>
      <c r="CB248" s="1204" t="str">
        <f>IF(allocationMethod=1,CokingRefineryPFD!$C$21,IF(allocationMethod=2,CokingRefineryPFD!$C$22,IF(allocationMethod=3,CokingRefineryPFD!$C$23,CokingRefineryPFD!$C$24)))</f>
        <v>Hydrogen Content Basis</v>
      </c>
      <c r="CC248" s="1250">
        <f ca="1">IF(allocationMethod=1,CC240,IF(allocationMethod=2,CC246*CC240,IF(allocationMethod=3,CC247*CC238,CC244*CC240/100)))</f>
        <v>2.9069547569715712E-15</v>
      </c>
      <c r="CD248" s="1170"/>
      <c r="CE248" s="1170"/>
      <c r="CF248" s="1170"/>
      <c r="CG248" s="1170"/>
      <c r="CH248" s="1186" t="str">
        <f>HydroRefineryCalcs!C728</f>
        <v>S</v>
      </c>
      <c r="CI248" s="1170" t="str">
        <f>HydroRefineryCalcs!D728</f>
        <v>wt%</v>
      </c>
      <c r="CJ248" s="1170">
        <f ca="1">HydroRefineryCalcs!I728</f>
        <v>0</v>
      </c>
      <c r="CK248" s="1170"/>
      <c r="CL248" s="1170"/>
      <c r="CM248" s="1170"/>
      <c r="CN248" s="1170"/>
      <c r="CO248" s="1170"/>
      <c r="CP248" s="1160"/>
      <c r="CQ248" s="1160"/>
      <c r="CR248" s="1160"/>
      <c r="CS248" s="1170" t="str">
        <f>CA257</f>
        <v>Catalyst Coke</v>
      </c>
      <c r="CT248" s="1160"/>
      <c r="CU248" s="1170">
        <f ca="1">(CC257)*$CU$249</f>
        <v>2.6207044807190484E-14</v>
      </c>
      <c r="CV248" s="1160"/>
      <c r="CW248" s="1160"/>
      <c r="CX248" s="1160"/>
      <c r="CY248" s="1160"/>
      <c r="CZ248" s="1171"/>
      <c r="DA248" s="1160"/>
      <c r="DB248" s="1160"/>
      <c r="DC248" s="1160"/>
      <c r="DD248" s="1160"/>
      <c r="DE248" s="1160"/>
      <c r="DF248" s="1160"/>
      <c r="DG248" s="1160"/>
      <c r="DH248" s="1160"/>
      <c r="DI248" s="1160"/>
      <c r="DJ248" s="1160"/>
      <c r="DK248" s="1160"/>
      <c r="DL248" s="1160"/>
      <c r="DM248" s="1171"/>
      <c r="DN248" s="1160"/>
      <c r="DO248" s="1160"/>
      <c r="DP248" s="1160"/>
      <c r="DQ248" s="1160"/>
      <c r="DR248" s="1160"/>
      <c r="DS248" s="1160"/>
      <c r="DT248" s="1160"/>
      <c r="DU248" s="1160"/>
      <c r="DV248" s="1160"/>
      <c r="DW248" s="1160"/>
      <c r="DX248" s="1160"/>
      <c r="DY248" s="1160"/>
      <c r="DZ248" s="1160"/>
      <c r="EA248" s="1160"/>
      <c r="EB248" s="1160"/>
      <c r="EC248" s="1160"/>
    </row>
    <row r="249" spans="1:133" x14ac:dyDescent="0.2">
      <c r="A249" s="1160"/>
      <c r="B249" s="1160"/>
      <c r="C249" s="1160"/>
      <c r="D249" s="1160"/>
      <c r="E249" s="1170"/>
      <c r="F249" s="1170"/>
      <c r="G249" s="1170"/>
      <c r="H249" s="1170"/>
      <c r="I249" s="1170"/>
      <c r="J249" s="1170"/>
      <c r="K249" s="1170"/>
      <c r="L249" s="1170"/>
      <c r="M249" s="1170"/>
      <c r="N249" s="1170"/>
      <c r="O249" s="1170"/>
      <c r="P249" s="1170"/>
      <c r="Q249" s="1170"/>
      <c r="R249" s="1170"/>
      <c r="S249" s="1170"/>
      <c r="T249" s="1170"/>
      <c r="U249" s="1170"/>
      <c r="V249" s="1170"/>
      <c r="W249" s="1170"/>
      <c r="X249" s="1170"/>
      <c r="Y249" s="1170"/>
      <c r="Z249" s="1170"/>
      <c r="AA249" s="1170"/>
      <c r="AB249" s="1170"/>
      <c r="AC249" s="1170"/>
      <c r="AD249" s="1170"/>
      <c r="AE249" s="1170"/>
      <c r="AF249" s="1170"/>
      <c r="AG249" s="1170"/>
      <c r="AH249" s="1170"/>
      <c r="AI249" s="1170"/>
      <c r="AJ249" s="1186" t="str">
        <f>HydroRefineryCalcs!C517</f>
        <v>Mass Flow</v>
      </c>
      <c r="AK249" s="1170" t="str">
        <f>HydroRefineryCalcs!D517</f>
        <v>kg/d</v>
      </c>
      <c r="AL249" s="1187">
        <f ca="1">HydroRefineryCalcs!I517</f>
        <v>1E-14</v>
      </c>
      <c r="AM249" s="1170"/>
      <c r="AN249" s="1170"/>
      <c r="AO249" s="1170"/>
      <c r="AP249" s="1170"/>
      <c r="AQ249" s="1170"/>
      <c r="AR249" s="1181" t="str">
        <f>HydroRefineryCalcs!F803</f>
        <v>Furnace Product</v>
      </c>
      <c r="AS249" s="1170"/>
      <c r="AT249" s="1170"/>
      <c r="AU249" s="1170"/>
      <c r="AV249" s="1170"/>
      <c r="AW249" s="1170"/>
      <c r="AX249" s="1170"/>
      <c r="AY249" s="1170"/>
      <c r="AZ249" s="1186" t="str">
        <f>HydroRefineryCalcs!C812</f>
        <v>MCR</v>
      </c>
      <c r="BA249" s="1170" t="str">
        <f ca="1">HydroRefineryCalcs!D812</f>
        <v>wt%</v>
      </c>
      <c r="BB249" s="1170">
        <f>HydroRefineryCalcs!F834</f>
        <v>0</v>
      </c>
      <c r="BC249" s="1170"/>
      <c r="BD249" s="1170"/>
      <c r="BE249" s="1170"/>
      <c r="BF249" s="1170"/>
      <c r="BG249" s="1186" t="str">
        <f>HydroRefineryCalcs!C912</f>
        <v xml:space="preserve">API gravity </v>
      </c>
      <c r="BH249" s="1170"/>
      <c r="BI249" s="1170">
        <f ca="1">HydroRefineryCalcs!G912</f>
        <v>33.034883720929088</v>
      </c>
      <c r="BJ249" s="1170"/>
      <c r="BK249" s="1170" t="s">
        <v>541</v>
      </c>
      <c r="BL249" s="1170"/>
      <c r="BM249" s="1170">
        <f ca="1">(BB260+BE236)*$BM$250</f>
        <v>2.4083605690489049E-14</v>
      </c>
      <c r="BN249" s="1170">
        <f ca="1">BI182/BN250</f>
        <v>0.19528779629599821</v>
      </c>
      <c r="BO249" s="1170">
        <f ca="1">BI182/BO250</f>
        <v>0.18864835186218318</v>
      </c>
      <c r="BP249" s="1170"/>
      <c r="BQ249" s="1170"/>
      <c r="BR249" s="1170"/>
      <c r="BS249" s="1170"/>
      <c r="BT249" s="1170"/>
      <c r="BU249" s="1170"/>
      <c r="BV249" s="1170"/>
      <c r="BW249" s="1170" t="s">
        <v>485</v>
      </c>
      <c r="BX249" s="1170">
        <f ca="1">'HydroRefinery Detailed Results'!J25+IF(AND($EC$147+$EC$164=0,E28=FALSE),'HydroRefinery Detailed Results'!J31*HydroRefineryCalcs!$T$1045,0)</f>
        <v>0</v>
      </c>
      <c r="BY249" s="1170"/>
      <c r="BZ249" s="1170"/>
      <c r="CA249" s="1170"/>
      <c r="CB249" s="1170"/>
      <c r="CC249" s="1170"/>
      <c r="CD249" s="1170"/>
      <c r="CE249" s="1170"/>
      <c r="CF249" s="1170"/>
      <c r="CG249" s="1170"/>
      <c r="CH249" s="1186" t="str">
        <f>HydroRefineryCalcs!C730</f>
        <v>API</v>
      </c>
      <c r="CI249" s="1170"/>
      <c r="CJ249" s="1170">
        <f ca="1">HydroRefineryCalcs!I730</f>
        <v>34.97058823531583</v>
      </c>
      <c r="CK249" s="1170"/>
      <c r="CL249" s="1170"/>
      <c r="CM249" s="1170"/>
      <c r="CN249" s="1170"/>
      <c r="CO249" s="1170"/>
      <c r="CP249" s="1160"/>
      <c r="CQ249" s="1160"/>
      <c r="CR249" s="1160"/>
      <c r="CS249" s="1180" t="s">
        <v>1066</v>
      </c>
      <c r="CT249" s="1160"/>
      <c r="CU249" s="1170">
        <f ca="1">IF('HydroRefineryPFD '!E24=TRUE,CU250,CU240/(CM181+CU240+CJ255))</f>
        <v>0.72978255558245886</v>
      </c>
      <c r="CV249" s="1160"/>
      <c r="CW249" s="1160"/>
      <c r="CX249" s="1160"/>
      <c r="CY249" s="1160"/>
      <c r="CZ249" s="1171"/>
      <c r="DA249" s="1160"/>
      <c r="DB249" s="1160"/>
      <c r="DC249" s="1160"/>
      <c r="DD249" s="1160"/>
      <c r="DE249" s="1160"/>
      <c r="DF249" s="1160"/>
      <c r="DG249" s="1160"/>
      <c r="DH249" s="1160"/>
      <c r="DI249" s="1160"/>
      <c r="DJ249" s="1160"/>
      <c r="DK249" s="1160"/>
      <c r="DL249" s="1160"/>
      <c r="DM249" s="1171"/>
      <c r="DN249" s="1160"/>
      <c r="DO249" s="1160"/>
      <c r="DP249" s="1160"/>
      <c r="DQ249" s="1160"/>
      <c r="DR249" s="1160"/>
      <c r="DS249" s="1160"/>
      <c r="DT249" s="1160"/>
      <c r="DU249" s="1160"/>
      <c r="DV249" s="1160"/>
      <c r="DW249" s="1160"/>
      <c r="DX249" s="1160"/>
      <c r="DY249" s="1160"/>
      <c r="DZ249" s="1160"/>
      <c r="EA249" s="1160"/>
      <c r="EB249" s="1160"/>
      <c r="EC249" s="1160"/>
    </row>
    <row r="250" spans="1:133" x14ac:dyDescent="0.2">
      <c r="A250" s="1160"/>
      <c r="B250" s="1160"/>
      <c r="C250" s="1160"/>
      <c r="D250" s="1160"/>
      <c r="E250" s="1170"/>
      <c r="F250" s="1170"/>
      <c r="G250" s="1170"/>
      <c r="H250" s="1170"/>
      <c r="I250" s="1170"/>
      <c r="J250" s="1170"/>
      <c r="K250" s="1170"/>
      <c r="L250" s="1170"/>
      <c r="M250" s="1170"/>
      <c r="N250" s="1170"/>
      <c r="O250" s="1170"/>
      <c r="P250" s="1170"/>
      <c r="Q250" s="1170"/>
      <c r="R250" s="1170"/>
      <c r="S250" s="1170"/>
      <c r="T250" s="1170"/>
      <c r="U250" s="1170"/>
      <c r="V250" s="1170"/>
      <c r="W250" s="1170"/>
      <c r="X250" s="1170"/>
      <c r="Y250" s="1170"/>
      <c r="Z250" s="1170"/>
      <c r="AA250" s="1170"/>
      <c r="AB250" s="1170"/>
      <c r="AC250" s="1170"/>
      <c r="AD250" s="1170"/>
      <c r="AE250" s="1170"/>
      <c r="AF250" s="1170"/>
      <c r="AG250" s="1170"/>
      <c r="AH250" s="1170"/>
      <c r="AI250" s="1170"/>
      <c r="AJ250" s="1186" t="str">
        <f>HydroRefineryCalcs!C518</f>
        <v xml:space="preserve">Sulphur </v>
      </c>
      <c r="AK250" s="1170" t="str">
        <f ca="1">HydroRefineryCalcs!D518</f>
        <v>wt%</v>
      </c>
      <c r="AL250" s="1170">
        <f ca="1">HydroRefineryCalcs!I518</f>
        <v>0</v>
      </c>
      <c r="AM250" s="1170"/>
      <c r="AN250" s="1170"/>
      <c r="AO250" s="1170"/>
      <c r="AP250" s="1170"/>
      <c r="AQ250" s="1170"/>
      <c r="AR250" s="1182" t="str">
        <f>HydroRefineryCalcs!C803</f>
        <v>Property</v>
      </c>
      <c r="AS250" s="1182" t="str">
        <f>HydroRefineryCalcs!D803</f>
        <v>Units</v>
      </c>
      <c r="AT250" s="1170"/>
      <c r="AU250" s="1170"/>
      <c r="AV250" s="1184" t="str">
        <f>'HydroRefinery Detailed Results'!C21</f>
        <v xml:space="preserve">Residue Hydrocracker </v>
      </c>
      <c r="AW250" s="1170"/>
      <c r="AX250" s="1170"/>
      <c r="AY250" s="1170"/>
      <c r="AZ250" s="1200" t="s">
        <v>1056</v>
      </c>
      <c r="BA250" s="1199" t="s">
        <v>447</v>
      </c>
      <c r="BB250" s="1199">
        <f>('Energy &amp; Unit Conversions'!$D$63-('Energy &amp; Unit Conversions'!$E$63*POWER((BB247/'Energy &amp; Unit Conversions'!$E$54),2)))</f>
        <v>40.042334134443152</v>
      </c>
      <c r="BC250" s="1170"/>
      <c r="BD250" s="1170"/>
      <c r="BE250" s="1170"/>
      <c r="BF250" s="1170"/>
      <c r="BG250" s="1186" t="str">
        <f>HydroRefineryCalcs!C913</f>
        <v>Density</v>
      </c>
      <c r="BH250" s="1170" t="str">
        <f ca="1">HydroRefineryCalcs!D913</f>
        <v>kg/m^3</v>
      </c>
      <c r="BI250" s="1170">
        <f ca="1">HydroRefineryCalcs!G913</f>
        <v>860.00000000000603</v>
      </c>
      <c r="BJ250" s="1170"/>
      <c r="BK250" s="1180" t="s">
        <v>1066</v>
      </c>
      <c r="BL250" s="1170"/>
      <c r="BM250" s="1170">
        <f ca="1">IF('HydroRefineryPFD '!E25=TRUE,BM251,BI255/(BI182+BI255+BL282))</f>
        <v>0.47968426808660675</v>
      </c>
      <c r="BN250" s="1170">
        <f ca="1">BI255+BL282+BI182</f>
        <v>8.5931075268817184E-16</v>
      </c>
      <c r="BO250" s="1170">
        <f ca="1">BN250+DD323</f>
        <v>8.8955403834391363E-16</v>
      </c>
      <c r="BP250" s="1170"/>
      <c r="BQ250" s="1170"/>
      <c r="BR250" s="1170"/>
      <c r="BS250" s="1170"/>
      <c r="BT250" s="1170"/>
      <c r="BU250" s="1170"/>
      <c r="BV250" s="1170"/>
      <c r="BW250" s="1170" t="s">
        <v>541</v>
      </c>
      <c r="BX250" s="1170">
        <f ca="1">'HydroRefinery Detailed Results'!L25+IF(AND($EC$147+$EC$164=0,E28=FALSE),'HydroRefinery Detailed Results'!L31*HydroRefineryCalcs!$T$1045,0)</f>
        <v>0</v>
      </c>
      <c r="BY250" s="1170"/>
      <c r="BZ250" s="1170"/>
      <c r="CA250" s="1180" t="str">
        <f>CA236</f>
        <v>Total FCC Liquids</v>
      </c>
      <c r="CB250" s="1170"/>
      <c r="CC250" s="1170"/>
      <c r="CD250" s="1170"/>
      <c r="CE250" s="1170"/>
      <c r="CF250" s="1170"/>
      <c r="CG250" s="1170"/>
      <c r="CH250" s="1186" t="str">
        <f>HydroRefineryCalcs!C731</f>
        <v>Density</v>
      </c>
      <c r="CI250" s="1170" t="str">
        <f>HydroRefineryCalcs!D731</f>
        <v>kg/m^3</v>
      </c>
      <c r="CJ250" s="1187">
        <f ca="1">HydroRefineryCalcs!I731</f>
        <v>849.99999999988916</v>
      </c>
      <c r="CK250" s="1170"/>
      <c r="CL250" s="1170"/>
      <c r="CM250" s="1170"/>
      <c r="CN250" s="1170"/>
      <c r="CO250" s="1170"/>
      <c r="CP250" s="1160"/>
      <c r="CQ250" s="1160"/>
      <c r="CR250" s="1160"/>
      <c r="CS250" s="1180" t="s">
        <v>1065</v>
      </c>
      <c r="CT250" s="1160"/>
      <c r="CU250" s="1170">
        <f ca="1">CU240/(CM181+CU240+CJ255+CP280)</f>
        <v>0.65135854158465223</v>
      </c>
      <c r="CV250" s="1160"/>
      <c r="CW250" s="1160"/>
      <c r="CX250" s="1160"/>
      <c r="CY250" s="1160"/>
      <c r="CZ250" s="1171"/>
      <c r="DA250" s="1160"/>
      <c r="DB250" s="1160"/>
      <c r="DC250" s="1160"/>
      <c r="DD250" s="1160"/>
      <c r="DE250" s="1160"/>
      <c r="DF250" s="1160"/>
      <c r="DG250" s="1160"/>
      <c r="DH250" s="1160"/>
      <c r="DI250" s="1160"/>
      <c r="DJ250" s="1160"/>
      <c r="DK250" s="1160"/>
      <c r="DL250" s="1160"/>
      <c r="DM250" s="1171"/>
      <c r="DN250" s="1160"/>
      <c r="DO250" s="1160"/>
      <c r="DP250" s="1160"/>
      <c r="DQ250" s="1160"/>
      <c r="DR250" s="1160"/>
      <c r="DS250" s="1160"/>
      <c r="DT250" s="1160"/>
      <c r="DU250" s="1160"/>
      <c r="DV250" s="1160"/>
      <c r="DW250" s="1160"/>
      <c r="DX250" s="1160"/>
      <c r="DY250" s="1160"/>
      <c r="DZ250" s="1160"/>
      <c r="EA250" s="1160"/>
      <c r="EB250" s="1160"/>
      <c r="EC250" s="1160"/>
    </row>
    <row r="251" spans="1:133" x14ac:dyDescent="0.2">
      <c r="A251" s="1160"/>
      <c r="B251" s="1160"/>
      <c r="C251" s="1160"/>
      <c r="D251" s="1160"/>
      <c r="E251" s="1170"/>
      <c r="F251" s="1170"/>
      <c r="G251" s="1170"/>
      <c r="H251" s="1170"/>
      <c r="I251" s="1170"/>
      <c r="J251" s="1170"/>
      <c r="K251" s="1170"/>
      <c r="L251" s="1170"/>
      <c r="M251" s="1170"/>
      <c r="N251" s="1170"/>
      <c r="O251" s="1170"/>
      <c r="P251" s="1170"/>
      <c r="Q251" s="1170"/>
      <c r="R251" s="1170"/>
      <c r="S251" s="1170"/>
      <c r="T251" s="1170"/>
      <c r="U251" s="1170"/>
      <c r="V251" s="1170"/>
      <c r="W251" s="1170"/>
      <c r="X251" s="1170"/>
      <c r="Y251" s="1170"/>
      <c r="Z251" s="1170"/>
      <c r="AA251" s="1170"/>
      <c r="AB251" s="1170"/>
      <c r="AC251" s="1170"/>
      <c r="AD251" s="1170"/>
      <c r="AE251" s="1170"/>
      <c r="AF251" s="1170"/>
      <c r="AG251" s="1170"/>
      <c r="AH251" s="1170"/>
      <c r="AI251" s="1170"/>
      <c r="AJ251" s="1186" t="str">
        <f>HydroRefineryCalcs!C520</f>
        <v xml:space="preserve">API gravity </v>
      </c>
      <c r="AK251" s="1170"/>
      <c r="AL251" s="1170">
        <f ca="1">HydroRefineryCalcs!I520</f>
        <v>0</v>
      </c>
      <c r="AM251" s="1170"/>
      <c r="AN251" s="1170"/>
      <c r="AO251" s="1170"/>
      <c r="AP251" s="1170"/>
      <c r="AQ251" s="1170"/>
      <c r="AR251" s="1186" t="str">
        <f>HydroRefineryCalcs!C804</f>
        <v>Vol Flow</v>
      </c>
      <c r="AS251" s="1170" t="str">
        <f ca="1">HydroRefineryCalcs!D804</f>
        <v>bpd</v>
      </c>
      <c r="AT251" s="1170">
        <f ca="1">HydroRefineryCalcs!F804</f>
        <v>1E-14</v>
      </c>
      <c r="AU251" s="1170"/>
      <c r="AV251" s="1184" t="s">
        <v>225</v>
      </c>
      <c r="AW251" s="1184" t="s">
        <v>522</v>
      </c>
      <c r="AX251" s="1170"/>
      <c r="AY251" s="1170"/>
      <c r="AZ251" s="1200" t="s">
        <v>1021</v>
      </c>
      <c r="BA251" s="1199" t="s">
        <v>1022</v>
      </c>
      <c r="BB251" s="1246">
        <f ca="1">(BI181*BI172+BI254*BI245+BL281*BL272+DD322*DD313)/BB242</f>
        <v>70.896945869628951</v>
      </c>
      <c r="BC251" s="1170"/>
      <c r="BD251" s="1170"/>
      <c r="BE251" s="1170"/>
      <c r="BF251" s="1170"/>
      <c r="BG251" s="1186" t="str">
        <f>HydroRefineryCalcs!C914</f>
        <v>Hydrogen</v>
      </c>
      <c r="BH251" s="1170" t="str">
        <f ca="1">HydroRefineryCalcs!D914</f>
        <v>wt%</v>
      </c>
      <c r="BI251" s="1170">
        <f ca="1">HydroRefineryCalcs!G914</f>
        <v>12.609999999999648</v>
      </c>
      <c r="BJ251" s="1170"/>
      <c r="BK251" s="1180" t="s">
        <v>1065</v>
      </c>
      <c r="BL251" s="1170"/>
      <c r="BM251" s="1170">
        <f ca="1">BI255/(BI182+BI255+BL282+DD323)</f>
        <v>0.46337583968430657</v>
      </c>
      <c r="BN251" s="1170"/>
      <c r="BO251" s="1170"/>
      <c r="BP251" s="1170"/>
      <c r="BQ251" s="1170"/>
      <c r="BR251" s="1170"/>
      <c r="BS251" s="1170"/>
      <c r="BT251" s="1170"/>
      <c r="BU251" s="1170"/>
      <c r="BV251" s="1170"/>
      <c r="BW251" s="1170" t="s">
        <v>234</v>
      </c>
      <c r="BX251" s="1170">
        <f ca="1">'HydroRefinery Detailed Results'!R25</f>
        <v>3.5910758083651294E-14</v>
      </c>
      <c r="BY251" s="1170"/>
      <c r="BZ251" s="1170"/>
      <c r="CA251" s="1183" t="s">
        <v>226</v>
      </c>
      <c r="CB251" s="1170"/>
      <c r="CC251" s="1184" t="s">
        <v>522</v>
      </c>
      <c r="CD251" s="1170"/>
      <c r="CE251" s="1170"/>
      <c r="CF251" s="1170"/>
      <c r="CG251" s="1170"/>
      <c r="CH251" s="1186" t="str">
        <f>HydroRefineryCalcs!C732</f>
        <v>H</v>
      </c>
      <c r="CI251" s="1170" t="str">
        <f>HydroRefineryCalcs!D732</f>
        <v>wt%</v>
      </c>
      <c r="CJ251" s="1170">
        <f ca="1">HydroRefineryCalcs!I732</f>
        <v>9.8000000000053582</v>
      </c>
      <c r="CK251" s="1170"/>
      <c r="CL251" s="1170"/>
      <c r="CM251" s="1170"/>
      <c r="CN251" s="1170"/>
      <c r="CO251" s="1170"/>
      <c r="CP251" s="1160"/>
      <c r="CQ251" s="1160"/>
      <c r="CR251" s="1160"/>
      <c r="CS251" s="1239" t="s">
        <v>228</v>
      </c>
      <c r="CT251" s="1160"/>
      <c r="CU251" s="1170">
        <f ca="1">CU232/CC240</f>
        <v>0.56039173014128674</v>
      </c>
      <c r="CV251" s="1160"/>
      <c r="CW251" s="1160"/>
      <c r="CX251" s="1160"/>
      <c r="CY251" s="1160"/>
      <c r="CZ251" s="1171"/>
      <c r="DA251" s="1160"/>
      <c r="DB251" s="1160"/>
      <c r="DC251" s="1160"/>
      <c r="DD251" s="1160"/>
      <c r="DE251" s="1160"/>
      <c r="DF251" s="1160"/>
      <c r="DG251" s="1160"/>
      <c r="DH251" s="1160"/>
      <c r="DI251" s="1160"/>
      <c r="DJ251" s="1160"/>
      <c r="DK251" s="1160"/>
      <c r="DL251" s="1160"/>
      <c r="DM251" s="1171"/>
      <c r="DN251" s="1160"/>
      <c r="DO251" s="1160"/>
      <c r="DP251" s="1160"/>
      <c r="DQ251" s="1160"/>
      <c r="DR251" s="1160"/>
      <c r="DS251" s="1160"/>
      <c r="DT251" s="1160"/>
      <c r="DU251" s="1160"/>
      <c r="DV251" s="1160"/>
      <c r="DW251" s="1160"/>
      <c r="DX251" s="1160"/>
      <c r="DY251" s="1160"/>
      <c r="DZ251" s="1160"/>
      <c r="EA251" s="1160"/>
      <c r="EB251" s="1160"/>
      <c r="EC251" s="1160"/>
    </row>
    <row r="252" spans="1:133" x14ac:dyDescent="0.2">
      <c r="A252" s="1160"/>
      <c r="B252" s="1160"/>
      <c r="C252" s="1160"/>
      <c r="D252" s="1160"/>
      <c r="E252" s="1170"/>
      <c r="F252" s="1170"/>
      <c r="G252" s="1170"/>
      <c r="H252" s="1170"/>
      <c r="I252" s="1170"/>
      <c r="J252" s="1170"/>
      <c r="K252" s="1170"/>
      <c r="L252" s="1170"/>
      <c r="M252" s="1170"/>
      <c r="N252" s="1170"/>
      <c r="O252" s="1170"/>
      <c r="P252" s="1170"/>
      <c r="Q252" s="1170"/>
      <c r="R252" s="1170"/>
      <c r="S252" s="1170"/>
      <c r="T252" s="1170"/>
      <c r="U252" s="1170"/>
      <c r="V252" s="1170"/>
      <c r="W252" s="1170"/>
      <c r="X252" s="1170"/>
      <c r="Y252" s="1170"/>
      <c r="Z252" s="1170"/>
      <c r="AA252" s="1170"/>
      <c r="AB252" s="1170"/>
      <c r="AC252" s="1170"/>
      <c r="AD252" s="1170"/>
      <c r="AE252" s="1170"/>
      <c r="AF252" s="1170"/>
      <c r="AG252" s="1170"/>
      <c r="AH252" s="1170"/>
      <c r="AI252" s="1170"/>
      <c r="AJ252" s="1186" t="str">
        <f>HydroRefineryCalcs!C521</f>
        <v>Density</v>
      </c>
      <c r="AK252" s="1170" t="str">
        <f ca="1">HydroRefineryCalcs!D521</f>
        <v>kg/m^3</v>
      </c>
      <c r="AL252" s="1187">
        <f ca="1">HydroRefineryCalcs!I521</f>
        <v>0</v>
      </c>
      <c r="AM252" s="1170"/>
      <c r="AN252" s="1170"/>
      <c r="AO252" s="1170"/>
      <c r="AP252" s="1170"/>
      <c r="AQ252" s="1170"/>
      <c r="AR252" s="1186" t="str">
        <f>HydroRefineryCalcs!C805</f>
        <v>Vol Flow</v>
      </c>
      <c r="AS252" s="1170" t="str">
        <f ca="1">HydroRefineryCalcs!D805</f>
        <v>m^3/d</v>
      </c>
      <c r="AT252" s="1170">
        <f ca="1">HydroRefineryCalcs!F805</f>
        <v>1.589873E-15</v>
      </c>
      <c r="AU252" s="1170"/>
      <c r="AV252" s="1170" t="s">
        <v>392</v>
      </c>
      <c r="AW252" s="1170">
        <f ca="1">'HydroRefinery Detailed Results'!F21+IF(AND($EC$147+$EC$164=0,E28=FALSE),'HydroRefinery Detailed Results'!F31*HydroRefineryCalcs!$T$1042,0)</f>
        <v>0</v>
      </c>
      <c r="AX252" s="1170"/>
      <c r="AY252" s="1170"/>
      <c r="AZ252" s="1204" t="s">
        <v>1054</v>
      </c>
      <c r="BA252" s="1204" t="str">
        <f>IF(allocationMethod=1,CokingRefineryPFD!$C$21,IF(allocationMethod=2,CokingRefineryPFD!$C$22,IF(allocationMethod=3,CokingRefineryPFD!$C$23,CokingRefineryPFD!$C$24)))</f>
        <v>Hydrogen Content Basis</v>
      </c>
      <c r="BB252" s="1204">
        <f ca="1">IF(allocationMethod=1,BB244,IF(allocationMethod=2,BB250*BB244,IF(allocationMethod=3,BB251*BB242,BB248*BB244/100)))</f>
        <v>1.8999999999999991E-16</v>
      </c>
      <c r="BC252" s="1170"/>
      <c r="BD252" s="1170"/>
      <c r="BE252" s="1170"/>
      <c r="BF252" s="1170"/>
      <c r="BG252" s="1186" t="str">
        <f>HydroRefineryCalcs!C915</f>
        <v>MCR</v>
      </c>
      <c r="BH252" s="1170" t="str">
        <f ca="1">HydroRefineryCalcs!D915</f>
        <v>wt%</v>
      </c>
      <c r="BI252" s="1170">
        <f>HydroRefineryCalcs!G915</f>
        <v>0</v>
      </c>
      <c r="BJ252" s="1170"/>
      <c r="BK252" s="1239" t="s">
        <v>228</v>
      </c>
      <c r="BL252" s="1170"/>
      <c r="BM252" s="1170">
        <f ca="1">BI247/BB244</f>
        <v>0.34408602150522849</v>
      </c>
      <c r="BN252" s="1170"/>
      <c r="BO252" s="1170"/>
      <c r="BP252" s="1170"/>
      <c r="BQ252" s="1170"/>
      <c r="BR252" s="1170"/>
      <c r="BS252" s="1170"/>
      <c r="BT252" s="1170"/>
      <c r="BU252" s="1170"/>
      <c r="BV252" s="1170"/>
      <c r="BW252" s="1170"/>
      <c r="BX252" s="1170"/>
      <c r="BY252" s="1170"/>
      <c r="BZ252" s="1170"/>
      <c r="CA252" s="1170" t="s">
        <v>263</v>
      </c>
      <c r="CB252" s="1170"/>
      <c r="CC252" s="1187">
        <f ca="1">CC217*$CC$258</f>
        <v>0</v>
      </c>
      <c r="CD252" s="1170"/>
      <c r="CE252" s="1170"/>
      <c r="CF252" s="1170"/>
      <c r="CG252" s="1170"/>
      <c r="CH252" s="1186" t="str">
        <f>HydroRefineryCalcs!C733</f>
        <v>MCR</v>
      </c>
      <c r="CI252" s="1170" t="str">
        <f>HydroRefineryCalcs!D733</f>
        <v>wt%</v>
      </c>
      <c r="CJ252" s="1170">
        <f ca="1">HydroRefineryCalcs!I733</f>
        <v>5.8999999999999995</v>
      </c>
      <c r="CK252" s="1170"/>
      <c r="CL252" s="1170"/>
      <c r="CM252" s="1170"/>
      <c r="CN252" s="1170"/>
      <c r="CO252" s="1170"/>
      <c r="CP252" s="1160"/>
      <c r="CQ252" s="1160"/>
      <c r="CR252" s="1160"/>
      <c r="CS252" s="1170"/>
      <c r="CT252" s="1170"/>
      <c r="CU252" s="1160"/>
      <c r="CV252" s="1160"/>
      <c r="CW252" s="1160"/>
      <c r="CX252" s="1160"/>
      <c r="CY252" s="1160"/>
      <c r="CZ252" s="1171"/>
      <c r="DA252" s="1160"/>
      <c r="DB252" s="1160"/>
      <c r="DC252" s="1160"/>
      <c r="DD252" s="1160"/>
      <c r="DE252" s="1160"/>
      <c r="DF252" s="1160"/>
      <c r="DG252" s="1160"/>
      <c r="DH252" s="1160"/>
      <c r="DI252" s="1160"/>
      <c r="DJ252" s="1160"/>
      <c r="DK252" s="1160"/>
      <c r="DL252" s="1160"/>
      <c r="DM252" s="1171"/>
      <c r="DN252" s="1160"/>
      <c r="DO252" s="1160"/>
      <c r="DP252" s="1160"/>
      <c r="DQ252" s="1160"/>
      <c r="DR252" s="1160"/>
      <c r="DS252" s="1160"/>
      <c r="DT252" s="1160"/>
      <c r="DU252" s="1160"/>
      <c r="DV252" s="1160"/>
      <c r="DW252" s="1160"/>
      <c r="DX252" s="1160"/>
      <c r="DY252" s="1160"/>
      <c r="DZ252" s="1160"/>
      <c r="EA252" s="1160"/>
      <c r="EB252" s="1160"/>
      <c r="EC252" s="1160"/>
    </row>
    <row r="253" spans="1:133" x14ac:dyDescent="0.2">
      <c r="A253" s="1160"/>
      <c r="B253" s="1160"/>
      <c r="C253" s="1160"/>
      <c r="D253" s="1160"/>
      <c r="E253" s="1170"/>
      <c r="F253" s="1170"/>
      <c r="G253" s="1170"/>
      <c r="H253" s="1170"/>
      <c r="I253" s="1170"/>
      <c r="J253" s="1170"/>
      <c r="K253" s="1170"/>
      <c r="L253" s="1170"/>
      <c r="M253" s="1170"/>
      <c r="N253" s="1170"/>
      <c r="O253" s="1170"/>
      <c r="P253" s="1170"/>
      <c r="Q253" s="1170"/>
      <c r="R253" s="1170"/>
      <c r="S253" s="1170"/>
      <c r="T253" s="1170"/>
      <c r="U253" s="1170"/>
      <c r="V253" s="1170"/>
      <c r="W253" s="1170"/>
      <c r="X253" s="1170"/>
      <c r="Y253" s="1170"/>
      <c r="Z253" s="1170"/>
      <c r="AA253" s="1170"/>
      <c r="AB253" s="1170"/>
      <c r="AC253" s="1170"/>
      <c r="AD253" s="1170"/>
      <c r="AE253" s="1170"/>
      <c r="AF253" s="1170"/>
      <c r="AG253" s="1170"/>
      <c r="AH253" s="1170"/>
      <c r="AI253" s="1170"/>
      <c r="AJ253" s="1186" t="str">
        <f>HydroRefineryCalcs!C522</f>
        <v>Hydrogen</v>
      </c>
      <c r="AK253" s="1170" t="str">
        <f ca="1">HydroRefineryCalcs!D522</f>
        <v>wt%</v>
      </c>
      <c r="AL253" s="1170">
        <f ca="1">HydroRefineryCalcs!I522</f>
        <v>0</v>
      </c>
      <c r="AM253" s="1170"/>
      <c r="AN253" s="1170"/>
      <c r="AO253" s="1170"/>
      <c r="AP253" s="1170"/>
      <c r="AQ253" s="1170"/>
      <c r="AR253" s="1186" t="str">
        <f>HydroRefineryCalcs!C806</f>
        <v>Mass Flow</v>
      </c>
      <c r="AS253" s="1170" t="str">
        <f>HydroRefineryCalcs!D806</f>
        <v>kg/d</v>
      </c>
      <c r="AT253" s="1170">
        <f ca="1">HydroRefineryCalcs!F806</f>
        <v>1E-14</v>
      </c>
      <c r="AU253" s="1170"/>
      <c r="AV253" s="1170" t="s">
        <v>224</v>
      </c>
      <c r="AW253" s="1170">
        <f ca="1">'HydroRefinery Detailed Results'!H21+IF(AND($EC$147+$EC$164=0,E28=FALSE),'HydroRefinery Detailed Results'!H31*HydroRefineryCalcs!$T$1042,0)</f>
        <v>7.2552288826110166E-16</v>
      </c>
      <c r="AX253" s="1170"/>
      <c r="AY253" s="1170"/>
      <c r="AZ253" s="1170"/>
      <c r="BA253" s="1170"/>
      <c r="BB253" s="1170"/>
      <c r="BC253" s="1170"/>
      <c r="BD253" s="1170"/>
      <c r="BE253" s="1170"/>
      <c r="BF253" s="1170"/>
      <c r="BG253" s="1186" t="s">
        <v>1698</v>
      </c>
      <c r="BH253" s="1199" t="s">
        <v>447</v>
      </c>
      <c r="BI253" s="1199">
        <f ca="1">('Energy &amp; Unit Conversions'!$D$63-('Energy &amp; Unit Conversions'!$E$63*POWER((BI250/'Energy &amp; Unit Conversions'!$E$54),2)))</f>
        <v>40.823748833600263</v>
      </c>
      <c r="BJ253" s="1170"/>
      <c r="BK253" s="1170"/>
      <c r="BL253" s="1170"/>
      <c r="BM253" s="1170"/>
      <c r="BN253" s="1170"/>
      <c r="BO253" s="1170"/>
      <c r="BP253" s="1170"/>
      <c r="BQ253" s="1170"/>
      <c r="BR253" s="1170"/>
      <c r="BS253" s="1170"/>
      <c r="BT253" s="1170"/>
      <c r="BU253" s="1170"/>
      <c r="BV253" s="1170"/>
      <c r="BW253" s="1170"/>
      <c r="BX253" s="1170"/>
      <c r="BY253" s="1170"/>
      <c r="BZ253" s="1170"/>
      <c r="CA253" s="1170" t="s">
        <v>392</v>
      </c>
      <c r="CB253" s="1170"/>
      <c r="CC253" s="1187">
        <f ca="1">(CC218+BX247)*$CC$258</f>
        <v>0</v>
      </c>
      <c r="CD253" s="1170"/>
      <c r="CE253" s="1170"/>
      <c r="CF253" s="1170"/>
      <c r="CG253" s="1170"/>
      <c r="CH253" s="1186" t="s">
        <v>1698</v>
      </c>
      <c r="CI253" s="1199" t="s">
        <v>447</v>
      </c>
      <c r="CJ253" s="1199">
        <f ca="1">('Energy &amp; Unit Conversions'!$D$63-('Energy &amp; Unit Conversions'!$E$63*POWER((CJ250/'Energy &amp; Unit Conversions'!$E$54),2)))</f>
        <v>40.959459648833629</v>
      </c>
      <c r="CK253" s="1170"/>
      <c r="CL253" s="1170"/>
      <c r="CM253" s="1170"/>
      <c r="CN253" s="1170"/>
      <c r="CO253" s="1170"/>
      <c r="CP253" s="1160"/>
      <c r="CQ253" s="1160"/>
      <c r="CR253" s="1160"/>
      <c r="CS253" s="1160"/>
      <c r="CT253" s="1160"/>
      <c r="CU253" s="1160"/>
      <c r="CV253" s="1160"/>
      <c r="CW253" s="1160"/>
      <c r="CX253" s="1160"/>
      <c r="CY253" s="1160"/>
      <c r="CZ253" s="1171"/>
      <c r="DA253" s="1160"/>
      <c r="DB253" s="1160"/>
      <c r="DC253" s="1160"/>
      <c r="DD253" s="1160"/>
      <c r="DE253" s="1160"/>
      <c r="DF253" s="1160"/>
      <c r="DG253" s="1160"/>
      <c r="DH253" s="1160"/>
      <c r="DI253" s="1160"/>
      <c r="DJ253" s="1160"/>
      <c r="DK253" s="1160"/>
      <c r="DL253" s="1160"/>
      <c r="DM253" s="1171"/>
      <c r="DN253" s="1160"/>
      <c r="DO253" s="1160"/>
      <c r="DP253" s="1160"/>
      <c r="DQ253" s="1160"/>
      <c r="DR253" s="1160"/>
      <c r="DS253" s="1160"/>
      <c r="DT253" s="1160"/>
      <c r="DU253" s="1160"/>
      <c r="DV253" s="1160"/>
      <c r="DW253" s="1160"/>
      <c r="DX253" s="1160"/>
      <c r="DY253" s="1160"/>
      <c r="DZ253" s="1160"/>
      <c r="EA253" s="1160"/>
      <c r="EB253" s="1160"/>
      <c r="EC253" s="1160"/>
    </row>
    <row r="254" spans="1:133" x14ac:dyDescent="0.2">
      <c r="A254" s="1160"/>
      <c r="B254" s="1160"/>
      <c r="C254" s="1160"/>
      <c r="D254" s="1160"/>
      <c r="E254" s="1170"/>
      <c r="F254" s="1170"/>
      <c r="G254" s="1170"/>
      <c r="H254" s="1170"/>
      <c r="I254" s="1170"/>
      <c r="J254" s="1170"/>
      <c r="K254" s="1170"/>
      <c r="L254" s="1170"/>
      <c r="M254" s="1170"/>
      <c r="N254" s="1170"/>
      <c r="O254" s="1170"/>
      <c r="P254" s="1170"/>
      <c r="Q254" s="1170"/>
      <c r="R254" s="1170"/>
      <c r="S254" s="1170"/>
      <c r="T254" s="1170"/>
      <c r="U254" s="1170"/>
      <c r="V254" s="1170"/>
      <c r="W254" s="1170"/>
      <c r="X254" s="1170"/>
      <c r="Y254" s="1170"/>
      <c r="Z254" s="1170"/>
      <c r="AA254" s="1170"/>
      <c r="AB254" s="1170"/>
      <c r="AC254" s="1170"/>
      <c r="AD254" s="1170"/>
      <c r="AE254" s="1170"/>
      <c r="AF254" s="1170"/>
      <c r="AG254" s="1170"/>
      <c r="AH254" s="1170"/>
      <c r="AI254" s="1170"/>
      <c r="AJ254" s="1186" t="str">
        <f>HydroRefineryCalcs!C523</f>
        <v>MCR</v>
      </c>
      <c r="AK254" s="1170" t="str">
        <f ca="1">HydroRefineryCalcs!D523</f>
        <v>wt%</v>
      </c>
      <c r="AL254" s="1170">
        <f ca="1">HydroRefineryCalcs!I523</f>
        <v>10.823381666475589</v>
      </c>
      <c r="AM254" s="1170"/>
      <c r="AN254" s="1170"/>
      <c r="AO254" s="1170"/>
      <c r="AP254" s="1170"/>
      <c r="AQ254" s="1170"/>
      <c r="AR254" s="1186" t="str">
        <f>HydroRefineryCalcs!C807</f>
        <v xml:space="preserve">Sulphur </v>
      </c>
      <c r="AS254" s="1170" t="str">
        <f ca="1">HydroRefineryCalcs!D807</f>
        <v>wt%</v>
      </c>
      <c r="AT254" s="1170">
        <f ca="1">HydroRefineryCalcs!F807</f>
        <v>0</v>
      </c>
      <c r="AU254" s="1170"/>
      <c r="AV254" s="1170" t="s">
        <v>485</v>
      </c>
      <c r="AW254" s="1170">
        <f ca="1">'HydroRefinery Detailed Results'!J21+IF(AND($EC$147+$EC$164=0,E28=FALSE),'HydroRefinery Detailed Results'!J31*HydroRefineryCalcs!$T$1042,0)</f>
        <v>0</v>
      </c>
      <c r="AX254" s="1170"/>
      <c r="AY254" s="1170"/>
      <c r="AZ254" s="1180" t="str">
        <f>AZ240</f>
        <v>RHC  Liquids Product</v>
      </c>
      <c r="BA254" s="1170"/>
      <c r="BB254" s="1170"/>
      <c r="BC254" s="1170"/>
      <c r="BD254" s="1170"/>
      <c r="BE254" s="1170"/>
      <c r="BF254" s="1170"/>
      <c r="BG254" s="1200" t="s">
        <v>1021</v>
      </c>
      <c r="BH254" s="1199" t="s">
        <v>1022</v>
      </c>
      <c r="BI254" s="1290">
        <f>AA87</f>
        <v>70.789999999999992</v>
      </c>
      <c r="BJ254" s="1170"/>
      <c r="BK254" s="1170"/>
      <c r="BL254" s="1170"/>
      <c r="BM254" s="1170"/>
      <c r="BN254" s="1170"/>
      <c r="BO254" s="1170"/>
      <c r="BP254" s="1170"/>
      <c r="BQ254" s="1170"/>
      <c r="BR254" s="1170"/>
      <c r="BS254" s="1170"/>
      <c r="BT254" s="1170"/>
      <c r="BU254" s="1170"/>
      <c r="BV254" s="1170"/>
      <c r="BW254" s="1170"/>
      <c r="BX254" s="1170"/>
      <c r="BY254" s="1170"/>
      <c r="BZ254" s="1170"/>
      <c r="CA254" s="1170" t="s">
        <v>224</v>
      </c>
      <c r="CB254" s="1170"/>
      <c r="CC254" s="1187">
        <f ca="1">(CC219+BX248)*$CC$258</f>
        <v>2.2648135995159248E-12</v>
      </c>
      <c r="CD254" s="1170"/>
      <c r="CE254" s="1170"/>
      <c r="CF254" s="1170"/>
      <c r="CG254" s="1170"/>
      <c r="CH254" s="1200" t="s">
        <v>1021</v>
      </c>
      <c r="CI254" s="1199" t="s">
        <v>1022</v>
      </c>
      <c r="CJ254" s="1252">
        <f>Constants!G352</f>
        <v>83.939994812011719</v>
      </c>
      <c r="CK254" s="1170"/>
      <c r="CL254" s="1170"/>
      <c r="CM254" s="1170"/>
      <c r="CN254" s="1170"/>
      <c r="CO254" s="1170"/>
      <c r="CP254" s="1160"/>
      <c r="CQ254" s="1160"/>
      <c r="CR254" s="1160"/>
      <c r="CS254" s="1160"/>
      <c r="CT254" s="1160"/>
      <c r="CU254" s="1160"/>
      <c r="CV254" s="1160"/>
      <c r="CW254" s="1160"/>
      <c r="CX254" s="1160"/>
      <c r="CY254" s="1160"/>
      <c r="CZ254" s="1171"/>
      <c r="DA254" s="1160"/>
      <c r="DB254" s="1160"/>
      <c r="DC254" s="1160"/>
      <c r="DD254" s="1160"/>
      <c r="DE254" s="1160"/>
      <c r="DF254" s="1160"/>
      <c r="DG254" s="1160"/>
      <c r="DH254" s="1160"/>
      <c r="DI254" s="1160"/>
      <c r="DJ254" s="1160"/>
      <c r="DK254" s="1160"/>
      <c r="DL254" s="1160"/>
      <c r="DM254" s="1171"/>
      <c r="DN254" s="1160"/>
      <c r="DO254" s="1160"/>
      <c r="DP254" s="1160"/>
      <c r="DQ254" s="1160"/>
      <c r="DR254" s="1160"/>
      <c r="DS254" s="1160"/>
      <c r="DT254" s="1160"/>
      <c r="DU254" s="1160"/>
      <c r="DV254" s="1160"/>
      <c r="DW254" s="1160"/>
      <c r="DX254" s="1160"/>
      <c r="DY254" s="1160"/>
      <c r="DZ254" s="1160"/>
      <c r="EA254" s="1160"/>
      <c r="EB254" s="1160"/>
      <c r="EC254" s="1160"/>
    </row>
    <row r="255" spans="1:133" x14ac:dyDescent="0.2">
      <c r="A255" s="1160"/>
      <c r="B255" s="1160"/>
      <c r="C255" s="1160"/>
      <c r="D255" s="1160"/>
      <c r="E255" s="1170"/>
      <c r="F255" s="1170"/>
      <c r="G255" s="1170"/>
      <c r="H255" s="1170"/>
      <c r="I255" s="1170"/>
      <c r="J255" s="1170"/>
      <c r="K255" s="1170"/>
      <c r="L255" s="1170"/>
      <c r="M255" s="1170"/>
      <c r="N255" s="1170"/>
      <c r="O255" s="1170"/>
      <c r="P255" s="1170"/>
      <c r="Q255" s="1170"/>
      <c r="R255" s="1170"/>
      <c r="S255" s="1170"/>
      <c r="T255" s="1170"/>
      <c r="U255" s="1170"/>
      <c r="V255" s="1170"/>
      <c r="W255" s="1170"/>
      <c r="X255" s="1170"/>
      <c r="Y255" s="1170"/>
      <c r="Z255" s="1170"/>
      <c r="AA255" s="1170"/>
      <c r="AB255" s="1170"/>
      <c r="AC255" s="1170"/>
      <c r="AD255" s="1170"/>
      <c r="AE255" s="1170"/>
      <c r="AF255" s="1170"/>
      <c r="AG255" s="1170"/>
      <c r="AH255" s="1170"/>
      <c r="AI255" s="1170"/>
      <c r="AJ255" s="1200" t="s">
        <v>1056</v>
      </c>
      <c r="AK255" s="1199" t="s">
        <v>447</v>
      </c>
      <c r="AL255" s="1199">
        <f ca="1">('Energy &amp; Unit Conversions'!$D$63-('Energy &amp; Unit Conversions'!$E$63*POWER((AL252/'Energy &amp; Unit Conversions'!$E$54),2)))</f>
        <v>46.693440000000002</v>
      </c>
      <c r="AM255" s="1170"/>
      <c r="AN255" s="1170"/>
      <c r="AO255" s="1170"/>
      <c r="AP255" s="1170"/>
      <c r="AQ255" s="1170"/>
      <c r="AR255" s="1186" t="str">
        <f>HydroRefineryCalcs!C809</f>
        <v xml:space="preserve">API gravity </v>
      </c>
      <c r="AS255" s="1170"/>
      <c r="AT255" s="1170">
        <f ca="1">HydroRefineryCalcs!F809</f>
        <v>0</v>
      </c>
      <c r="AU255" s="1170"/>
      <c r="AV255" s="1170" t="s">
        <v>541</v>
      </c>
      <c r="AW255" s="1170">
        <f ca="1">'HydroRefinery Detailed Results'!L21+IF(AND($EC$147+$EC$164=0,E28=FALSE),'HydroRefinery Detailed Results'!L31*HydroRefineryCalcs!$T$1042,0)</f>
        <v>5.0207203556112386E-14</v>
      </c>
      <c r="AX255" s="1170"/>
      <c r="AY255" s="1170"/>
      <c r="AZ255" s="1183" t="s">
        <v>226</v>
      </c>
      <c r="BA255" s="1170"/>
      <c r="BB255" s="1184" t="s">
        <v>522</v>
      </c>
      <c r="BC255" s="1170"/>
      <c r="BD255" s="1170"/>
      <c r="BE255" s="1170"/>
      <c r="BF255" s="1170"/>
      <c r="BG255" s="1204" t="s">
        <v>1054</v>
      </c>
      <c r="BH255" s="1204" t="str">
        <f>IF(allocationMethod=1,CokingRefineryPFD!$C$21,IF(allocationMethod=2,CokingRefineryPFD!$C$22,IF(allocationMethod=3,CokingRefineryPFD!$C$23,CokingRefineryPFD!$C$24)))</f>
        <v>Hydrogen Content Basis</v>
      </c>
      <c r="BI255" s="1250">
        <f ca="1">IF(allocationMethod=1,BI247,IF(allocationMethod=2,BI253*BI247,IF(allocationMethod=3,BI254*BI245,BI251*BI247/100)))</f>
        <v>4.1219784946217684E-16</v>
      </c>
      <c r="BJ255" s="1170"/>
      <c r="BK255" s="1170"/>
      <c r="BL255" s="1170"/>
      <c r="BM255" s="1170"/>
      <c r="BN255" s="1170"/>
      <c r="BO255" s="1170"/>
      <c r="BP255" s="1170"/>
      <c r="BQ255" s="1170"/>
      <c r="BR255" s="1170"/>
      <c r="BS255" s="1170"/>
      <c r="BT255" s="1170"/>
      <c r="BU255" s="1170"/>
      <c r="BV255" s="1170"/>
      <c r="BW255" s="1170"/>
      <c r="BX255" s="1170"/>
      <c r="BY255" s="1170"/>
      <c r="BZ255" s="1170"/>
      <c r="CA255" s="1170" t="s">
        <v>485</v>
      </c>
      <c r="CB255" s="1170"/>
      <c r="CC255" s="1187">
        <f ca="1">(CC220+BX249)*$CC$258</f>
        <v>1.7738658946554554E-13</v>
      </c>
      <c r="CD255" s="1170"/>
      <c r="CE255" s="1170"/>
      <c r="CF255" s="1170"/>
      <c r="CG255" s="1170"/>
      <c r="CH255" s="1204" t="s">
        <v>1054</v>
      </c>
      <c r="CI255" s="1204" t="str">
        <f>IF(allocationMethod=1,CokingRefineryPFD!$C$21,IF(allocationMethod=2,CokingRefineryPFD!$C$22,IF(allocationMethod=3,CokingRefineryPFD!$C$23,CokingRefineryPFD!$C$24)))</f>
        <v>Hydrogen Content Basis</v>
      </c>
      <c r="CJ255" s="1250">
        <f ca="1">IF(allocationMethod=1,CJ247,IF(allocationMethod=2,CJ253*CJ247,IF(allocationMethod=3,CJ254*CJ245,CJ251*CJ247/100)))</f>
        <v>4.9698035881819779E-16</v>
      </c>
      <c r="CK255" s="1170"/>
      <c r="CL255" s="1170"/>
      <c r="CM255" s="1170"/>
      <c r="CN255" s="1170"/>
      <c r="CO255" s="1170"/>
      <c r="CP255" s="1160"/>
      <c r="CQ255" s="1160"/>
      <c r="CR255" s="1160"/>
      <c r="CS255" s="1160"/>
      <c r="CT255" s="1160"/>
      <c r="CU255" s="1160"/>
      <c r="CV255" s="1160"/>
      <c r="CW255" s="1160"/>
      <c r="CX255" s="1160"/>
      <c r="CY255" s="1160"/>
      <c r="CZ255" s="1171"/>
      <c r="DA255" s="1160"/>
      <c r="DB255" s="1160"/>
      <c r="DC255" s="1160"/>
      <c r="DD255" s="1160"/>
      <c r="DE255" s="1160"/>
      <c r="DF255" s="1160"/>
      <c r="DG255" s="1160"/>
      <c r="DH255" s="1160"/>
      <c r="DI255" s="1160"/>
      <c r="DJ255" s="1160"/>
      <c r="DK255" s="1160"/>
      <c r="DL255" s="1160"/>
      <c r="DM255" s="1171"/>
      <c r="DN255" s="1160"/>
      <c r="DO255" s="1160"/>
      <c r="DP255" s="1160"/>
      <c r="DQ255" s="1160"/>
      <c r="DR255" s="1160"/>
      <c r="DS255" s="1160"/>
      <c r="DT255" s="1160"/>
      <c r="DU255" s="1160"/>
      <c r="DV255" s="1160"/>
      <c r="DW255" s="1160"/>
      <c r="DX255" s="1160"/>
      <c r="DY255" s="1160"/>
      <c r="DZ255" s="1160"/>
      <c r="EA255" s="1160"/>
      <c r="EB255" s="1160"/>
      <c r="EC255" s="1160"/>
    </row>
    <row r="256" spans="1:133" x14ac:dyDescent="0.2">
      <c r="A256" s="1160"/>
      <c r="B256" s="1160"/>
      <c r="C256" s="1160"/>
      <c r="D256" s="1160"/>
      <c r="E256" s="1170"/>
      <c r="F256" s="1170"/>
      <c r="G256" s="1170"/>
      <c r="H256" s="1170"/>
      <c r="I256" s="1170"/>
      <c r="J256" s="1170"/>
      <c r="K256" s="1170"/>
      <c r="L256" s="1170"/>
      <c r="M256" s="1170"/>
      <c r="N256" s="1170"/>
      <c r="O256" s="1170"/>
      <c r="P256" s="1170"/>
      <c r="Q256" s="1170"/>
      <c r="R256" s="1170"/>
      <c r="S256" s="1170"/>
      <c r="T256" s="1170"/>
      <c r="U256" s="1170"/>
      <c r="V256" s="1170"/>
      <c r="W256" s="1170"/>
      <c r="X256" s="1170"/>
      <c r="Y256" s="1170"/>
      <c r="Z256" s="1170"/>
      <c r="AA256" s="1170"/>
      <c r="AB256" s="1170"/>
      <c r="AC256" s="1170"/>
      <c r="AD256" s="1170"/>
      <c r="AE256" s="1170"/>
      <c r="AF256" s="1170"/>
      <c r="AG256" s="1170"/>
      <c r="AH256" s="1170"/>
      <c r="AI256" s="1170"/>
      <c r="AJ256" s="1200" t="s">
        <v>1021</v>
      </c>
      <c r="AK256" s="1199" t="s">
        <v>1022</v>
      </c>
      <c r="AL256" s="1199">
        <f>Constants!G344</f>
        <v>65.005823135375977</v>
      </c>
      <c r="AM256" s="1170"/>
      <c r="AN256" s="1170"/>
      <c r="AO256" s="1170"/>
      <c r="AP256" s="1170"/>
      <c r="AQ256" s="1170"/>
      <c r="AR256" s="1186" t="str">
        <f>HydroRefineryCalcs!C810</f>
        <v>Density</v>
      </c>
      <c r="AS256" s="1170" t="str">
        <f ca="1">HydroRefineryCalcs!D810</f>
        <v>kg/m^3</v>
      </c>
      <c r="AT256" s="1170">
        <f ca="1">HydroRefineryCalcs!F810</f>
        <v>0</v>
      </c>
      <c r="AU256" s="1170"/>
      <c r="AV256" s="1170"/>
      <c r="AW256" s="1170"/>
      <c r="AX256" s="1170"/>
      <c r="AY256" s="1170"/>
      <c r="AZ256" s="1170" t="s">
        <v>263</v>
      </c>
      <c r="BA256" s="1170"/>
      <c r="BB256" s="1170">
        <f ca="1">AT268*$BB$261</f>
        <v>0</v>
      </c>
      <c r="BC256" s="1170"/>
      <c r="BD256" s="1170"/>
      <c r="BE256" s="1170"/>
      <c r="BF256" s="1170"/>
      <c r="BG256" s="1170"/>
      <c r="BH256" s="1170"/>
      <c r="BI256" s="1170"/>
      <c r="BJ256" s="1170"/>
      <c r="BK256" s="1170"/>
      <c r="BL256" s="1170"/>
      <c r="BM256" s="1170"/>
      <c r="BN256" s="1170"/>
      <c r="BO256" s="1170"/>
      <c r="BP256" s="1170"/>
      <c r="BQ256" s="1170"/>
      <c r="BR256" s="1170"/>
      <c r="BS256" s="1170"/>
      <c r="BT256" s="1170"/>
      <c r="BU256" s="1170"/>
      <c r="BV256" s="1170"/>
      <c r="BW256" s="1170"/>
      <c r="BX256" s="1170"/>
      <c r="BY256" s="1170"/>
      <c r="BZ256" s="1170"/>
      <c r="CA256" s="1170" t="s">
        <v>541</v>
      </c>
      <c r="CB256" s="1170"/>
      <c r="CC256" s="1187">
        <f ca="1">(CC221+BX250)*$CC$258</f>
        <v>1.6318743724949227E-14</v>
      </c>
      <c r="CD256" s="1170"/>
      <c r="CE256" s="1170"/>
      <c r="CF256" s="1170"/>
      <c r="CG256" s="1170"/>
      <c r="CH256" s="1180" t="str">
        <f>CH243</f>
        <v>FCC LCO</v>
      </c>
      <c r="CI256" s="1170"/>
      <c r="CJ256" s="1170"/>
      <c r="CK256" s="1170"/>
      <c r="CL256" s="1170"/>
      <c r="CM256" s="1170"/>
      <c r="CN256" s="1170"/>
      <c r="CO256" s="1170"/>
      <c r="CP256" s="1160"/>
      <c r="CQ256" s="1160"/>
      <c r="CR256" s="1160"/>
      <c r="CS256" s="1160"/>
      <c r="CT256" s="1160"/>
      <c r="CU256" s="1160"/>
      <c r="CV256" s="1160"/>
      <c r="CW256" s="1160"/>
      <c r="CX256" s="1160"/>
      <c r="CY256" s="1160"/>
      <c r="CZ256" s="1171"/>
      <c r="DA256" s="1160"/>
      <c r="DB256" s="1160"/>
      <c r="DC256" s="1160"/>
      <c r="DD256" s="1160"/>
      <c r="DE256" s="1160"/>
      <c r="DF256" s="1160"/>
      <c r="DG256" s="1160"/>
      <c r="DH256" s="1160"/>
      <c r="DI256" s="1160"/>
      <c r="DJ256" s="1160"/>
      <c r="DK256" s="1160"/>
      <c r="DL256" s="1160"/>
      <c r="DM256" s="1171"/>
      <c r="DN256" s="1160"/>
      <c r="DO256" s="1160"/>
      <c r="DP256" s="1160"/>
      <c r="DQ256" s="1160"/>
      <c r="DR256" s="1160"/>
      <c r="DS256" s="1160"/>
      <c r="DT256" s="1160"/>
      <c r="DU256" s="1160"/>
      <c r="DV256" s="1160"/>
      <c r="DW256" s="1160"/>
      <c r="DX256" s="1160"/>
      <c r="DY256" s="1160"/>
      <c r="DZ256" s="1160"/>
      <c r="EA256" s="1160"/>
      <c r="EB256" s="1160"/>
      <c r="EC256" s="1160"/>
    </row>
    <row r="257" spans="1:133" x14ac:dyDescent="0.2">
      <c r="A257" s="1160"/>
      <c r="B257" s="1160"/>
      <c r="C257" s="1160"/>
      <c r="D257" s="1160"/>
      <c r="E257" s="1170"/>
      <c r="F257" s="1170"/>
      <c r="G257" s="1170"/>
      <c r="H257" s="1170"/>
      <c r="I257" s="1170"/>
      <c r="J257" s="1170"/>
      <c r="K257" s="1170"/>
      <c r="L257" s="1170"/>
      <c r="M257" s="1170"/>
      <c r="N257" s="1170"/>
      <c r="O257" s="1170"/>
      <c r="P257" s="1170"/>
      <c r="Q257" s="1170"/>
      <c r="R257" s="1170"/>
      <c r="S257" s="1170"/>
      <c r="T257" s="1170"/>
      <c r="U257" s="1170"/>
      <c r="V257" s="1170"/>
      <c r="W257" s="1170"/>
      <c r="X257" s="1170"/>
      <c r="Y257" s="1170"/>
      <c r="Z257" s="1170"/>
      <c r="AA257" s="1170"/>
      <c r="AB257" s="1170"/>
      <c r="AC257" s="1170"/>
      <c r="AD257" s="1170"/>
      <c r="AE257" s="1170"/>
      <c r="AF257" s="1170"/>
      <c r="AG257" s="1170"/>
      <c r="AH257" s="1170"/>
      <c r="AI257" s="1170"/>
      <c r="AJ257" s="1204" t="s">
        <v>1054</v>
      </c>
      <c r="AK257" s="1204" t="str">
        <f>IF(allocationMethod=1,CokingRefineryPFD!$C$21,IF(CokingRefineryPFD!$E$20,CokingRefineryPFD!$C$22,IF(CokingRefineryPFD!$E$20,CokingRefineryPFD!$C$23,CokingRefineryPFD!$C$24)))</f>
        <v>Energy Basis</v>
      </c>
      <c r="AL257" s="1250">
        <f ca="1">IF(allocationMethod=1,AL249,IF(allocationMethod=2,AL255*AL249,IF(allocationMethod=3,AL256*AL247,AL253*AL249/100)))</f>
        <v>0</v>
      </c>
      <c r="AM257" s="1170"/>
      <c r="AN257" s="1170"/>
      <c r="AO257" s="1170"/>
      <c r="AP257" s="1170"/>
      <c r="AQ257" s="1170"/>
      <c r="AR257" s="1186" t="str">
        <f>HydroRefineryCalcs!C811</f>
        <v>Hydrogen</v>
      </c>
      <c r="AS257" s="1170" t="str">
        <f ca="1">HydroRefineryCalcs!D811</f>
        <v>wt%</v>
      </c>
      <c r="AT257" s="1170">
        <f ca="1">HydroRefineryCalcs!F811</f>
        <v>0</v>
      </c>
      <c r="AU257" s="1170"/>
      <c r="AV257" s="1181" t="str">
        <f>HydroRefineryCalcs!C838</f>
        <v>Total hydrogen consumed</v>
      </c>
      <c r="AW257" s="1170"/>
      <c r="AX257" s="1170"/>
      <c r="AY257" s="1170"/>
      <c r="AZ257" s="1170" t="s">
        <v>392</v>
      </c>
      <c r="BA257" s="1170"/>
      <c r="BB257" s="1170">
        <f ca="1">(AT269+AW252)*$BB$261</f>
        <v>0</v>
      </c>
      <c r="BC257" s="1170"/>
      <c r="BD257" s="1170"/>
      <c r="BE257" s="1170"/>
      <c r="BF257" s="1170"/>
      <c r="BG257" s="1170"/>
      <c r="BH257" s="1170"/>
      <c r="BI257" s="1170"/>
      <c r="BJ257" s="1170"/>
      <c r="BK257" s="1170"/>
      <c r="BL257" s="1170"/>
      <c r="BM257" s="1170"/>
      <c r="BN257" s="1170"/>
      <c r="BO257" s="1170"/>
      <c r="BP257" s="1170"/>
      <c r="BQ257" s="1170"/>
      <c r="BR257" s="1170"/>
      <c r="BS257" s="1170"/>
      <c r="BT257" s="1170"/>
      <c r="BU257" s="1170"/>
      <c r="BV257" s="1170"/>
      <c r="BW257" s="1170"/>
      <c r="BX257" s="1170"/>
      <c r="BY257" s="1170"/>
      <c r="BZ257" s="1170"/>
      <c r="CA257" s="1170" t="str">
        <f>BW251</f>
        <v>Catalyst Coke</v>
      </c>
      <c r="CB257" s="1170"/>
      <c r="CC257" s="1187">
        <f ca="1">BX251*CC258</f>
        <v>3.5910758083651294E-14</v>
      </c>
      <c r="CD257" s="1170"/>
      <c r="CE257" s="1170"/>
      <c r="CF257" s="1170"/>
      <c r="CG257" s="1170"/>
      <c r="CH257" s="1183" t="s">
        <v>226</v>
      </c>
      <c r="CI257" s="1170"/>
      <c r="CJ257" s="1184" t="s">
        <v>522</v>
      </c>
      <c r="CK257" s="1170"/>
      <c r="CL257" s="1170"/>
      <c r="CM257" s="1170"/>
      <c r="CN257" s="1170"/>
      <c r="CO257" s="1170"/>
      <c r="CP257" s="1160"/>
      <c r="CQ257" s="1160"/>
      <c r="CR257" s="1160"/>
      <c r="CS257" s="1160"/>
      <c r="CT257" s="1160"/>
      <c r="CU257" s="1160"/>
      <c r="CV257" s="1160"/>
      <c r="CW257" s="1160"/>
      <c r="CX257" s="1160"/>
      <c r="CY257" s="1160"/>
      <c r="CZ257" s="1171"/>
      <c r="DA257" s="1160"/>
      <c r="DB257" s="1160"/>
      <c r="DC257" s="1160"/>
      <c r="DD257" s="1160"/>
      <c r="DE257" s="1160"/>
      <c r="DF257" s="1160"/>
      <c r="DG257" s="1160"/>
      <c r="DH257" s="1160"/>
      <c r="DI257" s="1160"/>
      <c r="DJ257" s="1160"/>
      <c r="DK257" s="1160"/>
      <c r="DL257" s="1160"/>
      <c r="DM257" s="1171"/>
      <c r="DN257" s="1160"/>
      <c r="DO257" s="1160"/>
      <c r="DP257" s="1160"/>
      <c r="DQ257" s="1160"/>
      <c r="DR257" s="1160"/>
      <c r="DS257" s="1160"/>
      <c r="DT257" s="1160"/>
      <c r="DU257" s="1160"/>
      <c r="DV257" s="1160"/>
      <c r="DW257" s="1160"/>
      <c r="DX257" s="1160"/>
      <c r="DY257" s="1160"/>
      <c r="DZ257" s="1160"/>
      <c r="EA257" s="1160"/>
      <c r="EB257" s="1160"/>
      <c r="EC257" s="1160"/>
    </row>
    <row r="258" spans="1:133" x14ac:dyDescent="0.2">
      <c r="A258" s="1160"/>
      <c r="B258" s="1160"/>
      <c r="C258" s="1160"/>
      <c r="D258" s="1160"/>
      <c r="E258" s="1170"/>
      <c r="F258" s="1170"/>
      <c r="G258" s="1170"/>
      <c r="H258" s="1170"/>
      <c r="I258" s="1170"/>
      <c r="J258" s="1170"/>
      <c r="K258" s="1170"/>
      <c r="L258" s="1170"/>
      <c r="M258" s="1170"/>
      <c r="N258" s="1170"/>
      <c r="O258" s="1170"/>
      <c r="P258" s="1170"/>
      <c r="Q258" s="1170"/>
      <c r="R258" s="1170"/>
      <c r="S258" s="1170"/>
      <c r="T258" s="1170"/>
      <c r="U258" s="1170"/>
      <c r="V258" s="1170"/>
      <c r="W258" s="1170"/>
      <c r="X258" s="1170"/>
      <c r="Y258" s="1170"/>
      <c r="Z258" s="1170"/>
      <c r="AA258" s="1170"/>
      <c r="AB258" s="1170"/>
      <c r="AC258" s="1170"/>
      <c r="AD258" s="1170"/>
      <c r="AE258" s="1170"/>
      <c r="AF258" s="1170"/>
      <c r="AG258" s="1170"/>
      <c r="AH258" s="1170"/>
      <c r="AI258" s="1170"/>
      <c r="AJ258" s="1180" t="str">
        <f>AJ245</f>
        <v>Vac Resid</v>
      </c>
      <c r="AK258" s="1170"/>
      <c r="AL258" s="1170"/>
      <c r="AM258" s="1170"/>
      <c r="AN258" s="1170"/>
      <c r="AO258" s="1170"/>
      <c r="AP258" s="1170"/>
      <c r="AQ258" s="1170"/>
      <c r="AR258" s="1186" t="str">
        <f>HydroRefineryCalcs!C812</f>
        <v>MCR</v>
      </c>
      <c r="AS258" s="1170" t="str">
        <f ca="1">HydroRefineryCalcs!D812</f>
        <v>wt%</v>
      </c>
      <c r="AT258" s="1170">
        <f ca="1">HydroRefineryCalcs!F812</f>
        <v>10.823381666475589</v>
      </c>
      <c r="AU258" s="1170"/>
      <c r="AV258" s="1301" t="str">
        <f>HydroRefineryCalcs!E838</f>
        <v>kg/d</v>
      </c>
      <c r="AW258" s="1170">
        <f ca="1">HydroRefineryCalcs!D838</f>
        <v>3.7633800156215387E-16</v>
      </c>
      <c r="AX258" s="1170"/>
      <c r="AY258" s="1170"/>
      <c r="AZ258" s="1170" t="s">
        <v>224</v>
      </c>
      <c r="BA258" s="1170"/>
      <c r="BB258" s="1170">
        <f ca="1">(AT270+AW253)*$BB$261</f>
        <v>4.4226782717272836E-13</v>
      </c>
      <c r="BC258" s="1170"/>
      <c r="BD258" s="1170"/>
      <c r="BE258" s="1170"/>
      <c r="BF258" s="1170"/>
      <c r="BG258" s="1170"/>
      <c r="BH258" s="1170"/>
      <c r="BI258" s="1170"/>
      <c r="BJ258" s="1170"/>
      <c r="BK258" s="1170"/>
      <c r="BL258" s="1170"/>
      <c r="BM258" s="1170"/>
      <c r="BN258" s="1170"/>
      <c r="BO258" s="1170"/>
      <c r="BP258" s="1170"/>
      <c r="BQ258" s="1170"/>
      <c r="BR258" s="1170"/>
      <c r="BS258" s="1170"/>
      <c r="BT258" s="1170"/>
      <c r="BU258" s="1170"/>
      <c r="BV258" s="1170"/>
      <c r="BW258" s="1170"/>
      <c r="BX258" s="1170"/>
      <c r="BY258" s="1170"/>
      <c r="BZ258" s="1170"/>
      <c r="CA258" s="1180" t="s">
        <v>1066</v>
      </c>
      <c r="CB258" s="1170"/>
      <c r="CC258" s="1170">
        <f ca="1">IF('HydroRefineryPFD '!E27=TRUE,CC259,1)</f>
        <v>1</v>
      </c>
      <c r="CD258" s="1170"/>
      <c r="CE258" s="1170"/>
      <c r="CF258" s="1170"/>
      <c r="CG258" s="1170"/>
      <c r="CH258" s="1170" t="s">
        <v>263</v>
      </c>
      <c r="CI258" s="1170"/>
      <c r="CJ258" s="1187">
        <f ca="1">CC252*CJ264</f>
        <v>0</v>
      </c>
      <c r="CK258" s="1170"/>
      <c r="CL258" s="1170"/>
      <c r="CM258" s="1170"/>
      <c r="CN258" s="1170"/>
      <c r="CO258" s="1170"/>
      <c r="CP258" s="1160"/>
      <c r="CQ258" s="1160"/>
      <c r="CR258" s="1160"/>
      <c r="CS258" s="1160"/>
      <c r="CT258" s="1160"/>
      <c r="CU258" s="1160"/>
      <c r="CV258" s="1160"/>
      <c r="CW258" s="1160"/>
      <c r="CX258" s="1160"/>
      <c r="CY258" s="1160"/>
      <c r="CZ258" s="1171"/>
      <c r="DA258" s="1160"/>
      <c r="DB258" s="1160"/>
      <c r="DC258" s="1160"/>
      <c r="DD258" s="1160"/>
      <c r="DE258" s="1160"/>
      <c r="DF258" s="1160"/>
      <c r="DG258" s="1160"/>
      <c r="DH258" s="1160"/>
      <c r="DI258" s="1160"/>
      <c r="DJ258" s="1160"/>
      <c r="DK258" s="1160"/>
      <c r="DL258" s="1160"/>
      <c r="DM258" s="1171"/>
      <c r="DN258" s="1160"/>
      <c r="DO258" s="1160"/>
      <c r="DP258" s="1160"/>
      <c r="DQ258" s="1160"/>
      <c r="DR258" s="1160"/>
      <c r="DS258" s="1160"/>
      <c r="DT258" s="1160"/>
      <c r="DU258" s="1160"/>
      <c r="DV258" s="1160"/>
      <c r="DW258" s="1160"/>
      <c r="DX258" s="1160"/>
      <c r="DY258" s="1160"/>
      <c r="DZ258" s="1160"/>
      <c r="EA258" s="1160"/>
      <c r="EB258" s="1160"/>
      <c r="EC258" s="1160"/>
    </row>
    <row r="259" spans="1:133" x14ac:dyDescent="0.2">
      <c r="A259" s="1160"/>
      <c r="B259" s="1160"/>
      <c r="C259" s="1160"/>
      <c r="D259" s="1160"/>
      <c r="E259" s="1170"/>
      <c r="F259" s="1170"/>
      <c r="G259" s="1170"/>
      <c r="H259" s="1170"/>
      <c r="I259" s="1170"/>
      <c r="J259" s="1170"/>
      <c r="K259" s="1170"/>
      <c r="L259" s="1170"/>
      <c r="M259" s="1170"/>
      <c r="N259" s="1170"/>
      <c r="O259" s="1170"/>
      <c r="P259" s="1170"/>
      <c r="Q259" s="1170"/>
      <c r="R259" s="1170"/>
      <c r="S259" s="1170"/>
      <c r="T259" s="1170"/>
      <c r="U259" s="1170"/>
      <c r="V259" s="1170"/>
      <c r="W259" s="1170"/>
      <c r="X259" s="1170"/>
      <c r="Y259" s="1170"/>
      <c r="Z259" s="1170"/>
      <c r="AA259" s="1170"/>
      <c r="AB259" s="1170"/>
      <c r="AC259" s="1170"/>
      <c r="AD259" s="1170"/>
      <c r="AE259" s="1170"/>
      <c r="AF259" s="1170"/>
      <c r="AG259" s="1170"/>
      <c r="AH259" s="1170"/>
      <c r="AI259" s="1170"/>
      <c r="AJ259" s="1183" t="s">
        <v>226</v>
      </c>
      <c r="AK259" s="1170"/>
      <c r="AL259" s="1227" t="s">
        <v>522</v>
      </c>
      <c r="AM259" s="1170"/>
      <c r="AN259" s="1170"/>
      <c r="AO259" s="1170"/>
      <c r="AP259" s="1170"/>
      <c r="AQ259" s="1170"/>
      <c r="AR259" s="1200" t="s">
        <v>1056</v>
      </c>
      <c r="AS259" s="1199" t="s">
        <v>447</v>
      </c>
      <c r="AT259" s="1199">
        <f ca="1">('Energy &amp; Unit Conversions'!$D$63-('Energy &amp; Unit Conversions'!$E$63*POWER((AT256/'Energy &amp; Unit Conversions'!$E$54),2)))</f>
        <v>46.693440000000002</v>
      </c>
      <c r="AU259" s="1170"/>
      <c r="AV259" s="1196"/>
      <c r="AW259" s="1170"/>
      <c r="AX259" s="1170"/>
      <c r="AY259" s="1170"/>
      <c r="AZ259" s="1170" t="s">
        <v>485</v>
      </c>
      <c r="BA259" s="1170"/>
      <c r="BB259" s="1170">
        <f ca="1">(AT271+AW254)*$BB$261</f>
        <v>0</v>
      </c>
      <c r="BC259" s="1170"/>
      <c r="BD259" s="1170"/>
      <c r="BE259" s="1170"/>
      <c r="BF259" s="1170"/>
      <c r="BG259" s="1170"/>
      <c r="BH259" s="1170"/>
      <c r="BI259" s="1170"/>
      <c r="BJ259" s="1170"/>
      <c r="BK259" s="1170"/>
      <c r="BL259" s="1170"/>
      <c r="BM259" s="1170"/>
      <c r="BN259" s="1170"/>
      <c r="BO259" s="1170"/>
      <c r="BP259" s="1170"/>
      <c r="BQ259" s="1170"/>
      <c r="BR259" s="1170"/>
      <c r="BS259" s="1170"/>
      <c r="BT259" s="1170"/>
      <c r="BU259" s="1170"/>
      <c r="BV259" s="1170"/>
      <c r="BW259" s="1170"/>
      <c r="BX259" s="1170"/>
      <c r="BY259" s="1170"/>
      <c r="BZ259" s="1170"/>
      <c r="CA259" s="1180" t="s">
        <v>1065</v>
      </c>
      <c r="CB259" s="1170"/>
      <c r="CC259" s="1170">
        <f ca="1">CC248/(BT240+CC248)</f>
        <v>1</v>
      </c>
      <c r="CD259" s="1170"/>
      <c r="CE259" s="1170"/>
      <c r="CF259" s="1170"/>
      <c r="CG259" s="1170"/>
      <c r="CH259" s="1170" t="s">
        <v>392</v>
      </c>
      <c r="CI259" s="1170"/>
      <c r="CJ259" s="1187">
        <f ca="1">(CC253+CF216)*$CJ$264</f>
        <v>0</v>
      </c>
      <c r="CK259" s="1170"/>
      <c r="CL259" s="1170"/>
      <c r="CM259" s="1170"/>
      <c r="CN259" s="1170"/>
      <c r="CO259" s="1170"/>
      <c r="CP259" s="1160"/>
      <c r="CQ259" s="1160"/>
      <c r="CR259" s="1160"/>
      <c r="CS259" s="1160"/>
      <c r="CT259" s="1160"/>
      <c r="CU259" s="1160"/>
      <c r="CV259" s="1160"/>
      <c r="CW259" s="1160"/>
      <c r="CX259" s="1160"/>
      <c r="CY259" s="1160"/>
      <c r="CZ259" s="1171"/>
      <c r="DA259" s="1160"/>
      <c r="DB259" s="1160"/>
      <c r="DC259" s="1160"/>
      <c r="DD259" s="1160"/>
      <c r="DE259" s="1160"/>
      <c r="DF259" s="1160"/>
      <c r="DG259" s="1160"/>
      <c r="DH259" s="1160"/>
      <c r="DI259" s="1160"/>
      <c r="DJ259" s="1160"/>
      <c r="DK259" s="1160"/>
      <c r="DL259" s="1160"/>
      <c r="DM259" s="1171"/>
      <c r="DN259" s="1160"/>
      <c r="DO259" s="1160"/>
      <c r="DP259" s="1160"/>
      <c r="DQ259" s="1160"/>
      <c r="DR259" s="1160"/>
      <c r="DS259" s="1160"/>
      <c r="DT259" s="1160"/>
      <c r="DU259" s="1160"/>
      <c r="DV259" s="1160"/>
      <c r="DW259" s="1160"/>
      <c r="DX259" s="1160"/>
      <c r="DY259" s="1160"/>
      <c r="DZ259" s="1160"/>
      <c r="EA259" s="1160"/>
      <c r="EB259" s="1160"/>
      <c r="EC259" s="1160"/>
    </row>
    <row r="260" spans="1:133" x14ac:dyDescent="0.2">
      <c r="A260" s="1160"/>
      <c r="B260" s="1160"/>
      <c r="C260" s="1160"/>
      <c r="D260" s="1160"/>
      <c r="E260" s="1170"/>
      <c r="F260" s="1170"/>
      <c r="G260" s="1170"/>
      <c r="H260" s="1170"/>
      <c r="I260" s="1170"/>
      <c r="J260" s="1170"/>
      <c r="K260" s="1170"/>
      <c r="L260" s="1170"/>
      <c r="M260" s="1170"/>
      <c r="N260" s="1170"/>
      <c r="O260" s="1170"/>
      <c r="P260" s="1170"/>
      <c r="Q260" s="1170"/>
      <c r="R260" s="1170"/>
      <c r="S260" s="1170"/>
      <c r="T260" s="1170"/>
      <c r="U260" s="1170"/>
      <c r="V260" s="1170"/>
      <c r="W260" s="1170"/>
      <c r="X260" s="1170"/>
      <c r="Y260" s="1170"/>
      <c r="Z260" s="1170"/>
      <c r="AA260" s="1170"/>
      <c r="AB260" s="1170"/>
      <c r="AC260" s="1170"/>
      <c r="AD260" s="1170"/>
      <c r="AE260" s="1170"/>
      <c r="AF260" s="1170"/>
      <c r="AG260" s="1170"/>
      <c r="AH260" s="1170"/>
      <c r="AI260" s="1170"/>
      <c r="AJ260" s="1170" t="s">
        <v>263</v>
      </c>
      <c r="AK260" s="1170"/>
      <c r="AL260" s="1187">
        <f ca="1">AE182*AL265</f>
        <v>0</v>
      </c>
      <c r="AM260" s="1170"/>
      <c r="AN260" s="1170"/>
      <c r="AO260" s="1170"/>
      <c r="AP260" s="1170"/>
      <c r="AQ260" s="1170"/>
      <c r="AR260" s="1200" t="s">
        <v>1021</v>
      </c>
      <c r="AS260" s="1199" t="s">
        <v>1022</v>
      </c>
      <c r="AT260" s="1246">
        <f>AL256</f>
        <v>65.005823135375977</v>
      </c>
      <c r="AU260" s="1170"/>
      <c r="AV260" s="1170"/>
      <c r="AW260" s="1170"/>
      <c r="AX260" s="1170"/>
      <c r="AY260" s="1170"/>
      <c r="AZ260" s="1170" t="s">
        <v>541</v>
      </c>
      <c r="BA260" s="1170"/>
      <c r="BB260" s="1170">
        <f ca="1">(AT272+AW255)*$BB$261</f>
        <v>5.0207203556112386E-14</v>
      </c>
      <c r="BC260" s="1170"/>
      <c r="BD260" s="1170"/>
      <c r="BE260" s="1170"/>
      <c r="BF260" s="1170"/>
      <c r="BG260" s="1170"/>
      <c r="BH260" s="1170"/>
      <c r="BI260" s="1170"/>
      <c r="BJ260" s="1170"/>
      <c r="BK260" s="1170"/>
      <c r="BL260" s="1170"/>
      <c r="BM260" s="1170"/>
      <c r="BN260" s="1170"/>
      <c r="BO260" s="1170"/>
      <c r="BP260" s="1170"/>
      <c r="BQ260" s="1170"/>
      <c r="BR260" s="1170"/>
      <c r="BS260" s="1170"/>
      <c r="BT260" s="1170"/>
      <c r="BU260" s="1170"/>
      <c r="BV260" s="1170"/>
      <c r="BW260" s="1170"/>
      <c r="BX260" s="1170"/>
      <c r="BY260" s="1170"/>
      <c r="BZ260" s="1170"/>
      <c r="CA260" s="1239" t="s">
        <v>228</v>
      </c>
      <c r="CB260" s="1170"/>
      <c r="CC260" s="1170">
        <f ca="1">CC240/(BY219-'HydroRefinery Detailed Results'!Q25)</f>
        <v>0.96533613445378152</v>
      </c>
      <c r="CD260" s="1170"/>
      <c r="CE260" s="1170"/>
      <c r="CF260" s="1170"/>
      <c r="CG260" s="1170"/>
      <c r="CH260" s="1170" t="s">
        <v>224</v>
      </c>
      <c r="CI260" s="1170"/>
      <c r="CJ260" s="1187">
        <f ca="1">(CC254+CF217)*$CJ$264</f>
        <v>4.338172152510905E-13</v>
      </c>
      <c r="CK260" s="1170"/>
      <c r="CL260" s="1170"/>
      <c r="CM260" s="1170"/>
      <c r="CN260" s="1170"/>
      <c r="CO260" s="1170"/>
      <c r="CP260" s="1160"/>
      <c r="CQ260" s="1160"/>
      <c r="CR260" s="1160"/>
      <c r="CS260" s="1160"/>
      <c r="CT260" s="1160"/>
      <c r="CU260" s="1160"/>
      <c r="CV260" s="1160"/>
      <c r="CW260" s="1160"/>
      <c r="CX260" s="1160"/>
      <c r="CY260" s="1160"/>
      <c r="CZ260" s="1171"/>
      <c r="DA260" s="1160"/>
      <c r="DB260" s="1160"/>
      <c r="DC260" s="1160"/>
      <c r="DD260" s="1160"/>
      <c r="DE260" s="1160"/>
      <c r="DF260" s="1160"/>
      <c r="DG260" s="1160"/>
      <c r="DH260" s="1160"/>
      <c r="DI260" s="1160"/>
      <c r="DJ260" s="1160"/>
      <c r="DK260" s="1160"/>
      <c r="DL260" s="1160"/>
      <c r="DM260" s="1171"/>
      <c r="DN260" s="1160"/>
      <c r="DO260" s="1160"/>
      <c r="DP260" s="1160"/>
      <c r="DQ260" s="1160"/>
      <c r="DR260" s="1160"/>
      <c r="DS260" s="1160"/>
      <c r="DT260" s="1160"/>
      <c r="DU260" s="1160"/>
      <c r="DV260" s="1160"/>
      <c r="DW260" s="1160"/>
      <c r="DX260" s="1160"/>
      <c r="DY260" s="1160"/>
      <c r="DZ260" s="1160"/>
      <c r="EA260" s="1160"/>
      <c r="EB260" s="1160"/>
      <c r="EC260" s="1160"/>
    </row>
    <row r="261" spans="1:133" x14ac:dyDescent="0.2">
      <c r="A261" s="1160"/>
      <c r="B261" s="1160"/>
      <c r="C261" s="1160"/>
      <c r="D261" s="1160"/>
      <c r="E261" s="1170"/>
      <c r="F261" s="1170"/>
      <c r="G261" s="1170"/>
      <c r="H261" s="1170"/>
      <c r="I261" s="1170"/>
      <c r="J261" s="1170"/>
      <c r="K261" s="1170"/>
      <c r="L261" s="1170"/>
      <c r="M261" s="1170"/>
      <c r="N261" s="1170"/>
      <c r="O261" s="1170"/>
      <c r="P261" s="1170"/>
      <c r="Q261" s="1170"/>
      <c r="R261" s="1170"/>
      <c r="S261" s="1170"/>
      <c r="T261" s="1170"/>
      <c r="U261" s="1170"/>
      <c r="V261" s="1170"/>
      <c r="W261" s="1170"/>
      <c r="X261" s="1170"/>
      <c r="Y261" s="1170"/>
      <c r="Z261" s="1170"/>
      <c r="AA261" s="1170"/>
      <c r="AB261" s="1170"/>
      <c r="AC261" s="1170"/>
      <c r="AD261" s="1170"/>
      <c r="AE261" s="1170"/>
      <c r="AF261" s="1170"/>
      <c r="AG261" s="1170"/>
      <c r="AH261" s="1170"/>
      <c r="AI261" s="1170"/>
      <c r="AJ261" s="1170" t="s">
        <v>392</v>
      </c>
      <c r="AK261" s="1170"/>
      <c r="AL261" s="1187">
        <f ca="1">(AE183+AH144)*$AL$265</f>
        <v>0</v>
      </c>
      <c r="AM261" s="1170"/>
      <c r="AN261" s="1170"/>
      <c r="AO261" s="1170"/>
      <c r="AP261" s="1170"/>
      <c r="AQ261" s="1170"/>
      <c r="AR261" s="1204" t="s">
        <v>1054</v>
      </c>
      <c r="AS261" s="1204" t="str">
        <f>IF(allocationMethod=1,CokingRefineryPFD!$C$21,IF(allocationMethod=2,CokingRefineryPFD!$C$22,IF(allocationMethod=3,CokingRefineryPFD!$C$23,CokingRefineryPFD!$C$24)))</f>
        <v>Hydrogen Content Basis</v>
      </c>
      <c r="AT261" s="1204">
        <f ca="1">IF(allocationMethod=1,AT253,IF(allocationMethod=2,AT259*AT253,IF(allocationMethod=3,AT260*AT251,AT257*AT253/100)))</f>
        <v>0</v>
      </c>
      <c r="AU261" s="1170"/>
      <c r="AV261" s="1170"/>
      <c r="AW261" s="1170"/>
      <c r="AX261" s="1170"/>
      <c r="AY261" s="1170"/>
      <c r="AZ261" s="1180" t="s">
        <v>1066</v>
      </c>
      <c r="BA261" s="1170"/>
      <c r="BB261" s="1170">
        <f ca="1">IF('HydroRefineryPFD '!E27=TRUE,BB262,1)</f>
        <v>1</v>
      </c>
      <c r="BC261" s="1170"/>
      <c r="BD261" s="1170"/>
      <c r="BE261" s="1170"/>
      <c r="BF261" s="1170"/>
      <c r="BG261" s="1170"/>
      <c r="BH261" s="1170"/>
      <c r="BI261" s="1170"/>
      <c r="BJ261" s="1170"/>
      <c r="BK261" s="1170"/>
      <c r="BL261" s="1170"/>
      <c r="BM261" s="1170"/>
      <c r="BN261" s="1170"/>
      <c r="BO261" s="1170"/>
      <c r="BP261" s="1170"/>
      <c r="BQ261" s="1170"/>
      <c r="BR261" s="1170"/>
      <c r="BS261" s="1170"/>
      <c r="BT261" s="1170"/>
      <c r="BU261" s="1170"/>
      <c r="BV261" s="1170"/>
      <c r="BW261" s="1170"/>
      <c r="BX261" s="1170"/>
      <c r="BY261" s="1170"/>
      <c r="BZ261" s="1170"/>
      <c r="CA261" s="1170"/>
      <c r="CB261" s="1170"/>
      <c r="CC261" s="1170"/>
      <c r="CD261" s="1170"/>
      <c r="CE261" s="1170"/>
      <c r="CF261" s="1170"/>
      <c r="CG261" s="1170"/>
      <c r="CH261" s="1170" t="s">
        <v>485</v>
      </c>
      <c r="CI261" s="1170"/>
      <c r="CJ261" s="1187">
        <f ca="1">(CC255+CF218)*$CJ$264</f>
        <v>3.4031613135158481E-14</v>
      </c>
      <c r="CK261" s="1170"/>
      <c r="CL261" s="1170"/>
      <c r="CM261" s="1170"/>
      <c r="CN261" s="1170"/>
      <c r="CO261" s="1170"/>
      <c r="CP261" s="1160"/>
      <c r="CQ261" s="1160"/>
      <c r="CR261" s="1160"/>
      <c r="CS261" s="1160"/>
      <c r="CT261" s="1160"/>
      <c r="CU261" s="1160"/>
      <c r="CV261" s="1160"/>
      <c r="CW261" s="1160"/>
      <c r="CX261" s="1160"/>
      <c r="CY261" s="1160"/>
      <c r="CZ261" s="1171"/>
      <c r="DA261" s="1160"/>
      <c r="DB261" s="1160"/>
      <c r="DC261" s="1160"/>
      <c r="DD261" s="1160"/>
      <c r="DE261" s="1160"/>
      <c r="DF261" s="1160"/>
      <c r="DG261" s="1160"/>
      <c r="DH261" s="1160"/>
      <c r="DI261" s="1160"/>
      <c r="DJ261" s="1160"/>
      <c r="DK261" s="1160"/>
      <c r="DL261" s="1160"/>
      <c r="DM261" s="1171"/>
      <c r="DN261" s="1160"/>
      <c r="DO261" s="1160"/>
      <c r="DP261" s="1160"/>
      <c r="DQ261" s="1160"/>
      <c r="DR261" s="1160"/>
      <c r="DS261" s="1160"/>
      <c r="DT261" s="1160"/>
      <c r="DU261" s="1160"/>
      <c r="DV261" s="1160"/>
      <c r="DW261" s="1160"/>
      <c r="DX261" s="1160"/>
      <c r="DY261" s="1160"/>
      <c r="DZ261" s="1160"/>
      <c r="EA261" s="1160"/>
      <c r="EB261" s="1160"/>
      <c r="EC261" s="1160"/>
    </row>
    <row r="262" spans="1:133" x14ac:dyDescent="0.2">
      <c r="A262" s="1160"/>
      <c r="B262" s="1160"/>
      <c r="C262" s="1160"/>
      <c r="D262" s="1160"/>
      <c r="E262" s="1170"/>
      <c r="F262" s="1170"/>
      <c r="G262" s="1170"/>
      <c r="H262" s="1170"/>
      <c r="I262" s="1170"/>
      <c r="J262" s="1170"/>
      <c r="K262" s="1170"/>
      <c r="L262" s="1170"/>
      <c r="M262" s="1170"/>
      <c r="N262" s="1170"/>
      <c r="O262" s="1170"/>
      <c r="P262" s="1170"/>
      <c r="Q262" s="1170"/>
      <c r="R262" s="1170"/>
      <c r="S262" s="1170"/>
      <c r="T262" s="1170"/>
      <c r="U262" s="1170"/>
      <c r="V262" s="1170"/>
      <c r="W262" s="1170"/>
      <c r="X262" s="1170"/>
      <c r="Y262" s="1170"/>
      <c r="Z262" s="1170"/>
      <c r="AA262" s="1170"/>
      <c r="AB262" s="1170"/>
      <c r="AC262" s="1170"/>
      <c r="AD262" s="1170"/>
      <c r="AE262" s="1170"/>
      <c r="AF262" s="1170"/>
      <c r="AG262" s="1170"/>
      <c r="AH262" s="1170"/>
      <c r="AI262" s="1170"/>
      <c r="AJ262" s="1170" t="s">
        <v>224</v>
      </c>
      <c r="AK262" s="1170"/>
      <c r="AL262" s="1187">
        <f ca="1">(AE184+AH145)*$AL$265</f>
        <v>0</v>
      </c>
      <c r="AM262" s="1170"/>
      <c r="AN262" s="1170"/>
      <c r="AO262" s="1170"/>
      <c r="AP262" s="1170"/>
      <c r="AQ262" s="1170"/>
      <c r="AR262" s="1170"/>
      <c r="AS262" s="1170"/>
      <c r="AT262" s="1170"/>
      <c r="AU262" s="1170"/>
      <c r="AV262" s="1170"/>
      <c r="AW262" s="1170"/>
      <c r="AX262" s="1170"/>
      <c r="AY262" s="1170"/>
      <c r="AZ262" s="1302" t="s">
        <v>1065</v>
      </c>
      <c r="BA262" s="1107"/>
      <c r="BB262" s="1107">
        <f ca="1">BB252/(AW238+BB252)</f>
        <v>1</v>
      </c>
      <c r="BC262" s="1170"/>
      <c r="BD262" s="1170"/>
      <c r="BE262" s="1170"/>
      <c r="BF262" s="1170"/>
      <c r="BG262" s="1170"/>
      <c r="BH262" s="1170"/>
      <c r="BI262" s="1170"/>
      <c r="BJ262" s="1170"/>
      <c r="BK262" s="1170"/>
      <c r="BL262" s="1170"/>
      <c r="BM262" s="1170"/>
      <c r="BN262" s="1170"/>
      <c r="BO262" s="1170"/>
      <c r="BP262" s="1170"/>
      <c r="BQ262" s="1170"/>
      <c r="BR262" s="1170"/>
      <c r="BS262" s="1170"/>
      <c r="BT262" s="1170"/>
      <c r="BU262" s="1170"/>
      <c r="BV262" s="1170"/>
      <c r="BW262" s="1170"/>
      <c r="BX262" s="1170"/>
      <c r="BY262" s="1170"/>
      <c r="BZ262" s="1170"/>
      <c r="CA262" s="1170"/>
      <c r="CB262" s="1170"/>
      <c r="CC262" s="1170"/>
      <c r="CD262" s="1170"/>
      <c r="CE262" s="1170"/>
      <c r="CF262" s="1170"/>
      <c r="CG262" s="1170"/>
      <c r="CH262" s="1170" t="s">
        <v>541</v>
      </c>
      <c r="CI262" s="1170"/>
      <c r="CJ262" s="1187">
        <f ca="1">(CC256+CF219)*$CJ$264</f>
        <v>3.1257989446313829E-15</v>
      </c>
      <c r="CK262" s="1170"/>
      <c r="CL262" s="1170"/>
      <c r="CM262" s="1170"/>
      <c r="CN262" s="1170"/>
      <c r="CO262" s="1170"/>
      <c r="CP262" s="1160"/>
      <c r="CQ262" s="1160"/>
      <c r="CR262" s="1160"/>
      <c r="CS262" s="1160"/>
      <c r="CT262" s="1160"/>
      <c r="CU262" s="1160"/>
      <c r="CV262" s="1160"/>
      <c r="CW262" s="1160"/>
      <c r="CX262" s="1160"/>
      <c r="CY262" s="1160"/>
      <c r="CZ262" s="1171"/>
      <c r="DA262" s="1160"/>
      <c r="DB262" s="1160"/>
      <c r="DC262" s="1160"/>
      <c r="DD262" s="1160"/>
      <c r="DE262" s="1160"/>
      <c r="DF262" s="1160"/>
      <c r="DG262" s="1160"/>
      <c r="DH262" s="1160"/>
      <c r="DI262" s="1160"/>
      <c r="DJ262" s="1160"/>
      <c r="DK262" s="1160"/>
      <c r="DL262" s="1160"/>
      <c r="DM262" s="1171"/>
      <c r="DN262" s="1160"/>
      <c r="DO262" s="1160"/>
      <c r="DP262" s="1160"/>
      <c r="DQ262" s="1160"/>
      <c r="DR262" s="1160"/>
      <c r="DS262" s="1160"/>
      <c r="DT262" s="1160"/>
      <c r="DU262" s="1160"/>
      <c r="DV262" s="1160"/>
      <c r="DW262" s="1160"/>
      <c r="DX262" s="1160"/>
      <c r="DY262" s="1160"/>
      <c r="DZ262" s="1160"/>
      <c r="EA262" s="1160"/>
      <c r="EB262" s="1160"/>
      <c r="EC262" s="1160"/>
    </row>
    <row r="263" spans="1:133" x14ac:dyDescent="0.2">
      <c r="A263" s="1160"/>
      <c r="B263" s="1160"/>
      <c r="C263" s="1160"/>
      <c r="D263" s="1160"/>
      <c r="E263" s="1170"/>
      <c r="F263" s="1170"/>
      <c r="G263" s="1170"/>
      <c r="H263" s="1170"/>
      <c r="I263" s="1170"/>
      <c r="J263" s="1170"/>
      <c r="K263" s="1170"/>
      <c r="L263" s="1170"/>
      <c r="M263" s="1170"/>
      <c r="N263" s="1170"/>
      <c r="O263" s="1170"/>
      <c r="P263" s="1170"/>
      <c r="Q263" s="1170"/>
      <c r="R263" s="1170"/>
      <c r="S263" s="1170"/>
      <c r="T263" s="1170"/>
      <c r="U263" s="1170"/>
      <c r="V263" s="1170"/>
      <c r="W263" s="1170"/>
      <c r="X263" s="1170"/>
      <c r="Y263" s="1170"/>
      <c r="Z263" s="1170"/>
      <c r="AA263" s="1170"/>
      <c r="AB263" s="1170"/>
      <c r="AC263" s="1170"/>
      <c r="AD263" s="1170"/>
      <c r="AE263" s="1170"/>
      <c r="AF263" s="1170"/>
      <c r="AG263" s="1170"/>
      <c r="AH263" s="1170"/>
      <c r="AI263" s="1170"/>
      <c r="AJ263" s="1170" t="s">
        <v>485</v>
      </c>
      <c r="AK263" s="1170"/>
      <c r="AL263" s="1187">
        <f ca="1">(AE185+AH146)*$AL$265</f>
        <v>0</v>
      </c>
      <c r="AM263" s="1170"/>
      <c r="AN263" s="1184" t="str">
        <f>'HydroRefinery Detailed Results'!C20</f>
        <v>Residue Hydrocracker Furnace</v>
      </c>
      <c r="AO263" s="1170"/>
      <c r="AP263" s="1170"/>
      <c r="AQ263" s="1170"/>
      <c r="AR263" s="1170"/>
      <c r="AS263" s="1170"/>
      <c r="AT263" s="1170"/>
      <c r="AU263" s="1170"/>
      <c r="AV263" s="1170"/>
      <c r="AW263" s="1170"/>
      <c r="AX263" s="1170"/>
      <c r="AY263" s="1170"/>
      <c r="AZ263" s="1303" t="s">
        <v>228</v>
      </c>
      <c r="BA263" s="1107"/>
      <c r="BB263" s="1107">
        <f ca="1">BB244/(AT253+AW258)</f>
        <v>0.91554457830592817</v>
      </c>
      <c r="BC263" s="1170"/>
      <c r="BD263" s="1170"/>
      <c r="BE263" s="1170"/>
      <c r="BF263" s="1170"/>
      <c r="BG263" s="1170"/>
      <c r="BH263" s="1170"/>
      <c r="BI263" s="1170"/>
      <c r="BJ263" s="1170"/>
      <c r="BK263" s="1170"/>
      <c r="BL263" s="1170"/>
      <c r="BM263" s="1170"/>
      <c r="BN263" s="1170"/>
      <c r="BO263" s="1170"/>
      <c r="BP263" s="1170"/>
      <c r="BQ263" s="1170"/>
      <c r="BR263" s="1170"/>
      <c r="BS263" s="1170"/>
      <c r="BT263" s="1170"/>
      <c r="BU263" s="1170"/>
      <c r="BV263" s="1170"/>
      <c r="BW263" s="1170"/>
      <c r="BX263" s="1170"/>
      <c r="BY263" s="1170"/>
      <c r="BZ263" s="1170"/>
      <c r="CA263" s="1170"/>
      <c r="CB263" s="1170"/>
      <c r="CC263" s="1170"/>
      <c r="CD263" s="1170"/>
      <c r="CE263" s="1170"/>
      <c r="CF263" s="1170"/>
      <c r="CG263" s="1170"/>
      <c r="CH263" s="1170" t="str">
        <f>CA257</f>
        <v>Catalyst Coke</v>
      </c>
      <c r="CI263" s="1170"/>
      <c r="CJ263" s="1187">
        <f ca="1">(CC257)*$CJ$264</f>
        <v>6.8785815630632664E-15</v>
      </c>
      <c r="CK263" s="1170"/>
      <c r="CL263" s="1170"/>
      <c r="CM263" s="1170"/>
      <c r="CN263" s="1170"/>
      <c r="CO263" s="1170"/>
      <c r="CP263" s="1160"/>
      <c r="CQ263" s="1160"/>
      <c r="CR263" s="1160"/>
      <c r="CS263" s="1160"/>
      <c r="CT263" s="1160"/>
      <c r="CU263" s="1160"/>
      <c r="CV263" s="1160"/>
      <c r="CW263" s="1160"/>
      <c r="CX263" s="1160"/>
      <c r="CY263" s="1160"/>
      <c r="CZ263" s="1171"/>
      <c r="DA263" s="1160"/>
      <c r="DB263" s="1160"/>
      <c r="DC263" s="1160"/>
      <c r="DD263" s="1160"/>
      <c r="DE263" s="1160"/>
      <c r="DF263" s="1160"/>
      <c r="DG263" s="1160"/>
      <c r="DH263" s="1160"/>
      <c r="DI263" s="1160"/>
      <c r="DJ263" s="1160"/>
      <c r="DK263" s="1160"/>
      <c r="DL263" s="1160"/>
      <c r="DM263" s="1171"/>
      <c r="DN263" s="1160"/>
      <c r="DO263" s="1160"/>
      <c r="DP263" s="1160"/>
      <c r="DQ263" s="1160"/>
      <c r="DR263" s="1160"/>
      <c r="DS263" s="1160"/>
      <c r="DT263" s="1160"/>
      <c r="DU263" s="1160"/>
      <c r="DV263" s="1160"/>
      <c r="DW263" s="1160"/>
      <c r="DX263" s="1160"/>
      <c r="DY263" s="1160"/>
      <c r="DZ263" s="1160"/>
      <c r="EA263" s="1160"/>
      <c r="EB263" s="1160"/>
      <c r="EC263" s="1160"/>
    </row>
    <row r="264" spans="1:133" x14ac:dyDescent="0.2">
      <c r="A264" s="1160"/>
      <c r="B264" s="1160"/>
      <c r="C264" s="1160"/>
      <c r="D264" s="1160"/>
      <c r="E264" s="1170"/>
      <c r="F264" s="1170"/>
      <c r="G264" s="1170"/>
      <c r="H264" s="1170"/>
      <c r="I264" s="1170"/>
      <c r="J264" s="1170"/>
      <c r="K264" s="1170"/>
      <c r="L264" s="1170"/>
      <c r="M264" s="1170"/>
      <c r="N264" s="1170"/>
      <c r="O264" s="1170"/>
      <c r="P264" s="1170"/>
      <c r="Q264" s="1170"/>
      <c r="R264" s="1170"/>
      <c r="S264" s="1170"/>
      <c r="T264" s="1170"/>
      <c r="U264" s="1170"/>
      <c r="V264" s="1170"/>
      <c r="W264" s="1170"/>
      <c r="X264" s="1170"/>
      <c r="Y264" s="1170"/>
      <c r="Z264" s="1170"/>
      <c r="AA264" s="1170"/>
      <c r="AB264" s="1170"/>
      <c r="AC264" s="1170"/>
      <c r="AD264" s="1170"/>
      <c r="AE264" s="1170"/>
      <c r="AF264" s="1170"/>
      <c r="AG264" s="1170"/>
      <c r="AH264" s="1170"/>
      <c r="AI264" s="1170"/>
      <c r="AJ264" s="1170" t="s">
        <v>541</v>
      </c>
      <c r="AK264" s="1170"/>
      <c r="AL264" s="1187">
        <f ca="1">(AE186+AH147)*$AL$265</f>
        <v>0</v>
      </c>
      <c r="AM264" s="1170"/>
      <c r="AN264" s="1184" t="s">
        <v>225</v>
      </c>
      <c r="AO264" s="1184" t="s">
        <v>522</v>
      </c>
      <c r="AP264" s="1170"/>
      <c r="AQ264" s="1170"/>
      <c r="AR264" s="1170"/>
      <c r="AS264" s="1170"/>
      <c r="AT264" s="1170"/>
      <c r="AU264" s="1170"/>
      <c r="AV264" s="1170"/>
      <c r="AW264" s="1170"/>
      <c r="AX264" s="1170"/>
      <c r="AY264" s="1170"/>
      <c r="AZ264" s="1302"/>
      <c r="BA264" s="1107"/>
      <c r="BB264" s="1107"/>
      <c r="BC264" s="1170"/>
      <c r="BD264" s="1170"/>
      <c r="BE264" s="1170"/>
      <c r="BF264" s="1170"/>
      <c r="BG264" s="1170"/>
      <c r="BH264" s="1170"/>
      <c r="BI264" s="1170"/>
      <c r="BJ264" s="1170"/>
      <c r="BK264" s="1170"/>
      <c r="BL264" s="1170"/>
      <c r="BM264" s="1170"/>
      <c r="BN264" s="1170"/>
      <c r="BO264" s="1170"/>
      <c r="BP264" s="1170"/>
      <c r="BQ264" s="1170"/>
      <c r="BR264" s="1170"/>
      <c r="BS264" s="1170"/>
      <c r="BT264" s="1170"/>
      <c r="BU264" s="1170"/>
      <c r="BV264" s="1170"/>
      <c r="BW264" s="1170"/>
      <c r="BX264" s="1170"/>
      <c r="BY264" s="1170"/>
      <c r="BZ264" s="1170"/>
      <c r="CA264" s="1170"/>
      <c r="CB264" s="1170"/>
      <c r="CC264" s="1170"/>
      <c r="CD264" s="1170"/>
      <c r="CE264" s="1170"/>
      <c r="CF264" s="1170"/>
      <c r="CG264" s="1170"/>
      <c r="CH264" s="1180" t="s">
        <v>1066</v>
      </c>
      <c r="CI264" s="1170"/>
      <c r="CJ264" s="1170">
        <f ca="1">IF('HydroRefineryPFD '!E24=TRUE,CJ265,CJ255/(CM181+CU240+CJ255))</f>
        <v>0.19154654287832493</v>
      </c>
      <c r="CK264" s="1170"/>
      <c r="CL264" s="1170"/>
      <c r="CM264" s="1170"/>
      <c r="CN264" s="1170"/>
      <c r="CO264" s="1170"/>
      <c r="CP264" s="1160"/>
      <c r="CQ264" s="1160"/>
      <c r="CR264" s="1160"/>
      <c r="CS264" s="1160"/>
      <c r="CT264" s="1160"/>
      <c r="CU264" s="1160"/>
      <c r="CV264" s="1160"/>
      <c r="CW264" s="1160"/>
      <c r="CX264" s="1160"/>
      <c r="CY264" s="1160"/>
      <c r="CZ264" s="1171"/>
      <c r="DA264" s="1160"/>
      <c r="DB264" s="1160"/>
      <c r="DC264" s="1160"/>
      <c r="DD264" s="1160"/>
      <c r="DE264" s="1160"/>
      <c r="DF264" s="1160"/>
      <c r="DG264" s="1160"/>
      <c r="DH264" s="1160"/>
      <c r="DI264" s="1160"/>
      <c r="DJ264" s="1160"/>
      <c r="DK264" s="1160"/>
      <c r="DL264" s="1160"/>
      <c r="DM264" s="1171"/>
      <c r="DN264" s="1160"/>
      <c r="DO264" s="1160"/>
      <c r="DP264" s="1160"/>
      <c r="DQ264" s="1160"/>
      <c r="DR264" s="1160"/>
      <c r="DS264" s="1160"/>
      <c r="DT264" s="1160"/>
      <c r="DU264" s="1160"/>
      <c r="DV264" s="1160"/>
      <c r="DW264" s="1160"/>
      <c r="DX264" s="1160"/>
      <c r="DY264" s="1160"/>
      <c r="DZ264" s="1160"/>
      <c r="EA264" s="1160"/>
      <c r="EB264" s="1160"/>
      <c r="EC264" s="1160"/>
    </row>
    <row r="265" spans="1:133" x14ac:dyDescent="0.2">
      <c r="A265" s="1160"/>
      <c r="B265" s="1160"/>
      <c r="C265" s="1160"/>
      <c r="D265" s="1160"/>
      <c r="E265" s="1170"/>
      <c r="F265" s="1170"/>
      <c r="G265" s="1170"/>
      <c r="H265" s="1170"/>
      <c r="I265" s="1170"/>
      <c r="J265" s="1170"/>
      <c r="K265" s="1170"/>
      <c r="L265" s="1170"/>
      <c r="M265" s="1170"/>
      <c r="N265" s="1170"/>
      <c r="O265" s="1170"/>
      <c r="P265" s="1170"/>
      <c r="Q265" s="1170"/>
      <c r="R265" s="1170"/>
      <c r="S265" s="1170"/>
      <c r="T265" s="1170"/>
      <c r="U265" s="1170"/>
      <c r="V265" s="1170"/>
      <c r="W265" s="1170"/>
      <c r="X265" s="1170"/>
      <c r="Y265" s="1170"/>
      <c r="Z265" s="1170"/>
      <c r="AA265" s="1170"/>
      <c r="AB265" s="1170"/>
      <c r="AC265" s="1170"/>
      <c r="AD265" s="1170"/>
      <c r="AE265" s="1170"/>
      <c r="AF265" s="1170"/>
      <c r="AG265" s="1170"/>
      <c r="AH265" s="1170"/>
      <c r="AI265" s="1170"/>
      <c r="AJ265" s="1180" t="s">
        <v>1065</v>
      </c>
      <c r="AK265" s="1170"/>
      <c r="AL265" s="1170">
        <f ca="1">IF((AM145+AM182+AL257+DD285)=0,0,AL257/(AM145+AM182+AL257+DD285))</f>
        <v>0</v>
      </c>
      <c r="AM265" s="1170"/>
      <c r="AN265" s="1170" t="s">
        <v>392</v>
      </c>
      <c r="AO265" s="1170">
        <f>'HydroRefinery Detailed Results'!F20</f>
        <v>0</v>
      </c>
      <c r="AP265" s="1170"/>
      <c r="AQ265" s="1170"/>
      <c r="AR265" s="1170"/>
      <c r="AS265" s="1170"/>
      <c r="AT265" s="1170"/>
      <c r="AU265" s="1170"/>
      <c r="AV265" s="1170"/>
      <c r="AW265" s="1170"/>
      <c r="AX265" s="1170"/>
      <c r="AY265" s="1170"/>
      <c r="AZ265" s="1302"/>
      <c r="BA265" s="1107"/>
      <c r="BB265" s="1107"/>
      <c r="BC265" s="1170"/>
      <c r="BD265" s="1170"/>
      <c r="BE265" s="1170"/>
      <c r="BF265" s="1170"/>
      <c r="BG265" s="1170"/>
      <c r="BH265" s="1170"/>
      <c r="BI265" s="1170"/>
      <c r="BJ265" s="1170"/>
      <c r="BK265" s="1170"/>
      <c r="BL265" s="1170"/>
      <c r="BM265" s="1170"/>
      <c r="BN265" s="1170"/>
      <c r="BO265" s="1170"/>
      <c r="BP265" s="1170"/>
      <c r="BQ265" s="1170"/>
      <c r="BR265" s="1170"/>
      <c r="BS265" s="1170"/>
      <c r="BT265" s="1170"/>
      <c r="BU265" s="1170"/>
      <c r="BV265" s="1170"/>
      <c r="BW265" s="1170"/>
      <c r="BX265" s="1170"/>
      <c r="BY265" s="1170"/>
      <c r="BZ265" s="1170"/>
      <c r="CA265" s="1170"/>
      <c r="CB265" s="1170"/>
      <c r="CC265" s="1170"/>
      <c r="CD265" s="1170"/>
      <c r="CE265" s="1170"/>
      <c r="CF265" s="1170"/>
      <c r="CG265" s="1170"/>
      <c r="CH265" s="1180" t="s">
        <v>1065</v>
      </c>
      <c r="CI265" s="1170"/>
      <c r="CJ265" s="1170">
        <f ca="1">CJ255/(CM181+CU240+CJ255+CP280)</f>
        <v>0.17096253652600552</v>
      </c>
      <c r="CK265" s="1170"/>
      <c r="CL265" s="1170"/>
      <c r="CM265" s="1170"/>
      <c r="CN265" s="1170"/>
      <c r="CO265" s="1170"/>
      <c r="CP265" s="1160"/>
      <c r="CQ265" s="1160"/>
      <c r="CR265" s="1160"/>
      <c r="CS265" s="1160"/>
      <c r="CT265" s="1160"/>
      <c r="CU265" s="1160"/>
      <c r="CV265" s="1160"/>
      <c r="CW265" s="1160"/>
      <c r="CX265" s="1160"/>
      <c r="CY265" s="1160"/>
      <c r="CZ265" s="1171"/>
      <c r="DA265" s="1160"/>
      <c r="DB265" s="1160"/>
      <c r="DC265" s="1160"/>
      <c r="DD265" s="1160"/>
      <c r="DE265" s="1160"/>
      <c r="DF265" s="1160"/>
      <c r="DG265" s="1160"/>
      <c r="DH265" s="1160"/>
      <c r="DI265" s="1160"/>
      <c r="DJ265" s="1160"/>
      <c r="DK265" s="1160"/>
      <c r="DL265" s="1160"/>
      <c r="DM265" s="1171"/>
      <c r="DN265" s="1160"/>
      <c r="DO265" s="1160"/>
      <c r="DP265" s="1160"/>
      <c r="DQ265" s="1160"/>
      <c r="DR265" s="1160"/>
      <c r="DS265" s="1160"/>
      <c r="DT265" s="1160"/>
      <c r="DU265" s="1160"/>
      <c r="DV265" s="1160"/>
      <c r="DW265" s="1160"/>
      <c r="DX265" s="1160"/>
      <c r="DY265" s="1160"/>
      <c r="DZ265" s="1160"/>
      <c r="EA265" s="1160"/>
      <c r="EB265" s="1160"/>
      <c r="EC265" s="1160"/>
    </row>
    <row r="266" spans="1:133" x14ac:dyDescent="0.2">
      <c r="A266" s="1160"/>
      <c r="B266" s="1160"/>
      <c r="C266" s="1160"/>
      <c r="D266" s="1160"/>
      <c r="E266" s="1170"/>
      <c r="F266" s="1170"/>
      <c r="G266" s="1170"/>
      <c r="H266" s="1170"/>
      <c r="I266" s="1170"/>
      <c r="J266" s="1170"/>
      <c r="K266" s="1170"/>
      <c r="L266" s="1170"/>
      <c r="M266" s="1170"/>
      <c r="N266" s="1170"/>
      <c r="O266" s="1170"/>
      <c r="P266" s="1170"/>
      <c r="Q266" s="1170"/>
      <c r="R266" s="1170"/>
      <c r="S266" s="1170"/>
      <c r="T266" s="1170"/>
      <c r="U266" s="1170"/>
      <c r="V266" s="1170"/>
      <c r="W266" s="1170"/>
      <c r="X266" s="1170"/>
      <c r="Y266" s="1170"/>
      <c r="Z266" s="1170"/>
      <c r="AA266" s="1170"/>
      <c r="AB266" s="1170"/>
      <c r="AC266" s="1170"/>
      <c r="AD266" s="1170"/>
      <c r="AE266" s="1170"/>
      <c r="AF266" s="1170"/>
      <c r="AG266" s="1170"/>
      <c r="AH266" s="1170"/>
      <c r="AI266" s="1170"/>
      <c r="AJ266" s="1197" t="s">
        <v>228</v>
      </c>
      <c r="AK266" s="1170"/>
      <c r="AL266" s="1196">
        <f ca="1">AL249/AE170</f>
        <v>1</v>
      </c>
      <c r="AM266" s="1170"/>
      <c r="AN266" s="1170" t="s">
        <v>224</v>
      </c>
      <c r="AO266" s="1170">
        <f ca="1">'HydroRefinery Detailed Results'!H20</f>
        <v>4.4154230428446728E-13</v>
      </c>
      <c r="AP266" s="1170"/>
      <c r="AQ266" s="1170"/>
      <c r="AR266" s="1180" t="str">
        <f>AR249</f>
        <v>Furnace Product</v>
      </c>
      <c r="AS266" s="1170"/>
      <c r="AT266" s="1170"/>
      <c r="AU266" s="1170"/>
      <c r="AV266" s="1170"/>
      <c r="AW266" s="1170"/>
      <c r="AX266" s="1170"/>
      <c r="AY266" s="1170"/>
      <c r="AZ266" s="1170"/>
      <c r="BA266" s="1170"/>
      <c r="BB266" s="1170"/>
      <c r="BC266" s="1170"/>
      <c r="BD266" s="1170"/>
      <c r="BE266" s="1170"/>
      <c r="BF266" s="1170"/>
      <c r="BG266" s="1170"/>
      <c r="BH266" s="1170"/>
      <c r="BI266" s="1170"/>
      <c r="BJ266" s="1170"/>
      <c r="BK266" s="1170"/>
      <c r="BL266" s="1170"/>
      <c r="BM266" s="1170"/>
      <c r="BN266" s="1170"/>
      <c r="BO266" s="1170"/>
      <c r="BP266" s="1170"/>
      <c r="BQ266" s="1170"/>
      <c r="BR266" s="1170"/>
      <c r="BS266" s="1170"/>
      <c r="BT266" s="1170"/>
      <c r="BU266" s="1170"/>
      <c r="BV266" s="1170"/>
      <c r="BW266" s="1170"/>
      <c r="BX266" s="1170"/>
      <c r="BY266" s="1170"/>
      <c r="BZ266" s="1170"/>
      <c r="CA266" s="1170"/>
      <c r="CB266" s="1170"/>
      <c r="CC266" s="1170"/>
      <c r="CD266" s="1170"/>
      <c r="CE266" s="1170"/>
      <c r="CF266" s="1170"/>
      <c r="CG266" s="1170"/>
      <c r="CH266" s="1239" t="s">
        <v>228</v>
      </c>
      <c r="CI266" s="1170"/>
      <c r="CJ266" s="1170">
        <f ca="1">CJ247/CC240</f>
        <v>0.21762785636576115</v>
      </c>
      <c r="CK266" s="1170"/>
      <c r="CL266" s="1170"/>
      <c r="CM266" s="1170"/>
      <c r="CN266" s="1170"/>
      <c r="CO266" s="1170"/>
      <c r="CP266" s="1160"/>
      <c r="CQ266" s="1160"/>
      <c r="CR266" s="1160"/>
      <c r="CS266" s="1160"/>
      <c r="CT266" s="1160"/>
      <c r="CU266" s="1160"/>
      <c r="CV266" s="1160"/>
      <c r="CW266" s="1160"/>
      <c r="CX266" s="1160"/>
      <c r="CY266" s="1160"/>
      <c r="CZ266" s="1171"/>
      <c r="DA266" s="1160"/>
      <c r="DB266" s="1160"/>
      <c r="DC266" s="1160"/>
      <c r="DD266" s="1160"/>
      <c r="DE266" s="1160"/>
      <c r="DF266" s="1160"/>
      <c r="DG266" s="1160"/>
      <c r="DH266" s="1160"/>
      <c r="DI266" s="1160"/>
      <c r="DJ266" s="1160"/>
      <c r="DK266" s="1160"/>
      <c r="DL266" s="1160"/>
      <c r="DM266" s="1171"/>
      <c r="DN266" s="1160"/>
      <c r="DO266" s="1160"/>
      <c r="DP266" s="1160"/>
      <c r="DQ266" s="1160"/>
      <c r="DR266" s="1160"/>
      <c r="DS266" s="1160"/>
      <c r="DT266" s="1160"/>
      <c r="DU266" s="1160"/>
      <c r="DV266" s="1160"/>
      <c r="DW266" s="1160"/>
      <c r="DX266" s="1160"/>
      <c r="DY266" s="1160"/>
      <c r="DZ266" s="1160"/>
      <c r="EA266" s="1160"/>
      <c r="EB266" s="1160"/>
      <c r="EC266" s="1160"/>
    </row>
    <row r="267" spans="1:133" x14ac:dyDescent="0.2">
      <c r="A267" s="1160"/>
      <c r="B267" s="1160"/>
      <c r="C267" s="1160"/>
      <c r="D267" s="1160"/>
      <c r="E267" s="1170"/>
      <c r="F267" s="1170"/>
      <c r="G267" s="1170"/>
      <c r="H267" s="1170"/>
      <c r="I267" s="1170"/>
      <c r="J267" s="1170"/>
      <c r="K267" s="1170"/>
      <c r="L267" s="1170"/>
      <c r="M267" s="1170"/>
      <c r="N267" s="1170"/>
      <c r="O267" s="1170"/>
      <c r="P267" s="1170"/>
      <c r="Q267" s="1170"/>
      <c r="R267" s="1170"/>
      <c r="S267" s="1170"/>
      <c r="T267" s="1170"/>
      <c r="U267" s="1170"/>
      <c r="V267" s="1170"/>
      <c r="W267" s="1170"/>
      <c r="X267" s="1170"/>
      <c r="Y267" s="1170"/>
      <c r="Z267" s="1170"/>
      <c r="AA267" s="1170"/>
      <c r="AB267" s="1170"/>
      <c r="AC267" s="1170"/>
      <c r="AD267" s="1170"/>
      <c r="AE267" s="1170"/>
      <c r="AF267" s="1170"/>
      <c r="AG267" s="1170"/>
      <c r="AH267" s="1170"/>
      <c r="AI267" s="1170"/>
      <c r="AJ267" s="1170"/>
      <c r="AK267" s="1170"/>
      <c r="AL267" s="1170"/>
      <c r="AM267" s="1170"/>
      <c r="AN267" s="1170" t="s">
        <v>485</v>
      </c>
      <c r="AO267" s="1170">
        <f>'HydroRefinery Detailed Results'!J20</f>
        <v>0</v>
      </c>
      <c r="AP267" s="1170"/>
      <c r="AQ267" s="1170"/>
      <c r="AR267" s="1183" t="s">
        <v>226</v>
      </c>
      <c r="AS267" s="1170"/>
      <c r="AT267" s="1184" t="s">
        <v>522</v>
      </c>
      <c r="AU267" s="1170"/>
      <c r="AV267" s="1170"/>
      <c r="AW267" s="1170"/>
      <c r="AX267" s="1170"/>
      <c r="AY267" s="1170"/>
      <c r="AZ267" s="1170"/>
      <c r="BA267" s="1170"/>
      <c r="BB267" s="1170"/>
      <c r="BC267" s="1170"/>
      <c r="BD267" s="1170"/>
      <c r="BE267" s="1170"/>
      <c r="BF267" s="1170"/>
      <c r="BG267" s="1170"/>
      <c r="BH267" s="1170"/>
      <c r="BI267" s="1170"/>
      <c r="BJ267" s="1170"/>
      <c r="BK267" s="1170"/>
      <c r="BL267" s="1170"/>
      <c r="BM267" s="1170"/>
      <c r="BN267" s="1170"/>
      <c r="BO267" s="1170"/>
      <c r="BP267" s="1170"/>
      <c r="BQ267" s="1170"/>
      <c r="BR267" s="1170"/>
      <c r="BS267" s="1170"/>
      <c r="BT267" s="1170"/>
      <c r="BU267" s="1170"/>
      <c r="BV267" s="1170"/>
      <c r="BW267" s="1170"/>
      <c r="BX267" s="1170"/>
      <c r="BY267" s="1170"/>
      <c r="BZ267" s="1170"/>
      <c r="CA267" s="1170"/>
      <c r="CB267" s="1170"/>
      <c r="CC267" s="1170"/>
      <c r="CD267" s="1170"/>
      <c r="CE267" s="1170"/>
      <c r="CF267" s="1170"/>
      <c r="CG267" s="1170"/>
      <c r="CH267" s="1170"/>
      <c r="CI267" s="1170"/>
      <c r="CJ267" s="1170"/>
      <c r="CK267" s="1170"/>
      <c r="CL267" s="1170"/>
      <c r="CM267" s="1170"/>
      <c r="CN267" s="1170"/>
      <c r="CO267" s="1170"/>
      <c r="CP267" s="1160"/>
      <c r="CQ267" s="1160"/>
      <c r="CR267" s="1160"/>
      <c r="CS267" s="1160"/>
      <c r="CT267" s="1160"/>
      <c r="CU267" s="1160"/>
      <c r="CV267" s="1160"/>
      <c r="CW267" s="1160"/>
      <c r="CX267" s="1160"/>
      <c r="CY267" s="1160"/>
      <c r="CZ267" s="1171"/>
      <c r="DA267" s="1160"/>
      <c r="DB267" s="1160"/>
      <c r="DC267" s="1160"/>
      <c r="DD267" s="1160"/>
      <c r="DE267" s="1160"/>
      <c r="DF267" s="1160"/>
      <c r="DG267" s="1160"/>
      <c r="DH267" s="1160"/>
      <c r="DI267" s="1160"/>
      <c r="DJ267" s="1160"/>
      <c r="DK267" s="1160"/>
      <c r="DL267" s="1160"/>
      <c r="DM267" s="1171"/>
      <c r="DN267" s="1160"/>
      <c r="DO267" s="1160"/>
      <c r="DP267" s="1160"/>
      <c r="DQ267" s="1160"/>
      <c r="DR267" s="1160"/>
      <c r="DS267" s="1160"/>
      <c r="DT267" s="1160"/>
      <c r="DU267" s="1160"/>
      <c r="DV267" s="1160"/>
      <c r="DW267" s="1160"/>
      <c r="DX267" s="1160"/>
      <c r="DY267" s="1160"/>
      <c r="DZ267" s="1160"/>
      <c r="EA267" s="1160"/>
      <c r="EB267" s="1160"/>
      <c r="EC267" s="1160"/>
    </row>
    <row r="268" spans="1:133" x14ac:dyDescent="0.2">
      <c r="A268" s="1160"/>
      <c r="B268" s="1160"/>
      <c r="C268" s="1160"/>
      <c r="D268" s="1160"/>
      <c r="E268" s="1170"/>
      <c r="F268" s="1170"/>
      <c r="G268" s="1170"/>
      <c r="H268" s="1170"/>
      <c r="I268" s="1170"/>
      <c r="J268" s="1170"/>
      <c r="K268" s="1170"/>
      <c r="L268" s="1170"/>
      <c r="M268" s="1170"/>
      <c r="N268" s="1170"/>
      <c r="O268" s="1170"/>
      <c r="P268" s="1170"/>
      <c r="Q268" s="1170"/>
      <c r="R268" s="1170"/>
      <c r="S268" s="1170"/>
      <c r="T268" s="1170"/>
      <c r="U268" s="1170"/>
      <c r="V268" s="1170"/>
      <c r="W268" s="1170"/>
      <c r="X268" s="1170"/>
      <c r="Y268" s="1170"/>
      <c r="Z268" s="1170"/>
      <c r="AA268" s="1170"/>
      <c r="AB268" s="1170"/>
      <c r="AC268" s="1170"/>
      <c r="AD268" s="1170"/>
      <c r="AE268" s="1170"/>
      <c r="AF268" s="1170"/>
      <c r="AG268" s="1170"/>
      <c r="AH268" s="1170"/>
      <c r="AI268" s="1170"/>
      <c r="AJ268" s="1170"/>
      <c r="AK268" s="1170"/>
      <c r="AL268" s="1170"/>
      <c r="AM268" s="1170"/>
      <c r="AN268" s="1170" t="s">
        <v>541</v>
      </c>
      <c r="AO268" s="1170">
        <f>'HydroRefinery Detailed Results'!L20</f>
        <v>0</v>
      </c>
      <c r="AP268" s="1170"/>
      <c r="AQ268" s="1170"/>
      <c r="AR268" s="1170" t="s">
        <v>263</v>
      </c>
      <c r="AS268" s="1170"/>
      <c r="AT268" s="1187">
        <f ca="1">AL260*AT273</f>
        <v>0</v>
      </c>
      <c r="AU268" s="1170"/>
      <c r="AV268" s="1170"/>
      <c r="AW268" s="1170"/>
      <c r="AX268" s="1170"/>
      <c r="AY268" s="1170"/>
      <c r="AZ268" s="1170"/>
      <c r="BA268" s="1170"/>
      <c r="BB268" s="1170"/>
      <c r="BC268" s="1170"/>
      <c r="BD268" s="1170"/>
      <c r="BE268" s="1170"/>
      <c r="BF268" s="1170"/>
      <c r="BG268" s="1170"/>
      <c r="BH268" s="1170"/>
      <c r="BI268" s="1170"/>
      <c r="BJ268" s="1170"/>
      <c r="BK268" s="1170"/>
      <c r="BL268" s="1170"/>
      <c r="BM268" s="1170"/>
      <c r="BN268" s="1170"/>
      <c r="BO268" s="1170"/>
      <c r="BP268" s="1170"/>
      <c r="BQ268" s="1170"/>
      <c r="BR268" s="1170"/>
      <c r="BS268" s="1170"/>
      <c r="BT268" s="1170"/>
      <c r="BU268" s="1170"/>
      <c r="BV268" s="1170"/>
      <c r="BW268" s="1170"/>
      <c r="BX268" s="1170"/>
      <c r="BY268" s="1170"/>
      <c r="BZ268" s="1170"/>
      <c r="CA268" s="1170"/>
      <c r="CB268" s="1170"/>
      <c r="CC268" s="1170"/>
      <c r="CD268" s="1170"/>
      <c r="CE268" s="1170"/>
      <c r="CF268" s="1170"/>
      <c r="CG268" s="1170"/>
      <c r="CH268" s="1170"/>
      <c r="CI268" s="1170"/>
      <c r="CJ268" s="1170"/>
      <c r="CK268" s="1170"/>
      <c r="CL268" s="1170"/>
      <c r="CM268" s="1170"/>
      <c r="CN268" s="1181" t="str">
        <f>HydroRefineryCalcs!J724</f>
        <v>Slurry Oil</v>
      </c>
      <c r="CO268" s="1170"/>
      <c r="CP268" s="1170"/>
      <c r="CQ268" s="1170"/>
      <c r="CR268" s="1160"/>
      <c r="CS268" s="1191" t="str">
        <f>CN268</f>
        <v>Slurry Oil</v>
      </c>
      <c r="CT268" s="1160"/>
      <c r="CU268" s="1160"/>
      <c r="CV268" s="1160"/>
      <c r="CW268" s="1160"/>
      <c r="CX268" s="1160"/>
      <c r="CY268" s="1160"/>
      <c r="CZ268" s="1171"/>
      <c r="DA268" s="1160"/>
      <c r="DB268" s="1160"/>
      <c r="DC268" s="1160"/>
      <c r="DD268" s="1160"/>
      <c r="DE268" s="1160"/>
      <c r="DF268" s="1160"/>
      <c r="DG268" s="1160"/>
      <c r="DH268" s="1160"/>
      <c r="DI268" s="1160"/>
      <c r="DJ268" s="1160"/>
      <c r="DK268" s="1160"/>
      <c r="DL268" s="1160"/>
      <c r="DM268" s="1171"/>
      <c r="DN268" s="1160"/>
      <c r="DO268" s="1160"/>
      <c r="DP268" s="1160"/>
      <c r="DQ268" s="1160"/>
      <c r="DR268" s="1160"/>
      <c r="DS268" s="1160"/>
      <c r="DT268" s="1160"/>
      <c r="DU268" s="1160"/>
      <c r="DV268" s="1160"/>
      <c r="DW268" s="1160"/>
      <c r="DX268" s="1160"/>
      <c r="DY268" s="1160"/>
      <c r="DZ268" s="1160"/>
      <c r="EA268" s="1160"/>
      <c r="EB268" s="1160"/>
      <c r="EC268" s="1160"/>
    </row>
    <row r="269" spans="1:133" x14ac:dyDescent="0.2">
      <c r="A269" s="1160"/>
      <c r="B269" s="1160"/>
      <c r="C269" s="1160"/>
      <c r="D269" s="1160"/>
      <c r="E269" s="1170"/>
      <c r="F269" s="1170"/>
      <c r="G269" s="1170"/>
      <c r="H269" s="1170"/>
      <c r="I269" s="1170"/>
      <c r="J269" s="1170"/>
      <c r="K269" s="1170"/>
      <c r="L269" s="1170"/>
      <c r="M269" s="1170"/>
      <c r="N269" s="1170"/>
      <c r="O269" s="1170"/>
      <c r="P269" s="1170"/>
      <c r="Q269" s="1170"/>
      <c r="R269" s="1170"/>
      <c r="S269" s="1170"/>
      <c r="T269" s="1170"/>
      <c r="U269" s="1170"/>
      <c r="V269" s="1170"/>
      <c r="W269" s="1170"/>
      <c r="X269" s="1170"/>
      <c r="Y269" s="1170"/>
      <c r="Z269" s="1170"/>
      <c r="AA269" s="1170"/>
      <c r="AB269" s="1170"/>
      <c r="AC269" s="1170"/>
      <c r="AD269" s="1170"/>
      <c r="AE269" s="1170"/>
      <c r="AF269" s="1170"/>
      <c r="AG269" s="1170"/>
      <c r="AH269" s="1170"/>
      <c r="AI269" s="1170"/>
      <c r="AJ269" s="1170"/>
      <c r="AK269" s="1170"/>
      <c r="AL269" s="1170"/>
      <c r="AM269" s="1170"/>
      <c r="AN269" s="1170"/>
      <c r="AO269" s="1170"/>
      <c r="AP269" s="1170"/>
      <c r="AQ269" s="1170"/>
      <c r="AR269" s="1170" t="s">
        <v>392</v>
      </c>
      <c r="AS269" s="1170"/>
      <c r="AT269" s="1187">
        <f ca="1">(AL261+AO265)*$AT$273</f>
        <v>0</v>
      </c>
      <c r="AU269" s="1170"/>
      <c r="AV269" s="1170"/>
      <c r="AW269" s="1170"/>
      <c r="AX269" s="1170"/>
      <c r="AY269" s="1170"/>
      <c r="AZ269" s="1170"/>
      <c r="BA269" s="1170"/>
      <c r="BB269" s="1170"/>
      <c r="BC269" s="1170"/>
      <c r="BD269" s="1170"/>
      <c r="BE269" s="1170"/>
      <c r="BF269" s="1170"/>
      <c r="BG269" s="1170"/>
      <c r="BH269" s="1170"/>
      <c r="BI269" s="1170"/>
      <c r="BJ269" s="1170"/>
      <c r="BK269" s="1170"/>
      <c r="BL269" s="1170"/>
      <c r="BM269" s="1170"/>
      <c r="BN269" s="1170"/>
      <c r="BO269" s="1170"/>
      <c r="BP269" s="1170"/>
      <c r="BQ269" s="1181" t="str">
        <f>HydroRefineryCalcs!G964</f>
        <v>HC Gas Oil to FCC</v>
      </c>
      <c r="BR269" s="1170"/>
      <c r="BS269" s="1170"/>
      <c r="BT269" s="1170"/>
      <c r="BU269" s="1170"/>
      <c r="BV269" s="1170"/>
      <c r="BW269" s="1170"/>
      <c r="BX269" s="1170"/>
      <c r="BY269" s="1170"/>
      <c r="BZ269" s="1170"/>
      <c r="CA269" s="1170"/>
      <c r="CB269" s="1170"/>
      <c r="CC269" s="1170"/>
      <c r="CD269" s="1170"/>
      <c r="CE269" s="1170"/>
      <c r="CF269" s="1170"/>
      <c r="CG269" s="1170"/>
      <c r="CH269" s="1170"/>
      <c r="CI269" s="1170"/>
      <c r="CJ269" s="1170"/>
      <c r="CK269" s="1170"/>
      <c r="CL269" s="1170"/>
      <c r="CM269" s="1170"/>
      <c r="CN269" s="1182" t="str">
        <f>HydroRefineryCalcs!C724</f>
        <v>Property</v>
      </c>
      <c r="CO269" s="1182" t="str">
        <f>HydroRefineryCalcs!D724</f>
        <v>Units</v>
      </c>
      <c r="CP269" s="1170"/>
      <c r="CQ269" s="1170"/>
      <c r="CR269" s="1160"/>
      <c r="CS269" s="1193" t="s">
        <v>226</v>
      </c>
      <c r="CT269" s="1160"/>
      <c r="CU269" s="1194" t="s">
        <v>522</v>
      </c>
      <c r="CV269" s="1160"/>
      <c r="CW269" s="1160"/>
      <c r="CX269" s="1160"/>
      <c r="CY269" s="1160"/>
      <c r="CZ269" s="1171"/>
      <c r="DA269" s="1160"/>
      <c r="DB269" s="1160"/>
      <c r="DC269" s="1160"/>
      <c r="DD269" s="1160"/>
      <c r="DE269" s="1160"/>
      <c r="DF269" s="1160"/>
      <c r="DG269" s="1160"/>
      <c r="DH269" s="1160"/>
      <c r="DI269" s="1160"/>
      <c r="DJ269" s="1160"/>
      <c r="DK269" s="1160"/>
      <c r="DL269" s="1160"/>
      <c r="DM269" s="1171"/>
      <c r="DN269" s="1160"/>
      <c r="DO269" s="1160"/>
      <c r="DP269" s="1160"/>
      <c r="DQ269" s="1160"/>
      <c r="DR269" s="1160"/>
      <c r="DS269" s="1160"/>
      <c r="DT269" s="1160"/>
      <c r="DU269" s="1160"/>
      <c r="DV269" s="1160"/>
      <c r="DW269" s="1160"/>
      <c r="DX269" s="1160"/>
      <c r="DY269" s="1160"/>
      <c r="DZ269" s="1160"/>
      <c r="EA269" s="1160"/>
      <c r="EB269" s="1160"/>
      <c r="EC269" s="1160"/>
    </row>
    <row r="270" spans="1:133" x14ac:dyDescent="0.2">
      <c r="A270" s="1160"/>
      <c r="B270" s="1160"/>
      <c r="C270" s="1160"/>
      <c r="D270" s="1160"/>
      <c r="E270" s="1170"/>
      <c r="F270" s="1170"/>
      <c r="G270" s="1170"/>
      <c r="H270" s="1170"/>
      <c r="I270" s="1170"/>
      <c r="J270" s="1170"/>
      <c r="K270" s="1170"/>
      <c r="L270" s="1170"/>
      <c r="M270" s="1170"/>
      <c r="N270" s="1170"/>
      <c r="O270" s="1170"/>
      <c r="P270" s="1170"/>
      <c r="Q270" s="1170"/>
      <c r="R270" s="1170"/>
      <c r="S270" s="1170"/>
      <c r="T270" s="1170"/>
      <c r="U270" s="1170"/>
      <c r="V270" s="1170"/>
      <c r="W270" s="1170"/>
      <c r="X270" s="1170"/>
      <c r="Y270" s="1170"/>
      <c r="Z270" s="1170"/>
      <c r="AA270" s="1170"/>
      <c r="AB270" s="1170"/>
      <c r="AC270" s="1170"/>
      <c r="AD270" s="1170"/>
      <c r="AE270" s="1170"/>
      <c r="AF270" s="1170"/>
      <c r="AG270" s="1170"/>
      <c r="AH270" s="1170"/>
      <c r="AI270" s="1170"/>
      <c r="AJ270" s="1170"/>
      <c r="AK270" s="1170"/>
      <c r="AL270" s="1170"/>
      <c r="AM270" s="1170"/>
      <c r="AN270" s="1170"/>
      <c r="AO270" s="1170"/>
      <c r="AP270" s="1170"/>
      <c r="AQ270" s="1170"/>
      <c r="AR270" s="1170" t="s">
        <v>224</v>
      </c>
      <c r="AS270" s="1170"/>
      <c r="AT270" s="1187">
        <f ca="1">(AL262+AO266)*$AT$273</f>
        <v>4.4154230428446728E-13</v>
      </c>
      <c r="AU270" s="1170"/>
      <c r="AV270" s="1170"/>
      <c r="AW270" s="1170"/>
      <c r="AX270" s="1170"/>
      <c r="AY270" s="1170"/>
      <c r="AZ270" s="1170"/>
      <c r="BA270" s="1170"/>
      <c r="BB270" s="1170"/>
      <c r="BC270" s="1170"/>
      <c r="BD270" s="1170"/>
      <c r="BE270" s="1170"/>
      <c r="BF270" s="1170"/>
      <c r="BG270" s="1170"/>
      <c r="BH270" s="1170"/>
      <c r="BI270" s="1170"/>
      <c r="BJ270" s="1181" t="str">
        <f>HydroRefineryCalcs!H906</f>
        <v>Residue HC Gas Oil</v>
      </c>
      <c r="BK270" s="1170"/>
      <c r="BL270" s="1170"/>
      <c r="BM270" s="1170"/>
      <c r="BN270" s="1170"/>
      <c r="BO270" s="1170"/>
      <c r="BP270" s="1170"/>
      <c r="BQ270" s="1182" t="str">
        <f>HydroRefineryCalcs!C964</f>
        <v>Property</v>
      </c>
      <c r="BR270" s="1182" t="str">
        <f>HydroRefineryCalcs!D964</f>
        <v>Units</v>
      </c>
      <c r="BS270" s="1182"/>
      <c r="BT270" s="1170"/>
      <c r="BU270" s="1170"/>
      <c r="BV270" s="1170"/>
      <c r="BW270" s="1170"/>
      <c r="BX270" s="1170"/>
      <c r="BY270" s="1170"/>
      <c r="BZ270" s="1170"/>
      <c r="CA270" s="1170"/>
      <c r="CB270" s="1170"/>
      <c r="CC270" s="1170"/>
      <c r="CD270" s="1170"/>
      <c r="CE270" s="1170"/>
      <c r="CF270" s="1170"/>
      <c r="CG270" s="1170"/>
      <c r="CH270" s="1170"/>
      <c r="CI270" s="1170"/>
      <c r="CJ270" s="1170"/>
      <c r="CK270" s="1170"/>
      <c r="CL270" s="1170"/>
      <c r="CM270" s="1170"/>
      <c r="CN270" s="1186" t="str">
        <f>HydroRefineryCalcs!C725</f>
        <v>Vol Flow</v>
      </c>
      <c r="CO270" s="1170" t="str">
        <f>HydroRefineryCalcs!D725</f>
        <v>bpd</v>
      </c>
      <c r="CP270" s="1170">
        <f ca="1">HydroRefineryCalcs!J725</f>
        <v>2.4317563969226157E-17</v>
      </c>
      <c r="CQ270" s="1170"/>
      <c r="CR270" s="1160"/>
      <c r="CS270" s="1160" t="s">
        <v>263</v>
      </c>
      <c r="CT270" s="1160"/>
      <c r="CU270" s="1170">
        <f ca="1">CC252*CU276</f>
        <v>0</v>
      </c>
      <c r="CV270" s="1160"/>
      <c r="CW270" s="1160"/>
      <c r="CX270" s="1160"/>
      <c r="CY270" s="1160"/>
      <c r="CZ270" s="1171"/>
      <c r="DA270" s="1160"/>
      <c r="DB270" s="1160"/>
      <c r="DC270" s="1160"/>
      <c r="DD270" s="1160"/>
      <c r="DE270" s="1160"/>
      <c r="DF270" s="1160"/>
      <c r="DG270" s="1160"/>
      <c r="DH270" s="1160"/>
      <c r="DI270" s="1160"/>
      <c r="DJ270" s="1160"/>
      <c r="DK270" s="1160"/>
      <c r="DL270" s="1160"/>
      <c r="DM270" s="1171"/>
      <c r="DN270" s="1160"/>
      <c r="DO270" s="1160"/>
      <c r="DP270" s="1160"/>
      <c r="DQ270" s="1160"/>
      <c r="DR270" s="1160"/>
      <c r="DS270" s="1160"/>
      <c r="DT270" s="1160"/>
      <c r="DU270" s="1160"/>
      <c r="DV270" s="1160"/>
      <c r="DW270" s="1160"/>
      <c r="DX270" s="1160"/>
      <c r="DY270" s="1160"/>
      <c r="DZ270" s="1160"/>
      <c r="EA270" s="1160"/>
      <c r="EB270" s="1160"/>
      <c r="EC270" s="1160"/>
    </row>
    <row r="271" spans="1:133" x14ac:dyDescent="0.2">
      <c r="A271" s="1160"/>
      <c r="B271" s="1160"/>
      <c r="C271" s="1160"/>
      <c r="D271" s="1160"/>
      <c r="E271" s="1170"/>
      <c r="F271" s="1170"/>
      <c r="G271" s="1170"/>
      <c r="H271" s="1170"/>
      <c r="I271" s="1170"/>
      <c r="J271" s="1170"/>
      <c r="K271" s="1170"/>
      <c r="L271" s="1170"/>
      <c r="M271" s="1170"/>
      <c r="N271" s="1170"/>
      <c r="O271" s="1170"/>
      <c r="P271" s="1170"/>
      <c r="Q271" s="1170"/>
      <c r="R271" s="1170"/>
      <c r="S271" s="1170"/>
      <c r="T271" s="1170"/>
      <c r="U271" s="1170"/>
      <c r="V271" s="1170"/>
      <c r="W271" s="1170"/>
      <c r="X271" s="1170"/>
      <c r="Y271" s="1170"/>
      <c r="Z271" s="1170"/>
      <c r="AA271" s="1170"/>
      <c r="AB271" s="1170"/>
      <c r="AC271" s="1170"/>
      <c r="AD271" s="1170"/>
      <c r="AE271" s="1170"/>
      <c r="AF271" s="1170"/>
      <c r="AG271" s="1170"/>
      <c r="AH271" s="1170"/>
      <c r="AI271" s="1170"/>
      <c r="AJ271" s="1170"/>
      <c r="AK271" s="1170"/>
      <c r="AL271" s="1170"/>
      <c r="AM271" s="1170"/>
      <c r="AN271" s="1170"/>
      <c r="AO271" s="1170"/>
      <c r="AP271" s="1170"/>
      <c r="AQ271" s="1170"/>
      <c r="AR271" s="1170" t="s">
        <v>485</v>
      </c>
      <c r="AS271" s="1170"/>
      <c r="AT271" s="1187">
        <f ca="1">(AL263+AO267)*$AT$273</f>
        <v>0</v>
      </c>
      <c r="AU271" s="1170"/>
      <c r="AV271" s="1170"/>
      <c r="AW271" s="1170"/>
      <c r="AX271" s="1170"/>
      <c r="AY271" s="1170"/>
      <c r="AZ271" s="1170"/>
      <c r="BA271" s="1170"/>
      <c r="BB271" s="1170"/>
      <c r="BC271" s="1170"/>
      <c r="BD271" s="1170"/>
      <c r="BE271" s="1170"/>
      <c r="BF271" s="1170"/>
      <c r="BG271" s="1170"/>
      <c r="BH271" s="1170"/>
      <c r="BI271" s="1170"/>
      <c r="BJ271" s="1182" t="str">
        <f>HydroRefineryCalcs!C906</f>
        <v>Property</v>
      </c>
      <c r="BK271" s="1182" t="str">
        <f>HydroRefineryCalcs!D906</f>
        <v>Units</v>
      </c>
      <c r="BL271" s="1170"/>
      <c r="BM271" s="1170"/>
      <c r="BN271" s="1170"/>
      <c r="BO271" s="1170"/>
      <c r="BP271" s="1170"/>
      <c r="BQ271" s="1186" t="str">
        <f>HydroRefineryCalcs!C965</f>
        <v>Vol Flow</v>
      </c>
      <c r="BR271" s="1170" t="str">
        <f>HydroRefineryCalcs!D965</f>
        <v>bpd</v>
      </c>
      <c r="BS271" s="1170">
        <f ca="1">HydroRefineryCalcs!G965</f>
        <v>1.643156003899271E-17</v>
      </c>
      <c r="BT271" s="1170"/>
      <c r="BU271" s="1170"/>
      <c r="BV271" s="1170"/>
      <c r="BW271" s="1170"/>
      <c r="BX271" s="1170"/>
      <c r="BY271" s="1170"/>
      <c r="BZ271" s="1170"/>
      <c r="CA271" s="1170"/>
      <c r="CB271" s="1170"/>
      <c r="CC271" s="1170"/>
      <c r="CD271" s="1170"/>
      <c r="CE271" s="1170"/>
      <c r="CF271" s="1170"/>
      <c r="CG271" s="1170"/>
      <c r="CH271" s="1170"/>
      <c r="CI271" s="1170"/>
      <c r="CJ271" s="1170"/>
      <c r="CK271" s="1170"/>
      <c r="CL271" s="1170"/>
      <c r="CM271" s="1170"/>
      <c r="CN271" s="1186" t="str">
        <f>HydroRefineryCalcs!C726</f>
        <v>Vol Flow</v>
      </c>
      <c r="CO271" s="1170" t="str">
        <f>HydroRefineryCalcs!D726</f>
        <v>m^3/d</v>
      </c>
      <c r="CP271" s="1170">
        <f ca="1">HydroRefineryCalcs!J726</f>
        <v>3.86618383804455E-18</v>
      </c>
      <c r="CQ271" s="1170"/>
      <c r="CR271" s="1160"/>
      <c r="CS271" s="1160" t="s">
        <v>392</v>
      </c>
      <c r="CT271" s="1160"/>
      <c r="CU271" s="1170">
        <f ca="1">(CC253+CF216)*$CU$276</f>
        <v>0</v>
      </c>
      <c r="CV271" s="1160"/>
      <c r="CW271" s="1160"/>
      <c r="CX271" s="1160"/>
      <c r="CY271" s="1160"/>
      <c r="CZ271" s="1171"/>
      <c r="DA271" s="1160"/>
      <c r="DB271" s="1160"/>
      <c r="DC271" s="1160"/>
      <c r="DD271" s="1160"/>
      <c r="DE271" s="1160"/>
      <c r="DF271" s="1160"/>
      <c r="DG271" s="1160"/>
      <c r="DH271" s="1160"/>
      <c r="DI271" s="1160"/>
      <c r="DJ271" s="1160"/>
      <c r="DK271" s="1160"/>
      <c r="DL271" s="1160"/>
      <c r="DM271" s="1171"/>
      <c r="DN271" s="1160"/>
      <c r="DO271" s="1160"/>
      <c r="DP271" s="1160"/>
      <c r="DQ271" s="1160"/>
      <c r="DR271" s="1160"/>
      <c r="DS271" s="1160"/>
      <c r="DT271" s="1160"/>
      <c r="DU271" s="1160"/>
      <c r="DV271" s="1160"/>
      <c r="DW271" s="1160"/>
      <c r="DX271" s="1160"/>
      <c r="DY271" s="1160"/>
      <c r="DZ271" s="1160"/>
      <c r="EA271" s="1160"/>
      <c r="EB271" s="1160"/>
      <c r="EC271" s="1160"/>
    </row>
    <row r="272" spans="1:133" x14ac:dyDescent="0.2">
      <c r="A272" s="1160"/>
      <c r="B272" s="1160"/>
      <c r="C272" s="1160"/>
      <c r="D272" s="1160"/>
      <c r="E272" s="1170"/>
      <c r="F272" s="1170"/>
      <c r="G272" s="1170"/>
      <c r="H272" s="1170"/>
      <c r="I272" s="1170"/>
      <c r="J272" s="1170"/>
      <c r="K272" s="1170"/>
      <c r="L272" s="1170"/>
      <c r="M272" s="1170"/>
      <c r="N272" s="1170"/>
      <c r="O272" s="1170"/>
      <c r="P272" s="1170"/>
      <c r="Q272" s="1170"/>
      <c r="R272" s="1170"/>
      <c r="S272" s="1170"/>
      <c r="T272" s="1170"/>
      <c r="U272" s="1170"/>
      <c r="V272" s="1170"/>
      <c r="W272" s="1170"/>
      <c r="X272" s="1170"/>
      <c r="Y272" s="1170"/>
      <c r="Z272" s="1170"/>
      <c r="AA272" s="1170"/>
      <c r="AB272" s="1170"/>
      <c r="AC272" s="1170"/>
      <c r="AD272" s="1170"/>
      <c r="AE272" s="1170"/>
      <c r="AF272" s="1170"/>
      <c r="AG272" s="1170"/>
      <c r="AH272" s="1170"/>
      <c r="AI272" s="1170"/>
      <c r="AJ272" s="1170"/>
      <c r="AK272" s="1170"/>
      <c r="AL272" s="1170"/>
      <c r="AM272" s="1170"/>
      <c r="AN272" s="1170"/>
      <c r="AO272" s="1170"/>
      <c r="AP272" s="1170"/>
      <c r="AQ272" s="1170"/>
      <c r="AR272" s="1170" t="s">
        <v>541</v>
      </c>
      <c r="AS272" s="1170"/>
      <c r="AT272" s="1170">
        <f ca="1">(AL264+AO268)*$AT$273</f>
        <v>0</v>
      </c>
      <c r="AU272" s="1170"/>
      <c r="AV272" s="1170"/>
      <c r="AW272" s="1170"/>
      <c r="AX272" s="1170"/>
      <c r="AY272" s="1170"/>
      <c r="AZ272" s="1170">
        <f ca="1">BB256-BI186-BM245-BL285-DH313</f>
        <v>0</v>
      </c>
      <c r="BA272" s="1170"/>
      <c r="BB272" s="1170"/>
      <c r="BC272" s="1170"/>
      <c r="BD272" s="1170"/>
      <c r="BE272" s="1170"/>
      <c r="BF272" s="1170"/>
      <c r="BG272" s="1170"/>
      <c r="BH272" s="1170"/>
      <c r="BI272" s="1170"/>
      <c r="BJ272" s="1186" t="str">
        <f>HydroRefineryCalcs!C907</f>
        <v>Vol Flow</v>
      </c>
      <c r="BK272" s="1170" t="str">
        <f ca="1">HydroRefineryCalcs!D907</f>
        <v>bpd</v>
      </c>
      <c r="BL272" s="1170">
        <f ca="1">HydroRefineryCalcs!H907</f>
        <v>1.643156003900914E-17</v>
      </c>
      <c r="BM272" s="1170"/>
      <c r="BN272" s="1170"/>
      <c r="BO272" s="1170"/>
      <c r="BP272" s="1170"/>
      <c r="BQ272" s="1186" t="str">
        <f>HydroRefineryCalcs!C966</f>
        <v>Vol Flow</v>
      </c>
      <c r="BR272" s="1170" t="str">
        <f>HydroRefineryCalcs!D966</f>
        <v>m^3/d</v>
      </c>
      <c r="BS272" s="1170">
        <f ca="1">HydroRefineryCalcs!G966</f>
        <v>2.6124093653873458E-18</v>
      </c>
      <c r="BT272" s="1170"/>
      <c r="BU272" s="1170"/>
      <c r="BV272" s="1170"/>
      <c r="BW272" s="1170"/>
      <c r="BX272" s="1170"/>
      <c r="BY272" s="1170"/>
      <c r="BZ272" s="1170"/>
      <c r="CA272" s="1170"/>
      <c r="CB272" s="1170"/>
      <c r="CC272" s="1170"/>
      <c r="CD272" s="1170"/>
      <c r="CE272" s="1170"/>
      <c r="CF272" s="1170"/>
      <c r="CG272" s="1170"/>
      <c r="CH272" s="1170"/>
      <c r="CI272" s="1170"/>
      <c r="CJ272" s="1170"/>
      <c r="CK272" s="1170"/>
      <c r="CL272" s="1170"/>
      <c r="CM272" s="1170"/>
      <c r="CN272" s="1186" t="str">
        <f>HydroRefineryCalcs!C727</f>
        <v>Mass Flow</v>
      </c>
      <c r="CO272" s="1170" t="str">
        <f>HydroRefineryCalcs!D727</f>
        <v>kg/d</v>
      </c>
      <c r="CP272" s="1170">
        <f ca="1">HydroRefineryCalcs!J727</f>
        <v>3.9048456764245182E-15</v>
      </c>
      <c r="CQ272" s="1170"/>
      <c r="CR272" s="1160"/>
      <c r="CS272" s="1160" t="s">
        <v>224</v>
      </c>
      <c r="CT272" s="1160"/>
      <c r="CU272" s="1170">
        <f ca="1">(CC254+CF217)*$CU$276</f>
        <v>0</v>
      </c>
      <c r="CV272" s="1160"/>
      <c r="CW272" s="1160"/>
      <c r="CX272" s="1160"/>
      <c r="CY272" s="1160"/>
      <c r="CZ272" s="1171"/>
      <c r="DA272" s="1160"/>
      <c r="DB272" s="1160"/>
      <c r="DC272" s="1160"/>
      <c r="DD272" s="1160"/>
      <c r="DE272" s="1160"/>
      <c r="DF272" s="1160"/>
      <c r="DG272" s="1160"/>
      <c r="DH272" s="1160"/>
      <c r="DI272" s="1160"/>
      <c r="DJ272" s="1160"/>
      <c r="DK272" s="1160"/>
      <c r="DL272" s="1160"/>
      <c r="DM272" s="1171"/>
      <c r="DN272" s="1160"/>
      <c r="DO272" s="1160"/>
      <c r="DP272" s="1160"/>
      <c r="DQ272" s="1160"/>
      <c r="DR272" s="1160"/>
      <c r="DS272" s="1160"/>
      <c r="DT272" s="1160"/>
      <c r="DU272" s="1160"/>
      <c r="DV272" s="1160"/>
      <c r="DW272" s="1160"/>
      <c r="DX272" s="1160"/>
      <c r="DY272" s="1160"/>
      <c r="DZ272" s="1160"/>
      <c r="EA272" s="1160"/>
      <c r="EB272" s="1160"/>
      <c r="EC272" s="1160"/>
    </row>
    <row r="273" spans="1:133" x14ac:dyDescent="0.2">
      <c r="A273" s="1160"/>
      <c r="B273" s="1160"/>
      <c r="C273" s="1160"/>
      <c r="D273" s="1160"/>
      <c r="E273" s="1170"/>
      <c r="F273" s="1170"/>
      <c r="G273" s="1170"/>
      <c r="H273" s="1170"/>
      <c r="I273" s="1170"/>
      <c r="J273" s="1170"/>
      <c r="K273" s="1170"/>
      <c r="L273" s="1170"/>
      <c r="M273" s="1170"/>
      <c r="N273" s="1170"/>
      <c r="O273" s="1170"/>
      <c r="P273" s="1170"/>
      <c r="Q273" s="1170"/>
      <c r="R273" s="1170"/>
      <c r="S273" s="1170"/>
      <c r="T273" s="1170"/>
      <c r="U273" s="1170"/>
      <c r="V273" s="1170"/>
      <c r="W273" s="1170"/>
      <c r="X273" s="1170"/>
      <c r="Y273" s="1170"/>
      <c r="Z273" s="1170"/>
      <c r="AA273" s="1170"/>
      <c r="AB273" s="1170"/>
      <c r="AC273" s="1170"/>
      <c r="AD273" s="1170"/>
      <c r="AE273" s="1170"/>
      <c r="AF273" s="1170"/>
      <c r="AG273" s="1170"/>
      <c r="AH273" s="1170"/>
      <c r="AI273" s="1170"/>
      <c r="AJ273" s="1170"/>
      <c r="AK273" s="1170"/>
      <c r="AL273" s="1170"/>
      <c r="AM273" s="1170"/>
      <c r="AN273" s="1170"/>
      <c r="AO273" s="1170"/>
      <c r="AP273" s="1170"/>
      <c r="AQ273" s="1170"/>
      <c r="AR273" s="1180" t="s">
        <v>227</v>
      </c>
      <c r="AS273" s="1170"/>
      <c r="AT273" s="1180">
        <v>1</v>
      </c>
      <c r="AU273" s="1170"/>
      <c r="AV273" s="1170"/>
      <c r="AW273" s="1170"/>
      <c r="AX273" s="1170"/>
      <c r="AY273" s="1170"/>
      <c r="AZ273" s="1170"/>
      <c r="BA273" s="1170"/>
      <c r="BB273" s="1170"/>
      <c r="BC273" s="1170"/>
      <c r="BD273" s="1170"/>
      <c r="BE273" s="1170"/>
      <c r="BF273" s="1170"/>
      <c r="BG273" s="1170"/>
      <c r="BH273" s="1170"/>
      <c r="BI273" s="1170"/>
      <c r="BJ273" s="1186" t="str">
        <f>HydroRefineryCalcs!C908</f>
        <v>Vol Flow</v>
      </c>
      <c r="BK273" s="1170" t="str">
        <f ca="1">HydroRefineryCalcs!D908</f>
        <v>m^3/d</v>
      </c>
      <c r="BL273" s="1170">
        <f ca="1">HydroRefineryCalcs!H908</f>
        <v>2.6124093653899577E-18</v>
      </c>
      <c r="BM273" s="1170"/>
      <c r="BN273" s="1170"/>
      <c r="BO273" s="1170"/>
      <c r="BP273" s="1170"/>
      <c r="BQ273" s="1186" t="str">
        <f>HydroRefineryCalcs!C967</f>
        <v>Mass Flow</v>
      </c>
      <c r="BR273" s="1170" t="str">
        <f>HydroRefineryCalcs!D967</f>
        <v>kg/d</v>
      </c>
      <c r="BS273" s="1170">
        <f ca="1">HydroRefineryCalcs!G967</f>
        <v>2.5026881720408908E-15</v>
      </c>
      <c r="BT273" s="1170"/>
      <c r="BU273" s="1170"/>
      <c r="BV273" s="1170"/>
      <c r="BW273" s="1170"/>
      <c r="BX273" s="1170"/>
      <c r="BY273" s="1170"/>
      <c r="BZ273" s="1170"/>
      <c r="CA273" s="1170"/>
      <c r="CB273" s="1170"/>
      <c r="CC273" s="1170"/>
      <c r="CD273" s="1170"/>
      <c r="CE273" s="1170"/>
      <c r="CF273" s="1170"/>
      <c r="CG273" s="1170"/>
      <c r="CH273" s="1170"/>
      <c r="CI273" s="1170"/>
      <c r="CJ273" s="1170"/>
      <c r="CK273" s="1170"/>
      <c r="CL273" s="1170"/>
      <c r="CM273" s="1170"/>
      <c r="CN273" s="1186" t="str">
        <f>HydroRefineryCalcs!C728</f>
        <v>S</v>
      </c>
      <c r="CO273" s="1170" t="str">
        <f>HydroRefineryCalcs!D728</f>
        <v>wt%</v>
      </c>
      <c r="CP273" s="1170">
        <f ca="1">HydroRefineryCalcs!J728</f>
        <v>0</v>
      </c>
      <c r="CQ273" s="1170"/>
      <c r="CR273" s="1160"/>
      <c r="CS273" s="1160" t="s">
        <v>485</v>
      </c>
      <c r="CT273" s="1160"/>
      <c r="CU273" s="1170">
        <f ca="1">(CC255+CF218)*$CU$276</f>
        <v>0</v>
      </c>
      <c r="CV273" s="1160"/>
      <c r="CW273" s="1160"/>
      <c r="CX273" s="1160"/>
      <c r="CY273" s="1160"/>
      <c r="CZ273" s="1171"/>
      <c r="DA273" s="1160"/>
      <c r="DB273" s="1980" t="s">
        <v>1909</v>
      </c>
      <c r="DC273" s="1160"/>
      <c r="DD273" s="1160"/>
      <c r="DE273" s="1978" t="s">
        <v>1909</v>
      </c>
      <c r="DF273" s="1979"/>
      <c r="DG273" s="1979"/>
      <c r="DH273" s="1160"/>
      <c r="DI273" s="1160"/>
      <c r="DJ273" s="1160"/>
      <c r="DK273" s="1160"/>
      <c r="DL273" s="1160"/>
      <c r="DM273" s="1171"/>
      <c r="DN273" s="1160"/>
      <c r="DO273" s="1160"/>
      <c r="DP273" s="1160"/>
      <c r="DQ273" s="1160"/>
      <c r="DR273" s="1160"/>
      <c r="DS273" s="1160"/>
      <c r="DT273" s="1160"/>
      <c r="DU273" s="1160"/>
      <c r="DV273" s="1160"/>
      <c r="DW273" s="1160"/>
      <c r="DX273" s="1160"/>
      <c r="DY273" s="1160"/>
      <c r="DZ273" s="1160"/>
      <c r="EA273" s="1160"/>
      <c r="EB273" s="1160"/>
      <c r="EC273" s="1160"/>
    </row>
    <row r="274" spans="1:133" x14ac:dyDescent="0.2">
      <c r="A274" s="1160"/>
      <c r="B274" s="1160"/>
      <c r="C274" s="1160"/>
      <c r="D274" s="1160"/>
      <c r="E274" s="1170"/>
      <c r="F274" s="1170"/>
      <c r="G274" s="1170"/>
      <c r="H274" s="1170"/>
      <c r="I274" s="1170"/>
      <c r="J274" s="1170"/>
      <c r="K274" s="1170"/>
      <c r="L274" s="1170"/>
      <c r="M274" s="1170"/>
      <c r="N274" s="1170"/>
      <c r="O274" s="1170"/>
      <c r="P274" s="1170"/>
      <c r="Q274" s="1170"/>
      <c r="R274" s="1170"/>
      <c r="S274" s="1170"/>
      <c r="T274" s="1170"/>
      <c r="U274" s="1170"/>
      <c r="V274" s="1170"/>
      <c r="W274" s="1170"/>
      <c r="X274" s="1170"/>
      <c r="Y274" s="1170"/>
      <c r="Z274" s="1170"/>
      <c r="AA274" s="1170"/>
      <c r="AB274" s="1170"/>
      <c r="AC274" s="1170"/>
      <c r="AD274" s="1170"/>
      <c r="AE274" s="1170"/>
      <c r="AF274" s="1170"/>
      <c r="AG274" s="1170"/>
      <c r="AH274" s="1170"/>
      <c r="AI274" s="1170"/>
      <c r="AJ274" s="1170"/>
      <c r="AK274" s="1170"/>
      <c r="AL274" s="1170"/>
      <c r="AM274" s="1170"/>
      <c r="AN274" s="1170"/>
      <c r="AO274" s="1170"/>
      <c r="AP274" s="1170"/>
      <c r="AQ274" s="1170"/>
      <c r="AR274" s="1170"/>
      <c r="AS274" s="1170"/>
      <c r="AT274" s="1170"/>
      <c r="AU274" s="1170"/>
      <c r="AV274" s="1170"/>
      <c r="AW274" s="1170"/>
      <c r="AX274" s="1170"/>
      <c r="AY274" s="1170"/>
      <c r="AZ274" s="1170"/>
      <c r="BA274" s="1170"/>
      <c r="BB274" s="1170"/>
      <c r="BC274" s="1170"/>
      <c r="BD274" s="1170"/>
      <c r="BE274" s="1170"/>
      <c r="BF274" s="1170"/>
      <c r="BG274" s="1170"/>
      <c r="BH274" s="1170"/>
      <c r="BI274" s="1170"/>
      <c r="BJ274" s="1186" t="str">
        <f>HydroRefineryCalcs!C909</f>
        <v>Mass Flow</v>
      </c>
      <c r="BK274" s="1170" t="str">
        <f>HydroRefineryCalcs!D909</f>
        <v>kg/d</v>
      </c>
      <c r="BL274" s="1170">
        <f ca="1">HydroRefineryCalcs!H909</f>
        <v>2.5026881720433935E-15</v>
      </c>
      <c r="BM274" s="1170"/>
      <c r="BN274" s="1170"/>
      <c r="BO274" s="1170"/>
      <c r="BP274" s="1170"/>
      <c r="BQ274" s="1186" t="str">
        <f>HydroRefineryCalcs!C968</f>
        <v>S</v>
      </c>
      <c r="BR274" s="1170" t="str">
        <f>HydroRefineryCalcs!D968</f>
        <v>wt%</v>
      </c>
      <c r="BS274" s="1170">
        <f ca="1">HydroRefineryCalcs!G968</f>
        <v>0</v>
      </c>
      <c r="BT274" s="1170"/>
      <c r="BU274" s="1170"/>
      <c r="BV274" s="1170"/>
      <c r="BW274" s="1170"/>
      <c r="BX274" s="1170"/>
      <c r="BY274" s="1170"/>
      <c r="BZ274" s="1170"/>
      <c r="CA274" s="1170"/>
      <c r="CB274" s="1170"/>
      <c r="CC274" s="1170"/>
      <c r="CD274" s="1170"/>
      <c r="CE274" s="1170"/>
      <c r="CF274" s="1170"/>
      <c r="CG274" s="1170"/>
      <c r="CH274" s="1170"/>
      <c r="CI274" s="1170"/>
      <c r="CJ274" s="1170"/>
      <c r="CK274" s="1170"/>
      <c r="CL274" s="1170"/>
      <c r="CM274" s="1170"/>
      <c r="CN274" s="1186" t="str">
        <f>HydroRefineryCalcs!C730</f>
        <v>API</v>
      </c>
      <c r="CO274" s="1170"/>
      <c r="CP274" s="1170">
        <f ca="1">HydroRefineryCalcs!J730</f>
        <v>8.5990099010072356</v>
      </c>
      <c r="CQ274" s="1170"/>
      <c r="CR274" s="1160"/>
      <c r="CS274" s="1160" t="s">
        <v>541</v>
      </c>
      <c r="CT274" s="1160"/>
      <c r="CU274" s="1170">
        <f ca="1">(CC256+CF219)*$CU$276</f>
        <v>0</v>
      </c>
      <c r="CV274" s="1160"/>
      <c r="CW274" s="1160"/>
      <c r="CX274" s="1160"/>
      <c r="CY274" s="1160"/>
      <c r="CZ274" s="1171"/>
      <c r="DA274" s="1160"/>
      <c r="DB274" s="1977" t="s">
        <v>568</v>
      </c>
      <c r="DC274" s="1977" t="s">
        <v>623</v>
      </c>
      <c r="DD274" s="1160"/>
      <c r="DE274" s="1978" t="s">
        <v>226</v>
      </c>
      <c r="DF274" s="1979"/>
      <c r="DG274" s="1979" t="s">
        <v>522</v>
      </c>
      <c r="DH274" s="1160"/>
      <c r="DI274" s="1160"/>
      <c r="DJ274" s="1160"/>
      <c r="DK274" s="1160"/>
      <c r="DL274" s="1160"/>
      <c r="DM274" s="1171"/>
      <c r="DN274" s="1160"/>
      <c r="DO274" s="1160"/>
      <c r="DP274" s="1160"/>
      <c r="DQ274" s="1160"/>
      <c r="DR274" s="1160"/>
      <c r="DS274" s="1160"/>
      <c r="DT274" s="1160"/>
      <c r="DU274" s="1160"/>
      <c r="DV274" s="1160"/>
      <c r="DW274" s="1160"/>
      <c r="DX274" s="1160"/>
      <c r="DY274" s="1160"/>
      <c r="DZ274" s="1160"/>
      <c r="EA274" s="1160"/>
      <c r="EB274" s="1160"/>
      <c r="EC274" s="1160"/>
    </row>
    <row r="275" spans="1:133" x14ac:dyDescent="0.2">
      <c r="A275" s="1160"/>
      <c r="B275" s="1160"/>
      <c r="C275" s="1160"/>
      <c r="D275" s="1160"/>
      <c r="E275" s="1170"/>
      <c r="F275" s="1170"/>
      <c r="G275" s="1170"/>
      <c r="H275" s="1170"/>
      <c r="I275" s="1170"/>
      <c r="J275" s="1170"/>
      <c r="K275" s="1170"/>
      <c r="L275" s="1170"/>
      <c r="M275" s="1170"/>
      <c r="N275" s="1170"/>
      <c r="O275" s="1170"/>
      <c r="P275" s="1170"/>
      <c r="Q275" s="1170"/>
      <c r="R275" s="1170"/>
      <c r="S275" s="1170"/>
      <c r="T275" s="1170"/>
      <c r="U275" s="1170"/>
      <c r="V275" s="1170"/>
      <c r="W275" s="1170"/>
      <c r="X275" s="1170"/>
      <c r="Y275" s="1170"/>
      <c r="Z275" s="1170"/>
      <c r="AA275" s="1170"/>
      <c r="AB275" s="1170"/>
      <c r="AC275" s="1170"/>
      <c r="AD275" s="1170"/>
      <c r="AE275" s="1170"/>
      <c r="AF275" s="1170"/>
      <c r="AG275" s="1170"/>
      <c r="AH275" s="1170"/>
      <c r="AI275" s="1170"/>
      <c r="AJ275" s="1170"/>
      <c r="AK275" s="1170"/>
      <c r="AL275" s="1170"/>
      <c r="AM275" s="1170"/>
      <c r="AN275" s="1170"/>
      <c r="AO275" s="1170"/>
      <c r="AP275" s="1170"/>
      <c r="AQ275" s="1170"/>
      <c r="AR275" s="1170"/>
      <c r="AS275" s="1170"/>
      <c r="AT275" s="1170"/>
      <c r="AU275" s="1170"/>
      <c r="AV275" s="1170"/>
      <c r="AW275" s="1170"/>
      <c r="AX275" s="1170"/>
      <c r="AY275" s="1170"/>
      <c r="AZ275" s="1170"/>
      <c r="BA275" s="1170"/>
      <c r="BB275" s="1170"/>
      <c r="BC275" s="1170"/>
      <c r="BD275" s="1170"/>
      <c r="BE275" s="1170"/>
      <c r="BF275" s="1170"/>
      <c r="BG275" s="1170"/>
      <c r="BH275" s="1170"/>
      <c r="BI275" s="1170"/>
      <c r="BJ275" s="1186" t="str">
        <f>HydroRefineryCalcs!C910</f>
        <v xml:space="preserve">Sulphur </v>
      </c>
      <c r="BK275" s="1170" t="str">
        <f ca="1">HydroRefineryCalcs!D910</f>
        <v>wt%</v>
      </c>
      <c r="BL275" s="1170">
        <f ca="1">HydroRefineryCalcs!H910</f>
        <v>0</v>
      </c>
      <c r="BM275" s="1170"/>
      <c r="BN275" s="1170"/>
      <c r="BO275" s="1170"/>
      <c r="BP275" s="1170"/>
      <c r="BQ275" s="1186" t="str">
        <f>HydroRefineryCalcs!C970</f>
        <v>API</v>
      </c>
      <c r="BR275" s="1170"/>
      <c r="BS275" s="1170">
        <f ca="1">HydroRefineryCalcs!G970</f>
        <v>16.203549060553797</v>
      </c>
      <c r="BT275" s="1170"/>
      <c r="BU275" s="1170"/>
      <c r="BV275" s="1170"/>
      <c r="BW275" s="1170"/>
      <c r="BX275" s="1170"/>
      <c r="BY275" s="1170"/>
      <c r="BZ275" s="1170"/>
      <c r="CA275" s="1170"/>
      <c r="CB275" s="1170"/>
      <c r="CC275" s="1170"/>
      <c r="CD275" s="1170"/>
      <c r="CE275" s="1170"/>
      <c r="CF275" s="1170"/>
      <c r="CG275" s="1170"/>
      <c r="CH275" s="1170"/>
      <c r="CI275" s="1170"/>
      <c r="CJ275" s="1170"/>
      <c r="CK275" s="1170"/>
      <c r="CL275" s="1170"/>
      <c r="CM275" s="1170"/>
      <c r="CN275" s="1186" t="str">
        <f>HydroRefineryCalcs!C731</f>
        <v>Density</v>
      </c>
      <c r="CO275" s="1170" t="str">
        <f>HydroRefineryCalcs!D731</f>
        <v>kg/m^3</v>
      </c>
      <c r="CP275" s="1170">
        <f ca="1">HydroRefineryCalcs!J731</f>
        <v>1009.9999999998765</v>
      </c>
      <c r="CQ275" s="1170"/>
      <c r="CR275" s="1160"/>
      <c r="CS275" s="1170" t="str">
        <f>CA257</f>
        <v>Catalyst Coke</v>
      </c>
      <c r="CT275" s="1160"/>
      <c r="CU275" s="1170">
        <f ca="1">(CC257+CB189)*$CU$276</f>
        <v>0</v>
      </c>
      <c r="CV275" s="1160"/>
      <c r="CW275" s="1160"/>
      <c r="CX275" s="1160"/>
      <c r="CY275" s="1160"/>
      <c r="CZ275" s="1171"/>
      <c r="DA275" s="1160"/>
      <c r="DB275" s="1229" t="s">
        <v>582</v>
      </c>
      <c r="DC275" s="1160" t="s">
        <v>566</v>
      </c>
      <c r="DD275" s="1975">
        <f ca="1">DD276/'Energy &amp; Unit Conversions'!G80</f>
        <v>0</v>
      </c>
      <c r="DE275" s="1171" t="s">
        <v>263</v>
      </c>
      <c r="DF275" s="1160"/>
      <c r="DG275" s="1975">
        <f ca="1">AE182*DG280</f>
        <v>0</v>
      </c>
      <c r="DH275" s="1160"/>
      <c r="DI275" s="1160"/>
      <c r="DJ275" s="1160"/>
      <c r="DK275" s="1160"/>
      <c r="DL275" s="1160"/>
      <c r="DM275" s="1171"/>
      <c r="DN275" s="1160"/>
      <c r="DO275" s="1160"/>
      <c r="DP275" s="1160"/>
      <c r="DQ275" s="1160"/>
      <c r="DR275" s="1160"/>
      <c r="DS275" s="1160"/>
      <c r="DT275" s="1160"/>
      <c r="DU275" s="1160"/>
      <c r="DV275" s="1160"/>
      <c r="DW275" s="1160"/>
      <c r="DX275" s="1160"/>
      <c r="DY275" s="1160"/>
      <c r="DZ275" s="1160"/>
      <c r="EA275" s="1160"/>
      <c r="EB275" s="1160"/>
      <c r="EC275" s="1160"/>
    </row>
    <row r="276" spans="1:133" x14ac:dyDescent="0.2">
      <c r="A276" s="1160"/>
      <c r="B276" s="1160"/>
      <c r="C276" s="1160"/>
      <c r="D276" s="1160"/>
      <c r="E276" s="1170"/>
      <c r="F276" s="1170"/>
      <c r="G276" s="1170"/>
      <c r="H276" s="1170"/>
      <c r="I276" s="1170"/>
      <c r="J276" s="1170"/>
      <c r="K276" s="1170"/>
      <c r="L276" s="1170"/>
      <c r="M276" s="1170"/>
      <c r="N276" s="1170"/>
      <c r="O276" s="1170"/>
      <c r="P276" s="1170"/>
      <c r="Q276" s="1170"/>
      <c r="R276" s="1170"/>
      <c r="S276" s="1170"/>
      <c r="T276" s="1170"/>
      <c r="U276" s="1170"/>
      <c r="V276" s="1170"/>
      <c r="W276" s="1170"/>
      <c r="X276" s="1170"/>
      <c r="Y276" s="1170"/>
      <c r="Z276" s="1170"/>
      <c r="AA276" s="1170"/>
      <c r="AB276" s="1170"/>
      <c r="AC276" s="1170"/>
      <c r="AD276" s="1170"/>
      <c r="AE276" s="1170"/>
      <c r="AF276" s="1170"/>
      <c r="AG276" s="1170"/>
      <c r="AH276" s="1170"/>
      <c r="AI276" s="1170"/>
      <c r="AJ276" s="1170"/>
      <c r="AK276" s="1170"/>
      <c r="AL276" s="1170"/>
      <c r="AM276" s="1170"/>
      <c r="AN276" s="1170"/>
      <c r="AO276" s="1170"/>
      <c r="AP276" s="1170"/>
      <c r="AQ276" s="1170"/>
      <c r="AR276" s="1170"/>
      <c r="AS276" s="1170"/>
      <c r="AT276" s="1170"/>
      <c r="AU276" s="1170"/>
      <c r="AV276" s="1170"/>
      <c r="AW276" s="1170"/>
      <c r="AX276" s="1170"/>
      <c r="AY276" s="1170"/>
      <c r="AZ276" s="1170"/>
      <c r="BA276" s="1170"/>
      <c r="BB276" s="1170"/>
      <c r="BC276" s="1170"/>
      <c r="BD276" s="1170"/>
      <c r="BE276" s="1170"/>
      <c r="BF276" s="1170"/>
      <c r="BG276" s="1170"/>
      <c r="BH276" s="1170"/>
      <c r="BI276" s="1170"/>
      <c r="BJ276" s="1186" t="str">
        <f>HydroRefineryCalcs!C912</f>
        <v xml:space="preserve">API gravity </v>
      </c>
      <c r="BK276" s="1170"/>
      <c r="BL276" s="1170">
        <f ca="1">HydroRefineryCalcs!H912</f>
        <v>16.203549060553797</v>
      </c>
      <c r="BM276" s="1170"/>
      <c r="BN276" s="1170"/>
      <c r="BO276" s="1170"/>
      <c r="BP276" s="1170"/>
      <c r="BQ276" s="1186" t="str">
        <f>HydroRefineryCalcs!C971</f>
        <v>Density</v>
      </c>
      <c r="BR276" s="1170" t="str">
        <f>HydroRefineryCalcs!D971</f>
        <v>kg/m^3</v>
      </c>
      <c r="BS276" s="1170">
        <f ca="1">HydroRefineryCalcs!G971</f>
        <v>957.99999999992872</v>
      </c>
      <c r="BT276" s="1170"/>
      <c r="BU276" s="1170"/>
      <c r="BV276" s="1170"/>
      <c r="BW276" s="1170"/>
      <c r="BX276" s="1170"/>
      <c r="BY276" s="1170"/>
      <c r="BZ276" s="1170"/>
      <c r="CA276" s="1170"/>
      <c r="CB276" s="1170"/>
      <c r="CC276" s="1170"/>
      <c r="CD276" s="1170"/>
      <c r="CE276" s="1170"/>
      <c r="CF276" s="1170"/>
      <c r="CG276" s="1170"/>
      <c r="CH276" s="1170"/>
      <c r="CI276" s="1170"/>
      <c r="CJ276" s="1170"/>
      <c r="CK276" s="1170"/>
      <c r="CL276" s="1170"/>
      <c r="CM276" s="1170"/>
      <c r="CN276" s="1186" t="str">
        <f>HydroRefineryCalcs!C732</f>
        <v>H</v>
      </c>
      <c r="CO276" s="1170" t="str">
        <f>HydroRefineryCalcs!D732</f>
        <v>wt%</v>
      </c>
      <c r="CP276" s="1170">
        <f ca="1">HydroRefineryCalcs!J732</f>
        <v>8.0000000000011688</v>
      </c>
      <c r="CQ276" s="1170"/>
      <c r="CR276" s="1160"/>
      <c r="CS276" s="1191" t="s">
        <v>48</v>
      </c>
      <c r="CT276" s="1160"/>
      <c r="CU276" s="1274">
        <f>IF(E24=TRUE,CU277,0)</f>
        <v>0</v>
      </c>
      <c r="CV276" s="1160"/>
      <c r="CW276" s="1160"/>
      <c r="CX276" s="1160"/>
      <c r="CY276" s="1160"/>
      <c r="CZ276" s="1171"/>
      <c r="DA276" s="1160"/>
      <c r="DB276" s="1229" t="s">
        <v>582</v>
      </c>
      <c r="DC276" s="1160" t="s">
        <v>628</v>
      </c>
      <c r="DD276" s="1975">
        <f ca="1">DD277/DD280</f>
        <v>0</v>
      </c>
      <c r="DE276" s="1171" t="s">
        <v>392</v>
      </c>
      <c r="DF276" s="1160"/>
      <c r="DG276" s="1160">
        <f ca="1">(AE183+AH144)*$DG$280</f>
        <v>0</v>
      </c>
      <c r="DH276" s="1160"/>
      <c r="DI276" s="1160"/>
      <c r="DJ276" s="1160"/>
      <c r="DK276" s="1160"/>
      <c r="DL276" s="1160"/>
      <c r="DM276" s="1171"/>
      <c r="DN276" s="1160"/>
      <c r="DO276" s="1160"/>
      <c r="DP276" s="1160"/>
      <c r="DQ276" s="1160"/>
      <c r="DR276" s="1160"/>
      <c r="DS276" s="1160"/>
      <c r="DT276" s="1160"/>
      <c r="DU276" s="1160"/>
      <c r="DV276" s="1160"/>
      <c r="DW276" s="1160"/>
      <c r="DX276" s="1160"/>
      <c r="DY276" s="1160"/>
      <c r="DZ276" s="1160"/>
      <c r="EA276" s="1160"/>
      <c r="EB276" s="1160"/>
      <c r="EC276" s="1160"/>
    </row>
    <row r="277" spans="1:133" x14ac:dyDescent="0.2">
      <c r="A277" s="1160"/>
      <c r="B277" s="1160"/>
      <c r="C277" s="1160"/>
      <c r="D277" s="1160"/>
      <c r="E277" s="1170"/>
      <c r="F277" s="1170"/>
      <c r="G277" s="1170"/>
      <c r="H277" s="1170"/>
      <c r="I277" s="1170"/>
      <c r="J277" s="1170"/>
      <c r="K277" s="1170"/>
      <c r="L277" s="1170"/>
      <c r="M277" s="1170"/>
      <c r="N277" s="1170"/>
      <c r="O277" s="1170"/>
      <c r="P277" s="1170"/>
      <c r="Q277" s="1170"/>
      <c r="R277" s="1170"/>
      <c r="S277" s="1170"/>
      <c r="T277" s="1170"/>
      <c r="U277" s="1170"/>
      <c r="V277" s="1170"/>
      <c r="W277" s="1170"/>
      <c r="X277" s="1170"/>
      <c r="Y277" s="1170"/>
      <c r="Z277" s="1170"/>
      <c r="AA277" s="1170"/>
      <c r="AB277" s="1170"/>
      <c r="AC277" s="1170"/>
      <c r="AD277" s="1170"/>
      <c r="AE277" s="1170"/>
      <c r="AF277" s="1170"/>
      <c r="AG277" s="1170"/>
      <c r="AH277" s="1170"/>
      <c r="AI277" s="1170"/>
      <c r="AJ277" s="1170"/>
      <c r="AK277" s="1170"/>
      <c r="AL277" s="1170"/>
      <c r="AM277" s="1170"/>
      <c r="AN277" s="1170"/>
      <c r="AO277" s="1170"/>
      <c r="AP277" s="1170"/>
      <c r="AQ277" s="1170"/>
      <c r="AR277" s="1170"/>
      <c r="AS277" s="1170"/>
      <c r="AT277" s="1170"/>
      <c r="AU277" s="1170"/>
      <c r="AV277" s="1170"/>
      <c r="AW277" s="1170"/>
      <c r="AX277" s="1170"/>
      <c r="AY277" s="1170"/>
      <c r="AZ277" s="1170"/>
      <c r="BA277" s="1170"/>
      <c r="BB277" s="1170"/>
      <c r="BC277" s="1170"/>
      <c r="BD277" s="1170"/>
      <c r="BE277" s="1170"/>
      <c r="BF277" s="1170"/>
      <c r="BG277" s="1170"/>
      <c r="BH277" s="1170"/>
      <c r="BI277" s="1170"/>
      <c r="BJ277" s="1186" t="str">
        <f>HydroRefineryCalcs!C913</f>
        <v>Density</v>
      </c>
      <c r="BK277" s="1170" t="str">
        <f ca="1">HydroRefineryCalcs!D913</f>
        <v>kg/m^3</v>
      </c>
      <c r="BL277" s="1170">
        <f ca="1">HydroRefineryCalcs!H913</f>
        <v>957.99999999992872</v>
      </c>
      <c r="BM277" s="1170"/>
      <c r="BN277" s="1170"/>
      <c r="BO277" s="1170"/>
      <c r="BP277" s="1170"/>
      <c r="BQ277" s="1186" t="str">
        <f>HydroRefineryCalcs!C972</f>
        <v>H</v>
      </c>
      <c r="BR277" s="1170" t="str">
        <f>HydroRefineryCalcs!D972</f>
        <v>wt%</v>
      </c>
      <c r="BS277" s="1170">
        <f ca="1">HydroRefineryCalcs!G972</f>
        <v>11.160000000000947</v>
      </c>
      <c r="BT277" s="1170"/>
      <c r="BU277" s="1170"/>
      <c r="BV277" s="1170"/>
      <c r="BW277" s="1170"/>
      <c r="BX277" s="1170"/>
      <c r="BY277" s="1170"/>
      <c r="BZ277" s="1170"/>
      <c r="CA277" s="1170"/>
      <c r="CB277" s="1170"/>
      <c r="CC277" s="1170"/>
      <c r="CD277" s="1170"/>
      <c r="CE277" s="1170"/>
      <c r="CF277" s="1170"/>
      <c r="CG277" s="1170"/>
      <c r="CH277" s="1170"/>
      <c r="CI277" s="1170"/>
      <c r="CJ277" s="1170"/>
      <c r="CK277" s="1170"/>
      <c r="CL277" s="1170"/>
      <c r="CM277" s="1170"/>
      <c r="CN277" s="1186" t="str">
        <f>HydroRefineryCalcs!C733</f>
        <v>MCR</v>
      </c>
      <c r="CO277" s="1170" t="str">
        <f>HydroRefineryCalcs!D733</f>
        <v>wt%</v>
      </c>
      <c r="CP277" s="1170">
        <f>HydroRefineryCalcs!J733</f>
        <v>0</v>
      </c>
      <c r="CQ277" s="1170"/>
      <c r="CR277" s="1160"/>
      <c r="CS277" s="1191" t="s">
        <v>227</v>
      </c>
      <c r="CT277" s="1160"/>
      <c r="CU277" s="1170">
        <f ca="1">CP280/(CM181+CU240+CJ255+CP280)</f>
        <v>0.10746216581624703</v>
      </c>
      <c r="CV277" s="1160"/>
      <c r="CW277" s="1160"/>
      <c r="CX277" s="1160"/>
      <c r="CY277" s="1160"/>
      <c r="CZ277" s="1171"/>
      <c r="DA277" s="1160"/>
      <c r="DB277" s="1229" t="s">
        <v>620</v>
      </c>
      <c r="DC277" s="1160" t="s">
        <v>622</v>
      </c>
      <c r="DD277" s="1160">
        <f ca="1">HydroRefineryCalcs!D1526</f>
        <v>0</v>
      </c>
      <c r="DE277" s="1171" t="s">
        <v>224</v>
      </c>
      <c r="DF277" s="1160"/>
      <c r="DG277" s="1160">
        <f ca="1">(AE184+AH145)*$DG$280</f>
        <v>0</v>
      </c>
      <c r="DH277" s="1160"/>
      <c r="DI277" s="1160"/>
      <c r="DJ277" s="1160"/>
      <c r="DK277" s="1160"/>
      <c r="DL277" s="1160"/>
      <c r="DM277" s="1171"/>
      <c r="DN277" s="1160"/>
      <c r="DO277" s="1160"/>
      <c r="DP277" s="1160"/>
      <c r="DQ277" s="1160"/>
      <c r="DR277" s="1160"/>
      <c r="DS277" s="1160"/>
      <c r="DT277" s="1160"/>
      <c r="DU277" s="1160"/>
      <c r="DV277" s="1160"/>
      <c r="DW277" s="1160"/>
      <c r="DX277" s="1160"/>
      <c r="DY277" s="1160"/>
      <c r="DZ277" s="1160"/>
      <c r="EA277" s="1160"/>
      <c r="EB277" s="1160"/>
      <c r="EC277" s="1160"/>
    </row>
    <row r="278" spans="1:133" x14ac:dyDescent="0.2">
      <c r="A278" s="1160"/>
      <c r="B278" s="1160"/>
      <c r="C278" s="1160"/>
      <c r="D278" s="1160"/>
      <c r="E278" s="1170"/>
      <c r="F278" s="1170"/>
      <c r="G278" s="1170"/>
      <c r="H278" s="1170"/>
      <c r="I278" s="1170"/>
      <c r="J278" s="1170"/>
      <c r="K278" s="1170"/>
      <c r="L278" s="1170"/>
      <c r="M278" s="1170"/>
      <c r="N278" s="1170"/>
      <c r="O278" s="1170"/>
      <c r="P278" s="1170"/>
      <c r="Q278" s="1170"/>
      <c r="R278" s="1170"/>
      <c r="S278" s="1170"/>
      <c r="T278" s="1170"/>
      <c r="U278" s="1170"/>
      <c r="V278" s="1170"/>
      <c r="W278" s="1170"/>
      <c r="X278" s="1170"/>
      <c r="Y278" s="1170"/>
      <c r="Z278" s="1170"/>
      <c r="AA278" s="1170"/>
      <c r="AB278" s="1170"/>
      <c r="AC278" s="1170"/>
      <c r="AD278" s="1170"/>
      <c r="AE278" s="1170"/>
      <c r="AF278" s="1170"/>
      <c r="AG278" s="1170"/>
      <c r="AH278" s="1170"/>
      <c r="AI278" s="1170"/>
      <c r="AJ278" s="1170"/>
      <c r="AK278" s="1170"/>
      <c r="AL278" s="1170"/>
      <c r="AM278" s="1170"/>
      <c r="AN278" s="1170"/>
      <c r="AO278" s="1170"/>
      <c r="AP278" s="1170"/>
      <c r="AQ278" s="1170"/>
      <c r="AR278" s="1170"/>
      <c r="AS278" s="1170"/>
      <c r="AT278" s="1170"/>
      <c r="AU278" s="1170"/>
      <c r="AV278" s="1170"/>
      <c r="AW278" s="1170"/>
      <c r="AX278" s="1170"/>
      <c r="AY278" s="1170"/>
      <c r="AZ278" s="1170"/>
      <c r="BA278" s="1170"/>
      <c r="BB278" s="1170"/>
      <c r="BC278" s="1170"/>
      <c r="BD278" s="1170"/>
      <c r="BE278" s="1170"/>
      <c r="BF278" s="1170"/>
      <c r="BG278" s="1170"/>
      <c r="BH278" s="1170"/>
      <c r="BI278" s="1170"/>
      <c r="BJ278" s="1186" t="str">
        <f>HydroRefineryCalcs!C914</f>
        <v>Hydrogen</v>
      </c>
      <c r="BK278" s="1170" t="str">
        <f ca="1">HydroRefineryCalcs!D914</f>
        <v>wt%</v>
      </c>
      <c r="BL278" s="1170">
        <f ca="1">HydroRefineryCalcs!H914</f>
        <v>11.160000000000947</v>
      </c>
      <c r="BM278" s="1170"/>
      <c r="BN278" s="1170"/>
      <c r="BO278" s="1170"/>
      <c r="BP278" s="1170"/>
      <c r="BQ278" s="1186" t="str">
        <f>HydroRefineryCalcs!C973</f>
        <v>MCR</v>
      </c>
      <c r="BR278" s="1170" t="str">
        <f>HydroRefineryCalcs!D973</f>
        <v>wt%</v>
      </c>
      <c r="BS278" s="1170">
        <f>HydroRefineryCalcs!G973</f>
        <v>0</v>
      </c>
      <c r="BT278" s="1170"/>
      <c r="BU278" s="1170"/>
      <c r="BV278" s="1170"/>
      <c r="BW278" s="1170"/>
      <c r="BX278" s="1170"/>
      <c r="BY278" s="1170"/>
      <c r="BZ278" s="1170"/>
      <c r="CA278" s="1170"/>
      <c r="CB278" s="1170"/>
      <c r="CC278" s="1170"/>
      <c r="CD278" s="1170"/>
      <c r="CE278" s="1170"/>
      <c r="CF278" s="1170"/>
      <c r="CG278" s="1170"/>
      <c r="CH278" s="1170"/>
      <c r="CI278" s="1170"/>
      <c r="CJ278" s="1170"/>
      <c r="CK278" s="1170"/>
      <c r="CL278" s="1170"/>
      <c r="CM278" s="1170"/>
      <c r="CN278" s="1186" t="s">
        <v>1698</v>
      </c>
      <c r="CO278" s="1199" t="s">
        <v>447</v>
      </c>
      <c r="CP278" s="1199">
        <f ca="1">('Energy &amp; Unit Conversions'!$D$63-('Energy &amp; Unit Conversions'!$E$63*POWER((CP275/'Energy &amp; Unit Conversions'!$E$54),2)))</f>
        <v>38.59761528550186</v>
      </c>
      <c r="CQ278" s="1170"/>
      <c r="CR278" s="1160"/>
      <c r="CS278" s="1253" t="s">
        <v>228</v>
      </c>
      <c r="CT278" s="1160"/>
      <c r="CU278" s="1274">
        <f ca="1">CP272/CC240</f>
        <v>0.16757344940154842</v>
      </c>
      <c r="CV278" s="1160"/>
      <c r="CW278" s="1160"/>
      <c r="CX278" s="1160"/>
      <c r="CY278" s="1160"/>
      <c r="CZ278" s="1171"/>
      <c r="DA278" s="1160"/>
      <c r="DB278" s="1229" t="s">
        <v>776</v>
      </c>
      <c r="DC278" s="1160" t="s">
        <v>579</v>
      </c>
      <c r="DD278" s="1170">
        <f ca="1">AL250</f>
        <v>0</v>
      </c>
      <c r="DE278" s="1171" t="s">
        <v>485</v>
      </c>
      <c r="DF278" s="1160"/>
      <c r="DG278" s="1160">
        <f ca="1">(AE185+AH146)*$DG$280</f>
        <v>0</v>
      </c>
      <c r="DH278" s="1160"/>
      <c r="DI278" s="1160"/>
      <c r="DJ278" s="1160"/>
      <c r="DK278" s="1160"/>
      <c r="DL278" s="1160"/>
      <c r="DM278" s="1171"/>
      <c r="DN278" s="1160"/>
      <c r="DO278" s="1160"/>
      <c r="DP278" s="1160"/>
      <c r="DQ278" s="1160"/>
      <c r="DR278" s="1160"/>
      <c r="DS278" s="1160"/>
      <c r="DT278" s="1160"/>
      <c r="DU278" s="1160"/>
      <c r="DV278" s="1160"/>
      <c r="DW278" s="1160"/>
      <c r="DX278" s="1160"/>
      <c r="DY278" s="1160"/>
      <c r="DZ278" s="1160"/>
      <c r="EA278" s="1160"/>
      <c r="EB278" s="1160"/>
      <c r="EC278" s="1160"/>
    </row>
    <row r="279" spans="1:133" x14ac:dyDescent="0.2">
      <c r="A279" s="1160"/>
      <c r="B279" s="1160"/>
      <c r="C279" s="1160"/>
      <c r="D279" s="1160"/>
      <c r="E279" s="1170"/>
      <c r="F279" s="1170"/>
      <c r="G279" s="1170"/>
      <c r="H279" s="1170"/>
      <c r="I279" s="1170"/>
      <c r="J279" s="1170"/>
      <c r="K279" s="1170"/>
      <c r="L279" s="1170"/>
      <c r="M279" s="1170"/>
      <c r="N279" s="1170"/>
      <c r="O279" s="1170"/>
      <c r="P279" s="1170"/>
      <c r="Q279" s="1170"/>
      <c r="R279" s="1170"/>
      <c r="S279" s="1170"/>
      <c r="T279" s="1170"/>
      <c r="U279" s="1170"/>
      <c r="V279" s="1170"/>
      <c r="W279" s="1170"/>
      <c r="X279" s="1170"/>
      <c r="Y279" s="1170"/>
      <c r="Z279" s="1170"/>
      <c r="AA279" s="1170"/>
      <c r="AB279" s="1170"/>
      <c r="AC279" s="1170"/>
      <c r="AD279" s="1170"/>
      <c r="AE279" s="1170"/>
      <c r="AF279" s="1170"/>
      <c r="AG279" s="1170"/>
      <c r="AH279" s="1170"/>
      <c r="AI279" s="1170"/>
      <c r="AJ279" s="1170"/>
      <c r="AK279" s="1170"/>
      <c r="AL279" s="1170"/>
      <c r="AM279" s="1170"/>
      <c r="AN279" s="1170"/>
      <c r="AO279" s="1170"/>
      <c r="AP279" s="1170"/>
      <c r="AQ279" s="1170"/>
      <c r="AR279" s="1170"/>
      <c r="AS279" s="1170"/>
      <c r="AT279" s="1170"/>
      <c r="AU279" s="1170"/>
      <c r="AV279" s="1170"/>
      <c r="AW279" s="1170"/>
      <c r="AX279" s="1170"/>
      <c r="AY279" s="1170"/>
      <c r="AZ279" s="1170"/>
      <c r="BA279" s="1170"/>
      <c r="BB279" s="1170"/>
      <c r="BC279" s="1170"/>
      <c r="BD279" s="1170"/>
      <c r="BE279" s="1170"/>
      <c r="BF279" s="1170"/>
      <c r="BG279" s="1170"/>
      <c r="BH279" s="1170"/>
      <c r="BI279" s="1170"/>
      <c r="BJ279" s="1186" t="str">
        <f>HydroRefineryCalcs!C915</f>
        <v>MCR</v>
      </c>
      <c r="BK279" s="1170" t="str">
        <f ca="1">HydroRefineryCalcs!D915</f>
        <v>wt%</v>
      </c>
      <c r="BL279" s="1170">
        <f>HydroRefineryCalcs!H915</f>
        <v>0</v>
      </c>
      <c r="BM279" s="1170"/>
      <c r="BN279" s="1170"/>
      <c r="BO279" s="1170"/>
      <c r="BP279" s="1170"/>
      <c r="BQ279" s="1186" t="s">
        <v>1698</v>
      </c>
      <c r="BR279" s="1199" t="s">
        <v>447</v>
      </c>
      <c r="BS279" s="1199">
        <f ca="1">('Energy &amp; Unit Conversions'!$D$63-('Energy &amp; Unit Conversions'!$E$63*POWER((BS276/'Energy &amp; Unit Conversions'!$E$54),2)))</f>
        <v>39.409784992375862</v>
      </c>
      <c r="BT279" s="1170"/>
      <c r="BU279" s="1170"/>
      <c r="BV279" s="1170"/>
      <c r="BW279" s="1170"/>
      <c r="BX279" s="1170"/>
      <c r="BY279" s="1170"/>
      <c r="BZ279" s="1170"/>
      <c r="CA279" s="1170"/>
      <c r="CB279" s="1170"/>
      <c r="CC279" s="1170"/>
      <c r="CD279" s="1170"/>
      <c r="CE279" s="1170"/>
      <c r="CF279" s="1170"/>
      <c r="CG279" s="1170"/>
      <c r="CH279" s="1170"/>
      <c r="CI279" s="1170"/>
      <c r="CJ279" s="1170"/>
      <c r="CK279" s="1170"/>
      <c r="CL279" s="1170"/>
      <c r="CM279" s="1170"/>
      <c r="CN279" s="1200" t="s">
        <v>1021</v>
      </c>
      <c r="CO279" s="1199" t="s">
        <v>1022</v>
      </c>
      <c r="CP279" s="1290">
        <f>DD304</f>
        <v>53.516328811645508</v>
      </c>
      <c r="CQ279" s="1160"/>
      <c r="CR279" s="1160"/>
      <c r="CS279" s="1160"/>
      <c r="CT279" s="1160"/>
      <c r="CU279" s="1160"/>
      <c r="CV279" s="1160"/>
      <c r="CW279" s="1160"/>
      <c r="CX279" s="1160"/>
      <c r="CY279" s="1160"/>
      <c r="CZ279" s="1171"/>
      <c r="DA279" s="1160"/>
      <c r="DB279" s="1229" t="s">
        <v>779</v>
      </c>
      <c r="DC279" s="1160"/>
      <c r="DD279" s="1170">
        <f t="shared" ref="DD279:DD284" ca="1" si="5">AL251</f>
        <v>0</v>
      </c>
      <c r="DE279" s="1171" t="s">
        <v>541</v>
      </c>
      <c r="DF279" s="1160"/>
      <c r="DG279" s="1160">
        <f ca="1">(AE186+AH147)*$DG$280</f>
        <v>0</v>
      </c>
      <c r="DH279" s="1160"/>
      <c r="DI279" s="1160"/>
      <c r="DJ279" s="1160"/>
      <c r="DK279" s="1160"/>
      <c r="DL279" s="1160"/>
      <c r="DM279" s="1171"/>
      <c r="DN279" s="1160"/>
      <c r="DO279" s="1160"/>
      <c r="DP279" s="1160"/>
      <c r="DQ279" s="1160"/>
      <c r="DR279" s="1160"/>
      <c r="DS279" s="1160"/>
      <c r="DT279" s="1160"/>
      <c r="DU279" s="1160"/>
      <c r="DV279" s="1160"/>
      <c r="DW279" s="1160"/>
      <c r="DX279" s="1160"/>
      <c r="DY279" s="1160"/>
      <c r="DZ279" s="1160"/>
      <c r="EA279" s="1160"/>
      <c r="EB279" s="1160"/>
      <c r="EC279" s="1160"/>
    </row>
    <row r="280" spans="1:133" x14ac:dyDescent="0.2">
      <c r="A280" s="1160"/>
      <c r="B280" s="1160"/>
      <c r="C280" s="1160"/>
      <c r="D280" s="1160"/>
      <c r="E280" s="1170"/>
      <c r="F280" s="1170"/>
      <c r="G280" s="1170"/>
      <c r="H280" s="1170"/>
      <c r="I280" s="1170"/>
      <c r="J280" s="1170"/>
      <c r="K280" s="1170"/>
      <c r="L280" s="1170"/>
      <c r="M280" s="1170"/>
      <c r="N280" s="1170"/>
      <c r="O280" s="1170"/>
      <c r="P280" s="1170"/>
      <c r="Q280" s="1170"/>
      <c r="R280" s="1170"/>
      <c r="S280" s="1170"/>
      <c r="T280" s="1170"/>
      <c r="U280" s="1170"/>
      <c r="V280" s="1170"/>
      <c r="W280" s="1170"/>
      <c r="X280" s="1170"/>
      <c r="Y280" s="1170"/>
      <c r="Z280" s="1170"/>
      <c r="AA280" s="1170"/>
      <c r="AB280" s="1170"/>
      <c r="AC280" s="1170"/>
      <c r="AD280" s="1170"/>
      <c r="AE280" s="1170"/>
      <c r="AF280" s="1170"/>
      <c r="AG280" s="1170"/>
      <c r="AH280" s="1170"/>
      <c r="AI280" s="1170"/>
      <c r="AJ280" s="1170"/>
      <c r="AK280" s="1170"/>
      <c r="AL280" s="1170"/>
      <c r="AM280" s="1170"/>
      <c r="AN280" s="1170"/>
      <c r="AO280" s="1170"/>
      <c r="AP280" s="1170"/>
      <c r="AQ280" s="1170"/>
      <c r="AR280" s="1170"/>
      <c r="AS280" s="1170"/>
      <c r="AT280" s="1170"/>
      <c r="AU280" s="1170"/>
      <c r="AV280" s="1170"/>
      <c r="AW280" s="1170"/>
      <c r="AX280" s="1170"/>
      <c r="AY280" s="1170"/>
      <c r="AZ280" s="1170"/>
      <c r="BA280" s="1170"/>
      <c r="BB280" s="1170"/>
      <c r="BC280" s="1170"/>
      <c r="BD280" s="1170"/>
      <c r="BE280" s="1170"/>
      <c r="BF280" s="1170"/>
      <c r="BG280" s="1170"/>
      <c r="BH280" s="1170"/>
      <c r="BI280" s="1170"/>
      <c r="BJ280" s="1186" t="s">
        <v>1698</v>
      </c>
      <c r="BK280" s="1199" t="s">
        <v>447</v>
      </c>
      <c r="BL280" s="1199">
        <f ca="1">('Energy &amp; Unit Conversions'!$D$63-('Energy &amp; Unit Conversions'!$E$63*POWER((BL277/'Energy &amp; Unit Conversions'!$E$54),2)))</f>
        <v>39.409784992375862</v>
      </c>
      <c r="BM280" s="1170"/>
      <c r="BN280" s="1170"/>
      <c r="BO280" s="1170"/>
      <c r="BP280" s="1170"/>
      <c r="BQ280" s="1200" t="s">
        <v>1021</v>
      </c>
      <c r="BR280" s="1199" t="s">
        <v>1022</v>
      </c>
      <c r="BS280" s="1290">
        <f>BL281</f>
        <v>85.085002899169922</v>
      </c>
      <c r="BT280" s="1170"/>
      <c r="BU280" s="1170"/>
      <c r="BV280" s="1170"/>
      <c r="BW280" s="1170"/>
      <c r="BX280" s="1170"/>
      <c r="BY280" s="1170"/>
      <c r="BZ280" s="1170"/>
      <c r="CA280" s="1170"/>
      <c r="CB280" s="1170"/>
      <c r="CC280" s="1170"/>
      <c r="CD280" s="1170"/>
      <c r="CE280" s="1170"/>
      <c r="CF280" s="1170"/>
      <c r="CG280" s="1170"/>
      <c r="CH280" s="1170"/>
      <c r="CI280" s="1170"/>
      <c r="CJ280" s="1170"/>
      <c r="CK280" s="1170"/>
      <c r="CL280" s="1170"/>
      <c r="CM280" s="1170"/>
      <c r="CN280" s="1204" t="s">
        <v>1054</v>
      </c>
      <c r="CO280" s="1204" t="str">
        <f>IF(allocationMethod=1,CokingRefineryPFD!$C$21,IF(allocationMethod=2,CokingRefineryPFD!$C$22,IF(allocationMethod=3,CokingRefineryPFD!$C$23,CokingRefineryPFD!$C$24)))</f>
        <v>Hydrogen Content Basis</v>
      </c>
      <c r="CP280" s="1250">
        <f ca="1">IF(allocationMethod=1,CP272,IF(allocationMethod=2,CP278*CP272,IF(allocationMethod=3,CP279*CP270,CP276*CP272/100)))</f>
        <v>3.1238765411400711E-16</v>
      </c>
      <c r="CQ280" s="1160"/>
      <c r="CR280" s="1160"/>
      <c r="CS280" s="1160"/>
      <c r="CT280" s="1160"/>
      <c r="CU280" s="1160"/>
      <c r="CV280" s="1160"/>
      <c r="CW280" s="1160"/>
      <c r="CX280" s="1160"/>
      <c r="CY280" s="1160"/>
      <c r="CZ280" s="1171"/>
      <c r="DA280" s="1160"/>
      <c r="DB280" s="1229" t="s">
        <v>580</v>
      </c>
      <c r="DC280" s="1160" t="s">
        <v>581</v>
      </c>
      <c r="DD280" s="1170">
        <f ca="1">HydroRefineryCalcs!D1530</f>
        <v>1055.1979728481299</v>
      </c>
      <c r="DE280" s="1171" t="s">
        <v>1065</v>
      </c>
      <c r="DF280" s="1160"/>
      <c r="DG280" s="1160">
        <f ca="1">IF((AM145+AM182+AL257)=0,0,DD285/(AM145+AM182+AL257+DD285+AN300))</f>
        <v>0</v>
      </c>
      <c r="DH280" s="1160"/>
      <c r="DI280" s="1160"/>
      <c r="DJ280" s="1160"/>
      <c r="DK280" s="1160"/>
      <c r="DL280" s="1160"/>
      <c r="DM280" s="1171"/>
      <c r="DN280" s="1160"/>
      <c r="DO280" s="1160"/>
      <c r="DP280" s="1160"/>
      <c r="DQ280" s="1160"/>
      <c r="DR280" s="1160"/>
      <c r="DS280" s="1160"/>
      <c r="DT280" s="1160"/>
      <c r="DU280" s="1160"/>
      <c r="DV280" s="1160"/>
      <c r="DW280" s="1160"/>
      <c r="DX280" s="1160"/>
      <c r="DY280" s="1160"/>
      <c r="DZ280" s="1160"/>
      <c r="EA280" s="1160"/>
      <c r="EB280" s="1160"/>
      <c r="EC280" s="1160"/>
    </row>
    <row r="281" spans="1:133" x14ac:dyDescent="0.2">
      <c r="A281" s="1160"/>
      <c r="B281" s="1160"/>
      <c r="C281" s="1160"/>
      <c r="D281" s="1160"/>
      <c r="E281" s="1170"/>
      <c r="F281" s="1170"/>
      <c r="G281" s="1170"/>
      <c r="H281" s="1170"/>
      <c r="I281" s="1170"/>
      <c r="J281" s="1170"/>
      <c r="K281" s="1170"/>
      <c r="L281" s="1170"/>
      <c r="M281" s="1170"/>
      <c r="N281" s="1170"/>
      <c r="O281" s="1170"/>
      <c r="P281" s="1170"/>
      <c r="Q281" s="1170"/>
      <c r="R281" s="1170"/>
      <c r="S281" s="1170"/>
      <c r="T281" s="1170"/>
      <c r="U281" s="1170"/>
      <c r="V281" s="1170"/>
      <c r="W281" s="1170"/>
      <c r="X281" s="1170"/>
      <c r="Y281" s="1170"/>
      <c r="Z281" s="1170"/>
      <c r="AA281" s="1170"/>
      <c r="AB281" s="1170"/>
      <c r="AC281" s="1170"/>
      <c r="AD281" s="1170"/>
      <c r="AE281" s="1170"/>
      <c r="AF281" s="1170"/>
      <c r="AG281" s="1170"/>
      <c r="AH281" s="1170"/>
      <c r="AI281" s="1170"/>
      <c r="AJ281" s="1170"/>
      <c r="AK281" s="1170"/>
      <c r="AL281" s="1170"/>
      <c r="AM281" s="1170"/>
      <c r="AN281" s="1170"/>
      <c r="AO281" s="1170"/>
      <c r="AP281" s="1170"/>
      <c r="AQ281" s="1170"/>
      <c r="AR281" s="1170"/>
      <c r="AS281" s="1170"/>
      <c r="AT281" s="1170"/>
      <c r="AU281" s="1170"/>
      <c r="AV281" s="1170"/>
      <c r="AW281" s="1170"/>
      <c r="AX281" s="1170"/>
      <c r="AY281" s="1170"/>
      <c r="AZ281" s="1170"/>
      <c r="BA281" s="1170"/>
      <c r="BB281" s="1170"/>
      <c r="BC281" s="1170"/>
      <c r="BD281" s="1170"/>
      <c r="BE281" s="1170"/>
      <c r="BF281" s="1170"/>
      <c r="BG281" s="1170"/>
      <c r="BH281" s="1170"/>
      <c r="BI281" s="1170"/>
      <c r="BJ281" s="1200" t="s">
        <v>1021</v>
      </c>
      <c r="BK281" s="1199" t="s">
        <v>1022</v>
      </c>
      <c r="BL281" s="1290">
        <f>AU197</f>
        <v>85.085002899169922</v>
      </c>
      <c r="BM281" s="1170"/>
      <c r="BN281" s="1170"/>
      <c r="BO281" s="1170"/>
      <c r="BP281" s="1170"/>
      <c r="BQ281" s="1204" t="s">
        <v>1054</v>
      </c>
      <c r="BR281" s="1204" t="str">
        <f>IF(allocationMethod=1,CokingRefineryPFD!$C$21,IF(allocationMethod=2,CokingRefineryPFD!$C$22,IF(allocationMethod=3,CokingRefineryPFD!$C$23,CokingRefineryPFD!$C$24)))</f>
        <v>Hydrogen Content Basis</v>
      </c>
      <c r="BS281" s="1250">
        <f ca="1">IF(allocationMethod=1,BS273,IF(allocationMethod=2,BS279*BS273,IF(allocationMethod=3,BS280*BS271,BS277*BS273/100)))</f>
        <v>2.7929999999978713E-16</v>
      </c>
      <c r="BT281" s="1170"/>
      <c r="BU281" s="1170"/>
      <c r="BV281" s="1170"/>
      <c r="BW281" s="1170"/>
      <c r="BX281" s="1170"/>
      <c r="BY281" s="1170"/>
      <c r="BZ281" s="1170"/>
      <c r="CA281" s="1170"/>
      <c r="CB281" s="1170"/>
      <c r="CC281" s="1170"/>
      <c r="CD281" s="1170"/>
      <c r="CE281" s="1170"/>
      <c r="CF281" s="1170"/>
      <c r="CG281" s="1170"/>
      <c r="CH281" s="1170"/>
      <c r="CI281" s="1170"/>
      <c r="CJ281" s="1170"/>
      <c r="CK281" s="1170"/>
      <c r="CL281" s="1170"/>
      <c r="CM281" s="1170"/>
      <c r="CN281" s="1170"/>
      <c r="CO281" s="1170"/>
      <c r="CP281" s="1160"/>
      <c r="CQ281" s="1160"/>
      <c r="CR281" s="1160"/>
      <c r="CS281" s="1160"/>
      <c r="CT281" s="1160"/>
      <c r="CU281" s="1160"/>
      <c r="CV281" s="1160"/>
      <c r="CW281" s="1160"/>
      <c r="CX281" s="1160"/>
      <c r="CY281" s="1160"/>
      <c r="CZ281" s="1171"/>
      <c r="DA281" s="1160"/>
      <c r="DB281" s="1229" t="s">
        <v>541</v>
      </c>
      <c r="DC281" s="1160" t="s">
        <v>579</v>
      </c>
      <c r="DD281" s="1170">
        <f t="shared" ca="1" si="5"/>
        <v>0</v>
      </c>
      <c r="DE281" s="1171"/>
      <c r="DF281" s="1160"/>
      <c r="DG281" s="1160"/>
      <c r="DH281" s="1160"/>
      <c r="DI281" s="1160"/>
      <c r="DJ281" s="1160"/>
      <c r="DK281" s="1160"/>
      <c r="DL281" s="1160"/>
      <c r="DM281" s="1171"/>
      <c r="DN281" s="1160"/>
      <c r="DO281" s="1160"/>
      <c r="DP281" s="1160"/>
      <c r="DQ281" s="1160"/>
      <c r="DR281" s="1160"/>
      <c r="DS281" s="1160"/>
      <c r="DT281" s="1160"/>
      <c r="DU281" s="1160"/>
      <c r="DV281" s="1160"/>
      <c r="DW281" s="1160"/>
      <c r="DX281" s="1160"/>
      <c r="DY281" s="1160"/>
      <c r="DZ281" s="1160"/>
      <c r="EA281" s="1160"/>
      <c r="EB281" s="1160"/>
      <c r="EC281" s="1160"/>
    </row>
    <row r="282" spans="1:133" x14ac:dyDescent="0.2">
      <c r="A282" s="1160"/>
      <c r="B282" s="1160"/>
      <c r="C282" s="1160"/>
      <c r="D282" s="1160"/>
      <c r="E282" s="1170"/>
      <c r="F282" s="1170"/>
      <c r="G282" s="1170"/>
      <c r="H282" s="1170"/>
      <c r="I282" s="1170"/>
      <c r="J282" s="1170"/>
      <c r="K282" s="1170"/>
      <c r="L282" s="1170"/>
      <c r="M282" s="1170"/>
      <c r="N282" s="1170"/>
      <c r="O282" s="1170"/>
      <c r="P282" s="1170"/>
      <c r="Q282" s="1170"/>
      <c r="R282" s="1170"/>
      <c r="S282" s="1170"/>
      <c r="T282" s="1170"/>
      <c r="U282" s="1170"/>
      <c r="V282" s="1170"/>
      <c r="W282" s="1170"/>
      <c r="X282" s="1170"/>
      <c r="Y282" s="1170"/>
      <c r="Z282" s="1170"/>
      <c r="AA282" s="1170"/>
      <c r="AB282" s="1170"/>
      <c r="AC282" s="1170"/>
      <c r="AD282" s="1170"/>
      <c r="AE282" s="1170"/>
      <c r="AF282" s="1170"/>
      <c r="AG282" s="1170"/>
      <c r="AH282" s="1170"/>
      <c r="AI282" s="1170"/>
      <c r="AJ282" s="1170"/>
      <c r="AK282" s="1170"/>
      <c r="AL282" s="1170"/>
      <c r="AM282" s="1170"/>
      <c r="AN282" s="1170"/>
      <c r="AO282" s="1170"/>
      <c r="AP282" s="1170"/>
      <c r="AQ282" s="1170"/>
      <c r="AR282" s="1170"/>
      <c r="AS282" s="1170"/>
      <c r="AT282" s="1170"/>
      <c r="AU282" s="1170"/>
      <c r="AV282" s="1170"/>
      <c r="AW282" s="1170"/>
      <c r="AX282" s="1170"/>
      <c r="AY282" s="1170"/>
      <c r="AZ282" s="1170"/>
      <c r="BA282" s="1170"/>
      <c r="BB282" s="1170"/>
      <c r="BC282" s="1170"/>
      <c r="BD282" s="1170"/>
      <c r="BE282" s="1170"/>
      <c r="BF282" s="1170"/>
      <c r="BG282" s="1170"/>
      <c r="BH282" s="1170"/>
      <c r="BI282" s="1170"/>
      <c r="BJ282" s="1204" t="s">
        <v>1054</v>
      </c>
      <c r="BK282" s="1204" t="str">
        <f>IF(allocationMethod=1,CokingRefineryPFD!$C$21,IF(allocationMethod=2,CokingRefineryPFD!$C$22,IF(allocationMethod=3,CokingRefineryPFD!$C$23,CokingRefineryPFD!$C$24)))</f>
        <v>Hydrogen Content Basis</v>
      </c>
      <c r="BL282" s="1250">
        <f ca="1">IF(allocationMethod=1,BL274,IF(allocationMethod=2,BL280*BL274,IF(allocationMethod=3,BL281*BL272,BL278*BL274/100)))</f>
        <v>2.7930000000006639E-16</v>
      </c>
      <c r="BM282" s="1170"/>
      <c r="BN282" s="1170"/>
      <c r="BO282" s="1170"/>
      <c r="BP282" s="1170"/>
      <c r="BQ282" s="1170"/>
      <c r="BR282" s="1170"/>
      <c r="BS282" s="1170"/>
      <c r="BT282" s="1170"/>
      <c r="BU282" s="1170"/>
      <c r="BV282" s="1170"/>
      <c r="BW282" s="1170"/>
      <c r="BX282" s="1170"/>
      <c r="BY282" s="1170"/>
      <c r="BZ282" s="1170"/>
      <c r="CA282" s="1170"/>
      <c r="CB282" s="1170"/>
      <c r="CC282" s="1170"/>
      <c r="CD282" s="1170"/>
      <c r="CE282" s="1170"/>
      <c r="CF282" s="1170"/>
      <c r="CG282" s="1170"/>
      <c r="CH282" s="1170"/>
      <c r="CI282" s="1170"/>
      <c r="CJ282" s="1170"/>
      <c r="CK282" s="1170"/>
      <c r="CL282" s="1170"/>
      <c r="CM282" s="1184"/>
      <c r="CN282" s="1170"/>
      <c r="CO282" s="1170"/>
      <c r="CP282" s="1160"/>
      <c r="CQ282" s="1160"/>
      <c r="CR282" s="1160"/>
      <c r="CS282" s="1160"/>
      <c r="CT282" s="1160"/>
      <c r="CU282" s="1160"/>
      <c r="CV282" s="1160"/>
      <c r="CW282" s="1160"/>
      <c r="CX282" s="1160"/>
      <c r="CY282" s="1160"/>
      <c r="CZ282" s="1171"/>
      <c r="DA282" s="1160"/>
      <c r="DB282" s="1229" t="s">
        <v>544</v>
      </c>
      <c r="DC282" s="1160" t="s">
        <v>579</v>
      </c>
      <c r="DD282" s="1170">
        <f ca="1">AL254</f>
        <v>10.823381666475589</v>
      </c>
      <c r="DE282" s="1171"/>
      <c r="DF282" s="1160"/>
      <c r="DG282" s="1160"/>
      <c r="DH282" s="1160"/>
      <c r="DI282" s="1160"/>
      <c r="DJ282" s="1160"/>
      <c r="DK282" s="1160"/>
      <c r="DL282" s="1160"/>
      <c r="DM282" s="1171"/>
      <c r="DN282" s="1160"/>
      <c r="DO282" s="1160"/>
      <c r="DP282" s="1160"/>
      <c r="DQ282" s="1160"/>
      <c r="DR282" s="1160"/>
      <c r="DS282" s="1160"/>
      <c r="DT282" s="1160"/>
      <c r="DU282" s="1160"/>
      <c r="DV282" s="1160"/>
      <c r="DW282" s="1160"/>
      <c r="DX282" s="1160"/>
      <c r="DY282" s="1160"/>
      <c r="DZ282" s="1160"/>
      <c r="EA282" s="1160"/>
      <c r="EB282" s="1160"/>
      <c r="EC282" s="1160"/>
    </row>
    <row r="283" spans="1:133" x14ac:dyDescent="0.2">
      <c r="A283" s="1160"/>
      <c r="B283" s="1160"/>
      <c r="C283" s="1160"/>
      <c r="D283" s="1160"/>
      <c r="E283" s="1170"/>
      <c r="F283" s="1170"/>
      <c r="G283" s="1170"/>
      <c r="H283" s="1170"/>
      <c r="I283" s="1170"/>
      <c r="J283" s="1170"/>
      <c r="K283" s="1170"/>
      <c r="L283" s="1170"/>
      <c r="M283" s="1170"/>
      <c r="N283" s="1170"/>
      <c r="O283" s="1170"/>
      <c r="P283" s="1170"/>
      <c r="Q283" s="1170"/>
      <c r="R283" s="1170"/>
      <c r="S283" s="1170"/>
      <c r="T283" s="1170"/>
      <c r="U283" s="1170"/>
      <c r="V283" s="1170"/>
      <c r="W283" s="1170"/>
      <c r="X283" s="1170"/>
      <c r="Y283" s="1170"/>
      <c r="Z283" s="1170"/>
      <c r="AA283" s="1170"/>
      <c r="AB283" s="1170"/>
      <c r="AC283" s="1170"/>
      <c r="AD283" s="1170"/>
      <c r="AE283" s="1170"/>
      <c r="AF283" s="1170"/>
      <c r="AG283" s="1170"/>
      <c r="AH283" s="1170"/>
      <c r="AI283" s="1170"/>
      <c r="AJ283" s="1170"/>
      <c r="AK283" s="1170"/>
      <c r="AL283" s="1170"/>
      <c r="AM283" s="1170"/>
      <c r="AN283" s="1170"/>
      <c r="AO283" s="1170"/>
      <c r="AP283" s="1170"/>
      <c r="AQ283" s="1170"/>
      <c r="AR283" s="1170"/>
      <c r="AS283" s="1170"/>
      <c r="AT283" s="1170"/>
      <c r="AU283" s="1170"/>
      <c r="AV283" s="1170"/>
      <c r="AW283" s="1170"/>
      <c r="AX283" s="1170"/>
      <c r="AY283" s="1170"/>
      <c r="AZ283" s="1170"/>
      <c r="BA283" s="1170"/>
      <c r="BB283" s="1170"/>
      <c r="BC283" s="1170"/>
      <c r="BD283" s="1170"/>
      <c r="BE283" s="1170"/>
      <c r="BF283" s="1170"/>
      <c r="BG283" s="1170"/>
      <c r="BH283" s="1170"/>
      <c r="BI283" s="1170"/>
      <c r="BJ283" s="1180" t="str">
        <f>BJ270</f>
        <v>Residue HC Gas Oil</v>
      </c>
      <c r="BK283" s="1170"/>
      <c r="BL283" s="1170"/>
      <c r="BM283" s="1170"/>
      <c r="BN283" s="1170"/>
      <c r="BO283" s="1170"/>
      <c r="BP283" s="1170"/>
      <c r="BQ283" s="1180" t="str">
        <f>BQ269</f>
        <v>HC Gas Oil to FCC</v>
      </c>
      <c r="BR283" s="1170"/>
      <c r="BS283" s="1170"/>
      <c r="BT283" s="1170"/>
      <c r="BU283" s="1170"/>
      <c r="BV283" s="1170"/>
      <c r="BW283" s="1170"/>
      <c r="BX283" s="1170"/>
      <c r="BY283" s="1170"/>
      <c r="BZ283" s="1170"/>
      <c r="CA283" s="1170"/>
      <c r="CB283" s="1170"/>
      <c r="CC283" s="1170"/>
      <c r="CD283" s="1170"/>
      <c r="CE283" s="1170"/>
      <c r="CF283" s="1170"/>
      <c r="CG283" s="1170"/>
      <c r="CH283" s="1170"/>
      <c r="CI283" s="1170"/>
      <c r="CJ283" s="1170"/>
      <c r="CK283" s="1170"/>
      <c r="CL283" s="1170"/>
      <c r="CM283" s="1170"/>
      <c r="CN283" s="1170"/>
      <c r="CO283" s="1170"/>
      <c r="CP283" s="1160"/>
      <c r="CQ283" s="1160"/>
      <c r="CR283" s="1160"/>
      <c r="CS283" s="1160"/>
      <c r="CT283" s="1160"/>
      <c r="CU283" s="1160"/>
      <c r="CV283" s="1160"/>
      <c r="CW283" s="1160"/>
      <c r="CX283" s="1160"/>
      <c r="CY283" s="1160"/>
      <c r="CZ283" s="1171"/>
      <c r="DA283" s="1160"/>
      <c r="DB283" s="1229" t="s">
        <v>1056</v>
      </c>
      <c r="DC283" s="1160" t="s">
        <v>447</v>
      </c>
      <c r="DD283" s="1170">
        <f t="shared" ca="1" si="5"/>
        <v>46.693440000000002</v>
      </c>
      <c r="DE283" s="1171"/>
      <c r="DF283" s="1160"/>
      <c r="DG283" s="1160"/>
      <c r="DH283" s="1160"/>
      <c r="DI283" s="1160"/>
      <c r="DJ283" s="1160"/>
      <c r="DK283" s="1160"/>
      <c r="DL283" s="1160"/>
      <c r="DM283" s="1171"/>
      <c r="DN283" s="1160"/>
      <c r="DO283" s="1160"/>
      <c r="DP283" s="1160"/>
      <c r="DQ283" s="1160"/>
      <c r="DR283" s="1160"/>
      <c r="DS283" s="1160"/>
      <c r="DT283" s="1160"/>
      <c r="DU283" s="1160"/>
      <c r="DV283" s="1160"/>
      <c r="DW283" s="1160"/>
      <c r="DX283" s="1160"/>
      <c r="DY283" s="1160"/>
      <c r="DZ283" s="1160"/>
      <c r="EA283" s="1160"/>
      <c r="EB283" s="1160"/>
      <c r="EC283" s="1160"/>
    </row>
    <row r="284" spans="1:133" x14ac:dyDescent="0.2">
      <c r="A284" s="1160"/>
      <c r="B284" s="1160"/>
      <c r="C284" s="1160"/>
      <c r="D284" s="1160"/>
      <c r="E284" s="1170"/>
      <c r="F284" s="1170"/>
      <c r="G284" s="1170"/>
      <c r="H284" s="1170"/>
      <c r="I284" s="1170"/>
      <c r="J284" s="1170"/>
      <c r="K284" s="1170"/>
      <c r="L284" s="1170"/>
      <c r="M284" s="1170"/>
      <c r="N284" s="1170"/>
      <c r="O284" s="1170"/>
      <c r="P284" s="1170"/>
      <c r="Q284" s="1170"/>
      <c r="R284" s="1170"/>
      <c r="S284" s="1170"/>
      <c r="T284" s="1170"/>
      <c r="U284" s="1170"/>
      <c r="V284" s="1170"/>
      <c r="W284" s="1170"/>
      <c r="X284" s="1170"/>
      <c r="Y284" s="1170"/>
      <c r="Z284" s="1170"/>
      <c r="AA284" s="1170"/>
      <c r="AB284" s="1170"/>
      <c r="AC284" s="1170"/>
      <c r="AD284" s="1170"/>
      <c r="AE284" s="1170"/>
      <c r="AF284" s="1170"/>
      <c r="AG284" s="1170"/>
      <c r="AH284" s="1170"/>
      <c r="AI284" s="1170"/>
      <c r="AJ284" s="1170"/>
      <c r="AK284" s="1170"/>
      <c r="AL284" s="1170"/>
      <c r="AM284" s="1170"/>
      <c r="AN284" s="1170"/>
      <c r="AO284" s="1170"/>
      <c r="AP284" s="1170"/>
      <c r="AQ284" s="1170"/>
      <c r="AR284" s="1170"/>
      <c r="AS284" s="1170"/>
      <c r="AT284" s="1170"/>
      <c r="AU284" s="1170"/>
      <c r="AV284" s="1170"/>
      <c r="AW284" s="1170"/>
      <c r="AX284" s="1170"/>
      <c r="AY284" s="1170"/>
      <c r="AZ284" s="1170"/>
      <c r="BA284" s="1170"/>
      <c r="BB284" s="1170"/>
      <c r="BC284" s="1170"/>
      <c r="BD284" s="1170"/>
      <c r="BE284" s="1170"/>
      <c r="BF284" s="1170"/>
      <c r="BG284" s="1170"/>
      <c r="BH284" s="1170"/>
      <c r="BI284" s="1170"/>
      <c r="BJ284" s="1183" t="s">
        <v>226</v>
      </c>
      <c r="BK284" s="1170"/>
      <c r="BL284" s="1184" t="s">
        <v>522</v>
      </c>
      <c r="BM284" s="1170"/>
      <c r="BN284" s="1170"/>
      <c r="BO284" s="1170"/>
      <c r="BP284" s="1170"/>
      <c r="BQ284" s="1183" t="s">
        <v>226</v>
      </c>
      <c r="BR284" s="1170"/>
      <c r="BS284" s="1184" t="s">
        <v>522</v>
      </c>
      <c r="BT284" s="1170"/>
      <c r="BU284" s="1170"/>
      <c r="BV284" s="1170"/>
      <c r="BW284" s="1170"/>
      <c r="BX284" s="1170"/>
      <c r="BY284" s="1170"/>
      <c r="BZ284" s="1170"/>
      <c r="CA284" s="1170"/>
      <c r="CB284" s="1170"/>
      <c r="CC284" s="1170"/>
      <c r="CD284" s="1170"/>
      <c r="CE284" s="1170"/>
      <c r="CF284" s="1170"/>
      <c r="CG284" s="1170"/>
      <c r="CH284" s="1170"/>
      <c r="CI284" s="1170"/>
      <c r="CJ284" s="1170"/>
      <c r="CK284" s="1170"/>
      <c r="CL284" s="1170"/>
      <c r="CM284" s="1170"/>
      <c r="CN284" s="1170"/>
      <c r="CO284" s="1170"/>
      <c r="CP284" s="1160"/>
      <c r="CQ284" s="1160"/>
      <c r="CR284" s="1160"/>
      <c r="CS284" s="1160"/>
      <c r="CT284" s="1160"/>
      <c r="CU284" s="1160"/>
      <c r="CV284" s="1160"/>
      <c r="CW284" s="1160"/>
      <c r="CX284" s="1160"/>
      <c r="CY284" s="1160"/>
      <c r="CZ284" s="1171"/>
      <c r="DA284" s="1160"/>
      <c r="DB284" s="1229" t="s">
        <v>1021</v>
      </c>
      <c r="DC284" s="1160" t="s">
        <v>1022</v>
      </c>
      <c r="DD284" s="1170">
        <f t="shared" si="5"/>
        <v>65.005823135375977</v>
      </c>
      <c r="DE284" s="1171"/>
      <c r="DF284" s="1160"/>
      <c r="DG284" s="1160"/>
      <c r="DH284" s="1160"/>
      <c r="DI284" s="1160"/>
      <c r="DJ284" s="1160"/>
      <c r="DK284" s="1160"/>
      <c r="DL284" s="1160"/>
      <c r="DM284" s="1171"/>
      <c r="DN284" s="1160"/>
      <c r="DO284" s="1160"/>
      <c r="DP284" s="1160"/>
      <c r="DQ284" s="1160"/>
      <c r="DR284" s="1160"/>
      <c r="DS284" s="1160"/>
      <c r="DT284" s="1160"/>
      <c r="DU284" s="1160"/>
      <c r="DV284" s="1160"/>
      <c r="DW284" s="1160"/>
      <c r="DX284" s="1160"/>
      <c r="DY284" s="1160"/>
      <c r="DZ284" s="1160"/>
      <c r="EA284" s="1160"/>
      <c r="EB284" s="1160"/>
      <c r="EC284" s="1160"/>
    </row>
    <row r="285" spans="1:133" x14ac:dyDescent="0.2">
      <c r="A285" s="1160"/>
      <c r="B285" s="1160"/>
      <c r="C285" s="1160"/>
      <c r="D285" s="1160"/>
      <c r="E285" s="1170"/>
      <c r="F285" s="1170"/>
      <c r="G285" s="1170"/>
      <c r="H285" s="1170"/>
      <c r="I285" s="1170"/>
      <c r="J285" s="1170"/>
      <c r="K285" s="1170"/>
      <c r="L285" s="1170"/>
      <c r="M285" s="1170"/>
      <c r="N285" s="1170"/>
      <c r="O285" s="1170"/>
      <c r="P285" s="1170"/>
      <c r="Q285" s="1170"/>
      <c r="R285" s="1170"/>
      <c r="S285" s="1170"/>
      <c r="T285" s="1170"/>
      <c r="U285" s="1170"/>
      <c r="V285" s="1170"/>
      <c r="W285" s="1170"/>
      <c r="X285" s="1170"/>
      <c r="Y285" s="1170"/>
      <c r="Z285" s="1170"/>
      <c r="AA285" s="1170"/>
      <c r="AB285" s="1170"/>
      <c r="AC285" s="1170"/>
      <c r="AD285" s="1170"/>
      <c r="AE285" s="1170"/>
      <c r="AF285" s="1170"/>
      <c r="AG285" s="1170"/>
      <c r="AH285" s="1170"/>
      <c r="AI285" s="1170"/>
      <c r="AJ285" s="1170"/>
      <c r="AK285" s="1170"/>
      <c r="AL285" s="1170"/>
      <c r="AM285" s="1170"/>
      <c r="AN285" s="1170"/>
      <c r="AO285" s="1170"/>
      <c r="AP285" s="1170"/>
      <c r="AQ285" s="1170"/>
      <c r="AR285" s="1170"/>
      <c r="AS285" s="1170"/>
      <c r="AT285" s="1170"/>
      <c r="AU285" s="1170"/>
      <c r="AV285" s="1170"/>
      <c r="AW285" s="1170"/>
      <c r="AX285" s="1170"/>
      <c r="AY285" s="1170"/>
      <c r="AZ285" s="1170"/>
      <c r="BA285" s="1170"/>
      <c r="BB285" s="1170"/>
      <c r="BC285" s="1170"/>
      <c r="BD285" s="1170"/>
      <c r="BE285" s="1170"/>
      <c r="BF285" s="1170"/>
      <c r="BG285" s="1170"/>
      <c r="BH285" s="1170"/>
      <c r="BI285" s="1170"/>
      <c r="BJ285" s="1170" t="s">
        <v>263</v>
      </c>
      <c r="BK285" s="1170"/>
      <c r="BL285" s="1170">
        <f ca="1">BB256*BL290</f>
        <v>0</v>
      </c>
      <c r="BM285" s="1170"/>
      <c r="BN285" s="1170"/>
      <c r="BO285" s="1170"/>
      <c r="BP285" s="1170"/>
      <c r="BQ285" s="1170" t="s">
        <v>263</v>
      </c>
      <c r="BR285" s="1170"/>
      <c r="BS285" s="1170">
        <f ca="1">BL285*$BS$290</f>
        <v>0</v>
      </c>
      <c r="BT285" s="1170"/>
      <c r="BU285" s="1170"/>
      <c r="BV285" s="1170"/>
      <c r="BW285" s="1170"/>
      <c r="BX285" s="1170"/>
      <c r="BY285" s="1170"/>
      <c r="BZ285" s="1170"/>
      <c r="CA285" s="1170"/>
      <c r="CB285" s="1170"/>
      <c r="CC285" s="1170"/>
      <c r="CD285" s="1170"/>
      <c r="CE285" s="1170"/>
      <c r="CF285" s="1170"/>
      <c r="CG285" s="1170"/>
      <c r="CH285" s="1170"/>
      <c r="CI285" s="1170"/>
      <c r="CJ285" s="1170"/>
      <c r="CK285" s="1170"/>
      <c r="CL285" s="1170"/>
      <c r="CM285" s="1170"/>
      <c r="CN285" s="1170"/>
      <c r="CO285" s="1170"/>
      <c r="CP285" s="1160"/>
      <c r="CQ285" s="1160"/>
      <c r="CR285" s="1160"/>
      <c r="CS285" s="1160"/>
      <c r="CT285" s="1160"/>
      <c r="CU285" s="1160"/>
      <c r="CV285" s="1160"/>
      <c r="CW285" s="1160"/>
      <c r="CX285" s="1160"/>
      <c r="CY285" s="1160"/>
      <c r="CZ285" s="1171"/>
      <c r="DA285" s="1160"/>
      <c r="DB285" s="1204" t="s">
        <v>1054</v>
      </c>
      <c r="DC285" s="1204" t="str">
        <f>IF(allocationMethod=1,CokingRefineryPFD!$C$21,IF(CokingRefineryPFD!$E$20,CokingRefineryPFD!$C$22,IF(CokingRefineryPFD!$E$20,CokingRefineryPFD!$C$23,CokingRefineryPFD!$C$24)))</f>
        <v>Energy Basis</v>
      </c>
      <c r="DD285" s="1250">
        <f>IF(E31=FALSE, 0, IF(allocationMethod=1,DD277,IF(allocationMethod=2,DD283*DD277,IF(allocationMethod=3,DD284*DD275,DD281*DD277/100))))</f>
        <v>0</v>
      </c>
      <c r="DE285" s="1171"/>
      <c r="DF285" s="1160"/>
      <c r="DG285" s="1160"/>
      <c r="DH285" s="1160"/>
      <c r="DI285" s="1160"/>
      <c r="DJ285" s="1160"/>
      <c r="DK285" s="1160"/>
      <c r="DL285" s="1160"/>
      <c r="DM285" s="1171"/>
      <c r="DN285" s="1160"/>
      <c r="DO285" s="1160"/>
      <c r="DP285" s="1160"/>
      <c r="DQ285" s="1160"/>
      <c r="DR285" s="1160"/>
      <c r="DS285" s="1160"/>
      <c r="DT285" s="1160"/>
      <c r="DU285" s="1160"/>
      <c r="DV285" s="1160"/>
      <c r="DW285" s="1160"/>
      <c r="DX285" s="1160"/>
      <c r="DY285" s="1160"/>
      <c r="DZ285" s="1160"/>
      <c r="EA285" s="1160"/>
      <c r="EB285" s="1160"/>
      <c r="EC285" s="1160"/>
    </row>
    <row r="286" spans="1:133" x14ac:dyDescent="0.2">
      <c r="A286" s="1160"/>
      <c r="B286" s="1160"/>
      <c r="C286" s="1160"/>
      <c r="D286" s="1160"/>
      <c r="E286" s="1170"/>
      <c r="F286" s="1170"/>
      <c r="G286" s="1170"/>
      <c r="H286" s="1170"/>
      <c r="I286" s="1170"/>
      <c r="J286" s="1170"/>
      <c r="K286" s="1170"/>
      <c r="L286" s="1170"/>
      <c r="M286" s="1170"/>
      <c r="N286" s="1170"/>
      <c r="O286" s="1170"/>
      <c r="P286" s="1170"/>
      <c r="Q286" s="1170"/>
      <c r="R286" s="1170"/>
      <c r="S286" s="1170"/>
      <c r="T286" s="1170"/>
      <c r="U286" s="1170"/>
      <c r="V286" s="1170"/>
      <c r="W286" s="1170"/>
      <c r="X286" s="1170"/>
      <c r="Y286" s="1170"/>
      <c r="Z286" s="1170"/>
      <c r="AA286" s="1170"/>
      <c r="AB286" s="1170"/>
      <c r="AC286" s="1170"/>
      <c r="AD286" s="1170"/>
      <c r="AE286" s="1170"/>
      <c r="AF286" s="1170"/>
      <c r="AG286" s="1170"/>
      <c r="AH286" s="1170"/>
      <c r="AI286" s="1170"/>
      <c r="AJ286" s="1170"/>
      <c r="AK286" s="1170"/>
      <c r="AL286" s="1170"/>
      <c r="AM286" s="1170"/>
      <c r="AN286" s="1170"/>
      <c r="AO286" s="1170"/>
      <c r="AP286" s="1170"/>
      <c r="AQ286" s="1170"/>
      <c r="AR286" s="1170"/>
      <c r="AS286" s="1170"/>
      <c r="AT286" s="1170"/>
      <c r="AU286" s="1170"/>
      <c r="AV286" s="1170"/>
      <c r="AW286" s="1170"/>
      <c r="AX286" s="1170"/>
      <c r="AY286" s="1170"/>
      <c r="AZ286" s="1170"/>
      <c r="BA286" s="1170"/>
      <c r="BB286" s="1170"/>
      <c r="BC286" s="1170"/>
      <c r="BD286" s="1170"/>
      <c r="BE286" s="1170"/>
      <c r="BF286" s="1170"/>
      <c r="BG286" s="1170"/>
      <c r="BH286" s="1170"/>
      <c r="BI286" s="1170"/>
      <c r="BJ286" s="1170" t="s">
        <v>392</v>
      </c>
      <c r="BK286" s="1170"/>
      <c r="BL286" s="1170">
        <f ca="1">(BB257+BE233)*$BL$290</f>
        <v>0</v>
      </c>
      <c r="BM286" s="1170"/>
      <c r="BN286" s="1170"/>
      <c r="BO286" s="1170"/>
      <c r="BP286" s="1170"/>
      <c r="BQ286" s="1170" t="s">
        <v>392</v>
      </c>
      <c r="BR286" s="1170"/>
      <c r="BS286" s="1170">
        <f ca="1">BL286*$BS$290</f>
        <v>0</v>
      </c>
      <c r="BT286" s="1170"/>
      <c r="BU286" s="1170"/>
      <c r="BV286" s="1170"/>
      <c r="BW286" s="1170"/>
      <c r="BX286" s="1170"/>
      <c r="BY286" s="1170"/>
      <c r="BZ286" s="1170"/>
      <c r="CA286" s="1170"/>
      <c r="CB286" s="1170"/>
      <c r="CC286" s="1170"/>
      <c r="CD286" s="1170"/>
      <c r="CE286" s="1170"/>
      <c r="CF286" s="1170"/>
      <c r="CG286" s="1170"/>
      <c r="CH286" s="1170"/>
      <c r="CI286" s="1170"/>
      <c r="CJ286" s="1170"/>
      <c r="CK286" s="1170"/>
      <c r="CL286" s="1170"/>
      <c r="CM286" s="1170"/>
      <c r="CN286" s="1170"/>
      <c r="CO286" s="1170"/>
      <c r="CP286" s="1160"/>
      <c r="CQ286" s="1160"/>
      <c r="CR286" s="1160"/>
      <c r="CS286" s="1160"/>
      <c r="CT286" s="1160"/>
      <c r="CU286" s="1160"/>
      <c r="CV286" s="1160"/>
      <c r="CW286" s="1160"/>
      <c r="CX286" s="1160"/>
      <c r="CY286" s="1160"/>
      <c r="CZ286" s="1171"/>
      <c r="DA286" s="1160"/>
      <c r="DB286" s="1160"/>
      <c r="DC286" s="1160"/>
      <c r="DD286" s="1160"/>
      <c r="DE286" s="1160"/>
      <c r="DF286" s="1160"/>
      <c r="DG286" s="1160"/>
      <c r="DH286" s="1160"/>
      <c r="DI286" s="1160"/>
      <c r="DJ286" s="1160"/>
      <c r="DK286" s="1160"/>
      <c r="DL286" s="1160"/>
      <c r="DM286" s="1171"/>
      <c r="DN286" s="1160"/>
      <c r="DO286" s="1160"/>
      <c r="DP286" s="1160"/>
      <c r="DQ286" s="1160"/>
      <c r="DR286" s="1160"/>
      <c r="DS286" s="1160"/>
      <c r="DT286" s="1160"/>
      <c r="DU286" s="1160"/>
      <c r="DV286" s="1160"/>
      <c r="DW286" s="1160"/>
      <c r="DX286" s="1160"/>
      <c r="DY286" s="1160"/>
      <c r="DZ286" s="1160"/>
      <c r="EA286" s="1160"/>
      <c r="EB286" s="1160"/>
      <c r="EC286" s="1160"/>
    </row>
    <row r="287" spans="1:133" x14ac:dyDescent="0.2">
      <c r="A287" s="1160"/>
      <c r="B287" s="1160"/>
      <c r="C287" s="1160"/>
      <c r="D287" s="1160"/>
      <c r="E287" s="1170"/>
      <c r="F287" s="1170"/>
      <c r="G287" s="1170"/>
      <c r="H287" s="1170"/>
      <c r="I287" s="1170"/>
      <c r="J287" s="1170"/>
      <c r="K287" s="1170"/>
      <c r="L287" s="1170"/>
      <c r="M287" s="1170"/>
      <c r="N287" s="1170"/>
      <c r="O287" s="1170"/>
      <c r="P287" s="1170"/>
      <c r="Q287" s="1170"/>
      <c r="R287" s="1170"/>
      <c r="S287" s="1170"/>
      <c r="T287" s="1170"/>
      <c r="U287" s="1170"/>
      <c r="V287" s="1170"/>
      <c r="W287" s="1170"/>
      <c r="X287" s="1170"/>
      <c r="Y287" s="1170"/>
      <c r="Z287" s="1170"/>
      <c r="AA287" s="1170"/>
      <c r="AB287" s="1170"/>
      <c r="AC287" s="1170"/>
      <c r="AD287" s="1170"/>
      <c r="AE287" s="1170"/>
      <c r="AF287" s="1170"/>
      <c r="AG287" s="1170"/>
      <c r="AH287" s="1170"/>
      <c r="AI287" s="1170"/>
      <c r="AJ287" s="1170"/>
      <c r="AK287" s="1170"/>
      <c r="AL287" s="1170" t="s">
        <v>903</v>
      </c>
      <c r="AM287" s="1170"/>
      <c r="AN287" s="1170"/>
      <c r="AO287" s="1170"/>
      <c r="AP287" s="1170"/>
      <c r="AQ287" s="1170"/>
      <c r="AR287" s="1170"/>
      <c r="AS287" s="1170"/>
      <c r="AT287" s="1170"/>
      <c r="AU287" s="1170"/>
      <c r="AV287" s="1170"/>
      <c r="AW287" s="1170"/>
      <c r="AX287" s="1170"/>
      <c r="AY287" s="1170"/>
      <c r="AZ287" s="1170"/>
      <c r="BA287" s="1170"/>
      <c r="BB287" s="1170"/>
      <c r="BC287" s="1170"/>
      <c r="BD287" s="1170"/>
      <c r="BE287" s="1170"/>
      <c r="BF287" s="1170"/>
      <c r="BG287" s="1170"/>
      <c r="BH287" s="1170"/>
      <c r="BI287" s="1170"/>
      <c r="BJ287" s="1170" t="s">
        <v>224</v>
      </c>
      <c r="BK287" s="1170"/>
      <c r="BL287" s="1170">
        <f ca="1">(BB258+BE234)*$BL$290</f>
        <v>1.4468613315994542E-13</v>
      </c>
      <c r="BM287" s="1170"/>
      <c r="BN287" s="1170"/>
      <c r="BO287" s="1170"/>
      <c r="BP287" s="1170"/>
      <c r="BQ287" s="1170" t="s">
        <v>224</v>
      </c>
      <c r="BR287" s="1170"/>
      <c r="BS287" s="1170">
        <f ca="1">BL287*$BS$290</f>
        <v>1.4468613315980075E-13</v>
      </c>
      <c r="BT287" s="1170"/>
      <c r="BU287" s="1170"/>
      <c r="BV287" s="1170"/>
      <c r="BW287" s="1170"/>
      <c r="BX287" s="1170"/>
      <c r="BY287" s="1170"/>
      <c r="BZ287" s="1170"/>
      <c r="CA287" s="1170"/>
      <c r="CB287" s="1170"/>
      <c r="CC287" s="1170"/>
      <c r="CD287" s="1170"/>
      <c r="CE287" s="1170"/>
      <c r="CF287" s="1170"/>
      <c r="CG287" s="1170"/>
      <c r="CH287" s="1170"/>
      <c r="CI287" s="1170"/>
      <c r="CJ287" s="1170"/>
      <c r="CK287" s="1170"/>
      <c r="CL287" s="1170"/>
      <c r="CM287" s="1170"/>
      <c r="CN287" s="1170"/>
      <c r="CO287" s="1170"/>
      <c r="CP287" s="1160"/>
      <c r="CQ287" s="1160"/>
      <c r="CR287" s="1160"/>
      <c r="CS287" s="1160"/>
      <c r="CT287" s="1160"/>
      <c r="CU287" s="1160"/>
      <c r="CV287" s="1160"/>
      <c r="CW287" s="1160"/>
      <c r="CX287" s="1160"/>
      <c r="CY287" s="1160"/>
      <c r="CZ287" s="1171"/>
      <c r="DA287" s="1160"/>
      <c r="DB287" s="1160"/>
      <c r="DC287" s="1160"/>
      <c r="DD287" s="1160"/>
      <c r="DE287" s="1160"/>
      <c r="DF287" s="1160"/>
      <c r="DG287" s="1160"/>
      <c r="DH287" s="1160"/>
      <c r="DI287" s="1160"/>
      <c r="DJ287" s="1160"/>
      <c r="DK287" s="1160"/>
      <c r="DL287" s="1160"/>
      <c r="DM287" s="1171"/>
      <c r="DN287" s="1160"/>
      <c r="DO287" s="1160"/>
      <c r="DP287" s="1160"/>
      <c r="DQ287" s="1160"/>
      <c r="DR287" s="1160"/>
      <c r="DS287" s="1160"/>
      <c r="DT287" s="1160"/>
      <c r="DU287" s="1160"/>
      <c r="DV287" s="1160"/>
      <c r="DW287" s="1160"/>
      <c r="DX287" s="1160"/>
      <c r="DY287" s="1160"/>
      <c r="DZ287" s="1160"/>
      <c r="EA287" s="1160"/>
      <c r="EB287" s="1160"/>
      <c r="EC287" s="1160"/>
    </row>
    <row r="288" spans="1:133" x14ac:dyDescent="0.2">
      <c r="A288" s="1160"/>
      <c r="B288" s="1160"/>
      <c r="C288" s="1160"/>
      <c r="D288" s="1160"/>
      <c r="E288" s="1170"/>
      <c r="F288" s="1170"/>
      <c r="G288" s="1170"/>
      <c r="H288" s="1170"/>
      <c r="I288" s="1170"/>
      <c r="J288" s="1170"/>
      <c r="K288" s="1170"/>
      <c r="L288" s="1170"/>
      <c r="M288" s="1170"/>
      <c r="N288" s="1170"/>
      <c r="O288" s="1170"/>
      <c r="P288" s="1170"/>
      <c r="Q288" s="1170"/>
      <c r="R288" s="1170"/>
      <c r="S288" s="1170"/>
      <c r="T288" s="1170"/>
      <c r="U288" s="1170"/>
      <c r="V288" s="1170"/>
      <c r="W288" s="1170"/>
      <c r="X288" s="1170"/>
      <c r="Y288" s="1170"/>
      <c r="Z288" s="1170"/>
      <c r="AA288" s="1170"/>
      <c r="AB288" s="1170"/>
      <c r="AC288" s="1170"/>
      <c r="AD288" s="1170"/>
      <c r="AE288" s="1170"/>
      <c r="AF288" s="1170"/>
      <c r="AG288" s="1170"/>
      <c r="AH288" s="1170"/>
      <c r="AI288" s="1170"/>
      <c r="AJ288" s="1170"/>
      <c r="AK288" s="1170"/>
      <c r="AL288" s="1304">
        <f ca="1">IF(HydroRefineryConfig=0,HydroRefineryCalcs!U46,IF(OR(HydroRefineryConfig=1,HydroRefineryConfig=2,HydroRefineryConfig=3),HydroRefineryCalcs!J514,0))</f>
        <v>0</v>
      </c>
      <c r="AM288" s="1305"/>
      <c r="AN288" s="1170"/>
      <c r="AO288" s="1170"/>
      <c r="AP288" s="1170"/>
      <c r="AQ288" s="1170"/>
      <c r="AR288" s="1170"/>
      <c r="AS288" s="1170"/>
      <c r="AT288" s="1170"/>
      <c r="AU288" s="1170"/>
      <c r="AV288" s="1170"/>
      <c r="AW288" s="1170"/>
      <c r="AX288" s="1170"/>
      <c r="AY288" s="1170"/>
      <c r="AZ288" s="1170"/>
      <c r="BA288" s="1170"/>
      <c r="BB288" s="1170"/>
      <c r="BC288" s="1170"/>
      <c r="BD288" s="1170"/>
      <c r="BE288" s="1170"/>
      <c r="BF288" s="1170"/>
      <c r="BG288" s="1170"/>
      <c r="BH288" s="1170"/>
      <c r="BI288" s="1170"/>
      <c r="BJ288" s="1170" t="s">
        <v>485</v>
      </c>
      <c r="BK288" s="1170"/>
      <c r="BL288" s="1170">
        <f ca="1">(BB259+BE235)*$BL$290</f>
        <v>4.1681312098451542E-17</v>
      </c>
      <c r="BM288" s="1170"/>
      <c r="BN288" s="1170"/>
      <c r="BO288" s="1170"/>
      <c r="BP288" s="1170"/>
      <c r="BQ288" s="1170" t="s">
        <v>485</v>
      </c>
      <c r="BR288" s="1170"/>
      <c r="BS288" s="1170">
        <f ca="1">BL288*$BS$290</f>
        <v>4.1681312098409868E-17</v>
      </c>
      <c r="BT288" s="1170"/>
      <c r="BU288" s="1170"/>
      <c r="BV288" s="1170"/>
      <c r="BW288" s="1170"/>
      <c r="BX288" s="1170"/>
      <c r="BY288" s="1170"/>
      <c r="BZ288" s="1170"/>
      <c r="CA288" s="1170"/>
      <c r="CB288" s="1170"/>
      <c r="CC288" s="1170"/>
      <c r="CD288" s="1170"/>
      <c r="CE288" s="1170"/>
      <c r="CF288" s="1170"/>
      <c r="CG288" s="1170"/>
      <c r="CH288" s="1170"/>
      <c r="CI288" s="1170"/>
      <c r="CJ288" s="1170"/>
      <c r="CK288" s="1170"/>
      <c r="CL288" s="1170"/>
      <c r="CM288" s="1170"/>
      <c r="CN288" s="1170"/>
      <c r="CO288" s="1170"/>
      <c r="CP288" s="1160"/>
      <c r="CQ288" s="1160"/>
      <c r="CR288" s="1160"/>
      <c r="CS288" s="1160"/>
      <c r="CT288" s="1160"/>
      <c r="CU288" s="1160"/>
      <c r="CV288" s="1160"/>
      <c r="CW288" s="1160"/>
      <c r="CX288" s="1160"/>
      <c r="CY288" s="1160"/>
      <c r="CZ288" s="1171"/>
      <c r="DA288" s="1160"/>
      <c r="DB288" s="1160"/>
      <c r="DC288" s="1160"/>
      <c r="DD288" s="1160"/>
      <c r="DE288" s="1160"/>
      <c r="DF288" s="1160"/>
      <c r="DG288" s="1160"/>
      <c r="DH288" s="1160"/>
      <c r="DJ288" s="1160"/>
      <c r="DK288" s="1160"/>
      <c r="DL288" s="1160"/>
      <c r="DM288" s="1171"/>
      <c r="DN288" s="1160"/>
      <c r="DO288" s="1160"/>
      <c r="DP288" s="1160"/>
      <c r="DQ288" s="1160"/>
      <c r="DR288" s="1160"/>
      <c r="DS288" s="1160"/>
      <c r="DT288" s="1160"/>
      <c r="DU288" s="1160"/>
      <c r="DV288" s="1160"/>
      <c r="DW288" s="1160"/>
      <c r="DX288" s="1160"/>
      <c r="DY288" s="1160"/>
      <c r="DZ288" s="1160"/>
      <c r="EA288" s="1160"/>
      <c r="EB288" s="1160"/>
      <c r="EC288" s="1160"/>
    </row>
    <row r="289" spans="1:133" x14ac:dyDescent="0.2">
      <c r="A289" s="1160"/>
      <c r="B289" s="1160"/>
      <c r="C289" s="1160"/>
      <c r="D289" s="1160"/>
      <c r="E289" s="1170"/>
      <c r="F289" s="1170"/>
      <c r="G289" s="1170"/>
      <c r="H289" s="1170"/>
      <c r="I289" s="1170"/>
      <c r="J289" s="1170"/>
      <c r="K289" s="1170"/>
      <c r="L289" s="1170"/>
      <c r="M289" s="1170"/>
      <c r="N289" s="1170"/>
      <c r="O289" s="1170"/>
      <c r="P289" s="1170"/>
      <c r="Q289" s="1170"/>
      <c r="R289" s="1170"/>
      <c r="S289" s="1170"/>
      <c r="T289" s="1170"/>
      <c r="U289" s="1170"/>
      <c r="V289" s="1170"/>
      <c r="W289" s="1170"/>
      <c r="X289" s="1170"/>
      <c r="Y289" s="1170"/>
      <c r="Z289" s="1170"/>
      <c r="AA289" s="1170"/>
      <c r="AB289" s="1170"/>
      <c r="AC289" s="1170"/>
      <c r="AD289" s="1170"/>
      <c r="AE289" s="1170"/>
      <c r="AF289" s="1170"/>
      <c r="AG289" s="1170"/>
      <c r="AH289" s="1170"/>
      <c r="AI289" s="1170"/>
      <c r="AJ289" s="1170"/>
      <c r="AK289" s="1170"/>
      <c r="AL289" s="1182" t="str">
        <f t="shared" ref="AL289:AM296" si="6">AJ246</f>
        <v>Property</v>
      </c>
      <c r="AM289" s="1182" t="str">
        <f t="shared" si="6"/>
        <v>Units</v>
      </c>
      <c r="AN289" s="1170"/>
      <c r="AO289" s="1170"/>
      <c r="AP289" s="1170"/>
      <c r="AQ289" s="1170"/>
      <c r="AR289" s="1170"/>
      <c r="AS289" s="1170"/>
      <c r="AT289" s="1170"/>
      <c r="AU289" s="1170"/>
      <c r="AV289" s="1170"/>
      <c r="AW289" s="1170"/>
      <c r="AX289" s="1170"/>
      <c r="AY289" s="1170"/>
      <c r="AZ289" s="1170"/>
      <c r="BA289" s="1170"/>
      <c r="BB289" s="1170"/>
      <c r="BC289" s="1170"/>
      <c r="BD289" s="1170"/>
      <c r="BE289" s="1170"/>
      <c r="BF289" s="1170"/>
      <c r="BG289" s="1170"/>
      <c r="BH289" s="1170"/>
      <c r="BI289" s="1170"/>
      <c r="BJ289" s="1170" t="s">
        <v>541</v>
      </c>
      <c r="BK289" s="1170"/>
      <c r="BL289" s="1170">
        <f ca="1">(BB260+BE236)*$BL$290</f>
        <v>1.6318743724965544E-14</v>
      </c>
      <c r="BM289" s="1170"/>
      <c r="BN289" s="1170"/>
      <c r="BO289" s="1170"/>
      <c r="BP289" s="1170"/>
      <c r="BQ289" s="1170" t="s">
        <v>541</v>
      </c>
      <c r="BR289" s="1170"/>
      <c r="BS289" s="1170">
        <f ca="1">BL289*$BS$290</f>
        <v>1.6318743724949227E-14</v>
      </c>
      <c r="BT289" s="1170"/>
      <c r="BU289" s="1170"/>
      <c r="BV289" s="1170"/>
      <c r="BW289" s="1170"/>
      <c r="BX289" s="1170"/>
      <c r="BY289" s="1170"/>
      <c r="BZ289" s="1170"/>
      <c r="CA289" s="1170"/>
      <c r="CB289" s="1170"/>
      <c r="CC289" s="1170"/>
      <c r="CD289" s="1170"/>
      <c r="CE289" s="1170"/>
      <c r="CF289" s="1170"/>
      <c r="CG289" s="1170"/>
      <c r="CH289" s="1170"/>
      <c r="CI289" s="1170"/>
      <c r="CJ289" s="1170"/>
      <c r="CK289" s="1170"/>
      <c r="CL289" s="1170"/>
      <c r="CM289" s="1170"/>
      <c r="CN289" s="1170"/>
      <c r="CO289" s="1170"/>
      <c r="CP289" s="1160"/>
      <c r="CQ289" s="1160"/>
      <c r="CR289" s="1160"/>
      <c r="CS289" s="1160"/>
      <c r="CT289" s="1160"/>
      <c r="CU289" s="1160"/>
      <c r="CV289" s="1160"/>
      <c r="CW289" s="1160"/>
      <c r="CX289" s="1160"/>
      <c r="CY289" s="1160"/>
      <c r="CZ289" s="1171"/>
      <c r="DA289" s="1160"/>
      <c r="DB289" s="1160"/>
      <c r="DC289" s="1160"/>
      <c r="DD289" s="1160"/>
      <c r="DE289" s="1160"/>
      <c r="DF289" s="1160"/>
      <c r="DG289" s="1160"/>
      <c r="DH289" s="1160"/>
      <c r="DI289" s="1160"/>
      <c r="DJ289" s="1160"/>
      <c r="DK289" s="1160"/>
      <c r="DL289" s="1160"/>
      <c r="DM289" s="1171"/>
      <c r="DN289" s="1160"/>
      <c r="DO289" s="1160"/>
      <c r="DP289" s="1160"/>
      <c r="DQ289" s="1160"/>
      <c r="DR289" s="1160"/>
      <c r="DS289" s="1160"/>
      <c r="DT289" s="1160"/>
      <c r="DU289" s="1160"/>
      <c r="DV289" s="1160"/>
      <c r="DW289" s="1160"/>
      <c r="DX289" s="1160"/>
      <c r="DY289" s="1160"/>
      <c r="DZ289" s="1160"/>
      <c r="EA289" s="1160"/>
      <c r="EB289" s="1160"/>
      <c r="EC289" s="1160"/>
    </row>
    <row r="290" spans="1:133" x14ac:dyDescent="0.2">
      <c r="A290" s="1160"/>
      <c r="B290" s="1160"/>
      <c r="C290" s="1160"/>
      <c r="D290" s="1160"/>
      <c r="E290" s="1170"/>
      <c r="F290" s="1170"/>
      <c r="G290" s="1170"/>
      <c r="H290" s="1170"/>
      <c r="I290" s="1170"/>
      <c r="J290" s="1170"/>
      <c r="K290" s="1170"/>
      <c r="L290" s="1170"/>
      <c r="M290" s="1170"/>
      <c r="N290" s="1170"/>
      <c r="O290" s="1170"/>
      <c r="P290" s="1170"/>
      <c r="Q290" s="1170"/>
      <c r="R290" s="1170"/>
      <c r="S290" s="1170"/>
      <c r="T290" s="1170"/>
      <c r="U290" s="1170"/>
      <c r="V290" s="1170"/>
      <c r="W290" s="1170"/>
      <c r="X290" s="1170"/>
      <c r="Y290" s="1170"/>
      <c r="Z290" s="1170"/>
      <c r="AA290" s="1170"/>
      <c r="AB290" s="1170"/>
      <c r="AC290" s="1170"/>
      <c r="AD290" s="1170"/>
      <c r="AE290" s="1170"/>
      <c r="AF290" s="1170"/>
      <c r="AG290" s="1170"/>
      <c r="AH290" s="1170"/>
      <c r="AI290" s="1170"/>
      <c r="AJ290" s="1170"/>
      <c r="AK290" s="1170"/>
      <c r="AL290" s="1182" t="str">
        <f t="shared" si="6"/>
        <v>Vol Flow</v>
      </c>
      <c r="AM290" s="1170" t="str">
        <f ca="1">AK247</f>
        <v>bpd</v>
      </c>
      <c r="AN290" s="1905">
        <f ca="1">IF(HydroRefineryConfig=0,HydroRefineryCalcs!D97,IF(OR(HydroRefineryConfig=1,HydroRefineryConfig=2,HydroRefineryConfig=3),HydroRefineryCalcs!D561,0))</f>
        <v>28238.054386069471</v>
      </c>
      <c r="AO290" s="1966" t="s">
        <v>1866</v>
      </c>
      <c r="AP290" s="1170"/>
      <c r="AQ290" s="1170"/>
      <c r="AR290" s="1170"/>
      <c r="AS290" s="1170"/>
      <c r="AT290" s="1170"/>
      <c r="AU290" s="1170"/>
      <c r="AV290" s="1170"/>
      <c r="AW290" s="1170"/>
      <c r="AX290" s="1170"/>
      <c r="AY290" s="1170"/>
      <c r="AZ290" s="1170"/>
      <c r="BA290" s="1170"/>
      <c r="BB290" s="1170"/>
      <c r="BC290" s="1170"/>
      <c r="BD290" s="1170"/>
      <c r="BE290" s="1170"/>
      <c r="BF290" s="1170"/>
      <c r="BG290" s="1170"/>
      <c r="BH290" s="1170"/>
      <c r="BI290" s="1170"/>
      <c r="BJ290" s="1180" t="s">
        <v>1065</v>
      </c>
      <c r="BK290" s="1170"/>
      <c r="BL290" s="1170">
        <f ca="1">IF('HydroRefineryPFD '!E25=TRUE,BL291,BL282/(BI182+BI255+BL282))</f>
        <v>0.32502793561739501</v>
      </c>
      <c r="BM290" s="1170"/>
      <c r="BN290" s="1170"/>
      <c r="BO290" s="1170"/>
      <c r="BP290" s="1170"/>
      <c r="BQ290" s="1180" t="s">
        <v>1065</v>
      </c>
      <c r="BR290" s="1170"/>
      <c r="BS290" s="1170">
        <f ca="1">BS281/BL282</f>
        <v>0.99999999999900013</v>
      </c>
      <c r="BT290" s="1170"/>
      <c r="BU290" s="1170"/>
      <c r="BV290" s="1170"/>
      <c r="BW290" s="1170"/>
      <c r="BX290" s="1170"/>
      <c r="BY290" s="1170"/>
      <c r="BZ290" s="1170"/>
      <c r="CA290" s="1170"/>
      <c r="CB290" s="1170"/>
      <c r="CC290" s="1170"/>
      <c r="CD290" s="1170"/>
      <c r="CE290" s="1170"/>
      <c r="CF290" s="1170"/>
      <c r="CG290" s="1170"/>
      <c r="CH290" s="1170"/>
      <c r="CI290" s="1170"/>
      <c r="CJ290" s="1170"/>
      <c r="CK290" s="1170"/>
      <c r="CL290" s="1170"/>
      <c r="CM290" s="1170"/>
      <c r="CN290" s="1170"/>
      <c r="CO290" s="1170"/>
      <c r="CP290" s="1160"/>
      <c r="CQ290" s="1160"/>
      <c r="CR290" s="1160"/>
      <c r="CS290" s="1160"/>
      <c r="CT290" s="1160"/>
      <c r="CU290" s="1160"/>
      <c r="CV290" s="1160"/>
      <c r="CW290" s="1160"/>
      <c r="CX290" s="1160"/>
      <c r="CY290" s="1160"/>
      <c r="CZ290" s="1171"/>
      <c r="DA290" s="1160"/>
      <c r="DB290" s="1160"/>
      <c r="DC290" s="1160"/>
      <c r="DD290" s="1160"/>
      <c r="DE290" s="1160"/>
      <c r="DF290" s="1160"/>
      <c r="DG290" s="1160"/>
      <c r="DH290" s="1160"/>
      <c r="DI290" s="1160"/>
      <c r="DJ290" s="1160"/>
      <c r="DK290" s="1160"/>
      <c r="DL290" s="1160"/>
      <c r="DM290" s="1171"/>
      <c r="DN290" s="1160"/>
      <c r="DO290" s="1160"/>
      <c r="DP290" s="1160"/>
      <c r="DQ290" s="1160"/>
      <c r="DR290" s="1160"/>
      <c r="DS290" s="1160"/>
      <c r="DT290" s="1160"/>
      <c r="DU290" s="1160"/>
      <c r="DV290" s="1160"/>
      <c r="DW290" s="1160"/>
      <c r="DX290" s="1160"/>
      <c r="DY290" s="1160"/>
      <c r="DZ290" s="1160"/>
      <c r="EA290" s="1160"/>
      <c r="EB290" s="1160"/>
      <c r="EC290" s="1160"/>
    </row>
    <row r="291" spans="1:133" x14ac:dyDescent="0.2">
      <c r="A291" s="1160"/>
      <c r="B291" s="1160"/>
      <c r="C291" s="1160"/>
      <c r="D291" s="1160"/>
      <c r="E291" s="1170"/>
      <c r="F291" s="1170"/>
      <c r="G291" s="1170"/>
      <c r="H291" s="1170"/>
      <c r="I291" s="1170"/>
      <c r="J291" s="1170"/>
      <c r="K291" s="1170"/>
      <c r="L291" s="1170"/>
      <c r="M291" s="1170"/>
      <c r="N291" s="1170"/>
      <c r="O291" s="1170"/>
      <c r="P291" s="1170"/>
      <c r="Q291" s="1170"/>
      <c r="R291" s="1170"/>
      <c r="S291" s="1170"/>
      <c r="T291" s="1170"/>
      <c r="U291" s="1170"/>
      <c r="V291" s="1170"/>
      <c r="W291" s="1170"/>
      <c r="X291" s="1170"/>
      <c r="Y291" s="1170"/>
      <c r="Z291" s="1170"/>
      <c r="AA291" s="1170"/>
      <c r="AB291" s="1170"/>
      <c r="AC291" s="1170"/>
      <c r="AD291" s="1170"/>
      <c r="AE291" s="1170"/>
      <c r="AF291" s="1170"/>
      <c r="AG291" s="1170"/>
      <c r="AH291" s="1170"/>
      <c r="AI291" s="1170"/>
      <c r="AJ291" s="1170"/>
      <c r="AK291" s="1170"/>
      <c r="AL291" s="1182" t="str">
        <f t="shared" si="6"/>
        <v>Vol Flow</v>
      </c>
      <c r="AM291" s="1170" t="str">
        <f ca="1">AK248</f>
        <v>m^3/d</v>
      </c>
      <c r="AN291" s="1905">
        <f ca="1">IF(HydroRefineryConfig=0,HydroRefineryCalcs!D97*'Energy &amp; Unit Conversions'!G80,IF(OR(HydroRefineryConfig=1,HydroRefineryConfig=2,HydroRefineryConfig=3),HydroRefineryCalcs!J516,0))</f>
        <v>4489.4920240943429</v>
      </c>
      <c r="AO291" s="1170"/>
      <c r="AP291" s="1170"/>
      <c r="AQ291" s="1170"/>
      <c r="AR291" s="1170"/>
      <c r="AS291" s="1170"/>
      <c r="AT291" s="1170"/>
      <c r="AU291" s="1170"/>
      <c r="AV291" s="1170"/>
      <c r="AW291" s="1170"/>
      <c r="AX291" s="1170"/>
      <c r="AY291" s="1170"/>
      <c r="AZ291" s="1170"/>
      <c r="BA291" s="1170"/>
      <c r="BB291" s="1170"/>
      <c r="BC291" s="1170"/>
      <c r="BD291" s="1170"/>
      <c r="BE291" s="1170"/>
      <c r="BF291" s="1170"/>
      <c r="BG291" s="1170"/>
      <c r="BH291" s="1170"/>
      <c r="BI291" s="1170"/>
      <c r="BJ291" s="1180" t="s">
        <v>1065</v>
      </c>
      <c r="BK291" s="1170"/>
      <c r="BL291" s="1170">
        <f ca="1">BL282/(BI182+BI255+BL282+DD323)</f>
        <v>0.31397755275220868</v>
      </c>
      <c r="BM291" s="1170"/>
      <c r="BN291" s="1170"/>
      <c r="BO291" s="1170"/>
      <c r="BP291" s="1170"/>
      <c r="BQ291" s="1170"/>
      <c r="BR291" s="1170"/>
      <c r="BS291" s="1170"/>
      <c r="BT291" s="1170"/>
      <c r="BU291" s="1170"/>
      <c r="BV291" s="1170"/>
      <c r="BW291" s="1170"/>
      <c r="BX291" s="1170"/>
      <c r="BY291" s="1170"/>
      <c r="BZ291" s="1170"/>
      <c r="CA291" s="1170"/>
      <c r="CB291" s="1170"/>
      <c r="CC291" s="1170"/>
      <c r="CD291" s="1170"/>
      <c r="CE291" s="1170"/>
      <c r="CF291" s="1170"/>
      <c r="CG291" s="1170"/>
      <c r="CH291" s="1170"/>
      <c r="CI291" s="1170"/>
      <c r="CJ291" s="1170"/>
      <c r="CK291" s="1170"/>
      <c r="CL291" s="1170"/>
      <c r="CM291" s="1170"/>
      <c r="CN291" s="1170"/>
      <c r="CO291" s="1170"/>
      <c r="CP291" s="1160"/>
      <c r="CQ291" s="1160"/>
      <c r="CR291" s="1160"/>
      <c r="CS291" s="1160"/>
      <c r="CT291" s="1160"/>
      <c r="CU291" s="1160"/>
      <c r="CV291" s="1160"/>
      <c r="CW291" s="1160"/>
      <c r="CX291" s="1160"/>
      <c r="CY291" s="1160"/>
      <c r="CZ291" s="1171"/>
      <c r="DA291" s="1160"/>
      <c r="DB291" s="1160"/>
      <c r="DC291" s="1160"/>
      <c r="DD291" s="1160"/>
      <c r="DE291" s="1160"/>
      <c r="DF291" s="1160"/>
      <c r="DG291" s="1160"/>
      <c r="DH291" s="1160"/>
      <c r="DI291" s="1160"/>
      <c r="DJ291" s="1160"/>
      <c r="DK291" s="1160"/>
      <c r="DL291" s="1160"/>
      <c r="DM291" s="1171"/>
      <c r="DN291" s="1160"/>
      <c r="DO291" s="1160"/>
      <c r="DP291" s="1160"/>
      <c r="DQ291" s="1160"/>
      <c r="DR291" s="1160"/>
      <c r="DS291" s="1160"/>
      <c r="DT291" s="1160"/>
      <c r="DU291" s="1160"/>
      <c r="DV291" s="1160"/>
      <c r="DW291" s="1160"/>
      <c r="DX291" s="1160"/>
      <c r="DY291" s="1160"/>
      <c r="DZ291" s="1160"/>
      <c r="EA291" s="1160"/>
      <c r="EB291" s="1160"/>
      <c r="EC291" s="1160"/>
    </row>
    <row r="292" spans="1:133" x14ac:dyDescent="0.2">
      <c r="A292" s="1160"/>
      <c r="B292" s="1160"/>
      <c r="C292" s="1160"/>
      <c r="D292" s="1160"/>
      <c r="E292" s="1170"/>
      <c r="F292" s="1170"/>
      <c r="G292" s="1170"/>
      <c r="H292" s="1170"/>
      <c r="I292" s="1170"/>
      <c r="J292" s="1170"/>
      <c r="K292" s="1170"/>
      <c r="L292" s="1170"/>
      <c r="M292" s="1170"/>
      <c r="N292" s="1170"/>
      <c r="O292" s="1170"/>
      <c r="P292" s="1170"/>
      <c r="Q292" s="1170"/>
      <c r="R292" s="1170"/>
      <c r="S292" s="1170"/>
      <c r="T292" s="1170"/>
      <c r="U292" s="1170"/>
      <c r="V292" s="1170"/>
      <c r="W292" s="1170"/>
      <c r="X292" s="1170"/>
      <c r="Y292" s="1170"/>
      <c r="Z292" s="1170"/>
      <c r="AA292" s="1170"/>
      <c r="AB292" s="1170"/>
      <c r="AC292" s="1170"/>
      <c r="AD292" s="1170"/>
      <c r="AE292" s="1170"/>
      <c r="AF292" s="1170"/>
      <c r="AG292" s="1170"/>
      <c r="AH292" s="1170"/>
      <c r="AI292" s="1170"/>
      <c r="AJ292" s="1170"/>
      <c r="AK292" s="1170"/>
      <c r="AL292" s="1182" t="str">
        <f t="shared" si="6"/>
        <v>Mass Flow</v>
      </c>
      <c r="AM292" s="1170" t="str">
        <f t="shared" si="6"/>
        <v>kg/d</v>
      </c>
      <c r="AN292" s="1905">
        <f ca="1">IF(HydroRefineryConfig=0,HydroRefineryCalcs!F97,IF(OR(HydroRefineryConfig=1,HydroRefineryConfig=2,HydroRefineryConfig=3),HydroRefineryCalcs!J517,0))</f>
        <v>3701424.2988945264</v>
      </c>
      <c r="AO292" s="1170"/>
      <c r="AP292" s="1170"/>
      <c r="AQ292" s="1170"/>
      <c r="AR292" s="1170"/>
      <c r="AS292" s="1170"/>
      <c r="AT292" s="1170"/>
      <c r="AU292" s="1170"/>
      <c r="AV292" s="1170"/>
      <c r="AW292" s="1170"/>
      <c r="AX292" s="1170"/>
      <c r="AY292" s="1170"/>
      <c r="AZ292" s="1170"/>
      <c r="BA292" s="1170"/>
      <c r="BB292" s="1170"/>
      <c r="BC292" s="1170"/>
      <c r="BD292" s="1170"/>
      <c r="BE292" s="1170"/>
      <c r="BF292" s="1170"/>
      <c r="BG292" s="1170"/>
      <c r="BH292" s="1170"/>
      <c r="BI292" s="1170"/>
      <c r="BJ292" s="1239" t="s">
        <v>228</v>
      </c>
      <c r="BK292" s="1170"/>
      <c r="BL292" s="1170">
        <f ca="1">BL274/(BB244)</f>
        <v>0.26344086021509405</v>
      </c>
      <c r="BM292" s="1170"/>
      <c r="BN292" s="1170"/>
      <c r="BO292" s="1170"/>
      <c r="BP292" s="1170"/>
      <c r="BQ292" s="1170"/>
      <c r="BR292" s="1170"/>
      <c r="BS292" s="1170"/>
      <c r="BT292" s="1170"/>
      <c r="BU292" s="1170"/>
      <c r="BV292" s="1170"/>
      <c r="BW292" s="1170"/>
      <c r="BX292" s="1170"/>
      <c r="BY292" s="1170"/>
      <c r="BZ292" s="1170"/>
      <c r="CA292" s="1170"/>
      <c r="CB292" s="1170"/>
      <c r="CC292" s="1170"/>
      <c r="CD292" s="1170"/>
      <c r="CE292" s="1170"/>
      <c r="CF292" s="1170"/>
      <c r="CG292" s="1170"/>
      <c r="CH292" s="1170"/>
      <c r="CI292" s="1170"/>
      <c r="CJ292" s="1170"/>
      <c r="CK292" s="1170"/>
      <c r="CL292" s="1170"/>
      <c r="CM292" s="1170"/>
      <c r="CN292" s="1170"/>
      <c r="CO292" s="1170"/>
      <c r="CP292" s="1160"/>
      <c r="CQ292" s="1160"/>
      <c r="CR292" s="1160"/>
      <c r="CS292" s="1160"/>
      <c r="CT292" s="1160"/>
      <c r="CU292" s="1160"/>
      <c r="CV292" s="1160"/>
      <c r="CW292" s="1160"/>
      <c r="CX292" s="1160"/>
      <c r="CY292" s="1160"/>
      <c r="CZ292" s="1171"/>
      <c r="DA292" s="1160"/>
      <c r="DB292" s="1160"/>
      <c r="DC292" s="1160"/>
      <c r="DD292" s="1160"/>
      <c r="DE292" s="1160"/>
      <c r="DF292" s="1160"/>
      <c r="DG292" s="1160"/>
      <c r="DH292" s="1160"/>
      <c r="DI292" s="1160"/>
      <c r="DJ292" s="1160"/>
      <c r="DK292" s="1160"/>
      <c r="DL292" s="1160"/>
      <c r="DM292" s="1171"/>
      <c r="DN292" s="1160"/>
      <c r="DO292" s="1160"/>
      <c r="DP292" s="1160"/>
      <c r="DQ292" s="1160"/>
      <c r="DR292" s="1160"/>
      <c r="DS292" s="1160"/>
      <c r="DT292" s="1160"/>
      <c r="DU292" s="1160"/>
      <c r="DV292" s="1160"/>
      <c r="DW292" s="1160"/>
      <c r="DX292" s="1160"/>
      <c r="DY292" s="1160"/>
      <c r="DZ292" s="1160"/>
      <c r="EA292" s="1160"/>
      <c r="EB292" s="1160"/>
      <c r="EC292" s="1160"/>
    </row>
    <row r="293" spans="1:133" x14ac:dyDescent="0.2">
      <c r="A293" s="1160"/>
      <c r="B293" s="1160"/>
      <c r="C293" s="1160"/>
      <c r="D293" s="1160"/>
      <c r="E293" s="1170"/>
      <c r="F293" s="1170"/>
      <c r="G293" s="1170"/>
      <c r="H293" s="1170"/>
      <c r="I293" s="1170"/>
      <c r="J293" s="1170"/>
      <c r="K293" s="1170"/>
      <c r="L293" s="1170"/>
      <c r="M293" s="1170"/>
      <c r="N293" s="1170"/>
      <c r="O293" s="1170"/>
      <c r="P293" s="1170"/>
      <c r="Q293" s="1170"/>
      <c r="R293" s="1170"/>
      <c r="S293" s="1170"/>
      <c r="T293" s="1170"/>
      <c r="U293" s="1170"/>
      <c r="V293" s="1170"/>
      <c r="W293" s="1170"/>
      <c r="X293" s="1170"/>
      <c r="Y293" s="1170"/>
      <c r="Z293" s="1170"/>
      <c r="AA293" s="1170"/>
      <c r="AB293" s="1170"/>
      <c r="AC293" s="1170"/>
      <c r="AD293" s="1170"/>
      <c r="AE293" s="1170"/>
      <c r="AF293" s="1170"/>
      <c r="AG293" s="1170"/>
      <c r="AH293" s="1170"/>
      <c r="AI293" s="1170"/>
      <c r="AJ293" s="1170"/>
      <c r="AK293" s="1170"/>
      <c r="AL293" s="1182" t="str">
        <f t="shared" si="6"/>
        <v xml:space="preserve">Sulphur </v>
      </c>
      <c r="AM293" s="1170" t="str">
        <f ca="1">AK250</f>
        <v>wt%</v>
      </c>
      <c r="AN293" s="1906">
        <f ca="1">IF(HydroRefineryConfig=0,HydroRefineryCalcs!G97,IF(OR(HydroRefineryConfig=1,HydroRefineryConfig=2,HydroRefineryConfig=3),HydroRefineryCalcs!G561,0))</f>
        <v>0.40136935229490656</v>
      </c>
      <c r="AO293" s="1170"/>
      <c r="AP293" s="1170"/>
      <c r="AQ293" s="1170"/>
      <c r="AR293" s="1170"/>
      <c r="AS293" s="1170"/>
      <c r="AT293" s="1170"/>
      <c r="AU293" s="1170"/>
      <c r="AV293" s="1170"/>
      <c r="AW293" s="1170"/>
      <c r="AX293" s="1170"/>
      <c r="AY293" s="1170"/>
      <c r="AZ293" s="1170"/>
      <c r="BA293" s="1170"/>
      <c r="BB293" s="1170"/>
      <c r="BC293" s="1170"/>
      <c r="BD293" s="1170"/>
      <c r="BE293" s="1170"/>
      <c r="BF293" s="1170"/>
      <c r="BG293" s="1170"/>
      <c r="BH293" s="1170"/>
      <c r="BI293" s="1170"/>
      <c r="BJ293" s="1170"/>
      <c r="BK293" s="1170"/>
      <c r="BL293" s="1170"/>
      <c r="BM293" s="1170"/>
      <c r="BN293" s="1170"/>
      <c r="BO293" s="1170"/>
      <c r="BP293" s="1170"/>
      <c r="BQ293" s="1170"/>
      <c r="BR293" s="1170"/>
      <c r="BS293" s="1170"/>
      <c r="BT293" s="1170"/>
      <c r="BU293" s="1170"/>
      <c r="BV293" s="1170"/>
      <c r="BW293" s="1170"/>
      <c r="BX293" s="1170"/>
      <c r="BY293" s="1170"/>
      <c r="BZ293" s="1170"/>
      <c r="CA293" s="1170"/>
      <c r="CB293" s="1170"/>
      <c r="CC293" s="1170"/>
      <c r="CD293" s="1170"/>
      <c r="CE293" s="1170"/>
      <c r="CF293" s="1170"/>
      <c r="CG293" s="1170"/>
      <c r="CH293" s="1170"/>
      <c r="CI293" s="1170"/>
      <c r="CJ293" s="1170"/>
      <c r="CK293" s="1170"/>
      <c r="CL293" s="1170"/>
      <c r="CM293" s="1170"/>
      <c r="CN293" s="1170"/>
      <c r="CO293" s="1170"/>
      <c r="CP293" s="1160"/>
      <c r="CQ293" s="1160"/>
      <c r="CR293" s="1160"/>
      <c r="CS293" s="1160"/>
      <c r="CT293" s="1160"/>
      <c r="CU293" s="1160"/>
      <c r="CV293" s="1160"/>
      <c r="CW293" s="1160"/>
      <c r="CX293" s="1160"/>
      <c r="CY293" s="1160"/>
      <c r="CZ293" s="1171"/>
      <c r="DA293" s="1160"/>
      <c r="DB293" s="1181" t="s">
        <v>1941</v>
      </c>
      <c r="DC293" s="1170"/>
      <c r="DD293" s="1170"/>
      <c r="DE293" s="1170"/>
      <c r="DF293" s="1191" t="str">
        <f>DB293</f>
        <v>Liquid Heavy Ends or Precursor of Heavy Oil</v>
      </c>
      <c r="DG293" s="1160"/>
      <c r="DH293" s="1160"/>
      <c r="DI293" s="1160"/>
      <c r="DJ293" s="1160"/>
      <c r="DK293" s="1160"/>
      <c r="DL293" s="1160"/>
      <c r="DM293" s="1171"/>
      <c r="DN293" s="1160"/>
      <c r="DO293" s="1160"/>
      <c r="DP293" s="1160"/>
      <c r="DQ293" s="1160"/>
      <c r="DR293" s="1160"/>
      <c r="DS293" s="1160"/>
      <c r="DT293" s="1160"/>
      <c r="DU293" s="1160"/>
      <c r="DV293" s="1160"/>
      <c r="DW293" s="1160"/>
      <c r="DX293" s="1160"/>
      <c r="DY293" s="1160"/>
      <c r="DZ293" s="1160"/>
      <c r="EA293" s="1160"/>
      <c r="EB293" s="1160"/>
      <c r="EC293" s="1160"/>
    </row>
    <row r="294" spans="1:133" x14ac:dyDescent="0.2">
      <c r="A294" s="1160"/>
      <c r="B294" s="1160"/>
      <c r="C294" s="1160"/>
      <c r="D294" s="1160"/>
      <c r="E294" s="1170"/>
      <c r="F294" s="1170"/>
      <c r="G294" s="1170"/>
      <c r="H294" s="1170"/>
      <c r="I294" s="1170"/>
      <c r="J294" s="1170"/>
      <c r="K294" s="1170"/>
      <c r="L294" s="1170"/>
      <c r="M294" s="1170"/>
      <c r="N294" s="1170"/>
      <c r="O294" s="1170"/>
      <c r="P294" s="1170"/>
      <c r="Q294" s="1170"/>
      <c r="R294" s="1170"/>
      <c r="S294" s="1170"/>
      <c r="T294" s="1170"/>
      <c r="U294" s="1170"/>
      <c r="V294" s="1170"/>
      <c r="W294" s="1170"/>
      <c r="X294" s="1170"/>
      <c r="Y294" s="1170"/>
      <c r="Z294" s="1170"/>
      <c r="AA294" s="1170"/>
      <c r="AB294" s="1170"/>
      <c r="AC294" s="1170"/>
      <c r="AD294" s="1170"/>
      <c r="AE294" s="1170"/>
      <c r="AF294" s="1170"/>
      <c r="AG294" s="1170"/>
      <c r="AH294" s="1170"/>
      <c r="AI294" s="1170"/>
      <c r="AJ294" s="1170"/>
      <c r="AK294" s="1170"/>
      <c r="AL294" s="1182" t="str">
        <f t="shared" si="6"/>
        <v xml:space="preserve">API gravity </v>
      </c>
      <c r="AM294" s="1904" t="s">
        <v>970</v>
      </c>
      <c r="AN294" s="1906">
        <f ca="1">IF(HydroRefineryConfig=0,HydroRefineryCalcs!I97,IF(OR(HydroRefineryConfig=1,HydroRefineryConfig=2,HydroRefineryConfig=3),HydroRefineryCalcs!J520,0))</f>
        <v>12.849096068230512</v>
      </c>
      <c r="AO294" s="1170"/>
      <c r="AP294" s="1170"/>
      <c r="AQ294" s="1170"/>
      <c r="AR294" s="1170"/>
      <c r="AS294" s="1170"/>
      <c r="AT294" s="1170"/>
      <c r="AU294" s="1170"/>
      <c r="AV294" s="1170"/>
      <c r="AW294" s="1170"/>
      <c r="AX294" s="1170"/>
      <c r="AY294" s="1170"/>
      <c r="AZ294" s="1170"/>
      <c r="BA294" s="1170"/>
      <c r="BB294" s="1170"/>
      <c r="BC294" s="1170"/>
      <c r="BD294" s="1170"/>
      <c r="BE294" s="1170"/>
      <c r="BF294" s="1170"/>
      <c r="BG294" s="1170"/>
      <c r="BH294" s="1170"/>
      <c r="BI294" s="1170"/>
      <c r="BJ294" s="1170"/>
      <c r="BK294" s="1170"/>
      <c r="BL294" s="1170"/>
      <c r="BM294" s="1170"/>
      <c r="BN294" s="1170"/>
      <c r="BO294" s="1170"/>
      <c r="BP294" s="1170"/>
      <c r="BQ294" s="1170"/>
      <c r="BR294" s="1170"/>
      <c r="BS294" s="1170"/>
      <c r="BT294" s="1170"/>
      <c r="BU294" s="1170"/>
      <c r="BV294" s="1170"/>
      <c r="BW294" s="1170"/>
      <c r="BX294" s="1170"/>
      <c r="BY294" s="1170"/>
      <c r="BZ294" s="1170"/>
      <c r="CA294" s="1170"/>
      <c r="CB294" s="1170"/>
      <c r="CC294" s="1170"/>
      <c r="CD294" s="1170"/>
      <c r="CE294" s="1170"/>
      <c r="CF294" s="1170"/>
      <c r="CG294" s="1170"/>
      <c r="CH294" s="1170"/>
      <c r="CI294" s="1170"/>
      <c r="CJ294" s="1170"/>
      <c r="CK294" s="1170"/>
      <c r="CL294" s="1170"/>
      <c r="CM294" s="1170"/>
      <c r="CN294" s="1170"/>
      <c r="CO294" s="1170"/>
      <c r="CP294" s="1160"/>
      <c r="CQ294" s="1160"/>
      <c r="CR294" s="1160"/>
      <c r="CS294" s="1160"/>
      <c r="CT294" s="1160"/>
      <c r="CU294" s="1160"/>
      <c r="CV294" s="1160"/>
      <c r="CW294" s="1160"/>
      <c r="CX294" s="1160"/>
      <c r="CY294" s="1160"/>
      <c r="CZ294" s="1171"/>
      <c r="DA294" s="1160"/>
      <c r="DB294" s="1182" t="str">
        <f t="shared" ref="DB294:DC298" si="7">CN269</f>
        <v>Property</v>
      </c>
      <c r="DC294" s="1182" t="str">
        <f t="shared" si="7"/>
        <v>Units</v>
      </c>
      <c r="DD294" s="1170"/>
      <c r="DE294" s="1170"/>
      <c r="DF294" s="1193" t="s">
        <v>226</v>
      </c>
      <c r="DG294" s="1160"/>
      <c r="DH294" s="1194" t="s">
        <v>522</v>
      </c>
      <c r="DI294" s="1160"/>
      <c r="DJ294" s="1160"/>
      <c r="DK294" s="1160"/>
      <c r="DL294" s="1160"/>
      <c r="DM294" s="1171"/>
      <c r="DN294" s="1160"/>
      <c r="DO294" s="1160"/>
      <c r="DP294" s="1160"/>
      <c r="DQ294" s="1160"/>
      <c r="DR294" s="1160"/>
      <c r="DS294" s="1160"/>
      <c r="DT294" s="1160"/>
      <c r="DU294" s="1160"/>
      <c r="DV294" s="1160"/>
      <c r="DW294" s="1160"/>
      <c r="DX294" s="1160"/>
      <c r="DY294" s="1160"/>
      <c r="DZ294" s="1160"/>
      <c r="EA294" s="1160"/>
      <c r="EB294" s="1160"/>
      <c r="EC294" s="1160"/>
    </row>
    <row r="295" spans="1:133" x14ac:dyDescent="0.2">
      <c r="A295" s="1160"/>
      <c r="B295" s="1160"/>
      <c r="C295" s="1160"/>
      <c r="D295" s="1160"/>
      <c r="E295" s="1170"/>
      <c r="F295" s="1170"/>
      <c r="G295" s="1170"/>
      <c r="H295" s="1170"/>
      <c r="I295" s="1170"/>
      <c r="J295" s="1170"/>
      <c r="K295" s="1170"/>
      <c r="L295" s="1170"/>
      <c r="M295" s="1170"/>
      <c r="N295" s="1170"/>
      <c r="O295" s="1170"/>
      <c r="P295" s="1170"/>
      <c r="Q295" s="1170"/>
      <c r="R295" s="1170"/>
      <c r="S295" s="1170"/>
      <c r="T295" s="1170"/>
      <c r="U295" s="1170"/>
      <c r="V295" s="1170"/>
      <c r="W295" s="1170"/>
      <c r="X295" s="1170"/>
      <c r="Y295" s="1170"/>
      <c r="Z295" s="1170"/>
      <c r="AA295" s="1170"/>
      <c r="AB295" s="1170"/>
      <c r="AC295" s="1170"/>
      <c r="AD295" s="1170"/>
      <c r="AE295" s="1170"/>
      <c r="AF295" s="1170"/>
      <c r="AG295" s="1170"/>
      <c r="AH295" s="1170"/>
      <c r="AI295" s="1170"/>
      <c r="AJ295" s="1170"/>
      <c r="AK295" s="1170"/>
      <c r="AL295" s="1182" t="str">
        <f t="shared" si="6"/>
        <v>Density</v>
      </c>
      <c r="AM295" s="1170" t="str">
        <f ca="1">AK252</f>
        <v>kg/m^3</v>
      </c>
      <c r="AN295" s="1905">
        <f ca="1">IF(HydroRefineryConfig=0,HydroRefineryCalcs!E97,IF(OR(HydroRefineryConfig=1,HydroRefineryConfig=2,HydroRefineryConfig=3),HydroRefineryCalcs!J521,0))</f>
        <v>824.46394358863085</v>
      </c>
      <c r="AO295" s="1170"/>
      <c r="AP295" s="1170"/>
      <c r="AQ295" s="1170"/>
      <c r="AR295" s="1170"/>
      <c r="AS295" s="1170"/>
      <c r="AT295" s="1170"/>
      <c r="AU295" s="1170"/>
      <c r="AV295" s="1170"/>
      <c r="AW295" s="1170"/>
      <c r="AX295" s="1170"/>
      <c r="AY295" s="1170"/>
      <c r="AZ295" s="1170"/>
      <c r="BA295" s="1170"/>
      <c r="BB295" s="1170"/>
      <c r="BC295" s="1170"/>
      <c r="BD295" s="1170"/>
      <c r="BE295" s="1170"/>
      <c r="BF295" s="1170"/>
      <c r="BG295" s="1170"/>
      <c r="BH295" s="1170"/>
      <c r="BI295" s="1170"/>
      <c r="BJ295" s="1170"/>
      <c r="BK295" s="1170"/>
      <c r="BL295" s="1170"/>
      <c r="BM295" s="1170"/>
      <c r="BN295" s="1170"/>
      <c r="BO295" s="1170"/>
      <c r="BP295" s="1170"/>
      <c r="BQ295" s="1170"/>
      <c r="BR295" s="1170"/>
      <c r="BS295" s="1170"/>
      <c r="BT295" s="1170"/>
      <c r="BU295" s="1170"/>
      <c r="BV295" s="1170"/>
      <c r="BW295" s="1170"/>
      <c r="BX295" s="1170"/>
      <c r="BY295" s="1170"/>
      <c r="BZ295" s="1170"/>
      <c r="CA295" s="1170"/>
      <c r="CB295" s="1170"/>
      <c r="CC295" s="1170"/>
      <c r="CD295" s="1170"/>
      <c r="CE295" s="1170"/>
      <c r="CF295" s="1170"/>
      <c r="CG295" s="1170"/>
      <c r="CH295" s="1170"/>
      <c r="CI295" s="1170"/>
      <c r="CJ295" s="1170"/>
      <c r="CK295" s="1170"/>
      <c r="CL295" s="1170"/>
      <c r="CM295" s="1170"/>
      <c r="CN295" s="1170"/>
      <c r="CO295" s="1170"/>
      <c r="CP295" s="1160"/>
      <c r="CQ295" s="1160"/>
      <c r="CR295" s="1160"/>
      <c r="CS295" s="1160"/>
      <c r="CT295" s="1160"/>
      <c r="CU295" s="1160"/>
      <c r="CV295" s="1160"/>
      <c r="CW295" s="1160"/>
      <c r="CX295" s="1160"/>
      <c r="CY295" s="1160"/>
      <c r="CZ295" s="1171"/>
      <c r="DA295" s="1160"/>
      <c r="DB295" s="1186" t="str">
        <f t="shared" si="7"/>
        <v>Vol Flow</v>
      </c>
      <c r="DC295" s="1170" t="str">
        <f t="shared" si="7"/>
        <v>bpd</v>
      </c>
      <c r="DD295" s="1170">
        <f ca="1">CP270+IF(HydroRefineryConfig&lt;4,AN290,0)</f>
        <v>28238.054386069471</v>
      </c>
      <c r="DE295" s="1170"/>
      <c r="DF295" s="1160" t="s">
        <v>263</v>
      </c>
      <c r="DG295" s="1160"/>
      <c r="DH295" s="1187">
        <f t="shared" ref="DH295:DH300" ca="1" si="8">CU270+IF((HydroRefineryConfig&lt;4),AN305,0)</f>
        <v>0</v>
      </c>
      <c r="DI295" s="1160"/>
      <c r="DJ295" s="1160"/>
      <c r="DK295" s="1160"/>
      <c r="DL295" s="1160"/>
      <c r="DM295" s="1171"/>
      <c r="DN295" s="1160"/>
      <c r="DO295" s="1160"/>
      <c r="DP295" s="1160"/>
      <c r="DQ295" s="1160"/>
      <c r="DR295" s="1160"/>
      <c r="DS295" s="1160"/>
      <c r="DT295" s="1160"/>
      <c r="DU295" s="1160"/>
      <c r="DV295" s="1160"/>
      <c r="DW295" s="1160"/>
      <c r="DX295" s="1160"/>
      <c r="DY295" s="1160"/>
      <c r="DZ295" s="1160"/>
      <c r="EA295" s="1160"/>
      <c r="EB295" s="1160"/>
      <c r="EC295" s="1160"/>
    </row>
    <row r="296" spans="1:133" x14ac:dyDescent="0.2">
      <c r="A296" s="1160"/>
      <c r="B296" s="1160"/>
      <c r="C296" s="1160"/>
      <c r="D296" s="1160"/>
      <c r="E296" s="1170"/>
      <c r="F296" s="1170"/>
      <c r="G296" s="1170"/>
      <c r="H296" s="1170"/>
      <c r="I296" s="1170"/>
      <c r="J296" s="1170"/>
      <c r="K296" s="1170"/>
      <c r="L296" s="1170"/>
      <c r="M296" s="1170"/>
      <c r="N296" s="1170"/>
      <c r="O296" s="1170"/>
      <c r="P296" s="1170"/>
      <c r="Q296" s="1170"/>
      <c r="R296" s="1170"/>
      <c r="S296" s="1170"/>
      <c r="T296" s="1170"/>
      <c r="U296" s="1170"/>
      <c r="V296" s="1170"/>
      <c r="W296" s="1170"/>
      <c r="X296" s="1170"/>
      <c r="Y296" s="1170"/>
      <c r="Z296" s="1170"/>
      <c r="AA296" s="1170"/>
      <c r="AB296" s="1170"/>
      <c r="AC296" s="1170"/>
      <c r="AD296" s="1170"/>
      <c r="AE296" s="1170"/>
      <c r="AF296" s="1170"/>
      <c r="AG296" s="1170"/>
      <c r="AH296" s="1170"/>
      <c r="AI296" s="1170"/>
      <c r="AJ296" s="1170"/>
      <c r="AK296" s="1170"/>
      <c r="AL296" s="1182" t="str">
        <f t="shared" si="6"/>
        <v>Hydrogen</v>
      </c>
      <c r="AM296" s="1170" t="str">
        <f ca="1">AK253</f>
        <v>wt%</v>
      </c>
      <c r="AN296" s="1906">
        <f ca="1">IF(HydroRefineryConfig=0,HydroRefineryCalcs!I97,IF(OR(HydroRefineryConfig=1,HydroRefineryConfig=2,HydroRefineryConfig=3),HydroRefineryCalcs!J522,0))</f>
        <v>12.849096068230512</v>
      </c>
      <c r="AO296" s="1170"/>
      <c r="AP296" s="1170"/>
      <c r="AQ296" s="1170"/>
      <c r="AR296" s="1170"/>
      <c r="AS296" s="1170"/>
      <c r="AT296" s="1170"/>
      <c r="AW296" s="1170"/>
      <c r="AX296" s="1170"/>
      <c r="AY296" s="1170"/>
      <c r="AZ296" s="1170"/>
      <c r="BA296" s="1170"/>
      <c r="BB296" s="1170"/>
      <c r="BC296" s="1170"/>
      <c r="BD296" s="1170"/>
      <c r="BE296" s="1170"/>
      <c r="BF296" s="1170"/>
      <c r="BG296" s="1170"/>
      <c r="BH296" s="1170"/>
      <c r="BI296" s="1170"/>
      <c r="BJ296" s="1170"/>
      <c r="BK296" s="1170"/>
      <c r="BL296" s="1170"/>
      <c r="BM296" s="1170"/>
      <c r="BN296" s="1170"/>
      <c r="BO296" s="1170"/>
      <c r="BP296" s="1170"/>
      <c r="BQ296" s="1170"/>
      <c r="BR296" s="1170"/>
      <c r="BS296" s="1170"/>
      <c r="BT296" s="1170"/>
      <c r="BU296" s="1170"/>
      <c r="BV296" s="1170"/>
      <c r="BW296" s="1170"/>
      <c r="BX296" s="1170"/>
      <c r="BY296" s="1170"/>
      <c r="BZ296" s="1170"/>
      <c r="CA296" s="1170"/>
      <c r="CB296" s="1170"/>
      <c r="CC296" s="1170"/>
      <c r="CD296" s="1170"/>
      <c r="CE296" s="1170"/>
      <c r="CF296" s="1170"/>
      <c r="CG296" s="1170"/>
      <c r="CH296" s="1170"/>
      <c r="CI296" s="1170"/>
      <c r="CJ296" s="1170"/>
      <c r="CK296" s="1170"/>
      <c r="CL296" s="1170"/>
      <c r="CM296" s="1170"/>
      <c r="CN296" s="1170"/>
      <c r="CO296" s="1170"/>
      <c r="CP296" s="1160"/>
      <c r="CQ296" s="1160"/>
      <c r="CR296" s="1160"/>
      <c r="CS296" s="1160"/>
      <c r="CT296" s="1160"/>
      <c r="CU296" s="1160"/>
      <c r="CV296" s="1160"/>
      <c r="CW296" s="1160"/>
      <c r="CX296" s="1160"/>
      <c r="CY296" s="1160"/>
      <c r="CZ296" s="1171"/>
      <c r="DA296" s="1160"/>
      <c r="DB296" s="1186" t="str">
        <f t="shared" si="7"/>
        <v>Vol Flow</v>
      </c>
      <c r="DC296" s="1170" t="str">
        <f t="shared" si="7"/>
        <v>m^3/d</v>
      </c>
      <c r="DD296" s="1170">
        <f ca="1">CP271+IF(HydroRefineryConfig&lt;4,AN291,0)</f>
        <v>4489.4920240943429</v>
      </c>
      <c r="DE296" s="1170"/>
      <c r="DF296" s="1160" t="s">
        <v>392</v>
      </c>
      <c r="DG296" s="1160"/>
      <c r="DH296" s="1187">
        <f t="shared" ca="1" si="8"/>
        <v>0</v>
      </c>
      <c r="DI296" s="1160"/>
      <c r="DJ296" s="1160"/>
      <c r="DK296" s="1160"/>
      <c r="DL296" s="1160"/>
      <c r="DM296" s="1171"/>
      <c r="DN296" s="1160"/>
      <c r="DO296" s="1160"/>
      <c r="DP296" s="1160"/>
      <c r="DQ296" s="1160"/>
      <c r="DR296" s="1160"/>
      <c r="DS296" s="1160"/>
      <c r="DT296" s="1160"/>
      <c r="DU296" s="1160"/>
      <c r="DV296" s="1160"/>
      <c r="DW296" s="1160"/>
      <c r="DX296" s="1160"/>
      <c r="DY296" s="1160"/>
      <c r="DZ296" s="1160"/>
      <c r="EA296" s="1160"/>
      <c r="EB296" s="1160"/>
      <c r="EC296" s="1160"/>
    </row>
    <row r="297" spans="1:133" x14ac:dyDescent="0.2">
      <c r="A297" s="1160"/>
      <c r="B297" s="1160"/>
      <c r="C297" s="1160"/>
      <c r="D297" s="1160"/>
      <c r="E297" s="1170"/>
      <c r="F297" s="1170"/>
      <c r="G297" s="1170"/>
      <c r="H297" s="1170"/>
      <c r="I297" s="1170"/>
      <c r="J297" s="1170"/>
      <c r="K297" s="1170"/>
      <c r="L297" s="1170"/>
      <c r="M297" s="1170"/>
      <c r="N297" s="1170"/>
      <c r="O297" s="1170"/>
      <c r="P297" s="1170"/>
      <c r="Q297" s="1170"/>
      <c r="R297" s="1170"/>
      <c r="S297" s="1170"/>
      <c r="T297" s="1170"/>
      <c r="U297" s="1170"/>
      <c r="V297" s="1170"/>
      <c r="W297" s="1170"/>
      <c r="X297" s="1170"/>
      <c r="Y297" s="1170"/>
      <c r="Z297" s="1170"/>
      <c r="AA297" s="1170"/>
      <c r="AB297" s="1170"/>
      <c r="AC297" s="1170"/>
      <c r="AD297" s="1170"/>
      <c r="AE297" s="1170"/>
      <c r="AF297" s="1170"/>
      <c r="AG297" s="1170"/>
      <c r="AH297" s="1170"/>
      <c r="AI297" s="1170"/>
      <c r="AJ297" s="1170"/>
      <c r="AK297" s="1170"/>
      <c r="AL297" s="1186" t="s">
        <v>544</v>
      </c>
      <c r="AM297" s="1170" t="s">
        <v>579</v>
      </c>
      <c r="AN297" s="1205">
        <f ca="1">IF(HydroRefineryConfig=0,HydroRefineryCalcs!K55,IF(OR(HydroRefineryConfig=1,HydroRefineryConfig=2,HydroRefineryConfig=3),"",0))</f>
        <v>4.4374255523499508</v>
      </c>
      <c r="AO297" s="1170"/>
      <c r="AP297" s="1170"/>
      <c r="AQ297" s="1170"/>
      <c r="AR297" s="1170"/>
      <c r="AS297" s="1170"/>
      <c r="AT297" s="1170"/>
      <c r="AU297" s="1170"/>
      <c r="AV297" s="1170"/>
      <c r="AW297" s="1170"/>
      <c r="AX297" s="1170"/>
      <c r="AY297" s="1170"/>
      <c r="AZ297" s="1170"/>
      <c r="BA297" s="1170"/>
      <c r="BB297" s="1170"/>
      <c r="BC297" s="1170"/>
      <c r="BD297" s="1170"/>
      <c r="BE297" s="1170"/>
      <c r="BF297" s="1170"/>
      <c r="BG297" s="1170"/>
      <c r="BH297" s="1170"/>
      <c r="BI297" s="1170"/>
      <c r="BJ297" s="1170"/>
      <c r="BK297" s="1170"/>
      <c r="BL297" s="1170"/>
      <c r="BM297" s="1170"/>
      <c r="BN297" s="1170"/>
      <c r="BO297" s="1170"/>
      <c r="BP297" s="1170"/>
      <c r="BQ297" s="1170"/>
      <c r="BR297" s="1170"/>
      <c r="BS297" s="1170"/>
      <c r="BT297" s="1170"/>
      <c r="BU297" s="1170"/>
      <c r="BV297" s="1170"/>
      <c r="BW297" s="1170"/>
      <c r="BX297" s="1170"/>
      <c r="BY297" s="1170"/>
      <c r="BZ297" s="1170"/>
      <c r="CA297" s="1170"/>
      <c r="CB297" s="1170"/>
      <c r="CC297" s="1170"/>
      <c r="CD297" s="1170"/>
      <c r="CE297" s="1170"/>
      <c r="CF297" s="1170"/>
      <c r="CG297" s="1170"/>
      <c r="CH297" s="1170"/>
      <c r="CI297" s="1170"/>
      <c r="CJ297" s="1170"/>
      <c r="CK297" s="1170"/>
      <c r="CL297" s="1170"/>
      <c r="CM297" s="1170"/>
      <c r="CN297" s="1170"/>
      <c r="CO297" s="1170"/>
      <c r="CP297" s="1160"/>
      <c r="CQ297" s="1160"/>
      <c r="CR297" s="1160"/>
      <c r="CS297" s="1160"/>
      <c r="CT297" s="1160"/>
      <c r="CU297" s="1160"/>
      <c r="CV297" s="1160"/>
      <c r="CW297" s="1160"/>
      <c r="CX297" s="1160"/>
      <c r="CY297" s="1160"/>
      <c r="CZ297" s="1171"/>
      <c r="DA297" s="1160"/>
      <c r="DB297" s="1186" t="str">
        <f t="shared" si="7"/>
        <v>Mass Flow</v>
      </c>
      <c r="DC297" s="1170" t="str">
        <f t="shared" si="7"/>
        <v>kg/d</v>
      </c>
      <c r="DD297" s="1170">
        <f ca="1">CP272+IF(HydroRefineryConfig&lt;4,AN292,0)</f>
        <v>3701424.2988945264</v>
      </c>
      <c r="DE297" s="1170"/>
      <c r="DF297" s="1160" t="s">
        <v>224</v>
      </c>
      <c r="DG297" s="1160"/>
      <c r="DH297" s="1187">
        <f t="shared" ca="1" si="8"/>
        <v>0</v>
      </c>
      <c r="DI297" s="1160"/>
      <c r="DJ297" s="1160"/>
      <c r="DK297" s="1160"/>
      <c r="DL297" s="1160"/>
      <c r="DM297" s="1171"/>
      <c r="DN297" s="1160"/>
      <c r="DO297" s="1160"/>
      <c r="DP297" s="1160"/>
      <c r="DQ297" s="1160"/>
      <c r="DR297" s="1160"/>
      <c r="DS297" s="1160"/>
      <c r="DT297" s="1160"/>
      <c r="DU297" s="1160"/>
      <c r="DV297" s="1160"/>
      <c r="DW297" s="1160"/>
      <c r="DX297" s="1160"/>
      <c r="DY297" s="1160"/>
      <c r="DZ297" s="1160"/>
      <c r="EA297" s="1160"/>
      <c r="EB297" s="1160"/>
      <c r="EC297" s="1160"/>
    </row>
    <row r="298" spans="1:133" x14ac:dyDescent="0.2">
      <c r="A298" s="1160"/>
      <c r="B298" s="1160"/>
      <c r="C298" s="1160"/>
      <c r="D298" s="1160"/>
      <c r="E298" s="1170"/>
      <c r="F298" s="1170"/>
      <c r="G298" s="1170"/>
      <c r="H298" s="1170"/>
      <c r="I298" s="1170"/>
      <c r="J298" s="1170"/>
      <c r="K298" s="1170"/>
      <c r="L298" s="1170"/>
      <c r="M298" s="1170"/>
      <c r="N298" s="1170"/>
      <c r="O298" s="1170"/>
      <c r="P298" s="1170"/>
      <c r="Q298" s="1170"/>
      <c r="R298" s="1170"/>
      <c r="S298" s="1170"/>
      <c r="T298" s="1170"/>
      <c r="U298" s="1170"/>
      <c r="V298" s="1170"/>
      <c r="W298" s="1170"/>
      <c r="X298" s="1170"/>
      <c r="Y298" s="1170"/>
      <c r="Z298" s="1170"/>
      <c r="AA298" s="1170"/>
      <c r="AB298" s="1170"/>
      <c r="AC298" s="1170"/>
      <c r="AD298" s="1170"/>
      <c r="AE298" s="1170"/>
      <c r="AF298" s="1170"/>
      <c r="AG298" s="1170"/>
      <c r="AH298" s="1170"/>
      <c r="AI298" s="1170"/>
      <c r="AJ298" s="1170"/>
      <c r="AK298" s="1170"/>
      <c r="AL298" s="1200" t="s">
        <v>1056</v>
      </c>
      <c r="AM298" s="1199" t="s">
        <v>447</v>
      </c>
      <c r="AN298" s="1306">
        <f ca="1">('Energy &amp; Unit Conversions'!$D$63-('Energy &amp; Unit Conversions'!$E$63*POWER((AN295/'Energy &amp; Unit Conversions'!$E$54),2)))</f>
        <v>41.298809746331258</v>
      </c>
      <c r="AO298" s="1170"/>
      <c r="AP298" s="1170"/>
      <c r="AQ298" s="1170"/>
      <c r="AR298" s="1170"/>
      <c r="AS298" s="1170"/>
      <c r="AT298" s="1170"/>
      <c r="AU298" s="1170"/>
      <c r="AV298" s="1170"/>
      <c r="AW298" s="1170"/>
      <c r="AX298" s="1170"/>
      <c r="AY298" s="1170"/>
      <c r="AZ298" s="1170"/>
      <c r="BA298" s="1170"/>
      <c r="BB298" s="1170"/>
      <c r="BC298" s="1170"/>
      <c r="BD298" s="1170"/>
      <c r="BE298" s="1170"/>
      <c r="BF298" s="1170"/>
      <c r="BG298" s="1170"/>
      <c r="BH298" s="1170"/>
      <c r="BI298" s="1170"/>
      <c r="BJ298" s="1170"/>
      <c r="BK298" s="1170"/>
      <c r="BL298" s="1170"/>
      <c r="BM298" s="1170"/>
      <c r="BN298" s="1170"/>
      <c r="BO298" s="1170"/>
      <c r="BP298" s="1170"/>
      <c r="BQ298" s="1170"/>
      <c r="BR298" s="1170"/>
      <c r="BS298" s="1170"/>
      <c r="BT298" s="1170"/>
      <c r="BU298" s="1170"/>
      <c r="BV298" s="1170"/>
      <c r="BW298" s="1170"/>
      <c r="BX298" s="1170"/>
      <c r="BY298" s="1170"/>
      <c r="BZ298" s="1170"/>
      <c r="CA298" s="1170"/>
      <c r="CB298" s="1170"/>
      <c r="CC298" s="1170"/>
      <c r="CD298" s="1170"/>
      <c r="CE298" s="1170"/>
      <c r="CF298" s="1170"/>
      <c r="CG298" s="1170"/>
      <c r="CH298" s="1170"/>
      <c r="CI298" s="1170"/>
      <c r="CJ298" s="1170"/>
      <c r="CK298" s="1170"/>
      <c r="CL298" s="1170"/>
      <c r="CM298" s="1170"/>
      <c r="CN298" s="1170"/>
      <c r="CO298" s="1170"/>
      <c r="CP298" s="1160"/>
      <c r="CQ298" s="1160"/>
      <c r="CR298" s="1160"/>
      <c r="CS298" s="1160"/>
      <c r="CT298" s="1160"/>
      <c r="CU298" s="1160"/>
      <c r="CV298" s="1160"/>
      <c r="CW298" s="1160"/>
      <c r="CX298" s="1160"/>
      <c r="CY298" s="1160"/>
      <c r="CZ298" s="1171"/>
      <c r="DA298" s="1160"/>
      <c r="DB298" s="1186" t="str">
        <f t="shared" si="7"/>
        <v>S</v>
      </c>
      <c r="DC298" s="1170" t="str">
        <f t="shared" si="7"/>
        <v>wt%</v>
      </c>
      <c r="DD298" s="1170">
        <f ca="1">((CP273*$CP$272)+IF(HydroRefineryConfig&lt;4,(AN293*$AN$292),0))/$DD$297</f>
        <v>0.40136935229490656</v>
      </c>
      <c r="DE298" s="1170"/>
      <c r="DF298" s="1160" t="s">
        <v>485</v>
      </c>
      <c r="DG298" s="1160"/>
      <c r="DH298" s="1187">
        <f t="shared" ca="1" si="8"/>
        <v>0</v>
      </c>
      <c r="DI298" s="1160"/>
      <c r="DJ298" s="1160"/>
      <c r="DK298" s="1160"/>
      <c r="DL298" s="1160"/>
      <c r="DM298" s="1171"/>
      <c r="DN298" s="1160"/>
      <c r="DO298" s="1160"/>
      <c r="DP298" s="1160"/>
      <c r="DQ298" s="1160"/>
      <c r="DR298" s="1160"/>
      <c r="DS298" s="1160"/>
      <c r="DT298" s="1160"/>
      <c r="DU298" s="1160"/>
      <c r="DV298" s="1160"/>
      <c r="DW298" s="1160"/>
      <c r="DX298" s="1160"/>
      <c r="DY298" s="1160"/>
      <c r="DZ298" s="1160"/>
      <c r="EA298" s="1160"/>
      <c r="EB298" s="1160"/>
      <c r="EC298" s="1160"/>
    </row>
    <row r="299" spans="1:133" x14ac:dyDescent="0.2">
      <c r="A299" s="1160"/>
      <c r="B299" s="1160"/>
      <c r="C299" s="1160"/>
      <c r="D299" s="1160"/>
      <c r="E299" s="1170"/>
      <c r="F299" s="1170"/>
      <c r="G299" s="1170"/>
      <c r="H299" s="1170"/>
      <c r="I299" s="1170"/>
      <c r="J299" s="1170"/>
      <c r="K299" s="1170"/>
      <c r="L299" s="1170"/>
      <c r="M299" s="1170"/>
      <c r="N299" s="1170"/>
      <c r="O299" s="1170"/>
      <c r="P299" s="1170"/>
      <c r="Q299" s="1170"/>
      <c r="R299" s="1170"/>
      <c r="S299" s="1170"/>
      <c r="T299" s="1170"/>
      <c r="U299" s="1170"/>
      <c r="V299" s="1170"/>
      <c r="W299" s="1170"/>
      <c r="X299" s="1170"/>
      <c r="Y299" s="1170"/>
      <c r="Z299" s="1170"/>
      <c r="AA299" s="1170"/>
      <c r="AB299" s="1170"/>
      <c r="AC299" s="1170"/>
      <c r="AD299" s="1170"/>
      <c r="AE299" s="1170"/>
      <c r="AF299" s="1170"/>
      <c r="AG299" s="1170"/>
      <c r="AH299" s="1170"/>
      <c r="AI299" s="1170"/>
      <c r="AJ299" s="1170"/>
      <c r="AK299" s="1170"/>
      <c r="AL299" s="1200" t="s">
        <v>1021</v>
      </c>
      <c r="AM299" s="1199" t="s">
        <v>1022</v>
      </c>
      <c r="AN299" s="1307">
        <f ca="1">IF(HydroRefineryConfig=0,W140,IF(OR(HydroRefineryConfig=1,HydroRefineryConfig=2,HydroRefineryConfig=3),AL256,0))</f>
        <v>69.300827026367188</v>
      </c>
      <c r="AO299" s="1170"/>
      <c r="AP299" s="1170"/>
      <c r="AQ299" s="1170"/>
      <c r="AR299" s="1170"/>
      <c r="AS299" s="1170"/>
      <c r="AT299" s="1170"/>
      <c r="AU299" s="1170"/>
      <c r="AV299" s="1170"/>
      <c r="AW299" s="1170"/>
      <c r="AX299" s="1170"/>
      <c r="AY299" s="1170"/>
      <c r="AZ299" s="1170"/>
      <c r="BA299" s="1170"/>
      <c r="BB299" s="1170"/>
      <c r="BC299" s="1170"/>
      <c r="BD299" s="1170"/>
      <c r="BE299" s="1170"/>
      <c r="BF299" s="1170"/>
      <c r="BG299" s="1170"/>
      <c r="BH299" s="1170"/>
      <c r="BI299" s="1170"/>
      <c r="BJ299" s="1170"/>
      <c r="BK299" s="1170"/>
      <c r="BL299" s="1170"/>
      <c r="BM299" s="1170"/>
      <c r="BN299" s="1170"/>
      <c r="BO299" s="1170"/>
      <c r="BP299" s="1170"/>
      <c r="BQ299" s="1170"/>
      <c r="BR299" s="1170"/>
      <c r="BS299" s="1170"/>
      <c r="BT299" s="1170"/>
      <c r="BU299" s="1170"/>
      <c r="BV299" s="1170"/>
      <c r="BW299" s="1170"/>
      <c r="BX299" s="1170"/>
      <c r="BY299" s="1170"/>
      <c r="BZ299" s="1170"/>
      <c r="CA299" s="1170"/>
      <c r="CB299" s="1170"/>
      <c r="CC299" s="1170"/>
      <c r="CD299" s="1170"/>
      <c r="CE299" s="1170"/>
      <c r="CF299" s="1170"/>
      <c r="CG299" s="1170"/>
      <c r="CH299" s="1170"/>
      <c r="CI299" s="1170"/>
      <c r="CJ299" s="1170"/>
      <c r="CK299" s="1170"/>
      <c r="CL299" s="1170"/>
      <c r="CM299" s="1170"/>
      <c r="CN299" s="1170"/>
      <c r="CO299" s="1170"/>
      <c r="CP299" s="1160"/>
      <c r="CQ299" s="1160"/>
      <c r="CR299" s="1160"/>
      <c r="CS299" s="1160"/>
      <c r="CT299" s="1160"/>
      <c r="CU299" s="1160"/>
      <c r="CV299" s="1160"/>
      <c r="CW299" s="1160"/>
      <c r="CX299" s="1160"/>
      <c r="CY299" s="1160"/>
      <c r="CZ299" s="1171"/>
      <c r="DA299" s="1160"/>
      <c r="DB299" s="1186" t="str">
        <f>CN274</f>
        <v>API</v>
      </c>
      <c r="DC299" s="1170"/>
      <c r="DD299" s="1170">
        <f ca="1">((CP274*$CP$272)+IF(HydroRefineryConfig&lt;4,(AN294*$AN$292),0))/$DD$297</f>
        <v>12.849096068230512</v>
      </c>
      <c r="DE299" s="1170"/>
      <c r="DF299" s="1160" t="s">
        <v>541</v>
      </c>
      <c r="DG299" s="1160"/>
      <c r="DH299" s="1187">
        <f t="shared" ca="1" si="8"/>
        <v>0</v>
      </c>
      <c r="DI299" s="1160"/>
      <c r="DJ299" s="1160"/>
      <c r="DK299" s="1160"/>
      <c r="DL299" s="1160"/>
      <c r="DM299" s="1171"/>
      <c r="DN299" s="1160"/>
      <c r="DO299" s="1160"/>
      <c r="DP299" s="1160"/>
      <c r="DQ299" s="1160"/>
      <c r="DR299" s="1160"/>
      <c r="DS299" s="1160"/>
      <c r="DT299" s="1160"/>
      <c r="DU299" s="1160"/>
      <c r="DV299" s="1160"/>
      <c r="DW299" s="1160"/>
      <c r="DX299" s="1160"/>
      <c r="DY299" s="1160"/>
      <c r="DZ299" s="1160"/>
      <c r="EA299" s="1160"/>
      <c r="EB299" s="1160"/>
      <c r="EC299" s="1160"/>
    </row>
    <row r="300" spans="1:133" x14ac:dyDescent="0.2">
      <c r="A300" s="1160"/>
      <c r="B300" s="1160"/>
      <c r="C300" s="1160"/>
      <c r="D300" s="1160"/>
      <c r="E300" s="1170"/>
      <c r="F300" s="1170"/>
      <c r="G300" s="1170"/>
      <c r="H300" s="1170"/>
      <c r="I300" s="1170"/>
      <c r="J300" s="1170"/>
      <c r="K300" s="1170"/>
      <c r="L300" s="1170"/>
      <c r="M300" s="1170"/>
      <c r="N300" s="1170"/>
      <c r="O300" s="1170"/>
      <c r="P300" s="1170"/>
      <c r="Q300" s="1170"/>
      <c r="R300" s="1170"/>
      <c r="S300" s="1170"/>
      <c r="T300" s="1170"/>
      <c r="U300" s="1170"/>
      <c r="V300" s="1170"/>
      <c r="W300" s="1170"/>
      <c r="X300" s="1170"/>
      <c r="Y300" s="1170"/>
      <c r="Z300" s="1170"/>
      <c r="AA300" s="1170"/>
      <c r="AB300" s="1170"/>
      <c r="AC300" s="1170"/>
      <c r="AD300" s="1170"/>
      <c r="AE300" s="1170"/>
      <c r="AF300" s="1170"/>
      <c r="AG300" s="1170"/>
      <c r="AH300" s="1170"/>
      <c r="AI300" s="1170"/>
      <c r="AJ300" s="1170"/>
      <c r="AK300" s="1170"/>
      <c r="AL300" s="1204" t="s">
        <v>1054</v>
      </c>
      <c r="AM300" s="1204" t="str">
        <f>IF(allocationMethod=1,CokingRefineryPFD!$C$21,IF(allocationMethod=2,CokingRefineryPFD!$C$22,IF(allocationMethod=3,CokingRefineryPFD!$C$23,CokingRefineryPFD!$C$24)))</f>
        <v>Hydrogen Content Basis</v>
      </c>
      <c r="AN300" s="1306">
        <f ca="1">IF(allocationMethod=1,AN292,IF(allocationMethod=2,AN298*AN292,IF(allocationMethod=3,AN299*AN290,AN296*AN292/100)))</f>
        <v>475599.56405778544</v>
      </c>
      <c r="AO300" s="1170"/>
      <c r="AP300" s="1170"/>
      <c r="AQ300" s="1170"/>
      <c r="AR300" s="1170"/>
      <c r="AS300" s="1170"/>
      <c r="AT300" s="1170"/>
      <c r="AU300" s="1170"/>
      <c r="AV300" s="1170"/>
      <c r="AW300" s="1170"/>
      <c r="AX300" s="1170"/>
      <c r="AY300" s="1170"/>
      <c r="AZ300" s="1170"/>
      <c r="BA300" s="1170"/>
      <c r="BB300" s="1170"/>
      <c r="BC300" s="1170"/>
      <c r="BD300" s="1170"/>
      <c r="BE300" s="1170"/>
      <c r="BF300" s="1170"/>
      <c r="BG300" s="1170"/>
      <c r="BH300" s="1170"/>
      <c r="BI300" s="1170"/>
      <c r="BJ300" s="1170"/>
      <c r="BK300" s="1170"/>
      <c r="BL300" s="1170"/>
      <c r="BM300" s="1170"/>
      <c r="BN300" s="1170"/>
      <c r="BO300" s="1170"/>
      <c r="BP300" s="1170"/>
      <c r="BQ300" s="1170"/>
      <c r="BR300" s="1170"/>
      <c r="BS300" s="1170"/>
      <c r="BT300" s="1170"/>
      <c r="BU300" s="1170"/>
      <c r="BV300" s="1170"/>
      <c r="BW300" s="1170"/>
      <c r="BX300" s="1170"/>
      <c r="BY300" s="1170"/>
      <c r="BZ300" s="1170"/>
      <c r="CA300" s="1170"/>
      <c r="CB300" s="1170"/>
      <c r="CC300" s="1170"/>
      <c r="CD300" s="1170"/>
      <c r="CE300" s="1170"/>
      <c r="CF300" s="1170"/>
      <c r="CG300" s="1170"/>
      <c r="CH300" s="1170"/>
      <c r="CI300" s="1170"/>
      <c r="CJ300" s="1170"/>
      <c r="CK300" s="1170"/>
      <c r="CL300" s="1170"/>
      <c r="CM300" s="1170"/>
      <c r="CN300" s="1170"/>
      <c r="CO300" s="1170"/>
      <c r="CP300" s="1160"/>
      <c r="CQ300" s="1160"/>
      <c r="CR300" s="1160"/>
      <c r="CS300" s="1160"/>
      <c r="CT300" s="1160"/>
      <c r="CU300" s="1160"/>
      <c r="CV300" s="1160"/>
      <c r="CW300" s="1160"/>
      <c r="CX300" s="1160"/>
      <c r="CY300" s="1160"/>
      <c r="CZ300" s="1171"/>
      <c r="DA300" s="1160"/>
      <c r="DB300" s="1186" t="str">
        <f>CN275</f>
        <v>Density</v>
      </c>
      <c r="DC300" s="1170" t="str">
        <f>CO275</f>
        <v>kg/m^3</v>
      </c>
      <c r="DD300" s="1170">
        <f ca="1">((CP275*$CP$272)+IF(HydroRefineryConfig&lt;4,(AN295*$AN$292),0))/$DD$297</f>
        <v>824.46394358863085</v>
      </c>
      <c r="DE300" s="1170"/>
      <c r="DF300" s="1160" t="str">
        <f>CA257</f>
        <v>Catalyst Coke</v>
      </c>
      <c r="DG300" s="1160"/>
      <c r="DH300" s="1187">
        <f t="shared" ca="1" si="8"/>
        <v>0</v>
      </c>
      <c r="DI300" s="1160"/>
      <c r="DJ300" s="1160"/>
      <c r="DK300" s="1160"/>
      <c r="DL300" s="1160"/>
      <c r="DM300" s="1171"/>
      <c r="DN300" s="1160"/>
      <c r="DO300" s="1160"/>
      <c r="DP300" s="1160"/>
      <c r="DQ300" s="1160"/>
      <c r="DR300" s="1160"/>
      <c r="DS300" s="1160"/>
      <c r="DT300" s="1160"/>
      <c r="DU300" s="1160"/>
      <c r="DV300" s="1160"/>
      <c r="DW300" s="1160"/>
      <c r="DX300" s="1160"/>
      <c r="DY300" s="1160"/>
      <c r="DZ300" s="1160"/>
      <c r="EA300" s="1160"/>
      <c r="EB300" s="1160"/>
      <c r="EC300" s="1160"/>
    </row>
    <row r="301" spans="1:133" x14ac:dyDescent="0.2">
      <c r="A301" s="1160"/>
      <c r="B301" s="1160"/>
      <c r="C301" s="1160"/>
      <c r="D301" s="1160"/>
      <c r="E301" s="1170"/>
      <c r="F301" s="1170"/>
      <c r="G301" s="1170"/>
      <c r="H301" s="1170"/>
      <c r="I301" s="1170"/>
      <c r="J301" s="1170"/>
      <c r="K301" s="1170"/>
      <c r="L301" s="1170"/>
      <c r="M301" s="1170"/>
      <c r="N301" s="1170"/>
      <c r="O301" s="1170"/>
      <c r="P301" s="1170"/>
      <c r="Q301" s="1170"/>
      <c r="R301" s="1170"/>
      <c r="S301" s="1170"/>
      <c r="T301" s="1170"/>
      <c r="U301" s="1170"/>
      <c r="V301" s="1170"/>
      <c r="W301" s="1170"/>
      <c r="X301" s="1170"/>
      <c r="Y301" s="1170"/>
      <c r="Z301" s="1170"/>
      <c r="AA301" s="1170"/>
      <c r="AB301" s="1170"/>
      <c r="AC301" s="1170"/>
      <c r="AD301" s="1170"/>
      <c r="AE301" s="1170"/>
      <c r="AF301" s="1170"/>
      <c r="AG301" s="1170"/>
      <c r="AH301" s="1170"/>
      <c r="AI301" s="1170"/>
      <c r="AJ301" s="1170"/>
      <c r="AK301" s="1170"/>
      <c r="AL301" s="1170"/>
      <c r="AM301" s="1170"/>
      <c r="AN301" s="1170"/>
      <c r="AO301" s="1170"/>
      <c r="AP301" s="1170"/>
      <c r="AQ301" s="1170"/>
      <c r="AR301" s="1170"/>
      <c r="AS301" s="1170"/>
      <c r="AT301" s="1170"/>
      <c r="AU301" s="1170"/>
      <c r="AV301" s="1170"/>
      <c r="AW301" s="1170"/>
      <c r="AX301" s="1170"/>
      <c r="AY301" s="1170"/>
      <c r="AZ301" s="1170"/>
      <c r="BA301" s="1170"/>
      <c r="BB301" s="1170"/>
      <c r="BC301" s="1170"/>
      <c r="BD301" s="1170"/>
      <c r="BE301" s="1170"/>
      <c r="BF301" s="1170"/>
      <c r="BG301" s="1170"/>
      <c r="BH301" s="1170"/>
      <c r="BI301" s="1170"/>
      <c r="BJ301" s="1170"/>
      <c r="BK301" s="1170"/>
      <c r="BL301" s="1170"/>
      <c r="BM301" s="1170"/>
      <c r="BN301" s="1170"/>
      <c r="BO301" s="1170"/>
      <c r="BP301" s="1170"/>
      <c r="BQ301" s="1170"/>
      <c r="BR301" s="1170"/>
      <c r="BS301" s="1170"/>
      <c r="BT301" s="1170"/>
      <c r="BU301" s="1170"/>
      <c r="BV301" s="1170"/>
      <c r="BW301" s="1170"/>
      <c r="BX301" s="1170"/>
      <c r="BY301" s="1170"/>
      <c r="BZ301" s="1170"/>
      <c r="CA301" s="1170"/>
      <c r="CB301" s="1170"/>
      <c r="CC301" s="1170"/>
      <c r="CD301" s="1170"/>
      <c r="CE301" s="1170"/>
      <c r="CF301" s="1170"/>
      <c r="CG301" s="1170"/>
      <c r="CH301" s="1170"/>
      <c r="CI301" s="1170"/>
      <c r="CJ301" s="1170"/>
      <c r="CK301" s="1170"/>
      <c r="CL301" s="1170"/>
      <c r="CM301" s="1170"/>
      <c r="CN301" s="1170"/>
      <c r="CO301" s="1170"/>
      <c r="CP301" s="1160"/>
      <c r="CQ301" s="1160"/>
      <c r="CR301" s="1160"/>
      <c r="CS301" s="1160"/>
      <c r="CT301" s="1160"/>
      <c r="CU301" s="1160"/>
      <c r="CV301" s="1160"/>
      <c r="CW301" s="1160"/>
      <c r="CX301" s="1160"/>
      <c r="CY301" s="1160"/>
      <c r="CZ301" s="1171"/>
      <c r="DA301" s="1160"/>
      <c r="DB301" s="1186" t="str">
        <f>CN276</f>
        <v>H</v>
      </c>
      <c r="DC301" s="1170" t="str">
        <f>CO276</f>
        <v>wt%</v>
      </c>
      <c r="DD301" s="1170">
        <f ca="1">((CP276*$CP$272)+IF(HydroRefineryConfig&lt;4,(AN296*$AN$292),0))/$DD$297</f>
        <v>12.849096068230512</v>
      </c>
      <c r="DE301" s="1170"/>
      <c r="DF301" s="1191"/>
      <c r="DG301" s="1274"/>
      <c r="DH301" s="1288"/>
      <c r="DI301" s="1160"/>
      <c r="DJ301" s="1160"/>
      <c r="DK301" s="1160"/>
      <c r="DL301" s="1160"/>
      <c r="DM301" s="1171"/>
      <c r="DN301" s="1160"/>
      <c r="DO301" s="1160"/>
      <c r="DP301" s="1160"/>
      <c r="DQ301" s="1160"/>
      <c r="DR301" s="1160"/>
      <c r="DS301" s="1160"/>
      <c r="DT301" s="1160"/>
      <c r="DU301" s="1160"/>
      <c r="DV301" s="1160"/>
      <c r="DW301" s="1160"/>
      <c r="DX301" s="1160"/>
      <c r="DY301" s="1160"/>
      <c r="DZ301" s="1160"/>
      <c r="EA301" s="1160"/>
      <c r="EB301" s="1160"/>
      <c r="EC301" s="1160"/>
    </row>
    <row r="302" spans="1:133" x14ac:dyDescent="0.2">
      <c r="A302" s="1160"/>
      <c r="B302" s="1160"/>
      <c r="C302" s="1160"/>
      <c r="D302" s="1160"/>
      <c r="E302" s="1170"/>
      <c r="F302" s="1170"/>
      <c r="G302" s="1170"/>
      <c r="H302" s="1170"/>
      <c r="I302" s="1170"/>
      <c r="J302" s="1170"/>
      <c r="K302" s="1170"/>
      <c r="L302" s="1170"/>
      <c r="M302" s="1170"/>
      <c r="N302" s="1170"/>
      <c r="O302" s="1170"/>
      <c r="P302" s="1170"/>
      <c r="Q302" s="1170"/>
      <c r="R302" s="1170"/>
      <c r="S302" s="1170"/>
      <c r="T302" s="1170"/>
      <c r="U302" s="1170"/>
      <c r="V302" s="1170"/>
      <c r="W302" s="1170"/>
      <c r="X302" s="1170"/>
      <c r="Y302" s="1170"/>
      <c r="Z302" s="1170"/>
      <c r="AA302" s="1170"/>
      <c r="AB302" s="1170"/>
      <c r="AC302" s="1170"/>
      <c r="AD302" s="1170"/>
      <c r="AE302" s="1170"/>
      <c r="AF302" s="1170"/>
      <c r="AG302" s="1170"/>
      <c r="AH302" s="1170"/>
      <c r="AI302" s="1170"/>
      <c r="AJ302" s="1170"/>
      <c r="AK302" s="1170"/>
      <c r="AL302" s="1170"/>
      <c r="AM302" s="1170"/>
      <c r="AN302" s="1170"/>
      <c r="AO302" s="1170"/>
      <c r="AP302" s="1170"/>
      <c r="AQ302" s="1170"/>
      <c r="AR302" s="1170"/>
      <c r="AS302" s="1170"/>
      <c r="AT302" s="1170"/>
      <c r="AU302" s="1170"/>
      <c r="AV302" s="1170"/>
      <c r="AW302" s="1170"/>
      <c r="AX302" s="1170"/>
      <c r="AY302" s="1170"/>
      <c r="AZ302" s="1170"/>
      <c r="BA302" s="1170"/>
      <c r="BB302" s="1170"/>
      <c r="BC302" s="1170"/>
      <c r="BD302" s="1170"/>
      <c r="BE302" s="1170"/>
      <c r="BF302" s="1170"/>
      <c r="BG302" s="1170"/>
      <c r="BH302" s="1170"/>
      <c r="BI302" s="1170"/>
      <c r="BJ302" s="1170"/>
      <c r="BK302" s="1170"/>
      <c r="BL302" s="1170"/>
      <c r="BM302" s="1170"/>
      <c r="BN302" s="1170"/>
      <c r="BO302" s="1170"/>
      <c r="BP302" s="1170"/>
      <c r="BQ302" s="1170"/>
      <c r="BR302" s="1170"/>
      <c r="BS302" s="1170"/>
      <c r="BT302" s="1170"/>
      <c r="BU302" s="1170"/>
      <c r="BV302" s="1170"/>
      <c r="BW302" s="1170"/>
      <c r="BX302" s="1170"/>
      <c r="BY302" s="1170"/>
      <c r="BZ302" s="1170"/>
      <c r="CA302" s="1170"/>
      <c r="CB302" s="1170"/>
      <c r="CC302" s="1170"/>
      <c r="CD302" s="1170"/>
      <c r="CE302" s="1170"/>
      <c r="CF302" s="1170"/>
      <c r="CG302" s="1170"/>
      <c r="CH302" s="1170"/>
      <c r="CI302" s="1170"/>
      <c r="CJ302" s="1170"/>
      <c r="CK302" s="1170"/>
      <c r="CL302" s="1170"/>
      <c r="CM302" s="1170"/>
      <c r="CN302" s="1170"/>
      <c r="CO302" s="1170"/>
      <c r="CP302" s="1160"/>
      <c r="CQ302" s="1160"/>
      <c r="CR302" s="1160"/>
      <c r="CS302" s="1160"/>
      <c r="CT302" s="1160"/>
      <c r="CU302" s="1160"/>
      <c r="CV302" s="1160"/>
      <c r="CW302" s="1160"/>
      <c r="CX302" s="1160"/>
      <c r="CY302" s="1160"/>
      <c r="CZ302" s="1171"/>
      <c r="DA302" s="1160"/>
      <c r="DB302" s="1186" t="str">
        <f>CN277</f>
        <v>MCR</v>
      </c>
      <c r="DC302" s="1170" t="str">
        <f>CO277</f>
        <v>wt%</v>
      </c>
      <c r="DD302" s="1170">
        <f ca="1">((CP277*$CP$272)+IF(HydroRefineryConfig&lt;4,(AN297*$AN$292),0))/$DD$297</f>
        <v>4.4374255523499508</v>
      </c>
      <c r="DE302" s="1170"/>
      <c r="DF302" s="1160"/>
      <c r="DG302" s="1160"/>
      <c r="DH302" s="1160"/>
      <c r="DI302" s="1160"/>
      <c r="DJ302" s="1160"/>
      <c r="DK302" s="1160"/>
      <c r="DL302" s="1160"/>
      <c r="DM302" s="1171"/>
      <c r="DN302" s="1160"/>
      <c r="DO302" s="1160"/>
      <c r="DP302" s="1160"/>
      <c r="DQ302" s="1160"/>
      <c r="DR302" s="1160"/>
      <c r="DS302" s="1160"/>
      <c r="DT302" s="1160"/>
      <c r="DU302" s="1160"/>
      <c r="DV302" s="1160"/>
      <c r="DW302" s="1160"/>
      <c r="DX302" s="1160"/>
      <c r="DY302" s="1160"/>
      <c r="DZ302" s="1160"/>
      <c r="EA302" s="1160"/>
      <c r="EB302" s="1160"/>
      <c r="EC302" s="1160"/>
    </row>
    <row r="303" spans="1:133" x14ac:dyDescent="0.2">
      <c r="A303" s="1160"/>
      <c r="B303" s="1160"/>
      <c r="C303" s="1160"/>
      <c r="D303" s="1160"/>
      <c r="E303" s="1170"/>
      <c r="F303" s="1170"/>
      <c r="G303" s="1170"/>
      <c r="H303" s="1170"/>
      <c r="I303" s="1170"/>
      <c r="J303" s="1170"/>
      <c r="K303" s="1170"/>
      <c r="L303" s="1170"/>
      <c r="M303" s="1170"/>
      <c r="N303" s="1170"/>
      <c r="O303" s="1170"/>
      <c r="P303" s="1170"/>
      <c r="Q303" s="1170"/>
      <c r="R303" s="1170"/>
      <c r="S303" s="1170"/>
      <c r="T303" s="1170"/>
      <c r="U303" s="1170"/>
      <c r="V303" s="1170"/>
      <c r="W303" s="1170"/>
      <c r="X303" s="1170"/>
      <c r="Y303" s="1170"/>
      <c r="Z303" s="1170"/>
      <c r="AA303" s="1170"/>
      <c r="AB303" s="1170"/>
      <c r="AC303" s="1170"/>
      <c r="AD303" s="1170"/>
      <c r="AE303" s="1170"/>
      <c r="AF303" s="1170"/>
      <c r="AG303" s="1170"/>
      <c r="AH303" s="1170"/>
      <c r="AI303" s="1170"/>
      <c r="AJ303" s="1170"/>
      <c r="AK303" s="1170"/>
      <c r="AL303" s="1180">
        <f ca="1">AL288</f>
        <v>0</v>
      </c>
      <c r="AM303" s="1170"/>
      <c r="AN303" s="1170"/>
      <c r="AO303" s="1170"/>
      <c r="AP303" s="1170"/>
      <c r="AQ303" s="1170"/>
      <c r="AR303" s="1170"/>
      <c r="AS303" s="1170"/>
      <c r="AT303" s="1170"/>
      <c r="AU303" s="1170"/>
      <c r="AV303" s="1170"/>
      <c r="AW303" s="1170"/>
      <c r="AX303" s="1170"/>
      <c r="AY303" s="1170"/>
      <c r="AZ303" s="1170"/>
      <c r="BA303" s="1170"/>
      <c r="BB303" s="1170"/>
      <c r="BC303" s="1170"/>
      <c r="BD303" s="1170"/>
      <c r="BE303" s="1170"/>
      <c r="BF303" s="1170"/>
      <c r="BG303" s="1170"/>
      <c r="BH303" s="1170"/>
      <c r="BI303" s="1170"/>
      <c r="BJ303" s="1170"/>
      <c r="BK303" s="1170"/>
      <c r="BL303" s="1170"/>
      <c r="BM303" s="1170"/>
      <c r="BN303" s="1170"/>
      <c r="BO303" s="1170"/>
      <c r="BP303" s="1170"/>
      <c r="BQ303" s="1170"/>
      <c r="BR303" s="1170"/>
      <c r="BS303" s="1170"/>
      <c r="BT303" s="1170"/>
      <c r="BU303" s="1170"/>
      <c r="BV303" s="1170"/>
      <c r="BW303" s="1170"/>
      <c r="BX303" s="1170"/>
      <c r="BY303" s="1170"/>
      <c r="BZ303" s="1170"/>
      <c r="CA303" s="1170"/>
      <c r="CB303" s="1170"/>
      <c r="CC303" s="1170"/>
      <c r="CD303" s="1170"/>
      <c r="CE303" s="1170"/>
      <c r="CF303" s="1170"/>
      <c r="CG303" s="1170"/>
      <c r="CH303" s="1170"/>
      <c r="CI303" s="1170"/>
      <c r="CJ303" s="1170"/>
      <c r="CK303" s="1170"/>
      <c r="CL303" s="1170"/>
      <c r="CM303" s="1170"/>
      <c r="CN303" s="1170"/>
      <c r="CO303" s="1170"/>
      <c r="CP303" s="1160"/>
      <c r="CQ303" s="1160"/>
      <c r="CR303" s="1160"/>
      <c r="CS303" s="1160"/>
      <c r="CT303" s="1160"/>
      <c r="CU303" s="1160"/>
      <c r="CV303" s="1160"/>
      <c r="CW303" s="1160"/>
      <c r="CX303" s="1160"/>
      <c r="CY303" s="1160"/>
      <c r="CZ303" s="1171"/>
      <c r="DA303" s="1160"/>
      <c r="DB303" s="1183" t="s">
        <v>1700</v>
      </c>
      <c r="DC303" s="1184" t="s">
        <v>447</v>
      </c>
      <c r="DD303" s="1170">
        <f ca="1">('Energy &amp; Unit Conversions'!$D$63-('Energy &amp; Unit Conversions'!$E$63*POWER(('HydroRefineryPFD '!DD300/'Energy &amp; Unit Conversions'!$E$54),2)))</f>
        <v>41.298809746331258</v>
      </c>
      <c r="DE303" s="1170"/>
      <c r="DF303" s="1160"/>
      <c r="DG303" s="1160"/>
      <c r="DH303" s="1160"/>
      <c r="DI303" s="1160"/>
      <c r="DJ303" s="1160"/>
      <c r="DK303" s="1160"/>
      <c r="DL303" s="1160"/>
      <c r="DM303" s="1171"/>
      <c r="DN303" s="1160"/>
      <c r="DO303" s="1160"/>
      <c r="DP303" s="1160"/>
      <c r="DQ303" s="1160"/>
      <c r="DR303" s="1160"/>
      <c r="DS303" s="1160"/>
      <c r="DT303" s="1160"/>
      <c r="DU303" s="1160"/>
      <c r="DV303" s="1160"/>
      <c r="DW303" s="1160"/>
      <c r="DX303" s="1160"/>
      <c r="DY303" s="1160"/>
      <c r="DZ303" s="1160"/>
      <c r="EA303" s="1160"/>
      <c r="EB303" s="1160"/>
      <c r="EC303" s="1160"/>
    </row>
    <row r="304" spans="1:133" x14ac:dyDescent="0.2">
      <c r="A304" s="1160"/>
      <c r="B304" s="1160"/>
      <c r="C304" s="1160"/>
      <c r="D304" s="1160"/>
      <c r="E304" s="1170"/>
      <c r="F304" s="1170"/>
      <c r="G304" s="1170"/>
      <c r="H304" s="1170"/>
      <c r="I304" s="1170"/>
      <c r="J304" s="1170"/>
      <c r="K304" s="1170"/>
      <c r="L304" s="1170"/>
      <c r="M304" s="1170"/>
      <c r="N304" s="1170"/>
      <c r="O304" s="1170"/>
      <c r="P304" s="1170"/>
      <c r="Q304" s="1170"/>
      <c r="R304" s="1170"/>
      <c r="S304" s="1170"/>
      <c r="T304" s="1170"/>
      <c r="U304" s="1170"/>
      <c r="V304" s="1170"/>
      <c r="W304" s="1170"/>
      <c r="X304" s="1170"/>
      <c r="Y304" s="1170"/>
      <c r="Z304" s="1170"/>
      <c r="AA304" s="1170"/>
      <c r="AB304" s="1170"/>
      <c r="AC304" s="1170"/>
      <c r="AD304" s="1170"/>
      <c r="AE304" s="1170"/>
      <c r="AF304" s="1170"/>
      <c r="AG304" s="1170"/>
      <c r="AH304" s="1170"/>
      <c r="AI304" s="1170"/>
      <c r="AJ304" s="1170"/>
      <c r="AK304" s="1170"/>
      <c r="AL304" s="1180" t="s">
        <v>226</v>
      </c>
      <c r="AM304" s="1170"/>
      <c r="AN304" s="1184" t="s">
        <v>522</v>
      </c>
      <c r="AO304" s="1170"/>
      <c r="AP304" s="1170"/>
      <c r="AQ304" s="1170"/>
      <c r="AR304" s="1170"/>
      <c r="AS304" s="1170"/>
      <c r="AT304" s="1170"/>
      <c r="AU304" s="1170"/>
      <c r="AV304" s="1170"/>
      <c r="AW304" s="1170"/>
      <c r="AX304" s="1170"/>
      <c r="AY304" s="1170"/>
      <c r="AZ304" s="1170"/>
      <c r="BA304" s="1170"/>
      <c r="BB304" s="1170"/>
      <c r="BC304" s="1170"/>
      <c r="BD304" s="1170"/>
      <c r="BE304" s="1170"/>
      <c r="BF304" s="1170"/>
      <c r="BG304" s="1170"/>
      <c r="BH304" s="1170"/>
      <c r="BI304" s="1170"/>
      <c r="BJ304" s="1170"/>
      <c r="BK304" s="1170"/>
      <c r="BL304" s="1170"/>
      <c r="BM304" s="1170"/>
      <c r="BN304" s="1170"/>
      <c r="BO304" s="1170"/>
      <c r="BP304" s="1170"/>
      <c r="BQ304" s="1170"/>
      <c r="BR304" s="1170"/>
      <c r="BS304" s="1170"/>
      <c r="BT304" s="1170"/>
      <c r="BU304" s="1170"/>
      <c r="BV304" s="1170"/>
      <c r="BW304" s="1170"/>
      <c r="BX304" s="1170"/>
      <c r="BY304" s="1170"/>
      <c r="BZ304" s="1170"/>
      <c r="CA304" s="1170"/>
      <c r="CB304" s="1170"/>
      <c r="CC304" s="1170"/>
      <c r="CD304" s="1170"/>
      <c r="CE304" s="1170"/>
      <c r="CF304" s="1170"/>
      <c r="CG304" s="1170"/>
      <c r="CH304" s="1170"/>
      <c r="CI304" s="1170"/>
      <c r="CJ304" s="1170"/>
      <c r="CK304" s="1170"/>
      <c r="CL304" s="1170"/>
      <c r="CM304" s="1170"/>
      <c r="CN304" s="1170"/>
      <c r="CO304" s="1170"/>
      <c r="CP304" s="1160"/>
      <c r="CQ304" s="1160"/>
      <c r="CR304" s="1160"/>
      <c r="CS304" s="1160"/>
      <c r="CT304" s="1160"/>
      <c r="CU304" s="1160"/>
      <c r="CV304" s="1160"/>
      <c r="CW304" s="1160"/>
      <c r="CX304" s="1160"/>
      <c r="CY304" s="1160"/>
      <c r="CZ304" s="1171"/>
      <c r="DA304" s="1160"/>
      <c r="DB304" s="1200" t="s">
        <v>1021</v>
      </c>
      <c r="DC304" s="1199" t="s">
        <v>1022</v>
      </c>
      <c r="DD304" s="1252">
        <f>Constants!G359</f>
        <v>53.516328811645508</v>
      </c>
      <c r="DE304" s="1252"/>
      <c r="DF304" s="1160"/>
      <c r="DG304" s="1160"/>
      <c r="DH304" s="1160"/>
      <c r="DI304" s="1160"/>
      <c r="DJ304" s="1160"/>
      <c r="DK304" s="1160"/>
      <c r="DL304" s="1160"/>
      <c r="DM304" s="1171"/>
      <c r="DN304" s="1160"/>
      <c r="DO304" s="1160"/>
      <c r="DP304" s="1160"/>
      <c r="DQ304" s="1160"/>
      <c r="DR304" s="1160"/>
      <c r="DS304" s="1160"/>
      <c r="DT304" s="1160"/>
      <c r="DU304" s="1160"/>
      <c r="DV304" s="1160"/>
      <c r="DW304" s="1160"/>
      <c r="DX304" s="1160"/>
      <c r="DY304" s="1160"/>
      <c r="DZ304" s="1160"/>
      <c r="EA304" s="1160"/>
      <c r="EB304" s="1160"/>
      <c r="EC304" s="1160"/>
    </row>
    <row r="305" spans="1:133" x14ac:dyDescent="0.2">
      <c r="A305" s="1160"/>
      <c r="B305" s="1160"/>
      <c r="C305" s="1160"/>
      <c r="D305" s="1160"/>
      <c r="E305" s="1170"/>
      <c r="F305" s="1170"/>
      <c r="G305" s="1170"/>
      <c r="H305" s="1170"/>
      <c r="I305" s="1170"/>
      <c r="J305" s="1170"/>
      <c r="K305" s="1170"/>
      <c r="L305" s="1170"/>
      <c r="M305" s="1170"/>
      <c r="N305" s="1170"/>
      <c r="O305" s="1170"/>
      <c r="P305" s="1170"/>
      <c r="Q305" s="1170"/>
      <c r="R305" s="1170"/>
      <c r="S305" s="1170"/>
      <c r="T305" s="1170"/>
      <c r="U305" s="1170"/>
      <c r="V305" s="1170"/>
      <c r="W305" s="1170"/>
      <c r="X305" s="1170"/>
      <c r="Y305" s="1170"/>
      <c r="Z305" s="1170"/>
      <c r="AA305" s="1170"/>
      <c r="AB305" s="1170"/>
      <c r="AC305" s="1170"/>
      <c r="AD305" s="1170"/>
      <c r="AE305" s="1170"/>
      <c r="AF305" s="1170"/>
      <c r="AG305" s="1170"/>
      <c r="AH305" s="1170"/>
      <c r="AI305" s="1170"/>
      <c r="AJ305" s="1170"/>
      <c r="AK305" s="1170"/>
      <c r="AL305" s="1170" t="s">
        <v>263</v>
      </c>
      <c r="AM305" s="1170"/>
      <c r="AN305" s="1170">
        <f ca="1">IF(HydroRefineryConfig=0,U112*AN311,IF(OR(HydroRefineryConfig=1,HydroRefineryConfig=2,HydroRefineryConfig=3),AE182*AN311,0))</f>
        <v>0</v>
      </c>
      <c r="AO305" s="1170"/>
      <c r="AP305" s="1170"/>
      <c r="AQ305" s="1170"/>
      <c r="AR305" s="1170"/>
      <c r="AS305" s="1170"/>
      <c r="AT305" s="1170"/>
      <c r="AU305" s="1170"/>
      <c r="AV305" s="1170"/>
      <c r="AW305" s="1170"/>
      <c r="AX305" s="1170"/>
      <c r="AY305" s="1170"/>
      <c r="AZ305" s="1170"/>
      <c r="BA305" s="1170"/>
      <c r="BB305" s="1170"/>
      <c r="BC305" s="1170"/>
      <c r="BD305" s="1170"/>
      <c r="BE305" s="1170"/>
      <c r="BF305" s="1170"/>
      <c r="BG305" s="1170"/>
      <c r="BH305" s="1170"/>
      <c r="BI305" s="1170"/>
      <c r="BJ305" s="1170"/>
      <c r="BK305" s="1170"/>
      <c r="BL305" s="1170"/>
      <c r="BM305" s="1170"/>
      <c r="BN305" s="1170"/>
      <c r="BO305" s="1170"/>
      <c r="BP305" s="1170"/>
      <c r="BQ305" s="1170"/>
      <c r="BR305" s="1170"/>
      <c r="BS305" s="1170"/>
      <c r="BT305" s="1170"/>
      <c r="BU305" s="1170"/>
      <c r="BV305" s="1170"/>
      <c r="BW305" s="1170"/>
      <c r="BX305" s="1170"/>
      <c r="BY305" s="1170"/>
      <c r="BZ305" s="1170"/>
      <c r="CA305" s="1170"/>
      <c r="CB305" s="1170"/>
      <c r="CC305" s="1170"/>
      <c r="CD305" s="1170"/>
      <c r="CE305" s="1170"/>
      <c r="CF305" s="1170"/>
      <c r="CG305" s="1170"/>
      <c r="CH305" s="1170"/>
      <c r="CI305" s="1170"/>
      <c r="CJ305" s="1170"/>
      <c r="CK305" s="1170"/>
      <c r="CL305" s="1170"/>
      <c r="CM305" s="1170"/>
      <c r="CN305" s="1170"/>
      <c r="CO305" s="1170"/>
      <c r="CP305" s="1160"/>
      <c r="CQ305" s="1160"/>
      <c r="CR305" s="1160"/>
      <c r="CS305" s="1160"/>
      <c r="CT305" s="1160"/>
      <c r="CU305" s="1160"/>
      <c r="CV305" s="1160"/>
      <c r="CW305" s="1160"/>
      <c r="CX305" s="1160"/>
      <c r="CY305" s="1160"/>
      <c r="CZ305" s="1171"/>
      <c r="DA305" s="1160"/>
      <c r="DB305" s="1160"/>
      <c r="DC305" s="1160"/>
      <c r="DD305" s="1160"/>
      <c r="DE305" s="1160"/>
      <c r="DF305" s="1160"/>
      <c r="DG305" s="1160"/>
      <c r="DH305" s="1160"/>
      <c r="DI305" s="1160"/>
      <c r="DJ305" s="1160"/>
      <c r="DK305" s="1160"/>
      <c r="DL305" s="1160"/>
      <c r="DM305" s="1171"/>
      <c r="DN305" s="1160"/>
      <c r="DO305" s="1160"/>
      <c r="DP305" s="1160"/>
      <c r="DQ305" s="1160"/>
      <c r="DR305" s="1160"/>
      <c r="DS305" s="1160"/>
      <c r="DT305" s="1160"/>
      <c r="DU305" s="1160"/>
      <c r="DV305" s="1160"/>
      <c r="DW305" s="1160"/>
      <c r="DX305" s="1160"/>
      <c r="DY305" s="1160"/>
      <c r="DZ305" s="1160"/>
      <c r="EA305" s="1160"/>
      <c r="EB305" s="1160"/>
      <c r="EC305" s="1160"/>
    </row>
    <row r="306" spans="1:133" x14ac:dyDescent="0.2">
      <c r="A306" s="1160"/>
      <c r="B306" s="1160"/>
      <c r="C306" s="1160"/>
      <c r="D306" s="1160"/>
      <c r="E306" s="1170"/>
      <c r="F306" s="1170"/>
      <c r="G306" s="1170"/>
      <c r="H306" s="1170"/>
      <c r="I306" s="1170"/>
      <c r="J306" s="1170"/>
      <c r="K306" s="1170"/>
      <c r="L306" s="1170"/>
      <c r="M306" s="1170"/>
      <c r="N306" s="1170"/>
      <c r="O306" s="1170"/>
      <c r="P306" s="1170"/>
      <c r="Q306" s="1170"/>
      <c r="R306" s="1170"/>
      <c r="S306" s="1170"/>
      <c r="T306" s="1170"/>
      <c r="U306" s="1170"/>
      <c r="V306" s="1170"/>
      <c r="W306" s="1170"/>
      <c r="X306" s="1170"/>
      <c r="Y306" s="1170"/>
      <c r="Z306" s="1170"/>
      <c r="AA306" s="1170"/>
      <c r="AB306" s="1170"/>
      <c r="AC306" s="1170"/>
      <c r="AD306" s="1170"/>
      <c r="AE306" s="1170"/>
      <c r="AF306" s="1170"/>
      <c r="AG306" s="1170"/>
      <c r="AH306" s="1170"/>
      <c r="AI306" s="1170"/>
      <c r="AJ306" s="1170"/>
      <c r="AK306" s="1170"/>
      <c r="AL306" s="1170" t="s">
        <v>392</v>
      </c>
      <c r="AM306" s="1170"/>
      <c r="AN306" s="1170">
        <f ca="1">IF(HydroRefineryConfig=0,(U113+W50)*$AN$311,IF(OR(HydroRefineryConfig=1,HydroRefineryConfig=2,HydroRefineryConfig=3),(AE183+AH144)*$AN$311,0))</f>
        <v>0</v>
      </c>
      <c r="AO306" s="1170"/>
      <c r="AP306" s="1170"/>
      <c r="AQ306" s="1170"/>
      <c r="AR306" s="1170"/>
      <c r="AS306" s="1170"/>
      <c r="AT306" s="1170"/>
      <c r="AU306" s="1170"/>
      <c r="AV306" s="1170"/>
      <c r="AW306" s="1170"/>
      <c r="AX306" s="1170"/>
      <c r="AY306" s="1170"/>
      <c r="AZ306" s="1170"/>
      <c r="BA306" s="1170"/>
      <c r="BB306" s="1170"/>
      <c r="BC306" s="1170"/>
      <c r="BD306" s="1170"/>
      <c r="BE306" s="1170"/>
      <c r="BF306" s="1170"/>
      <c r="BG306" s="1170"/>
      <c r="BH306" s="1170"/>
      <c r="BI306" s="1170"/>
      <c r="BJ306" s="1170"/>
      <c r="BK306" s="1170"/>
      <c r="BL306" s="1170"/>
      <c r="BM306" s="1170"/>
      <c r="BN306" s="1170"/>
      <c r="BO306" s="1170"/>
      <c r="BP306" s="1170"/>
      <c r="BQ306" s="1170"/>
      <c r="BR306" s="1170"/>
      <c r="BS306" s="1170"/>
      <c r="BT306" s="1170"/>
      <c r="BU306" s="1170"/>
      <c r="BV306" s="1170"/>
      <c r="BW306" s="1170"/>
      <c r="BX306" s="1170"/>
      <c r="BY306" s="1170"/>
      <c r="BZ306" s="1170"/>
      <c r="CA306" s="1170"/>
      <c r="CB306" s="1170"/>
      <c r="CC306" s="1170"/>
      <c r="CD306" s="1170"/>
      <c r="CE306" s="1170"/>
      <c r="CF306" s="1170"/>
      <c r="CG306" s="1170"/>
      <c r="CH306" s="1170"/>
      <c r="CI306" s="1170"/>
      <c r="CJ306" s="1170"/>
      <c r="CK306" s="1170"/>
      <c r="CL306" s="1170"/>
      <c r="CM306" s="1170"/>
      <c r="CN306" s="1170"/>
      <c r="CO306" s="1170"/>
      <c r="CP306" s="1160"/>
      <c r="CQ306" s="1160"/>
      <c r="CR306" s="1160"/>
      <c r="CS306" s="1160"/>
      <c r="CT306" s="1160"/>
      <c r="CU306" s="1160"/>
      <c r="CV306" s="1160"/>
      <c r="CW306" s="1160"/>
      <c r="CX306" s="1160"/>
      <c r="CY306" s="1160"/>
      <c r="CZ306" s="1171"/>
      <c r="DA306" s="1160"/>
      <c r="DB306" s="1160"/>
      <c r="DC306" s="1160"/>
      <c r="DD306" s="1160"/>
      <c r="DE306" s="1160"/>
      <c r="DF306" s="1160"/>
      <c r="DG306" s="1160"/>
      <c r="DH306" s="1160"/>
      <c r="DI306" s="1160"/>
      <c r="DJ306" s="1160"/>
      <c r="DK306" s="1160"/>
      <c r="DL306" s="1160"/>
      <c r="DM306" s="1171"/>
      <c r="DN306" s="1160"/>
      <c r="DO306" s="1160"/>
      <c r="DP306" s="1160"/>
      <c r="DQ306" s="1160"/>
      <c r="DR306" s="1160"/>
      <c r="DS306" s="1160"/>
      <c r="DT306" s="1160"/>
      <c r="DU306" s="1160"/>
      <c r="DV306" s="1160"/>
      <c r="DW306" s="1160"/>
      <c r="DX306" s="1160"/>
      <c r="DY306" s="1160"/>
      <c r="DZ306" s="1160"/>
      <c r="EA306" s="1160"/>
      <c r="EB306" s="1160"/>
      <c r="EC306" s="1160"/>
    </row>
    <row r="307" spans="1:133" x14ac:dyDescent="0.2">
      <c r="A307" s="1160"/>
      <c r="B307" s="1160"/>
      <c r="C307" s="1160"/>
      <c r="D307" s="1160"/>
      <c r="E307" s="1170"/>
      <c r="F307" s="1170"/>
      <c r="G307" s="1170"/>
      <c r="H307" s="1170"/>
      <c r="I307" s="1170"/>
      <c r="J307" s="1170"/>
      <c r="K307" s="1170"/>
      <c r="L307" s="1170"/>
      <c r="M307" s="1170"/>
      <c r="N307" s="1170"/>
      <c r="O307" s="1170"/>
      <c r="P307" s="1170"/>
      <c r="Q307" s="1170"/>
      <c r="R307" s="1170"/>
      <c r="S307" s="1170"/>
      <c r="T307" s="1170"/>
      <c r="U307" s="1170"/>
      <c r="V307" s="1170"/>
      <c r="W307" s="1170"/>
      <c r="X307" s="1170"/>
      <c r="Y307" s="1170"/>
      <c r="Z307" s="1170"/>
      <c r="AA307" s="1170"/>
      <c r="AB307" s="1170"/>
      <c r="AC307" s="1170"/>
      <c r="AD307" s="1170"/>
      <c r="AE307" s="1170"/>
      <c r="AF307" s="1170"/>
      <c r="AG307" s="1170"/>
      <c r="AH307" s="1170"/>
      <c r="AI307" s="1170"/>
      <c r="AJ307" s="1170"/>
      <c r="AK307" s="1170"/>
      <c r="AL307" s="1170" t="s">
        <v>224</v>
      </c>
      <c r="AM307" s="1170"/>
      <c r="AN307" s="1170">
        <f ca="1">IF(HydroRefineryConfig=0,(U114+W51)*$AN$311,IF(OR(HydroRefineryConfig=1,HydroRefineryConfig=2,HydroRefineryConfig=3),(AE184+AH145)*$AN$311,0))</f>
        <v>0</v>
      </c>
      <c r="AO307" s="1170"/>
      <c r="AP307" s="1170"/>
      <c r="AQ307" s="1170"/>
      <c r="AR307" s="1170"/>
      <c r="AS307" s="1170"/>
      <c r="AT307" s="1170"/>
      <c r="AU307" s="1170"/>
      <c r="AV307" s="1170"/>
      <c r="AW307" s="1170"/>
      <c r="AX307" s="1170"/>
      <c r="AY307" s="1170"/>
      <c r="AZ307" s="1170"/>
      <c r="BA307" s="1170"/>
      <c r="BB307" s="1170"/>
      <c r="BC307" s="1170"/>
      <c r="BD307" s="1170"/>
      <c r="BE307" s="1170"/>
      <c r="BF307" s="1170"/>
      <c r="BG307" s="1170"/>
      <c r="BH307" s="1170"/>
      <c r="BI307" s="1170"/>
      <c r="BJ307" s="1170"/>
      <c r="BK307" s="1170"/>
      <c r="BL307" s="1170"/>
      <c r="BM307" s="1170"/>
      <c r="BN307" s="1170"/>
      <c r="BO307" s="1170"/>
      <c r="BP307" s="1170"/>
      <c r="BQ307" s="1170"/>
      <c r="BR307" s="1170"/>
      <c r="BS307" s="1170"/>
      <c r="BT307" s="1170"/>
      <c r="BU307" s="1170"/>
      <c r="BV307" s="1170"/>
      <c r="BW307" s="1170"/>
      <c r="BX307" s="1170"/>
      <c r="BY307" s="1170"/>
      <c r="BZ307" s="1170"/>
      <c r="CA307" s="1170"/>
      <c r="CB307" s="1170"/>
      <c r="CC307" s="1170"/>
      <c r="CD307" s="1170"/>
      <c r="CE307" s="1170"/>
      <c r="CF307" s="1170"/>
      <c r="CG307" s="1170"/>
      <c r="CH307" s="1170"/>
      <c r="CI307" s="1170"/>
      <c r="CJ307" s="1170"/>
      <c r="CK307" s="1170"/>
      <c r="CL307" s="1170"/>
      <c r="CM307" s="1170"/>
      <c r="CN307" s="1170"/>
      <c r="CO307" s="1170"/>
      <c r="CP307" s="1160"/>
      <c r="CQ307" s="1160"/>
      <c r="CR307" s="1160"/>
      <c r="CS307" s="1160"/>
      <c r="CT307" s="1160"/>
      <c r="CU307" s="1160"/>
      <c r="CV307" s="1160"/>
      <c r="CW307" s="1160"/>
      <c r="CX307" s="1160"/>
      <c r="CY307" s="1160"/>
      <c r="CZ307" s="1171"/>
      <c r="DA307" s="1160"/>
      <c r="DB307" s="1160"/>
      <c r="DC307" s="1160"/>
      <c r="DD307" s="1160"/>
      <c r="DE307" s="1160"/>
      <c r="DF307" s="1160"/>
      <c r="DG307" s="1160"/>
      <c r="DH307" s="1160"/>
      <c r="DI307" s="1160"/>
      <c r="DJ307" s="1160"/>
      <c r="DK307" s="1160"/>
      <c r="DL307" s="1160"/>
      <c r="DM307" s="1171"/>
      <c r="DN307" s="1160"/>
      <c r="DO307" s="1160"/>
      <c r="DP307" s="1160"/>
      <c r="DQ307" s="1160"/>
      <c r="DR307" s="1160"/>
      <c r="DS307" s="1160"/>
      <c r="DT307" s="1160"/>
      <c r="DU307" s="1160"/>
      <c r="DV307" s="1160"/>
      <c r="DW307" s="1160"/>
      <c r="DX307" s="1160"/>
      <c r="DY307" s="1160"/>
      <c r="DZ307" s="1160"/>
      <c r="EA307" s="1160"/>
      <c r="EB307" s="1160"/>
      <c r="EC307" s="1160"/>
    </row>
    <row r="308" spans="1:133" x14ac:dyDescent="0.2">
      <c r="A308" s="1160"/>
      <c r="B308" s="1160"/>
      <c r="C308" s="1160"/>
      <c r="D308" s="1160"/>
      <c r="E308" s="1170"/>
      <c r="F308" s="1170"/>
      <c r="G308" s="1170"/>
      <c r="H308" s="1170"/>
      <c r="I308" s="1170"/>
      <c r="J308" s="1170"/>
      <c r="K308" s="1170"/>
      <c r="L308" s="1170"/>
      <c r="M308" s="1170"/>
      <c r="N308" s="1170"/>
      <c r="O308" s="1170"/>
      <c r="P308" s="1170"/>
      <c r="Q308" s="1170"/>
      <c r="R308" s="1170"/>
      <c r="S308" s="1170"/>
      <c r="T308" s="1170"/>
      <c r="U308" s="1170"/>
      <c r="V308" s="1170"/>
      <c r="W308" s="1170"/>
      <c r="X308" s="1170"/>
      <c r="Y308" s="1170"/>
      <c r="Z308" s="1170"/>
      <c r="AA308" s="1170"/>
      <c r="AB308" s="1170"/>
      <c r="AC308" s="1170"/>
      <c r="AD308" s="1170"/>
      <c r="AE308" s="1170"/>
      <c r="AF308" s="1170"/>
      <c r="AG308" s="1170"/>
      <c r="AH308" s="1170"/>
      <c r="AI308" s="1170"/>
      <c r="AJ308" s="1170"/>
      <c r="AK308" s="1170"/>
      <c r="AL308" s="1170" t="s">
        <v>485</v>
      </c>
      <c r="AM308" s="1170"/>
      <c r="AN308" s="1170">
        <f ca="1">IF(HydroRefineryConfig=0,(U115+W52)*$AN$311,IF(OR(HydroRefineryConfig=1,HydroRefineryConfig=2,HydroRefineryConfig=3),(AE185+AH146)*$AN$311,0))</f>
        <v>0</v>
      </c>
      <c r="AO308" s="1170"/>
      <c r="AP308" s="1170"/>
      <c r="AQ308" s="1170"/>
      <c r="AR308" s="1170"/>
      <c r="AS308" s="1170"/>
      <c r="AT308" s="1170"/>
      <c r="AU308" s="1170"/>
      <c r="AV308" s="1170"/>
      <c r="AW308" s="1170"/>
      <c r="AX308" s="1170"/>
      <c r="AY308" s="1170"/>
      <c r="AZ308" s="1170"/>
      <c r="BA308" s="1170"/>
      <c r="BB308" s="1170"/>
      <c r="BC308" s="1170"/>
      <c r="BD308" s="1170"/>
      <c r="BE308" s="1170"/>
      <c r="BF308" s="1170"/>
      <c r="BG308" s="1170"/>
      <c r="BH308" s="1170"/>
      <c r="BI308" s="1170"/>
      <c r="BJ308" s="1170"/>
      <c r="BK308" s="1170"/>
      <c r="BL308" s="1170"/>
      <c r="BM308" s="1170"/>
      <c r="BN308" s="1170"/>
      <c r="BO308" s="1170"/>
      <c r="BP308" s="1170"/>
      <c r="BQ308" s="1170"/>
      <c r="BR308" s="1170"/>
      <c r="BS308" s="1170"/>
      <c r="BT308" s="1170"/>
      <c r="BU308" s="1170"/>
      <c r="BV308" s="1170"/>
      <c r="BW308" s="1170"/>
      <c r="BX308" s="1170"/>
      <c r="BY308" s="1170"/>
      <c r="BZ308" s="1170"/>
      <c r="CA308" s="1170"/>
      <c r="CB308" s="1170"/>
      <c r="CC308" s="1170"/>
      <c r="CD308" s="1170"/>
      <c r="CE308" s="1170"/>
      <c r="CF308" s="1170"/>
      <c r="CG308" s="1170"/>
      <c r="CH308" s="1170"/>
      <c r="CI308" s="1170"/>
      <c r="CJ308" s="1170"/>
      <c r="CK308" s="1170"/>
      <c r="CL308" s="1170"/>
      <c r="CM308" s="1170"/>
      <c r="CN308" s="1170"/>
      <c r="CO308" s="1170"/>
      <c r="CP308" s="1160"/>
      <c r="CQ308" s="1160"/>
      <c r="CR308" s="1160"/>
      <c r="CS308" s="1160"/>
      <c r="CT308" s="1160"/>
      <c r="CU308" s="1160"/>
      <c r="CV308" s="1160"/>
      <c r="CW308" s="1160"/>
      <c r="CX308" s="1160"/>
      <c r="CY308" s="1160"/>
      <c r="CZ308" s="1171"/>
      <c r="DA308" s="1160"/>
      <c r="DB308" s="1160"/>
      <c r="DC308" s="1160"/>
      <c r="DD308" s="1160"/>
      <c r="DE308" s="1160"/>
      <c r="DF308" s="1160"/>
      <c r="DG308" s="1160"/>
      <c r="DH308" s="1160"/>
      <c r="DI308" s="1160"/>
      <c r="DJ308" s="1160"/>
      <c r="DK308" s="1160"/>
      <c r="DL308" s="1160"/>
      <c r="DM308" s="1171"/>
      <c r="DN308" s="1160"/>
      <c r="DO308" s="1160"/>
      <c r="DP308" s="1160"/>
      <c r="DQ308" s="1160"/>
      <c r="DR308" s="1160"/>
      <c r="DS308" s="1160"/>
      <c r="DT308" s="1160"/>
      <c r="DU308" s="1160"/>
      <c r="DV308" s="1160"/>
      <c r="DW308" s="1160"/>
      <c r="DX308" s="1160"/>
      <c r="DY308" s="1160"/>
      <c r="DZ308" s="1160"/>
      <c r="EA308" s="1160"/>
      <c r="EB308" s="1160"/>
      <c r="EC308" s="1160"/>
    </row>
    <row r="309" spans="1:133" x14ac:dyDescent="0.2">
      <c r="A309" s="1160"/>
      <c r="B309" s="1160"/>
      <c r="C309" s="1160"/>
      <c r="D309" s="1160"/>
      <c r="E309" s="1170"/>
      <c r="F309" s="1170"/>
      <c r="G309" s="1170"/>
      <c r="H309" s="1170"/>
      <c r="I309" s="1170"/>
      <c r="J309" s="1170"/>
      <c r="K309" s="1170"/>
      <c r="L309" s="1170"/>
      <c r="M309" s="1170"/>
      <c r="N309" s="1170"/>
      <c r="O309" s="1170"/>
      <c r="P309" s="1170"/>
      <c r="Q309" s="1170"/>
      <c r="R309" s="1170"/>
      <c r="S309" s="1170"/>
      <c r="T309" s="1170"/>
      <c r="U309" s="1170"/>
      <c r="V309" s="1170"/>
      <c r="W309" s="1170"/>
      <c r="X309" s="1170"/>
      <c r="Y309" s="1170"/>
      <c r="Z309" s="1170"/>
      <c r="AA309" s="1170"/>
      <c r="AB309" s="1170"/>
      <c r="AC309" s="1170"/>
      <c r="AD309" s="1170"/>
      <c r="AE309" s="1170"/>
      <c r="AF309" s="1170"/>
      <c r="AG309" s="1170"/>
      <c r="AH309" s="1170"/>
      <c r="AI309" s="1170"/>
      <c r="AJ309" s="1170"/>
      <c r="AK309" s="1170"/>
      <c r="AL309" s="1170" t="s">
        <v>541</v>
      </c>
      <c r="AM309" s="1170"/>
      <c r="AN309" s="1170">
        <f ca="1">IF(HydroRefineryConfig=0,(U116+W53)*$AA$136,IF(OR(HydroRefineryConfig=1,HydroRefineryConfig=2,HydroRefineryConfig=3),(AE186+AH147)*$AN$311,0))</f>
        <v>0</v>
      </c>
      <c r="AO309" s="1170"/>
      <c r="AP309" s="1170"/>
      <c r="AQ309" s="1170"/>
      <c r="AR309" s="1170"/>
      <c r="AS309" s="1170"/>
      <c r="AT309" s="1170"/>
      <c r="AU309" s="1170"/>
      <c r="AV309" s="1170"/>
      <c r="AW309" s="1170"/>
      <c r="AX309" s="1170"/>
      <c r="AY309" s="1170"/>
      <c r="AZ309" s="1170"/>
      <c r="BA309" s="1170"/>
      <c r="BB309" s="1170"/>
      <c r="BC309" s="1170"/>
      <c r="BD309" s="1170"/>
      <c r="BE309" s="1170"/>
      <c r="BF309" s="1170"/>
      <c r="BG309" s="1170"/>
      <c r="BH309" s="1170"/>
      <c r="BI309" s="1170"/>
      <c r="BJ309" s="1170"/>
      <c r="BK309" s="1170"/>
      <c r="BL309" s="1170"/>
      <c r="BM309" s="1170"/>
      <c r="BN309" s="1170"/>
      <c r="BO309" s="1170"/>
      <c r="BP309" s="1170"/>
      <c r="BQ309" s="1170"/>
      <c r="BR309" s="1170"/>
      <c r="BS309" s="1170"/>
      <c r="BT309" s="1170"/>
      <c r="BU309" s="1170"/>
      <c r="BV309" s="1170"/>
      <c r="BW309" s="1170"/>
      <c r="BX309" s="1170"/>
      <c r="BY309" s="1170"/>
      <c r="BZ309" s="1170"/>
      <c r="CA309" s="1170"/>
      <c r="CB309" s="1170"/>
      <c r="CC309" s="1170"/>
      <c r="CD309" s="1170"/>
      <c r="CE309" s="1170"/>
      <c r="CF309" s="1170"/>
      <c r="CG309" s="1170"/>
      <c r="CH309" s="1170"/>
      <c r="CI309" s="1170"/>
      <c r="CJ309" s="1170"/>
      <c r="CK309" s="1170"/>
      <c r="CL309" s="1170"/>
      <c r="CM309" s="1170"/>
      <c r="CN309" s="1170"/>
      <c r="CO309" s="1170"/>
      <c r="CP309" s="1160"/>
      <c r="CQ309" s="1160"/>
      <c r="CR309" s="1160"/>
      <c r="CS309" s="1160"/>
      <c r="CT309" s="1160"/>
      <c r="CU309" s="1160"/>
      <c r="CV309" s="1160"/>
      <c r="CW309" s="1160"/>
      <c r="CX309" s="1160"/>
      <c r="CY309" s="1160"/>
      <c r="CZ309" s="1171"/>
      <c r="DA309" s="1160"/>
      <c r="DB309" s="1160"/>
      <c r="DC309" s="1160"/>
      <c r="DD309" s="1160"/>
      <c r="DE309" s="1160"/>
      <c r="DF309" s="1160"/>
      <c r="DG309" s="1160"/>
      <c r="DH309" s="1160"/>
      <c r="DI309" s="1160"/>
      <c r="DJ309" s="1160"/>
      <c r="DK309" s="1160"/>
      <c r="DL309" s="1160"/>
      <c r="DM309" s="1171"/>
      <c r="DN309" s="1160"/>
      <c r="DO309" s="1160"/>
      <c r="DP309" s="1160"/>
      <c r="DQ309" s="1160"/>
      <c r="DR309" s="1160"/>
      <c r="DS309" s="1160"/>
      <c r="DT309" s="1160"/>
      <c r="DU309" s="1160"/>
      <c r="DV309" s="1160"/>
      <c r="DW309" s="1160"/>
      <c r="DX309" s="1160"/>
      <c r="DY309" s="1160"/>
      <c r="DZ309" s="1160"/>
      <c r="EA309" s="1160"/>
      <c r="EB309" s="1160"/>
      <c r="EC309" s="1160"/>
    </row>
    <row r="310" spans="1:133" x14ac:dyDescent="0.2">
      <c r="A310" s="1160"/>
      <c r="B310" s="1160"/>
      <c r="C310" s="1160"/>
      <c r="D310" s="1160"/>
      <c r="E310" s="1170"/>
      <c r="F310" s="1170"/>
      <c r="G310" s="1170"/>
      <c r="H310" s="1170"/>
      <c r="I310" s="1170"/>
      <c r="J310" s="1170"/>
      <c r="K310" s="1170"/>
      <c r="L310" s="1170"/>
      <c r="M310" s="1170"/>
      <c r="N310" s="1170"/>
      <c r="O310" s="1170"/>
      <c r="P310" s="1170"/>
      <c r="Q310" s="1170"/>
      <c r="R310" s="1170"/>
      <c r="S310" s="1170"/>
      <c r="T310" s="1170"/>
      <c r="U310" s="1170"/>
      <c r="V310" s="1170"/>
      <c r="W310" s="1170"/>
      <c r="X310" s="1170"/>
      <c r="Y310" s="1170"/>
      <c r="Z310" s="1170"/>
      <c r="AA310" s="1170"/>
      <c r="AB310" s="1170"/>
      <c r="AC310" s="1170"/>
      <c r="AD310" s="1170"/>
      <c r="AE310" s="1170"/>
      <c r="AF310" s="1170"/>
      <c r="AG310" s="1170"/>
      <c r="AH310" s="1170"/>
      <c r="AI310" s="1170"/>
      <c r="AJ310" s="1170"/>
      <c r="AK310" s="1170"/>
      <c r="AL310" s="1170" t="s">
        <v>654</v>
      </c>
      <c r="AM310" s="1170"/>
      <c r="AN310" s="1170">
        <v>0</v>
      </c>
      <c r="AO310" s="1170"/>
      <c r="AP310" s="1170"/>
      <c r="AQ310" s="1170"/>
      <c r="AR310" s="1170"/>
      <c r="AS310" s="1170"/>
      <c r="AT310" s="1170"/>
      <c r="AU310" s="1170"/>
      <c r="AV310" s="1170"/>
      <c r="AW310" s="1170"/>
      <c r="AX310" s="1170"/>
      <c r="AY310" s="1170"/>
      <c r="AZ310" s="1170"/>
      <c r="BA310" s="1170"/>
      <c r="BB310" s="1170"/>
      <c r="BC310" s="1170"/>
      <c r="BD310" s="1170"/>
      <c r="BE310" s="1170"/>
      <c r="BF310" s="1170"/>
      <c r="BG310" s="1170"/>
      <c r="BH310" s="1170"/>
      <c r="BI310" s="1170"/>
      <c r="BJ310" s="1170"/>
      <c r="BK310" s="1170"/>
      <c r="BL310" s="1170"/>
      <c r="BM310" s="1170"/>
      <c r="BN310" s="1170"/>
      <c r="BO310" s="1170"/>
      <c r="BP310" s="1170"/>
      <c r="BQ310" s="1170"/>
      <c r="BR310" s="1170"/>
      <c r="BS310" s="1170"/>
      <c r="BT310" s="1170"/>
      <c r="BU310" s="1170"/>
      <c r="BV310" s="1170"/>
      <c r="BW310" s="1170"/>
      <c r="BX310" s="1170"/>
      <c r="BY310" s="1170"/>
      <c r="BZ310" s="1170"/>
      <c r="CA310" s="1170"/>
      <c r="CB310" s="1170"/>
      <c r="CC310" s="1170"/>
      <c r="CD310" s="1170"/>
      <c r="CE310" s="1170"/>
      <c r="CF310" s="1170"/>
      <c r="CG310" s="1170"/>
      <c r="CH310" s="1170"/>
      <c r="CI310" s="1170"/>
      <c r="CJ310" s="1170"/>
      <c r="CK310" s="1170"/>
      <c r="CL310" s="1170"/>
      <c r="CM310" s="1170"/>
      <c r="CN310" s="1170"/>
      <c r="CO310" s="1170"/>
      <c r="CP310" s="1160"/>
      <c r="CQ310" s="1160"/>
      <c r="CR310" s="1160"/>
      <c r="CS310" s="1160"/>
      <c r="CT310" s="1160"/>
      <c r="CU310" s="1160"/>
      <c r="CV310" s="1160"/>
      <c r="CW310" s="1160"/>
      <c r="CX310" s="1160"/>
      <c r="CY310" s="1160"/>
      <c r="CZ310" s="1171"/>
      <c r="DA310" s="1160"/>
      <c r="DB310" s="1160"/>
      <c r="DC310" s="1160"/>
      <c r="DD310" s="1160"/>
      <c r="DE310" s="1160"/>
      <c r="DF310" s="1160"/>
      <c r="DG310" s="1160"/>
      <c r="DH310" s="1160"/>
      <c r="DI310" s="1160"/>
      <c r="DJ310" s="1160"/>
      <c r="DK310" s="1160"/>
      <c r="DL310" s="1160"/>
      <c r="DM310" s="1171"/>
      <c r="DN310" s="1160"/>
      <c r="DO310" s="1160"/>
      <c r="DP310" s="1160"/>
      <c r="DQ310" s="1160"/>
      <c r="DR310" s="1160"/>
      <c r="DS310" s="1160"/>
      <c r="DT310" s="1160"/>
      <c r="DU310" s="1160"/>
      <c r="DV310" s="1160"/>
      <c r="DW310" s="1160"/>
      <c r="DX310" s="1160"/>
      <c r="DY310" s="1160"/>
      <c r="DZ310" s="1160"/>
      <c r="EA310" s="1160"/>
      <c r="EB310" s="1160"/>
      <c r="EC310" s="1160"/>
    </row>
    <row r="311" spans="1:133" x14ac:dyDescent="0.2">
      <c r="A311" s="1160"/>
      <c r="B311" s="1160"/>
      <c r="C311" s="1160"/>
      <c r="D311" s="1160"/>
      <c r="E311" s="1170"/>
      <c r="F311" s="1170"/>
      <c r="G311" s="1170"/>
      <c r="H311" s="1170"/>
      <c r="I311" s="1170"/>
      <c r="J311" s="1170"/>
      <c r="K311" s="1170"/>
      <c r="L311" s="1170"/>
      <c r="M311" s="1170"/>
      <c r="N311" s="1170"/>
      <c r="O311" s="1170"/>
      <c r="P311" s="1170"/>
      <c r="Q311" s="1170"/>
      <c r="R311" s="1170"/>
      <c r="S311" s="1170"/>
      <c r="T311" s="1170"/>
      <c r="U311" s="1170"/>
      <c r="V311" s="1170"/>
      <c r="W311" s="1170"/>
      <c r="X311" s="1170"/>
      <c r="Y311" s="1170"/>
      <c r="Z311" s="1170"/>
      <c r="AA311" s="1170"/>
      <c r="AB311" s="1170"/>
      <c r="AC311" s="1170"/>
      <c r="AD311" s="1170"/>
      <c r="AE311" s="1170"/>
      <c r="AF311" s="1170"/>
      <c r="AG311" s="1170"/>
      <c r="AH311" s="1170"/>
      <c r="AI311" s="1170"/>
      <c r="AJ311" s="1170"/>
      <c r="AK311" s="1170"/>
      <c r="AL311" s="1180" t="s">
        <v>227</v>
      </c>
      <c r="AM311" s="1170"/>
      <c r="AN311" s="1170">
        <f ca="1">IF(HydroRefineryConfig=0,IF(E24=TRUE,IF(E23=TRUE,AN300/(AA54+AA71+AA88+AA103+AN300),AN300/(AA54+AA71+AA88+AN300)),0),IF(OR(HydroRefineryConfig=1,HydroRefineryConfig=2,HydroRefineryConfig=3),IF(E24=TRUE,AN300/(AM145+AM182+AN300+DD285),0),0))</f>
        <v>0</v>
      </c>
      <c r="AO311" s="1170"/>
      <c r="AP311" s="1170"/>
      <c r="AQ311" s="1170"/>
      <c r="AR311" s="1170"/>
      <c r="AS311" s="1170"/>
      <c r="AT311" s="1170"/>
      <c r="AU311" s="1170"/>
      <c r="AV311" s="1170"/>
      <c r="AW311" s="1170"/>
      <c r="AX311" s="1170"/>
      <c r="AY311" s="1170"/>
      <c r="AZ311" s="1170"/>
      <c r="BA311" s="1170"/>
      <c r="BB311" s="1170"/>
      <c r="BC311" s="1170"/>
      <c r="BD311" s="1170"/>
      <c r="BE311" s="1170"/>
      <c r="BF311" s="1170"/>
      <c r="BG311" s="1170"/>
      <c r="BH311" s="1170"/>
      <c r="BI311" s="1170"/>
      <c r="BJ311" s="1170"/>
      <c r="BK311" s="1170"/>
      <c r="BL311" s="1170"/>
      <c r="BM311" s="1170"/>
      <c r="BN311" s="1170"/>
      <c r="BO311" s="1170"/>
      <c r="BP311" s="1170"/>
      <c r="BQ311" s="1170"/>
      <c r="BR311" s="1170"/>
      <c r="BS311" s="1170"/>
      <c r="BT311" s="1170"/>
      <c r="BU311" s="1170"/>
      <c r="BV311" s="1170"/>
      <c r="BW311" s="1170"/>
      <c r="BX311" s="1170"/>
      <c r="BY311" s="1170"/>
      <c r="BZ311" s="1170"/>
      <c r="CA311" s="1170"/>
      <c r="CB311" s="1170"/>
      <c r="CC311" s="1170"/>
      <c r="CD311" s="1170"/>
      <c r="CE311" s="1170"/>
      <c r="CF311" s="1170"/>
      <c r="CG311" s="1170"/>
      <c r="CH311" s="1170"/>
      <c r="CI311" s="1170"/>
      <c r="CJ311" s="1170"/>
      <c r="CK311" s="1170"/>
      <c r="CL311" s="1170"/>
      <c r="CM311" s="1170"/>
      <c r="CN311" s="1170"/>
      <c r="CO311" s="1170"/>
      <c r="CP311" s="1160"/>
      <c r="CQ311" s="1160"/>
      <c r="CR311" s="1160"/>
      <c r="CS311" s="1160"/>
      <c r="CT311" s="1160"/>
      <c r="CU311" s="1160"/>
      <c r="CV311" s="1160"/>
      <c r="CW311" s="1160"/>
      <c r="CX311" s="1160"/>
      <c r="CY311" s="1160"/>
      <c r="CZ311" s="1171"/>
      <c r="DA311" s="1160"/>
      <c r="DB311" s="1181" t="str">
        <f>HydroRefineryCalcs!I906</f>
        <v>Residue HC Resid</v>
      </c>
      <c r="DC311" s="1170"/>
      <c r="DD311" s="1170"/>
      <c r="DE311" s="1170"/>
      <c r="DF311" s="1180" t="str">
        <f>DB311</f>
        <v>Residue HC Resid</v>
      </c>
      <c r="DG311" s="1170"/>
      <c r="DH311" s="1194" t="s">
        <v>522</v>
      </c>
      <c r="DI311" s="1160"/>
      <c r="DJ311" s="1160"/>
      <c r="DK311" s="1160"/>
      <c r="DL311" s="1160"/>
      <c r="DM311" s="1171"/>
      <c r="DN311" s="1160"/>
      <c r="DO311" s="1160"/>
      <c r="DP311" s="1160"/>
      <c r="DQ311" s="1160"/>
      <c r="DR311" s="1160"/>
      <c r="DS311" s="1160"/>
      <c r="DT311" s="1160"/>
      <c r="DU311" s="1160"/>
      <c r="DV311" s="1160"/>
      <c r="DW311" s="1160"/>
      <c r="DX311" s="1160"/>
      <c r="DY311" s="1160"/>
      <c r="DZ311" s="1160"/>
      <c r="EA311" s="1160"/>
      <c r="EB311" s="1160"/>
      <c r="EC311" s="1160"/>
    </row>
    <row r="312" spans="1:133" x14ac:dyDescent="0.2">
      <c r="A312" s="1160"/>
      <c r="B312" s="1160"/>
      <c r="C312" s="1160"/>
      <c r="D312" s="1160"/>
      <c r="E312" s="1170"/>
      <c r="F312" s="1170"/>
      <c r="G312" s="1170"/>
      <c r="H312" s="1170"/>
      <c r="I312" s="1170"/>
      <c r="J312" s="1170"/>
      <c r="K312" s="1170"/>
      <c r="L312" s="1170"/>
      <c r="M312" s="1170"/>
      <c r="N312" s="1170"/>
      <c r="O312" s="1170"/>
      <c r="P312" s="1170"/>
      <c r="Q312" s="1170"/>
      <c r="R312" s="1170"/>
      <c r="S312" s="1170"/>
      <c r="T312" s="1170"/>
      <c r="U312" s="1170"/>
      <c r="V312" s="1170"/>
      <c r="W312" s="1170"/>
      <c r="X312" s="1170"/>
      <c r="Y312" s="1170"/>
      <c r="Z312" s="1170"/>
      <c r="AA312" s="1170"/>
      <c r="AB312" s="1170"/>
      <c r="AC312" s="1170"/>
      <c r="AD312" s="1170"/>
      <c r="AE312" s="1170"/>
      <c r="AF312" s="1170"/>
      <c r="AG312" s="1170"/>
      <c r="AH312" s="1170"/>
      <c r="AI312" s="1170"/>
      <c r="AJ312" s="1170"/>
      <c r="AK312" s="1170"/>
      <c r="AL312" s="1198" t="s">
        <v>228</v>
      </c>
      <c r="AM312" s="1170"/>
      <c r="AN312" s="1217">
        <f ca="1">IF(HydroRefineryConfig=0,IF(E24=TRUE,IF(E23=TRUE,AN292/U102,AN292/(U102-AA95)),0),IF(OR(HydroRefineryConfig=1,HydroRefineryConfig=2,HydroRefineryConfig=3),IF(E24=TRUE,AN292/AE170,0)))</f>
        <v>0</v>
      </c>
      <c r="AO312" s="1170"/>
      <c r="AP312" s="1170"/>
      <c r="AQ312" s="1170"/>
      <c r="AR312" s="1170"/>
      <c r="AS312" s="1170"/>
      <c r="AT312" s="1170"/>
      <c r="AU312" s="1170"/>
      <c r="AV312" s="1170"/>
      <c r="AW312" s="1170"/>
      <c r="AX312" s="1170"/>
      <c r="AY312" s="1170"/>
      <c r="AZ312" s="1170"/>
      <c r="BA312" s="1170"/>
      <c r="BB312" s="1170"/>
      <c r="BC312" s="1170"/>
      <c r="BD312" s="1170"/>
      <c r="BE312" s="1170"/>
      <c r="BF312" s="1170"/>
      <c r="BG312" s="1170"/>
      <c r="BH312" s="1170"/>
      <c r="BI312" s="1170"/>
      <c r="BJ312" s="1170"/>
      <c r="BK312" s="1170"/>
      <c r="BL312" s="1170"/>
      <c r="BM312" s="1170"/>
      <c r="BN312" s="1170"/>
      <c r="BO312" s="1170"/>
      <c r="BP312" s="1170"/>
      <c r="BQ312" s="1170"/>
      <c r="BR312" s="1170"/>
      <c r="BS312" s="1170"/>
      <c r="BT312" s="1170"/>
      <c r="BU312" s="1170"/>
      <c r="BV312" s="1170"/>
      <c r="BW312" s="1170"/>
      <c r="BX312" s="1170"/>
      <c r="BY312" s="1170"/>
      <c r="BZ312" s="1170"/>
      <c r="CA312" s="1170"/>
      <c r="CB312" s="1170"/>
      <c r="CC312" s="1170"/>
      <c r="CD312" s="1170"/>
      <c r="CE312" s="1170"/>
      <c r="CF312" s="1170"/>
      <c r="CG312" s="1170"/>
      <c r="CH312" s="1170"/>
      <c r="CI312" s="1170"/>
      <c r="CJ312" s="1170"/>
      <c r="CK312" s="1170"/>
      <c r="CL312" s="1170"/>
      <c r="CM312" s="1170"/>
      <c r="CN312" s="1170"/>
      <c r="CO312" s="1170"/>
      <c r="CP312" s="1160"/>
      <c r="CQ312" s="1160"/>
      <c r="CR312" s="1160"/>
      <c r="CS312" s="1160"/>
      <c r="CT312" s="1160"/>
      <c r="CU312" s="1160"/>
      <c r="CV312" s="1160"/>
      <c r="CW312" s="1160"/>
      <c r="CX312" s="1160"/>
      <c r="CY312" s="1160"/>
      <c r="CZ312" s="1171"/>
      <c r="DA312" s="1160"/>
      <c r="DB312" s="1182" t="str">
        <f>HydroRefineryCalcs!C906</f>
        <v>Property</v>
      </c>
      <c r="DC312" s="1182" t="str">
        <f>HydroRefineryCalcs!D906</f>
        <v>Units</v>
      </c>
      <c r="DD312" s="1170"/>
      <c r="DE312" s="1170"/>
      <c r="DF312" s="1183" t="s">
        <v>226</v>
      </c>
      <c r="DG312" s="1160"/>
      <c r="DH312" s="1160"/>
      <c r="DI312" s="1160"/>
      <c r="DJ312" s="1160"/>
      <c r="DK312" s="1160"/>
      <c r="DL312" s="1160"/>
      <c r="DM312" s="1171"/>
      <c r="DN312" s="1160"/>
      <c r="DO312" s="1160"/>
      <c r="DP312" s="1160"/>
      <c r="DQ312" s="1160"/>
      <c r="DR312" s="1160"/>
      <c r="DS312" s="1160"/>
      <c r="DT312" s="1160"/>
      <c r="DU312" s="1160"/>
      <c r="DV312" s="1160"/>
      <c r="DW312" s="1160"/>
      <c r="DX312" s="1160"/>
      <c r="DY312" s="1160"/>
      <c r="DZ312" s="1160"/>
      <c r="EA312" s="1160"/>
      <c r="EB312" s="1160"/>
      <c r="EC312" s="1160"/>
    </row>
    <row r="313" spans="1:133" x14ac:dyDescent="0.2">
      <c r="A313" s="1160"/>
      <c r="B313" s="1160"/>
      <c r="C313" s="1160"/>
      <c r="D313" s="1160"/>
      <c r="E313" s="1170"/>
      <c r="F313" s="1170"/>
      <c r="G313" s="1170"/>
      <c r="H313" s="1170"/>
      <c r="I313" s="1170"/>
      <c r="J313" s="1170"/>
      <c r="K313" s="1170"/>
      <c r="L313" s="1170"/>
      <c r="M313" s="1170"/>
      <c r="N313" s="1170"/>
      <c r="O313" s="1170"/>
      <c r="P313" s="1170"/>
      <c r="Q313" s="1170"/>
      <c r="R313" s="1170"/>
      <c r="S313" s="1170"/>
      <c r="T313" s="1170"/>
      <c r="U313" s="1170"/>
      <c r="V313" s="1170"/>
      <c r="W313" s="1170"/>
      <c r="X313" s="1170"/>
      <c r="Y313" s="1170"/>
      <c r="Z313" s="1170"/>
      <c r="AA313" s="1170"/>
      <c r="AB313" s="1170"/>
      <c r="AC313" s="1170"/>
      <c r="AD313" s="1170"/>
      <c r="AE313" s="1170"/>
      <c r="AF313" s="1170"/>
      <c r="AG313" s="1170"/>
      <c r="AH313" s="1170"/>
      <c r="AI313" s="1170"/>
      <c r="AJ313" s="1170"/>
      <c r="AK313" s="1170"/>
      <c r="AL313" s="1170"/>
      <c r="AM313" s="1170"/>
      <c r="AN313" s="1170"/>
      <c r="AO313" s="1170"/>
      <c r="AP313" s="1170"/>
      <c r="AQ313" s="1170"/>
      <c r="AR313" s="1170"/>
      <c r="AS313" s="1170"/>
      <c r="AT313" s="1170"/>
      <c r="AU313" s="1170"/>
      <c r="AV313" s="1170"/>
      <c r="AW313" s="1170"/>
      <c r="AX313" s="1170"/>
      <c r="AY313" s="1170"/>
      <c r="AZ313" s="1170"/>
      <c r="BA313" s="1170"/>
      <c r="BB313" s="1170"/>
      <c r="BC313" s="1170"/>
      <c r="BD313" s="1170"/>
      <c r="BE313" s="1170"/>
      <c r="BF313" s="1170"/>
      <c r="BG313" s="1170"/>
      <c r="BH313" s="1170"/>
      <c r="BI313" s="1170"/>
      <c r="BJ313" s="1170"/>
      <c r="BK313" s="1170"/>
      <c r="BL313" s="1170"/>
      <c r="BM313" s="1170"/>
      <c r="BN313" s="1170"/>
      <c r="BO313" s="1170"/>
      <c r="BP313" s="1170"/>
      <c r="BQ313" s="1170"/>
      <c r="BR313" s="1170"/>
      <c r="BS313" s="1170"/>
      <c r="BT313" s="1170"/>
      <c r="BU313" s="1170"/>
      <c r="BV313" s="1170"/>
      <c r="BW313" s="1170"/>
      <c r="BX313" s="1170"/>
      <c r="BY313" s="1170"/>
      <c r="BZ313" s="1170"/>
      <c r="CA313" s="1170"/>
      <c r="CB313" s="1170"/>
      <c r="CC313" s="1170"/>
      <c r="CD313" s="1170"/>
      <c r="CE313" s="1170"/>
      <c r="CF313" s="1170"/>
      <c r="CG313" s="1170"/>
      <c r="CH313" s="1170"/>
      <c r="CI313" s="1170"/>
      <c r="CJ313" s="1170"/>
      <c r="CK313" s="1170"/>
      <c r="CL313" s="1170"/>
      <c r="CM313" s="1170"/>
      <c r="CN313" s="1170"/>
      <c r="CO313" s="1170"/>
      <c r="CP313" s="1160"/>
      <c r="CQ313" s="1160"/>
      <c r="CR313" s="1160"/>
      <c r="CS313" s="1160"/>
      <c r="CT313" s="1160"/>
      <c r="CU313" s="1160"/>
      <c r="CV313" s="1160"/>
      <c r="CW313" s="1160"/>
      <c r="CX313" s="1160"/>
      <c r="CY313" s="1160"/>
      <c r="CZ313" s="1171"/>
      <c r="DA313" s="1160"/>
      <c r="DB313" s="1186" t="str">
        <f>HydroRefineryCalcs!C907</f>
        <v>Vol Flow</v>
      </c>
      <c r="DC313" s="1170" t="str">
        <f ca="1">HydroRefineryCalcs!D907</f>
        <v>bpd</v>
      </c>
      <c r="DD313" s="1187">
        <f ca="1">HydroRefineryCalcs!I907</f>
        <v>1.442844593709182E-17</v>
      </c>
      <c r="DE313" s="1170"/>
      <c r="DF313" s="1170" t="s">
        <v>263</v>
      </c>
      <c r="DG313" s="1160"/>
      <c r="DH313" s="1187">
        <f ca="1">BB256*DH318</f>
        <v>0</v>
      </c>
      <c r="DI313" s="1160"/>
      <c r="DJ313" s="1160"/>
      <c r="DK313" s="1160"/>
      <c r="DL313" s="1160"/>
      <c r="DM313" s="1171"/>
      <c r="DN313" s="1160"/>
      <c r="DO313" s="1160"/>
      <c r="DP313" s="1160"/>
      <c r="DQ313" s="1160"/>
      <c r="DR313" s="1160"/>
      <c r="DS313" s="1160"/>
      <c r="DT313" s="1160"/>
      <c r="DU313" s="1160"/>
      <c r="DV313" s="1160"/>
      <c r="DW313" s="1160"/>
      <c r="DX313" s="1160"/>
      <c r="DY313" s="1160"/>
      <c r="DZ313" s="1160"/>
      <c r="EA313" s="1160"/>
      <c r="EB313" s="1160"/>
      <c r="EC313" s="1160"/>
    </row>
    <row r="314" spans="1:133" x14ac:dyDescent="0.2">
      <c r="A314" s="1160"/>
      <c r="B314" s="1160"/>
      <c r="C314" s="1160"/>
      <c r="D314" s="1160"/>
      <c r="E314" s="1170"/>
      <c r="F314" s="1170"/>
      <c r="G314" s="1170"/>
      <c r="H314" s="1170"/>
      <c r="I314" s="1170"/>
      <c r="J314" s="1170"/>
      <c r="K314" s="1170"/>
      <c r="L314" s="1170"/>
      <c r="M314" s="1170"/>
      <c r="N314" s="1170"/>
      <c r="O314" s="1170"/>
      <c r="P314" s="1170"/>
      <c r="Q314" s="1170"/>
      <c r="R314" s="1170"/>
      <c r="S314" s="1170"/>
      <c r="T314" s="1170"/>
      <c r="U314" s="1170"/>
      <c r="V314" s="1170"/>
      <c r="W314" s="1170"/>
      <c r="X314" s="1170"/>
      <c r="Y314" s="1170"/>
      <c r="Z314" s="1170"/>
      <c r="AA314" s="1170"/>
      <c r="AB314" s="1170"/>
      <c r="AC314" s="1170"/>
      <c r="AD314" s="1170"/>
      <c r="AE314" s="1170"/>
      <c r="AF314" s="1170"/>
      <c r="AG314" s="1170"/>
      <c r="AH314" s="1170"/>
      <c r="AI314" s="1170"/>
      <c r="AJ314" s="1170"/>
      <c r="AK314" s="1170"/>
      <c r="AL314" s="1170"/>
      <c r="AM314" s="1170"/>
      <c r="AN314" s="1170"/>
      <c r="AO314" s="1170"/>
      <c r="AP314" s="1170"/>
      <c r="AQ314" s="1170"/>
      <c r="AR314" s="1170"/>
      <c r="AS314" s="1170"/>
      <c r="AT314" s="1170"/>
      <c r="AU314" s="1170"/>
      <c r="AV314" s="1170"/>
      <c r="AW314" s="1170"/>
      <c r="AX314" s="1170"/>
      <c r="AY314" s="1170"/>
      <c r="AZ314" s="1170"/>
      <c r="BA314" s="1170"/>
      <c r="BB314" s="1170"/>
      <c r="BC314" s="1170"/>
      <c r="BD314" s="1170"/>
      <c r="BE314" s="1170"/>
      <c r="BF314" s="1170"/>
      <c r="BG314" s="1170"/>
      <c r="BH314" s="1170"/>
      <c r="BI314" s="1170"/>
      <c r="BJ314" s="1170"/>
      <c r="BK314" s="1170"/>
      <c r="BL314" s="1170"/>
      <c r="BM314" s="1170"/>
      <c r="BN314" s="1170"/>
      <c r="BO314" s="1170"/>
      <c r="BP314" s="1170"/>
      <c r="BQ314" s="1170"/>
      <c r="BR314" s="1170"/>
      <c r="BS314" s="1170"/>
      <c r="BT314" s="1170"/>
      <c r="BU314" s="1170"/>
      <c r="BV314" s="1170"/>
      <c r="BW314" s="1170"/>
      <c r="BX314" s="1170"/>
      <c r="BY314" s="1170"/>
      <c r="BZ314" s="1170"/>
      <c r="CA314" s="1170"/>
      <c r="CB314" s="1170"/>
      <c r="CC314" s="1170"/>
      <c r="CD314" s="1170"/>
      <c r="CE314" s="1170"/>
      <c r="CF314" s="1170"/>
      <c r="CG314" s="1170"/>
      <c r="CH314" s="1170"/>
      <c r="CI314" s="1170"/>
      <c r="CJ314" s="1170"/>
      <c r="CK314" s="1170"/>
      <c r="CL314" s="1170"/>
      <c r="CM314" s="1170"/>
      <c r="CN314" s="1170"/>
      <c r="CO314" s="1170"/>
      <c r="CP314" s="1160"/>
      <c r="CQ314" s="1160"/>
      <c r="CR314" s="1160"/>
      <c r="CS314" s="1160"/>
      <c r="CT314" s="1160"/>
      <c r="CU314" s="1160"/>
      <c r="CV314" s="1160"/>
      <c r="CW314" s="1160"/>
      <c r="CX314" s="1160"/>
      <c r="CY314" s="1160"/>
      <c r="CZ314" s="1171"/>
      <c r="DA314" s="1160"/>
      <c r="DB314" s="1186" t="str">
        <f>HydroRefineryCalcs!C908</f>
        <v>Vol Flow</v>
      </c>
      <c r="DC314" s="1170" t="str">
        <f ca="1">HydroRefineryCalcs!D908</f>
        <v>m^3/d</v>
      </c>
      <c r="DD314" s="1187">
        <f ca="1">HydroRefineryCalcs!I908</f>
        <v>2.2939396627341983E-18</v>
      </c>
      <c r="DE314" s="1170"/>
      <c r="DF314" s="1170" t="s">
        <v>392</v>
      </c>
      <c r="DG314" s="1160"/>
      <c r="DH314" s="1187">
        <f ca="1">(BB257+BE233)*$DH$318</f>
        <v>0</v>
      </c>
      <c r="DI314" s="1160"/>
      <c r="DJ314" s="1160"/>
      <c r="DK314" s="1160"/>
      <c r="DL314" s="1160"/>
      <c r="DM314" s="1171"/>
      <c r="DN314" s="1160"/>
      <c r="DO314" s="1160"/>
      <c r="DP314" s="1160"/>
      <c r="DQ314" s="1160"/>
      <c r="DR314" s="1160"/>
      <c r="DS314" s="1160"/>
      <c r="DT314" s="1160"/>
      <c r="DU314" s="1160"/>
      <c r="DV314" s="1160"/>
      <c r="DW314" s="1160"/>
      <c r="DX314" s="1160"/>
      <c r="DY314" s="1160"/>
      <c r="DZ314" s="1160"/>
      <c r="EA314" s="1160"/>
      <c r="EB314" s="1160"/>
      <c r="EC314" s="1160"/>
    </row>
    <row r="315" spans="1:133" x14ac:dyDescent="0.2">
      <c r="A315" s="1160"/>
      <c r="B315" s="1160"/>
      <c r="C315" s="1160"/>
      <c r="D315" s="1160"/>
      <c r="E315" s="1170"/>
      <c r="F315" s="1170"/>
      <c r="G315" s="1170"/>
      <c r="H315" s="1170"/>
      <c r="I315" s="1170"/>
      <c r="J315" s="1170"/>
      <c r="K315" s="1170"/>
      <c r="L315" s="1170"/>
      <c r="M315" s="1170"/>
      <c r="N315" s="1170"/>
      <c r="O315" s="1170"/>
      <c r="P315" s="1170"/>
      <c r="Q315" s="1170"/>
      <c r="R315" s="1170"/>
      <c r="S315" s="1170"/>
      <c r="T315" s="1170"/>
      <c r="U315" s="1170"/>
      <c r="V315" s="1170"/>
      <c r="W315" s="1170"/>
      <c r="X315" s="1170"/>
      <c r="Y315" s="1170"/>
      <c r="Z315" s="1170"/>
      <c r="AA315" s="1170"/>
      <c r="AB315" s="1170"/>
      <c r="AC315" s="1170"/>
      <c r="AD315" s="1170"/>
      <c r="AE315" s="1170"/>
      <c r="AF315" s="1170"/>
      <c r="AG315" s="1170"/>
      <c r="AH315" s="1170"/>
      <c r="AI315" s="1170"/>
      <c r="AJ315" s="1170"/>
      <c r="AK315" s="1170"/>
      <c r="AL315" s="1170"/>
      <c r="AM315" s="1170"/>
      <c r="AN315" s="1170"/>
      <c r="AO315" s="1170"/>
      <c r="AP315" s="1170"/>
      <c r="AQ315" s="1170"/>
      <c r="AR315" s="1170"/>
      <c r="AS315" s="1170"/>
      <c r="AT315" s="1170"/>
      <c r="AU315" s="1170"/>
      <c r="AV315" s="1170"/>
      <c r="AW315" s="1170"/>
      <c r="AX315" s="1170"/>
      <c r="AY315" s="1170"/>
      <c r="AZ315" s="1170"/>
      <c r="BA315" s="1170"/>
      <c r="BB315" s="1170"/>
      <c r="BC315" s="1170"/>
      <c r="BD315" s="1170"/>
      <c r="BE315" s="1170"/>
      <c r="BF315" s="1170"/>
      <c r="BG315" s="1170"/>
      <c r="BH315" s="1170"/>
      <c r="BI315" s="1170"/>
      <c r="BJ315" s="1170"/>
      <c r="BK315" s="1170"/>
      <c r="BL315" s="1170"/>
      <c r="BM315" s="1170"/>
      <c r="BN315" s="1170"/>
      <c r="BO315" s="1170"/>
      <c r="BP315" s="1170"/>
      <c r="BQ315" s="1170"/>
      <c r="BR315" s="1170"/>
      <c r="BS315" s="1170"/>
      <c r="BT315" s="1170"/>
      <c r="BU315" s="1170"/>
      <c r="BV315" s="1170"/>
      <c r="BW315" s="1170"/>
      <c r="BX315" s="1170"/>
      <c r="BY315" s="1170"/>
      <c r="BZ315" s="1170"/>
      <c r="CA315" s="1170"/>
      <c r="CB315" s="1170"/>
      <c r="CC315" s="1170"/>
      <c r="CD315" s="1170"/>
      <c r="CE315" s="1170"/>
      <c r="CF315" s="1170"/>
      <c r="CG315" s="1170"/>
      <c r="CH315" s="1170"/>
      <c r="CI315" s="1170"/>
      <c r="CJ315" s="1170"/>
      <c r="CK315" s="1170"/>
      <c r="CL315" s="1170"/>
      <c r="CM315" s="1170"/>
      <c r="CN315" s="1170"/>
      <c r="CO315" s="1170"/>
      <c r="CP315" s="1160"/>
      <c r="CQ315" s="1160"/>
      <c r="CR315" s="1160"/>
      <c r="CS315" s="1160"/>
      <c r="CT315" s="1160"/>
      <c r="CU315" s="1160"/>
      <c r="CV315" s="1160"/>
      <c r="CW315" s="1160"/>
      <c r="CX315" s="1160"/>
      <c r="CY315" s="1160"/>
      <c r="CZ315" s="1171"/>
      <c r="DA315" s="1160"/>
      <c r="DB315" s="1186" t="str">
        <f>HydroRefineryCalcs!C909</f>
        <v>Mass Flow</v>
      </c>
      <c r="DC315" s="1170" t="str">
        <f>HydroRefineryCalcs!D909</f>
        <v>kg/d</v>
      </c>
      <c r="DD315" s="1187">
        <f ca="1">HydroRefineryCalcs!I909</f>
        <v>2.5026881720430105E-15</v>
      </c>
      <c r="DE315" s="1170"/>
      <c r="DF315" s="1170" t="s">
        <v>224</v>
      </c>
      <c r="DG315" s="1160"/>
      <c r="DH315" s="1187">
        <f ca="1">(BB258+BE234)*$DH$318</f>
        <v>0</v>
      </c>
      <c r="DI315" s="1160"/>
      <c r="DJ315" s="1160"/>
      <c r="DK315" s="1160"/>
      <c r="DL315" s="1160"/>
      <c r="DM315" s="1171"/>
      <c r="DN315" s="1160"/>
      <c r="DO315" s="1160"/>
      <c r="DP315" s="1160"/>
      <c r="DQ315" s="1160"/>
      <c r="DR315" s="1160"/>
      <c r="DS315" s="1160"/>
      <c r="DT315" s="1160"/>
      <c r="DU315" s="1160"/>
      <c r="DV315" s="1160"/>
      <c r="DW315" s="1160"/>
      <c r="DX315" s="1160"/>
      <c r="DY315" s="1160"/>
      <c r="DZ315" s="1160"/>
      <c r="EA315" s="1160"/>
      <c r="EB315" s="1160"/>
      <c r="EC315" s="1160"/>
    </row>
    <row r="316" spans="1:133" x14ac:dyDescent="0.2">
      <c r="A316" s="1160"/>
      <c r="B316" s="1160"/>
      <c r="C316" s="1160"/>
      <c r="D316" s="1160"/>
      <c r="E316" s="1170"/>
      <c r="F316" s="1170"/>
      <c r="G316" s="1170"/>
      <c r="H316" s="1170"/>
      <c r="I316" s="1170"/>
      <c r="J316" s="1170"/>
      <c r="K316" s="1170"/>
      <c r="L316" s="1170"/>
      <c r="M316" s="1170"/>
      <c r="N316" s="1170"/>
      <c r="O316" s="1170"/>
      <c r="P316" s="1170"/>
      <c r="Q316" s="1170"/>
      <c r="R316" s="1170"/>
      <c r="S316" s="1170"/>
      <c r="T316" s="1170"/>
      <c r="U316" s="1170"/>
      <c r="V316" s="1170"/>
      <c r="W316" s="1170"/>
      <c r="X316" s="1170"/>
      <c r="Y316" s="1170"/>
      <c r="Z316" s="1170"/>
      <c r="AA316" s="1170"/>
      <c r="AB316" s="1170"/>
      <c r="AC316" s="1170"/>
      <c r="AD316" s="1170"/>
      <c r="AE316" s="1170"/>
      <c r="AF316" s="1170"/>
      <c r="AG316" s="1170"/>
      <c r="AH316" s="1170"/>
      <c r="AI316" s="1170"/>
      <c r="AJ316" s="1170"/>
      <c r="AK316" s="1170"/>
      <c r="AL316" s="1170"/>
      <c r="AM316" s="1170"/>
      <c r="AN316" s="1170"/>
      <c r="AO316" s="1170"/>
      <c r="AP316" s="1170"/>
      <c r="AQ316" s="1170"/>
      <c r="AR316" s="1170"/>
      <c r="AS316" s="1170"/>
      <c r="AT316" s="1170"/>
      <c r="AU316" s="1170"/>
      <c r="AV316" s="1170"/>
      <c r="AW316" s="1170"/>
      <c r="AX316" s="1170"/>
      <c r="AY316" s="1170"/>
      <c r="AZ316" s="1170"/>
      <c r="BA316" s="1170"/>
      <c r="BB316" s="1170"/>
      <c r="BC316" s="1170"/>
      <c r="BD316" s="1170"/>
      <c r="BE316" s="1170"/>
      <c r="BF316" s="1170"/>
      <c r="BG316" s="1170"/>
      <c r="BH316" s="1170"/>
      <c r="BI316" s="1170"/>
      <c r="BJ316" s="1170"/>
      <c r="BK316" s="1170"/>
      <c r="BL316" s="1170"/>
      <c r="BM316" s="1170"/>
      <c r="BN316" s="1170"/>
      <c r="BO316" s="1170"/>
      <c r="BP316" s="1170"/>
      <c r="BQ316" s="1170"/>
      <c r="BR316" s="1170"/>
      <c r="BS316" s="1170"/>
      <c r="BT316" s="1170"/>
      <c r="BU316" s="1170"/>
      <c r="BV316" s="1170"/>
      <c r="BW316" s="1170"/>
      <c r="BX316" s="1170"/>
      <c r="BY316" s="1170"/>
      <c r="BZ316" s="1170"/>
      <c r="CA316" s="1170"/>
      <c r="CB316" s="1170"/>
      <c r="CC316" s="1170"/>
      <c r="CD316" s="1170"/>
      <c r="CE316" s="1170"/>
      <c r="CF316" s="1170"/>
      <c r="CG316" s="1170"/>
      <c r="CH316" s="1170"/>
      <c r="CI316" s="1170"/>
      <c r="CJ316" s="1170"/>
      <c r="CK316" s="1170"/>
      <c r="CL316" s="1170"/>
      <c r="CM316" s="1170"/>
      <c r="CN316" s="1170"/>
      <c r="CO316" s="1170"/>
      <c r="CP316" s="1160"/>
      <c r="CQ316" s="1160"/>
      <c r="CR316" s="1160"/>
      <c r="CS316" s="1160"/>
      <c r="CT316" s="1160"/>
      <c r="CU316" s="1160"/>
      <c r="CV316" s="1160"/>
      <c r="CW316" s="1160"/>
      <c r="CX316" s="1160"/>
      <c r="CY316" s="1160"/>
      <c r="CZ316" s="1171"/>
      <c r="DA316" s="1160"/>
      <c r="DB316" s="1186" t="str">
        <f>HydroRefineryCalcs!C910</f>
        <v xml:space="preserve">Sulphur </v>
      </c>
      <c r="DC316" s="1170" t="str">
        <f ca="1">HydroRefineryCalcs!D910</f>
        <v>wt%</v>
      </c>
      <c r="DD316" s="1170">
        <f ca="1">HydroRefineryCalcs!I910</f>
        <v>0</v>
      </c>
      <c r="DE316" s="1170"/>
      <c r="DF316" s="1170" t="s">
        <v>485</v>
      </c>
      <c r="DG316" s="1160"/>
      <c r="DH316" s="1187">
        <f ca="1">(BB259+BE235)*$DH$318</f>
        <v>0</v>
      </c>
      <c r="DI316" s="1160"/>
      <c r="DJ316" s="1160"/>
      <c r="DK316" s="1160"/>
      <c r="DL316" s="1160"/>
      <c r="DM316" s="1171"/>
      <c r="DN316" s="1160"/>
      <c r="DO316" s="1160"/>
      <c r="DP316" s="1160"/>
      <c r="DQ316" s="1160"/>
      <c r="DR316" s="1160"/>
      <c r="DS316" s="1160"/>
      <c r="DT316" s="1160"/>
      <c r="DU316" s="1160"/>
      <c r="DV316" s="1160"/>
      <c r="DW316" s="1160"/>
      <c r="DX316" s="1160"/>
      <c r="DY316" s="1160"/>
      <c r="DZ316" s="1160"/>
      <c r="EA316" s="1160"/>
      <c r="EB316" s="1160"/>
      <c r="EC316" s="1160"/>
    </row>
    <row r="317" spans="1:133" x14ac:dyDescent="0.2">
      <c r="A317" s="1160"/>
      <c r="B317" s="1160"/>
      <c r="C317" s="1160"/>
      <c r="D317" s="1160"/>
      <c r="E317" s="1170"/>
      <c r="F317" s="1170"/>
      <c r="G317" s="1170"/>
      <c r="H317" s="1170"/>
      <c r="I317" s="1170"/>
      <c r="J317" s="1170"/>
      <c r="K317" s="1170"/>
      <c r="L317" s="1170"/>
      <c r="M317" s="1170"/>
      <c r="N317" s="1170"/>
      <c r="O317" s="1170"/>
      <c r="P317" s="1170"/>
      <c r="Q317" s="1170"/>
      <c r="R317" s="1170"/>
      <c r="S317" s="1170"/>
      <c r="T317" s="1170"/>
      <c r="U317" s="1170"/>
      <c r="V317" s="1170"/>
      <c r="W317" s="1170"/>
      <c r="X317" s="1170"/>
      <c r="Y317" s="1170"/>
      <c r="Z317" s="1170"/>
      <c r="AA317" s="1170"/>
      <c r="AB317" s="1170"/>
      <c r="AC317" s="1170"/>
      <c r="AD317" s="1170"/>
      <c r="AE317" s="1170"/>
      <c r="AF317" s="1170"/>
      <c r="AG317" s="1170"/>
      <c r="AH317" s="1170"/>
      <c r="AI317" s="1170"/>
      <c r="AJ317" s="1170"/>
      <c r="AK317" s="1170"/>
      <c r="AL317" s="1170"/>
      <c r="AM317" s="1170"/>
      <c r="AN317" s="1170"/>
      <c r="AO317" s="1170"/>
      <c r="AP317" s="1170"/>
      <c r="AQ317" s="1170"/>
      <c r="AR317" s="1170"/>
      <c r="AS317" s="1170"/>
      <c r="AT317" s="1170"/>
      <c r="AU317" s="1170"/>
      <c r="AV317" s="1170"/>
      <c r="AW317" s="1170"/>
      <c r="AX317" s="1170"/>
      <c r="AY317" s="1170"/>
      <c r="AZ317" s="1170"/>
      <c r="BA317" s="1170"/>
      <c r="BB317" s="1170"/>
      <c r="BC317" s="1170"/>
      <c r="BD317" s="1170"/>
      <c r="BE317" s="1170"/>
      <c r="BF317" s="1170"/>
      <c r="BG317" s="1170"/>
      <c r="BH317" s="1170"/>
      <c r="BI317" s="1170"/>
      <c r="BJ317" s="1170"/>
      <c r="BK317" s="1170"/>
      <c r="BL317" s="1170"/>
      <c r="BM317" s="1170"/>
      <c r="BN317" s="1170"/>
      <c r="BO317" s="1170"/>
      <c r="BP317" s="1170"/>
      <c r="BQ317" s="1170"/>
      <c r="BR317" s="1170"/>
      <c r="BS317" s="1170"/>
      <c r="BT317" s="1170"/>
      <c r="BU317" s="1170"/>
      <c r="BV317" s="1170"/>
      <c r="BW317" s="1170"/>
      <c r="BX317" s="1170"/>
      <c r="BY317" s="1170"/>
      <c r="BZ317" s="1170"/>
      <c r="CA317" s="1170"/>
      <c r="CB317" s="1170"/>
      <c r="CC317" s="1170"/>
      <c r="CD317" s="1170"/>
      <c r="CE317" s="1170"/>
      <c r="CF317" s="1170"/>
      <c r="CG317" s="1170"/>
      <c r="CH317" s="1170"/>
      <c r="CI317" s="1170"/>
      <c r="CJ317" s="1170"/>
      <c r="CK317" s="1170"/>
      <c r="CL317" s="1170"/>
      <c r="CM317" s="1170"/>
      <c r="CN317" s="1170"/>
      <c r="CO317" s="1170"/>
      <c r="CP317" s="1160"/>
      <c r="CQ317" s="1160"/>
      <c r="CR317" s="1160"/>
      <c r="CS317" s="1160"/>
      <c r="CT317" s="1160"/>
      <c r="CU317" s="1160"/>
      <c r="CV317" s="1160"/>
      <c r="CW317" s="1160"/>
      <c r="CX317" s="1160"/>
      <c r="CY317" s="1160"/>
      <c r="CZ317" s="1171"/>
      <c r="DA317" s="1160"/>
      <c r="DB317" s="1186" t="str">
        <f>HydroRefineryCalcs!C912</f>
        <v xml:space="preserve">API gravity </v>
      </c>
      <c r="DC317" s="1170"/>
      <c r="DD317" s="1170">
        <f>HydroRefineryCalcs!I912</f>
        <v>-1.8024747937671748</v>
      </c>
      <c r="DE317" s="1170"/>
      <c r="DF317" s="1170" t="s">
        <v>541</v>
      </c>
      <c r="DG317" s="1160"/>
      <c r="DH317" s="1187">
        <f ca="1">(BB260+BE236)*$DH$318</f>
        <v>0</v>
      </c>
      <c r="DI317" s="1160"/>
      <c r="DJ317" s="1160"/>
      <c r="DK317" s="1160"/>
      <c r="DL317" s="1160"/>
      <c r="DM317" s="1171"/>
      <c r="DN317" s="1160"/>
      <c r="DO317" s="1160"/>
      <c r="DP317" s="1160"/>
      <c r="DQ317" s="1160"/>
      <c r="DR317" s="1160"/>
      <c r="DS317" s="1160"/>
      <c r="DT317" s="1160"/>
      <c r="DU317" s="1160"/>
      <c r="DV317" s="1160"/>
      <c r="DW317" s="1160"/>
      <c r="DX317" s="1160"/>
      <c r="DY317" s="1160"/>
      <c r="DZ317" s="1160"/>
      <c r="EA317" s="1160"/>
      <c r="EB317" s="1160"/>
      <c r="EC317" s="1160"/>
    </row>
    <row r="318" spans="1:133" x14ac:dyDescent="0.2">
      <c r="A318" s="1160"/>
      <c r="B318" s="1160"/>
      <c r="C318" s="1160"/>
      <c r="D318" s="1160"/>
      <c r="E318" s="1170"/>
      <c r="F318" s="1170"/>
      <c r="G318" s="1170"/>
      <c r="H318" s="1170"/>
      <c r="I318" s="1170"/>
      <c r="J318" s="1170"/>
      <c r="K318" s="1170"/>
      <c r="L318" s="1170"/>
      <c r="M318" s="1170"/>
      <c r="N318" s="1170"/>
      <c r="O318" s="1170"/>
      <c r="P318" s="1170"/>
      <c r="Q318" s="1170"/>
      <c r="R318" s="1170"/>
      <c r="S318" s="1170"/>
      <c r="T318" s="1170"/>
      <c r="U318" s="1170"/>
      <c r="V318" s="1170"/>
      <c r="W318" s="1170"/>
      <c r="X318" s="1170"/>
      <c r="Y318" s="1170"/>
      <c r="Z318" s="1170"/>
      <c r="AA318" s="1170"/>
      <c r="AB318" s="1170"/>
      <c r="AC318" s="1170"/>
      <c r="AD318" s="1170"/>
      <c r="AE318" s="1170"/>
      <c r="AF318" s="1170"/>
      <c r="AG318" s="1170"/>
      <c r="AH318" s="1170"/>
      <c r="AI318" s="1170"/>
      <c r="AJ318" s="1170"/>
      <c r="AK318" s="1170"/>
      <c r="AL318" s="1170"/>
      <c r="AM318" s="1170"/>
      <c r="AN318" s="1170"/>
      <c r="AO318" s="1170"/>
      <c r="AP318" s="1170"/>
      <c r="AQ318" s="1170"/>
      <c r="AR318" s="1170"/>
      <c r="AS318" s="1170"/>
      <c r="AT318" s="1170"/>
      <c r="AU318" s="1170"/>
      <c r="AV318" s="1170"/>
      <c r="AW318" s="1170"/>
      <c r="AX318" s="1170"/>
      <c r="AY318" s="1170"/>
      <c r="AZ318" s="1170"/>
      <c r="BA318" s="1170"/>
      <c r="BB318" s="1170"/>
      <c r="BC318" s="1170"/>
      <c r="BD318" s="1170"/>
      <c r="BE318" s="1170"/>
      <c r="BF318" s="1170"/>
      <c r="BG318" s="1170"/>
      <c r="BH318" s="1170"/>
      <c r="BI318" s="1170"/>
      <c r="BJ318" s="1170"/>
      <c r="BK318" s="1170"/>
      <c r="BL318" s="1170"/>
      <c r="BM318" s="1170"/>
      <c r="BN318" s="1170"/>
      <c r="BO318" s="1170"/>
      <c r="BP318" s="1170"/>
      <c r="BQ318" s="1170"/>
      <c r="BR318" s="1170"/>
      <c r="BS318" s="1170"/>
      <c r="BT318" s="1170"/>
      <c r="BU318" s="1170"/>
      <c r="BV318" s="1170"/>
      <c r="BW318" s="1170"/>
      <c r="BX318" s="1170"/>
      <c r="BY318" s="1170"/>
      <c r="BZ318" s="1170"/>
      <c r="CA318" s="1170"/>
      <c r="CB318" s="1170"/>
      <c r="CC318" s="1170"/>
      <c r="CD318" s="1170"/>
      <c r="CE318" s="1170"/>
      <c r="CF318" s="1170"/>
      <c r="CG318" s="1170"/>
      <c r="CH318" s="1170"/>
      <c r="CI318" s="1170"/>
      <c r="CJ318" s="1170"/>
      <c r="CK318" s="1170"/>
      <c r="CL318" s="1170"/>
      <c r="CM318" s="1170"/>
      <c r="CN318" s="1170"/>
      <c r="CO318" s="1170"/>
      <c r="CP318" s="1160"/>
      <c r="CQ318" s="1160"/>
      <c r="CR318" s="1160"/>
      <c r="CS318" s="1160"/>
      <c r="CT318" s="1160"/>
      <c r="CU318" s="1160"/>
      <c r="CV318" s="1160"/>
      <c r="CW318" s="1160"/>
      <c r="CX318" s="1160"/>
      <c r="CY318" s="1160"/>
      <c r="CZ318" s="1171"/>
      <c r="DA318" s="1160"/>
      <c r="DB318" s="1186" t="str">
        <f>HydroRefineryCalcs!C913</f>
        <v>Density</v>
      </c>
      <c r="DC318" s="1170" t="str">
        <f ca="1">HydroRefineryCalcs!D913</f>
        <v>kg/m^3</v>
      </c>
      <c r="DD318" s="1170">
        <f>HydroRefineryCalcs!I913</f>
        <v>1091</v>
      </c>
      <c r="DE318" s="1170"/>
      <c r="DF318" s="1180" t="s">
        <v>48</v>
      </c>
      <c r="DG318" s="1160"/>
      <c r="DH318" s="1170">
        <f>IF('HydroRefineryPFD '!E25=TRUE,DH319,0)</f>
        <v>0</v>
      </c>
      <c r="DI318" s="1160"/>
      <c r="DJ318" s="1160"/>
      <c r="DK318" s="1160"/>
      <c r="DL318" s="1160"/>
      <c r="DM318" s="1171"/>
      <c r="DN318" s="1160"/>
      <c r="DO318" s="1160"/>
      <c r="DP318" s="1160"/>
      <c r="DQ318" s="1160"/>
      <c r="DR318" s="1160"/>
      <c r="DS318" s="1160"/>
      <c r="DT318" s="1160"/>
      <c r="DU318" s="1160"/>
      <c r="DV318" s="1160"/>
      <c r="DW318" s="1160"/>
      <c r="DX318" s="1160"/>
      <c r="DY318" s="1160"/>
      <c r="DZ318" s="1160"/>
      <c r="EA318" s="1160"/>
      <c r="EB318" s="1160"/>
      <c r="EC318" s="1160"/>
    </row>
    <row r="319" spans="1:133" x14ac:dyDescent="0.2">
      <c r="A319" s="1160"/>
      <c r="B319" s="1160"/>
      <c r="C319" s="1160"/>
      <c r="D319" s="1160"/>
      <c r="E319" s="1170"/>
      <c r="F319" s="1170"/>
      <c r="G319" s="1170"/>
      <c r="H319" s="1170"/>
      <c r="I319" s="1170"/>
      <c r="J319" s="1170"/>
      <c r="K319" s="1170"/>
      <c r="L319" s="1170"/>
      <c r="M319" s="1170"/>
      <c r="N319" s="1170"/>
      <c r="O319" s="1170"/>
      <c r="P319" s="1170"/>
      <c r="Q319" s="1170"/>
      <c r="R319" s="1170"/>
      <c r="S319" s="1170"/>
      <c r="T319" s="1170"/>
      <c r="U319" s="1170"/>
      <c r="V319" s="1170"/>
      <c r="W319" s="1170"/>
      <c r="X319" s="1170"/>
      <c r="Y319" s="1170"/>
      <c r="Z319" s="1170"/>
      <c r="AA319" s="1170"/>
      <c r="AB319" s="1170"/>
      <c r="AC319" s="1170"/>
      <c r="AD319" s="1170"/>
      <c r="AE319" s="1170"/>
      <c r="AF319" s="1170"/>
      <c r="AG319" s="1170"/>
      <c r="AH319" s="1170"/>
      <c r="AI319" s="1170"/>
      <c r="AJ319" s="1170"/>
      <c r="AK319" s="1170"/>
      <c r="AL319" s="1170"/>
      <c r="AM319" s="1170"/>
      <c r="AN319" s="1170"/>
      <c r="AO319" s="1170"/>
      <c r="AP319" s="1170"/>
      <c r="AQ319" s="1170"/>
      <c r="AR319" s="1170"/>
      <c r="AS319" s="1170"/>
      <c r="AT319" s="1170"/>
      <c r="AU319" s="1170"/>
      <c r="AV319" s="1170"/>
      <c r="AW319" s="1170"/>
      <c r="AX319" s="1170"/>
      <c r="AY319" s="1170"/>
      <c r="AZ319" s="1170"/>
      <c r="BA319" s="1170"/>
      <c r="BB319" s="1170"/>
      <c r="BC319" s="1170"/>
      <c r="BD319" s="1170"/>
      <c r="BE319" s="1170"/>
      <c r="BF319" s="1170"/>
      <c r="BG319" s="1170"/>
      <c r="BH319" s="1170"/>
      <c r="BI319" s="1170"/>
      <c r="BJ319" s="1170"/>
      <c r="BK319" s="1170"/>
      <c r="BL319" s="1170"/>
      <c r="BM319" s="1170"/>
      <c r="BN319" s="1170"/>
      <c r="BO319" s="1170"/>
      <c r="BP319" s="1170"/>
      <c r="BQ319" s="1170"/>
      <c r="BR319" s="1170"/>
      <c r="BS319" s="1170"/>
      <c r="BT319" s="1170"/>
      <c r="BU319" s="1170"/>
      <c r="BV319" s="1170"/>
      <c r="BW319" s="1170"/>
      <c r="BX319" s="1170"/>
      <c r="BY319" s="1170"/>
      <c r="BZ319" s="1170"/>
      <c r="CA319" s="1170"/>
      <c r="CB319" s="1170"/>
      <c r="CC319" s="1170"/>
      <c r="CD319" s="1170"/>
      <c r="CE319" s="1170"/>
      <c r="CF319" s="1170"/>
      <c r="CG319" s="1170"/>
      <c r="CH319" s="1170"/>
      <c r="CI319" s="1170"/>
      <c r="CJ319" s="1170"/>
      <c r="CK319" s="1170"/>
      <c r="CL319" s="1170"/>
      <c r="CM319" s="1170"/>
      <c r="CN319" s="1170"/>
      <c r="CO319" s="1170"/>
      <c r="CP319" s="1160"/>
      <c r="CQ319" s="1160"/>
      <c r="CR319" s="1160"/>
      <c r="CS319" s="1160"/>
      <c r="CT319" s="1160"/>
      <c r="CU319" s="1160"/>
      <c r="CV319" s="1160"/>
      <c r="CW319" s="1160"/>
      <c r="CX319" s="1160"/>
      <c r="CY319" s="1160"/>
      <c r="CZ319" s="1171"/>
      <c r="DA319" s="1160"/>
      <c r="DB319" s="1186" t="str">
        <f>HydroRefineryCalcs!C914</f>
        <v>Hydrogen</v>
      </c>
      <c r="DC319" s="1170" t="str">
        <f ca="1">HydroRefineryCalcs!D914</f>
        <v>wt%</v>
      </c>
      <c r="DD319" s="1170">
        <f ca="1">HydroRefineryCalcs!I914</f>
        <v>1.2084320369426369</v>
      </c>
      <c r="DE319" s="1170"/>
      <c r="DF319" s="1180" t="s">
        <v>227</v>
      </c>
      <c r="DG319" s="1160"/>
      <c r="DH319" s="1170">
        <f ca="1">DD323/(BI182+BI255+BL282+DD323)</f>
        <v>3.399825570130157E-2</v>
      </c>
      <c r="DI319" s="1160"/>
      <c r="DJ319" s="1160"/>
      <c r="DK319" s="1160"/>
      <c r="DL319" s="1160"/>
      <c r="DM319" s="1171"/>
      <c r="DN319" s="1160"/>
      <c r="DO319" s="1160"/>
      <c r="DP319" s="1160"/>
      <c r="DQ319" s="1160"/>
      <c r="DR319" s="1160"/>
      <c r="DS319" s="1160"/>
      <c r="DT319" s="1160"/>
      <c r="DU319" s="1160"/>
      <c r="DV319" s="1160"/>
      <c r="DW319" s="1160"/>
      <c r="DX319" s="1160"/>
      <c r="DY319" s="1160"/>
      <c r="DZ319" s="1160"/>
      <c r="EA319" s="1160"/>
      <c r="EB319" s="1160"/>
      <c r="EC319" s="1160"/>
    </row>
    <row r="320" spans="1:133" x14ac:dyDescent="0.2">
      <c r="A320" s="1160"/>
      <c r="B320" s="1160"/>
      <c r="C320" s="1160"/>
      <c r="D320" s="1160"/>
      <c r="E320" s="1170"/>
      <c r="F320" s="1170"/>
      <c r="G320" s="1170"/>
      <c r="H320" s="1170"/>
      <c r="I320" s="1170"/>
      <c r="J320" s="1170"/>
      <c r="K320" s="1170"/>
      <c r="L320" s="1170"/>
      <c r="M320" s="1170"/>
      <c r="N320" s="1170"/>
      <c r="O320" s="1170"/>
      <c r="P320" s="1170"/>
      <c r="Q320" s="1170"/>
      <c r="R320" s="1170"/>
      <c r="S320" s="1170"/>
      <c r="T320" s="1170"/>
      <c r="U320" s="1170"/>
      <c r="V320" s="1170"/>
      <c r="W320" s="1170"/>
      <c r="X320" s="1170"/>
      <c r="Y320" s="1170"/>
      <c r="Z320" s="1170"/>
      <c r="AA320" s="1170"/>
      <c r="AB320" s="1170"/>
      <c r="AC320" s="1170"/>
      <c r="AD320" s="1170"/>
      <c r="AE320" s="1170"/>
      <c r="AF320" s="1170"/>
      <c r="AG320" s="1170"/>
      <c r="AH320" s="1170"/>
      <c r="AI320" s="1170"/>
      <c r="AJ320" s="1170"/>
      <c r="AK320" s="1170"/>
      <c r="AL320" s="1170"/>
      <c r="AM320" s="1170"/>
      <c r="AN320" s="1170"/>
      <c r="AO320" s="1170"/>
      <c r="AP320" s="1170"/>
      <c r="AQ320" s="1170"/>
      <c r="AR320" s="1170"/>
      <c r="AS320" s="1170"/>
      <c r="AT320" s="1170"/>
      <c r="AU320" s="1170"/>
      <c r="AV320" s="1170"/>
      <c r="AW320" s="1170"/>
      <c r="AX320" s="1170"/>
      <c r="AY320" s="1170"/>
      <c r="AZ320" s="1170"/>
      <c r="BA320" s="1170"/>
      <c r="BB320" s="1170"/>
      <c r="BC320" s="1170"/>
      <c r="BD320" s="1170"/>
      <c r="BE320" s="1170"/>
      <c r="BF320" s="1170"/>
      <c r="BG320" s="1170"/>
      <c r="BH320" s="1170"/>
      <c r="BI320" s="1170"/>
      <c r="BJ320" s="1170"/>
      <c r="BK320" s="1170"/>
      <c r="BL320" s="1170"/>
      <c r="BM320" s="1170"/>
      <c r="BN320" s="1170"/>
      <c r="BO320" s="1170"/>
      <c r="BP320" s="1170"/>
      <c r="BQ320" s="1170"/>
      <c r="BR320" s="1170"/>
      <c r="BS320" s="1170"/>
      <c r="BT320" s="1170"/>
      <c r="BU320" s="1170"/>
      <c r="BV320" s="1170"/>
      <c r="BW320" s="1170"/>
      <c r="BX320" s="1170"/>
      <c r="BY320" s="1170"/>
      <c r="BZ320" s="1170"/>
      <c r="CA320" s="1170"/>
      <c r="CB320" s="1170"/>
      <c r="CC320" s="1170"/>
      <c r="CD320" s="1170"/>
      <c r="CE320" s="1170"/>
      <c r="CF320" s="1170"/>
      <c r="CG320" s="1170"/>
      <c r="CH320" s="1170"/>
      <c r="CI320" s="1170"/>
      <c r="CJ320" s="1170"/>
      <c r="CK320" s="1170"/>
      <c r="CL320" s="1170"/>
      <c r="CM320" s="1170"/>
      <c r="CN320" s="1170"/>
      <c r="CO320" s="1170"/>
      <c r="CP320" s="1160"/>
      <c r="CQ320" s="1160"/>
      <c r="CR320" s="1160"/>
      <c r="CS320" s="1160"/>
      <c r="CT320" s="1160"/>
      <c r="CU320" s="1160"/>
      <c r="CV320" s="1160"/>
      <c r="CW320" s="1160"/>
      <c r="CX320" s="1160"/>
      <c r="CY320" s="1160"/>
      <c r="CZ320" s="1171"/>
      <c r="DA320" s="1160"/>
      <c r="DB320" s="1186" t="str">
        <f>HydroRefineryCalcs!C915</f>
        <v>MCR</v>
      </c>
      <c r="DC320" s="1170" t="str">
        <f ca="1">HydroRefineryCalcs!D915</f>
        <v>wt%</v>
      </c>
      <c r="DD320" s="1170">
        <f>HydroRefineryCalcs!I915</f>
        <v>0</v>
      </c>
      <c r="DE320" s="1170"/>
      <c r="DF320" s="1197" t="s">
        <v>228</v>
      </c>
      <c r="DG320" s="1160"/>
      <c r="DH320" s="1205">
        <f ca="1">DD315/BB244</f>
        <v>0.26344086021505375</v>
      </c>
      <c r="DI320" s="1160"/>
      <c r="DJ320" s="1160"/>
      <c r="DK320" s="1160"/>
      <c r="DL320" s="1160"/>
      <c r="DM320" s="1171"/>
      <c r="DN320" s="1160"/>
      <c r="DO320" s="1160"/>
      <c r="DP320" s="1160"/>
      <c r="DQ320" s="1160"/>
      <c r="DR320" s="1160"/>
      <c r="DS320" s="1160"/>
      <c r="DT320" s="1160"/>
      <c r="DU320" s="1160"/>
      <c r="DV320" s="1160"/>
      <c r="DW320" s="1160"/>
      <c r="DX320" s="1160"/>
      <c r="DY320" s="1160"/>
      <c r="DZ320" s="1160"/>
      <c r="EA320" s="1160"/>
      <c r="EB320" s="1160"/>
      <c r="EC320" s="1160"/>
    </row>
    <row r="321" spans="1:133" x14ac:dyDescent="0.2">
      <c r="A321" s="1160"/>
      <c r="B321" s="1160"/>
      <c r="C321" s="1160"/>
      <c r="D321" s="1160"/>
      <c r="E321" s="1170"/>
      <c r="F321" s="1170"/>
      <c r="G321" s="1170"/>
      <c r="H321" s="1170"/>
      <c r="I321" s="1170"/>
      <c r="J321" s="1170"/>
      <c r="K321" s="1170"/>
      <c r="L321" s="1170"/>
      <c r="M321" s="1170"/>
      <c r="N321" s="1170"/>
      <c r="O321" s="1170"/>
      <c r="P321" s="1170"/>
      <c r="Q321" s="1170"/>
      <c r="R321" s="1170"/>
      <c r="S321" s="1170"/>
      <c r="T321" s="1170"/>
      <c r="U321" s="1170"/>
      <c r="V321" s="1170"/>
      <c r="W321" s="1170"/>
      <c r="X321" s="1170"/>
      <c r="Y321" s="1170"/>
      <c r="Z321" s="1170"/>
      <c r="AA321" s="1170"/>
      <c r="AB321" s="1170"/>
      <c r="AC321" s="1170"/>
      <c r="AD321" s="1170"/>
      <c r="AE321" s="1170"/>
      <c r="AF321" s="1170"/>
      <c r="AG321" s="1170"/>
      <c r="AH321" s="1170"/>
      <c r="AI321" s="1170"/>
      <c r="AJ321" s="1170"/>
      <c r="AK321" s="1170"/>
      <c r="AL321" s="1170"/>
      <c r="AM321" s="1170"/>
      <c r="AN321" s="1170"/>
      <c r="AO321" s="1170"/>
      <c r="AP321" s="1170"/>
      <c r="AQ321" s="1170"/>
      <c r="AR321" s="1170"/>
      <c r="AS321" s="1170"/>
      <c r="AT321" s="1170"/>
      <c r="AU321" s="1170"/>
      <c r="AV321" s="1170"/>
      <c r="AW321" s="1170"/>
      <c r="AX321" s="1170"/>
      <c r="AY321" s="1170"/>
      <c r="AZ321" s="1170"/>
      <c r="BA321" s="1170"/>
      <c r="BB321" s="1170"/>
      <c r="BC321" s="1170"/>
      <c r="BD321" s="1170"/>
      <c r="BE321" s="1170"/>
      <c r="BF321" s="1170"/>
      <c r="BG321" s="1170"/>
      <c r="BH321" s="1170"/>
      <c r="BI321" s="1170"/>
      <c r="BJ321" s="1170"/>
      <c r="BK321" s="1170"/>
      <c r="BL321" s="1170"/>
      <c r="BM321" s="1170"/>
      <c r="BN321" s="1170"/>
      <c r="BO321" s="1170"/>
      <c r="BP321" s="1170"/>
      <c r="BQ321" s="1170"/>
      <c r="BR321" s="1170"/>
      <c r="BS321" s="1170"/>
      <c r="BT321" s="1170"/>
      <c r="BU321" s="1170"/>
      <c r="BV321" s="1170"/>
      <c r="BW321" s="1170"/>
      <c r="BX321" s="1170"/>
      <c r="BY321" s="1170"/>
      <c r="BZ321" s="1170"/>
      <c r="CA321" s="1170"/>
      <c r="CB321" s="1170"/>
      <c r="CC321" s="1170"/>
      <c r="CD321" s="1170"/>
      <c r="CE321" s="1170"/>
      <c r="CF321" s="1170"/>
      <c r="CG321" s="1170"/>
      <c r="CH321" s="1170"/>
      <c r="CI321" s="1170"/>
      <c r="CJ321" s="1170"/>
      <c r="CK321" s="1170"/>
      <c r="CL321" s="1170"/>
      <c r="CM321" s="1170"/>
      <c r="CN321" s="1170"/>
      <c r="CO321" s="1170"/>
      <c r="CP321" s="1160"/>
      <c r="CQ321" s="1160"/>
      <c r="CR321" s="1160"/>
      <c r="CS321" s="1160"/>
      <c r="CT321" s="1160"/>
      <c r="CU321" s="1160"/>
      <c r="CV321" s="1160"/>
      <c r="CW321" s="1160"/>
      <c r="CX321" s="1160"/>
      <c r="CY321" s="1160"/>
      <c r="CZ321" s="1171"/>
      <c r="DA321" s="1160"/>
      <c r="DB321" s="1186" t="s">
        <v>1698</v>
      </c>
      <c r="DC321" s="1199" t="s">
        <v>447</v>
      </c>
      <c r="DD321" s="1199">
        <f>('Energy &amp; Unit Conversions'!$D$63-('Energy &amp; Unit Conversions'!$E$63*POWER((DD318/'Energy &amp; Unit Conversions'!$E$54),2)))</f>
        <v>37.247006966964101</v>
      </c>
      <c r="DE321" s="1199"/>
      <c r="DF321" s="1160"/>
      <c r="DG321" s="1160"/>
      <c r="DH321" s="1160"/>
      <c r="DI321" s="1160"/>
      <c r="DJ321" s="1160"/>
      <c r="DK321" s="1160"/>
      <c r="DL321" s="1160"/>
      <c r="DM321" s="1171"/>
      <c r="DN321" s="1160"/>
      <c r="DO321" s="1160"/>
      <c r="DP321" s="1160"/>
      <c r="DQ321" s="1160"/>
      <c r="DR321" s="1160"/>
      <c r="DS321" s="1160"/>
      <c r="DT321" s="1160"/>
      <c r="DU321" s="1160"/>
      <c r="DV321" s="1160"/>
      <c r="DW321" s="1160"/>
      <c r="DX321" s="1160"/>
      <c r="DY321" s="1160"/>
      <c r="DZ321" s="1160"/>
      <c r="EA321" s="1160"/>
      <c r="EB321" s="1160"/>
      <c r="EC321" s="1160"/>
    </row>
    <row r="322" spans="1:133" x14ac:dyDescent="0.2">
      <c r="A322" s="1160"/>
      <c r="B322" s="1160"/>
      <c r="C322" s="1160"/>
      <c r="D322" s="1160"/>
      <c r="E322" s="1170"/>
      <c r="F322" s="1170"/>
      <c r="G322" s="1170"/>
      <c r="H322" s="1170"/>
      <c r="I322" s="1170"/>
      <c r="J322" s="1170"/>
      <c r="K322" s="1170"/>
      <c r="L322" s="1170"/>
      <c r="M322" s="1170"/>
      <c r="N322" s="1170"/>
      <c r="O322" s="1170"/>
      <c r="P322" s="1170"/>
      <c r="Q322" s="1170"/>
      <c r="R322" s="1170"/>
      <c r="S322" s="1170"/>
      <c r="T322" s="1170"/>
      <c r="U322" s="1170"/>
      <c r="V322" s="1170"/>
      <c r="W322" s="1170"/>
      <c r="X322" s="1170"/>
      <c r="Y322" s="1170"/>
      <c r="Z322" s="1170"/>
      <c r="AA322" s="1170"/>
      <c r="AB322" s="1170"/>
      <c r="AC322" s="1170"/>
      <c r="AD322" s="1170"/>
      <c r="AE322" s="1170"/>
      <c r="AF322" s="1170"/>
      <c r="AG322" s="1170"/>
      <c r="AH322" s="1170"/>
      <c r="AI322" s="1170"/>
      <c r="AJ322" s="1170"/>
      <c r="AK322" s="1170"/>
      <c r="AL322" s="1170"/>
      <c r="AM322" s="1170"/>
      <c r="AN322" s="1170"/>
      <c r="AO322" s="1170"/>
      <c r="AP322" s="1170"/>
      <c r="AQ322" s="1170"/>
      <c r="AR322" s="1170"/>
      <c r="AS322" s="1170"/>
      <c r="AT322" s="1170"/>
      <c r="AU322" s="1170"/>
      <c r="AV322" s="1170"/>
      <c r="AW322" s="1170"/>
      <c r="AX322" s="1170"/>
      <c r="AY322" s="1170"/>
      <c r="AZ322" s="1170"/>
      <c r="BA322" s="1170"/>
      <c r="BB322" s="1170"/>
      <c r="BC322" s="1170"/>
      <c r="BD322" s="1170"/>
      <c r="BE322" s="1170"/>
      <c r="BF322" s="1170"/>
      <c r="BG322" s="1170"/>
      <c r="BH322" s="1170"/>
      <c r="BI322" s="1170"/>
      <c r="BJ322" s="1170"/>
      <c r="BK322" s="1170"/>
      <c r="BL322" s="1170"/>
      <c r="BM322" s="1170"/>
      <c r="BN322" s="1170"/>
      <c r="BO322" s="1170"/>
      <c r="BP322" s="1170"/>
      <c r="BQ322" s="1170"/>
      <c r="BR322" s="1170"/>
      <c r="BS322" s="1170"/>
      <c r="BT322" s="1170"/>
      <c r="BU322" s="1170"/>
      <c r="BV322" s="1170"/>
      <c r="BW322" s="1170"/>
      <c r="BX322" s="1170"/>
      <c r="BY322" s="1170"/>
      <c r="BZ322" s="1170"/>
      <c r="CA322" s="1170"/>
      <c r="CB322" s="1170"/>
      <c r="CC322" s="1170"/>
      <c r="CD322" s="1170"/>
      <c r="CE322" s="1170"/>
      <c r="CF322" s="1170"/>
      <c r="CG322" s="1170"/>
      <c r="CH322" s="1170"/>
      <c r="CI322" s="1170"/>
      <c r="CJ322" s="1170"/>
      <c r="CK322" s="1170"/>
      <c r="CL322" s="1170"/>
      <c r="CM322" s="1170"/>
      <c r="CN322" s="1170"/>
      <c r="CO322" s="1170"/>
      <c r="CP322" s="1160"/>
      <c r="CQ322" s="1160"/>
      <c r="CR322" s="1160"/>
      <c r="CS322" s="1160"/>
      <c r="CT322" s="1160"/>
      <c r="CU322" s="1160"/>
      <c r="CV322" s="1160"/>
      <c r="CW322" s="1160"/>
      <c r="CX322" s="1160"/>
      <c r="CY322" s="1160"/>
      <c r="CZ322" s="1171"/>
      <c r="DA322" s="1160"/>
      <c r="DB322" s="1200" t="s">
        <v>1021</v>
      </c>
      <c r="DC322" s="1199" t="s">
        <v>1022</v>
      </c>
      <c r="DD322" s="1290">
        <f>Constants!G359</f>
        <v>53.516328811645508</v>
      </c>
      <c r="DE322" s="1290"/>
      <c r="DF322" s="1160"/>
      <c r="DG322" s="1160"/>
      <c r="DH322" s="1160"/>
      <c r="DI322" s="1160"/>
      <c r="DJ322" s="1160"/>
      <c r="DK322" s="1160"/>
      <c r="DL322" s="1160"/>
      <c r="DM322" s="1171"/>
      <c r="DN322" s="1160"/>
      <c r="DO322" s="1160"/>
      <c r="DP322" s="1160"/>
      <c r="DQ322" s="1160"/>
      <c r="DR322" s="1160"/>
      <c r="DS322" s="1160"/>
      <c r="DT322" s="1160"/>
      <c r="DU322" s="1160"/>
      <c r="DV322" s="1160"/>
      <c r="DW322" s="1160"/>
      <c r="DX322" s="1160"/>
      <c r="DY322" s="1160"/>
      <c r="DZ322" s="1160"/>
      <c r="EA322" s="1160"/>
      <c r="EB322" s="1160"/>
      <c r="EC322" s="1160"/>
    </row>
    <row r="323" spans="1:133" x14ac:dyDescent="0.2">
      <c r="A323" s="1160"/>
      <c r="B323" s="1160"/>
      <c r="C323" s="1160"/>
      <c r="D323" s="1160"/>
      <c r="E323" s="1170"/>
      <c r="F323" s="1170"/>
      <c r="G323" s="1170"/>
      <c r="H323" s="1170"/>
      <c r="I323" s="1170"/>
      <c r="J323" s="1170"/>
      <c r="K323" s="1170"/>
      <c r="L323" s="1170"/>
      <c r="M323" s="1170"/>
      <c r="N323" s="1170"/>
      <c r="O323" s="1170"/>
      <c r="P323" s="1170"/>
      <c r="Q323" s="1170"/>
      <c r="R323" s="1170"/>
      <c r="S323" s="1170"/>
      <c r="T323" s="1170"/>
      <c r="U323" s="1170"/>
      <c r="V323" s="1170"/>
      <c r="W323" s="1170"/>
      <c r="X323" s="1170"/>
      <c r="Y323" s="1170"/>
      <c r="Z323" s="1170"/>
      <c r="AA323" s="1170"/>
      <c r="AB323" s="1170"/>
      <c r="AC323" s="1170"/>
      <c r="AD323" s="1170"/>
      <c r="AE323" s="1170"/>
      <c r="AF323" s="1170"/>
      <c r="AG323" s="1170"/>
      <c r="AH323" s="1170"/>
      <c r="AI323" s="1170"/>
      <c r="AJ323" s="1170"/>
      <c r="AK323" s="1170"/>
      <c r="AL323" s="1170"/>
      <c r="AM323" s="1170"/>
      <c r="AN323" s="1170"/>
      <c r="AO323" s="1170"/>
      <c r="AP323" s="1170"/>
      <c r="AQ323" s="1170"/>
      <c r="AR323" s="1170"/>
      <c r="AS323" s="1170"/>
      <c r="AT323" s="1170"/>
      <c r="AU323" s="1170"/>
      <c r="AV323" s="1170"/>
      <c r="AW323" s="1170"/>
      <c r="AX323" s="1170"/>
      <c r="AY323" s="1170"/>
      <c r="AZ323" s="1170"/>
      <c r="BA323" s="1170"/>
      <c r="BB323" s="1170"/>
      <c r="BC323" s="1170"/>
      <c r="BD323" s="1170"/>
      <c r="BE323" s="1170"/>
      <c r="BF323" s="1170"/>
      <c r="BG323" s="1170"/>
      <c r="BH323" s="1170"/>
      <c r="BI323" s="1170"/>
      <c r="BJ323" s="1170"/>
      <c r="BK323" s="1170"/>
      <c r="BL323" s="1170"/>
      <c r="BM323" s="1170"/>
      <c r="BN323" s="1170"/>
      <c r="BO323" s="1170"/>
      <c r="BP323" s="1170"/>
      <c r="BQ323" s="1170"/>
      <c r="BR323" s="1170"/>
      <c r="BS323" s="1170"/>
      <c r="BT323" s="1170"/>
      <c r="BU323" s="1170"/>
      <c r="BV323" s="1170"/>
      <c r="BW323" s="1170"/>
      <c r="BX323" s="1170"/>
      <c r="BY323" s="1170"/>
      <c r="BZ323" s="1170"/>
      <c r="CA323" s="1170"/>
      <c r="CB323" s="1170"/>
      <c r="CC323" s="1170"/>
      <c r="CD323" s="1170"/>
      <c r="CE323" s="1170"/>
      <c r="CF323" s="1170"/>
      <c r="CG323" s="1170"/>
      <c r="CH323" s="1170"/>
      <c r="CI323" s="1170"/>
      <c r="CJ323" s="1170"/>
      <c r="CK323" s="1170"/>
      <c r="CL323" s="1170"/>
      <c r="CM323" s="1170"/>
      <c r="CN323" s="1170"/>
      <c r="CO323" s="1170"/>
      <c r="CP323" s="1160"/>
      <c r="CQ323" s="1160"/>
      <c r="CR323" s="1160"/>
      <c r="CS323" s="1160"/>
      <c r="CT323" s="1160"/>
      <c r="CU323" s="1160"/>
      <c r="CV323" s="1160"/>
      <c r="CW323" s="1160"/>
      <c r="CX323" s="1160"/>
      <c r="CY323" s="1160"/>
      <c r="CZ323" s="1171"/>
      <c r="DA323" s="1160"/>
      <c r="DB323" s="1204" t="s">
        <v>1054</v>
      </c>
      <c r="DC323" s="1204" t="str">
        <f>IF(allocationMethod=1,CokingRefineryPFD!$C$21,IF(allocationMethod=2,CokingRefineryPFD!$C$22,IF(allocationMethod=3,CokingRefineryPFD!$C$23,CokingRefineryPFD!$C$24)))</f>
        <v>Hydrogen Content Basis</v>
      </c>
      <c r="DD323" s="1250">
        <f ca="1">IF(allocationMethod=1,DD315,IF(allocationMethod=2,DD321*DD315,IF(allocationMethod=3,DD322*DD313,DD319*DD315/100)))</f>
        <v>3.0243285655741798E-17</v>
      </c>
      <c r="DE323" s="1250"/>
      <c r="DF323" s="1160"/>
      <c r="DG323" s="1160"/>
      <c r="DH323" s="1160"/>
      <c r="DI323" s="1160"/>
      <c r="DJ323" s="1160"/>
      <c r="DK323" s="1160"/>
      <c r="DL323" s="1160"/>
      <c r="DM323" s="1171"/>
      <c r="DN323" s="1160"/>
      <c r="DO323" s="1160"/>
      <c r="DP323" s="1160"/>
      <c r="DQ323" s="1160"/>
      <c r="DR323" s="1160"/>
      <c r="DS323" s="1160"/>
      <c r="DT323" s="1160"/>
      <c r="DU323" s="1160"/>
      <c r="DV323" s="1160"/>
      <c r="DW323" s="1160"/>
      <c r="DX323" s="1160"/>
      <c r="DY323" s="1160"/>
      <c r="DZ323" s="1160"/>
      <c r="EA323" s="1160"/>
      <c r="EB323" s="1160"/>
      <c r="EC323" s="1160"/>
    </row>
  </sheetData>
  <mergeCells count="4">
    <mergeCell ref="D40:K41"/>
    <mergeCell ref="G9:J12"/>
    <mergeCell ref="C3:L4"/>
    <mergeCell ref="D38:K39"/>
  </mergeCells>
  <phoneticPr fontId="24" type="noConversion"/>
  <conditionalFormatting sqref="E23:E28">
    <cfRule type="containsText" dxfId="10" priority="9" operator="containsText" text="FALSE">
      <formula>NOT(ISERROR(SEARCH("FALSE",E23)))</formula>
    </cfRule>
    <cfRule type="containsText" dxfId="9" priority="10" operator="containsText" text="TRUE">
      <formula>NOT(ISERROR(SEARCH("TRUE",E23)))</formula>
    </cfRule>
  </conditionalFormatting>
  <conditionalFormatting sqref="E29">
    <cfRule type="containsText" dxfId="8" priority="7" operator="containsText" text="FALSE">
      <formula>NOT(ISERROR(SEARCH("FALSE",E29)))</formula>
    </cfRule>
    <cfRule type="containsText" dxfId="7" priority="8" operator="containsText" text="TRUE">
      <formula>NOT(ISERROR(SEARCH("TRUE",E29)))</formula>
    </cfRule>
  </conditionalFormatting>
  <conditionalFormatting sqref="E30">
    <cfRule type="containsText" dxfId="6" priority="5" operator="containsText" text="FALSE">
      <formula>NOT(ISERROR(SEARCH("FALSE",E30)))</formula>
    </cfRule>
    <cfRule type="containsText" dxfId="5" priority="6" operator="containsText" text="TRUE">
      <formula>NOT(ISERROR(SEARCH("TRUE",E30)))</formula>
    </cfRule>
  </conditionalFormatting>
  <conditionalFormatting sqref="E31">
    <cfRule type="containsText" dxfId="4" priority="3" operator="containsText" text="FALSE">
      <formula>NOT(ISERROR(SEARCH("FALSE",E31)))</formula>
    </cfRule>
    <cfRule type="containsText" dxfId="3" priority="4" operator="containsText" text="TRUE">
      <formula>NOT(ISERROR(SEARCH("TRUE",E31)))</formula>
    </cfRule>
  </conditionalFormatting>
  <conditionalFormatting sqref="E32">
    <cfRule type="containsText" dxfId="2" priority="1" operator="containsText" text="FALSE">
      <formula>NOT(ISERROR(SEARCH("FALSE",E32)))</formula>
    </cfRule>
    <cfRule type="containsText" dxfId="1" priority="2" operator="containsText" text="TRUE">
      <formula>NOT(ISERROR(SEARCH("TRUE",E32)))</formula>
    </cfRule>
  </conditionalFormatting>
  <pageMargins left="0.25" right="0.25" top="0.75" bottom="0.75" header="0.3" footer="0.3"/>
  <pageSetup paperSize="17" scale="13" fitToWidth="2" fitToHeight="2" orientation="landscape"/>
  <headerFooter alignWithMargins="0"/>
  <ignoredErrors>
    <ignoredError sqref="AA100 BP14 BG43 AW31 BP35:BP36 CF14:CF16 CM74 BG63 CF153 CU275 BT232:BT233 CI127 CF130 BQ155 BI130 BP115:BP117 AA51 AA68 AA85 CI150 BL283:BS284 BQ157 CC247 EC97 DO46 BX54 AW33:AW36 BP16 BP38 BG65:BG68 CM76:CM79 BQ168 BY193:BY195 BT236:BT237 AW234:AW237 BT131 BS280 BM281:BQ281 BM282:BS282" emptyCellReference="1"/>
  </ignoredErrors>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0450FF"/>
  </sheetPr>
  <dimension ref="A1:AF1533"/>
  <sheetViews>
    <sheetView zoomScale="70" zoomScaleNormal="70" zoomScalePageLayoutView="70" workbookViewId="0"/>
  </sheetViews>
  <sheetFormatPr defaultColWidth="9.140625" defaultRowHeight="18.75" customHeight="1" x14ac:dyDescent="0.2"/>
  <cols>
    <col min="1" max="1" width="2.7109375" customWidth="1"/>
    <col min="2" max="2" width="4.85546875" customWidth="1"/>
    <col min="3" max="3" width="42.85546875" customWidth="1"/>
    <col min="4" max="4" width="21.5703125" bestFit="1" customWidth="1"/>
    <col min="5" max="5" width="24.42578125" customWidth="1"/>
    <col min="6" max="6" width="20.42578125" customWidth="1"/>
    <col min="7" max="7" width="27.7109375" customWidth="1"/>
    <col min="8" max="16" width="20.7109375" customWidth="1"/>
    <col min="17" max="17" width="16.85546875" bestFit="1" customWidth="1"/>
    <col min="18" max="19" width="20.85546875" customWidth="1"/>
    <col min="20" max="29" width="16.140625" customWidth="1"/>
    <col min="30" max="44" width="9.140625" customWidth="1"/>
  </cols>
  <sheetData>
    <row r="1" spans="1:29" ht="18.75" customHeight="1" thickBot="1" x14ac:dyDescent="0.25">
      <c r="A1" s="341"/>
      <c r="B1" s="341"/>
      <c r="C1" s="436"/>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row>
    <row r="2" spans="1:29" ht="18.75" customHeight="1" x14ac:dyDescent="0.2">
      <c r="A2" s="341"/>
      <c r="B2" s="574"/>
      <c r="C2" s="2465" t="s">
        <v>1365</v>
      </c>
      <c r="D2" s="2465"/>
      <c r="E2" s="2465"/>
      <c r="F2" s="2465"/>
      <c r="G2" s="2465"/>
      <c r="H2" s="575"/>
      <c r="I2" s="575"/>
      <c r="J2" s="575"/>
      <c r="K2" s="575"/>
      <c r="L2" s="575"/>
      <c r="M2" s="575"/>
      <c r="N2" s="575"/>
      <c r="O2" s="575"/>
      <c r="P2" s="575"/>
      <c r="Q2" s="575"/>
      <c r="R2" s="575"/>
      <c r="S2" s="575"/>
      <c r="T2" s="575"/>
      <c r="U2" s="575"/>
      <c r="V2" s="575"/>
      <c r="W2" s="575"/>
      <c r="X2" s="575"/>
      <c r="Y2" s="575"/>
      <c r="Z2" s="575"/>
      <c r="AA2" s="575"/>
      <c r="AB2" s="575"/>
      <c r="AC2" s="576"/>
    </row>
    <row r="3" spans="1:29" ht="18.75" customHeight="1" x14ac:dyDescent="0.2">
      <c r="A3" s="341"/>
      <c r="B3" s="605"/>
      <c r="C3" s="2466"/>
      <c r="D3" s="2466"/>
      <c r="E3" s="2466"/>
      <c r="F3" s="2466"/>
      <c r="G3" s="2466"/>
      <c r="H3" s="606"/>
      <c r="I3" s="606"/>
      <c r="J3" s="606"/>
      <c r="K3" s="606"/>
      <c r="L3" s="606"/>
      <c r="M3" s="606"/>
      <c r="N3" s="606"/>
      <c r="O3" s="606"/>
      <c r="P3" s="606"/>
      <c r="Q3" s="606"/>
      <c r="R3" s="606"/>
      <c r="S3" s="606"/>
      <c r="T3" s="606"/>
      <c r="U3" s="606"/>
      <c r="V3" s="606"/>
      <c r="W3" s="606"/>
      <c r="X3" s="606"/>
      <c r="Y3" s="606"/>
      <c r="Z3" s="606"/>
      <c r="AA3" s="606"/>
      <c r="AB3" s="606"/>
      <c r="AC3" s="607"/>
    </row>
    <row r="4" spans="1:29" ht="18.75" customHeight="1" x14ac:dyDescent="0.2">
      <c r="A4" s="341"/>
      <c r="B4" s="345"/>
      <c r="C4" s="602"/>
      <c r="D4" s="842"/>
      <c r="E4" s="842"/>
      <c r="F4" s="842"/>
      <c r="G4" s="842"/>
      <c r="H4" s="842"/>
      <c r="I4" s="842"/>
      <c r="J4" s="842"/>
      <c r="K4" s="842"/>
      <c r="L4" s="842"/>
      <c r="M4" s="842"/>
      <c r="N4" s="842"/>
      <c r="O4" s="842"/>
      <c r="P4" s="842"/>
      <c r="Q4" s="842"/>
      <c r="R4" s="842"/>
      <c r="S4" s="842"/>
      <c r="T4" s="842"/>
      <c r="U4" s="842"/>
      <c r="V4" s="842"/>
      <c r="W4" s="842"/>
      <c r="X4" s="842"/>
      <c r="Y4" s="842"/>
      <c r="Z4" s="842"/>
      <c r="AA4" s="2209"/>
      <c r="AB4" s="2209"/>
      <c r="AC4" s="346"/>
    </row>
    <row r="5" spans="1:29" ht="29.25" customHeight="1" x14ac:dyDescent="0.2">
      <c r="A5" s="341"/>
      <c r="B5" s="577"/>
      <c r="C5" s="603" t="s">
        <v>524</v>
      </c>
      <c r="D5" s="842"/>
      <c r="E5" s="842"/>
      <c r="F5" s="842"/>
      <c r="G5" s="842"/>
      <c r="H5" s="842"/>
      <c r="I5" s="842"/>
      <c r="J5" s="842"/>
      <c r="K5" s="842"/>
      <c r="L5" s="842"/>
      <c r="M5" s="842"/>
      <c r="N5" s="842"/>
      <c r="O5" s="842"/>
      <c r="P5" s="842"/>
      <c r="Q5" s="842"/>
      <c r="R5" s="842"/>
      <c r="S5" s="842"/>
      <c r="T5" s="842"/>
      <c r="U5" s="842"/>
      <c r="V5" s="842"/>
      <c r="W5" s="842"/>
      <c r="X5" s="842"/>
      <c r="Y5" s="842"/>
      <c r="Z5" s="842"/>
      <c r="AA5" s="2209"/>
      <c r="AB5" s="2209"/>
      <c r="AC5" s="346"/>
    </row>
    <row r="6" spans="1:29" ht="18.75" customHeight="1" x14ac:dyDescent="0.2">
      <c r="A6" s="341"/>
      <c r="B6" s="345"/>
      <c r="C6" s="602"/>
      <c r="D6" s="842"/>
      <c r="E6" s="842"/>
      <c r="F6" s="842"/>
      <c r="G6" s="842"/>
      <c r="H6" s="842"/>
      <c r="I6" s="842"/>
      <c r="J6" s="842"/>
      <c r="K6" s="842"/>
      <c r="L6" s="842"/>
      <c r="M6" s="842"/>
      <c r="N6" s="842"/>
      <c r="O6" s="842"/>
      <c r="P6" s="842"/>
      <c r="Q6" s="842"/>
      <c r="R6" s="842"/>
      <c r="S6" s="842"/>
      <c r="T6" s="842"/>
      <c r="U6" s="842"/>
      <c r="V6" s="842"/>
      <c r="W6" s="842"/>
      <c r="X6" s="842"/>
      <c r="Y6" s="842"/>
      <c r="Z6" s="842"/>
      <c r="AA6" s="2209"/>
      <c r="AB6" s="2209"/>
      <c r="AC6" s="346"/>
    </row>
    <row r="7" spans="1:29" ht="18.75" customHeight="1" x14ac:dyDescent="0.2">
      <c r="A7" s="341"/>
      <c r="B7" s="345"/>
      <c r="C7" s="843" t="s">
        <v>1295</v>
      </c>
      <c r="D7" s="842"/>
      <c r="E7" s="842"/>
      <c r="F7" s="842"/>
      <c r="G7" s="842"/>
      <c r="H7" s="843" t="s">
        <v>308</v>
      </c>
      <c r="I7" s="1776"/>
      <c r="J7" s="842"/>
      <c r="K7" s="842"/>
      <c r="L7" s="842"/>
      <c r="M7" s="842"/>
      <c r="N7" s="842"/>
      <c r="O7" s="842"/>
      <c r="P7" s="842"/>
      <c r="Q7" s="842"/>
      <c r="R7" s="842"/>
      <c r="S7" s="842"/>
      <c r="T7" s="842"/>
      <c r="U7" s="842"/>
      <c r="V7" s="842"/>
      <c r="W7" s="842"/>
      <c r="X7" s="842"/>
      <c r="Y7" s="842"/>
      <c r="Z7" s="842"/>
      <c r="AA7" s="2209"/>
      <c r="AB7" s="2209"/>
      <c r="AC7" s="346"/>
    </row>
    <row r="8" spans="1:29" ht="18.75" customHeight="1" x14ac:dyDescent="0.2">
      <c r="A8" s="842"/>
      <c r="B8" s="345"/>
      <c r="C8" s="441" t="s">
        <v>568</v>
      </c>
      <c r="D8" s="351" t="s">
        <v>623</v>
      </c>
      <c r="E8" s="351" t="s">
        <v>1275</v>
      </c>
      <c r="F8" s="352" t="s">
        <v>1276</v>
      </c>
      <c r="G8" s="842"/>
      <c r="H8" s="353"/>
      <c r="I8" s="368"/>
      <c r="J8" s="844" t="s">
        <v>624</v>
      </c>
      <c r="K8" s="845" t="s">
        <v>623</v>
      </c>
      <c r="L8" s="842"/>
      <c r="M8" s="842"/>
      <c r="N8" s="842"/>
      <c r="O8" s="842"/>
      <c r="P8" s="842"/>
      <c r="Q8" s="842"/>
      <c r="R8" s="842"/>
      <c r="S8" s="842"/>
      <c r="T8" s="842"/>
      <c r="U8" s="842"/>
      <c r="V8" s="842"/>
      <c r="W8" s="842"/>
      <c r="X8" s="842"/>
      <c r="Y8" s="842"/>
      <c r="Z8" s="842"/>
      <c r="AA8" s="2209"/>
      <c r="AB8" s="2209"/>
      <c r="AC8" s="346"/>
    </row>
    <row r="9" spans="1:29" ht="18.75" customHeight="1" x14ac:dyDescent="0.2">
      <c r="A9" s="341"/>
      <c r="B9" s="345"/>
      <c r="C9" s="442" t="str">
        <f>'Assay Inventory'!C12</f>
        <v>Vol Flow</v>
      </c>
      <c r="D9" s="842" t="str">
        <f ca="1">'Assay Inventory'!D12</f>
        <v>bpd</v>
      </c>
      <c r="E9" s="842">
        <f ca="1">'Assay Inventory'!E12</f>
        <v>99177.64135868111</v>
      </c>
      <c r="F9" s="337">
        <f t="shared" ref="F9:F19" ca="1" si="0">E9</f>
        <v>99177.64135868111</v>
      </c>
      <c r="G9" s="842"/>
      <c r="H9" s="846" t="s">
        <v>625</v>
      </c>
      <c r="I9" s="842"/>
      <c r="J9" s="882">
        <f>Constants!H12</f>
        <v>9.434715854662605E-2</v>
      </c>
      <c r="K9" s="847" t="s">
        <v>629</v>
      </c>
      <c r="L9" s="842"/>
      <c r="M9" s="842"/>
      <c r="N9" s="842"/>
      <c r="O9" s="842"/>
      <c r="P9" s="842"/>
      <c r="Q9" s="842"/>
      <c r="R9" s="842"/>
      <c r="S9" s="842"/>
      <c r="T9" s="842"/>
      <c r="U9" s="842"/>
      <c r="V9" s="842"/>
      <c r="W9" s="842"/>
      <c r="X9" s="842"/>
      <c r="Y9" s="842"/>
      <c r="Z9" s="842"/>
      <c r="AA9" s="2209"/>
      <c r="AB9" s="2209"/>
      <c r="AC9" s="346"/>
    </row>
    <row r="10" spans="1:29" ht="18.75" customHeight="1" x14ac:dyDescent="0.2">
      <c r="A10" s="341"/>
      <c r="B10" s="345"/>
      <c r="C10" s="442" t="str">
        <f>'Assay Inventory'!C13</f>
        <v>Vol Flow</v>
      </c>
      <c r="D10" s="842" t="str">
        <f ca="1">'Assay Inventory'!D13</f>
        <v>m^3/d</v>
      </c>
      <c r="E10" s="842">
        <f ca="1">'Assay Inventory'!E13</f>
        <v>15769.244976030297</v>
      </c>
      <c r="F10" s="337">
        <f t="shared" ca="1" si="0"/>
        <v>15769.244976030297</v>
      </c>
      <c r="G10" s="842"/>
      <c r="H10" s="443" t="s">
        <v>626</v>
      </c>
      <c r="I10" s="334"/>
      <c r="J10" s="334">
        <f ca="1">J9*E10</f>
        <v>1487.7834559141168</v>
      </c>
      <c r="K10" s="338" t="s">
        <v>627</v>
      </c>
      <c r="L10" s="842"/>
      <c r="M10" s="842"/>
      <c r="N10" s="842"/>
      <c r="O10" s="842"/>
      <c r="P10" s="842"/>
      <c r="Q10" s="842"/>
      <c r="R10" s="842"/>
      <c r="S10" s="842"/>
      <c r="T10" s="842"/>
      <c r="U10" s="842"/>
      <c r="V10" s="842"/>
      <c r="W10" s="842"/>
      <c r="X10" s="842"/>
      <c r="Y10" s="842"/>
      <c r="Z10" s="842"/>
      <c r="AA10" s="2209"/>
      <c r="AB10" s="2209"/>
      <c r="AC10" s="346"/>
    </row>
    <row r="11" spans="1:29" ht="18.75" customHeight="1" x14ac:dyDescent="0.2">
      <c r="A11" s="341"/>
      <c r="B11" s="345"/>
      <c r="C11" s="442" t="str">
        <f>'Assay Inventory'!C14</f>
        <v>Mass Flow</v>
      </c>
      <c r="D11" s="842" t="str">
        <f>'Assay Inventory'!D14</f>
        <v>kg/d</v>
      </c>
      <c r="E11" s="842">
        <f ca="1">'Assay Inventory'!E14</f>
        <v>13687328.970000003</v>
      </c>
      <c r="F11" s="337">
        <f t="shared" ca="1" si="0"/>
        <v>13687328.970000003</v>
      </c>
      <c r="G11" s="842"/>
      <c r="H11" s="842"/>
      <c r="I11" s="842"/>
      <c r="J11" s="842"/>
      <c r="K11" s="842"/>
      <c r="L11" s="842"/>
      <c r="M11" s="842"/>
      <c r="N11" s="842"/>
      <c r="O11" s="842"/>
      <c r="P11" s="842"/>
      <c r="Q11" s="842"/>
      <c r="R11" s="842"/>
      <c r="S11" s="842"/>
      <c r="T11" s="842"/>
      <c r="U11" s="842"/>
      <c r="V11" s="842"/>
      <c r="W11" s="842"/>
      <c r="X11" s="842"/>
      <c r="Y11" s="842"/>
      <c r="Z11" s="842"/>
      <c r="AA11" s="2209"/>
      <c r="AB11" s="2209"/>
      <c r="AC11" s="346"/>
    </row>
    <row r="12" spans="1:29" ht="18.75" customHeight="1" x14ac:dyDescent="0.2">
      <c r="A12" s="341"/>
      <c r="B12" s="345"/>
      <c r="C12" s="442" t="str">
        <f>'Assay Inventory'!C15</f>
        <v xml:space="preserve">Sulphur </v>
      </c>
      <c r="D12" s="842" t="str">
        <f ca="1">'Assay Inventory'!D15</f>
        <v>wt%</v>
      </c>
      <c r="E12" s="842">
        <f ca="1">'Assay Inventory'!E15</f>
        <v>0.16980000000000001</v>
      </c>
      <c r="F12" s="337">
        <f t="shared" ca="1" si="0"/>
        <v>0.16980000000000001</v>
      </c>
      <c r="G12" s="842"/>
      <c r="H12" s="842"/>
      <c r="I12" s="842"/>
      <c r="J12" s="842"/>
      <c r="K12" s="842"/>
      <c r="L12" s="842"/>
      <c r="M12" s="842"/>
      <c r="N12" s="842"/>
      <c r="O12" s="842"/>
      <c r="P12" s="842"/>
      <c r="Q12" s="842"/>
      <c r="R12" s="842"/>
      <c r="S12" s="842"/>
      <c r="T12" s="842"/>
      <c r="U12" s="842"/>
      <c r="V12" s="842"/>
      <c r="W12" s="842"/>
      <c r="X12" s="842"/>
      <c r="Y12" s="842"/>
      <c r="Z12" s="842"/>
      <c r="AA12" s="2209"/>
      <c r="AB12" s="2209"/>
      <c r="AC12" s="346"/>
    </row>
    <row r="13" spans="1:29" ht="18.75" customHeight="1" x14ac:dyDescent="0.2">
      <c r="A13" s="341"/>
      <c r="B13" s="345"/>
      <c r="C13" s="442" t="str">
        <f>'Assay Inventory'!C16</f>
        <v xml:space="preserve">Nitrogen </v>
      </c>
      <c r="D13" s="842" t="str">
        <f ca="1">'Assay Inventory'!D16</f>
        <v>mass ppm</v>
      </c>
      <c r="E13" s="842">
        <f ca="1">'Assay Inventory'!E16</f>
        <v>1040</v>
      </c>
      <c r="F13" s="337">
        <f t="shared" ca="1" si="0"/>
        <v>1040</v>
      </c>
      <c r="G13" s="842"/>
      <c r="H13" s="842"/>
      <c r="I13" s="842"/>
      <c r="J13" s="842"/>
      <c r="K13" s="842"/>
      <c r="L13" s="842"/>
      <c r="M13" s="842"/>
      <c r="N13" s="842"/>
      <c r="O13" s="842"/>
      <c r="P13" s="842"/>
      <c r="Q13" s="842"/>
      <c r="R13" s="842"/>
      <c r="S13" s="842"/>
      <c r="T13" s="842"/>
      <c r="U13" s="842"/>
      <c r="V13" s="842"/>
      <c r="W13" s="842"/>
      <c r="X13" s="842"/>
      <c r="Y13" s="842"/>
      <c r="Z13" s="842"/>
      <c r="AA13" s="2209"/>
      <c r="AB13" s="2209"/>
      <c r="AC13" s="346"/>
    </row>
    <row r="14" spans="1:29" ht="18.75" customHeight="1" x14ac:dyDescent="0.2">
      <c r="A14" s="341"/>
      <c r="B14" s="345"/>
      <c r="C14" s="442" t="str">
        <f>'Assay Inventory'!C17</f>
        <v xml:space="preserve">API gravity </v>
      </c>
      <c r="D14" s="842" t="str">
        <f ca="1">'Assay Inventory'!D17</f>
        <v>oAPI</v>
      </c>
      <c r="E14" s="842">
        <f ca="1">'Assay Inventory'!E17</f>
        <v>32.710282000696282</v>
      </c>
      <c r="F14" s="337">
        <f t="shared" ca="1" si="0"/>
        <v>32.710282000696282</v>
      </c>
      <c r="G14" s="842"/>
      <c r="H14" s="842"/>
      <c r="I14" s="842"/>
      <c r="J14" s="842"/>
      <c r="K14" s="842"/>
      <c r="L14" s="842"/>
      <c r="M14" s="842"/>
      <c r="N14" s="842"/>
      <c r="O14" s="842"/>
      <c r="P14" s="842"/>
      <c r="Q14" s="842"/>
      <c r="R14" s="842"/>
      <c r="S14" s="842"/>
      <c r="T14" s="842"/>
      <c r="U14" s="842"/>
      <c r="V14" s="842"/>
      <c r="W14" s="842"/>
      <c r="X14" s="842"/>
      <c r="Y14" s="842"/>
      <c r="Z14" s="842"/>
      <c r="AA14" s="2209"/>
      <c r="AB14" s="2209"/>
      <c r="AC14" s="346"/>
    </row>
    <row r="15" spans="1:29" ht="18.75" customHeight="1" x14ac:dyDescent="0.2">
      <c r="A15" s="341"/>
      <c r="B15" s="345"/>
      <c r="C15" s="442" t="str">
        <f>'Assay Inventory'!C18</f>
        <v>Density</v>
      </c>
      <c r="D15" s="842" t="str">
        <f ca="1">'Assay Inventory'!D18</f>
        <v>kg/m^3</v>
      </c>
      <c r="E15" s="842">
        <f ca="1">'Assay Inventory'!E18</f>
        <v>860.83830000000012</v>
      </c>
      <c r="F15" s="337">
        <f t="shared" ca="1" si="0"/>
        <v>860.83830000000012</v>
      </c>
      <c r="G15" s="842"/>
      <c r="H15" s="842"/>
      <c r="I15" s="842"/>
      <c r="J15" s="842"/>
      <c r="K15" s="842"/>
      <c r="L15" s="842"/>
      <c r="M15" s="842"/>
      <c r="N15" s="842"/>
      <c r="O15" s="842"/>
      <c r="P15" s="842"/>
      <c r="Q15" s="842"/>
      <c r="R15" s="842"/>
      <c r="S15" s="842"/>
      <c r="T15" s="842"/>
      <c r="U15" s="842"/>
      <c r="V15" s="842"/>
      <c r="W15" s="842"/>
      <c r="X15" s="842"/>
      <c r="Y15" s="842"/>
      <c r="Z15" s="842"/>
      <c r="AA15" s="2209"/>
      <c r="AB15" s="2209"/>
      <c r="AC15" s="346"/>
    </row>
    <row r="16" spans="1:29" ht="18.75" customHeight="1" x14ac:dyDescent="0.2">
      <c r="A16" s="341"/>
      <c r="B16" s="345"/>
      <c r="C16" s="442" t="str">
        <f>'Assay Inventory'!C19</f>
        <v>Hydrogen</v>
      </c>
      <c r="D16" s="842" t="str">
        <f ca="1">'Assay Inventory'!D19</f>
        <v>wt%</v>
      </c>
      <c r="E16" s="842">
        <f ca="1">'Assay Inventory'!E19</f>
        <v>12.931648905131908</v>
      </c>
      <c r="F16" s="337">
        <f t="shared" ca="1" si="0"/>
        <v>12.931648905131908</v>
      </c>
      <c r="G16" s="842"/>
      <c r="H16" s="842"/>
      <c r="I16" s="426"/>
      <c r="J16" s="842"/>
      <c r="K16" s="842"/>
      <c r="L16" s="842"/>
      <c r="M16" s="842"/>
      <c r="N16" s="842"/>
      <c r="O16" s="842"/>
      <c r="P16" s="842"/>
      <c r="Q16" s="842"/>
      <c r="R16" s="842"/>
      <c r="S16" s="842"/>
      <c r="T16" s="842"/>
      <c r="U16" s="842"/>
      <c r="V16" s="842"/>
      <c r="W16" s="842"/>
      <c r="X16" s="842"/>
      <c r="Y16" s="842"/>
      <c r="Z16" s="842"/>
      <c r="AA16" s="2209"/>
      <c r="AB16" s="2209"/>
      <c r="AC16" s="346"/>
    </row>
    <row r="17" spans="1:29" ht="18.75" customHeight="1" x14ac:dyDescent="0.2">
      <c r="A17" s="341"/>
      <c r="B17" s="345"/>
      <c r="C17" s="442" t="str">
        <f>'Assay Inventory'!C20</f>
        <v>MCR</v>
      </c>
      <c r="D17" s="842" t="str">
        <f ca="1">'Assay Inventory'!D20</f>
        <v>wt%</v>
      </c>
      <c r="E17" s="842">
        <f ca="1">'Assay Inventory'!E20</f>
        <v>1.2</v>
      </c>
      <c r="F17" s="337">
        <f t="shared" ca="1" si="0"/>
        <v>1.2</v>
      </c>
      <c r="G17" s="842"/>
      <c r="H17" s="842"/>
      <c r="I17" s="842"/>
      <c r="J17" s="842"/>
      <c r="K17" s="842"/>
      <c r="L17" s="842"/>
      <c r="M17" s="842"/>
      <c r="N17" s="842"/>
      <c r="O17" s="842"/>
      <c r="P17" s="842"/>
      <c r="Q17" s="842"/>
      <c r="R17" s="842"/>
      <c r="S17" s="842"/>
      <c r="T17" s="842"/>
      <c r="U17" s="842"/>
      <c r="V17" s="842"/>
      <c r="W17" s="842"/>
      <c r="X17" s="842"/>
      <c r="Y17" s="842"/>
      <c r="Z17" s="842"/>
      <c r="AA17" s="2209"/>
      <c r="AB17" s="2209"/>
      <c r="AC17" s="346"/>
    </row>
    <row r="18" spans="1:29" ht="18.75" customHeight="1" x14ac:dyDescent="0.2">
      <c r="A18" s="341"/>
      <c r="B18" s="345"/>
      <c r="C18" s="442" t="str">
        <f>'Assay Inventory'!C21</f>
        <v>Characterization Factor</v>
      </c>
      <c r="D18" s="842" t="str">
        <f ca="1">'Assay Inventory'!D21</f>
        <v xml:space="preserve">Kw (Approximate) </v>
      </c>
      <c r="E18" s="842">
        <f ca="1">'Assay Inventory'!E21</f>
        <v>11.700153491056373</v>
      </c>
      <c r="F18" s="337">
        <f t="shared" ca="1" si="0"/>
        <v>11.700153491056373</v>
      </c>
      <c r="G18" s="842"/>
      <c r="H18" s="842"/>
      <c r="I18" s="842"/>
      <c r="J18" s="842"/>
      <c r="K18" s="842"/>
      <c r="L18" s="842"/>
      <c r="M18" s="842"/>
      <c r="N18" s="842"/>
      <c r="O18" s="842"/>
      <c r="P18" s="842"/>
      <c r="Q18" s="842"/>
      <c r="R18" s="842"/>
      <c r="S18" s="842"/>
      <c r="T18" s="842"/>
      <c r="U18" s="842"/>
      <c r="V18" s="842"/>
      <c r="W18" s="842"/>
      <c r="X18" s="842"/>
      <c r="Y18" s="842"/>
      <c r="Z18" s="842"/>
      <c r="AA18" s="2209"/>
      <c r="AB18" s="2209"/>
      <c r="AC18" s="346"/>
    </row>
    <row r="19" spans="1:29" ht="18.75" customHeight="1" x14ac:dyDescent="0.2">
      <c r="A19" s="341"/>
      <c r="B19" s="345"/>
      <c r="C19" s="443" t="str">
        <f>'Assay Inventory'!C22</f>
        <v xml:space="preserve">Tb(50%) weight basis </v>
      </c>
      <c r="D19" s="334" t="str">
        <f ca="1">'Assay Inventory'!D22</f>
        <v xml:space="preserve"> [°C]</v>
      </c>
      <c r="E19" s="334">
        <f ca="1">'Assay Inventory'!E22</f>
        <v>296.18836685568135</v>
      </c>
      <c r="F19" s="338">
        <f t="shared" ca="1" si="0"/>
        <v>296.18836685568135</v>
      </c>
      <c r="G19" s="842"/>
      <c r="H19" s="842"/>
      <c r="I19" s="842"/>
      <c r="J19" s="842"/>
      <c r="K19" s="842"/>
      <c r="L19" s="842"/>
      <c r="M19" s="842"/>
      <c r="N19" s="842"/>
      <c r="O19" s="842"/>
      <c r="P19" s="842"/>
      <c r="Q19" s="842"/>
      <c r="R19" s="842"/>
      <c r="S19" s="842"/>
      <c r="T19" s="842"/>
      <c r="U19" s="842"/>
      <c r="V19" s="842"/>
      <c r="W19" s="842"/>
      <c r="X19" s="842"/>
      <c r="Y19" s="842"/>
      <c r="Z19" s="842"/>
      <c r="AA19" s="2209"/>
      <c r="AB19" s="2209"/>
      <c r="AC19" s="346"/>
    </row>
    <row r="20" spans="1:29" ht="18.75" customHeight="1" x14ac:dyDescent="0.2">
      <c r="A20" s="341"/>
      <c r="B20" s="345"/>
      <c r="C20" s="437"/>
      <c r="D20" s="842"/>
      <c r="E20" s="842"/>
      <c r="F20" s="426"/>
      <c r="G20" s="842"/>
      <c r="H20" s="842"/>
      <c r="I20" s="842"/>
      <c r="J20" s="842"/>
      <c r="K20" s="842"/>
      <c r="L20" s="842"/>
      <c r="M20" s="842"/>
      <c r="N20" s="842"/>
      <c r="O20" s="842"/>
      <c r="P20" s="842"/>
      <c r="Q20" s="842"/>
      <c r="R20" s="842"/>
      <c r="S20" s="842"/>
      <c r="T20" s="842"/>
      <c r="U20" s="842"/>
      <c r="V20" s="842"/>
      <c r="W20" s="842"/>
      <c r="X20" s="842"/>
      <c r="Y20" s="842"/>
      <c r="Z20" s="842"/>
      <c r="AA20" s="2209"/>
      <c r="AB20" s="2209"/>
      <c r="AC20" s="346"/>
    </row>
    <row r="21" spans="1:29" ht="26.25" x14ac:dyDescent="0.2">
      <c r="A21" s="341"/>
      <c r="B21" s="577"/>
      <c r="C21" s="603" t="s">
        <v>1299</v>
      </c>
      <c r="D21" s="603"/>
      <c r="E21" s="842"/>
      <c r="F21" s="842"/>
      <c r="G21" s="842"/>
      <c r="H21" s="842"/>
      <c r="I21" s="842"/>
      <c r="J21" s="842"/>
      <c r="K21" s="842"/>
      <c r="L21" s="842"/>
      <c r="M21" s="842"/>
      <c r="N21" s="842"/>
      <c r="O21" s="842"/>
      <c r="P21" s="842"/>
      <c r="Q21" s="842"/>
      <c r="R21" s="842"/>
      <c r="S21" s="842"/>
      <c r="T21" s="842"/>
      <c r="U21" s="842"/>
      <c r="V21" s="842"/>
      <c r="W21" s="842"/>
      <c r="X21" s="842"/>
      <c r="Y21" s="842"/>
      <c r="Z21" s="842"/>
      <c r="AA21" s="2209"/>
      <c r="AB21" s="2209"/>
      <c r="AC21" s="346"/>
    </row>
    <row r="22" spans="1:29" ht="18.75" customHeight="1" x14ac:dyDescent="0.2">
      <c r="A22" s="341"/>
      <c r="B22" s="345"/>
      <c r="C22" s="444"/>
      <c r="D22" s="842"/>
      <c r="E22" s="842"/>
      <c r="F22" s="842"/>
      <c r="G22" s="842"/>
      <c r="H22" s="842"/>
      <c r="I22" s="842"/>
      <c r="J22" s="842"/>
      <c r="K22" s="842"/>
      <c r="L22" s="842"/>
      <c r="M22" s="842"/>
      <c r="N22" s="842"/>
      <c r="O22" s="842"/>
      <c r="P22" s="842"/>
      <c r="Q22" s="842"/>
      <c r="R22" s="842"/>
      <c r="S22" s="842"/>
      <c r="T22" s="842"/>
      <c r="U22" s="842"/>
      <c r="V22" s="842"/>
      <c r="W22" s="842"/>
      <c r="X22" s="842"/>
      <c r="Y22" s="842"/>
      <c r="Z22" s="842"/>
      <c r="AA22" s="2209"/>
      <c r="AB22" s="2209"/>
      <c r="AC22" s="346"/>
    </row>
    <row r="23" spans="1:29" ht="18.75" customHeight="1" x14ac:dyDescent="0.2">
      <c r="A23" s="341"/>
      <c r="B23" s="345"/>
      <c r="C23" s="843" t="s">
        <v>1295</v>
      </c>
      <c r="D23" s="842"/>
      <c r="E23" s="842"/>
      <c r="F23" s="842"/>
      <c r="G23" s="842"/>
      <c r="H23" s="842"/>
      <c r="I23" s="842"/>
      <c r="J23" s="842"/>
      <c r="K23" s="842"/>
      <c r="L23" s="842"/>
      <c r="M23" s="842"/>
      <c r="N23" s="842"/>
      <c r="O23" s="842"/>
      <c r="P23" s="842"/>
      <c r="Q23" s="842"/>
      <c r="R23" s="842"/>
      <c r="S23" s="842"/>
      <c r="T23" s="842"/>
      <c r="U23" s="842"/>
      <c r="V23" s="842"/>
      <c r="W23" s="842"/>
      <c r="X23" s="842"/>
      <c r="Y23" s="842"/>
      <c r="Z23" s="842"/>
      <c r="AA23" s="2209"/>
      <c r="AB23" s="2209"/>
      <c r="AC23" s="346"/>
    </row>
    <row r="24" spans="1:29" ht="18.75" customHeight="1" x14ac:dyDescent="0.2">
      <c r="A24" s="341"/>
      <c r="B24" s="345"/>
      <c r="C24" s="441" t="str">
        <f t="shared" ref="C24:C35" si="1">C8</f>
        <v>Property</v>
      </c>
      <c r="D24" s="351" t="s">
        <v>623</v>
      </c>
      <c r="E24" s="351" t="s">
        <v>570</v>
      </c>
      <c r="F24" s="352" t="s">
        <v>1182</v>
      </c>
      <c r="G24" s="842"/>
      <c r="H24" s="843" t="s">
        <v>308</v>
      </c>
      <c r="I24" s="1776"/>
      <c r="J24" s="842"/>
      <c r="K24" s="842"/>
      <c r="L24" s="842"/>
      <c r="M24" s="842"/>
      <c r="N24" s="842"/>
      <c r="O24" s="842"/>
      <c r="P24" s="842"/>
      <c r="Q24" s="842"/>
      <c r="R24" s="842"/>
      <c r="S24" s="842"/>
      <c r="T24" s="842"/>
      <c r="U24" s="842"/>
      <c r="V24" s="842"/>
      <c r="W24" s="842"/>
      <c r="X24" s="842"/>
      <c r="Y24" s="842"/>
      <c r="Z24" s="842"/>
      <c r="AA24" s="2209"/>
      <c r="AB24" s="2209"/>
      <c r="AC24" s="346"/>
    </row>
    <row r="25" spans="1:29" ht="18.75" customHeight="1" x14ac:dyDescent="0.2">
      <c r="A25" s="341"/>
      <c r="B25" s="345"/>
      <c r="C25" s="442" t="str">
        <f t="shared" si="1"/>
        <v>Vol Flow</v>
      </c>
      <c r="D25" s="842" t="str">
        <f ca="1">D9</f>
        <v>bpd</v>
      </c>
      <c r="E25" s="842">
        <f t="shared" ref="E25:E35" ca="1" si="2">F9</f>
        <v>99177.64135868111</v>
      </c>
      <c r="F25" s="337">
        <f t="shared" ref="F25:F35" ca="1" si="3">E25</f>
        <v>99177.64135868111</v>
      </c>
      <c r="G25" s="842"/>
      <c r="H25" s="454"/>
      <c r="I25" s="368"/>
      <c r="J25" s="848" t="s">
        <v>624</v>
      </c>
      <c r="K25" s="849" t="s">
        <v>623</v>
      </c>
      <c r="L25" s="842"/>
      <c r="M25" s="842"/>
      <c r="N25" s="842"/>
      <c r="O25" s="842"/>
      <c r="P25" s="842"/>
      <c r="Q25" s="842"/>
      <c r="R25" s="842"/>
      <c r="S25" s="842"/>
      <c r="T25" s="842"/>
      <c r="U25" s="842"/>
      <c r="V25" s="842"/>
      <c r="W25" s="842"/>
      <c r="X25" s="842"/>
      <c r="Y25" s="842"/>
      <c r="Z25" s="842"/>
      <c r="AA25" s="2209"/>
      <c r="AB25" s="2209"/>
      <c r="AC25" s="346"/>
    </row>
    <row r="26" spans="1:29" ht="18.75" customHeight="1" x14ac:dyDescent="0.2">
      <c r="A26" s="341"/>
      <c r="B26" s="345"/>
      <c r="C26" s="442" t="str">
        <f t="shared" si="1"/>
        <v>Vol Flow</v>
      </c>
      <c r="D26" s="842" t="str">
        <f ca="1">D10</f>
        <v>m^3/d</v>
      </c>
      <c r="E26" s="842">
        <f t="shared" ca="1" si="2"/>
        <v>15769.244976030297</v>
      </c>
      <c r="F26" s="337">
        <f t="shared" ca="1" si="3"/>
        <v>15769.244976030297</v>
      </c>
      <c r="G26" s="842"/>
      <c r="H26" s="442" t="s">
        <v>635</v>
      </c>
      <c r="I26" s="842"/>
      <c r="J26" s="842">
        <f ca="1">J27/('Energy &amp; Unit Conversions'!G82/'Energy &amp; Unit Conversions'!G80)</f>
        <v>43.287186724766926</v>
      </c>
      <c r="K26" s="337" t="s">
        <v>637</v>
      </c>
      <c r="L26" s="842"/>
      <c r="M26" s="842"/>
      <c r="N26" s="842"/>
      <c r="O26" s="842"/>
      <c r="P26" s="842"/>
      <c r="Q26" s="842"/>
      <c r="R26" s="842"/>
      <c r="S26" s="842"/>
      <c r="T26" s="842"/>
      <c r="U26" s="842"/>
      <c r="V26" s="842"/>
      <c r="W26" s="842"/>
      <c r="X26" s="842"/>
      <c r="Y26" s="842"/>
      <c r="Z26" s="842"/>
      <c r="AA26" s="2209"/>
      <c r="AB26" s="2209"/>
      <c r="AC26" s="346"/>
    </row>
    <row r="27" spans="1:29" ht="18.75" customHeight="1" x14ac:dyDescent="0.2">
      <c r="A27" s="341"/>
      <c r="B27" s="345"/>
      <c r="C27" s="442" t="str">
        <f t="shared" si="1"/>
        <v>Mass Flow</v>
      </c>
      <c r="D27" s="842" t="str">
        <f t="shared" ref="D27" si="4">D11</f>
        <v>kg/d</v>
      </c>
      <c r="E27" s="842">
        <f t="shared" ca="1" si="2"/>
        <v>13687328.970000003</v>
      </c>
      <c r="F27" s="337">
        <f t="shared" ca="1" si="3"/>
        <v>13687328.970000003</v>
      </c>
      <c r="G27" s="842"/>
      <c r="H27" s="442" t="s">
        <v>634</v>
      </c>
      <c r="I27" s="842"/>
      <c r="J27" s="842">
        <f ca="1">J29/E26</f>
        <v>7.2941166597935982</v>
      </c>
      <c r="K27" s="337" t="s">
        <v>636</v>
      </c>
      <c r="L27" s="842"/>
      <c r="M27" s="842"/>
      <c r="N27" s="842"/>
      <c r="O27" s="842"/>
      <c r="P27" s="842"/>
      <c r="Q27" s="842"/>
      <c r="R27" s="842"/>
      <c r="S27" s="842"/>
      <c r="T27" s="842"/>
      <c r="U27" s="842"/>
      <c r="V27" s="842"/>
      <c r="W27" s="842"/>
      <c r="X27" s="842"/>
      <c r="Y27" s="842"/>
      <c r="Z27" s="842"/>
      <c r="AA27" s="2209"/>
      <c r="AB27" s="2209"/>
      <c r="AC27" s="346"/>
    </row>
    <row r="28" spans="1:29" ht="18.75" customHeight="1" x14ac:dyDescent="0.2">
      <c r="A28" s="341"/>
      <c r="B28" s="345"/>
      <c r="C28" s="442" t="str">
        <f t="shared" si="1"/>
        <v xml:space="preserve">Sulphur </v>
      </c>
      <c r="D28" s="842" t="str">
        <f t="shared" ref="D28:D35" ca="1" si="5">D12</f>
        <v>wt%</v>
      </c>
      <c r="E28" s="842">
        <f t="shared" ca="1" si="2"/>
        <v>0.16980000000000001</v>
      </c>
      <c r="F28" s="337">
        <f t="shared" ca="1" si="3"/>
        <v>0.16980000000000001</v>
      </c>
      <c r="G28" s="842"/>
      <c r="H28" s="442" t="s">
        <v>542</v>
      </c>
      <c r="I28" s="842"/>
      <c r="J28" s="842">
        <f ca="1">J26*E25/1000</f>
        <v>4293.121080415196</v>
      </c>
      <c r="K28" s="337" t="s">
        <v>472</v>
      </c>
      <c r="L28" s="842"/>
      <c r="M28" s="842"/>
      <c r="N28" s="842"/>
      <c r="O28" s="842"/>
      <c r="P28" s="842"/>
      <c r="Q28" s="842"/>
      <c r="R28" s="842"/>
      <c r="S28" s="842"/>
      <c r="T28" s="842"/>
      <c r="U28" s="842"/>
      <c r="V28" s="842"/>
      <c r="W28" s="842"/>
      <c r="X28" s="842"/>
      <c r="Y28" s="842"/>
      <c r="Z28" s="842"/>
      <c r="AA28" s="2209"/>
      <c r="AB28" s="2209"/>
      <c r="AC28" s="346"/>
    </row>
    <row r="29" spans="1:29" ht="18.75" customHeight="1" x14ac:dyDescent="0.2">
      <c r="A29" s="341"/>
      <c r="B29" s="345"/>
      <c r="C29" s="442" t="str">
        <f t="shared" si="1"/>
        <v xml:space="preserve">Nitrogen </v>
      </c>
      <c r="D29" s="842" t="str">
        <f t="shared" ca="1" si="5"/>
        <v>mass ppm</v>
      </c>
      <c r="E29" s="842">
        <f t="shared" ca="1" si="2"/>
        <v>1040</v>
      </c>
      <c r="F29" s="337">
        <f t="shared" ca="1" si="3"/>
        <v>1040</v>
      </c>
      <c r="G29" s="842"/>
      <c r="H29" s="442" t="s">
        <v>542</v>
      </c>
      <c r="I29" s="842"/>
      <c r="J29" s="842">
        <f ca="1">J30/('Energy &amp; Unit Conversions'!P25*'Energy &amp; Unit Conversions'!G87)</f>
        <v>115022.7124920291</v>
      </c>
      <c r="K29" s="337" t="s">
        <v>628</v>
      </c>
      <c r="L29" s="842"/>
      <c r="M29" s="842"/>
      <c r="N29" s="842"/>
      <c r="O29" s="842"/>
      <c r="P29" s="842"/>
      <c r="Q29" s="842"/>
      <c r="R29" s="842"/>
      <c r="S29" s="842"/>
      <c r="T29" s="842"/>
      <c r="U29" s="842"/>
      <c r="V29" s="842"/>
      <c r="W29" s="842"/>
      <c r="X29" s="842"/>
      <c r="Y29" s="842"/>
      <c r="Z29" s="842"/>
      <c r="AA29" s="2209"/>
      <c r="AB29" s="2209"/>
      <c r="AC29" s="346"/>
    </row>
    <row r="30" spans="1:29" ht="18.75" customHeight="1" x14ac:dyDescent="0.2">
      <c r="A30" s="341"/>
      <c r="B30" s="345"/>
      <c r="C30" s="442" t="str">
        <f t="shared" si="1"/>
        <v xml:space="preserve">API gravity </v>
      </c>
      <c r="D30" s="842" t="str">
        <f t="shared" ca="1" si="5"/>
        <v>oAPI</v>
      </c>
      <c r="E30" s="842">
        <f t="shared" ca="1" si="2"/>
        <v>32.710282000696282</v>
      </c>
      <c r="F30" s="337">
        <f t="shared" ca="1" si="3"/>
        <v>32.710282000696282</v>
      </c>
      <c r="G30" s="842"/>
      <c r="H30" s="443" t="s">
        <v>631</v>
      </c>
      <c r="I30" s="334"/>
      <c r="J30" s="334">
        <f ca="1">SUM(F41:M41)*'Energy &amp; Unit Conversions'!G87</f>
        <v>48.758899064809235</v>
      </c>
      <c r="K30" s="338" t="s">
        <v>632</v>
      </c>
      <c r="L30" s="842"/>
      <c r="M30" s="842"/>
      <c r="N30" s="842"/>
      <c r="O30" s="842"/>
      <c r="P30" s="842"/>
      <c r="Q30" s="842"/>
      <c r="R30" s="842"/>
      <c r="S30" s="842"/>
      <c r="T30" s="842"/>
      <c r="U30" s="842"/>
      <c r="V30" s="842"/>
      <c r="W30" s="842"/>
      <c r="X30" s="842"/>
      <c r="Y30" s="842"/>
      <c r="Z30" s="842"/>
      <c r="AA30" s="2209"/>
      <c r="AB30" s="2209"/>
      <c r="AC30" s="346"/>
    </row>
    <row r="31" spans="1:29" ht="18.75" customHeight="1" x14ac:dyDescent="0.2">
      <c r="A31" s="341"/>
      <c r="B31" s="345"/>
      <c r="C31" s="442" t="str">
        <f t="shared" si="1"/>
        <v>Density</v>
      </c>
      <c r="D31" s="842" t="str">
        <f t="shared" ca="1" si="5"/>
        <v>kg/m^3</v>
      </c>
      <c r="E31" s="842">
        <f t="shared" ca="1" si="2"/>
        <v>860.83830000000012</v>
      </c>
      <c r="F31" s="337">
        <f t="shared" ca="1" si="3"/>
        <v>860.83830000000012</v>
      </c>
      <c r="G31" s="842"/>
      <c r="H31" s="842"/>
      <c r="I31" s="842"/>
      <c r="J31" s="842"/>
      <c r="K31" s="842"/>
      <c r="L31" s="842"/>
      <c r="M31" s="842"/>
      <c r="N31" s="842"/>
      <c r="O31" s="842"/>
      <c r="P31" s="842"/>
      <c r="Q31" s="842"/>
      <c r="R31" s="842"/>
      <c r="S31" s="842"/>
      <c r="T31" s="842"/>
      <c r="U31" s="842"/>
      <c r="V31" s="842"/>
      <c r="W31" s="842"/>
      <c r="X31" s="842"/>
      <c r="Y31" s="842"/>
      <c r="Z31" s="842"/>
      <c r="AA31" s="2209"/>
      <c r="AB31" s="2209"/>
      <c r="AC31" s="346"/>
    </row>
    <row r="32" spans="1:29" ht="18.75" customHeight="1" x14ac:dyDescent="0.2">
      <c r="A32" s="341"/>
      <c r="B32" s="345"/>
      <c r="C32" s="442" t="str">
        <f t="shared" si="1"/>
        <v>Hydrogen</v>
      </c>
      <c r="D32" s="842" t="str">
        <f t="shared" ca="1" si="5"/>
        <v>wt%</v>
      </c>
      <c r="E32" s="842">
        <f t="shared" ca="1" si="2"/>
        <v>12.931648905131908</v>
      </c>
      <c r="F32" s="337">
        <f t="shared" ca="1" si="3"/>
        <v>12.931648905131908</v>
      </c>
      <c r="G32" s="842"/>
      <c r="H32" s="842"/>
      <c r="I32" s="842"/>
      <c r="J32" s="842"/>
      <c r="K32" s="842"/>
      <c r="L32" s="842"/>
      <c r="M32" s="842"/>
      <c r="N32" s="842"/>
      <c r="O32" s="842"/>
      <c r="P32" s="842"/>
      <c r="Q32" s="842"/>
      <c r="R32" s="842"/>
      <c r="S32" s="842"/>
      <c r="T32" s="842"/>
      <c r="U32" s="842"/>
      <c r="V32" s="842"/>
      <c r="W32" s="842"/>
      <c r="X32" s="842"/>
      <c r="Y32" s="842"/>
      <c r="Z32" s="842"/>
      <c r="AA32" s="2209"/>
      <c r="AB32" s="2209"/>
      <c r="AC32" s="346"/>
    </row>
    <row r="33" spans="1:29" ht="18.75" customHeight="1" x14ac:dyDescent="0.2">
      <c r="A33" s="341"/>
      <c r="B33" s="345"/>
      <c r="C33" s="442" t="str">
        <f t="shared" si="1"/>
        <v>MCR</v>
      </c>
      <c r="D33" s="842" t="str">
        <f t="shared" ca="1" si="5"/>
        <v>wt%</v>
      </c>
      <c r="E33" s="842">
        <f t="shared" ca="1" si="2"/>
        <v>1.2</v>
      </c>
      <c r="F33" s="337">
        <f t="shared" ca="1" si="3"/>
        <v>1.2</v>
      </c>
      <c r="G33" s="842"/>
      <c r="H33" s="842"/>
      <c r="I33" s="842"/>
      <c r="J33" s="842"/>
      <c r="K33" s="842"/>
      <c r="L33" s="842"/>
      <c r="M33" s="842"/>
      <c r="N33" s="842"/>
      <c r="O33" s="842"/>
      <c r="P33" s="842"/>
      <c r="Q33" s="842"/>
      <c r="R33" s="842"/>
      <c r="S33" s="842"/>
      <c r="T33" s="842"/>
      <c r="U33" s="842"/>
      <c r="V33" s="842"/>
      <c r="W33" s="842"/>
      <c r="X33" s="842"/>
      <c r="Y33" s="842"/>
      <c r="Z33" s="842"/>
      <c r="AA33" s="2209"/>
      <c r="AB33" s="2209"/>
      <c r="AC33" s="346"/>
    </row>
    <row r="34" spans="1:29" ht="18.75" customHeight="1" x14ac:dyDescent="0.2">
      <c r="A34" s="341"/>
      <c r="B34" s="345"/>
      <c r="C34" s="442" t="str">
        <f t="shared" si="1"/>
        <v>Characterization Factor</v>
      </c>
      <c r="D34" s="842" t="str">
        <f t="shared" ca="1" si="5"/>
        <v xml:space="preserve">Kw (Approximate) </v>
      </c>
      <c r="E34" s="842">
        <f t="shared" ca="1" si="2"/>
        <v>11.700153491056373</v>
      </c>
      <c r="F34" s="337">
        <f t="shared" ca="1" si="3"/>
        <v>11.700153491056373</v>
      </c>
      <c r="G34" s="842"/>
      <c r="H34" s="842"/>
      <c r="I34" s="842"/>
      <c r="J34" s="842"/>
      <c r="K34" s="842"/>
      <c r="L34" s="842"/>
      <c r="M34" s="842"/>
      <c r="N34" s="842"/>
      <c r="O34" s="842"/>
      <c r="P34" s="842"/>
      <c r="Q34" s="842"/>
      <c r="R34" s="842"/>
      <c r="S34" s="842"/>
      <c r="T34" s="842"/>
      <c r="U34" s="842"/>
      <c r="V34" s="842"/>
      <c r="W34" s="842"/>
      <c r="X34" s="842"/>
      <c r="Y34" s="842"/>
      <c r="Z34" s="842"/>
      <c r="AA34" s="2209"/>
      <c r="AB34" s="2209"/>
      <c r="AC34" s="346"/>
    </row>
    <row r="35" spans="1:29" ht="18.75" customHeight="1" x14ac:dyDescent="0.2">
      <c r="A35" s="341"/>
      <c r="B35" s="345"/>
      <c r="C35" s="443" t="str">
        <f t="shared" si="1"/>
        <v xml:space="preserve">Tb(50%) weight basis </v>
      </c>
      <c r="D35" s="334" t="str">
        <f t="shared" ca="1" si="5"/>
        <v xml:space="preserve"> [°C]</v>
      </c>
      <c r="E35" s="334">
        <f t="shared" ca="1" si="2"/>
        <v>296.18836685568135</v>
      </c>
      <c r="F35" s="338">
        <f t="shared" ca="1" si="3"/>
        <v>296.18836685568135</v>
      </c>
      <c r="G35" s="842"/>
      <c r="H35" s="842"/>
      <c r="I35" s="842"/>
      <c r="J35" s="842"/>
      <c r="K35" s="842"/>
      <c r="L35" s="842"/>
      <c r="M35" s="842"/>
      <c r="N35" s="842"/>
      <c r="O35" s="842"/>
      <c r="P35" s="842"/>
      <c r="Q35" s="842"/>
      <c r="R35" s="842"/>
      <c r="S35" s="842"/>
      <c r="T35" s="842"/>
      <c r="U35" s="842"/>
      <c r="V35" s="842"/>
      <c r="W35" s="842"/>
      <c r="X35" s="842"/>
      <c r="Y35" s="842"/>
      <c r="Z35" s="842"/>
      <c r="AA35" s="2209"/>
      <c r="AB35" s="2209"/>
      <c r="AC35" s="346"/>
    </row>
    <row r="36" spans="1:29" ht="18.75" customHeight="1" x14ac:dyDescent="0.2">
      <c r="A36" s="341"/>
      <c r="B36" s="345"/>
      <c r="C36" s="444"/>
      <c r="D36" s="842"/>
      <c r="E36" s="842"/>
      <c r="F36" s="839"/>
      <c r="G36" s="842"/>
      <c r="H36" s="842"/>
      <c r="I36" s="842"/>
      <c r="J36" s="842"/>
      <c r="K36" s="842"/>
      <c r="L36" s="842"/>
      <c r="M36" s="842"/>
      <c r="N36" s="842"/>
      <c r="O36" s="842"/>
      <c r="P36" s="842"/>
      <c r="Q36" s="842"/>
      <c r="R36" s="842"/>
      <c r="S36" s="842"/>
      <c r="T36" s="842"/>
      <c r="U36" s="842"/>
      <c r="V36" s="842"/>
      <c r="W36" s="842"/>
      <c r="X36" s="842"/>
      <c r="Y36" s="842"/>
      <c r="Z36" s="842"/>
      <c r="AA36" s="2209"/>
      <c r="AB36" s="2209"/>
      <c r="AC36" s="346"/>
    </row>
    <row r="37" spans="1:29" ht="18.75" customHeight="1" x14ac:dyDescent="0.2">
      <c r="A37" s="341"/>
      <c r="B37" s="345"/>
      <c r="C37" s="843" t="s">
        <v>955</v>
      </c>
      <c r="D37" s="842"/>
      <c r="E37" s="842"/>
      <c r="F37" s="842"/>
      <c r="G37" s="842"/>
      <c r="H37" s="842"/>
      <c r="I37" s="842"/>
      <c r="J37" s="842"/>
      <c r="K37" s="842"/>
      <c r="L37" s="842"/>
      <c r="M37" s="842"/>
      <c r="N37" s="842"/>
      <c r="O37" s="842"/>
      <c r="P37" s="842"/>
      <c r="Q37" s="842"/>
      <c r="R37" s="842"/>
      <c r="S37" s="842"/>
      <c r="T37" s="842"/>
      <c r="U37" s="842"/>
      <c r="V37" s="842"/>
      <c r="W37" s="842"/>
      <c r="X37" s="842"/>
      <c r="Y37" s="842"/>
      <c r="Z37" s="842"/>
      <c r="AA37" s="2209"/>
      <c r="AB37" s="2209"/>
      <c r="AC37" s="346"/>
    </row>
    <row r="38" spans="1:29" ht="18.75" customHeight="1" x14ac:dyDescent="0.2">
      <c r="A38" s="341"/>
      <c r="B38" s="345"/>
      <c r="C38" s="445" t="s">
        <v>1293</v>
      </c>
      <c r="D38" s="850"/>
      <c r="E38" s="351" t="s">
        <v>956</v>
      </c>
      <c r="F38" s="351" t="str">
        <f ca="1">'Assay Inventory'!F11</f>
        <v>LSR</v>
      </c>
      <c r="G38" s="351" t="s">
        <v>229</v>
      </c>
      <c r="H38" s="351" t="s">
        <v>230</v>
      </c>
      <c r="I38" s="351" t="s">
        <v>231</v>
      </c>
      <c r="J38" s="351" t="s">
        <v>574</v>
      </c>
      <c r="K38" s="351" t="s">
        <v>575</v>
      </c>
      <c r="L38" s="351" t="s">
        <v>576</v>
      </c>
      <c r="M38" s="352" t="s">
        <v>653</v>
      </c>
      <c r="N38" s="842"/>
      <c r="O38" s="842"/>
      <c r="P38" s="842"/>
      <c r="Q38" s="842"/>
      <c r="R38" s="842"/>
      <c r="S38" s="842"/>
      <c r="T38" s="842"/>
      <c r="U38" s="842"/>
      <c r="V38" s="842"/>
      <c r="W38" s="842"/>
      <c r="X38" s="842"/>
      <c r="Y38" s="842"/>
      <c r="Z38" s="842"/>
      <c r="AA38" s="2209"/>
      <c r="AB38" s="2209"/>
      <c r="AC38" s="346"/>
    </row>
    <row r="39" spans="1:29" ht="18.75" customHeight="1" x14ac:dyDescent="0.2">
      <c r="A39" s="341"/>
      <c r="B39" s="345"/>
      <c r="C39" s="442" t="s">
        <v>952</v>
      </c>
      <c r="D39" s="882">
        <f>Constants!H15+273.15</f>
        <v>561.15</v>
      </c>
      <c r="E39" s="842" t="s">
        <v>1195</v>
      </c>
      <c r="F39" s="842">
        <f ca="1">POWER((0.03181*$D$39 + 0.00001791*POWER(F56,4.693)),2.2916)</f>
        <v>917.52505812267657</v>
      </c>
      <c r="G39" s="842">
        <f ca="1">POWER((0.03181*$D$39 + 0.00001791*POWER(G56,4.693)),2.2916)</f>
        <v>912.56382515861469</v>
      </c>
      <c r="H39" s="842">
        <f ca="1">POWER((0.03181*$D$39 + 0.00001791*POWER(H56,4.693)),2.2916)</f>
        <v>910.40273310398311</v>
      </c>
      <c r="I39" s="842">
        <f ca="1">POWER((0.03181*$D$39 + 0.00001791*POWER(I56,4.693)),2.2916)</f>
        <v>912.81053339131847</v>
      </c>
      <c r="J39" s="842">
        <f ca="1">POWER((0.03181*$D$39 + 0.00001791*POWER(J56,4.693)),2.2916)</f>
        <v>916.16908848621085</v>
      </c>
      <c r="K39" s="842">
        <f ca="1">POWER((0.03181*$D$39 + 0.00001791*POWER(G524,4.693)),2.2916)</f>
        <v>738.35337689169171</v>
      </c>
      <c r="L39" s="842">
        <f ca="1">POWER((0.03181*$D$39 + 0.00001791*POWER(H524,4.693)),2.2916)</f>
        <v>738.35337689169171</v>
      </c>
      <c r="M39" s="337">
        <f ca="1">POWER((0.03181*$D$39 + 0.00001791*POWER(I524,4.693)),2.2916)</f>
        <v>738.35337689169171</v>
      </c>
      <c r="N39" s="842"/>
      <c r="O39" s="842"/>
      <c r="P39" s="842"/>
      <c r="Q39" s="842"/>
      <c r="R39" s="842"/>
      <c r="S39" s="842"/>
      <c r="T39" s="842"/>
      <c r="U39" s="842"/>
      <c r="V39" s="842"/>
      <c r="W39" s="842"/>
      <c r="X39" s="842"/>
      <c r="Y39" s="842"/>
      <c r="Z39" s="842"/>
      <c r="AA39" s="2209"/>
      <c r="AB39" s="2209"/>
      <c r="AC39" s="346"/>
    </row>
    <row r="40" spans="1:29" ht="18.75" customHeight="1" x14ac:dyDescent="0.2">
      <c r="A40" s="341"/>
      <c r="B40" s="345"/>
      <c r="C40" s="442" t="s">
        <v>954</v>
      </c>
      <c r="D40" s="882">
        <f>Constants!H16+273.15</f>
        <v>672.15</v>
      </c>
      <c r="E40" s="842" t="s">
        <v>1195</v>
      </c>
      <c r="F40" s="842">
        <f ca="1">POWER((0.03181*$D$40 + 0.00001791*POWER(F56,4.693)),2.2916)</f>
        <v>1340.5162196118024</v>
      </c>
      <c r="G40" s="842">
        <f ca="1">POWER((0.03181*$D$40 + 0.00001791*POWER(G56,4.693)),2.2916)</f>
        <v>1334.3716176581595</v>
      </c>
      <c r="H40" s="842">
        <f ca="1">POWER((0.03181*$D$40 + 0.00001791*POWER(H56,4.693)),2.2916)</f>
        <v>1331.694156743627</v>
      </c>
      <c r="I40" s="842">
        <f ca="1">POWER((0.03181*$D$40 + 0.00001791*POWER(I56,4.693)),2.2916)</f>
        <v>1334.6772393167141</v>
      </c>
      <c r="J40" s="842">
        <f ca="1">POWER((0.03181*$D$40 + 0.00001791*POWER(J56,4.693)),2.2916)</f>
        <v>1338.8371042545709</v>
      </c>
      <c r="K40" s="842">
        <f ca="1">POWER((0.03181*$D$40 + 0.00001791*POWER(G524,4.693)),2.2916)</f>
        <v>1116.5969952889848</v>
      </c>
      <c r="L40" s="842">
        <f ca="1">POWER((0.03181*$D$40 + 0.00001791*POWER(H524,4.693)),2.2916)</f>
        <v>1116.5969952889848</v>
      </c>
      <c r="M40" s="337">
        <f ca="1">POWER((0.03181*$D$40 + 0.00001791*POWER(I524,4.693)),2.2916)</f>
        <v>1116.5969952889848</v>
      </c>
      <c r="N40" s="842"/>
      <c r="O40" s="842"/>
      <c r="P40" s="842"/>
      <c r="Q40" s="842"/>
      <c r="R40" s="842"/>
      <c r="S40" s="842"/>
      <c r="T40" s="842"/>
      <c r="U40" s="842"/>
      <c r="V40" s="842"/>
      <c r="W40" s="842"/>
      <c r="X40" s="842"/>
      <c r="Y40" s="842"/>
      <c r="Z40" s="842"/>
      <c r="AA40" s="2209"/>
      <c r="AB40" s="2209"/>
      <c r="AC40" s="346"/>
    </row>
    <row r="41" spans="1:29" ht="18.75" customHeight="1" x14ac:dyDescent="0.2">
      <c r="A41" s="341"/>
      <c r="B41" s="345"/>
      <c r="C41" s="446" t="s">
        <v>1223</v>
      </c>
      <c r="D41" s="334"/>
      <c r="E41" s="334"/>
      <c r="F41" s="334">
        <f ca="1">(F40-F39)*F49/'Energy &amp; Unit Conversions'!$E$95</f>
        <v>361425.42457865499</v>
      </c>
      <c r="G41" s="334">
        <f ca="1">(G40-G39)*G49/'Energy &amp; Unit Conversions'!$E$95</f>
        <v>909863.35272549745</v>
      </c>
      <c r="H41" s="334">
        <f ca="1">(H40-H39)*H49/'Energy &amp; Unit Conversions'!$E$95</f>
        <v>1519702.2123724562</v>
      </c>
      <c r="I41" s="334">
        <f ca="1">(I40-I39)*I49/'Energy &amp; Unit Conversions'!$E$95</f>
        <v>741528.5903143679</v>
      </c>
      <c r="J41" s="334">
        <f ca="1">(J40-J39)*J49/'Energy &amp; Unit Conversions'!$E$95</f>
        <v>680249.29920854152</v>
      </c>
      <c r="K41" s="334">
        <f ca="1">(K40-K39)*G517/'Energy &amp; Unit Conversions'!$E$95</f>
        <v>3.7824361839729306E-15</v>
      </c>
      <c r="L41" s="334">
        <f ca="1">(L40-L39)*H517/'Energy &amp; Unit Conversions'!$E$95</f>
        <v>3.7824361839729306E-15</v>
      </c>
      <c r="M41" s="338">
        <f ca="1">(M40-M39)*I517/'Energy &amp; Unit Conversions'!$E$95</f>
        <v>3.7824361839729306E-15</v>
      </c>
      <c r="N41" s="842"/>
      <c r="O41" s="842"/>
      <c r="P41" s="842"/>
      <c r="Q41" s="842"/>
      <c r="R41" s="842"/>
      <c r="S41" s="842"/>
      <c r="T41" s="842"/>
      <c r="U41" s="842"/>
      <c r="V41" s="842"/>
      <c r="W41" s="842"/>
      <c r="X41" s="842"/>
      <c r="Y41" s="842"/>
      <c r="Z41" s="842"/>
      <c r="AA41" s="2209"/>
      <c r="AB41" s="2209"/>
      <c r="AC41" s="346"/>
    </row>
    <row r="42" spans="1:29" ht="18.75" customHeight="1" x14ac:dyDescent="0.2">
      <c r="A42" s="341"/>
      <c r="B42" s="345"/>
      <c r="C42" s="447"/>
      <c r="D42" s="842"/>
      <c r="E42" s="842"/>
      <c r="F42" s="842"/>
      <c r="G42" s="842"/>
      <c r="H42" s="842"/>
      <c r="I42" s="842"/>
      <c r="J42" s="842"/>
      <c r="K42" s="842"/>
      <c r="L42" s="842"/>
      <c r="M42" s="842"/>
      <c r="N42" s="842"/>
      <c r="O42" s="842"/>
      <c r="P42" s="842"/>
      <c r="Q42" s="842"/>
      <c r="R42" s="842"/>
      <c r="S42" s="842"/>
      <c r="T42" s="842"/>
      <c r="U42" s="842"/>
      <c r="V42" s="842"/>
      <c r="W42" s="842"/>
      <c r="X42" s="842"/>
      <c r="Y42" s="842"/>
      <c r="Z42" s="842"/>
      <c r="AA42" s="2209"/>
      <c r="AB42" s="2209"/>
      <c r="AC42" s="346"/>
    </row>
    <row r="43" spans="1:29" ht="26.25" x14ac:dyDescent="0.2">
      <c r="A43" s="341"/>
      <c r="B43" s="699"/>
      <c r="C43" s="603" t="s">
        <v>1294</v>
      </c>
      <c r="D43" s="842"/>
      <c r="E43" s="842"/>
      <c r="F43" s="842"/>
      <c r="G43" s="842"/>
      <c r="H43" s="842"/>
      <c r="I43" s="842"/>
      <c r="J43" s="842"/>
      <c r="K43" s="842"/>
      <c r="L43" s="842"/>
      <c r="M43" s="842"/>
      <c r="N43" s="842"/>
      <c r="O43" s="842"/>
      <c r="P43" s="842"/>
      <c r="Q43" s="842"/>
      <c r="R43" s="842"/>
      <c r="S43" s="842"/>
      <c r="T43" s="842"/>
      <c r="U43" s="842"/>
      <c r="V43" s="842"/>
      <c r="W43" s="842"/>
      <c r="X43" s="842"/>
      <c r="Y43" s="842"/>
      <c r="Z43" s="842"/>
      <c r="AA43" s="2209"/>
      <c r="AB43" s="2209"/>
      <c r="AC43" s="346"/>
    </row>
    <row r="44" spans="1:29" ht="18.75" customHeight="1" x14ac:dyDescent="0.2">
      <c r="A44" s="341"/>
      <c r="B44" s="345"/>
      <c r="C44" s="447"/>
      <c r="D44" s="842"/>
      <c r="E44" s="842"/>
      <c r="F44" s="842"/>
      <c r="G44" s="842"/>
      <c r="H44" s="842"/>
      <c r="I44" s="842"/>
      <c r="J44" s="842"/>
      <c r="K44" s="842"/>
      <c r="L44" s="842"/>
      <c r="M44" s="842"/>
      <c r="N44" s="842"/>
      <c r="O44" s="842"/>
      <c r="P44" s="842"/>
      <c r="Q44" s="842"/>
      <c r="R44" s="842"/>
      <c r="S44" s="184"/>
      <c r="T44" s="184"/>
      <c r="U44" s="184"/>
      <c r="V44" s="184"/>
      <c r="W44" s="184"/>
      <c r="X44" s="184"/>
      <c r="Y44" s="842"/>
      <c r="Z44" s="842"/>
      <c r="AA44" s="2209"/>
      <c r="AB44" s="2209"/>
      <c r="AC44" s="346"/>
    </row>
    <row r="45" spans="1:29" ht="18.75" customHeight="1" x14ac:dyDescent="0.2">
      <c r="A45" s="341"/>
      <c r="B45" s="345"/>
      <c r="C45" s="843" t="s">
        <v>1295</v>
      </c>
      <c r="D45" s="842"/>
      <c r="E45" s="842"/>
      <c r="F45" s="842"/>
      <c r="G45" s="842"/>
      <c r="H45" s="842"/>
      <c r="I45" s="842"/>
      <c r="J45" s="842"/>
      <c r="K45" s="842"/>
      <c r="L45" s="842"/>
      <c r="M45" s="843" t="s">
        <v>308</v>
      </c>
      <c r="N45" s="843"/>
      <c r="O45" s="426"/>
      <c r="P45" s="842"/>
      <c r="Q45" s="842"/>
      <c r="R45" s="842"/>
      <c r="S45" s="184"/>
      <c r="T45" s="184"/>
      <c r="U45" s="184"/>
      <c r="V45" s="184"/>
      <c r="W45" s="184"/>
      <c r="X45" s="184"/>
      <c r="Y45" s="842"/>
      <c r="Z45" s="842"/>
      <c r="AA45" s="2209"/>
      <c r="AB45" s="2209"/>
      <c r="AC45" s="346"/>
    </row>
    <row r="46" spans="1:29" ht="18.75" customHeight="1" x14ac:dyDescent="0.2">
      <c r="A46" s="341"/>
      <c r="B46" s="345"/>
      <c r="C46" s="441" t="str">
        <f t="shared" ref="C46:D56" si="6">C24</f>
        <v>Property</v>
      </c>
      <c r="D46" s="351" t="str">
        <f t="shared" si="6"/>
        <v>Units</v>
      </c>
      <c r="E46" s="351" t="s">
        <v>570</v>
      </c>
      <c r="F46" s="351" t="str">
        <f ca="1">'Assay Inventory'!F11</f>
        <v>LSR</v>
      </c>
      <c r="G46" s="351" t="s">
        <v>229</v>
      </c>
      <c r="H46" s="351" t="s">
        <v>230</v>
      </c>
      <c r="I46" s="351" t="s">
        <v>231</v>
      </c>
      <c r="J46" s="351" t="s">
        <v>574</v>
      </c>
      <c r="K46" s="352" t="s">
        <v>607</v>
      </c>
      <c r="L46" s="842"/>
      <c r="M46" s="855"/>
      <c r="N46" s="368"/>
      <c r="O46" s="351" t="s">
        <v>624</v>
      </c>
      <c r="P46" s="352" t="s">
        <v>623</v>
      </c>
      <c r="Q46" s="842"/>
      <c r="R46" s="842"/>
      <c r="S46" s="184"/>
      <c r="T46" s="184"/>
      <c r="U46" s="184"/>
      <c r="V46" s="184"/>
      <c r="W46" s="184"/>
      <c r="X46" s="184"/>
      <c r="Y46" s="842"/>
      <c r="Z46" s="842"/>
      <c r="AA46" s="2209"/>
      <c r="AB46" s="2209"/>
      <c r="AC46" s="346"/>
    </row>
    <row r="47" spans="1:29" ht="18.75" customHeight="1" x14ac:dyDescent="0.2">
      <c r="A47" s="341"/>
      <c r="B47" s="345"/>
      <c r="C47" s="442" t="str">
        <f t="shared" si="6"/>
        <v>Vol Flow</v>
      </c>
      <c r="D47" s="842" t="str">
        <f ca="1">D25</f>
        <v>bpd</v>
      </c>
      <c r="E47" s="842">
        <f ca="1">HydroRefineryCalcs!F25</f>
        <v>99177.64135868111</v>
      </c>
      <c r="F47" s="842">
        <f ca="1">'Assay Inventory'!F12</f>
        <v>7538.9890466543711</v>
      </c>
      <c r="G47" s="842">
        <f ca="1">D92</f>
        <v>17316.221609700751</v>
      </c>
      <c r="H47" s="842">
        <f ca="1">D93</f>
        <v>26885.40784503843</v>
      </c>
      <c r="I47" s="842">
        <f ca="1">D94</f>
        <v>12524.817625472946</v>
      </c>
      <c r="J47" s="842">
        <f ca="1">D95</f>
        <v>11182.517606218385</v>
      </c>
      <c r="K47" s="337">
        <f ca="1">D96</f>
        <v>1E-14</v>
      </c>
      <c r="L47" s="842"/>
      <c r="M47" s="442" t="s">
        <v>494</v>
      </c>
      <c r="N47" s="842"/>
      <c r="O47" s="882">
        <v>180000</v>
      </c>
      <c r="P47" s="337" t="s">
        <v>611</v>
      </c>
      <c r="Q47" s="842"/>
      <c r="R47" s="842"/>
      <c r="S47" s="184"/>
      <c r="T47" s="184"/>
      <c r="U47" s="184"/>
      <c r="V47" s="184"/>
      <c r="W47" s="184"/>
      <c r="X47" s="184"/>
      <c r="Y47" s="842"/>
      <c r="Z47" s="842"/>
      <c r="AA47" s="2209"/>
      <c r="AB47" s="2209"/>
      <c r="AC47" s="346"/>
    </row>
    <row r="48" spans="1:29" ht="18.75" customHeight="1" x14ac:dyDescent="0.2">
      <c r="A48" s="341"/>
      <c r="B48" s="345"/>
      <c r="C48" s="442" t="str">
        <f t="shared" si="6"/>
        <v>Vol Flow</v>
      </c>
      <c r="D48" s="842" t="str">
        <f ca="1">D26</f>
        <v>m^3/d</v>
      </c>
      <c r="E48" s="842">
        <f ca="1">HydroRefineryCalcs!F26</f>
        <v>15769.244976030297</v>
      </c>
      <c r="F48" s="842">
        <f ca="1">'Assay Inventory'!F13</f>
        <v>1198.699258418045</v>
      </c>
      <c r="G48" s="842">
        <f ca="1">'Energy &amp; Unit Conversions'!G80*G47</f>
        <v>2753.059319927976</v>
      </c>
      <c r="H48" s="842">
        <f ca="1">'Energy &amp; Unit Conversions'!G80*H47</f>
        <v>4274.4384026814787</v>
      </c>
      <c r="I48" s="842">
        <f ca="1">'Energy &amp; Unit Conversions'!G80*I47</f>
        <v>1991.2869372663549</v>
      </c>
      <c r="J48" s="842">
        <f ca="1">'Energy &amp; Unit Conversions'!G80*J47</f>
        <v>1777.8782814151243</v>
      </c>
      <c r="K48" s="337">
        <f ca="1">'Energy &amp; Unit Conversions'!G80*K47</f>
        <v>1.589873E-15</v>
      </c>
      <c r="L48" s="842"/>
      <c r="M48" s="442" t="s">
        <v>495</v>
      </c>
      <c r="N48" s="842"/>
      <c r="O48" s="882">
        <f>Constants!H21</f>
        <v>6</v>
      </c>
      <c r="P48" s="337" t="s">
        <v>496</v>
      </c>
      <c r="Q48" s="842"/>
      <c r="R48" s="842"/>
      <c r="S48" s="184"/>
      <c r="T48" s="184"/>
      <c r="U48" s="184"/>
      <c r="V48" s="184"/>
      <c r="W48" s="184"/>
      <c r="X48" s="184"/>
      <c r="Y48" s="842"/>
      <c r="Z48" s="842"/>
      <c r="AA48" s="2209"/>
      <c r="AB48" s="2209"/>
      <c r="AC48" s="346"/>
    </row>
    <row r="49" spans="1:29" ht="18.75" customHeight="1" x14ac:dyDescent="0.2">
      <c r="A49" s="341"/>
      <c r="B49" s="345"/>
      <c r="C49" s="442" t="str">
        <f t="shared" si="6"/>
        <v>Mass Flow</v>
      </c>
      <c r="D49" s="842" t="str">
        <f t="shared" si="6"/>
        <v>kg/d</v>
      </c>
      <c r="E49" s="842">
        <f ca="1">HydroRefineryCalcs!F27</f>
        <v>13687328.970000003</v>
      </c>
      <c r="F49" s="842">
        <f ca="1">'Assay Inventory'!F14</f>
        <v>854451.48145949247</v>
      </c>
      <c r="G49" s="842">
        <f ca="1">F92</f>
        <v>2157056.7659118799</v>
      </c>
      <c r="H49" s="842">
        <f ca="1">F93</f>
        <v>3607246.9722819468</v>
      </c>
      <c r="I49" s="842">
        <f ca="1">F94</f>
        <v>1757731.9563243806</v>
      </c>
      <c r="J49" s="842">
        <f ca="1">F95</f>
        <v>1609417.4951277762</v>
      </c>
      <c r="K49" s="337">
        <f ca="1">F96</f>
        <v>1E-14</v>
      </c>
      <c r="L49" s="842"/>
      <c r="M49" s="442" t="s">
        <v>495</v>
      </c>
      <c r="N49" s="842"/>
      <c r="O49" s="842">
        <f>O48*'Energy &amp; Unit Conversions'!G79/'Energy &amp; Unit Conversions'!G80</f>
        <v>17.11806049917195</v>
      </c>
      <c r="P49" s="337" t="s">
        <v>581</v>
      </c>
      <c r="Q49" s="842"/>
      <c r="R49" s="842"/>
      <c r="S49" s="184"/>
      <c r="T49" s="184"/>
      <c r="U49" s="184"/>
      <c r="V49" s="184"/>
      <c r="W49" s="184"/>
      <c r="X49" s="184"/>
      <c r="Y49" s="842"/>
      <c r="Z49" s="842"/>
      <c r="AA49" s="2209"/>
      <c r="AB49" s="2209"/>
      <c r="AC49" s="346"/>
    </row>
    <row r="50" spans="1:29" ht="18.75" customHeight="1" x14ac:dyDescent="0.2">
      <c r="A50" s="341"/>
      <c r="B50" s="345"/>
      <c r="C50" s="442" t="str">
        <f t="shared" si="6"/>
        <v xml:space="preserve">Sulphur </v>
      </c>
      <c r="D50" s="842" t="str">
        <f t="shared" ref="D50:D56" ca="1" si="7">D28</f>
        <v>wt%</v>
      </c>
      <c r="E50" s="842">
        <f ca="1">HydroRefineryCalcs!F28</f>
        <v>0.16980000000000001</v>
      </c>
      <c r="F50" s="842">
        <f ca="1">'Assay Inventory'!F15</f>
        <v>0</v>
      </c>
      <c r="G50" s="842">
        <f ca="1">G92</f>
        <v>0</v>
      </c>
      <c r="H50" s="842">
        <f ca="1">G93</f>
        <v>6.4870288839055754E-2</v>
      </c>
      <c r="I50" s="842">
        <f ca="1">G94</f>
        <v>0.15109831145852037</v>
      </c>
      <c r="J50" s="842">
        <f ca="1">G95</f>
        <v>0.21055860465847406</v>
      </c>
      <c r="K50" s="337">
        <f ca="1">G96</f>
        <v>1E-14</v>
      </c>
      <c r="L50" s="842"/>
      <c r="M50" s="442" t="s">
        <v>497</v>
      </c>
      <c r="N50" s="842"/>
      <c r="O50" s="842">
        <f ca="1">O49*H48</f>
        <v>73170.095177085459</v>
      </c>
      <c r="P50" s="337" t="s">
        <v>622</v>
      </c>
      <c r="Q50" s="842"/>
      <c r="R50" s="842"/>
      <c r="S50" s="184"/>
      <c r="T50" s="184"/>
      <c r="U50" s="184"/>
      <c r="V50" s="184"/>
      <c r="W50" s="184"/>
      <c r="X50" s="184"/>
      <c r="Y50" s="842"/>
      <c r="Z50" s="842"/>
      <c r="AA50" s="2209"/>
      <c r="AB50" s="2209"/>
      <c r="AC50" s="346"/>
    </row>
    <row r="51" spans="1:29" ht="18.75" customHeight="1" x14ac:dyDescent="0.2">
      <c r="A51" s="341"/>
      <c r="B51" s="345"/>
      <c r="C51" s="442" t="str">
        <f t="shared" si="6"/>
        <v xml:space="preserve">Nitrogen </v>
      </c>
      <c r="D51" s="842" t="str">
        <f t="shared" ca="1" si="7"/>
        <v>mass ppm</v>
      </c>
      <c r="E51" s="842">
        <f ca="1">HydroRefineryCalcs!F29</f>
        <v>1040</v>
      </c>
      <c r="F51" s="842">
        <f ca="1">'Assay Inventory'!F16</f>
        <v>0</v>
      </c>
      <c r="G51" s="842">
        <f ca="1">H92</f>
        <v>0</v>
      </c>
      <c r="H51" s="842">
        <f ca="1">H93</f>
        <v>3.6001321362723841E-11</v>
      </c>
      <c r="I51" s="842">
        <f ca="1">H94</f>
        <v>147.76502983481029</v>
      </c>
      <c r="J51" s="842">
        <f ca="1">H95</f>
        <v>573.33295706140962</v>
      </c>
      <c r="K51" s="337">
        <f ca="1">H96</f>
        <v>1E-14</v>
      </c>
      <c r="L51" s="842"/>
      <c r="M51" s="442" t="s">
        <v>498</v>
      </c>
      <c r="N51" s="842"/>
      <c r="O51" s="882">
        <f>Constants!H22</f>
        <v>4</v>
      </c>
      <c r="P51" s="337" t="s">
        <v>496</v>
      </c>
      <c r="Q51" s="842"/>
      <c r="R51" s="842"/>
      <c r="S51" s="184"/>
      <c r="T51" s="184"/>
      <c r="U51" s="184"/>
      <c r="V51" s="184"/>
      <c r="W51" s="184"/>
      <c r="X51" s="184"/>
      <c r="Y51" s="842"/>
      <c r="Z51" s="842"/>
      <c r="AA51" s="2209"/>
      <c r="AB51" s="2209"/>
      <c r="AC51" s="346"/>
    </row>
    <row r="52" spans="1:29" ht="18.75" customHeight="1" x14ac:dyDescent="0.2">
      <c r="A52" s="341"/>
      <c r="B52" s="345"/>
      <c r="C52" s="442" t="str">
        <f t="shared" si="6"/>
        <v xml:space="preserve">API gravity </v>
      </c>
      <c r="D52" s="842" t="str">
        <f t="shared" ca="1" si="7"/>
        <v>oAPI</v>
      </c>
      <c r="E52" s="842">
        <f ca="1">HydroRefineryCalcs!F30</f>
        <v>32.710282000696282</v>
      </c>
      <c r="F52" s="842">
        <f ca="1">'Assay Inventory'!F17</f>
        <v>66.810065343505755</v>
      </c>
      <c r="G52" s="842">
        <f ca="1">J92</f>
        <v>49.096959674877127</v>
      </c>
      <c r="H52" s="842">
        <f ca="1">J93</f>
        <v>36.171645059781241</v>
      </c>
      <c r="I52" s="842">
        <f ca="1">J94</f>
        <v>28.801518447896115</v>
      </c>
      <c r="J52" s="842">
        <f ca="1">J95</f>
        <v>24.811073777824959</v>
      </c>
      <c r="K52" s="337">
        <f ca="1">J96</f>
        <v>1E-14</v>
      </c>
      <c r="L52" s="842"/>
      <c r="M52" s="442" t="s">
        <v>498</v>
      </c>
      <c r="N52" s="842"/>
      <c r="O52" s="842">
        <f>O51*'Energy &amp; Unit Conversions'!G79/'Energy &amp; Unit Conversions'!G80</f>
        <v>11.412040332781299</v>
      </c>
      <c r="P52" s="337" t="s">
        <v>581</v>
      </c>
      <c r="Q52" s="842"/>
      <c r="R52" s="842"/>
      <c r="S52" s="184"/>
      <c r="T52" s="184"/>
      <c r="U52" s="184"/>
      <c r="V52" s="184"/>
      <c r="W52" s="184"/>
      <c r="X52" s="184"/>
      <c r="Y52" s="842"/>
      <c r="Z52" s="842"/>
      <c r="AA52" s="2209"/>
      <c r="AB52" s="2209"/>
      <c r="AC52" s="346"/>
    </row>
    <row r="53" spans="1:29" ht="18.75" customHeight="1" x14ac:dyDescent="0.2">
      <c r="A53" s="341"/>
      <c r="B53" s="345"/>
      <c r="C53" s="442" t="str">
        <f t="shared" si="6"/>
        <v>Density</v>
      </c>
      <c r="D53" s="842" t="str">
        <f t="shared" ca="1" si="7"/>
        <v>kg/m^3</v>
      </c>
      <c r="E53" s="842">
        <f ca="1">HydroRefineryCalcs!F31</f>
        <v>860.83830000000012</v>
      </c>
      <c r="F53" s="842">
        <f ca="1">'Assay Inventory'!F18</f>
        <v>712.81555858066895</v>
      </c>
      <c r="G53" s="842">
        <f ca="1">E92</f>
        <v>783.51263639619344</v>
      </c>
      <c r="H53" s="842">
        <f ca="1">E93</f>
        <v>843.91132412132015</v>
      </c>
      <c r="I53" s="842">
        <f ca="1">E94</f>
        <v>882.71153866825466</v>
      </c>
      <c r="J53" s="842">
        <f ca="1">E95</f>
        <v>905.24616445999914</v>
      </c>
      <c r="K53" s="337">
        <f ca="1">E96</f>
        <v>0</v>
      </c>
      <c r="L53" s="842"/>
      <c r="M53" s="442" t="s">
        <v>499</v>
      </c>
      <c r="N53" s="842"/>
      <c r="O53" s="842">
        <f ca="1">O52*I48</f>
        <v>22724.646842224185</v>
      </c>
      <c r="P53" s="337" t="s">
        <v>622</v>
      </c>
      <c r="Q53" s="842"/>
      <c r="R53" s="842"/>
      <c r="S53" s="184"/>
      <c r="T53" s="184"/>
      <c r="U53" s="184"/>
      <c r="V53" s="184"/>
      <c r="W53" s="184"/>
      <c r="X53" s="184"/>
      <c r="Y53" s="842"/>
      <c r="Z53" s="842"/>
      <c r="AA53" s="2209"/>
      <c r="AB53" s="2209"/>
      <c r="AC53" s="346"/>
    </row>
    <row r="54" spans="1:29" ht="18.75" customHeight="1" x14ac:dyDescent="0.2">
      <c r="A54" s="341"/>
      <c r="B54" s="345"/>
      <c r="C54" s="442" t="str">
        <f t="shared" si="6"/>
        <v>Hydrogen</v>
      </c>
      <c r="D54" s="842" t="str">
        <f t="shared" ca="1" si="7"/>
        <v>wt%</v>
      </c>
      <c r="E54" s="842">
        <f ca="1">HydroRefineryCalcs!F32</f>
        <v>12.931648905131908</v>
      </c>
      <c r="F54" s="842">
        <f ca="1">'Assay Inventory'!F19</f>
        <v>15.321692746753095</v>
      </c>
      <c r="G54" s="842">
        <f ca="1">I92</f>
        <v>13.50174052285624</v>
      </c>
      <c r="H54" s="842">
        <f ca="1">I93</f>
        <v>12.638480433923533</v>
      </c>
      <c r="I54" s="842">
        <f ca="1">I94</f>
        <v>12.394831175477645</v>
      </c>
      <c r="J54" s="842">
        <f ca="1">I95</f>
        <v>12.331915988948833</v>
      </c>
      <c r="K54" s="337">
        <f ca="1">I96</f>
        <v>1E-14</v>
      </c>
      <c r="L54" s="842"/>
      <c r="M54" s="442" t="s">
        <v>500</v>
      </c>
      <c r="N54" s="842"/>
      <c r="O54" s="882">
        <f>Constants!H23</f>
        <v>2</v>
      </c>
      <c r="P54" s="337" t="s">
        <v>496</v>
      </c>
      <c r="Q54" s="842"/>
      <c r="R54" s="842"/>
      <c r="S54" s="184"/>
      <c r="T54" s="184"/>
      <c r="U54" s="184"/>
      <c r="V54" s="184"/>
      <c r="W54" s="184"/>
      <c r="X54" s="184"/>
      <c r="Y54" s="842"/>
      <c r="Z54" s="842"/>
      <c r="AA54" s="2209"/>
      <c r="AB54" s="2209"/>
      <c r="AC54" s="346"/>
    </row>
    <row r="55" spans="1:29" ht="18.75" customHeight="1" x14ac:dyDescent="0.2">
      <c r="A55" s="341"/>
      <c r="B55" s="345"/>
      <c r="C55" s="442" t="str">
        <f t="shared" si="6"/>
        <v>MCR</v>
      </c>
      <c r="D55" s="842" t="str">
        <f t="shared" ca="1" si="7"/>
        <v>wt%</v>
      </c>
      <c r="E55" s="842">
        <f ca="1">HydroRefineryCalcs!F33</f>
        <v>1.2</v>
      </c>
      <c r="F55" s="842" t="str">
        <f ca="1">'Assay Inventory'!F20</f>
        <v/>
      </c>
      <c r="G55" s="842"/>
      <c r="H55" s="842"/>
      <c r="I55" s="842"/>
      <c r="J55" s="842"/>
      <c r="K55" s="337">
        <f ca="1">'Assay Inventory'!N20</f>
        <v>4.4374255523499508</v>
      </c>
      <c r="L55" s="842"/>
      <c r="M55" s="442" t="s">
        <v>500</v>
      </c>
      <c r="N55" s="842"/>
      <c r="O55" s="842">
        <f>O54*'Energy &amp; Unit Conversions'!G79/'Energy &amp; Unit Conversions'!G80</f>
        <v>5.7060201663906494</v>
      </c>
      <c r="P55" s="337" t="s">
        <v>581</v>
      </c>
      <c r="Q55" s="842"/>
      <c r="R55" s="842"/>
      <c r="S55" s="184"/>
      <c r="T55" s="184"/>
      <c r="U55" s="184"/>
      <c r="V55" s="184"/>
      <c r="W55" s="184"/>
      <c r="X55" s="184"/>
      <c r="Y55" s="842"/>
      <c r="Z55" s="842"/>
      <c r="AA55" s="2209"/>
      <c r="AB55" s="2209"/>
      <c r="AC55" s="346"/>
    </row>
    <row r="56" spans="1:29" ht="18.75" customHeight="1" x14ac:dyDescent="0.2">
      <c r="A56" s="341"/>
      <c r="B56" s="345"/>
      <c r="C56" s="443" t="str">
        <f t="shared" si="6"/>
        <v>Characterization Factor</v>
      </c>
      <c r="D56" s="334" t="str">
        <f t="shared" ca="1" si="7"/>
        <v xml:space="preserve">Kw (Approximate) </v>
      </c>
      <c r="E56" s="334">
        <f ca="1">HydroRefineryCalcs!F34</f>
        <v>11.700153491056373</v>
      </c>
      <c r="F56" s="334">
        <f ca="1">'Assay Inventory'!F21</f>
        <v>11.603591066684944</v>
      </c>
      <c r="G56" s="334">
        <f ca="1">K92</f>
        <v>11.538317381501683</v>
      </c>
      <c r="H56" s="334">
        <f ca="1">K93</f>
        <v>11.509389111178722</v>
      </c>
      <c r="I56" s="334">
        <f ca="1">K94</f>
        <v>11.54160038101978</v>
      </c>
      <c r="J56" s="334">
        <f ca="1">K95</f>
        <v>11.585905176337844</v>
      </c>
      <c r="K56" s="338">
        <f ca="1">K96</f>
        <v>1E-14</v>
      </c>
      <c r="L56" s="842"/>
      <c r="M56" s="442" t="s">
        <v>501</v>
      </c>
      <c r="N56" s="842"/>
      <c r="O56" s="842">
        <f ca="1">O55*J48</f>
        <v>10144.609327142649</v>
      </c>
      <c r="P56" s="337" t="s">
        <v>622</v>
      </c>
      <c r="Q56" s="842"/>
      <c r="R56" s="842"/>
      <c r="S56" s="184"/>
      <c r="T56" s="184"/>
      <c r="U56" s="184"/>
      <c r="V56" s="184"/>
      <c r="W56" s="184"/>
      <c r="X56" s="184"/>
      <c r="Y56" s="842"/>
      <c r="Z56" s="842"/>
      <c r="AA56" s="2209"/>
      <c r="AB56" s="2209"/>
      <c r="AC56" s="346"/>
    </row>
    <row r="57" spans="1:29" ht="18.75" customHeight="1" x14ac:dyDescent="0.2">
      <c r="A57" s="341"/>
      <c r="B57" s="345"/>
      <c r="C57" s="437"/>
      <c r="D57" s="842"/>
      <c r="E57" s="842"/>
      <c r="F57" s="842"/>
      <c r="G57" s="842"/>
      <c r="H57" s="842"/>
      <c r="I57" s="842"/>
      <c r="J57" s="842"/>
      <c r="K57" s="842"/>
      <c r="L57" s="842"/>
      <c r="M57" s="442" t="s">
        <v>1448</v>
      </c>
      <c r="N57" s="842"/>
      <c r="O57" s="882">
        <f>Constants!H24</f>
        <v>10</v>
      </c>
      <c r="P57" s="337" t="s">
        <v>496</v>
      </c>
      <c r="Q57" s="359"/>
      <c r="R57" s="842"/>
      <c r="S57" s="184"/>
      <c r="T57" s="184"/>
      <c r="U57" s="184"/>
      <c r="V57" s="184"/>
      <c r="W57" s="184"/>
      <c r="X57" s="184"/>
      <c r="Y57" s="842"/>
      <c r="Z57" s="842"/>
      <c r="AA57" s="2209"/>
      <c r="AB57" s="2209"/>
      <c r="AC57" s="346"/>
    </row>
    <row r="58" spans="1:29" ht="18.75" customHeight="1" x14ac:dyDescent="0.2">
      <c r="A58" s="341"/>
      <c r="B58" s="345"/>
      <c r="C58" s="437"/>
      <c r="D58" s="842"/>
      <c r="E58" s="842"/>
      <c r="F58" s="842"/>
      <c r="G58" s="842"/>
      <c r="H58" s="842"/>
      <c r="I58" s="842"/>
      <c r="J58" s="842"/>
      <c r="K58" s="842"/>
      <c r="L58" s="842"/>
      <c r="M58" s="442" t="s">
        <v>1448</v>
      </c>
      <c r="N58" s="842"/>
      <c r="O58" s="842">
        <f>O57*'Energy &amp; Unit Conversions'!G79/'Energy &amp; Unit Conversions'!G80</f>
        <v>28.530100831953249</v>
      </c>
      <c r="P58" s="337" t="s">
        <v>581</v>
      </c>
      <c r="Q58" s="359"/>
      <c r="R58" s="842"/>
      <c r="S58" s="184"/>
      <c r="T58" s="184"/>
      <c r="U58" s="184"/>
      <c r="V58" s="184"/>
      <c r="W58" s="184"/>
      <c r="X58" s="184"/>
      <c r="Y58" s="842"/>
      <c r="Z58" s="842"/>
      <c r="AA58" s="2209"/>
      <c r="AB58" s="2209"/>
      <c r="AC58" s="346"/>
    </row>
    <row r="59" spans="1:29" ht="18.75" customHeight="1" x14ac:dyDescent="0.2">
      <c r="A59" s="341"/>
      <c r="B59" s="345"/>
      <c r="C59" s="437"/>
      <c r="D59" s="842"/>
      <c r="E59" s="842"/>
      <c r="F59" s="842"/>
      <c r="G59" s="842"/>
      <c r="H59" s="842"/>
      <c r="I59" s="842"/>
      <c r="J59" s="842"/>
      <c r="K59" s="842"/>
      <c r="L59" s="842"/>
      <c r="M59" s="442" t="s">
        <v>1449</v>
      </c>
      <c r="N59" s="842"/>
      <c r="O59" s="882">
        <f ca="1">IF(HydroRefineryConfig=0,O58*'HydroRefineryPFD '!AN291,O58*K48)</f>
        <v>128085.66013166148</v>
      </c>
      <c r="P59" s="337" t="s">
        <v>622</v>
      </c>
      <c r="Q59" s="842"/>
      <c r="R59" s="842"/>
      <c r="S59" s="184"/>
      <c r="T59" s="184"/>
      <c r="U59" s="184"/>
      <c r="V59" s="184"/>
      <c r="W59" s="184"/>
      <c r="X59" s="842"/>
      <c r="Y59" s="842"/>
      <c r="Z59" s="842"/>
      <c r="AA59" s="2209"/>
      <c r="AB59" s="2209"/>
      <c r="AC59" s="346"/>
    </row>
    <row r="60" spans="1:29" ht="18.75" customHeight="1" x14ac:dyDescent="0.2">
      <c r="A60" s="341"/>
      <c r="B60" s="345"/>
      <c r="C60" s="437"/>
      <c r="D60" s="842"/>
      <c r="E60" s="842"/>
      <c r="F60" s="842"/>
      <c r="G60" s="842"/>
      <c r="H60" s="842"/>
      <c r="I60" s="842"/>
      <c r="J60" s="842"/>
      <c r="K60" s="842"/>
      <c r="L60" s="842"/>
      <c r="M60" s="442" t="s">
        <v>455</v>
      </c>
      <c r="N60" s="842"/>
      <c r="O60" s="842">
        <f ca="1">O50+O53+O56+O59</f>
        <v>234125.01147811377</v>
      </c>
      <c r="P60" s="337" t="s">
        <v>622</v>
      </c>
      <c r="Q60" s="842"/>
      <c r="R60" s="842"/>
      <c r="S60" s="842"/>
      <c r="T60" s="842"/>
      <c r="U60" s="842"/>
      <c r="V60" s="842"/>
      <c r="W60" s="842"/>
      <c r="X60" s="842"/>
      <c r="Y60" s="842"/>
      <c r="Z60" s="842"/>
      <c r="AA60" s="2209"/>
      <c r="AB60" s="2209"/>
      <c r="AC60" s="346"/>
    </row>
    <row r="61" spans="1:29" ht="18.75" customHeight="1" x14ac:dyDescent="0.2">
      <c r="A61" s="341"/>
      <c r="B61" s="345"/>
      <c r="C61" s="437"/>
      <c r="D61" s="842"/>
      <c r="E61" s="842"/>
      <c r="F61" s="842"/>
      <c r="G61" s="842"/>
      <c r="H61" s="842"/>
      <c r="I61" s="842"/>
      <c r="J61" s="842"/>
      <c r="K61" s="842"/>
      <c r="L61" s="842"/>
      <c r="M61" s="442" t="s">
        <v>451</v>
      </c>
      <c r="N61" s="842"/>
      <c r="O61" s="882">
        <f>Constants!H18</f>
        <v>0.09</v>
      </c>
      <c r="P61" s="337" t="s">
        <v>665</v>
      </c>
      <c r="Q61" s="842"/>
      <c r="R61" s="842"/>
      <c r="S61" s="842"/>
      <c r="T61" s="842"/>
      <c r="U61" s="842"/>
      <c r="V61" s="842"/>
      <c r="W61" s="842"/>
      <c r="X61" s="842"/>
      <c r="Y61" s="842"/>
      <c r="Z61" s="842"/>
      <c r="AA61" s="2209"/>
      <c r="AB61" s="2209"/>
      <c r="AC61" s="346"/>
    </row>
    <row r="62" spans="1:29" ht="18.75" customHeight="1" x14ac:dyDescent="0.2">
      <c r="A62" s="341"/>
      <c r="B62" s="345"/>
      <c r="C62" s="437"/>
      <c r="D62" s="842"/>
      <c r="E62" s="842"/>
      <c r="F62" s="842"/>
      <c r="G62" s="842"/>
      <c r="H62" s="842"/>
      <c r="I62" s="842"/>
      <c r="J62" s="842"/>
      <c r="K62" s="842"/>
      <c r="L62" s="842"/>
      <c r="M62" s="442" t="s">
        <v>451</v>
      </c>
      <c r="N62" s="842"/>
      <c r="O62" s="842">
        <f>O61/'Energy &amp; Unit Conversions'!G80</f>
        <v>0.56608295127975627</v>
      </c>
      <c r="P62" s="337" t="s">
        <v>629</v>
      </c>
      <c r="Q62" s="842"/>
      <c r="R62" s="842"/>
      <c r="S62" s="842"/>
      <c r="T62" s="842"/>
      <c r="U62" s="842"/>
      <c r="V62" s="842"/>
      <c r="W62" s="842"/>
      <c r="X62" s="842"/>
      <c r="Y62" s="842"/>
      <c r="Z62" s="842"/>
      <c r="AA62" s="2209"/>
      <c r="AB62" s="2209"/>
      <c r="AC62" s="346"/>
    </row>
    <row r="63" spans="1:29" ht="18.75" customHeight="1" x14ac:dyDescent="0.2">
      <c r="A63" s="341"/>
      <c r="B63" s="345"/>
      <c r="C63" s="437"/>
      <c r="D63" s="842"/>
      <c r="E63" s="842"/>
      <c r="F63" s="842"/>
      <c r="G63" s="842"/>
      <c r="H63" s="842"/>
      <c r="I63" s="842"/>
      <c r="J63" s="842"/>
      <c r="K63" s="842"/>
      <c r="L63" s="842"/>
      <c r="M63" s="443" t="s">
        <v>452</v>
      </c>
      <c r="N63" s="334"/>
      <c r="O63" s="334">
        <f ca="1">O62*E48</f>
        <v>8926.7007354846992</v>
      </c>
      <c r="P63" s="338" t="s">
        <v>627</v>
      </c>
      <c r="Q63" s="842"/>
      <c r="R63" s="842"/>
      <c r="S63" s="842"/>
      <c r="T63" s="842"/>
      <c r="U63" s="842"/>
      <c r="V63" s="842"/>
      <c r="W63" s="842"/>
      <c r="X63" s="842"/>
      <c r="Y63" s="842"/>
      <c r="Z63" s="842"/>
      <c r="AA63" s="2209"/>
      <c r="AB63" s="2209"/>
      <c r="AC63" s="346"/>
    </row>
    <row r="64" spans="1:29" ht="18.75" customHeight="1" x14ac:dyDescent="0.2">
      <c r="A64" s="341"/>
      <c r="B64" s="345"/>
      <c r="C64" s="437"/>
      <c r="D64" s="842"/>
      <c r="E64" s="842"/>
      <c r="F64" s="842"/>
      <c r="G64" s="842"/>
      <c r="H64" s="842"/>
      <c r="I64" s="842"/>
      <c r="J64" s="842"/>
      <c r="K64" s="842"/>
      <c r="L64" s="842"/>
      <c r="M64" s="842"/>
      <c r="N64" s="842"/>
      <c r="O64" s="842"/>
      <c r="P64" s="842"/>
      <c r="Q64" s="842"/>
      <c r="R64" s="842"/>
      <c r="S64" s="842"/>
      <c r="T64" s="842"/>
      <c r="U64" s="842"/>
      <c r="V64" s="842"/>
      <c r="W64" s="842"/>
      <c r="X64" s="842"/>
      <c r="Y64" s="842"/>
      <c r="Z64" s="842"/>
      <c r="AA64" s="2209"/>
      <c r="AB64" s="2209"/>
      <c r="AC64" s="346"/>
    </row>
    <row r="65" spans="1:29" ht="18.75" customHeight="1" x14ac:dyDescent="0.2">
      <c r="A65" s="341"/>
      <c r="B65" s="345"/>
      <c r="C65" s="843" t="s">
        <v>283</v>
      </c>
      <c r="D65" s="842"/>
      <c r="E65" s="842"/>
      <c r="F65" s="842"/>
      <c r="G65" s="842"/>
      <c r="H65" s="842"/>
      <c r="I65" s="842"/>
      <c r="J65" s="842"/>
      <c r="K65" s="842"/>
      <c r="L65" s="842"/>
      <c r="M65" s="842"/>
      <c r="N65" s="842"/>
      <c r="O65" s="842"/>
      <c r="P65" s="842"/>
      <c r="Q65" s="842"/>
      <c r="R65" s="842"/>
      <c r="S65" s="842"/>
      <c r="T65" s="842"/>
      <c r="U65" s="842"/>
      <c r="V65" s="842"/>
      <c r="W65" s="842"/>
      <c r="X65" s="842"/>
      <c r="Y65" s="842"/>
      <c r="Z65" s="842"/>
      <c r="AA65" s="2209"/>
      <c r="AB65" s="2209"/>
      <c r="AC65" s="346"/>
    </row>
    <row r="66" spans="1:29" ht="18.75" customHeight="1" x14ac:dyDescent="0.2">
      <c r="A66" s="341"/>
      <c r="B66" s="345"/>
      <c r="C66" s="441"/>
      <c r="D66" s="356" t="s">
        <v>1197</v>
      </c>
      <c r="E66" s="356" t="s">
        <v>1198</v>
      </c>
      <c r="F66" s="356" t="s">
        <v>1199</v>
      </c>
      <c r="G66" s="356" t="s">
        <v>663</v>
      </c>
      <c r="H66" s="356" t="s">
        <v>784</v>
      </c>
      <c r="I66" s="356" t="s">
        <v>662</v>
      </c>
      <c r="J66" s="357" t="s">
        <v>806</v>
      </c>
      <c r="K66" s="842"/>
      <c r="L66" s="839"/>
      <c r="M66" s="839"/>
      <c r="N66" s="839"/>
      <c r="O66" s="839"/>
      <c r="P66" s="839"/>
      <c r="Q66" s="842"/>
      <c r="R66" s="842"/>
      <c r="S66" s="842"/>
      <c r="T66" s="842"/>
      <c r="U66" s="842"/>
      <c r="V66" s="842"/>
      <c r="W66" s="842"/>
      <c r="X66" s="842"/>
      <c r="Y66" s="842"/>
      <c r="Z66" s="842"/>
      <c r="AA66" s="2209"/>
      <c r="AB66" s="2209"/>
      <c r="AC66" s="346"/>
    </row>
    <row r="67" spans="1:29" ht="18.75" customHeight="1" x14ac:dyDescent="0.2">
      <c r="A67" s="341"/>
      <c r="B67" s="345"/>
      <c r="C67" s="442" t="s">
        <v>572</v>
      </c>
      <c r="D67" s="842">
        <f ca="1">'Assay Inventory'!G12</f>
        <v>17316.22160970941</v>
      </c>
      <c r="E67" s="842">
        <f ca="1">'Assay Inventory'!G14</f>
        <v>2157056.7659129584</v>
      </c>
      <c r="F67" s="842">
        <f ca="1">'Assay Inventory'!G18</f>
        <v>783.45005394033024</v>
      </c>
      <c r="G67" s="842">
        <f ca="1">'Assay Inventory'!G15</f>
        <v>0</v>
      </c>
      <c r="H67" s="842">
        <f ca="1">'Assay Inventory'!G16</f>
        <v>0</v>
      </c>
      <c r="I67" s="842">
        <f ca="1">'Assay Inventory'!G19</f>
        <v>13.50174052285624</v>
      </c>
      <c r="J67" s="337">
        <f ca="1">'Assay Inventory'!G21</f>
        <v>11.538317381501681</v>
      </c>
      <c r="K67" s="842"/>
      <c r="L67" s="842"/>
      <c r="M67" s="842"/>
      <c r="N67" s="842"/>
      <c r="O67" s="842"/>
      <c r="P67" s="842"/>
      <c r="Q67" s="842"/>
      <c r="R67" s="842"/>
      <c r="S67" s="842"/>
      <c r="T67" s="842"/>
      <c r="U67" s="842"/>
      <c r="V67" s="842"/>
      <c r="W67" s="842"/>
      <c r="X67" s="842"/>
      <c r="Y67" s="842"/>
      <c r="Z67" s="842"/>
      <c r="AA67" s="2209"/>
      <c r="AB67" s="2209"/>
      <c r="AC67" s="346"/>
    </row>
    <row r="68" spans="1:29" ht="18.75" customHeight="1" x14ac:dyDescent="0.2">
      <c r="A68" s="341"/>
      <c r="B68" s="345"/>
      <c r="C68" s="442" t="s">
        <v>530</v>
      </c>
      <c r="D68" s="842">
        <f ca="1">'Assay Inventory'!H12</f>
        <v>26885.40784502351</v>
      </c>
      <c r="E68" s="842">
        <f ca="1">'Assay Inventory'!H14</f>
        <v>3607246.9722799896</v>
      </c>
      <c r="F68" s="842">
        <f ca="1">'Assay Inventory'!H18</f>
        <v>843.84391736776865</v>
      </c>
      <c r="G68" s="842">
        <f ca="1">'Assay Inventory'!H15</f>
        <v>6.487028883905413E-2</v>
      </c>
      <c r="H68" s="842">
        <f ca="1">'Assay Inventory'!H16</f>
        <v>0</v>
      </c>
      <c r="I68" s="842">
        <f ca="1">'Assay Inventory'!H19</f>
        <v>12.638480433923334</v>
      </c>
      <c r="J68" s="337">
        <f ca="1">'Assay Inventory'!H21</f>
        <v>11.509389111178706</v>
      </c>
      <c r="K68" s="842"/>
      <c r="L68" s="842"/>
      <c r="M68" s="842"/>
      <c r="N68" s="842"/>
      <c r="O68" s="842"/>
      <c r="P68" s="842"/>
      <c r="Q68" s="842"/>
      <c r="R68" s="842"/>
      <c r="S68" s="842"/>
      <c r="T68" s="842"/>
      <c r="U68" s="842"/>
      <c r="V68" s="842"/>
      <c r="W68" s="842"/>
      <c r="X68" s="842"/>
      <c r="Y68" s="842"/>
      <c r="Z68" s="842"/>
      <c r="AA68" s="2209"/>
      <c r="AB68" s="2209"/>
      <c r="AC68" s="346"/>
    </row>
    <row r="69" spans="1:29" ht="18.75" customHeight="1" x14ac:dyDescent="0.2">
      <c r="A69" s="341"/>
      <c r="B69" s="345"/>
      <c r="C69" s="442" t="s">
        <v>573</v>
      </c>
      <c r="D69" s="842">
        <f ca="1">'Assay Inventory'!I12</f>
        <v>12524.817625479878</v>
      </c>
      <c r="E69" s="842">
        <f ca="1">'Assay Inventory'!I14</f>
        <v>1757731.9563253336</v>
      </c>
      <c r="F69" s="842">
        <f ca="1">'Assay Inventory'!I18</f>
        <v>882.64103277804918</v>
      </c>
      <c r="G69" s="842">
        <f ca="1">'Assay Inventory'!I15</f>
        <v>0.1510983114584932</v>
      </c>
      <c r="H69" s="842">
        <f ca="1">'Assay Inventory'!I16</f>
        <v>147.76502983461546</v>
      </c>
      <c r="I69" s="842">
        <f ca="1">'Assay Inventory'!I19</f>
        <v>12.394831175477673</v>
      </c>
      <c r="J69" s="337">
        <f ca="1">'Assay Inventory'!I21</f>
        <v>11.541600381019759</v>
      </c>
      <c r="K69" s="842"/>
      <c r="L69" s="842"/>
      <c r="M69" s="842"/>
      <c r="N69" s="842"/>
      <c r="O69" s="842"/>
      <c r="P69" s="842"/>
      <c r="Q69" s="842"/>
      <c r="R69" s="842"/>
      <c r="S69" s="842"/>
      <c r="T69" s="842"/>
      <c r="U69" s="842"/>
      <c r="V69" s="842"/>
      <c r="W69" s="842"/>
      <c r="X69" s="842"/>
      <c r="Y69" s="842"/>
      <c r="Z69" s="842"/>
      <c r="AA69" s="2209"/>
      <c r="AB69" s="2209"/>
      <c r="AC69" s="346"/>
    </row>
    <row r="70" spans="1:29" ht="18.75" customHeight="1" x14ac:dyDescent="0.2">
      <c r="A70" s="341"/>
      <c r="B70" s="345"/>
      <c r="C70" s="442" t="s">
        <v>574</v>
      </c>
      <c r="D70" s="842">
        <f ca="1">'Assay Inventory'!J12</f>
        <v>11182.517606223304</v>
      </c>
      <c r="E70" s="842">
        <f ca="1">'Assay Inventory'!J14</f>
        <v>1609417.4951285068</v>
      </c>
      <c r="F70" s="842">
        <f ca="1">'Assay Inventory'!J18</f>
        <v>905.17385863429718</v>
      </c>
      <c r="G70" s="842">
        <f ca="1">'Assay Inventory'!J15</f>
        <v>0.21055860465850654</v>
      </c>
      <c r="H70" s="842">
        <f ca="1">'Assay Inventory'!J16</f>
        <v>573.33295706164199</v>
      </c>
      <c r="I70" s="842">
        <f ca="1">'Assay Inventory'!J19</f>
        <v>12.331915988948797</v>
      </c>
      <c r="J70" s="337">
        <f ca="1">'Assay Inventory'!J21</f>
        <v>11.585905176337866</v>
      </c>
      <c r="K70" s="842"/>
      <c r="L70" s="842"/>
      <c r="M70" s="842"/>
      <c r="N70" s="842"/>
      <c r="O70" s="842"/>
      <c r="P70" s="842"/>
      <c r="Q70" s="842"/>
      <c r="R70" s="842"/>
      <c r="S70" s="842"/>
      <c r="T70" s="842"/>
      <c r="U70" s="842"/>
      <c r="V70" s="842"/>
      <c r="W70" s="842"/>
      <c r="X70" s="842"/>
      <c r="Y70" s="842"/>
      <c r="Z70" s="842"/>
      <c r="AA70" s="2209"/>
      <c r="AB70" s="2209"/>
      <c r="AC70" s="346"/>
    </row>
    <row r="71" spans="1:29" ht="18.75" customHeight="1" x14ac:dyDescent="0.2">
      <c r="A71" s="341"/>
      <c r="B71" s="345"/>
      <c r="C71" s="442" t="s">
        <v>1200</v>
      </c>
      <c r="D71" s="842">
        <f ca="1">SUM(D67:D70)</f>
        <v>67908.964686436098</v>
      </c>
      <c r="E71" s="842">
        <f ca="1">SUM(E67:E70)</f>
        <v>9131453.1896467879</v>
      </c>
      <c r="F71" s="842"/>
      <c r="G71" s="842"/>
      <c r="H71" s="842"/>
      <c r="I71" s="842"/>
      <c r="J71" s="337"/>
      <c r="K71" s="842"/>
      <c r="L71" s="842"/>
      <c r="M71" s="842"/>
      <c r="N71" s="842"/>
      <c r="O71" s="842"/>
      <c r="P71" s="842"/>
      <c r="Q71" s="842"/>
      <c r="R71" s="842"/>
      <c r="S71" s="842"/>
      <c r="T71" s="842"/>
      <c r="U71" s="842"/>
      <c r="V71" s="842"/>
      <c r="W71" s="842"/>
      <c r="X71" s="842"/>
      <c r="Y71" s="842"/>
      <c r="Z71" s="842"/>
      <c r="AA71" s="2209"/>
      <c r="AB71" s="2209"/>
      <c r="AC71" s="346"/>
    </row>
    <row r="72" spans="1:29" ht="18.75" customHeight="1" x14ac:dyDescent="0.2">
      <c r="A72" s="341"/>
      <c r="B72" s="345"/>
      <c r="C72" s="452"/>
      <c r="D72" s="334"/>
      <c r="E72" s="335">
        <f ca="1">E71+'Assay Inventory'!N14</f>
        <v>12832877.48854051</v>
      </c>
      <c r="F72" s="334"/>
      <c r="G72" s="334"/>
      <c r="H72" s="334"/>
      <c r="I72" s="334"/>
      <c r="J72" s="338"/>
      <c r="K72" s="842"/>
      <c r="L72" s="842"/>
      <c r="M72" s="842"/>
      <c r="N72" s="842"/>
      <c r="O72" s="842"/>
      <c r="P72" s="842"/>
      <c r="Q72" s="842"/>
      <c r="R72" s="842"/>
      <c r="S72" s="842"/>
      <c r="T72" s="842"/>
      <c r="U72" s="842"/>
      <c r="V72" s="842"/>
      <c r="W72" s="842"/>
      <c r="X72" s="842"/>
      <c r="Y72" s="842"/>
      <c r="Z72" s="842"/>
      <c r="AA72" s="2209"/>
      <c r="AB72" s="2209"/>
      <c r="AC72" s="346"/>
    </row>
    <row r="73" spans="1:29" ht="18.75" customHeight="1" x14ac:dyDescent="0.2">
      <c r="A73" s="341"/>
      <c r="B73" s="345"/>
      <c r="C73" s="437"/>
      <c r="D73" s="842"/>
      <c r="E73" s="842"/>
      <c r="F73" s="842"/>
      <c r="G73" s="842"/>
      <c r="H73" s="842"/>
      <c r="I73" s="842"/>
      <c r="J73" s="842"/>
      <c r="K73" s="842"/>
      <c r="L73" s="842"/>
      <c r="M73" s="842"/>
      <c r="N73" s="842"/>
      <c r="O73" s="842"/>
      <c r="P73" s="842"/>
      <c r="Q73" s="842"/>
      <c r="R73" s="842"/>
      <c r="S73" s="842"/>
      <c r="T73" s="842"/>
      <c r="U73" s="842"/>
      <c r="V73" s="842"/>
      <c r="W73" s="842"/>
      <c r="X73" s="842"/>
      <c r="Y73" s="842"/>
      <c r="Z73" s="842"/>
      <c r="AA73" s="2209"/>
      <c r="AB73" s="2209"/>
      <c r="AC73" s="346"/>
    </row>
    <row r="74" spans="1:29" ht="18.75" customHeight="1" x14ac:dyDescent="0.2">
      <c r="A74" s="341"/>
      <c r="B74" s="345"/>
      <c r="C74" s="843" t="s">
        <v>1298</v>
      </c>
      <c r="D74" s="842"/>
      <c r="E74" s="842"/>
      <c r="F74" s="842"/>
      <c r="G74" s="842"/>
      <c r="H74" s="842"/>
      <c r="I74" s="842"/>
      <c r="J74" s="842"/>
      <c r="K74" s="842"/>
      <c r="L74" s="842"/>
      <c r="M74" s="842"/>
      <c r="N74" s="842"/>
      <c r="O74" s="842"/>
      <c r="P74" s="842"/>
      <c r="Q74" s="842"/>
      <c r="R74" s="842"/>
      <c r="S74" s="842"/>
      <c r="T74" s="842"/>
      <c r="U74" s="842"/>
      <c r="V74" s="842"/>
      <c r="W74" s="842"/>
      <c r="X74" s="842"/>
      <c r="Y74" s="842"/>
      <c r="Z74" s="842"/>
      <c r="AA74" s="2209"/>
      <c r="AB74" s="2209"/>
      <c r="AC74" s="346"/>
    </row>
    <row r="75" spans="1:29" ht="18.75" customHeight="1" x14ac:dyDescent="0.2">
      <c r="A75" s="341"/>
      <c r="B75" s="345"/>
      <c r="C75" s="454"/>
      <c r="D75" s="368"/>
      <c r="E75" s="368"/>
      <c r="F75" s="368"/>
      <c r="G75" s="356" t="s">
        <v>292</v>
      </c>
      <c r="H75" s="356" t="s">
        <v>293</v>
      </c>
      <c r="I75" s="356" t="s">
        <v>294</v>
      </c>
      <c r="J75" s="356" t="s">
        <v>663</v>
      </c>
      <c r="K75" s="356" t="s">
        <v>784</v>
      </c>
      <c r="L75" s="356" t="s">
        <v>662</v>
      </c>
      <c r="M75" s="357" t="s">
        <v>806</v>
      </c>
      <c r="N75" s="842"/>
      <c r="O75" s="842"/>
      <c r="P75" s="842"/>
      <c r="Q75" s="842"/>
      <c r="R75" s="842"/>
      <c r="S75" s="842"/>
      <c r="T75" s="842"/>
      <c r="U75" s="842"/>
      <c r="V75" s="842"/>
      <c r="W75" s="842"/>
      <c r="X75" s="842"/>
      <c r="Y75" s="842"/>
      <c r="Z75" s="842"/>
      <c r="AA75" s="2209"/>
      <c r="AB75" s="2209"/>
      <c r="AC75" s="346"/>
    </row>
    <row r="76" spans="1:29" ht="18.75" customHeight="1" x14ac:dyDescent="0.2">
      <c r="A76" s="341"/>
      <c r="B76" s="345"/>
      <c r="C76" s="442" t="s">
        <v>1201</v>
      </c>
      <c r="D76" s="842">
        <f>HydroRefineryControls!C6</f>
        <v>1E-10</v>
      </c>
      <c r="E76" s="842" t="s">
        <v>1194</v>
      </c>
      <c r="F76" s="839" t="s">
        <v>1202</v>
      </c>
      <c r="G76" s="842">
        <f ca="1">D76/100*D67+D77/100*D68</f>
        <v>1.7316221609709408E-8</v>
      </c>
      <c r="H76" s="842">
        <f ca="1">D76/100*E67+D77/100*E68</f>
        <v>2.1570567659129582E-6</v>
      </c>
      <c r="I76" s="842">
        <f ca="1">H76/G76/'Energy &amp; Unit Conversions'!G80</f>
        <v>783.51263639619344</v>
      </c>
      <c r="J76" s="842">
        <f ca="1">(D76/100*E67*G67+D77/100*E68*G68)/H76</f>
        <v>0</v>
      </c>
      <c r="K76" s="842">
        <f ca="1">(D76/100*E67*H67+D77/100*E68*H68)/H76</f>
        <v>0</v>
      </c>
      <c r="L76" s="842">
        <f ca="1">(D76/100*E67*I67+D77/100*E68*I68)/H76</f>
        <v>13.50174052285624</v>
      </c>
      <c r="M76" s="337">
        <f ca="1">(D76/100*E67*J67+D77/100*E68*J68)/H76</f>
        <v>11.538317381501681</v>
      </c>
      <c r="N76" s="842"/>
      <c r="O76" s="842"/>
      <c r="P76" s="842"/>
      <c r="Q76" s="842"/>
      <c r="R76" s="842"/>
      <c r="S76" s="842"/>
      <c r="T76" s="842"/>
      <c r="U76" s="842"/>
      <c r="V76" s="842"/>
      <c r="W76" s="842"/>
      <c r="X76" s="842"/>
      <c r="Y76" s="842"/>
      <c r="Z76" s="842"/>
      <c r="AA76" s="2209"/>
      <c r="AB76" s="2209"/>
      <c r="AC76" s="346"/>
    </row>
    <row r="77" spans="1:29" ht="18.75" customHeight="1" x14ac:dyDescent="0.2">
      <c r="A77" s="341"/>
      <c r="B77" s="345"/>
      <c r="C77" s="442" t="s">
        <v>1203</v>
      </c>
      <c r="D77" s="2169">
        <f>HydroRefineryControls!C7</f>
        <v>0</v>
      </c>
      <c r="E77" s="842" t="s">
        <v>1194</v>
      </c>
      <c r="F77" s="839" t="s">
        <v>1204</v>
      </c>
      <c r="G77" s="842">
        <f ca="1">D77/100*D68+D78/100*D69</f>
        <v>1.2524817625479879E-8</v>
      </c>
      <c r="H77" s="842">
        <f ca="1">D77/100*E68+D78/100*E69</f>
        <v>1.7577319563253335E-6</v>
      </c>
      <c r="I77" s="842">
        <f ca="1">H77/G77/'Energy &amp; Unit Conversions'!G80</f>
        <v>882.71153866824466</v>
      </c>
      <c r="J77" s="842">
        <f ca="1">(D77/100*E68*G68+D78/100*E69*G69)/H77</f>
        <v>0.1510983114584932</v>
      </c>
      <c r="K77" s="842">
        <f ca="1">(D77/100*E68*H68+D78/100*E69*H69)/H77</f>
        <v>147.76502983461546</v>
      </c>
      <c r="L77" s="842">
        <f ca="1">(D77/100*E68*I68+D78/100*E69*I69)/H77</f>
        <v>12.394831175477673</v>
      </c>
      <c r="M77" s="337">
        <f ca="1">(D77/100*E68*J68+D78/100*E69*J69)/H77</f>
        <v>11.541600381019759</v>
      </c>
      <c r="N77" s="842"/>
      <c r="O77" s="842"/>
      <c r="P77" s="842"/>
      <c r="Q77" s="842"/>
      <c r="R77" s="842"/>
      <c r="S77" s="842"/>
      <c r="T77" s="842"/>
      <c r="U77" s="842"/>
      <c r="V77" s="842"/>
      <c r="W77" s="842"/>
      <c r="X77" s="842"/>
      <c r="Y77" s="842"/>
      <c r="Z77" s="842"/>
      <c r="AA77" s="2209"/>
      <c r="AB77" s="2209"/>
      <c r="AC77" s="346"/>
    </row>
    <row r="78" spans="1:29" ht="18.75" customHeight="1" x14ac:dyDescent="0.2">
      <c r="A78" s="341"/>
      <c r="B78" s="345"/>
      <c r="C78" s="442" t="s">
        <v>1205</v>
      </c>
      <c r="D78" s="842">
        <f>HydroRefineryControls!C8</f>
        <v>1E-10</v>
      </c>
      <c r="E78" s="842" t="s">
        <v>1194</v>
      </c>
      <c r="F78" s="839" t="s">
        <v>1206</v>
      </c>
      <c r="G78" s="842">
        <f ca="1">D78/100*D69+D79/100*D70</f>
        <v>2.3707335231703182E-8</v>
      </c>
      <c r="H78" s="842">
        <f ca="1">D78/100*E69+D79/100*E70</f>
        <v>3.3671494514538405E-6</v>
      </c>
      <c r="I78" s="842">
        <f ca="1">H78/G78/'Energy &amp; Unit Conversions'!G80</f>
        <v>893.34090072868867</v>
      </c>
      <c r="J78" s="842">
        <f ca="1">(D78/100*E69*G69+D79/100*E70*G70)/H78</f>
        <v>0.17951891990527685</v>
      </c>
      <c r="K78" s="842">
        <f ca="1">(D78/100*E69*H69+D79/100*E70*H70)/H78</f>
        <v>351.17639524015868</v>
      </c>
      <c r="L78" s="842">
        <f ca="1">(D78/100*E69*I69+D79/100*E70*I70)/H78</f>
        <v>12.364759210045568</v>
      </c>
      <c r="M78" s="337">
        <f ca="1">(D78/100*E69*J69+D79/100*E70*J70)/H78</f>
        <v>11.562777021299938</v>
      </c>
      <c r="N78" s="842"/>
      <c r="O78" s="842"/>
      <c r="P78" s="842"/>
      <c r="Q78" s="842"/>
      <c r="R78" s="842"/>
      <c r="S78" s="842"/>
      <c r="T78" s="842"/>
      <c r="U78" s="842"/>
      <c r="V78" s="842"/>
      <c r="W78" s="842"/>
      <c r="X78" s="842"/>
      <c r="Y78" s="842"/>
      <c r="Z78" s="842"/>
      <c r="AA78" s="2209"/>
      <c r="AB78" s="2209"/>
      <c r="AC78" s="346"/>
    </row>
    <row r="79" spans="1:29" ht="18.75" customHeight="1" x14ac:dyDescent="0.2">
      <c r="A79" s="341"/>
      <c r="B79" s="345"/>
      <c r="C79" s="442" t="s">
        <v>1207</v>
      </c>
      <c r="D79" s="842">
        <f>HydroRefineryControls!C9</f>
        <v>1E-10</v>
      </c>
      <c r="E79" s="842" t="s">
        <v>1194</v>
      </c>
      <c r="F79" s="839" t="s">
        <v>1450</v>
      </c>
      <c r="G79" s="842">
        <f ca="1">D79/100*D70</f>
        <v>1.1182517606223303E-8</v>
      </c>
      <c r="H79" s="842">
        <f ca="1">D79/100*E70</f>
        <v>1.6094174951285068E-6</v>
      </c>
      <c r="I79" s="842">
        <f ca="1">H79/G79/'Energy &amp; Unit Conversions'!G80</f>
        <v>905.24616446001198</v>
      </c>
      <c r="J79" s="842">
        <f ca="1">(D79/100*G70*E70)/H79</f>
        <v>0.21055860465850654</v>
      </c>
      <c r="K79" s="842">
        <f ca="1">(D79/100*E70*H70)/H79</f>
        <v>573.33295706164199</v>
      </c>
      <c r="L79" s="842">
        <f ca="1">(D79/100*E70*I70)/H79</f>
        <v>12.331915988948797</v>
      </c>
      <c r="M79" s="337">
        <f ca="1">(D79/100*E70*J70)/H79</f>
        <v>11.585905176337866</v>
      </c>
      <c r="N79" s="842"/>
      <c r="O79" s="842"/>
      <c r="P79" s="842"/>
      <c r="Q79" s="842"/>
      <c r="R79" s="842"/>
      <c r="S79" s="842"/>
      <c r="T79" s="842"/>
      <c r="U79" s="842"/>
      <c r="V79" s="842"/>
      <c r="W79" s="842"/>
      <c r="X79" s="842"/>
      <c r="Y79" s="842"/>
      <c r="Z79" s="842"/>
      <c r="AA79" s="2209"/>
      <c r="AB79" s="2209"/>
      <c r="AC79" s="346"/>
    </row>
    <row r="80" spans="1:29" ht="18.75" customHeight="1" x14ac:dyDescent="0.2">
      <c r="A80" s="341"/>
      <c r="B80" s="345"/>
      <c r="C80" s="452"/>
      <c r="D80" s="334"/>
      <c r="E80" s="334"/>
      <c r="F80" s="335"/>
      <c r="G80" s="334">
        <f ca="1">SUM(G76:G79)</f>
        <v>6.4730892073115782E-8</v>
      </c>
      <c r="H80" s="334"/>
      <c r="I80" s="334"/>
      <c r="J80" s="334"/>
      <c r="K80" s="334"/>
      <c r="L80" s="334"/>
      <c r="M80" s="338"/>
      <c r="N80" s="842"/>
      <c r="O80" s="842"/>
      <c r="P80" s="842"/>
      <c r="Q80" s="842"/>
      <c r="R80" s="842"/>
      <c r="S80" s="842"/>
      <c r="T80" s="842"/>
      <c r="U80" s="842"/>
      <c r="V80" s="842"/>
      <c r="W80" s="842"/>
      <c r="X80" s="842"/>
      <c r="Y80" s="842"/>
      <c r="Z80" s="842"/>
      <c r="AA80" s="2209"/>
      <c r="AB80" s="2209"/>
      <c r="AC80" s="346"/>
    </row>
    <row r="81" spans="1:29" ht="18.75" customHeight="1" x14ac:dyDescent="0.2">
      <c r="A81" s="341"/>
      <c r="B81" s="345"/>
      <c r="C81" s="437"/>
      <c r="D81" s="842"/>
      <c r="E81" s="842"/>
      <c r="F81" s="842"/>
      <c r="G81" s="842"/>
      <c r="H81" s="842"/>
      <c r="I81" s="842"/>
      <c r="J81" s="842"/>
      <c r="K81" s="842"/>
      <c r="L81" s="842"/>
      <c r="M81" s="842"/>
      <c r="N81" s="842"/>
      <c r="O81" s="842"/>
      <c r="P81" s="842"/>
      <c r="Q81" s="842"/>
      <c r="R81" s="842"/>
      <c r="S81" s="842"/>
      <c r="T81" s="842"/>
      <c r="U81" s="842"/>
      <c r="V81" s="842"/>
      <c r="W81" s="842"/>
      <c r="X81" s="842"/>
      <c r="Y81" s="842"/>
      <c r="Z81" s="842"/>
      <c r="AA81" s="2209"/>
      <c r="AB81" s="2209"/>
      <c r="AC81" s="346"/>
    </row>
    <row r="82" spans="1:29" ht="18.75" customHeight="1" x14ac:dyDescent="0.2">
      <c r="A82" s="341"/>
      <c r="B82" s="345"/>
      <c r="C82" s="843" t="s">
        <v>285</v>
      </c>
      <c r="D82" s="842"/>
      <c r="E82" s="842"/>
      <c r="F82" s="842"/>
      <c r="G82" s="842"/>
      <c r="H82" s="842"/>
      <c r="I82" s="842"/>
      <c r="J82" s="842"/>
      <c r="K82" s="842"/>
      <c r="L82" s="842"/>
      <c r="M82" s="842"/>
      <c r="N82" s="842"/>
      <c r="O82" s="842"/>
      <c r="P82" s="842"/>
      <c r="Q82" s="842"/>
      <c r="R82" s="842"/>
      <c r="S82" s="842"/>
      <c r="T82" s="842"/>
      <c r="U82" s="842"/>
      <c r="V82" s="842"/>
      <c r="W82" s="842"/>
      <c r="X82" s="842"/>
      <c r="Y82" s="842"/>
      <c r="Z82" s="842"/>
      <c r="AA82" s="2209"/>
      <c r="AB82" s="2209"/>
      <c r="AC82" s="346"/>
    </row>
    <row r="83" spans="1:29" ht="18.75" customHeight="1" x14ac:dyDescent="0.2">
      <c r="A83" s="341"/>
      <c r="B83" s="345"/>
      <c r="C83" s="445" t="s">
        <v>1208</v>
      </c>
      <c r="D83" s="351" t="s">
        <v>1209</v>
      </c>
      <c r="E83" s="351" t="s">
        <v>1210</v>
      </c>
      <c r="F83" s="356" t="s">
        <v>1211</v>
      </c>
      <c r="G83" s="351" t="s">
        <v>1212</v>
      </c>
      <c r="H83" s="351" t="s">
        <v>1213</v>
      </c>
      <c r="I83" s="356" t="s">
        <v>1214</v>
      </c>
      <c r="J83" s="351" t="s">
        <v>1215</v>
      </c>
      <c r="K83" s="351" t="s">
        <v>1216</v>
      </c>
      <c r="L83" s="351"/>
      <c r="M83" s="352"/>
      <c r="N83" s="842"/>
      <c r="O83" s="842"/>
      <c r="P83" s="842"/>
      <c r="Q83" s="842"/>
      <c r="R83" s="842"/>
      <c r="S83" s="842"/>
      <c r="T83" s="842"/>
      <c r="U83" s="842"/>
      <c r="V83" s="842"/>
      <c r="W83" s="842"/>
      <c r="X83" s="842"/>
      <c r="Y83" s="842"/>
      <c r="Z83" s="842"/>
      <c r="AA83" s="2209"/>
      <c r="AB83" s="2209"/>
      <c r="AC83" s="346"/>
    </row>
    <row r="84" spans="1:29" ht="18.75" customHeight="1" x14ac:dyDescent="0.2">
      <c r="A84" s="341"/>
      <c r="B84" s="345"/>
      <c r="C84" s="453">
        <f ca="1">D76/100*D67</f>
        <v>1.7316221609709408E-8</v>
      </c>
      <c r="D84" s="842">
        <f>HydroRefineryControls!C10</f>
        <v>50</v>
      </c>
      <c r="E84" s="842">
        <f>100-D84</f>
        <v>50</v>
      </c>
      <c r="F84" s="842">
        <f ca="1">D67-D76/100*D67</f>
        <v>17316.221609692093</v>
      </c>
      <c r="G84" s="842">
        <f ca="1">D84/100*G76</f>
        <v>8.6581108048547042E-9</v>
      </c>
      <c r="H84" s="842">
        <f ca="1">G76-G84</f>
        <v>8.6581108048547042E-9</v>
      </c>
      <c r="I84" s="842">
        <f ca="1">E67-D76/100*E67</f>
        <v>2157056.7659108015</v>
      </c>
      <c r="J84" s="842">
        <f ca="1">D84/100*H76</f>
        <v>1.0785283829564791E-6</v>
      </c>
      <c r="K84" s="842">
        <f ca="1">H76-J84</f>
        <v>1.0785283829564791E-6</v>
      </c>
      <c r="L84" s="842"/>
      <c r="M84" s="337"/>
      <c r="N84" s="842"/>
      <c r="O84" s="842"/>
      <c r="P84" s="842"/>
      <c r="Q84" s="842"/>
      <c r="R84" s="842"/>
      <c r="S84" s="842"/>
      <c r="T84" s="842"/>
      <c r="U84" s="842"/>
      <c r="V84" s="940"/>
      <c r="W84" s="940"/>
      <c r="X84" s="940"/>
      <c r="Y84" s="940"/>
      <c r="Z84" s="940"/>
      <c r="AA84" s="2209"/>
      <c r="AB84" s="2209"/>
      <c r="AC84" s="346"/>
    </row>
    <row r="85" spans="1:29" ht="18.75" customHeight="1" x14ac:dyDescent="0.2">
      <c r="A85" s="341"/>
      <c r="B85" s="345"/>
      <c r="C85" s="453">
        <f ca="1">2*D77/100*D68</f>
        <v>0</v>
      </c>
      <c r="D85" s="842">
        <f>HydroRefineryControls!C11</f>
        <v>50</v>
      </c>
      <c r="E85" s="842">
        <f>100-D85</f>
        <v>50</v>
      </c>
      <c r="F85" s="842">
        <f ca="1">D68-D77*2/100*D68</f>
        <v>26885.40784502351</v>
      </c>
      <c r="G85" s="842">
        <f ca="1">D85/100*G77</f>
        <v>6.2624088127399394E-9</v>
      </c>
      <c r="H85" s="842">
        <f ca="1">G77-G85</f>
        <v>6.2624088127399394E-9</v>
      </c>
      <c r="I85" s="842">
        <f ca="1">E68-2*D77/100*E68</f>
        <v>3607246.9722799896</v>
      </c>
      <c r="J85" s="842">
        <f ca="1">D85/100*H77</f>
        <v>8.7886597816266675E-7</v>
      </c>
      <c r="K85" s="842">
        <f ca="1">H77-J85</f>
        <v>8.7886597816266675E-7</v>
      </c>
      <c r="L85" s="842"/>
      <c r="M85" s="337"/>
      <c r="N85" s="842"/>
      <c r="O85" s="842"/>
      <c r="P85" s="842"/>
      <c r="Q85" s="842"/>
      <c r="R85" s="842"/>
      <c r="S85" s="842"/>
      <c r="T85" s="842"/>
      <c r="U85" s="842"/>
      <c r="V85" s="940"/>
      <c r="W85" s="940"/>
      <c r="X85" s="940"/>
      <c r="Y85" s="940"/>
      <c r="Z85" s="940"/>
      <c r="AA85" s="2209"/>
      <c r="AB85" s="2209"/>
      <c r="AC85" s="346"/>
    </row>
    <row r="86" spans="1:29" ht="18.75" customHeight="1" x14ac:dyDescent="0.2">
      <c r="A86" s="341"/>
      <c r="B86" s="345"/>
      <c r="C86" s="453">
        <f ca="1">2*D78/100*D69</f>
        <v>2.5049635250959757E-8</v>
      </c>
      <c r="D86" s="842">
        <f>HydroRefineryControls!C12</f>
        <v>50</v>
      </c>
      <c r="E86" s="842">
        <f>100-D86</f>
        <v>50</v>
      </c>
      <c r="F86" s="842">
        <f ca="1">D69-D78*2/100*D69</f>
        <v>12524.817625454829</v>
      </c>
      <c r="G86" s="842">
        <f ca="1">D86/100*G78</f>
        <v>1.1853667615851591E-8</v>
      </c>
      <c r="H86" s="842">
        <f ca="1">G78-G86</f>
        <v>1.1853667615851591E-8</v>
      </c>
      <c r="I86" s="842">
        <f ca="1">E69-2*D78/100*E69</f>
        <v>1757731.9563218181</v>
      </c>
      <c r="J86" s="842">
        <f ca="1">D86/100*H78</f>
        <v>1.6835747257269203E-6</v>
      </c>
      <c r="K86" s="842">
        <f ca="1">H78-J86</f>
        <v>1.6835747257269203E-6</v>
      </c>
      <c r="L86" s="842"/>
      <c r="M86" s="337"/>
      <c r="N86" s="842"/>
      <c r="O86" s="842"/>
      <c r="P86" s="842"/>
      <c r="Q86" s="842"/>
      <c r="R86" s="842"/>
      <c r="S86" s="842"/>
      <c r="T86" s="842"/>
      <c r="U86" s="842"/>
      <c r="V86" s="940"/>
      <c r="W86" s="940"/>
      <c r="X86" s="940"/>
      <c r="Y86" s="940"/>
      <c r="Z86" s="940"/>
      <c r="AA86" s="2209"/>
      <c r="AB86" s="2209"/>
      <c r="AC86" s="346"/>
    </row>
    <row r="87" spans="1:29" ht="18.75" customHeight="1" x14ac:dyDescent="0.2">
      <c r="A87" s="341"/>
      <c r="B87" s="345"/>
      <c r="C87" s="453">
        <f ca="1">2*D79/100*D70</f>
        <v>2.2365035212446607E-8</v>
      </c>
      <c r="D87" s="842">
        <f>HydroRefineryControls!C13</f>
        <v>50</v>
      </c>
      <c r="E87" s="842">
        <f>100-D87</f>
        <v>50</v>
      </c>
      <c r="F87" s="842">
        <f ca="1">D70-D79*2/100*D70</f>
        <v>11182.51760620094</v>
      </c>
      <c r="G87" s="842">
        <f ca="1">D87/100*G79</f>
        <v>5.5912588031116516E-9</v>
      </c>
      <c r="H87" s="842">
        <f ca="1">G79-G87</f>
        <v>5.5912588031116516E-9</v>
      </c>
      <c r="I87" s="842">
        <f ca="1">E70-2*D79/100*E70</f>
        <v>1609417.4951252879</v>
      </c>
      <c r="J87" s="842">
        <f ca="1">D87/100*H79</f>
        <v>8.047087475642534E-7</v>
      </c>
      <c r="K87" s="842">
        <f ca="1">H79-J87</f>
        <v>8.047087475642534E-7</v>
      </c>
      <c r="L87" s="842"/>
      <c r="M87" s="337"/>
      <c r="N87" s="842"/>
      <c r="O87" s="842"/>
      <c r="P87" s="842"/>
      <c r="Q87" s="842"/>
      <c r="R87" s="842"/>
      <c r="S87" s="842"/>
      <c r="T87" s="842"/>
      <c r="U87" s="842"/>
      <c r="V87" s="940"/>
      <c r="W87" s="940"/>
      <c r="X87" s="940"/>
      <c r="Y87" s="940"/>
      <c r="Z87" s="940"/>
      <c r="AA87" s="2209"/>
      <c r="AB87" s="2209"/>
      <c r="AC87" s="346"/>
    </row>
    <row r="88" spans="1:29" ht="18.75" customHeight="1" x14ac:dyDescent="0.2">
      <c r="A88" s="341"/>
      <c r="B88" s="345"/>
      <c r="C88" s="452">
        <f ca="1">SUM(C84:C87)</f>
        <v>6.4730892073115769E-8</v>
      </c>
      <c r="D88" s="334"/>
      <c r="E88" s="334"/>
      <c r="F88" s="334">
        <f ca="1">SUM(F84:F87)</f>
        <v>67908.964686371371</v>
      </c>
      <c r="G88" s="334"/>
      <c r="H88" s="334"/>
      <c r="I88" s="334"/>
      <c r="J88" s="334"/>
      <c r="K88" s="334"/>
      <c r="L88" s="334"/>
      <c r="M88" s="338"/>
      <c r="N88" s="842"/>
      <c r="O88" s="842"/>
      <c r="P88" s="842"/>
      <c r="Q88" s="842"/>
      <c r="R88" s="842"/>
      <c r="S88" s="842"/>
      <c r="T88" s="842"/>
      <c r="U88" s="842"/>
      <c r="V88" s="940"/>
      <c r="W88" s="940"/>
      <c r="X88" s="940"/>
      <c r="Y88" s="940"/>
      <c r="Z88" s="940"/>
      <c r="AA88" s="2209"/>
      <c r="AB88" s="2209"/>
      <c r="AC88" s="346"/>
    </row>
    <row r="89" spans="1:29" ht="18.75" customHeight="1" x14ac:dyDescent="0.2">
      <c r="A89" s="341"/>
      <c r="B89" s="345"/>
      <c r="C89" s="437"/>
      <c r="D89" s="842"/>
      <c r="E89" s="842"/>
      <c r="F89" s="842"/>
      <c r="G89" s="842"/>
      <c r="H89" s="842"/>
      <c r="I89" s="842"/>
      <c r="J89" s="842"/>
      <c r="K89" s="842"/>
      <c r="L89" s="842"/>
      <c r="M89" s="842"/>
      <c r="N89" s="842"/>
      <c r="O89" s="842"/>
      <c r="P89" s="842"/>
      <c r="Q89" s="842"/>
      <c r="R89" s="842"/>
      <c r="S89" s="842"/>
      <c r="T89" s="842"/>
      <c r="U89" s="842"/>
      <c r="V89" s="940"/>
      <c r="W89" s="940"/>
      <c r="X89" s="940"/>
      <c r="Y89" s="940"/>
      <c r="Z89" s="940"/>
      <c r="AA89" s="2209"/>
      <c r="AB89" s="2209"/>
      <c r="AC89" s="346"/>
    </row>
    <row r="90" spans="1:29" ht="18.75" customHeight="1" x14ac:dyDescent="0.2">
      <c r="A90" s="341"/>
      <c r="B90" s="345"/>
      <c r="C90" s="843" t="s">
        <v>286</v>
      </c>
      <c r="D90" s="843"/>
      <c r="E90" s="842"/>
      <c r="F90" s="842"/>
      <c r="G90" s="842"/>
      <c r="H90" s="842"/>
      <c r="I90" s="842"/>
      <c r="J90" s="842"/>
      <c r="K90" s="842"/>
      <c r="L90" s="842"/>
      <c r="M90" s="842"/>
      <c r="N90" s="842"/>
      <c r="O90" s="359"/>
      <c r="P90" s="359"/>
      <c r="Q90" s="359"/>
      <c r="R90" s="359"/>
      <c r="S90" s="359"/>
      <c r="T90" s="842"/>
      <c r="U90" s="842"/>
      <c r="V90" s="940"/>
      <c r="W90" s="940"/>
      <c r="X90" s="940"/>
      <c r="Y90" s="940"/>
      <c r="Z90" s="940"/>
      <c r="AA90" s="2209"/>
      <c r="AB90" s="2209"/>
      <c r="AC90" s="346"/>
    </row>
    <row r="91" spans="1:29" ht="18.75" customHeight="1" x14ac:dyDescent="0.2">
      <c r="A91" s="341"/>
      <c r="B91" s="345"/>
      <c r="C91" s="454"/>
      <c r="D91" s="851" t="s">
        <v>287</v>
      </c>
      <c r="E91" s="852" t="s">
        <v>580</v>
      </c>
      <c r="F91" s="851" t="s">
        <v>288</v>
      </c>
      <c r="G91" s="852" t="s">
        <v>663</v>
      </c>
      <c r="H91" s="356" t="s">
        <v>784</v>
      </c>
      <c r="I91" s="852" t="s">
        <v>662</v>
      </c>
      <c r="J91" s="852" t="s">
        <v>567</v>
      </c>
      <c r="K91" s="852" t="s">
        <v>806</v>
      </c>
      <c r="L91" s="852" t="s">
        <v>544</v>
      </c>
      <c r="M91" s="369"/>
      <c r="N91" s="842"/>
      <c r="O91" s="842"/>
      <c r="P91" s="842"/>
      <c r="Q91" s="842"/>
      <c r="R91" s="842"/>
      <c r="S91" s="359"/>
      <c r="T91" s="842"/>
      <c r="U91" s="842"/>
      <c r="V91" s="359"/>
      <c r="W91" s="359"/>
      <c r="X91" s="359"/>
      <c r="Y91" s="359"/>
      <c r="Z91" s="940"/>
      <c r="AA91" s="2209"/>
      <c r="AB91" s="2209"/>
      <c r="AC91" s="346"/>
    </row>
    <row r="92" spans="1:29" ht="18.75" customHeight="1" x14ac:dyDescent="0.2">
      <c r="A92" s="341"/>
      <c r="B92" s="345"/>
      <c r="C92" s="442" t="s">
        <v>445</v>
      </c>
      <c r="D92" s="842">
        <f ca="1">F84+G84</f>
        <v>17316.221609700751</v>
      </c>
      <c r="E92" s="842">
        <f ca="1">F92/D92/'Energy &amp; Unit Conversions'!G80</f>
        <v>783.51263639619344</v>
      </c>
      <c r="F92" s="842">
        <f ca="1">I84+J84</f>
        <v>2157056.7659118799</v>
      </c>
      <c r="G92" s="842">
        <f ca="1">(I84*G67+J84*J76)/F92</f>
        <v>0</v>
      </c>
      <c r="H92" s="842">
        <f ca="1">(I84*H67+J84*K76)/F92</f>
        <v>0</v>
      </c>
      <c r="I92" s="842">
        <f ca="1">(I84*I67+J84*L76)/F92</f>
        <v>13.50174052285624</v>
      </c>
      <c r="J92" s="842">
        <f ca="1">141.5/(E92/1000)-131.5</f>
        <v>49.096959674877127</v>
      </c>
      <c r="K92" s="842">
        <f ca="1">(I84*J67+J84*M76)/F92</f>
        <v>11.538317381501683</v>
      </c>
      <c r="L92" s="842" t="s">
        <v>289</v>
      </c>
      <c r="M92" s="337"/>
      <c r="N92" s="842"/>
      <c r="O92" s="842"/>
      <c r="P92" s="842"/>
      <c r="Q92" s="842"/>
      <c r="R92" s="842"/>
      <c r="S92" s="359"/>
      <c r="T92" s="842"/>
      <c r="U92" s="842"/>
      <c r="V92" s="359"/>
      <c r="W92" s="359"/>
      <c r="X92" s="359"/>
      <c r="Y92" s="359"/>
      <c r="Z92" s="940"/>
      <c r="AA92" s="2209"/>
      <c r="AB92" s="2209"/>
      <c r="AC92" s="346"/>
    </row>
    <row r="93" spans="1:29" ht="18.75" customHeight="1" x14ac:dyDescent="0.2">
      <c r="A93" s="341"/>
      <c r="B93" s="345"/>
      <c r="C93" s="442" t="s">
        <v>1217</v>
      </c>
      <c r="D93" s="842">
        <f ca="1">F85+H84+G85</f>
        <v>26885.40784503843</v>
      </c>
      <c r="E93" s="842">
        <f ca="1">F93/D93/'Energy &amp; Unit Conversions'!G80</f>
        <v>843.91132412132015</v>
      </c>
      <c r="F93" s="842">
        <f ca="1">I85+K84+J85</f>
        <v>3607246.9722819468</v>
      </c>
      <c r="G93" s="842">
        <f ca="1">(I85*G68+K84*J76+J85*J77)/F93</f>
        <v>6.4870288839055754E-2</v>
      </c>
      <c r="H93" s="842">
        <f ca="1">(I85*H68+K84*K76+J85*K77)/F93</f>
        <v>3.6001321362723841E-11</v>
      </c>
      <c r="I93" s="842">
        <f ca="1">(I85*I68+K84*L76+J85*L77)/F93</f>
        <v>12.638480433923533</v>
      </c>
      <c r="J93" s="842">
        <f ca="1">141.5/(E93/1000)-131.5</f>
        <v>36.171645059781241</v>
      </c>
      <c r="K93" s="842">
        <f ca="1">(I85*J68+K84*M76+J85*M77)/F93</f>
        <v>11.509389111178722</v>
      </c>
      <c r="L93" s="842"/>
      <c r="M93" s="337"/>
      <c r="N93" s="842"/>
      <c r="O93" s="842"/>
      <c r="P93" s="842"/>
      <c r="Q93" s="842"/>
      <c r="R93" s="842"/>
      <c r="S93" s="359"/>
      <c r="T93" s="842"/>
      <c r="U93" s="842"/>
      <c r="V93" s="359"/>
      <c r="W93" s="359"/>
      <c r="X93" s="359"/>
      <c r="Y93" s="359"/>
      <c r="Z93" s="940"/>
      <c r="AA93" s="2209"/>
      <c r="AB93" s="2209"/>
      <c r="AC93" s="346"/>
    </row>
    <row r="94" spans="1:29" ht="18.75" customHeight="1" x14ac:dyDescent="0.2">
      <c r="A94" s="341"/>
      <c r="B94" s="345"/>
      <c r="C94" s="442" t="s">
        <v>446</v>
      </c>
      <c r="D94" s="842">
        <f ca="1">F86+H85+G86</f>
        <v>12524.817625472946</v>
      </c>
      <c r="E94" s="842">
        <f ca="1">F94/D94/'Energy &amp; Unit Conversions'!G80</f>
        <v>882.71153866825466</v>
      </c>
      <c r="F94" s="842">
        <f ca="1">I86+J86+K85</f>
        <v>1757731.9563243806</v>
      </c>
      <c r="G94" s="842">
        <f ca="1">(I86*G69+K85*J77+J86*J78)/F94</f>
        <v>0.15109831145852037</v>
      </c>
      <c r="H94" s="842">
        <f ca="1">(I86*H69+K85*K77+J86*K78)/F94</f>
        <v>147.76502983481029</v>
      </c>
      <c r="I94" s="842">
        <f ca="1">(I86*I69+K85*L77+J86*L78)/F94</f>
        <v>12.394831175477645</v>
      </c>
      <c r="J94" s="842">
        <f ca="1">141.5/(E94/1000)-131.5</f>
        <v>28.801518447896115</v>
      </c>
      <c r="K94" s="842">
        <f ca="1">(I86*J69+K85*M77+J86*M78)/F94</f>
        <v>11.54160038101978</v>
      </c>
      <c r="L94" s="842"/>
      <c r="M94" s="337"/>
      <c r="N94" s="842"/>
      <c r="O94" s="842"/>
      <c r="P94" s="842"/>
      <c r="Q94" s="842"/>
      <c r="R94" s="842"/>
      <c r="S94" s="359"/>
      <c r="T94" s="842"/>
      <c r="U94" s="842"/>
      <c r="V94" s="359"/>
      <c r="W94" s="359"/>
      <c r="X94" s="359"/>
      <c r="Y94" s="359"/>
      <c r="Z94" s="940"/>
      <c r="AA94" s="2209"/>
      <c r="AB94" s="2209"/>
      <c r="AC94" s="346"/>
    </row>
    <row r="95" spans="1:29" ht="18.75" customHeight="1" x14ac:dyDescent="0.2">
      <c r="A95" s="341"/>
      <c r="B95" s="345"/>
      <c r="C95" s="442" t="s">
        <v>1218</v>
      </c>
      <c r="D95" s="842">
        <f ca="1">F87+H86+G87</f>
        <v>11182.517606218385</v>
      </c>
      <c r="E95" s="842">
        <f ca="1">F95/D95/'Energy &amp; Unit Conversions'!G80</f>
        <v>905.24616445999914</v>
      </c>
      <c r="F95" s="842">
        <f ca="1">I87+J87+K86</f>
        <v>1609417.4951277762</v>
      </c>
      <c r="G95" s="842">
        <f ca="1">(I87*G70+K86*J78+J87*J79)/F95</f>
        <v>0.21055860465847406</v>
      </c>
      <c r="H95" s="842">
        <f ca="1">(I87*H70+K86*K78+J87*K79)/F95</f>
        <v>573.33295706140962</v>
      </c>
      <c r="I95" s="842">
        <f ca="1">(I87*I70+K86*L78+J87*L79)/F95</f>
        <v>12.331915988948833</v>
      </c>
      <c r="J95" s="842">
        <f ca="1">141.5/(E95/1000)-131.5</f>
        <v>24.811073777824959</v>
      </c>
      <c r="K95" s="842">
        <f ca="1">(I87*J70+K86*M78+J87*M79)/F95</f>
        <v>11.585905176337844</v>
      </c>
      <c r="L95" s="842"/>
      <c r="M95" s="337"/>
      <c r="N95" s="842"/>
      <c r="O95" s="842"/>
      <c r="P95" s="842"/>
      <c r="Q95" s="842"/>
      <c r="R95" s="842"/>
      <c r="S95" s="359"/>
      <c r="T95" s="842"/>
      <c r="U95" s="842"/>
      <c r="V95" s="359"/>
      <c r="W95" s="359"/>
      <c r="X95" s="359"/>
      <c r="Y95" s="359"/>
      <c r="Z95" s="940"/>
      <c r="AA95" s="2209"/>
      <c r="AB95" s="2209"/>
      <c r="AC95" s="346"/>
    </row>
    <row r="96" spans="1:29" ht="18.75" customHeight="1" x14ac:dyDescent="0.2">
      <c r="A96" s="341"/>
      <c r="B96" s="345"/>
      <c r="C96" s="442" t="s">
        <v>607</v>
      </c>
      <c r="D96" s="940">
        <f ca="1">IF(HydroRefineryConfig=0,0.00000000000001,'Assay Inventory'!N12+H87)</f>
        <v>1E-14</v>
      </c>
      <c r="E96" s="940">
        <f ca="1">IF(HydroRefineryConfig=0,0,F96/D96/'Energy &amp; Unit Conversions'!$G$80)</f>
        <v>0</v>
      </c>
      <c r="F96" s="940">
        <f ca="1">IF(HydroRefineryConfig=0,0.00000000000001,'Assay Inventory'!N14+K87)</f>
        <v>1E-14</v>
      </c>
      <c r="G96" s="940">
        <f ca="1">IF(HydroRefineryConfig=0,0.00000000000001,('Assay Inventory'!N14*'Assay Inventory'!N15+K87*J79)/F96)</f>
        <v>1E-14</v>
      </c>
      <c r="H96" s="940">
        <f ca="1">IF(HydroRefineryConfig=0,0.00000000000001,('Assay Inventory'!N14*'Assay Inventory'!N16+K87*K79)/F96)</f>
        <v>1E-14</v>
      </c>
      <c r="I96" s="940">
        <f ca="1">IF(HydroRefineryConfig=0,0.00000000000001,('Assay Inventory'!N14*'Assay Inventory'!N19+K87*L79)/F96)</f>
        <v>1E-14</v>
      </c>
      <c r="J96" s="940">
        <f ca="1">IF(HydroRefineryConfig=0,0.00000000000001,141.5/(E96/1000)-131.5)</f>
        <v>1E-14</v>
      </c>
      <c r="K96" s="940">
        <f ca="1">IF(HydroRefineryConfig=0,0.00000000000001,('Assay Inventory'!N14*'Assay Inventory'!N21+K87*M79)/F96)</f>
        <v>1E-14</v>
      </c>
      <c r="L96" s="842">
        <f ca="1">'Assay Inventory'!N20</f>
        <v>4.4374255523499508</v>
      </c>
      <c r="M96" s="337"/>
      <c r="N96" s="842"/>
      <c r="O96" s="842"/>
      <c r="P96" s="842"/>
      <c r="Q96" s="842"/>
      <c r="R96" s="842"/>
      <c r="S96" s="359"/>
      <c r="T96" s="842"/>
      <c r="U96" s="842"/>
      <c r="V96" s="359"/>
      <c r="W96" s="359"/>
      <c r="X96" s="359"/>
      <c r="Y96" s="359"/>
      <c r="Z96" s="940"/>
      <c r="AA96" s="2209"/>
      <c r="AB96" s="2209"/>
      <c r="AC96" s="346"/>
    </row>
    <row r="97" spans="1:29" ht="18.75" customHeight="1" x14ac:dyDescent="0.2">
      <c r="A97" s="341"/>
      <c r="B97" s="345"/>
      <c r="C97" s="457" t="s">
        <v>1451</v>
      </c>
      <c r="D97" s="334">
        <f ca="1">'Assay Inventory'!N12+H87-D96</f>
        <v>28238.054386069471</v>
      </c>
      <c r="E97" s="334">
        <f ca="1">IF(HydroRefineryConfig=0,(F97/D97/'Energy &amp; Unit Conversions'!$G$80),0)</f>
        <v>824.46394358863085</v>
      </c>
      <c r="F97" s="334">
        <f ca="1">('Assay Inventory'!N14+K87)-F96</f>
        <v>3701424.2988945264</v>
      </c>
      <c r="G97" s="334">
        <f ca="1">IF(HydroRefineryConfig=0,('Assay Inventory'!N14*'Assay Inventory'!N15+K87*J79)/F97,0)</f>
        <v>0.40136935229490656</v>
      </c>
      <c r="H97" s="334">
        <f ca="1">IF(HydroRefineryConfig=0,('Assay Inventory'!N14*'Assay Inventory'!N16+K87*K79)/F97,0)</f>
        <v>3219.120060751759</v>
      </c>
      <c r="I97" s="334">
        <f ca="1">IF(HydroRefineryConfig=0,('Assay Inventory'!N14*'Assay Inventory'!N19+K87*L79)/F97,0)</f>
        <v>12.849096068230512</v>
      </c>
      <c r="J97" s="334">
        <f ca="1">IF(HydroRefineryConfig=0,141.5/(E97/1000)-131.5,0)</f>
        <v>40.126668577033513</v>
      </c>
      <c r="K97" s="334">
        <f ca="1">IF(HydroRefineryConfig=0,('Assay Inventory'!N14*'Assay Inventory'!N21+K87*M79)/F97,0)</f>
        <v>11.510907375147324</v>
      </c>
      <c r="L97" s="334"/>
      <c r="M97" s="338"/>
      <c r="N97" s="842"/>
      <c r="O97" s="842"/>
      <c r="P97" s="842"/>
      <c r="Q97" s="842"/>
      <c r="R97" s="842"/>
      <c r="S97" s="359"/>
      <c r="T97" s="842"/>
      <c r="U97" s="842"/>
      <c r="V97" s="359"/>
      <c r="W97" s="359"/>
      <c r="X97" s="359"/>
      <c r="Y97" s="359"/>
      <c r="Z97" s="940"/>
      <c r="AA97" s="2209"/>
      <c r="AB97" s="2209"/>
      <c r="AC97" s="346"/>
    </row>
    <row r="98" spans="1:29" ht="18.75" customHeight="1" x14ac:dyDescent="0.2">
      <c r="A98" s="341"/>
      <c r="B98" s="345"/>
      <c r="C98" s="437"/>
      <c r="D98" s="842"/>
      <c r="E98" s="842"/>
      <c r="F98" s="842"/>
      <c r="G98" s="842"/>
      <c r="H98" s="842"/>
      <c r="I98" s="842"/>
      <c r="J98" s="842"/>
      <c r="K98" s="842"/>
      <c r="L98" s="842"/>
      <c r="M98" s="842"/>
      <c r="N98" s="842"/>
      <c r="O98" s="842"/>
      <c r="P98" s="842"/>
      <c r="Q98" s="842"/>
      <c r="R98" s="842"/>
      <c r="S98" s="359"/>
      <c r="T98" s="842"/>
      <c r="U98" s="842"/>
      <c r="V98" s="359"/>
      <c r="W98" s="359"/>
      <c r="X98" s="359"/>
      <c r="Y98" s="359"/>
      <c r="Z98" s="940"/>
      <c r="AA98" s="2209"/>
      <c r="AB98" s="2209"/>
      <c r="AC98" s="346"/>
    </row>
    <row r="99" spans="1:29" ht="18.75" customHeight="1" x14ac:dyDescent="0.2">
      <c r="A99" s="341"/>
      <c r="B99" s="345"/>
      <c r="C99" s="843" t="s">
        <v>1461</v>
      </c>
      <c r="D99" s="842"/>
      <c r="E99" s="842"/>
      <c r="F99" s="842"/>
      <c r="G99" s="842"/>
      <c r="H99" s="842"/>
      <c r="I99" s="842"/>
      <c r="J99" s="842"/>
      <c r="K99" s="842"/>
      <c r="L99" s="842"/>
      <c r="M99" s="842"/>
      <c r="N99" s="842"/>
      <c r="O99" s="359"/>
      <c r="P99" s="359"/>
      <c r="Q99" s="359"/>
      <c r="R99" s="359"/>
      <c r="S99" s="359"/>
      <c r="T99" s="842"/>
      <c r="U99" s="842"/>
      <c r="V99" s="940"/>
      <c r="W99" s="940"/>
      <c r="X99" s="940"/>
      <c r="Y99" s="940"/>
      <c r="Z99" s="940"/>
      <c r="AA99" s="2209"/>
      <c r="AB99" s="2209"/>
      <c r="AC99" s="346"/>
    </row>
    <row r="100" spans="1:29" ht="18.75" customHeight="1" x14ac:dyDescent="0.2">
      <c r="A100" s="341"/>
      <c r="B100" s="345"/>
      <c r="C100" s="454"/>
      <c r="D100" s="368"/>
      <c r="E100" s="351" t="s">
        <v>1219</v>
      </c>
      <c r="F100" s="351" t="s">
        <v>575</v>
      </c>
      <c r="G100" s="351" t="s">
        <v>576</v>
      </c>
      <c r="H100" s="351" t="s">
        <v>653</v>
      </c>
      <c r="I100" s="369"/>
      <c r="J100" s="842"/>
      <c r="K100" s="842"/>
      <c r="L100" s="842"/>
      <c r="M100" s="842"/>
      <c r="N100" s="842"/>
      <c r="O100" s="359"/>
      <c r="P100" s="359"/>
      <c r="Q100" s="359"/>
      <c r="R100" s="359"/>
      <c r="S100" s="359"/>
      <c r="T100" s="842"/>
      <c r="U100" s="842"/>
      <c r="V100" s="940"/>
      <c r="W100" s="940"/>
      <c r="X100" s="940"/>
      <c r="Y100" s="940"/>
      <c r="Z100" s="940"/>
      <c r="AA100" s="2209"/>
      <c r="AB100" s="2209"/>
      <c r="AC100" s="346"/>
    </row>
    <row r="101" spans="1:29" ht="18.75" customHeight="1" x14ac:dyDescent="0.2">
      <c r="A101" s="341"/>
      <c r="B101" s="345"/>
      <c r="C101" s="442" t="str">
        <f t="shared" ref="C101:D111" si="8">C46</f>
        <v>Property</v>
      </c>
      <c r="D101" s="839" t="str">
        <f t="shared" si="8"/>
        <v>Units</v>
      </c>
      <c r="E101" s="842"/>
      <c r="F101" s="842"/>
      <c r="G101" s="842"/>
      <c r="H101" s="842"/>
      <c r="I101" s="337"/>
      <c r="J101" s="842"/>
      <c r="K101" s="842"/>
      <c r="L101" s="842"/>
      <c r="M101" s="842"/>
      <c r="N101" s="842"/>
      <c r="O101" s="842"/>
      <c r="P101" s="842"/>
      <c r="Q101" s="842"/>
      <c r="R101" s="842"/>
      <c r="S101" s="842"/>
      <c r="T101" s="842"/>
      <c r="U101" s="842"/>
      <c r="V101" s="940"/>
      <c r="W101" s="940"/>
      <c r="X101" s="940"/>
      <c r="Y101" s="940"/>
      <c r="Z101" s="940"/>
      <c r="AA101" s="2209"/>
      <c r="AB101" s="2209"/>
      <c r="AC101" s="346"/>
    </row>
    <row r="102" spans="1:29" ht="18.75" customHeight="1" x14ac:dyDescent="0.2">
      <c r="A102" s="341"/>
      <c r="B102" s="345"/>
      <c r="C102" s="442" t="str">
        <f t="shared" si="8"/>
        <v>Vol Flow</v>
      </c>
      <c r="D102" s="842" t="str">
        <f ca="1">D47</f>
        <v>bpd</v>
      </c>
      <c r="E102" s="842">
        <f ca="1">H87</f>
        <v>5.5912588031116516E-9</v>
      </c>
      <c r="F102" s="842">
        <f ca="1">'Assay Inventory'!K12</f>
        <v>8218.2707229657353</v>
      </c>
      <c r="G102" s="842">
        <f ca="1">'Assay Inventory'!L12</f>
        <v>6475.5173608741952</v>
      </c>
      <c r="H102" s="842">
        <f ca="1">'Assay Inventory'!M12</f>
        <v>9035.8995417507103</v>
      </c>
      <c r="I102" s="337"/>
      <c r="J102" s="842"/>
      <c r="K102" s="842"/>
      <c r="L102" s="842"/>
      <c r="M102" s="842"/>
      <c r="N102" s="842"/>
      <c r="O102" s="842"/>
      <c r="P102" s="842"/>
      <c r="Q102" s="842"/>
      <c r="R102" s="842"/>
      <c r="S102" s="842"/>
      <c r="T102" s="842"/>
      <c r="U102" s="842"/>
      <c r="V102" s="842"/>
      <c r="W102" s="842"/>
      <c r="X102" s="842"/>
      <c r="Y102" s="842"/>
      <c r="Z102" s="842"/>
      <c r="AA102" s="2209"/>
      <c r="AB102" s="2209"/>
      <c r="AC102" s="346"/>
    </row>
    <row r="103" spans="1:29" ht="18.75" customHeight="1" x14ac:dyDescent="0.2">
      <c r="A103" s="341"/>
      <c r="B103" s="345"/>
      <c r="C103" s="442" t="str">
        <f t="shared" si="8"/>
        <v>Vol Flow</v>
      </c>
      <c r="D103" s="842" t="str">
        <f ca="1">D48</f>
        <v>m^3/d</v>
      </c>
      <c r="E103" s="842">
        <f ca="1">E102*'Energy &amp; Unit Conversions'!G80</f>
        <v>8.889391407079531E-10</v>
      </c>
      <c r="F103" s="842">
        <f ca="1">'Assay Inventory'!K13</f>
        <v>1306.7050449515521</v>
      </c>
      <c r="G103" s="842">
        <f ca="1">'Assay Inventory'!L13</f>
        <v>1029.6072603789971</v>
      </c>
      <c r="H103" s="842">
        <f ca="1">'Assay Inventory'!M13</f>
        <v>1436.7080271383629</v>
      </c>
      <c r="I103" s="337"/>
      <c r="J103" s="842"/>
      <c r="K103" s="842"/>
      <c r="L103" s="842"/>
      <c r="M103" s="842"/>
      <c r="N103" s="842"/>
      <c r="O103" s="842"/>
      <c r="P103" s="842"/>
      <c r="Q103" s="842"/>
      <c r="R103" s="842"/>
      <c r="S103" s="842"/>
      <c r="T103" s="842"/>
      <c r="U103" s="842"/>
      <c r="V103" s="842"/>
      <c r="W103" s="842"/>
      <c r="X103" s="842"/>
      <c r="Y103" s="842"/>
      <c r="Z103" s="842"/>
      <c r="AA103" s="2209"/>
      <c r="AB103" s="2209"/>
      <c r="AC103" s="346"/>
    </row>
    <row r="104" spans="1:29" ht="18.75" customHeight="1" x14ac:dyDescent="0.2">
      <c r="A104" s="341"/>
      <c r="B104" s="345"/>
      <c r="C104" s="442" t="str">
        <f t="shared" si="8"/>
        <v>Mass Flow</v>
      </c>
      <c r="D104" s="842" t="str">
        <f t="shared" si="8"/>
        <v>kg/d</v>
      </c>
      <c r="E104" s="842">
        <f ca="1">K87</f>
        <v>8.047087475642534E-7</v>
      </c>
      <c r="F104" s="842">
        <f ca="1">'Assay Inventory'!K14</f>
        <v>1209891.7354650162</v>
      </c>
      <c r="G104" s="842">
        <f ca="1">'Assay Inventory'!L14</f>
        <v>975521.165617669</v>
      </c>
      <c r="H104" s="842">
        <f ca="1">'Assay Inventory'!M14</f>
        <v>1516011.3978110366</v>
      </c>
      <c r="I104" s="337"/>
      <c r="J104" s="842"/>
      <c r="K104" s="842"/>
      <c r="L104" s="842"/>
      <c r="M104" s="842"/>
      <c r="N104" s="842"/>
      <c r="O104" s="842"/>
      <c r="P104" s="842"/>
      <c r="Q104" s="842"/>
      <c r="R104" s="842"/>
      <c r="S104" s="842"/>
      <c r="T104" s="842"/>
      <c r="U104" s="842"/>
      <c r="V104" s="842"/>
      <c r="W104" s="842"/>
      <c r="X104" s="842"/>
      <c r="Y104" s="842"/>
      <c r="Z104" s="842"/>
      <c r="AA104" s="2209"/>
      <c r="AB104" s="2209"/>
      <c r="AC104" s="346"/>
    </row>
    <row r="105" spans="1:29" ht="18.75" customHeight="1" x14ac:dyDescent="0.2">
      <c r="A105" s="341"/>
      <c r="B105" s="345"/>
      <c r="C105" s="442" t="str">
        <f t="shared" si="8"/>
        <v xml:space="preserve">Sulphur </v>
      </c>
      <c r="D105" s="842" t="str">
        <f t="shared" ref="D105:D111" ca="1" si="9">D50</f>
        <v>wt%</v>
      </c>
      <c r="E105" s="842">
        <f ca="1">J79</f>
        <v>0.21055860465850654</v>
      </c>
      <c r="F105" s="842">
        <f ca="1">'Assay Inventory'!K15</f>
        <v>0.27398518285937168</v>
      </c>
      <c r="G105" s="842">
        <f ca="1">'Assay Inventory'!L15</f>
        <v>0.34883282222603118</v>
      </c>
      <c r="H105" s="842">
        <f ca="1">'Assay Inventory'!M15</f>
        <v>0.53683769453568042</v>
      </c>
      <c r="I105" s="337"/>
      <c r="J105" s="842"/>
      <c r="K105" s="842"/>
      <c r="L105" s="842"/>
      <c r="M105" s="842"/>
      <c r="N105" s="842"/>
      <c r="O105" s="842"/>
      <c r="P105" s="842"/>
      <c r="Q105" s="842"/>
      <c r="R105" s="842"/>
      <c r="S105" s="842"/>
      <c r="T105" s="842"/>
      <c r="U105" s="842"/>
      <c r="V105" s="842"/>
      <c r="W105" s="842"/>
      <c r="X105" s="842"/>
      <c r="Y105" s="842"/>
      <c r="Z105" s="842"/>
      <c r="AA105" s="2209"/>
      <c r="AB105" s="2209"/>
      <c r="AC105" s="346"/>
    </row>
    <row r="106" spans="1:29" ht="18.75" customHeight="1" x14ac:dyDescent="0.2">
      <c r="A106" s="341"/>
      <c r="B106" s="345"/>
      <c r="C106" s="442" t="str">
        <f t="shared" si="8"/>
        <v xml:space="preserve">Nitrogen </v>
      </c>
      <c r="D106" s="842" t="str">
        <f t="shared" ca="1" si="9"/>
        <v>mass ppm</v>
      </c>
      <c r="E106" s="842">
        <f ca="1">K79</f>
        <v>573.33295706164199</v>
      </c>
      <c r="F106" s="842">
        <f ca="1">'Assay Inventory'!K16</f>
        <v>1315.9260423987175</v>
      </c>
      <c r="G106" s="842">
        <f ca="1">'Assay Inventory'!L16</f>
        <v>2546.2715056129705</v>
      </c>
      <c r="H106" s="842">
        <f ca="1">'Assay Inventory'!M16</f>
        <v>5170.9765737434327</v>
      </c>
      <c r="I106" s="337"/>
      <c r="J106" s="842"/>
      <c r="K106" s="842"/>
      <c r="L106" s="842"/>
      <c r="M106" s="842"/>
      <c r="N106" s="842"/>
      <c r="O106" s="842"/>
      <c r="P106" s="842"/>
      <c r="Q106" s="842"/>
      <c r="R106" s="842"/>
      <c r="S106" s="842"/>
      <c r="T106" s="842"/>
      <c r="U106" s="842"/>
      <c r="V106" s="842"/>
      <c r="W106" s="842"/>
      <c r="X106" s="842"/>
      <c r="Y106" s="842"/>
      <c r="Z106" s="842"/>
      <c r="AA106" s="2209"/>
      <c r="AB106" s="2209"/>
      <c r="AC106" s="346"/>
    </row>
    <row r="107" spans="1:29" ht="18.75" customHeight="1" x14ac:dyDescent="0.2">
      <c r="A107" s="341"/>
      <c r="B107" s="345"/>
      <c r="C107" s="442" t="str">
        <f t="shared" si="8"/>
        <v xml:space="preserve">API gravity </v>
      </c>
      <c r="D107" s="842" t="str">
        <f t="shared" ca="1" si="9"/>
        <v>oAPI</v>
      </c>
      <c r="E107" s="842">
        <f ca="1">141.5/(E108/1000)-131.5</f>
        <v>24.81107377782277</v>
      </c>
      <c r="F107" s="842">
        <f ca="1">'Assay Inventory'!K17</f>
        <v>21.169746955325756</v>
      </c>
      <c r="G107" s="842">
        <f ca="1">'Assay Inventory'!L17</f>
        <v>17.695879132085047</v>
      </c>
      <c r="H107" s="842">
        <f ca="1">'Assay Inventory'!M17</f>
        <v>2.4639609223786181</v>
      </c>
      <c r="I107" s="337"/>
      <c r="J107" s="842"/>
      <c r="K107" s="842"/>
      <c r="L107" s="842"/>
      <c r="M107" s="842"/>
      <c r="N107" s="842"/>
      <c r="O107" s="842"/>
      <c r="P107" s="842"/>
      <c r="Q107" s="842"/>
      <c r="R107" s="842"/>
      <c r="S107" s="842"/>
      <c r="T107" s="842"/>
      <c r="U107" s="842"/>
      <c r="V107" s="842"/>
      <c r="W107" s="842"/>
      <c r="X107" s="842"/>
      <c r="Y107" s="842"/>
      <c r="Z107" s="842"/>
      <c r="AA107" s="2209"/>
      <c r="AB107" s="2209"/>
      <c r="AC107" s="346"/>
    </row>
    <row r="108" spans="1:29" ht="18.75" customHeight="1" x14ac:dyDescent="0.2">
      <c r="A108" s="341"/>
      <c r="B108" s="345"/>
      <c r="C108" s="442" t="str">
        <f t="shared" si="8"/>
        <v>Density</v>
      </c>
      <c r="D108" s="842" t="str">
        <f t="shared" ca="1" si="9"/>
        <v>kg/m^3</v>
      </c>
      <c r="E108" s="842">
        <f ca="1">I79</f>
        <v>905.24616446001198</v>
      </c>
      <c r="F108" s="842">
        <f ca="1">'Assay Inventory'!K18</f>
        <v>925.910357612398</v>
      </c>
      <c r="G108" s="842">
        <f ca="1">'Assay Inventory'!L18</f>
        <v>947.46919836072334</v>
      </c>
      <c r="H108" s="842">
        <f ca="1">'Assay Inventory'!M18</f>
        <v>1055.1979728481299</v>
      </c>
      <c r="I108" s="337"/>
      <c r="J108" s="842"/>
      <c r="K108" s="842"/>
      <c r="L108" s="842"/>
      <c r="M108" s="842"/>
      <c r="N108" s="842"/>
      <c r="O108" s="842"/>
      <c r="P108" s="842"/>
      <c r="Q108" s="842"/>
      <c r="R108" s="842"/>
      <c r="S108" s="842"/>
      <c r="T108" s="842"/>
      <c r="U108" s="842"/>
      <c r="V108" s="842"/>
      <c r="W108" s="842"/>
      <c r="X108" s="842"/>
      <c r="Y108" s="842"/>
      <c r="Z108" s="842"/>
      <c r="AA108" s="2209"/>
      <c r="AB108" s="2209"/>
      <c r="AC108" s="346"/>
    </row>
    <row r="109" spans="1:29" ht="18.75" customHeight="1" x14ac:dyDescent="0.2">
      <c r="A109" s="341"/>
      <c r="B109" s="345"/>
      <c r="C109" s="442" t="str">
        <f t="shared" si="8"/>
        <v>Hydrogen</v>
      </c>
      <c r="D109" s="842" t="str">
        <f t="shared" ca="1" si="9"/>
        <v>wt%</v>
      </c>
      <c r="E109" s="842">
        <f ca="1">L79</f>
        <v>12.331915988948797</v>
      </c>
      <c r="F109" s="842">
        <f ca="1">'Assay Inventory'!K19</f>
        <v>12.271763653145852</v>
      </c>
      <c r="G109" s="842">
        <f ca="1">'Assay Inventory'!L19</f>
        <v>12.125465535911589</v>
      </c>
      <c r="H109" s="842">
        <f ca="1">'Assay Inventory'!M19</f>
        <v>13.775491885583563</v>
      </c>
      <c r="I109" s="337"/>
      <c r="J109" s="842"/>
      <c r="K109" s="842"/>
      <c r="L109" s="842"/>
      <c r="M109" s="842"/>
      <c r="N109" s="842"/>
      <c r="O109" s="842"/>
      <c r="P109" s="842"/>
      <c r="Q109" s="842"/>
      <c r="R109" s="842"/>
      <c r="S109" s="842"/>
      <c r="T109" s="842"/>
      <c r="U109" s="842"/>
      <c r="V109" s="842"/>
      <c r="W109" s="842"/>
      <c r="X109" s="842"/>
      <c r="Y109" s="842"/>
      <c r="Z109" s="842"/>
      <c r="AA109" s="2209"/>
      <c r="AB109" s="2209"/>
      <c r="AC109" s="346"/>
    </row>
    <row r="110" spans="1:29" ht="18.75" customHeight="1" x14ac:dyDescent="0.2">
      <c r="A110" s="341"/>
      <c r="B110" s="345"/>
      <c r="C110" s="442" t="str">
        <f t="shared" si="8"/>
        <v>MCR</v>
      </c>
      <c r="D110" s="842" t="str">
        <f t="shared" ca="1" si="9"/>
        <v>wt%</v>
      </c>
      <c r="E110" s="842"/>
      <c r="F110" s="842" t="str">
        <f ca="1">'Assay Inventory'!K20</f>
        <v/>
      </c>
      <c r="G110" s="842" t="str">
        <f ca="1">'Assay Inventory'!L20</f>
        <v/>
      </c>
      <c r="H110" s="842">
        <f ca="1">'Assay Inventory'!M20</f>
        <v>10.823381666475589</v>
      </c>
      <c r="I110" s="337"/>
      <c r="J110" s="842"/>
      <c r="K110" s="842"/>
      <c r="L110" s="842"/>
      <c r="M110" s="842"/>
      <c r="N110" s="842"/>
      <c r="O110" s="842"/>
      <c r="P110" s="842"/>
      <c r="Q110" s="842"/>
      <c r="R110" s="842"/>
      <c r="S110" s="842"/>
      <c r="T110" s="842"/>
      <c r="U110" s="842"/>
      <c r="V110" s="842"/>
      <c r="W110" s="842"/>
      <c r="X110" s="842"/>
      <c r="Y110" s="842"/>
      <c r="Z110" s="842"/>
      <c r="AA110" s="2209"/>
      <c r="AB110" s="2209"/>
      <c r="AC110" s="346"/>
    </row>
    <row r="111" spans="1:29" ht="18.75" customHeight="1" x14ac:dyDescent="0.2">
      <c r="A111" s="341"/>
      <c r="B111" s="345"/>
      <c r="C111" s="443" t="str">
        <f t="shared" si="8"/>
        <v>Characterization Factor</v>
      </c>
      <c r="D111" s="334" t="str">
        <f t="shared" ca="1" si="9"/>
        <v xml:space="preserve">Kw (Approximate) </v>
      </c>
      <c r="E111" s="334">
        <f ca="1">M79</f>
        <v>11.585905176337866</v>
      </c>
      <c r="F111" s="334">
        <f ca="1">'Assay Inventory'!K21</f>
        <v>11.638857688170157</v>
      </c>
      <c r="G111" s="334">
        <f ca="1">'Assay Inventory'!L21</f>
        <v>11.689687554365658</v>
      </c>
      <c r="H111" s="334">
        <f ca="1">'Assay Inventory'!M21</f>
        <v>11.195866150132154</v>
      </c>
      <c r="I111" s="338"/>
      <c r="J111" s="842"/>
      <c r="K111" s="842"/>
      <c r="L111" s="842"/>
      <c r="M111" s="842"/>
      <c r="N111" s="842"/>
      <c r="O111" s="842"/>
      <c r="P111" s="842"/>
      <c r="Q111" s="842"/>
      <c r="R111" s="842"/>
      <c r="S111" s="842"/>
      <c r="T111" s="842"/>
      <c r="U111" s="842"/>
      <c r="V111" s="842"/>
      <c r="W111" s="842"/>
      <c r="X111" s="842"/>
      <c r="Y111" s="842"/>
      <c r="Z111" s="842"/>
      <c r="AA111" s="2209"/>
      <c r="AB111" s="2209"/>
      <c r="AC111" s="346"/>
    </row>
    <row r="112" spans="1:29" ht="18.75" customHeight="1" x14ac:dyDescent="0.2">
      <c r="A112" s="341"/>
      <c r="B112" s="345"/>
      <c r="C112" s="444"/>
      <c r="D112" s="1895"/>
      <c r="E112" s="1895"/>
      <c r="F112" s="1895"/>
      <c r="G112" s="1895"/>
      <c r="H112" s="1895"/>
      <c r="I112" s="1895"/>
      <c r="J112" s="1895"/>
      <c r="K112" s="1895"/>
      <c r="L112" s="1895"/>
      <c r="M112" s="1895"/>
      <c r="N112" s="1895"/>
      <c r="O112" s="1895"/>
      <c r="P112" s="1895"/>
      <c r="Q112" s="1895"/>
      <c r="R112" s="1895"/>
      <c r="S112" s="1895"/>
      <c r="T112" s="1895"/>
      <c r="U112" s="1895"/>
      <c r="V112" s="1895"/>
      <c r="W112" s="1895"/>
      <c r="X112" s="1895"/>
      <c r="Y112" s="1895"/>
      <c r="Z112" s="1895"/>
      <c r="AA112" s="2209"/>
      <c r="AB112" s="2209"/>
      <c r="AC112" s="346"/>
    </row>
    <row r="113" spans="1:29" ht="26.25" x14ac:dyDescent="0.2">
      <c r="A113" s="341"/>
      <c r="B113" s="699"/>
      <c r="C113" s="603" t="s">
        <v>532</v>
      </c>
      <c r="D113" s="842"/>
      <c r="E113" s="842"/>
      <c r="F113" s="842"/>
      <c r="G113" s="842"/>
      <c r="H113" s="842"/>
      <c r="I113" s="842"/>
      <c r="J113" s="842"/>
      <c r="K113" s="842"/>
      <c r="L113" s="842"/>
      <c r="M113" s="842"/>
      <c r="N113" s="842"/>
      <c r="O113" s="842"/>
      <c r="P113" s="842"/>
      <c r="Q113" s="842"/>
      <c r="R113" s="842"/>
      <c r="S113" s="842"/>
      <c r="T113" s="842"/>
      <c r="U113" s="842"/>
      <c r="V113" s="842"/>
      <c r="W113" s="842"/>
      <c r="X113" s="842"/>
      <c r="Y113" s="842"/>
      <c r="Z113" s="842"/>
      <c r="AA113" s="2209"/>
      <c r="AB113" s="2209"/>
      <c r="AC113" s="346"/>
    </row>
    <row r="114" spans="1:29" ht="18.75" customHeight="1" x14ac:dyDescent="0.2">
      <c r="A114" s="341"/>
      <c r="B114" s="345"/>
      <c r="C114" s="437"/>
      <c r="D114" s="842"/>
      <c r="E114" s="842"/>
      <c r="F114" s="842"/>
      <c r="G114" s="426"/>
      <c r="H114" s="842"/>
      <c r="I114" s="842"/>
      <c r="J114" s="842"/>
      <c r="K114" s="842"/>
      <c r="L114" s="842"/>
      <c r="M114" s="842"/>
      <c r="N114" s="842"/>
      <c r="O114" s="842"/>
      <c r="P114" s="842"/>
      <c r="Q114" s="842"/>
      <c r="R114" s="842"/>
      <c r="S114" s="842"/>
      <c r="T114" s="842"/>
      <c r="U114" s="842"/>
      <c r="V114" s="842"/>
      <c r="W114" s="842"/>
      <c r="X114" s="842"/>
      <c r="Y114" s="842"/>
      <c r="Z114" s="842"/>
      <c r="AA114" s="2209"/>
      <c r="AB114" s="2209"/>
      <c r="AC114" s="346"/>
    </row>
    <row r="115" spans="1:29" ht="18.75" customHeight="1" x14ac:dyDescent="0.2">
      <c r="A115" s="341"/>
      <c r="B115" s="345"/>
      <c r="C115" s="843" t="s">
        <v>949</v>
      </c>
      <c r="D115" s="842"/>
      <c r="E115" s="842"/>
      <c r="F115" s="842"/>
      <c r="G115" s="842"/>
      <c r="H115" s="842"/>
      <c r="I115" s="842"/>
      <c r="J115" s="842"/>
      <c r="K115" s="842"/>
      <c r="L115" s="842"/>
      <c r="M115" s="842"/>
      <c r="N115" s="842"/>
      <c r="O115" s="842"/>
      <c r="P115" s="842"/>
      <c r="Q115" s="842"/>
      <c r="R115" s="842"/>
      <c r="S115" s="842"/>
      <c r="T115" s="842"/>
      <c r="U115" s="842"/>
      <c r="V115" s="842"/>
      <c r="W115" s="842"/>
      <c r="X115" s="842"/>
      <c r="Y115" s="842"/>
      <c r="Z115" s="842"/>
      <c r="AA115" s="2209"/>
      <c r="AB115" s="2209"/>
      <c r="AC115" s="346"/>
    </row>
    <row r="116" spans="1:29" ht="18.75" customHeight="1" x14ac:dyDescent="0.2">
      <c r="A116" s="341"/>
      <c r="B116" s="345"/>
      <c r="C116" s="441" t="s">
        <v>568</v>
      </c>
      <c r="D116" s="351" t="s">
        <v>623</v>
      </c>
      <c r="E116" s="351" t="str">
        <f ca="1">HydroRefineryCalcs!F46</f>
        <v>LSR</v>
      </c>
      <c r="F116" s="351" t="str">
        <f>HydroRefineryCalcs!G46</f>
        <v>Straight Run Naphtha</v>
      </c>
      <c r="G116" s="356" t="s">
        <v>950</v>
      </c>
      <c r="H116" s="356" t="s">
        <v>426</v>
      </c>
      <c r="I116" s="351" t="str">
        <f t="shared" ref="I116:I123" ca="1" si="10">E116</f>
        <v>LSR</v>
      </c>
      <c r="J116" s="351" t="s">
        <v>364</v>
      </c>
      <c r="K116" s="368" t="s">
        <v>290</v>
      </c>
      <c r="L116" s="369"/>
      <c r="M116" s="842"/>
      <c r="N116" s="842"/>
      <c r="O116" s="842"/>
      <c r="P116" s="842"/>
      <c r="Q116" s="842"/>
      <c r="R116" s="842"/>
      <c r="S116" s="842"/>
      <c r="T116" s="842"/>
      <c r="U116" s="842"/>
      <c r="V116" s="842"/>
      <c r="W116" s="842"/>
      <c r="X116" s="842"/>
      <c r="Y116" s="842"/>
      <c r="Z116" s="842"/>
      <c r="AA116" s="2209"/>
      <c r="AB116" s="2209"/>
      <c r="AC116" s="346"/>
    </row>
    <row r="117" spans="1:29" ht="18.75" customHeight="1" x14ac:dyDescent="0.2">
      <c r="A117" s="341"/>
      <c r="B117" s="345"/>
      <c r="C117" s="442" t="str">
        <f t="shared" ref="C117:D126" si="11">C515</f>
        <v>Vol Flow</v>
      </c>
      <c r="D117" s="842" t="str">
        <f ca="1">D515</f>
        <v>bpd</v>
      </c>
      <c r="E117" s="842">
        <f ca="1">HydroRefineryCalcs!F47</f>
        <v>7538.9890466543711</v>
      </c>
      <c r="F117" s="842">
        <f ca="1">HydroRefineryCalcs!G47</f>
        <v>17316.221609700751</v>
      </c>
      <c r="G117" s="842">
        <f ca="1">E117+F117</f>
        <v>24855.210656355121</v>
      </c>
      <c r="H117" s="842">
        <f ca="1">H118/'Energy &amp; Unit Conversions'!G80</f>
        <v>17697.585317090663</v>
      </c>
      <c r="I117" s="842">
        <f t="shared" ca="1" si="10"/>
        <v>7538.9890466543711</v>
      </c>
      <c r="J117" s="842"/>
      <c r="K117" s="842"/>
      <c r="L117" s="337"/>
      <c r="M117" s="842"/>
      <c r="N117" s="842"/>
      <c r="O117" s="842"/>
      <c r="P117" s="842"/>
      <c r="Q117" s="842"/>
      <c r="R117" s="842"/>
      <c r="S117" s="842"/>
      <c r="T117" s="842"/>
      <c r="U117" s="842"/>
      <c r="V117" s="842"/>
      <c r="W117" s="842"/>
      <c r="X117" s="842"/>
      <c r="Y117" s="842"/>
      <c r="Z117" s="842"/>
      <c r="AA117" s="2209"/>
      <c r="AB117" s="2209"/>
      <c r="AC117" s="346"/>
    </row>
    <row r="118" spans="1:29" ht="18.75" customHeight="1" x14ac:dyDescent="0.2">
      <c r="A118" s="341"/>
      <c r="B118" s="345"/>
      <c r="C118" s="442" t="str">
        <f t="shared" si="11"/>
        <v>Vol Flow</v>
      </c>
      <c r="D118" s="842" t="str">
        <f ca="1">D516</f>
        <v>m^3/d</v>
      </c>
      <c r="E118" s="842">
        <f ca="1">HydroRefineryCalcs!F48</f>
        <v>1198.699258418045</v>
      </c>
      <c r="F118" s="842">
        <f ca="1">HydroRefineryCalcs!G48</f>
        <v>2753.059319927976</v>
      </c>
      <c r="G118" s="842">
        <f ca="1">E118+F118</f>
        <v>3951.7585783460208</v>
      </c>
      <c r="H118" s="842">
        <f ca="1">H119/H123</f>
        <v>2813.6913060838883</v>
      </c>
      <c r="I118" s="842">
        <f t="shared" ca="1" si="10"/>
        <v>1198.699258418045</v>
      </c>
      <c r="J118" s="842"/>
      <c r="K118" s="842"/>
      <c r="L118" s="337"/>
      <c r="M118" s="842"/>
      <c r="N118" s="842"/>
      <c r="O118" s="842"/>
      <c r="P118" s="842"/>
      <c r="Q118" s="842"/>
      <c r="R118" s="842"/>
      <c r="S118" s="842"/>
      <c r="T118" s="842"/>
      <c r="U118" s="842"/>
      <c r="V118" s="842"/>
      <c r="W118" s="842"/>
      <c r="X118" s="842"/>
      <c r="Y118" s="842"/>
      <c r="Z118" s="842"/>
      <c r="AA118" s="2209"/>
      <c r="AB118" s="2209"/>
      <c r="AC118" s="346"/>
    </row>
    <row r="119" spans="1:29" ht="18.75" customHeight="1" x14ac:dyDescent="0.2">
      <c r="A119" s="341"/>
      <c r="B119" s="345"/>
      <c r="C119" s="442" t="str">
        <f t="shared" si="11"/>
        <v>Mass Flow</v>
      </c>
      <c r="D119" s="842" t="str">
        <f t="shared" si="11"/>
        <v>kg/d</v>
      </c>
      <c r="E119" s="842">
        <f ca="1">HydroRefineryCalcs!F49</f>
        <v>854451.48145949247</v>
      </c>
      <c r="F119" s="842">
        <f ca="1">HydroRefineryCalcs!G49</f>
        <v>2157056.7659118799</v>
      </c>
      <c r="G119" s="842">
        <f ca="1">E119+F119</f>
        <v>3011508.2473713723</v>
      </c>
      <c r="H119" s="842">
        <f ca="1">F119+D139-H130</f>
        <v>2190142.6865078406</v>
      </c>
      <c r="I119" s="842">
        <f t="shared" ca="1" si="10"/>
        <v>854451.48145949247</v>
      </c>
      <c r="J119" s="842">
        <f ca="1">H130</f>
        <v>4314.1135318237602</v>
      </c>
      <c r="K119" s="842">
        <f ca="1">(J119+H119+I119+D145-G119-D145)/G119</f>
        <v>1.2419037590360039E-2</v>
      </c>
      <c r="L119" s="337" t="s">
        <v>291</v>
      </c>
      <c r="M119" s="842"/>
      <c r="N119" s="842"/>
      <c r="O119" s="842"/>
      <c r="P119" s="842"/>
      <c r="Q119" s="842"/>
      <c r="R119" s="842"/>
      <c r="S119" s="842"/>
      <c r="T119" s="842"/>
      <c r="U119" s="842"/>
      <c r="V119" s="842"/>
      <c r="W119" s="842"/>
      <c r="X119" s="842"/>
      <c r="Y119" s="842"/>
      <c r="Z119" s="842"/>
      <c r="AA119" s="2209"/>
      <c r="AB119" s="2209"/>
      <c r="AC119" s="346"/>
    </row>
    <row r="120" spans="1:29" ht="18.75" customHeight="1" x14ac:dyDescent="0.2">
      <c r="A120" s="341"/>
      <c r="B120" s="345"/>
      <c r="C120" s="442" t="str">
        <f t="shared" si="11"/>
        <v xml:space="preserve">Sulphur </v>
      </c>
      <c r="D120" s="842" t="str">
        <f t="shared" ref="D120:D126" ca="1" si="12">D518</f>
        <v>wt%</v>
      </c>
      <c r="E120" s="842">
        <f ca="1">HydroRefineryCalcs!F50</f>
        <v>0</v>
      </c>
      <c r="F120" s="842">
        <f ca="1">HydroRefineryCalcs!G50</f>
        <v>0</v>
      </c>
      <c r="G120" s="842">
        <f ca="1">(E120*E119+F120*F119)/G119</f>
        <v>0</v>
      </c>
      <c r="H120" s="386">
        <v>0</v>
      </c>
      <c r="I120" s="842">
        <f t="shared" ca="1" si="10"/>
        <v>0</v>
      </c>
      <c r="J120" s="842">
        <f ca="1">H132</f>
        <v>0</v>
      </c>
      <c r="K120" s="842" t="e">
        <f ca="1">(SUMPRODUCT(H120:J120,H119:J119)-(G120*G119))/(G120*G119)</f>
        <v>#DIV/0!</v>
      </c>
      <c r="L120" s="337" t="s">
        <v>291</v>
      </c>
      <c r="M120" s="842"/>
      <c r="N120" s="842"/>
      <c r="O120" s="842"/>
      <c r="P120" s="842"/>
      <c r="Q120" s="842"/>
      <c r="R120" s="842"/>
      <c r="S120" s="842"/>
      <c r="T120" s="842"/>
      <c r="U120" s="842"/>
      <c r="V120" s="842"/>
      <c r="W120" s="842"/>
      <c r="X120" s="842"/>
      <c r="Y120" s="842"/>
      <c r="Z120" s="842"/>
      <c r="AA120" s="2209"/>
      <c r="AB120" s="2209"/>
      <c r="AC120" s="346"/>
    </row>
    <row r="121" spans="1:29" ht="18.75" customHeight="1" x14ac:dyDescent="0.2">
      <c r="A121" s="341"/>
      <c r="B121" s="345"/>
      <c r="C121" s="442" t="str">
        <f t="shared" si="11"/>
        <v xml:space="preserve">Nitrogen </v>
      </c>
      <c r="D121" s="842" t="str">
        <f t="shared" ca="1" si="12"/>
        <v>mass ppm</v>
      </c>
      <c r="E121" s="842">
        <f ca="1">HydroRefineryCalcs!F51</f>
        <v>0</v>
      </c>
      <c r="F121" s="842">
        <f ca="1">HydroRefineryCalcs!G51</f>
        <v>0</v>
      </c>
      <c r="G121" s="842">
        <f ca="1">(E121*E119+F121*F119)/G119</f>
        <v>0</v>
      </c>
      <c r="H121" s="386">
        <v>0</v>
      </c>
      <c r="I121" s="842">
        <f t="shared" ca="1" si="10"/>
        <v>0</v>
      </c>
      <c r="J121" s="842"/>
      <c r="K121" s="842"/>
      <c r="L121" s="337"/>
      <c r="M121" s="842"/>
      <c r="N121" s="842"/>
      <c r="O121" s="842"/>
      <c r="P121" s="842"/>
      <c r="Q121" s="842"/>
      <c r="R121" s="842"/>
      <c r="S121" s="842"/>
      <c r="T121" s="842"/>
      <c r="U121" s="842"/>
      <c r="V121" s="842"/>
      <c r="W121" s="842"/>
      <c r="X121" s="842"/>
      <c r="Y121" s="842"/>
      <c r="Z121" s="842"/>
      <c r="AA121" s="2209"/>
      <c r="AB121" s="2209"/>
      <c r="AC121" s="346"/>
    </row>
    <row r="122" spans="1:29" ht="18.75" customHeight="1" x14ac:dyDescent="0.2">
      <c r="A122" s="341"/>
      <c r="B122" s="345"/>
      <c r="C122" s="442" t="str">
        <f t="shared" si="11"/>
        <v xml:space="preserve">API gravity </v>
      </c>
      <c r="D122" s="842" t="str">
        <f t="shared" ca="1" si="12"/>
        <v>oAPI</v>
      </c>
      <c r="E122" s="842">
        <f ca="1">HydroRefineryCalcs!F52</f>
        <v>66.810065343505755</v>
      </c>
      <c r="F122" s="842">
        <f ca="1">HydroRefineryCalcs!G52</f>
        <v>49.096959674877127</v>
      </c>
      <c r="G122" s="842">
        <f ca="1">141.5/(G123/1000)-131.5</f>
        <v>54.178999658740054</v>
      </c>
      <c r="H122" s="842">
        <f ca="1">F122+H135</f>
        <v>50.096959674877127</v>
      </c>
      <c r="I122" s="842">
        <f t="shared" ca="1" si="10"/>
        <v>66.810065343505755</v>
      </c>
      <c r="J122" s="842"/>
      <c r="K122" s="842"/>
      <c r="L122" s="337"/>
      <c r="M122" s="842"/>
      <c r="N122" s="842"/>
      <c r="O122" s="842"/>
      <c r="P122" s="842"/>
      <c r="Q122" s="842"/>
      <c r="R122" s="842"/>
      <c r="S122" s="842"/>
      <c r="T122" s="842"/>
      <c r="U122" s="842"/>
      <c r="V122" s="842"/>
      <c r="W122" s="842"/>
      <c r="X122" s="842"/>
      <c r="Y122" s="842"/>
      <c r="Z122" s="842"/>
      <c r="AA122" s="2209"/>
      <c r="AB122" s="2209"/>
      <c r="AC122" s="346"/>
    </row>
    <row r="123" spans="1:29" ht="18.75" customHeight="1" x14ac:dyDescent="0.2">
      <c r="A123" s="341"/>
      <c r="B123" s="345"/>
      <c r="C123" s="442" t="str">
        <f t="shared" si="11"/>
        <v>Density</v>
      </c>
      <c r="D123" s="842" t="str">
        <f t="shared" ca="1" si="12"/>
        <v>kg/m^3</v>
      </c>
      <c r="E123" s="842">
        <f ca="1">HydroRefineryCalcs!F53</f>
        <v>712.81555858066895</v>
      </c>
      <c r="F123" s="842">
        <f ca="1">HydroRefineryCalcs!G53</f>
        <v>783.51263639619344</v>
      </c>
      <c r="G123" s="842">
        <f ca="1">G119/G118</f>
        <v>762.06787121894899</v>
      </c>
      <c r="H123" s="842">
        <f ca="1">141.5/(H122+131.51)*'Energy &amp; Unit Conversions'!J93*'Energy &amp; Unit Conversions'!E93</f>
        <v>778.38769369341151</v>
      </c>
      <c r="I123" s="842">
        <f t="shared" ca="1" si="10"/>
        <v>712.81555858066895</v>
      </c>
      <c r="J123" s="842"/>
      <c r="K123" s="842"/>
      <c r="L123" s="337"/>
      <c r="M123" s="842"/>
      <c r="N123" s="842"/>
      <c r="O123" s="842"/>
      <c r="P123" s="842"/>
      <c r="Q123" s="842"/>
      <c r="R123" s="842"/>
      <c r="S123" s="842"/>
      <c r="T123" s="842"/>
      <c r="U123" s="842"/>
      <c r="V123" s="842"/>
      <c r="W123" s="842"/>
      <c r="X123" s="842"/>
      <c r="Y123" s="842"/>
      <c r="Z123" s="842"/>
      <c r="AA123" s="2209"/>
      <c r="AB123" s="2209"/>
      <c r="AC123" s="346"/>
    </row>
    <row r="124" spans="1:29" ht="18.75" customHeight="1" x14ac:dyDescent="0.2">
      <c r="A124" s="341"/>
      <c r="B124" s="345"/>
      <c r="C124" s="442" t="str">
        <f t="shared" si="11"/>
        <v>Hydrogen</v>
      </c>
      <c r="D124" s="842" t="str">
        <f t="shared" ca="1" si="12"/>
        <v>wt%</v>
      </c>
      <c r="E124" s="842">
        <f ca="1">HydroRefineryCalcs!F54</f>
        <v>15.321692746753095</v>
      </c>
      <c r="F124" s="842">
        <f ca="1">HydroRefineryCalcs!G54</f>
        <v>13.50174052285624</v>
      </c>
      <c r="G124" s="842">
        <f ca="1">(E124*E119+F124*F119)/G119</f>
        <v>14.018113298939959</v>
      </c>
      <c r="H124" s="386">
        <f ca="1">IF(F124&lt;15,15,(F119*F124/100+D131+D132+D134+D141-H130*H131/100)/(F119+D131+D132+D134+D141-F119*(F121-H121)/1000000-H130)*100)</f>
        <v>15</v>
      </c>
      <c r="I124" s="842">
        <f ca="1">IF(E124&lt;H124,H124,E124)</f>
        <v>15.321692746753095</v>
      </c>
      <c r="J124" s="842">
        <f ca="1">H131</f>
        <v>18.364315923905643</v>
      </c>
      <c r="K124" s="842">
        <f ca="1">(SUMPRODUCT(H124:J124,H119:J119)-(G124*G119)-D145)/(G124*G119)</f>
        <v>8.9283281680051757E-2</v>
      </c>
      <c r="L124" s="337" t="s">
        <v>291</v>
      </c>
      <c r="M124" s="842"/>
      <c r="N124" s="842"/>
      <c r="O124" s="842"/>
      <c r="P124" s="842"/>
      <c r="Q124" s="842"/>
      <c r="R124" s="842"/>
      <c r="S124" s="842"/>
      <c r="T124" s="842"/>
      <c r="U124" s="842"/>
      <c r="V124" s="842"/>
      <c r="W124" s="842"/>
      <c r="X124" s="842"/>
      <c r="Y124" s="842"/>
      <c r="Z124" s="842"/>
      <c r="AA124" s="2209"/>
      <c r="AB124" s="2209"/>
      <c r="AC124" s="346"/>
    </row>
    <row r="125" spans="1:29" ht="18.75" customHeight="1" x14ac:dyDescent="0.2">
      <c r="A125" s="341"/>
      <c r="B125" s="345"/>
      <c r="C125" s="442" t="str">
        <f t="shared" si="11"/>
        <v>MCR</v>
      </c>
      <c r="D125" s="842" t="str">
        <f t="shared" ca="1" si="12"/>
        <v>wt%</v>
      </c>
      <c r="E125" s="842"/>
      <c r="F125" s="842"/>
      <c r="G125" s="842"/>
      <c r="H125" s="842"/>
      <c r="I125" s="842"/>
      <c r="J125" s="842"/>
      <c r="K125" s="842"/>
      <c r="L125" s="337"/>
      <c r="M125" s="842"/>
      <c r="N125" s="842"/>
      <c r="O125" s="842"/>
      <c r="P125" s="842"/>
      <c r="Q125" s="842"/>
      <c r="R125" s="842"/>
      <c r="S125" s="842"/>
      <c r="T125" s="842"/>
      <c r="U125" s="842"/>
      <c r="V125" s="842"/>
      <c r="W125" s="842"/>
      <c r="X125" s="842"/>
      <c r="Y125" s="842"/>
      <c r="Z125" s="842"/>
      <c r="AA125" s="2209"/>
      <c r="AB125" s="2209"/>
      <c r="AC125" s="346"/>
    </row>
    <row r="126" spans="1:29" ht="18.75" customHeight="1" x14ac:dyDescent="0.2">
      <c r="A126" s="341"/>
      <c r="B126" s="345"/>
      <c r="C126" s="443" t="str">
        <f t="shared" si="11"/>
        <v>Characterization Factor</v>
      </c>
      <c r="D126" s="334" t="str">
        <f t="shared" ca="1" si="12"/>
        <v xml:space="preserve">Kw (Approximate) </v>
      </c>
      <c r="E126" s="334"/>
      <c r="F126" s="334"/>
      <c r="G126" s="334"/>
      <c r="H126" s="334"/>
      <c r="I126" s="334"/>
      <c r="J126" s="334"/>
      <c r="K126" s="334"/>
      <c r="L126" s="338"/>
      <c r="M126" s="842"/>
      <c r="N126" s="842"/>
      <c r="O126" s="842"/>
      <c r="P126" s="842"/>
      <c r="Q126" s="842"/>
      <c r="R126" s="842"/>
      <c r="S126" s="842"/>
      <c r="T126" s="842"/>
      <c r="U126" s="842"/>
      <c r="V126" s="842"/>
      <c r="W126" s="842"/>
      <c r="X126" s="842"/>
      <c r="Y126" s="842"/>
      <c r="Z126" s="842"/>
      <c r="AA126" s="2209"/>
      <c r="AB126" s="2209"/>
      <c r="AC126" s="346"/>
    </row>
    <row r="127" spans="1:29" ht="18.75" customHeight="1" x14ac:dyDescent="0.2">
      <c r="A127" s="341"/>
      <c r="B127" s="345"/>
      <c r="C127" s="444"/>
      <c r="D127" s="842"/>
      <c r="E127" s="842"/>
      <c r="F127" s="842"/>
      <c r="G127" s="842"/>
      <c r="H127" s="842"/>
      <c r="I127" s="842"/>
      <c r="J127" s="842"/>
      <c r="K127" s="842"/>
      <c r="L127" s="842"/>
      <c r="M127" s="842"/>
      <c r="N127" s="842"/>
      <c r="O127" s="842"/>
      <c r="P127" s="842"/>
      <c r="Q127" s="842"/>
      <c r="R127" s="842"/>
      <c r="S127" s="842"/>
      <c r="T127" s="842"/>
      <c r="U127" s="842"/>
      <c r="V127" s="842"/>
      <c r="W127" s="842"/>
      <c r="X127" s="842"/>
      <c r="Y127" s="842"/>
      <c r="Z127" s="842"/>
      <c r="AA127" s="2209"/>
      <c r="AB127" s="2209"/>
      <c r="AC127" s="346"/>
    </row>
    <row r="128" spans="1:29" ht="18.75" customHeight="1" x14ac:dyDescent="0.2">
      <c r="A128" s="341"/>
      <c r="B128" s="345"/>
      <c r="C128" s="843" t="s">
        <v>308</v>
      </c>
      <c r="D128" s="842"/>
      <c r="E128" s="842"/>
      <c r="F128" s="842"/>
      <c r="G128" s="843" t="s">
        <v>241</v>
      </c>
      <c r="H128" s="843"/>
      <c r="I128" s="842"/>
      <c r="J128" s="842"/>
      <c r="K128" s="842"/>
      <c r="L128" s="842"/>
      <c r="M128" s="842"/>
      <c r="N128" s="842"/>
      <c r="O128" s="842"/>
      <c r="P128" s="842"/>
      <c r="Q128" s="842"/>
      <c r="R128" s="842"/>
      <c r="S128" s="842"/>
      <c r="T128" s="842"/>
      <c r="U128" s="842"/>
      <c r="V128" s="842"/>
      <c r="W128" s="842"/>
      <c r="X128" s="842"/>
      <c r="Y128" s="842"/>
      <c r="Z128" s="842"/>
      <c r="AA128" s="2209"/>
      <c r="AB128" s="2209"/>
      <c r="AC128" s="346"/>
    </row>
    <row r="129" spans="1:29" ht="18.75" customHeight="1" x14ac:dyDescent="0.2">
      <c r="A129" s="341"/>
      <c r="B129" s="345"/>
      <c r="C129" s="855"/>
      <c r="D129" s="351" t="s">
        <v>624</v>
      </c>
      <c r="E129" s="352" t="s">
        <v>623</v>
      </c>
      <c r="F129" s="842"/>
      <c r="G129" s="855"/>
      <c r="H129" s="351" t="s">
        <v>624</v>
      </c>
      <c r="I129" s="352" t="s">
        <v>623</v>
      </c>
      <c r="J129" s="842"/>
      <c r="K129" s="842"/>
      <c r="L129" s="842"/>
      <c r="M129" s="842"/>
      <c r="N129" s="842"/>
      <c r="O129" s="842"/>
      <c r="P129" s="842"/>
      <c r="Q129" s="842"/>
      <c r="R129" s="842"/>
      <c r="S129" s="842"/>
      <c r="T129" s="842"/>
      <c r="U129" s="842"/>
      <c r="V129" s="842"/>
      <c r="W129" s="842"/>
      <c r="X129" s="842"/>
      <c r="Y129" s="842"/>
      <c r="Z129" s="842"/>
      <c r="AA129" s="2209"/>
      <c r="AB129" s="2209"/>
      <c r="AC129" s="346"/>
    </row>
    <row r="130" spans="1:29" ht="18.75" customHeight="1" x14ac:dyDescent="0.2">
      <c r="A130" s="341"/>
      <c r="B130" s="345"/>
      <c r="C130" s="453" t="s">
        <v>376</v>
      </c>
      <c r="D130" s="842">
        <f ca="1">F119*(F120-H120)/100</f>
        <v>0</v>
      </c>
      <c r="E130" s="337" t="s">
        <v>622</v>
      </c>
      <c r="F130" s="842"/>
      <c r="G130" s="856" t="s">
        <v>363</v>
      </c>
      <c r="H130" s="842">
        <f ca="1">D143+D144</f>
        <v>4314.1135318237602</v>
      </c>
      <c r="I130" s="337" t="s">
        <v>622</v>
      </c>
      <c r="J130" s="842"/>
      <c r="K130" s="842"/>
      <c r="L130" s="842"/>
      <c r="M130" s="842"/>
      <c r="N130" s="842"/>
      <c r="O130" s="842"/>
      <c r="P130" s="842"/>
      <c r="Q130" s="842"/>
      <c r="R130" s="842"/>
      <c r="S130" s="842"/>
      <c r="T130" s="842"/>
      <c r="U130" s="842"/>
      <c r="V130" s="842"/>
      <c r="W130" s="842"/>
      <c r="X130" s="842"/>
      <c r="Y130" s="842"/>
      <c r="Z130" s="842"/>
      <c r="AA130" s="2209"/>
      <c r="AB130" s="2209"/>
      <c r="AC130" s="346"/>
    </row>
    <row r="131" spans="1:29" ht="18.75" customHeight="1" x14ac:dyDescent="0.2">
      <c r="A131" s="341"/>
      <c r="B131" s="345"/>
      <c r="C131" s="453" t="s">
        <v>380</v>
      </c>
      <c r="D131" s="842">
        <f ca="1">2/32*D130</f>
        <v>0</v>
      </c>
      <c r="E131" s="337" t="s">
        <v>622</v>
      </c>
      <c r="F131" s="842"/>
      <c r="G131" s="856" t="s">
        <v>377</v>
      </c>
      <c r="H131" s="842">
        <f ca="1">(D142/100*D143+2/34*D144)/H130*100</f>
        <v>18.364315923905643</v>
      </c>
      <c r="I131" s="337" t="s">
        <v>579</v>
      </c>
      <c r="J131" s="842"/>
      <c r="K131" s="842"/>
      <c r="L131" s="842"/>
      <c r="M131" s="842"/>
      <c r="N131" s="842"/>
      <c r="O131" s="842"/>
      <c r="P131" s="842"/>
      <c r="Q131" s="842"/>
      <c r="R131" s="842"/>
      <c r="S131" s="842"/>
      <c r="T131" s="842"/>
      <c r="U131" s="842"/>
      <c r="V131" s="842"/>
      <c r="W131" s="842"/>
      <c r="X131" s="842"/>
      <c r="Y131" s="842"/>
      <c r="Z131" s="842"/>
      <c r="AA131" s="2209"/>
      <c r="AB131" s="2209"/>
      <c r="AC131" s="346"/>
    </row>
    <row r="132" spans="1:29" ht="18.75" customHeight="1" x14ac:dyDescent="0.2">
      <c r="A132" s="341"/>
      <c r="B132" s="345"/>
      <c r="C132" s="453" t="s">
        <v>381</v>
      </c>
      <c r="D132" s="842">
        <f ca="1">D131</f>
        <v>0</v>
      </c>
      <c r="E132" s="337" t="s">
        <v>622</v>
      </c>
      <c r="F132" s="842"/>
      <c r="G132" s="856" t="s">
        <v>378</v>
      </c>
      <c r="H132" s="842">
        <f ca="1">32/34*D144/H130*100</f>
        <v>0</v>
      </c>
      <c r="I132" s="337" t="s">
        <v>579</v>
      </c>
      <c r="J132" s="842"/>
      <c r="L132" s="842"/>
      <c r="M132" s="842"/>
      <c r="N132" s="842"/>
      <c r="O132" s="842"/>
      <c r="P132" s="842"/>
      <c r="Q132" s="842"/>
      <c r="R132" s="842"/>
      <c r="S132" s="842"/>
      <c r="T132" s="842"/>
      <c r="U132" s="842"/>
      <c r="V132" s="842"/>
      <c r="W132" s="842"/>
      <c r="X132" s="842"/>
      <c r="Y132" s="842"/>
      <c r="Z132" s="842"/>
      <c r="AA132" s="2209"/>
      <c r="AB132" s="2209"/>
      <c r="AC132" s="346"/>
    </row>
    <row r="133" spans="1:29" ht="18.75" customHeight="1" x14ac:dyDescent="0.2">
      <c r="A133" s="341"/>
      <c r="B133" s="345"/>
      <c r="C133" s="453" t="s">
        <v>1393</v>
      </c>
      <c r="D133" s="842" t="e">
        <f ca="1">(D132+D131)*'Energy &amp; Unit Conversions'!E93/'Energy &amp; Unit Conversions'!E26*'Energy &amp; Unit Conversions'!G82/F118/(F120-H120)</f>
        <v>#DIV/0!</v>
      </c>
      <c r="E133" s="337" t="s">
        <v>904</v>
      </c>
      <c r="F133" s="842"/>
      <c r="G133" s="856" t="s">
        <v>379</v>
      </c>
      <c r="H133" s="842">
        <f ca="1">H130/(D145+F119)*100</f>
        <v>0.19652045935872423</v>
      </c>
      <c r="I133" s="337" t="s">
        <v>579</v>
      </c>
      <c r="J133" s="842"/>
      <c r="K133" s="842"/>
      <c r="L133" s="842"/>
      <c r="M133" s="842"/>
      <c r="N133" s="842"/>
      <c r="O133" s="842"/>
      <c r="P133" s="842"/>
      <c r="Q133" s="842"/>
      <c r="R133" s="842"/>
      <c r="S133" s="842"/>
      <c r="T133" s="842"/>
      <c r="U133" s="842"/>
      <c r="V133" s="842"/>
      <c r="W133" s="842"/>
      <c r="X133" s="842"/>
      <c r="Y133" s="842"/>
      <c r="Z133" s="842"/>
      <c r="AA133" s="2209"/>
      <c r="AB133" s="2209"/>
      <c r="AC133" s="346"/>
    </row>
    <row r="134" spans="1:29" ht="18.75" customHeight="1" x14ac:dyDescent="0.2">
      <c r="A134" s="341"/>
      <c r="B134" s="345"/>
      <c r="C134" s="881" t="s">
        <v>905</v>
      </c>
      <c r="D134" s="842">
        <f ca="1">D135*F118*(F121-H121)/10000/'Energy &amp; Unit Conversions'!G82*'Energy &amp; Unit Conversions'!E26/'Energy &amp; Unit Conversions'!E93</f>
        <v>0</v>
      </c>
      <c r="E134" s="337" t="s">
        <v>622</v>
      </c>
      <c r="F134" s="842"/>
      <c r="G134" s="865" t="s">
        <v>1092</v>
      </c>
      <c r="H134" s="976">
        <v>2E-3</v>
      </c>
      <c r="I134" s="866" t="s">
        <v>1091</v>
      </c>
      <c r="J134" s="842"/>
      <c r="K134" s="842"/>
      <c r="L134" s="842"/>
      <c r="M134" s="842"/>
      <c r="N134" s="842"/>
      <c r="O134" s="842"/>
      <c r="P134" s="842"/>
      <c r="Q134" s="842"/>
      <c r="R134" s="842"/>
      <c r="S134" s="842"/>
      <c r="T134" s="842"/>
      <c r="U134" s="842"/>
      <c r="V134" s="842"/>
      <c r="W134" s="842"/>
      <c r="X134" s="842"/>
      <c r="Y134" s="842"/>
      <c r="Z134" s="842"/>
      <c r="AA134" s="2209"/>
      <c r="AB134" s="2209"/>
      <c r="AC134" s="346"/>
    </row>
    <row r="135" spans="1:29" ht="18.75" customHeight="1" x14ac:dyDescent="0.2">
      <c r="A135" s="341"/>
      <c r="B135" s="345"/>
      <c r="C135" s="881" t="s">
        <v>905</v>
      </c>
      <c r="D135" s="410">
        <v>34</v>
      </c>
      <c r="E135" s="337" t="s">
        <v>904</v>
      </c>
      <c r="F135" s="842"/>
      <c r="G135" s="857" t="s">
        <v>733</v>
      </c>
      <c r="H135" s="884">
        <v>1</v>
      </c>
      <c r="I135" s="338"/>
      <c r="J135" s="842"/>
      <c r="K135" s="842"/>
      <c r="L135" s="842"/>
      <c r="M135" s="842"/>
      <c r="N135" s="842"/>
      <c r="O135" s="842"/>
      <c r="P135" s="842"/>
      <c r="Q135" s="842"/>
      <c r="R135" s="842"/>
      <c r="S135" s="842"/>
      <c r="T135" s="842"/>
      <c r="U135" s="842"/>
      <c r="V135" s="842"/>
      <c r="W135" s="842"/>
      <c r="X135" s="842"/>
      <c r="Y135" s="842"/>
      <c r="Z135" s="842"/>
      <c r="AA135" s="2209"/>
      <c r="AB135" s="2209"/>
      <c r="AC135" s="346"/>
    </row>
    <row r="136" spans="1:29" ht="18.75" customHeight="1" x14ac:dyDescent="0.2">
      <c r="A136" s="341"/>
      <c r="B136" s="345"/>
      <c r="C136" s="881" t="s">
        <v>1520</v>
      </c>
      <c r="D136" s="842">
        <f ca="1">F124/100*F119</f>
        <v>291240.20746413653</v>
      </c>
      <c r="E136" s="337" t="s">
        <v>622</v>
      </c>
      <c r="F136" s="842"/>
      <c r="G136" s="842"/>
      <c r="H136" s="842"/>
      <c r="I136" s="842"/>
      <c r="J136" s="842"/>
      <c r="K136" s="842"/>
      <c r="L136" s="842"/>
      <c r="M136" s="842"/>
      <c r="N136" s="842"/>
      <c r="O136" s="842"/>
      <c r="P136" s="842"/>
      <c r="Q136" s="842"/>
      <c r="R136" s="842"/>
      <c r="S136" s="842"/>
      <c r="T136" s="842"/>
      <c r="U136" s="842"/>
      <c r="V136" s="842"/>
      <c r="W136" s="842"/>
      <c r="X136" s="842"/>
      <c r="Y136" s="842"/>
      <c r="Z136" s="842"/>
      <c r="AA136" s="2209"/>
      <c r="AB136" s="2209"/>
      <c r="AC136" s="346"/>
    </row>
    <row r="137" spans="1:29" ht="18.75" customHeight="1" x14ac:dyDescent="0.2">
      <c r="A137" s="341"/>
      <c r="B137" s="345"/>
      <c r="C137" s="881" t="s">
        <v>1740</v>
      </c>
      <c r="D137" s="842">
        <f ca="1">D138/(1-H124/100-H120/100)</f>
        <v>2190934.9439461408</v>
      </c>
      <c r="E137" s="337" t="s">
        <v>622</v>
      </c>
      <c r="F137" s="842"/>
      <c r="G137" s="842"/>
      <c r="H137" s="842"/>
      <c r="I137" s="842"/>
      <c r="J137" s="842"/>
      <c r="K137" s="842"/>
      <c r="L137" s="842"/>
      <c r="M137" s="842"/>
      <c r="N137" s="842"/>
      <c r="O137" s="842"/>
      <c r="P137" s="842"/>
      <c r="Q137" s="842"/>
      <c r="R137" s="842"/>
      <c r="S137" s="842"/>
      <c r="T137" s="842"/>
      <c r="U137" s="842"/>
      <c r="V137" s="842"/>
      <c r="W137" s="842"/>
      <c r="X137" s="842"/>
      <c r="Y137" s="842"/>
      <c r="Z137" s="842"/>
      <c r="AA137" s="2209"/>
      <c r="AB137" s="2209"/>
      <c r="AC137" s="346"/>
    </row>
    <row r="138" spans="1:29" ht="18.75" customHeight="1" x14ac:dyDescent="0.2">
      <c r="A138" s="341"/>
      <c r="B138" s="345"/>
      <c r="C138" s="881" t="s">
        <v>1521</v>
      </c>
      <c r="D138" s="842">
        <f ca="1">F119*(1-F124/100-F120/100-F121/1000000)-D140</f>
        <v>1862294.7023542195</v>
      </c>
      <c r="E138" s="337" t="s">
        <v>622</v>
      </c>
      <c r="F138" s="842"/>
      <c r="G138" s="842"/>
      <c r="H138" s="842"/>
      <c r="I138" s="842"/>
      <c r="J138" s="842"/>
      <c r="K138" s="842"/>
      <c r="L138" s="842"/>
      <c r="M138" s="842"/>
      <c r="N138" s="842"/>
      <c r="O138" s="842"/>
      <c r="P138" s="842"/>
      <c r="Q138" s="842"/>
      <c r="R138" s="842"/>
      <c r="S138" s="842"/>
      <c r="T138" s="842"/>
      <c r="U138" s="842"/>
      <c r="V138" s="842"/>
      <c r="W138" s="842"/>
      <c r="X138" s="842"/>
      <c r="Y138" s="842"/>
      <c r="Z138" s="842"/>
      <c r="AA138" s="2209"/>
      <c r="AB138" s="2209"/>
      <c r="AC138" s="346"/>
    </row>
    <row r="139" spans="1:29" ht="18.75" customHeight="1" x14ac:dyDescent="0.2">
      <c r="A139" s="341"/>
      <c r="B139" s="345"/>
      <c r="C139" s="881" t="s">
        <v>1779</v>
      </c>
      <c r="D139" s="842">
        <f ca="1">D137*(H124/100)-D136-D131-D134</f>
        <v>37400.034127784602</v>
      </c>
      <c r="E139" s="337" t="s">
        <v>622</v>
      </c>
      <c r="F139" s="842">
        <f ca="1">F119*F124/100+D145-H119*H124/100-H130*H131/100</f>
        <v>118.83861574499713</v>
      </c>
      <c r="G139" s="842" t="s">
        <v>1413</v>
      </c>
      <c r="H139" s="842"/>
      <c r="I139" s="842"/>
      <c r="J139" s="842"/>
      <c r="K139" s="842"/>
      <c r="L139" s="842"/>
      <c r="M139" s="842"/>
      <c r="N139" s="842"/>
      <c r="O139" s="842"/>
      <c r="P139" s="842"/>
      <c r="Q139" s="842"/>
      <c r="R139" s="842"/>
      <c r="S139" s="842"/>
      <c r="T139" s="842"/>
      <c r="U139" s="842"/>
      <c r="V139" s="842"/>
      <c r="W139" s="842"/>
      <c r="X139" s="842"/>
      <c r="Y139" s="842"/>
      <c r="Z139" s="842"/>
      <c r="AA139" s="2209"/>
      <c r="AB139" s="2209"/>
      <c r="AC139" s="346"/>
    </row>
    <row r="140" spans="1:29" ht="18.75" customHeight="1" x14ac:dyDescent="0.2">
      <c r="A140" s="341"/>
      <c r="B140" s="345"/>
      <c r="C140" s="881" t="s">
        <v>1522</v>
      </c>
      <c r="D140" s="842">
        <f ca="1">D143*(1-D142/100)</f>
        <v>3521.8560935236815</v>
      </c>
      <c r="E140" s="337" t="s">
        <v>622</v>
      </c>
      <c r="F140" s="842">
        <f ca="1">F119+D139-H119-H130</f>
        <v>-2.4556356947869062E-11</v>
      </c>
      <c r="G140" s="842" t="s">
        <v>1414</v>
      </c>
      <c r="H140" s="842"/>
      <c r="I140" s="842"/>
      <c r="J140" s="842"/>
      <c r="K140" s="842"/>
      <c r="L140" s="842"/>
      <c r="M140" s="842"/>
      <c r="N140" s="842"/>
      <c r="O140" s="842"/>
      <c r="P140" s="842"/>
      <c r="Q140" s="842"/>
      <c r="R140" s="842"/>
      <c r="S140" s="842"/>
      <c r="T140" s="842"/>
      <c r="U140" s="842"/>
      <c r="V140" s="842"/>
      <c r="W140" s="842"/>
      <c r="X140" s="842"/>
      <c r="Y140" s="842"/>
      <c r="Z140" s="842"/>
      <c r="AA140" s="2209"/>
      <c r="AB140" s="2209"/>
      <c r="AC140" s="346"/>
    </row>
    <row r="141" spans="1:29" ht="18.75" customHeight="1" x14ac:dyDescent="0.2">
      <c r="A141" s="341"/>
      <c r="B141" s="345"/>
      <c r="C141" s="881" t="s">
        <v>1523</v>
      </c>
      <c r="D141" s="842">
        <f ca="1">D143*(D142/100)</f>
        <v>792.257438300079</v>
      </c>
      <c r="E141" s="337" t="s">
        <v>622</v>
      </c>
      <c r="F141" s="842"/>
      <c r="G141" s="842"/>
      <c r="H141" s="842"/>
      <c r="I141" s="842"/>
      <c r="J141" s="842"/>
      <c r="K141" s="842"/>
      <c r="L141" s="842"/>
      <c r="M141" s="842"/>
      <c r="N141" s="842"/>
      <c r="O141" s="842"/>
      <c r="P141" s="842"/>
      <c r="Q141" s="842"/>
      <c r="R141" s="842"/>
      <c r="S141" s="842"/>
      <c r="T141" s="842"/>
      <c r="U141" s="842"/>
      <c r="V141" s="842"/>
      <c r="W141" s="842"/>
      <c r="X141" s="842"/>
      <c r="Y141" s="842"/>
      <c r="Z141" s="842"/>
      <c r="AA141" s="2209"/>
      <c r="AB141" s="2209"/>
      <c r="AC141" s="346"/>
    </row>
    <row r="142" spans="1:29" ht="18.75" customHeight="1" x14ac:dyDescent="0.2">
      <c r="A142" s="341"/>
      <c r="B142" s="345"/>
      <c r="C142" s="881" t="s">
        <v>375</v>
      </c>
      <c r="D142" s="410">
        <f>Constants!N391</f>
        <v>18.364315923905643</v>
      </c>
      <c r="E142" s="337" t="s">
        <v>579</v>
      </c>
      <c r="F142" s="842"/>
      <c r="G142" s="842"/>
      <c r="H142" s="842"/>
      <c r="I142" s="842"/>
      <c r="J142" s="842"/>
      <c r="K142" s="842"/>
      <c r="L142" s="842"/>
      <c r="M142" s="842"/>
      <c r="N142" s="842"/>
      <c r="O142" s="842"/>
      <c r="P142" s="842"/>
      <c r="Q142" s="842"/>
      <c r="R142" s="842"/>
      <c r="S142" s="842"/>
      <c r="T142" s="842"/>
      <c r="U142" s="842"/>
      <c r="V142" s="842"/>
      <c r="W142" s="842"/>
      <c r="X142" s="842"/>
      <c r="Y142" s="842"/>
      <c r="Z142" s="842"/>
      <c r="AA142" s="2209"/>
      <c r="AB142" s="2209"/>
      <c r="AC142" s="346"/>
    </row>
    <row r="143" spans="1:29" ht="18.75" customHeight="1" x14ac:dyDescent="0.2">
      <c r="A143" s="341"/>
      <c r="B143" s="345"/>
      <c r="C143" s="881" t="s">
        <v>385</v>
      </c>
      <c r="D143" s="842">
        <f ca="1">F119*H134</f>
        <v>4314.1135318237602</v>
      </c>
      <c r="E143" s="337" t="s">
        <v>622</v>
      </c>
      <c r="F143" s="842"/>
      <c r="G143" s="842"/>
      <c r="H143" s="842"/>
      <c r="I143" s="842"/>
      <c r="J143" s="842"/>
      <c r="K143" s="842"/>
      <c r="L143" s="842"/>
      <c r="M143" s="842"/>
      <c r="N143" s="842"/>
      <c r="O143" s="842"/>
      <c r="P143" s="842"/>
      <c r="Q143" s="842"/>
      <c r="R143" s="842"/>
      <c r="S143" s="842"/>
      <c r="T143" s="842"/>
      <c r="U143" s="842"/>
      <c r="V143" s="842"/>
      <c r="W143" s="842"/>
      <c r="X143" s="842"/>
      <c r="Y143" s="842"/>
      <c r="Z143" s="842"/>
      <c r="AA143" s="2209"/>
      <c r="AB143" s="2209"/>
      <c r="AC143" s="346"/>
    </row>
    <row r="144" spans="1:29" ht="18.75" customHeight="1" x14ac:dyDescent="0.2">
      <c r="A144" s="341"/>
      <c r="B144" s="345"/>
      <c r="C144" s="453" t="s">
        <v>384</v>
      </c>
      <c r="D144" s="842">
        <f ca="1">D130+D132</f>
        <v>0</v>
      </c>
      <c r="E144" s="337" t="s">
        <v>622</v>
      </c>
      <c r="F144" s="842"/>
      <c r="G144" s="842"/>
      <c r="H144" s="842"/>
      <c r="I144" s="842"/>
      <c r="J144" s="842"/>
      <c r="K144" s="842"/>
      <c r="L144" s="842"/>
      <c r="M144" s="842"/>
      <c r="N144" s="842"/>
      <c r="O144" s="842"/>
      <c r="P144" s="842"/>
      <c r="Q144" s="842"/>
      <c r="R144" s="842"/>
      <c r="S144" s="842"/>
      <c r="T144" s="842"/>
      <c r="U144" s="842"/>
      <c r="V144" s="842"/>
      <c r="W144" s="842"/>
      <c r="X144" s="842"/>
      <c r="Y144" s="842"/>
      <c r="Z144" s="842"/>
      <c r="AA144" s="2209"/>
      <c r="AB144" s="2209"/>
      <c r="AC144" s="346"/>
    </row>
    <row r="145" spans="1:29" ht="18.75" customHeight="1" x14ac:dyDescent="0.2">
      <c r="A145" s="341"/>
      <c r="B145" s="345"/>
      <c r="C145" s="452" t="s">
        <v>1780</v>
      </c>
      <c r="D145" s="334">
        <f ca="1">D131+D132+D134+D139+D141</f>
        <v>38192.291566084677</v>
      </c>
      <c r="E145" s="338" t="s">
        <v>622</v>
      </c>
      <c r="F145" s="842"/>
      <c r="G145" s="842"/>
      <c r="H145" s="842"/>
      <c r="I145" s="842"/>
      <c r="J145" s="842"/>
      <c r="K145" s="842"/>
      <c r="L145" s="842"/>
      <c r="M145" s="842"/>
      <c r="N145" s="842"/>
      <c r="O145" s="842"/>
      <c r="P145" s="842"/>
      <c r="Q145" s="842"/>
      <c r="R145" s="842"/>
      <c r="S145" s="842"/>
      <c r="T145" s="842"/>
      <c r="U145" s="842"/>
      <c r="V145" s="842"/>
      <c r="W145" s="842"/>
      <c r="X145" s="842"/>
      <c r="Y145" s="842"/>
      <c r="Z145" s="842"/>
      <c r="AA145" s="2209"/>
      <c r="AB145" s="2209"/>
      <c r="AC145" s="346"/>
    </row>
    <row r="146" spans="1:29" ht="18.75" customHeight="1" x14ac:dyDescent="0.2">
      <c r="A146" s="341"/>
      <c r="B146" s="345"/>
      <c r="C146" s="453" t="s">
        <v>635</v>
      </c>
      <c r="D146" s="410">
        <f ca="1">Constants!H59</f>
        <v>215.04168248129557</v>
      </c>
      <c r="E146" s="337" t="s">
        <v>637</v>
      </c>
      <c r="F146" s="842"/>
      <c r="G146" s="842"/>
      <c r="H146" s="842"/>
      <c r="I146" s="842"/>
      <c r="J146" s="842"/>
      <c r="K146" s="842"/>
      <c r="L146" s="842"/>
      <c r="M146" s="842"/>
      <c r="N146" s="842"/>
      <c r="O146" s="842"/>
      <c r="P146" s="842"/>
      <c r="Q146" s="842"/>
      <c r="R146" s="842"/>
      <c r="S146" s="842"/>
      <c r="T146" s="842"/>
      <c r="U146" s="842"/>
      <c r="V146" s="842"/>
      <c r="W146" s="842"/>
      <c r="X146" s="842"/>
      <c r="Y146" s="842"/>
      <c r="Z146" s="842"/>
      <c r="AA146" s="2209"/>
      <c r="AB146" s="2209"/>
      <c r="AC146" s="346"/>
    </row>
    <row r="147" spans="1:29" ht="18.75" customHeight="1" x14ac:dyDescent="0.2">
      <c r="A147" s="341"/>
      <c r="B147" s="345"/>
      <c r="C147" s="453" t="s">
        <v>634</v>
      </c>
      <c r="D147" s="842">
        <f ca="1">D146*'Energy &amp; Unit Conversions'!G82/'Energy &amp; Unit Conversions'!G80</f>
        <v>36.23564471191235</v>
      </c>
      <c r="E147" s="337" t="s">
        <v>636</v>
      </c>
      <c r="F147" s="842"/>
      <c r="G147" s="842"/>
      <c r="H147" s="842"/>
      <c r="I147" s="842"/>
      <c r="J147" s="842"/>
      <c r="K147" s="842"/>
      <c r="L147" s="842"/>
      <c r="M147" s="842"/>
      <c r="N147" s="842"/>
      <c r="O147" s="842"/>
      <c r="P147" s="842"/>
      <c r="Q147" s="842"/>
      <c r="R147" s="842"/>
      <c r="S147" s="842"/>
      <c r="T147" s="842"/>
      <c r="U147" s="842"/>
      <c r="V147" s="842"/>
      <c r="W147" s="842"/>
      <c r="X147" s="842"/>
      <c r="Y147" s="842"/>
      <c r="Z147" s="842"/>
      <c r="AA147" s="2209"/>
      <c r="AB147" s="2209"/>
      <c r="AC147" s="346"/>
    </row>
    <row r="148" spans="1:29" ht="18.75" customHeight="1" x14ac:dyDescent="0.2">
      <c r="A148" s="341"/>
      <c r="B148" s="345"/>
      <c r="C148" s="453" t="s">
        <v>542</v>
      </c>
      <c r="D148" s="842">
        <f ca="1">D146*F117/1000</f>
        <v>3723.7094291690178</v>
      </c>
      <c r="E148" s="337" t="s">
        <v>472</v>
      </c>
      <c r="F148" s="842"/>
      <c r="G148" s="842"/>
      <c r="H148" s="842"/>
      <c r="I148" s="842"/>
      <c r="J148" s="842"/>
      <c r="K148" s="842"/>
      <c r="L148" s="842"/>
      <c r="M148" s="842"/>
      <c r="N148" s="842"/>
      <c r="O148" s="842"/>
      <c r="P148" s="842"/>
      <c r="Q148" s="842"/>
      <c r="R148" s="842"/>
      <c r="S148" s="842"/>
      <c r="T148" s="842"/>
      <c r="U148" s="842"/>
      <c r="V148" s="842"/>
      <c r="W148" s="842"/>
      <c r="X148" s="842"/>
      <c r="Y148" s="842"/>
      <c r="Z148" s="842"/>
      <c r="AA148" s="2209"/>
      <c r="AB148" s="2209"/>
      <c r="AC148" s="346"/>
    </row>
    <row r="149" spans="1:29" ht="18.75" customHeight="1" x14ac:dyDescent="0.2">
      <c r="A149" s="341"/>
      <c r="B149" s="345"/>
      <c r="C149" s="453" t="s">
        <v>542</v>
      </c>
      <c r="D149" s="842">
        <f ca="1">D147*F118</f>
        <v>99758.879387729176</v>
      </c>
      <c r="E149" s="337" t="s">
        <v>628</v>
      </c>
      <c r="F149" s="842"/>
      <c r="G149" s="842"/>
      <c r="H149" s="842"/>
      <c r="I149" s="842"/>
      <c r="J149" s="842"/>
      <c r="K149" s="842"/>
      <c r="L149" s="842"/>
      <c r="M149" s="842"/>
      <c r="N149" s="842"/>
      <c r="O149" s="842"/>
      <c r="P149" s="842"/>
      <c r="Q149" s="842"/>
      <c r="R149" s="842"/>
      <c r="S149" s="842"/>
      <c r="T149" s="842"/>
      <c r="U149" s="842"/>
      <c r="V149" s="842"/>
      <c r="W149" s="842"/>
      <c r="X149" s="842"/>
      <c r="Y149" s="842"/>
      <c r="Z149" s="842"/>
      <c r="AA149" s="2209"/>
      <c r="AB149" s="2209"/>
      <c r="AC149" s="346"/>
    </row>
    <row r="150" spans="1:29" ht="18.75" customHeight="1" x14ac:dyDescent="0.2">
      <c r="A150" s="341"/>
      <c r="B150" s="345"/>
      <c r="C150" s="452" t="s">
        <v>631</v>
      </c>
      <c r="D150" s="334">
        <f ca="1">D149*'Energy &amp; Unit Conversions'!P25*'Energy &amp; Unit Conversions'!G87</f>
        <v>42.288457866283082</v>
      </c>
      <c r="E150" s="338" t="s">
        <v>632</v>
      </c>
      <c r="F150" s="842"/>
      <c r="G150" s="842"/>
      <c r="H150" s="842"/>
      <c r="I150" s="842"/>
      <c r="J150" s="842"/>
      <c r="K150" s="842"/>
      <c r="L150" s="842"/>
      <c r="M150" s="842"/>
      <c r="N150" s="842"/>
      <c r="O150" s="842"/>
      <c r="P150" s="842"/>
      <c r="Q150" s="842"/>
      <c r="R150" s="842"/>
      <c r="S150" s="842"/>
      <c r="T150" s="842"/>
      <c r="U150" s="842"/>
      <c r="V150" s="842"/>
      <c r="W150" s="842"/>
      <c r="X150" s="842"/>
      <c r="Y150" s="842"/>
      <c r="Z150" s="842"/>
      <c r="AA150" s="2209"/>
      <c r="AB150" s="2209"/>
      <c r="AC150" s="346"/>
    </row>
    <row r="151" spans="1:29" ht="18.75" customHeight="1" x14ac:dyDescent="0.2">
      <c r="A151" s="341"/>
      <c r="B151" s="345"/>
      <c r="C151" s="454" t="s">
        <v>451</v>
      </c>
      <c r="D151" s="854">
        <f ca="1">Constants!H60</f>
        <v>6</v>
      </c>
      <c r="E151" s="369" t="s">
        <v>665</v>
      </c>
      <c r="F151" s="842"/>
      <c r="G151" s="842"/>
      <c r="H151" s="842"/>
      <c r="I151" s="842"/>
      <c r="J151" s="842"/>
      <c r="K151" s="842"/>
      <c r="L151" s="842"/>
      <c r="M151" s="842"/>
      <c r="N151" s="842"/>
      <c r="O151" s="842"/>
      <c r="P151" s="842"/>
      <c r="Q151" s="842"/>
      <c r="R151" s="842"/>
      <c r="S151" s="842"/>
      <c r="T151" s="842"/>
      <c r="U151" s="842"/>
      <c r="V151" s="842"/>
      <c r="W151" s="842"/>
      <c r="X151" s="842"/>
      <c r="Y151" s="842"/>
      <c r="Z151" s="842"/>
      <c r="AA151" s="2209"/>
      <c r="AB151" s="2209"/>
      <c r="AC151" s="346"/>
    </row>
    <row r="152" spans="1:29" ht="18.75" customHeight="1" x14ac:dyDescent="0.2">
      <c r="A152" s="341"/>
      <c r="B152" s="345"/>
      <c r="C152" s="453" t="s">
        <v>451</v>
      </c>
      <c r="D152" s="842">
        <f ca="1">D151/'Energy &amp; Unit Conversions'!G80</f>
        <v>37.738863418650418</v>
      </c>
      <c r="E152" s="337" t="s">
        <v>629</v>
      </c>
      <c r="F152" s="842"/>
      <c r="G152" s="842"/>
      <c r="H152" s="842"/>
      <c r="I152" s="842"/>
      <c r="J152" s="842"/>
      <c r="K152" s="842"/>
      <c r="L152" s="842"/>
      <c r="M152" s="842"/>
      <c r="N152" s="842"/>
      <c r="O152" s="842"/>
      <c r="P152" s="842"/>
      <c r="Q152" s="842"/>
      <c r="R152" s="842"/>
      <c r="S152" s="842"/>
      <c r="T152" s="842"/>
      <c r="U152" s="842"/>
      <c r="V152" s="842"/>
      <c r="W152" s="842"/>
      <c r="X152" s="842"/>
      <c r="Y152" s="842"/>
      <c r="Z152" s="842"/>
      <c r="AA152" s="2209"/>
      <c r="AB152" s="2209"/>
      <c r="AC152" s="346"/>
    </row>
    <row r="153" spans="1:29" ht="18.75" customHeight="1" x14ac:dyDescent="0.2">
      <c r="A153" s="341"/>
      <c r="B153" s="345"/>
      <c r="C153" s="452" t="s">
        <v>452</v>
      </c>
      <c r="D153" s="334">
        <f ca="1">F118*D152</f>
        <v>103897.32965820449</v>
      </c>
      <c r="E153" s="338" t="s">
        <v>627</v>
      </c>
      <c r="F153" s="842"/>
      <c r="G153" s="842"/>
      <c r="H153" s="842"/>
      <c r="I153" s="842"/>
      <c r="J153" s="842"/>
      <c r="K153" s="842"/>
      <c r="L153" s="842"/>
      <c r="M153" s="842"/>
      <c r="N153" s="842"/>
      <c r="O153" s="842"/>
      <c r="P153" s="842"/>
      <c r="Q153" s="842"/>
      <c r="R153" s="842"/>
      <c r="S153" s="842"/>
      <c r="T153" s="842"/>
      <c r="U153" s="842"/>
      <c r="V153" s="842"/>
      <c r="W153" s="842"/>
      <c r="X153" s="842"/>
      <c r="Y153" s="842"/>
      <c r="Z153" s="842"/>
      <c r="AA153" s="2209"/>
      <c r="AB153" s="2209"/>
      <c r="AC153" s="346"/>
    </row>
    <row r="154" spans="1:29" ht="18.75" customHeight="1" x14ac:dyDescent="0.2">
      <c r="A154" s="341"/>
      <c r="B154" s="345"/>
      <c r="C154" s="453" t="s">
        <v>485</v>
      </c>
      <c r="D154" s="410">
        <f ca="1">Constants!H62</f>
        <v>10</v>
      </c>
      <c r="E154" s="337" t="s">
        <v>496</v>
      </c>
      <c r="F154" s="842"/>
      <c r="G154" s="842"/>
      <c r="H154" s="842"/>
      <c r="I154" s="842"/>
      <c r="J154" s="842"/>
      <c r="K154" s="842"/>
      <c r="L154" s="842"/>
      <c r="M154" s="842"/>
      <c r="N154" s="842"/>
      <c r="O154" s="842"/>
      <c r="P154" s="842"/>
      <c r="Q154" s="842"/>
      <c r="R154" s="842"/>
      <c r="S154" s="842"/>
      <c r="T154" s="842"/>
      <c r="U154" s="842"/>
      <c r="V154" s="842"/>
      <c r="W154" s="842"/>
      <c r="X154" s="842"/>
      <c r="Y154" s="842"/>
      <c r="Z154" s="842"/>
      <c r="AA154" s="2209"/>
      <c r="AB154" s="2209"/>
      <c r="AC154" s="346"/>
    </row>
    <row r="155" spans="1:29" ht="18.75" customHeight="1" x14ac:dyDescent="0.2">
      <c r="A155" s="341"/>
      <c r="B155" s="345"/>
      <c r="C155" s="453" t="s">
        <v>485</v>
      </c>
      <c r="D155" s="842">
        <f ca="1">D154*'Energy &amp; Unit Conversions'!G79/'Energy &amp; Unit Conversions'!G80</f>
        <v>28.530100831953249</v>
      </c>
      <c r="E155" s="337" t="s">
        <v>581</v>
      </c>
      <c r="F155" s="842"/>
      <c r="G155" s="842"/>
      <c r="H155" s="842"/>
      <c r="I155" s="842"/>
      <c r="J155" s="842"/>
      <c r="K155" s="842"/>
      <c r="L155" s="842"/>
      <c r="M155" s="842"/>
      <c r="N155" s="842"/>
      <c r="O155" s="842"/>
      <c r="P155" s="842"/>
      <c r="Q155" s="842"/>
      <c r="R155" s="842"/>
      <c r="S155" s="842"/>
      <c r="T155" s="842"/>
      <c r="U155" s="842"/>
      <c r="V155" s="842"/>
      <c r="W155" s="842"/>
      <c r="X155" s="842"/>
      <c r="Y155" s="842"/>
      <c r="Z155" s="842"/>
      <c r="AA155" s="2209"/>
      <c r="AB155" s="2209"/>
      <c r="AC155" s="346"/>
    </row>
    <row r="156" spans="1:29" ht="18.75" customHeight="1" x14ac:dyDescent="0.2">
      <c r="A156" s="341"/>
      <c r="B156" s="345"/>
      <c r="C156" s="452" t="s">
        <v>485</v>
      </c>
      <c r="D156" s="334">
        <f ca="1">D155*F118</f>
        <v>78545.059993893796</v>
      </c>
      <c r="E156" s="338" t="s">
        <v>622</v>
      </c>
      <c r="F156" s="842"/>
      <c r="G156" s="842"/>
      <c r="H156" s="842"/>
      <c r="I156" s="842"/>
      <c r="J156" s="842"/>
      <c r="K156" s="842"/>
      <c r="L156" s="842"/>
      <c r="M156" s="842"/>
      <c r="N156" s="842"/>
      <c r="O156" s="842"/>
      <c r="P156" s="842"/>
      <c r="Q156" s="842"/>
      <c r="R156" s="842"/>
      <c r="S156" s="842"/>
      <c r="T156" s="842"/>
      <c r="U156" s="842"/>
      <c r="V156" s="842"/>
      <c r="W156" s="842"/>
      <c r="X156" s="842"/>
      <c r="Y156" s="842"/>
      <c r="Z156" s="842"/>
      <c r="AA156" s="2209"/>
      <c r="AB156" s="2209"/>
      <c r="AC156" s="346"/>
    </row>
    <row r="157" spans="1:29" ht="18.75" customHeight="1" x14ac:dyDescent="0.2">
      <c r="A157" s="341"/>
      <c r="B157" s="345"/>
      <c r="C157" s="437"/>
      <c r="D157" s="842"/>
      <c r="E157" s="842"/>
      <c r="F157" s="842"/>
      <c r="G157" s="842"/>
      <c r="H157" s="842"/>
      <c r="I157" s="842"/>
      <c r="J157" s="842"/>
      <c r="K157" s="842"/>
      <c r="L157" s="842"/>
      <c r="M157" s="842"/>
      <c r="N157" s="842"/>
      <c r="O157" s="842"/>
      <c r="P157" s="842"/>
      <c r="Q157" s="842"/>
      <c r="R157" s="842"/>
      <c r="S157" s="842"/>
      <c r="T157" s="842"/>
      <c r="U157" s="842"/>
      <c r="V157" s="842"/>
      <c r="W157" s="842"/>
      <c r="X157" s="842"/>
      <c r="Y157" s="842"/>
      <c r="Z157" s="842"/>
      <c r="AA157" s="2209"/>
      <c r="AB157" s="2209"/>
      <c r="AC157" s="346"/>
    </row>
    <row r="158" spans="1:29" ht="26.25" x14ac:dyDescent="0.2">
      <c r="A158" s="341"/>
      <c r="B158" s="699"/>
      <c r="C158" s="603" t="s">
        <v>540</v>
      </c>
      <c r="D158" s="842"/>
      <c r="E158" s="842"/>
      <c r="F158" s="842"/>
      <c r="G158" s="842"/>
      <c r="H158" s="842"/>
      <c r="I158" s="842"/>
      <c r="J158" s="842"/>
      <c r="K158" s="842"/>
      <c r="L158" s="842"/>
      <c r="M158" s="842"/>
      <c r="N158" s="842"/>
      <c r="O158" s="842"/>
      <c r="P158" s="842"/>
      <c r="Q158" s="842"/>
      <c r="R158" s="842"/>
      <c r="S158" s="842"/>
      <c r="T158" s="842"/>
      <c r="U158" s="842"/>
      <c r="V158" s="842"/>
      <c r="W158" s="842"/>
      <c r="X158" s="842"/>
      <c r="Y158" s="842"/>
      <c r="Z158" s="842"/>
      <c r="AA158" s="2209"/>
      <c r="AB158" s="2209"/>
      <c r="AC158" s="346"/>
    </row>
    <row r="159" spans="1:29" ht="18.75" customHeight="1" x14ac:dyDescent="0.2">
      <c r="A159" s="341"/>
      <c r="B159" s="345"/>
      <c r="C159" s="437"/>
      <c r="D159" s="842"/>
      <c r="E159" s="426"/>
      <c r="F159" s="842"/>
      <c r="G159" s="842"/>
      <c r="H159" s="842"/>
      <c r="I159" s="842"/>
      <c r="J159" s="842"/>
      <c r="K159" s="842"/>
      <c r="L159" s="842"/>
      <c r="M159" s="842"/>
      <c r="N159" s="842"/>
      <c r="O159" s="842"/>
      <c r="P159" s="842"/>
      <c r="Q159" s="842"/>
      <c r="R159" s="842"/>
      <c r="S159" s="842"/>
      <c r="T159" s="842"/>
      <c r="U159" s="842"/>
      <c r="V159" s="842"/>
      <c r="W159" s="842"/>
      <c r="X159" s="842"/>
      <c r="Y159" s="842"/>
      <c r="Z159" s="842"/>
      <c r="AA159" s="2209"/>
      <c r="AB159" s="2209"/>
      <c r="AC159" s="346"/>
    </row>
    <row r="160" spans="1:29" ht="18.75" customHeight="1" x14ac:dyDescent="0.2">
      <c r="A160" s="341"/>
      <c r="B160" s="345"/>
      <c r="C160" s="843" t="s">
        <v>569</v>
      </c>
      <c r="D160" s="842"/>
      <c r="E160" s="839"/>
      <c r="F160" s="842"/>
      <c r="G160" s="842"/>
      <c r="H160" s="842"/>
      <c r="I160" s="842"/>
      <c r="J160" s="842"/>
      <c r="K160" s="842"/>
      <c r="L160" s="842"/>
      <c r="M160" s="842"/>
      <c r="N160" s="842"/>
      <c r="O160" s="842"/>
      <c r="P160" s="842"/>
      <c r="Q160" s="842"/>
      <c r="R160" s="842"/>
      <c r="S160" s="842"/>
      <c r="T160" s="842"/>
      <c r="U160" s="842"/>
      <c r="V160" s="842"/>
      <c r="W160" s="842"/>
      <c r="X160" s="842"/>
      <c r="Y160" s="842"/>
      <c r="Z160" s="842"/>
      <c r="AA160" s="2209"/>
      <c r="AB160" s="2209"/>
      <c r="AC160" s="346"/>
    </row>
    <row r="161" spans="1:29" ht="18.75" customHeight="1" x14ac:dyDescent="0.2">
      <c r="A161" s="341"/>
      <c r="B161" s="345"/>
      <c r="C161" s="441" t="s">
        <v>568</v>
      </c>
      <c r="D161" s="351" t="s">
        <v>623</v>
      </c>
      <c r="E161" s="356" t="str">
        <f ca="1">HydroRefineryCalcs!F46</f>
        <v>LSR</v>
      </c>
      <c r="F161" s="356" t="s">
        <v>516</v>
      </c>
      <c r="G161" s="352" t="s">
        <v>370</v>
      </c>
      <c r="H161" s="842"/>
      <c r="I161" s="842"/>
      <c r="J161" s="842"/>
      <c r="K161" s="842"/>
      <c r="L161" s="842"/>
      <c r="M161" s="842"/>
      <c r="N161" s="842"/>
      <c r="O161" s="842"/>
      <c r="P161" s="842"/>
      <c r="Q161" s="842"/>
      <c r="R161" s="842"/>
      <c r="S161" s="842"/>
      <c r="T161" s="842"/>
      <c r="U161" s="842"/>
      <c r="V161" s="842"/>
      <c r="W161" s="842"/>
      <c r="X161" s="842"/>
      <c r="Y161" s="842"/>
      <c r="Z161" s="842"/>
      <c r="AA161" s="2209"/>
      <c r="AB161" s="2209"/>
      <c r="AC161" s="346"/>
    </row>
    <row r="162" spans="1:29" ht="18.75" customHeight="1" x14ac:dyDescent="0.2">
      <c r="A162" s="341"/>
      <c r="B162" s="345"/>
      <c r="C162" s="442" t="s">
        <v>582</v>
      </c>
      <c r="D162" s="842" t="s">
        <v>566</v>
      </c>
      <c r="E162" s="842">
        <f ca="1">HydroRefineryCalcs!F47</f>
        <v>7538.9890466543711</v>
      </c>
      <c r="F162" s="842">
        <f ca="1">F163/'Energy &amp; Unit Conversions'!G80</f>
        <v>8512.9513277591104</v>
      </c>
      <c r="G162" s="337"/>
      <c r="H162" s="842"/>
      <c r="I162" s="842"/>
      <c r="J162" s="842"/>
      <c r="K162" s="842"/>
      <c r="L162" s="842"/>
      <c r="M162" s="842"/>
      <c r="N162" s="842"/>
      <c r="O162" s="842"/>
      <c r="P162" s="842"/>
      <c r="Q162" s="842"/>
      <c r="R162" s="842"/>
      <c r="S162" s="842"/>
      <c r="T162" s="842"/>
      <c r="U162" s="842"/>
      <c r="V162" s="842"/>
      <c r="W162" s="842"/>
      <c r="X162" s="842"/>
      <c r="Y162" s="842"/>
      <c r="Z162" s="842"/>
      <c r="AA162" s="2209"/>
      <c r="AB162" s="2209"/>
      <c r="AC162" s="346"/>
    </row>
    <row r="163" spans="1:29" ht="18.75" customHeight="1" x14ac:dyDescent="0.2">
      <c r="A163" s="341"/>
      <c r="B163" s="345"/>
      <c r="C163" s="442" t="s">
        <v>582</v>
      </c>
      <c r="D163" s="842" t="s">
        <v>628</v>
      </c>
      <c r="E163" s="842">
        <f ca="1">HydroRefineryCalcs!F48</f>
        <v>1198.699258418045</v>
      </c>
      <c r="F163" s="842">
        <f ca="1">F164/F167</f>
        <v>1353.4511466318361</v>
      </c>
      <c r="G163" s="337"/>
      <c r="H163" s="842"/>
      <c r="I163" s="842"/>
      <c r="J163" s="842"/>
      <c r="K163" s="842"/>
      <c r="L163" s="842"/>
      <c r="M163" s="842"/>
      <c r="N163" s="842"/>
      <c r="O163" s="842"/>
      <c r="P163" s="842"/>
      <c r="Q163" s="842"/>
      <c r="R163" s="842"/>
      <c r="S163" s="842"/>
      <c r="T163" s="842"/>
      <c r="U163" s="842"/>
      <c r="V163" s="842"/>
      <c r="W163" s="842"/>
      <c r="X163" s="842"/>
      <c r="Y163" s="842"/>
      <c r="Z163" s="842"/>
      <c r="AA163" s="2209"/>
      <c r="AB163" s="2209"/>
      <c r="AC163" s="346"/>
    </row>
    <row r="164" spans="1:29" ht="18.75" customHeight="1" x14ac:dyDescent="0.2">
      <c r="A164" s="341"/>
      <c r="B164" s="345"/>
      <c r="C164" s="442" t="s">
        <v>620</v>
      </c>
      <c r="D164" s="842" t="s">
        <v>622</v>
      </c>
      <c r="E164" s="842">
        <f ca="1">HydroRefineryCalcs!F49</f>
        <v>854451.48145949247</v>
      </c>
      <c r="F164" s="842">
        <f ca="1">(100-D173)*E164/100</f>
        <v>845906.96664489759</v>
      </c>
      <c r="G164" s="337">
        <f ca="1">D173/100*E164</f>
        <v>8544.5148145949242</v>
      </c>
      <c r="H164" s="842"/>
      <c r="I164" s="842"/>
      <c r="J164" s="842"/>
      <c r="K164" s="842"/>
      <c r="L164" s="842"/>
      <c r="M164" s="842"/>
      <c r="N164" s="842"/>
      <c r="O164" s="842"/>
      <c r="P164" s="842"/>
      <c r="Q164" s="842"/>
      <c r="R164" s="842"/>
      <c r="S164" s="842"/>
      <c r="T164" s="842"/>
      <c r="U164" s="842"/>
      <c r="V164" s="842"/>
      <c r="W164" s="842"/>
      <c r="X164" s="842"/>
      <c r="Y164" s="842"/>
      <c r="Z164" s="842"/>
      <c r="AA164" s="2209"/>
      <c r="AB164" s="2209"/>
      <c r="AC164" s="346"/>
    </row>
    <row r="165" spans="1:29" ht="18.75" customHeight="1" x14ac:dyDescent="0.2">
      <c r="A165" s="341"/>
      <c r="B165" s="345"/>
      <c r="C165" s="442" t="s">
        <v>578</v>
      </c>
      <c r="D165" s="842" t="s">
        <v>579</v>
      </c>
      <c r="E165" s="842">
        <f ca="1">HydroRefineryCalcs!F50</f>
        <v>0</v>
      </c>
      <c r="F165" s="842">
        <v>0</v>
      </c>
      <c r="G165" s="337">
        <f ca="1">((E165*E164-F165*F164)/G164)</f>
        <v>0</v>
      </c>
      <c r="H165" s="842"/>
      <c r="I165" s="842"/>
      <c r="J165" s="842"/>
      <c r="K165" s="842"/>
      <c r="L165" s="842"/>
      <c r="M165" s="842"/>
      <c r="N165" s="842"/>
      <c r="O165" s="842"/>
      <c r="P165" s="842"/>
      <c r="Q165" s="842"/>
      <c r="R165" s="842"/>
      <c r="S165" s="842"/>
      <c r="T165" s="842"/>
      <c r="U165" s="842"/>
      <c r="V165" s="842"/>
      <c r="W165" s="842"/>
      <c r="X165" s="842"/>
      <c r="Y165" s="842"/>
      <c r="Z165" s="842"/>
      <c r="AA165" s="2209"/>
      <c r="AB165" s="2209"/>
      <c r="AC165" s="346"/>
    </row>
    <row r="166" spans="1:29" ht="18.75" customHeight="1" x14ac:dyDescent="0.2">
      <c r="A166" s="341"/>
      <c r="B166" s="345"/>
      <c r="C166" s="442" t="s">
        <v>567</v>
      </c>
      <c r="D166" s="842"/>
      <c r="E166" s="842">
        <f ca="1">HydroRefineryCalcs!F52</f>
        <v>66.810065343505755</v>
      </c>
      <c r="F166" s="842">
        <f>141.5/(F167/1000)-131.5</f>
        <v>94.9</v>
      </c>
      <c r="G166" s="337"/>
      <c r="H166" s="842"/>
      <c r="I166" s="842"/>
      <c r="J166" s="842"/>
      <c r="K166" s="842"/>
      <c r="L166" s="842"/>
      <c r="M166" s="842"/>
      <c r="N166" s="842"/>
      <c r="O166" s="842"/>
      <c r="P166" s="842"/>
      <c r="Q166" s="842"/>
      <c r="R166" s="842"/>
      <c r="S166" s="842"/>
      <c r="T166" s="842"/>
      <c r="U166" s="842"/>
      <c r="V166" s="842"/>
      <c r="W166" s="842"/>
      <c r="X166" s="842"/>
      <c r="Y166" s="842"/>
      <c r="Z166" s="842"/>
      <c r="AA166" s="2209"/>
      <c r="AB166" s="2209"/>
      <c r="AC166" s="346"/>
    </row>
    <row r="167" spans="1:29" ht="18.75" customHeight="1" x14ac:dyDescent="0.2">
      <c r="A167" s="341"/>
      <c r="B167" s="345"/>
      <c r="C167" s="442" t="s">
        <v>580</v>
      </c>
      <c r="D167" s="842" t="s">
        <v>581</v>
      </c>
      <c r="E167" s="842">
        <f ca="1">HydroRefineryCalcs!F53</f>
        <v>712.81555858066895</v>
      </c>
      <c r="F167" s="842">
        <v>625</v>
      </c>
      <c r="G167" s="337"/>
      <c r="H167" s="842"/>
      <c r="I167" s="842"/>
      <c r="J167" s="842"/>
      <c r="K167" s="842"/>
      <c r="L167" s="842"/>
      <c r="M167" s="842"/>
      <c r="N167" s="842"/>
      <c r="O167" s="842"/>
      <c r="P167" s="842"/>
      <c r="Q167" s="842"/>
      <c r="R167" s="842"/>
      <c r="S167" s="842"/>
      <c r="T167" s="842"/>
      <c r="U167" s="842"/>
      <c r="V167" s="842"/>
      <c r="W167" s="842"/>
      <c r="X167" s="842"/>
      <c r="Y167" s="842"/>
      <c r="Z167" s="842"/>
      <c r="AA167" s="2209"/>
      <c r="AB167" s="2209"/>
      <c r="AC167" s="346"/>
    </row>
    <row r="168" spans="1:29" ht="18.75" customHeight="1" x14ac:dyDescent="0.2">
      <c r="A168" s="341"/>
      <c r="B168" s="345"/>
      <c r="C168" s="442" t="s">
        <v>621</v>
      </c>
      <c r="D168" s="842" t="s">
        <v>579</v>
      </c>
      <c r="E168" s="842">
        <f ca="1">HydroRefineryCalcs!F54</f>
        <v>15.321692746753095</v>
      </c>
      <c r="F168" s="595">
        <f ca="1">IF(E168&gt;16.7,E168,16.7)</f>
        <v>16.7</v>
      </c>
      <c r="G168" s="869">
        <f>Constants!N390</f>
        <v>17.507418662350211</v>
      </c>
      <c r="H168" s="842"/>
      <c r="I168" s="842"/>
      <c r="J168" s="842"/>
      <c r="K168" s="842"/>
      <c r="L168" s="842"/>
      <c r="M168" s="842"/>
      <c r="N168" s="842"/>
      <c r="O168" s="842"/>
      <c r="P168" s="842"/>
      <c r="Q168" s="842"/>
      <c r="R168" s="842"/>
      <c r="S168" s="842"/>
      <c r="T168" s="842"/>
      <c r="U168" s="842"/>
      <c r="V168" s="842"/>
      <c r="W168" s="842"/>
      <c r="X168" s="842"/>
      <c r="Y168" s="842"/>
      <c r="Z168" s="842"/>
      <c r="AA168" s="2209"/>
      <c r="AB168" s="2209"/>
      <c r="AC168" s="346"/>
    </row>
    <row r="169" spans="1:29" ht="18.75" customHeight="1" x14ac:dyDescent="0.2">
      <c r="A169" s="341"/>
      <c r="B169" s="345"/>
      <c r="C169" s="443" t="s">
        <v>544</v>
      </c>
      <c r="D169" s="334" t="s">
        <v>579</v>
      </c>
      <c r="E169" s="334" t="str">
        <f ca="1">HydroRefineryCalcs!F55</f>
        <v/>
      </c>
      <c r="F169" s="334" t="str">
        <f ca="1">HydroRefineryCalcs!G523</f>
        <v/>
      </c>
      <c r="G169" s="338"/>
      <c r="H169" s="842"/>
      <c r="I169" s="842"/>
      <c r="J169" s="842"/>
      <c r="K169" s="842"/>
      <c r="L169" s="842"/>
      <c r="M169" s="842"/>
      <c r="N169" s="842"/>
      <c r="O169" s="842"/>
      <c r="P169" s="842"/>
      <c r="Q169" s="842"/>
      <c r="R169" s="842"/>
      <c r="S169" s="842"/>
      <c r="T169" s="842"/>
      <c r="U169" s="842"/>
      <c r="V169" s="842"/>
      <c r="W169" s="842"/>
      <c r="X169" s="842"/>
      <c r="Y169" s="842"/>
      <c r="Z169" s="842"/>
      <c r="AA169" s="2209"/>
      <c r="AB169" s="2209"/>
      <c r="AC169" s="346"/>
    </row>
    <row r="170" spans="1:29" ht="18.75" customHeight="1" x14ac:dyDescent="0.2">
      <c r="A170" s="341"/>
      <c r="B170" s="345"/>
      <c r="C170" s="437"/>
      <c r="D170" s="842"/>
      <c r="E170" s="842"/>
      <c r="F170" s="842"/>
      <c r="G170" s="842"/>
      <c r="H170" s="842"/>
      <c r="I170" s="842"/>
      <c r="J170" s="842"/>
      <c r="K170" s="842"/>
      <c r="L170" s="842"/>
      <c r="M170" s="842"/>
      <c r="N170" s="842"/>
      <c r="O170" s="842"/>
      <c r="P170" s="842"/>
      <c r="Q170" s="842"/>
      <c r="R170" s="842"/>
      <c r="S170" s="842"/>
      <c r="T170" s="842"/>
      <c r="U170" s="842"/>
      <c r="V170" s="842"/>
      <c r="W170" s="842"/>
      <c r="X170" s="842"/>
      <c r="Y170" s="842"/>
      <c r="Z170" s="842"/>
      <c r="AA170" s="2209"/>
      <c r="AB170" s="2209"/>
      <c r="AC170" s="346"/>
    </row>
    <row r="171" spans="1:29" ht="18.75" customHeight="1" x14ac:dyDescent="0.2">
      <c r="A171" s="341"/>
      <c r="B171" s="345"/>
      <c r="C171" s="843" t="s">
        <v>308</v>
      </c>
      <c r="D171" s="842"/>
      <c r="E171" s="842"/>
      <c r="F171" s="842"/>
      <c r="G171" s="842"/>
      <c r="H171" s="842"/>
      <c r="I171" s="842"/>
      <c r="J171" s="842"/>
      <c r="K171" s="842"/>
      <c r="L171" s="842"/>
      <c r="M171" s="842"/>
      <c r="N171" s="842"/>
      <c r="O171" s="842"/>
      <c r="P171" s="842"/>
      <c r="Q171" s="842"/>
      <c r="R171" s="842"/>
      <c r="S171" s="842"/>
      <c r="T171" s="842"/>
      <c r="U171" s="842"/>
      <c r="V171" s="842"/>
      <c r="W171" s="842"/>
      <c r="X171" s="842"/>
      <c r="Y171" s="842"/>
      <c r="Z171" s="842"/>
      <c r="AA171" s="2209"/>
      <c r="AB171" s="2209"/>
      <c r="AC171" s="346"/>
    </row>
    <row r="172" spans="1:29" ht="18.75" customHeight="1" x14ac:dyDescent="0.2">
      <c r="A172" s="341"/>
      <c r="B172" s="345"/>
      <c r="C172" s="855"/>
      <c r="D172" s="351" t="s">
        <v>624</v>
      </c>
      <c r="E172" s="352" t="s">
        <v>623</v>
      </c>
      <c r="F172" s="842"/>
      <c r="G172" s="842"/>
      <c r="H172" s="842"/>
      <c r="I172" s="842"/>
      <c r="J172" s="842"/>
      <c r="K172" s="842"/>
      <c r="L172" s="842"/>
      <c r="M172" s="842"/>
      <c r="N172" s="842"/>
      <c r="O172" s="842"/>
      <c r="P172" s="842"/>
      <c r="Q172" s="842"/>
      <c r="R172" s="842"/>
      <c r="S172" s="842"/>
      <c r="T172" s="842"/>
      <c r="U172" s="842"/>
      <c r="V172" s="842"/>
      <c r="W172" s="842"/>
      <c r="X172" s="842"/>
      <c r="Y172" s="842"/>
      <c r="Z172" s="842"/>
      <c r="AA172" s="2209"/>
      <c r="AB172" s="2209"/>
      <c r="AC172" s="346"/>
    </row>
    <row r="173" spans="1:29" ht="18.75" customHeight="1" x14ac:dyDescent="0.2">
      <c r="A173" s="341"/>
      <c r="B173" s="345"/>
      <c r="C173" s="453" t="s">
        <v>517</v>
      </c>
      <c r="D173" s="410">
        <f>Constants!H307</f>
        <v>1</v>
      </c>
      <c r="E173" s="337" t="s">
        <v>633</v>
      </c>
      <c r="F173" s="842"/>
      <c r="G173" s="842"/>
      <c r="H173" s="842"/>
      <c r="I173" s="842"/>
      <c r="J173" s="842"/>
      <c r="K173" s="842"/>
      <c r="L173" s="842"/>
      <c r="M173" s="842"/>
      <c r="N173" s="842"/>
      <c r="O173" s="842"/>
      <c r="P173" s="842"/>
      <c r="Q173" s="842"/>
      <c r="R173" s="842"/>
      <c r="S173" s="842"/>
      <c r="T173" s="842"/>
      <c r="U173" s="842"/>
      <c r="V173" s="842"/>
      <c r="W173" s="842"/>
      <c r="X173" s="842"/>
      <c r="Y173" s="842"/>
      <c r="Z173" s="842"/>
      <c r="AA173" s="2209"/>
      <c r="AB173" s="2209"/>
      <c r="AC173" s="346"/>
    </row>
    <row r="174" spans="1:29" ht="18.75" customHeight="1" x14ac:dyDescent="0.2">
      <c r="A174" s="341"/>
      <c r="B174" s="345"/>
      <c r="C174" s="453" t="s">
        <v>476</v>
      </c>
      <c r="D174" s="842">
        <f ca="1">(G164*G168/100+F164*F168/100-E164*E168/100)</f>
        <v>11845.956751652135</v>
      </c>
      <c r="E174" s="337" t="s">
        <v>622</v>
      </c>
      <c r="F174" s="842"/>
      <c r="G174" s="842"/>
      <c r="H174" s="842"/>
      <c r="I174" s="842"/>
      <c r="J174" s="842"/>
      <c r="K174" s="842"/>
      <c r="L174" s="842"/>
      <c r="M174" s="842"/>
      <c r="N174" s="842"/>
      <c r="O174" s="842"/>
      <c r="P174" s="842"/>
      <c r="Q174" s="842"/>
      <c r="R174" s="842"/>
      <c r="S174" s="842"/>
      <c r="T174" s="842"/>
      <c r="U174" s="842"/>
      <c r="V174" s="842"/>
      <c r="W174" s="842"/>
      <c r="X174" s="842"/>
      <c r="Y174" s="842"/>
      <c r="Z174" s="842"/>
      <c r="AA174" s="2209"/>
      <c r="AB174" s="2209"/>
      <c r="AC174" s="346"/>
    </row>
    <row r="175" spans="1:29" ht="18.75" customHeight="1" x14ac:dyDescent="0.2">
      <c r="A175" s="341"/>
      <c r="B175" s="345"/>
      <c r="C175" s="453" t="s">
        <v>476</v>
      </c>
      <c r="D175" s="842">
        <f ca="1">D174*'Energy &amp; Unit Conversions'!E93/'Energy &amp; Unit Conversions'!E26</f>
        <v>4919209.8894181987</v>
      </c>
      <c r="E175" s="337" t="s">
        <v>478</v>
      </c>
      <c r="F175" s="842"/>
      <c r="G175" s="842"/>
      <c r="H175" s="842"/>
      <c r="I175" s="842"/>
      <c r="J175" s="842"/>
      <c r="K175" s="842"/>
      <c r="L175" s="842"/>
      <c r="M175" s="842"/>
      <c r="N175" s="842"/>
      <c r="O175" s="842"/>
      <c r="P175" s="842"/>
      <c r="Q175" s="842"/>
      <c r="R175" s="842"/>
      <c r="S175" s="842"/>
      <c r="T175" s="842"/>
      <c r="U175" s="842"/>
      <c r="V175" s="842"/>
      <c r="W175" s="842"/>
      <c r="X175" s="842"/>
      <c r="Y175" s="842"/>
      <c r="Z175" s="842"/>
      <c r="AA175" s="2209"/>
      <c r="AB175" s="2209"/>
      <c r="AC175" s="346"/>
    </row>
    <row r="176" spans="1:29" ht="18.75" customHeight="1" x14ac:dyDescent="0.2">
      <c r="A176" s="341"/>
      <c r="B176" s="345"/>
      <c r="C176" s="453" t="s">
        <v>477</v>
      </c>
      <c r="D176" s="842">
        <f ca="1">D175/E162</f>
        <v>652.50259139204218</v>
      </c>
      <c r="E176" s="337" t="s">
        <v>670</v>
      </c>
      <c r="F176" s="842"/>
      <c r="G176" s="842"/>
      <c r="H176" s="842"/>
      <c r="I176" s="842"/>
      <c r="J176" s="842"/>
      <c r="K176" s="842"/>
      <c r="L176" s="842"/>
      <c r="M176" s="842"/>
      <c r="N176" s="842"/>
      <c r="O176" s="842"/>
      <c r="P176" s="842"/>
      <c r="Q176" s="842"/>
      <c r="R176" s="842"/>
      <c r="S176" s="842"/>
      <c r="T176" s="842"/>
      <c r="U176" s="842"/>
      <c r="V176" s="842"/>
      <c r="W176" s="842"/>
      <c r="X176" s="842"/>
      <c r="Y176" s="842"/>
      <c r="Z176" s="842"/>
      <c r="AA176" s="2209"/>
      <c r="AB176" s="2209"/>
      <c r="AC176" s="346"/>
    </row>
    <row r="177" spans="1:29" ht="18.75" customHeight="1" x14ac:dyDescent="0.2">
      <c r="A177" s="341"/>
      <c r="B177" s="345"/>
      <c r="C177" s="454" t="s">
        <v>451</v>
      </c>
      <c r="D177" s="854">
        <f>Constants!H304</f>
        <v>1</v>
      </c>
      <c r="E177" s="369" t="s">
        <v>665</v>
      </c>
      <c r="F177" s="842"/>
      <c r="G177" s="842"/>
      <c r="H177" s="842"/>
      <c r="I177" s="842"/>
      <c r="J177" s="842"/>
      <c r="K177" s="842"/>
      <c r="L177" s="842"/>
      <c r="M177" s="842"/>
      <c r="N177" s="842"/>
      <c r="O177" s="842"/>
      <c r="P177" s="842"/>
      <c r="Q177" s="842"/>
      <c r="R177" s="842"/>
      <c r="S177" s="842"/>
      <c r="T177" s="842"/>
      <c r="U177" s="842"/>
      <c r="V177" s="842"/>
      <c r="W177" s="842"/>
      <c r="X177" s="842"/>
      <c r="Y177" s="842"/>
      <c r="Z177" s="842"/>
      <c r="AA177" s="2209"/>
      <c r="AB177" s="2209"/>
      <c r="AC177" s="346"/>
    </row>
    <row r="178" spans="1:29" ht="18.75" customHeight="1" x14ac:dyDescent="0.2">
      <c r="A178" s="341"/>
      <c r="B178" s="345"/>
      <c r="C178" s="453" t="s">
        <v>451</v>
      </c>
      <c r="D178" s="842">
        <f>D177/'Energy &amp; Unit Conversions'!G80</f>
        <v>6.2898105697750699</v>
      </c>
      <c r="E178" s="337" t="s">
        <v>629</v>
      </c>
      <c r="F178" s="842"/>
      <c r="G178" s="842"/>
      <c r="H178" s="842"/>
      <c r="I178" s="842"/>
      <c r="J178" s="842"/>
      <c r="K178" s="842"/>
      <c r="L178" s="842"/>
      <c r="M178" s="842"/>
      <c r="N178" s="842"/>
      <c r="O178" s="842"/>
      <c r="P178" s="842"/>
      <c r="Q178" s="842"/>
      <c r="R178" s="842"/>
      <c r="S178" s="842"/>
      <c r="T178" s="842"/>
      <c r="U178" s="842"/>
      <c r="V178" s="842"/>
      <c r="W178" s="842"/>
      <c r="X178" s="842"/>
      <c r="Y178" s="842"/>
      <c r="Z178" s="842"/>
      <c r="AA178" s="2209"/>
      <c r="AB178" s="2209"/>
      <c r="AC178" s="346"/>
    </row>
    <row r="179" spans="1:29" ht="18.75" customHeight="1" x14ac:dyDescent="0.2">
      <c r="A179" s="341"/>
      <c r="B179" s="345"/>
      <c r="C179" s="452" t="s">
        <v>452</v>
      </c>
      <c r="D179" s="334">
        <f ca="1">D178*E163</f>
        <v>7539.5912655793572</v>
      </c>
      <c r="E179" s="338" t="s">
        <v>627</v>
      </c>
      <c r="F179" s="842"/>
      <c r="G179" s="842"/>
      <c r="H179" s="842"/>
      <c r="I179" s="842"/>
      <c r="J179" s="842"/>
      <c r="K179" s="842"/>
      <c r="L179" s="842"/>
      <c r="M179" s="842"/>
      <c r="N179" s="842"/>
      <c r="O179" s="842"/>
      <c r="P179" s="842"/>
      <c r="Q179" s="842"/>
      <c r="R179" s="842"/>
      <c r="S179" s="842"/>
      <c r="T179" s="842"/>
      <c r="U179" s="842"/>
      <c r="V179" s="842"/>
      <c r="W179" s="842"/>
      <c r="X179" s="842"/>
      <c r="Y179" s="842"/>
      <c r="Z179" s="842"/>
      <c r="AA179" s="2209"/>
      <c r="AB179" s="2209"/>
      <c r="AC179" s="346"/>
    </row>
    <row r="180" spans="1:29" ht="18.75" customHeight="1" x14ac:dyDescent="0.2">
      <c r="A180" s="341"/>
      <c r="B180" s="345"/>
      <c r="C180" s="453" t="s">
        <v>635</v>
      </c>
      <c r="D180" s="410">
        <f>Constants!H302</f>
        <v>211</v>
      </c>
      <c r="E180" s="337" t="s">
        <v>637</v>
      </c>
      <c r="F180" s="842"/>
      <c r="G180" s="842"/>
      <c r="H180" s="842"/>
      <c r="I180" s="842"/>
      <c r="J180" s="842"/>
      <c r="K180" s="842"/>
      <c r="L180" s="842"/>
      <c r="M180" s="842"/>
      <c r="N180" s="842"/>
      <c r="O180" s="842"/>
      <c r="P180" s="842"/>
      <c r="Q180" s="842"/>
      <c r="R180" s="842"/>
      <c r="S180" s="842"/>
      <c r="T180" s="842"/>
      <c r="U180" s="842"/>
      <c r="V180" s="842"/>
      <c r="W180" s="842"/>
      <c r="X180" s="842"/>
      <c r="Y180" s="842"/>
      <c r="Z180" s="842"/>
      <c r="AA180" s="2209"/>
      <c r="AB180" s="2209"/>
      <c r="AC180" s="346"/>
    </row>
    <row r="181" spans="1:29" ht="18.75" customHeight="1" x14ac:dyDescent="0.2">
      <c r="A181" s="341"/>
      <c r="B181" s="345"/>
      <c r="C181" s="453" t="s">
        <v>634</v>
      </c>
      <c r="D181" s="842">
        <f>D180*'Energy &amp; Unit Conversions'!G82/'Energy &amp; Unit Conversions'!G80</f>
        <v>35.554600140735666</v>
      </c>
      <c r="E181" s="337" t="s">
        <v>636</v>
      </c>
      <c r="F181" s="842"/>
      <c r="G181" s="842"/>
      <c r="H181" s="420"/>
      <c r="I181" s="842"/>
      <c r="J181" s="842"/>
      <c r="K181" s="842"/>
      <c r="L181" s="842"/>
      <c r="M181" s="842"/>
      <c r="N181" s="842"/>
      <c r="O181" s="842"/>
      <c r="P181" s="842"/>
      <c r="Q181" s="842"/>
      <c r="R181" s="842"/>
      <c r="S181" s="842"/>
      <c r="T181" s="842"/>
      <c r="U181" s="842"/>
      <c r="V181" s="842"/>
      <c r="W181" s="842"/>
      <c r="X181" s="842"/>
      <c r="Y181" s="842"/>
      <c r="Z181" s="842"/>
      <c r="AA181" s="2209"/>
      <c r="AB181" s="2209"/>
      <c r="AC181" s="346"/>
    </row>
    <row r="182" spans="1:29" ht="18.75" customHeight="1" x14ac:dyDescent="0.2">
      <c r="A182" s="341"/>
      <c r="B182" s="345"/>
      <c r="C182" s="452" t="s">
        <v>542</v>
      </c>
      <c r="D182" s="334">
        <f ca="1">D180*E162/1000</f>
        <v>1590.7266888440724</v>
      </c>
      <c r="E182" s="338" t="s">
        <v>472</v>
      </c>
      <c r="F182" s="842"/>
      <c r="G182" s="842"/>
      <c r="H182" s="842"/>
      <c r="I182" s="842"/>
      <c r="J182" s="842"/>
      <c r="K182" s="842"/>
      <c r="L182" s="842"/>
      <c r="M182" s="842"/>
      <c r="N182" s="842"/>
      <c r="O182" s="842"/>
      <c r="P182" s="842"/>
      <c r="Q182" s="842"/>
      <c r="R182" s="842"/>
      <c r="S182" s="842"/>
      <c r="T182" s="842"/>
      <c r="U182" s="842"/>
      <c r="V182" s="842"/>
      <c r="W182" s="842"/>
      <c r="X182" s="842"/>
      <c r="Y182" s="842"/>
      <c r="Z182" s="842"/>
      <c r="AA182" s="2209"/>
      <c r="AB182" s="2209"/>
      <c r="AC182" s="346"/>
    </row>
    <row r="183" spans="1:29" ht="18.75" customHeight="1" x14ac:dyDescent="0.2">
      <c r="A183" s="341"/>
      <c r="B183" s="345"/>
      <c r="C183" s="437"/>
      <c r="D183" s="842"/>
      <c r="E183" s="842"/>
      <c r="F183" s="842"/>
      <c r="G183" s="842"/>
      <c r="H183" s="842"/>
      <c r="I183" s="842"/>
      <c r="J183" s="842"/>
      <c r="K183" s="842"/>
      <c r="L183" s="842"/>
      <c r="M183" s="842"/>
      <c r="N183" s="842"/>
      <c r="O183" s="842"/>
      <c r="P183" s="842"/>
      <c r="Q183" s="842"/>
      <c r="R183" s="842"/>
      <c r="S183" s="842"/>
      <c r="T183" s="842"/>
      <c r="U183" s="842"/>
      <c r="V183" s="842"/>
      <c r="W183" s="842"/>
      <c r="X183" s="842"/>
      <c r="Y183" s="842"/>
      <c r="Z183" s="842"/>
      <c r="AA183" s="2209"/>
      <c r="AB183" s="2209"/>
      <c r="AC183" s="346"/>
    </row>
    <row r="184" spans="1:29" ht="26.25" x14ac:dyDescent="0.2">
      <c r="A184" s="341"/>
      <c r="B184" s="699"/>
      <c r="C184" s="603" t="s">
        <v>1775</v>
      </c>
      <c r="D184" s="842"/>
      <c r="E184" s="842"/>
      <c r="F184" s="842"/>
      <c r="G184" s="842"/>
      <c r="H184" s="842"/>
      <c r="I184" s="842"/>
      <c r="J184" s="842"/>
      <c r="K184" s="842"/>
      <c r="L184" s="842"/>
      <c r="M184" s="842"/>
      <c r="N184" s="842"/>
      <c r="O184" s="842"/>
      <c r="P184" s="842"/>
      <c r="Q184" s="842"/>
      <c r="R184" s="842"/>
      <c r="S184" s="842"/>
      <c r="T184" s="842"/>
      <c r="U184" s="842"/>
      <c r="V184" s="842"/>
      <c r="W184" s="842"/>
      <c r="X184" s="842"/>
      <c r="Y184" s="842"/>
      <c r="Z184" s="842"/>
      <c r="AA184" s="2209"/>
      <c r="AB184" s="2209"/>
      <c r="AC184" s="346"/>
    </row>
    <row r="185" spans="1:29" ht="18.75" customHeight="1" x14ac:dyDescent="0.2">
      <c r="A185" s="341"/>
      <c r="B185" s="345"/>
      <c r="C185" s="437"/>
      <c r="D185" s="842"/>
      <c r="E185" s="426"/>
      <c r="F185" s="842"/>
      <c r="G185" s="842"/>
      <c r="H185" s="842"/>
      <c r="I185" s="842"/>
      <c r="J185" s="842"/>
      <c r="K185" s="842"/>
      <c r="L185" s="842"/>
      <c r="M185" s="842"/>
      <c r="N185" s="842"/>
      <c r="O185" s="842"/>
      <c r="P185" s="842"/>
      <c r="Q185" s="842"/>
      <c r="R185" s="842"/>
      <c r="S185" s="842"/>
      <c r="T185" s="842"/>
      <c r="U185" s="842"/>
      <c r="V185" s="842"/>
      <c r="W185" s="842"/>
      <c r="X185" s="842"/>
      <c r="Y185" s="842"/>
      <c r="Z185" s="842"/>
      <c r="AA185" s="2209"/>
      <c r="AB185" s="2209"/>
      <c r="AC185" s="346"/>
    </row>
    <row r="186" spans="1:29" ht="18.75" customHeight="1" x14ac:dyDescent="0.2">
      <c r="A186" s="341"/>
      <c r="B186" s="345"/>
      <c r="C186" s="843" t="s">
        <v>569</v>
      </c>
      <c r="D186" s="842"/>
      <c r="E186" s="839"/>
      <c r="F186" s="842"/>
      <c r="G186" s="842"/>
      <c r="H186" s="842"/>
      <c r="I186" s="842"/>
      <c r="J186" s="842"/>
      <c r="K186" s="842"/>
      <c r="L186" s="842"/>
      <c r="M186" s="842"/>
      <c r="N186" s="842"/>
      <c r="O186" s="842"/>
      <c r="P186" s="842"/>
      <c r="Q186" s="842"/>
      <c r="R186" s="842"/>
      <c r="S186" s="842"/>
      <c r="T186" s="842"/>
      <c r="U186" s="842"/>
      <c r="V186" s="842"/>
      <c r="W186" s="842"/>
      <c r="X186" s="842"/>
      <c r="Y186" s="842"/>
      <c r="Z186" s="842"/>
      <c r="AA186" s="2209"/>
      <c r="AB186" s="2209"/>
      <c r="AC186" s="346"/>
    </row>
    <row r="187" spans="1:29" ht="18.75" customHeight="1" x14ac:dyDescent="0.2">
      <c r="A187" s="341"/>
      <c r="B187" s="345"/>
      <c r="C187" s="441" t="s">
        <v>568</v>
      </c>
      <c r="D187" s="351" t="s">
        <v>623</v>
      </c>
      <c r="E187" s="356" t="str">
        <f>H116</f>
        <v>Hydrotreated Naphtha</v>
      </c>
      <c r="F187" s="356" t="s">
        <v>612</v>
      </c>
      <c r="G187" s="351" t="s">
        <v>515</v>
      </c>
      <c r="H187" s="351" t="s">
        <v>369</v>
      </c>
      <c r="I187" s="369"/>
      <c r="J187" s="362"/>
      <c r="K187" s="842"/>
      <c r="L187" s="842"/>
      <c r="M187" s="842"/>
      <c r="N187" s="842"/>
      <c r="O187" s="842"/>
      <c r="P187" s="842"/>
      <c r="Q187" s="842"/>
      <c r="R187" s="842"/>
      <c r="S187" s="842"/>
      <c r="T187" s="842"/>
      <c r="U187" s="842"/>
      <c r="V187" s="842"/>
      <c r="W187" s="842"/>
      <c r="X187" s="842"/>
      <c r="Y187" s="842"/>
      <c r="Z187" s="842"/>
      <c r="AA187" s="2209"/>
      <c r="AB187" s="2209"/>
      <c r="AC187" s="346"/>
    </row>
    <row r="188" spans="1:29" ht="18.75" customHeight="1" x14ac:dyDescent="0.2">
      <c r="A188" s="341"/>
      <c r="B188" s="345"/>
      <c r="C188" s="442" t="s">
        <v>582</v>
      </c>
      <c r="D188" s="842" t="s">
        <v>566</v>
      </c>
      <c r="E188" s="842">
        <f t="shared" ref="E188:G190" ca="1" si="13">IF(reformerFeedstockActive=1,E212,E212+E224)</f>
        <v>17697.585317090663</v>
      </c>
      <c r="F188" s="842">
        <f t="shared" ca="1" si="13"/>
        <v>15693.336005246892</v>
      </c>
      <c r="G188" s="842">
        <f t="shared" ca="1" si="13"/>
        <v>3694154.0492169661</v>
      </c>
      <c r="H188" s="842">
        <f t="shared" ref="H188:H189" si="14">IF(reformerFeedstockActive=1,H212,H212+H224)</f>
        <v>0</v>
      </c>
      <c r="I188" s="337"/>
      <c r="J188" s="363"/>
      <c r="K188" s="842"/>
      <c r="L188" s="842"/>
      <c r="M188" s="842"/>
      <c r="N188" s="842"/>
      <c r="O188" s="842"/>
      <c r="P188" s="842"/>
      <c r="Q188" s="842"/>
      <c r="R188" s="842"/>
      <c r="S188" s="842"/>
      <c r="T188" s="842"/>
      <c r="U188" s="842"/>
      <c r="V188" s="842"/>
      <c r="W188" s="842"/>
      <c r="X188" s="842"/>
      <c r="Y188" s="842"/>
      <c r="Z188" s="842"/>
      <c r="AA188" s="2209"/>
      <c r="AB188" s="2209"/>
      <c r="AC188" s="346"/>
    </row>
    <row r="189" spans="1:29" ht="18.75" customHeight="1" x14ac:dyDescent="0.2">
      <c r="A189" s="341"/>
      <c r="B189" s="345"/>
      <c r="C189" s="442" t="s">
        <v>582</v>
      </c>
      <c r="D189" s="842" t="s">
        <v>628</v>
      </c>
      <c r="E189" s="842">
        <f t="shared" ca="1" si="13"/>
        <v>2813.6913060838883</v>
      </c>
      <c r="F189" s="842">
        <f t="shared" ca="1" si="13"/>
        <v>2495.0411194669891</v>
      </c>
      <c r="G189" s="842">
        <f t="shared" ca="1" si="13"/>
        <v>587323.57806907257</v>
      </c>
      <c r="H189" s="842">
        <f t="shared" si="14"/>
        <v>0</v>
      </c>
      <c r="I189" s="337"/>
      <c r="J189" s="363"/>
      <c r="K189" s="842"/>
      <c r="L189" s="842"/>
      <c r="M189" s="842"/>
      <c r="N189" s="842"/>
      <c r="O189" s="842"/>
      <c r="P189" s="842"/>
      <c r="Q189" s="842"/>
      <c r="R189" s="842"/>
      <c r="S189" s="842"/>
      <c r="T189" s="842"/>
      <c r="U189" s="842"/>
      <c r="V189" s="842"/>
      <c r="W189" s="842"/>
      <c r="X189" s="842"/>
      <c r="Y189" s="842"/>
      <c r="Z189" s="842"/>
      <c r="AA189" s="2209"/>
      <c r="AB189" s="2209"/>
      <c r="AC189" s="346"/>
    </row>
    <row r="190" spans="1:29" ht="18.75" customHeight="1" x14ac:dyDescent="0.2">
      <c r="A190" s="341"/>
      <c r="B190" s="345"/>
      <c r="C190" s="442" t="s">
        <v>620</v>
      </c>
      <c r="D190" s="842" t="s">
        <v>622</v>
      </c>
      <c r="E190" s="842">
        <f t="shared" ca="1" si="13"/>
        <v>2190142.6865078406</v>
      </c>
      <c r="F190" s="842">
        <f t="shared" ca="1" si="13"/>
        <v>1921181.6619895815</v>
      </c>
      <c r="G190" s="842">
        <f t="shared" ca="1" si="13"/>
        <v>49946.755867475033</v>
      </c>
      <c r="H190" s="842">
        <f ca="1">IF(reformerFeedstockActive=1,H214,H214+H226)</f>
        <v>219014.26865078407</v>
      </c>
      <c r="I190" s="337">
        <f ca="1">H190+G190+F190-E190</f>
        <v>0</v>
      </c>
      <c r="J190" s="842"/>
      <c r="K190" s="842"/>
      <c r="L190" s="842"/>
      <c r="M190" s="842"/>
      <c r="N190" s="842"/>
      <c r="O190" s="842"/>
      <c r="P190" s="842"/>
      <c r="Q190" s="842"/>
      <c r="R190" s="842"/>
      <c r="S190" s="842"/>
      <c r="T190" s="842"/>
      <c r="U190" s="842"/>
      <c r="V190" s="842"/>
      <c r="W190" s="842"/>
      <c r="X190" s="842"/>
      <c r="Y190" s="842"/>
      <c r="Z190" s="842"/>
      <c r="AA190" s="2209"/>
      <c r="AB190" s="2209"/>
      <c r="AC190" s="346"/>
    </row>
    <row r="191" spans="1:29" ht="18.75" customHeight="1" x14ac:dyDescent="0.2">
      <c r="A191" s="341"/>
      <c r="B191" s="345"/>
      <c r="C191" s="442" t="s">
        <v>578</v>
      </c>
      <c r="D191" s="842" t="s">
        <v>579</v>
      </c>
      <c r="E191" s="842">
        <f>IF(reformerFeedstockActive=1,E215,(E215*E214+E227*E226)/E190*100)</f>
        <v>0</v>
      </c>
      <c r="F191" s="842">
        <f>IF(reformerFeedstockActive=1,F215,(F215*F214+F227*F226)/F190*100)</f>
        <v>0</v>
      </c>
      <c r="G191" s="842">
        <f>G215+G227</f>
        <v>0</v>
      </c>
      <c r="H191" s="842">
        <f>H215+H227</f>
        <v>0</v>
      </c>
      <c r="I191" s="337"/>
      <c r="J191" s="842"/>
      <c r="K191" s="842"/>
      <c r="L191" s="842"/>
      <c r="M191" s="842"/>
      <c r="N191" s="842"/>
      <c r="O191" s="842"/>
      <c r="P191" s="842"/>
      <c r="Q191" s="842"/>
      <c r="R191" s="842"/>
      <c r="S191" s="842"/>
      <c r="T191" s="842"/>
      <c r="U191" s="842"/>
      <c r="V191" s="842"/>
      <c r="W191" s="842"/>
      <c r="X191" s="842"/>
      <c r="Y191" s="842"/>
      <c r="Z191" s="842"/>
      <c r="AA191" s="2209"/>
      <c r="AB191" s="2209"/>
      <c r="AC191" s="346"/>
    </row>
    <row r="192" spans="1:29" ht="18.75" customHeight="1" x14ac:dyDescent="0.2">
      <c r="A192" s="341"/>
      <c r="B192" s="345"/>
      <c r="C192" s="442" t="s">
        <v>567</v>
      </c>
      <c r="D192" s="842"/>
      <c r="E192" s="842">
        <f ca="1">IF(reformerFeedstockActive=1,E216,141.5/(E193/1000)-131.5)</f>
        <v>50.096959674877127</v>
      </c>
      <c r="F192" s="842">
        <f>141.5/(F193/1000)-131.5</f>
        <v>52.266233766233768</v>
      </c>
      <c r="G192" s="842"/>
      <c r="H192" s="842"/>
      <c r="I192" s="337"/>
      <c r="J192" s="842"/>
      <c r="K192" s="842"/>
      <c r="L192" s="842"/>
      <c r="M192" s="842"/>
      <c r="N192" s="842"/>
      <c r="O192" s="842"/>
      <c r="P192" s="842"/>
      <c r="Q192" s="842"/>
      <c r="R192" s="842"/>
      <c r="S192" s="842"/>
      <c r="T192" s="842"/>
      <c r="U192" s="842"/>
      <c r="V192" s="842"/>
      <c r="W192" s="842"/>
      <c r="X192" s="842"/>
      <c r="Y192" s="842"/>
      <c r="Z192" s="842"/>
      <c r="AA192" s="2209"/>
      <c r="AB192" s="2209"/>
      <c r="AC192" s="346"/>
    </row>
    <row r="193" spans="1:29" ht="18.75" customHeight="1" x14ac:dyDescent="0.2">
      <c r="A193" s="341"/>
      <c r="B193" s="345"/>
      <c r="C193" s="442" t="s">
        <v>580</v>
      </c>
      <c r="D193" s="842" t="s">
        <v>581</v>
      </c>
      <c r="E193" s="842">
        <f ca="1">IF(reformerFeedstockActive=1,E217,1/(((E214/E190)/E217)+((E226/E190)/E229)))</f>
        <v>778.38769369341151</v>
      </c>
      <c r="F193" s="842">
        <f>IF(reformerFeedstockActive=1,F217,1/(((F214/F190)/F217)+((F226/F190)/F229)))</f>
        <v>770</v>
      </c>
      <c r="G193" s="842"/>
      <c r="H193" s="842"/>
      <c r="I193" s="337"/>
      <c r="J193" s="842"/>
      <c r="K193" s="842"/>
      <c r="L193" s="842"/>
      <c r="M193" s="842"/>
      <c r="N193" s="842"/>
      <c r="O193" s="842"/>
      <c r="P193" s="842"/>
      <c r="Q193" s="842"/>
      <c r="R193" s="842"/>
      <c r="S193" s="842"/>
      <c r="T193" s="842"/>
      <c r="U193" s="842"/>
      <c r="V193" s="842"/>
      <c r="W193" s="842"/>
      <c r="X193" s="842"/>
      <c r="Y193" s="842"/>
      <c r="Z193" s="842"/>
      <c r="AA193" s="2209"/>
      <c r="AB193" s="2209"/>
      <c r="AC193" s="346"/>
    </row>
    <row r="194" spans="1:29" ht="18.75" customHeight="1" x14ac:dyDescent="0.2">
      <c r="A194" s="341"/>
      <c r="B194" s="345"/>
      <c r="C194" s="442" t="s">
        <v>621</v>
      </c>
      <c r="D194" s="842" t="s">
        <v>579</v>
      </c>
      <c r="E194" s="842">
        <f ca="1">IF(reformerFeedstockActive=1,E218,(E218/100*E214+E230/100*E226)/E190*100)</f>
        <v>15</v>
      </c>
      <c r="F194" s="842">
        <f>IF(reformerFeedstockActive=1,F218,(F218*F214+F230*F226)/F190)</f>
        <v>12.3</v>
      </c>
      <c r="G194" s="842">
        <f>IF(reformerFeedstockActive=1,G218,(G218*G214+G230*G226)/G190)</f>
        <v>100</v>
      </c>
      <c r="H194" s="842">
        <f>IF(reformerFeedstockActive=1,H218,(H218*H214+H230*H226)/H190)</f>
        <v>19.299794001723541</v>
      </c>
      <c r="I194" s="337"/>
      <c r="J194" s="842"/>
      <c r="K194" s="842"/>
      <c r="L194" s="842"/>
      <c r="M194" s="842"/>
      <c r="N194" s="842"/>
      <c r="O194" s="842"/>
      <c r="P194" s="842"/>
      <c r="Q194" s="842"/>
      <c r="R194" s="842"/>
      <c r="S194" s="842"/>
      <c r="T194" s="842"/>
      <c r="U194" s="842"/>
      <c r="V194" s="842"/>
      <c r="W194" s="842"/>
      <c r="X194" s="842"/>
      <c r="Y194" s="842"/>
      <c r="Z194" s="842"/>
      <c r="AA194" s="2209"/>
      <c r="AB194" s="2209"/>
      <c r="AC194" s="346"/>
    </row>
    <row r="195" spans="1:29" ht="18.75" customHeight="1" x14ac:dyDescent="0.2">
      <c r="A195" s="341"/>
      <c r="B195" s="345"/>
      <c r="C195" s="443" t="s">
        <v>544</v>
      </c>
      <c r="D195" s="334" t="s">
        <v>579</v>
      </c>
      <c r="E195" s="334"/>
      <c r="F195" s="334"/>
      <c r="G195" s="334">
        <f ca="1">IF(HydroRefineryConfig=1,G219,G219+G231)</f>
        <v>0</v>
      </c>
      <c r="H195" s="334">
        <f ca="1">IF(HydroRefineryConfig=1,H219,H219+H231)</f>
        <v>0</v>
      </c>
      <c r="I195" s="338"/>
      <c r="J195" s="842"/>
      <c r="K195" s="842"/>
      <c r="L195" s="842"/>
      <c r="M195" s="842"/>
      <c r="N195" s="842"/>
      <c r="O195" s="842"/>
      <c r="P195" s="842"/>
      <c r="Q195" s="842"/>
      <c r="R195" s="842"/>
      <c r="S195" s="842"/>
      <c r="T195" s="842"/>
      <c r="U195" s="842"/>
      <c r="V195" s="842"/>
      <c r="W195" s="842"/>
      <c r="X195" s="842"/>
      <c r="Y195" s="842"/>
      <c r="Z195" s="842"/>
      <c r="AA195" s="2209"/>
      <c r="AB195" s="2209"/>
      <c r="AC195" s="346"/>
    </row>
    <row r="196" spans="1:29" ht="18.75" customHeight="1" x14ac:dyDescent="0.2">
      <c r="A196" s="341"/>
      <c r="B196" s="345"/>
      <c r="C196" s="437"/>
      <c r="D196" s="842"/>
      <c r="E196" s="842"/>
      <c r="F196" s="842"/>
      <c r="G196" s="842"/>
      <c r="H196" s="842"/>
      <c r="I196" s="842"/>
      <c r="J196" s="842"/>
      <c r="K196" s="842"/>
      <c r="L196" s="842"/>
      <c r="M196" s="842"/>
      <c r="N196" s="842"/>
      <c r="O196" s="842"/>
      <c r="P196" s="842"/>
      <c r="Q196" s="842"/>
      <c r="R196" s="842"/>
      <c r="S196" s="842"/>
      <c r="T196" s="842"/>
      <c r="U196" s="842"/>
      <c r="V196" s="842"/>
      <c r="W196" s="842"/>
      <c r="X196" s="842"/>
      <c r="Y196" s="842"/>
      <c r="Z196" s="842"/>
      <c r="AA196" s="2209"/>
      <c r="AB196" s="2209"/>
      <c r="AC196" s="346"/>
    </row>
    <row r="197" spans="1:29" ht="18.75" customHeight="1" x14ac:dyDescent="0.2">
      <c r="A197" s="341"/>
      <c r="B197" s="345"/>
      <c r="C197" s="843" t="s">
        <v>308</v>
      </c>
      <c r="D197" s="842"/>
      <c r="E197" s="842"/>
      <c r="F197" s="842"/>
      <c r="G197" s="843" t="s">
        <v>241</v>
      </c>
      <c r="H197" s="843"/>
      <c r="I197" s="842"/>
      <c r="J197" s="842"/>
      <c r="K197" s="842"/>
      <c r="L197" s="842"/>
      <c r="M197" s="842"/>
      <c r="N197" s="842"/>
      <c r="O197" s="842"/>
      <c r="P197" s="842"/>
      <c r="Q197" s="842"/>
      <c r="R197" s="842"/>
      <c r="S197" s="842"/>
      <c r="T197" s="842"/>
      <c r="U197" s="842"/>
      <c r="V197" s="842"/>
      <c r="W197" s="842"/>
      <c r="X197" s="842"/>
      <c r="Y197" s="842"/>
      <c r="Z197" s="842"/>
      <c r="AA197" s="2209"/>
      <c r="AB197" s="2209"/>
      <c r="AC197" s="346"/>
    </row>
    <row r="198" spans="1:29" ht="18.75" customHeight="1" x14ac:dyDescent="0.2">
      <c r="A198" s="341"/>
      <c r="B198" s="345"/>
      <c r="C198" s="855"/>
      <c r="D198" s="351" t="s">
        <v>624</v>
      </c>
      <c r="E198" s="352" t="s">
        <v>623</v>
      </c>
      <c r="F198" s="842"/>
      <c r="G198" s="855"/>
      <c r="H198" s="351" t="s">
        <v>624</v>
      </c>
      <c r="I198" s="352" t="s">
        <v>623</v>
      </c>
      <c r="J198" s="842"/>
      <c r="K198" s="842"/>
      <c r="L198" s="842"/>
      <c r="M198" s="842"/>
      <c r="N198" s="842"/>
      <c r="O198" s="842"/>
      <c r="P198" s="842"/>
      <c r="Q198" s="842"/>
      <c r="R198" s="842"/>
      <c r="S198" s="842"/>
      <c r="T198" s="842"/>
      <c r="U198" s="842"/>
      <c r="V198" s="842"/>
      <c r="W198" s="842"/>
      <c r="X198" s="842"/>
      <c r="Y198" s="842"/>
      <c r="Z198" s="842"/>
      <c r="AA198" s="2209"/>
      <c r="AB198" s="2209"/>
      <c r="AC198" s="346"/>
    </row>
    <row r="199" spans="1:29" ht="18.75" customHeight="1" x14ac:dyDescent="0.2">
      <c r="A199" s="341"/>
      <c r="B199" s="345"/>
      <c r="C199" s="453" t="s">
        <v>451</v>
      </c>
      <c r="D199" s="410">
        <f>Constants!H291</f>
        <v>3</v>
      </c>
      <c r="E199" s="337" t="s">
        <v>665</v>
      </c>
      <c r="F199" s="842"/>
      <c r="G199" s="453" t="s">
        <v>613</v>
      </c>
      <c r="H199" s="410">
        <f>Constants!H296</f>
        <v>10</v>
      </c>
      <c r="I199" s="337" t="s">
        <v>633</v>
      </c>
      <c r="J199" s="842"/>
      <c r="K199" s="842"/>
      <c r="L199" s="842"/>
      <c r="M199" s="842"/>
      <c r="N199" s="842"/>
      <c r="O199" s="842"/>
      <c r="P199" s="842"/>
      <c r="Q199" s="842"/>
      <c r="R199" s="842"/>
      <c r="S199" s="842"/>
      <c r="T199" s="842"/>
      <c r="U199" s="842"/>
      <c r="V199" s="842"/>
      <c r="W199" s="842"/>
      <c r="X199" s="842"/>
      <c r="Y199" s="842"/>
      <c r="Z199" s="842"/>
      <c r="AA199" s="2209"/>
      <c r="AB199" s="2209"/>
      <c r="AC199" s="346"/>
    </row>
    <row r="200" spans="1:29" ht="18.75" customHeight="1" x14ac:dyDescent="0.2">
      <c r="A200" s="341"/>
      <c r="B200" s="345"/>
      <c r="C200" s="453" t="s">
        <v>451</v>
      </c>
      <c r="D200" s="842">
        <f>D199/'Energy &amp; Unit Conversions'!G80</f>
        <v>18.869431709325209</v>
      </c>
      <c r="E200" s="337" t="s">
        <v>629</v>
      </c>
      <c r="F200" s="842"/>
      <c r="G200" s="453" t="s">
        <v>614</v>
      </c>
      <c r="H200" s="842">
        <f ca="1">H201/E190*100</f>
        <v>2.2805251993473816</v>
      </c>
      <c r="I200" s="337" t="s">
        <v>633</v>
      </c>
      <c r="J200" s="842"/>
      <c r="K200" s="842"/>
      <c r="L200" s="842"/>
      <c r="M200" s="842"/>
      <c r="N200" s="842"/>
      <c r="O200" s="842"/>
      <c r="P200" s="842"/>
      <c r="Q200" s="842"/>
      <c r="R200" s="842"/>
      <c r="S200" s="842"/>
      <c r="T200" s="842"/>
      <c r="U200" s="842"/>
      <c r="V200" s="842"/>
      <c r="W200" s="842"/>
      <c r="X200" s="842"/>
      <c r="Y200" s="842"/>
      <c r="Z200" s="842"/>
      <c r="AA200" s="2209"/>
      <c r="AB200" s="2209"/>
      <c r="AC200" s="346"/>
    </row>
    <row r="201" spans="1:29" ht="18.75" customHeight="1" x14ac:dyDescent="0.2">
      <c r="A201" s="341"/>
      <c r="B201" s="345"/>
      <c r="C201" s="453" t="s">
        <v>452</v>
      </c>
      <c r="D201" s="842">
        <f ca="1">D200*E189</f>
        <v>53092.755951271982</v>
      </c>
      <c r="E201" s="337" t="s">
        <v>627</v>
      </c>
      <c r="F201" s="842"/>
      <c r="G201" s="453" t="s">
        <v>509</v>
      </c>
      <c r="H201" s="842">
        <f ca="1">G190</f>
        <v>49946.755867475033</v>
      </c>
      <c r="I201" s="337" t="s">
        <v>622</v>
      </c>
      <c r="J201" s="842"/>
      <c r="K201" s="842"/>
      <c r="L201" s="842"/>
      <c r="M201" s="842"/>
      <c r="N201" s="842"/>
      <c r="O201" s="842"/>
      <c r="P201" s="842"/>
      <c r="Q201" s="842"/>
      <c r="R201" s="842"/>
      <c r="S201" s="842"/>
      <c r="T201" s="842"/>
      <c r="U201" s="842"/>
      <c r="V201" s="842"/>
      <c r="W201" s="842"/>
      <c r="X201" s="842"/>
      <c r="Y201" s="842"/>
      <c r="Z201" s="842"/>
      <c r="AA201" s="2209"/>
      <c r="AB201" s="2209"/>
      <c r="AC201" s="346"/>
    </row>
    <row r="202" spans="1:29" ht="18.75" customHeight="1" x14ac:dyDescent="0.2">
      <c r="A202" s="341"/>
      <c r="B202" s="345"/>
      <c r="C202" s="453" t="s">
        <v>635</v>
      </c>
      <c r="D202" s="410">
        <f>Constants!H289</f>
        <v>317</v>
      </c>
      <c r="E202" s="337" t="s">
        <v>637</v>
      </c>
      <c r="F202" s="842"/>
      <c r="G202" s="453" t="s">
        <v>510</v>
      </c>
      <c r="H202" s="842">
        <f ca="1">H201*'Energy &amp; Unit Conversions'!E93/'Energy &amp; Unit Conversions'!E26</f>
        <v>20741133.920936566</v>
      </c>
      <c r="I202" s="337" t="s">
        <v>511</v>
      </c>
      <c r="J202" s="842"/>
      <c r="K202" s="842"/>
      <c r="L202" s="842"/>
      <c r="M202" s="842"/>
      <c r="N202" s="842"/>
      <c r="O202" s="842"/>
      <c r="P202" s="842"/>
      <c r="Q202" s="842"/>
      <c r="R202" s="842"/>
      <c r="S202" s="842"/>
      <c r="T202" s="842"/>
      <c r="U202" s="842"/>
      <c r="V202" s="842"/>
      <c r="W202" s="842"/>
      <c r="X202" s="842"/>
      <c r="Y202" s="842"/>
      <c r="Z202" s="842"/>
      <c r="AA202" s="2209"/>
      <c r="AB202" s="2209"/>
      <c r="AC202" s="346"/>
    </row>
    <row r="203" spans="1:29" ht="18.75" customHeight="1" x14ac:dyDescent="0.2">
      <c r="A203" s="341"/>
      <c r="B203" s="345"/>
      <c r="C203" s="453" t="s">
        <v>634</v>
      </c>
      <c r="D203" s="842">
        <f>D202*'Energy &amp; Unit Conversions'!G82/'Energy &amp; Unit Conversions'!G80</f>
        <v>53.416152818072064</v>
      </c>
      <c r="E203" s="337" t="s">
        <v>636</v>
      </c>
      <c r="F203" s="842"/>
      <c r="G203" s="453" t="s">
        <v>510</v>
      </c>
      <c r="H203" s="842">
        <f ca="1">H202*'Energy &amp; Unit Conversions'!G82</f>
        <v>555658.89781179628</v>
      </c>
      <c r="I203" s="337" t="s">
        <v>628</v>
      </c>
      <c r="J203" s="842"/>
      <c r="K203" s="842"/>
      <c r="L203" s="842"/>
      <c r="M203" s="842"/>
      <c r="N203" s="842"/>
      <c r="O203" s="842"/>
      <c r="P203" s="842"/>
      <c r="Q203" s="842"/>
      <c r="R203" s="842"/>
      <c r="S203" s="842"/>
      <c r="T203" s="842"/>
      <c r="U203" s="842"/>
      <c r="V203" s="842"/>
      <c r="W203" s="842"/>
      <c r="X203" s="842"/>
      <c r="Y203" s="842"/>
      <c r="Z203" s="842"/>
      <c r="AA203" s="2209"/>
      <c r="AB203" s="2209"/>
      <c r="AC203" s="346"/>
    </row>
    <row r="204" spans="1:29" ht="18.75" customHeight="1" x14ac:dyDescent="0.2">
      <c r="A204" s="341"/>
      <c r="B204" s="345"/>
      <c r="C204" s="453" t="s">
        <v>542</v>
      </c>
      <c r="D204" s="842">
        <f ca="1">D202*E188/1000</f>
        <v>5610.1345455177398</v>
      </c>
      <c r="E204" s="337" t="s">
        <v>472</v>
      </c>
      <c r="F204" s="842"/>
      <c r="G204" s="453" t="s">
        <v>512</v>
      </c>
      <c r="H204" s="842">
        <f ca="1">H202/E188</f>
        <v>1171.9753598761708</v>
      </c>
      <c r="I204" s="337" t="s">
        <v>513</v>
      </c>
      <c r="J204" s="842"/>
      <c r="K204" s="842"/>
      <c r="L204" s="842"/>
      <c r="M204" s="842"/>
      <c r="N204" s="842"/>
      <c r="O204" s="842"/>
      <c r="P204" s="842"/>
      <c r="Q204" s="842"/>
      <c r="R204" s="842"/>
      <c r="S204" s="842"/>
      <c r="T204" s="842"/>
      <c r="U204" s="842"/>
      <c r="V204" s="842"/>
      <c r="W204" s="842"/>
      <c r="X204" s="842"/>
      <c r="Y204" s="842"/>
      <c r="Z204" s="842"/>
      <c r="AA204" s="2209"/>
      <c r="AB204" s="2209"/>
      <c r="AC204" s="346"/>
    </row>
    <row r="205" spans="1:29" ht="18.75" customHeight="1" x14ac:dyDescent="0.2">
      <c r="A205" s="341"/>
      <c r="B205" s="345"/>
      <c r="C205" s="453" t="s">
        <v>542</v>
      </c>
      <c r="D205" s="842">
        <f ca="1">D203*E189</f>
        <v>150296.56478865776</v>
      </c>
      <c r="E205" s="337" t="s">
        <v>628</v>
      </c>
      <c r="F205" s="842"/>
      <c r="G205" s="452" t="s">
        <v>512</v>
      </c>
      <c r="H205" s="334">
        <f ca="1">H203/E189</f>
        <v>197.48395874498596</v>
      </c>
      <c r="I205" s="338" t="s">
        <v>514</v>
      </c>
      <c r="J205" s="842"/>
      <c r="K205" s="842"/>
      <c r="L205" s="842"/>
      <c r="M205" s="842"/>
      <c r="N205" s="842"/>
      <c r="O205" s="842"/>
      <c r="P205" s="842"/>
      <c r="Q205" s="842"/>
      <c r="R205" s="842"/>
      <c r="S205" s="842"/>
      <c r="T205" s="842"/>
      <c r="U205" s="842"/>
      <c r="V205" s="842"/>
      <c r="W205" s="842"/>
      <c r="X205" s="842"/>
      <c r="Y205" s="842"/>
      <c r="Z205" s="842"/>
      <c r="AA205" s="2209"/>
      <c r="AB205" s="2209"/>
      <c r="AC205" s="346"/>
    </row>
    <row r="206" spans="1:29" ht="18.75" customHeight="1" x14ac:dyDescent="0.2">
      <c r="A206" s="341"/>
      <c r="B206" s="345"/>
      <c r="C206" s="453" t="s">
        <v>631</v>
      </c>
      <c r="D206" s="842">
        <f ca="1">D205*'Energy &amp; Unit Conversions'!P25*'Energy &amp; Unit Conversions'!G87</f>
        <v>63.711721568256053</v>
      </c>
      <c r="E206" s="337" t="s">
        <v>632</v>
      </c>
      <c r="F206" s="842"/>
      <c r="G206" s="842"/>
      <c r="H206" s="842"/>
      <c r="I206" s="842"/>
      <c r="J206" s="842"/>
      <c r="K206" s="842"/>
      <c r="L206" s="842"/>
      <c r="M206" s="842"/>
      <c r="N206" s="842"/>
      <c r="O206" s="842"/>
      <c r="P206" s="842"/>
      <c r="Q206" s="842"/>
      <c r="R206" s="842"/>
      <c r="S206" s="842"/>
      <c r="T206" s="842"/>
      <c r="U206" s="842"/>
      <c r="V206" s="842"/>
      <c r="W206" s="842"/>
      <c r="X206" s="842"/>
      <c r="Y206" s="842"/>
      <c r="Z206" s="842"/>
      <c r="AA206" s="2209"/>
      <c r="AB206" s="2209"/>
      <c r="AC206" s="346"/>
    </row>
    <row r="207" spans="1:29" ht="18.75" customHeight="1" x14ac:dyDescent="0.2">
      <c r="A207" s="341"/>
      <c r="B207" s="345"/>
      <c r="C207" s="453" t="s">
        <v>753</v>
      </c>
      <c r="D207" s="410">
        <f>Constants!H293</f>
        <v>30</v>
      </c>
      <c r="E207" s="337" t="s">
        <v>496</v>
      </c>
      <c r="F207" s="842"/>
      <c r="G207" s="842"/>
      <c r="H207" s="842"/>
      <c r="I207" s="842"/>
      <c r="J207" s="842"/>
      <c r="K207" s="842"/>
      <c r="L207" s="842"/>
      <c r="M207" s="842"/>
      <c r="N207" s="842"/>
      <c r="O207" s="842"/>
      <c r="P207" s="842"/>
      <c r="Q207" s="842"/>
      <c r="R207" s="842"/>
      <c r="S207" s="842"/>
      <c r="T207" s="842"/>
      <c r="U207" s="842"/>
      <c r="V207" s="842"/>
      <c r="W207" s="842"/>
      <c r="X207" s="842"/>
      <c r="Y207" s="842"/>
      <c r="Z207" s="842"/>
      <c r="AA207" s="2209"/>
      <c r="AB207" s="2209"/>
      <c r="AC207" s="346"/>
    </row>
    <row r="208" spans="1:29" ht="18.75" customHeight="1" x14ac:dyDescent="0.2">
      <c r="A208" s="341"/>
      <c r="B208" s="345"/>
      <c r="C208" s="452" t="s">
        <v>754</v>
      </c>
      <c r="D208" s="334">
        <f ca="1">D207*'Energy &amp; Unit Conversions'!G79*HydroRefineryCalcs!E188</f>
        <v>240824.69001769068</v>
      </c>
      <c r="E208" s="338" t="s">
        <v>622</v>
      </c>
      <c r="F208" s="842"/>
      <c r="G208" s="842"/>
      <c r="H208" s="842"/>
      <c r="I208" s="842"/>
      <c r="J208" s="842"/>
      <c r="K208" s="842"/>
      <c r="L208" s="842"/>
      <c r="M208" s="842"/>
      <c r="N208" s="842"/>
      <c r="O208" s="842"/>
      <c r="P208" s="842"/>
      <c r="Q208" s="842"/>
      <c r="R208" s="842"/>
      <c r="S208" s="842"/>
      <c r="T208" s="842"/>
      <c r="U208" s="842"/>
      <c r="V208" s="842"/>
      <c r="W208" s="842"/>
      <c r="X208" s="842"/>
      <c r="Y208" s="842"/>
      <c r="Z208" s="842"/>
      <c r="AA208" s="2209"/>
      <c r="AB208" s="2209"/>
      <c r="AC208" s="346"/>
    </row>
    <row r="209" spans="1:29" ht="18.75" customHeight="1" x14ac:dyDescent="0.2">
      <c r="A209" s="341"/>
      <c r="B209" s="345"/>
      <c r="C209" s="437"/>
      <c r="D209" s="842"/>
      <c r="E209" s="842"/>
      <c r="F209" s="842"/>
      <c r="G209" s="842"/>
      <c r="H209" s="842"/>
      <c r="I209" s="842"/>
      <c r="J209" s="842"/>
      <c r="K209" s="842"/>
      <c r="L209" s="842"/>
      <c r="M209" s="842"/>
      <c r="N209" s="842"/>
      <c r="O209" s="842"/>
      <c r="P209" s="842"/>
      <c r="Q209" s="842"/>
      <c r="R209" s="842"/>
      <c r="S209" s="842"/>
      <c r="T209" s="842"/>
      <c r="U209" s="842"/>
      <c r="V209" s="842"/>
      <c r="W209" s="842"/>
      <c r="X209" s="842"/>
      <c r="Y209" s="842"/>
      <c r="Z209" s="842"/>
      <c r="AA209" s="2209"/>
      <c r="AB209" s="2209"/>
      <c r="AC209" s="346"/>
    </row>
    <row r="210" spans="1:29" ht="18.75" customHeight="1" x14ac:dyDescent="0.2">
      <c r="A210" s="341"/>
      <c r="B210" s="345"/>
      <c r="C210" s="843" t="s">
        <v>1983</v>
      </c>
      <c r="D210" s="842"/>
      <c r="E210" s="839"/>
      <c r="F210" s="842"/>
      <c r="G210" s="842"/>
      <c r="H210" s="842"/>
      <c r="I210" s="842"/>
      <c r="J210" s="842"/>
      <c r="K210" s="842"/>
      <c r="L210" s="842"/>
      <c r="M210" s="842"/>
      <c r="N210" s="842"/>
      <c r="O210" s="842"/>
      <c r="P210" s="842"/>
      <c r="Q210" s="842"/>
      <c r="R210" s="842"/>
      <c r="S210" s="842"/>
      <c r="T210" s="842"/>
      <c r="U210" s="842"/>
      <c r="V210" s="842"/>
      <c r="W210" s="842"/>
      <c r="X210" s="842"/>
      <c r="Y210" s="842"/>
      <c r="Z210" s="842"/>
      <c r="AA210" s="2209"/>
      <c r="AB210" s="2209"/>
      <c r="AC210" s="346"/>
    </row>
    <row r="211" spans="1:29" ht="18.75" customHeight="1" x14ac:dyDescent="0.2">
      <c r="A211" s="341"/>
      <c r="B211" s="345"/>
      <c r="C211" s="441" t="s">
        <v>568</v>
      </c>
      <c r="D211" s="351" t="s">
        <v>623</v>
      </c>
      <c r="E211" s="356"/>
      <c r="F211" s="356" t="s">
        <v>612</v>
      </c>
      <c r="G211" s="351" t="s">
        <v>515</v>
      </c>
      <c r="H211" s="351" t="s">
        <v>369</v>
      </c>
      <c r="I211" s="369"/>
      <c r="J211" s="842"/>
      <c r="K211" s="842"/>
      <c r="L211" s="842"/>
      <c r="M211" s="842"/>
      <c r="N211" s="842"/>
      <c r="O211" s="842"/>
      <c r="P211" s="842"/>
      <c r="Q211" s="842"/>
      <c r="R211" s="842"/>
      <c r="S211" s="842"/>
      <c r="T211" s="842"/>
      <c r="U211" s="842"/>
      <c r="V211" s="842"/>
      <c r="W211" s="842"/>
      <c r="X211" s="842"/>
      <c r="Y211" s="842"/>
      <c r="Z211" s="842"/>
      <c r="AA211" s="2209"/>
      <c r="AB211" s="2209"/>
      <c r="AC211" s="346"/>
    </row>
    <row r="212" spans="1:29" ht="18.75" customHeight="1" x14ac:dyDescent="0.2">
      <c r="A212" s="341"/>
      <c r="B212" s="345"/>
      <c r="C212" s="442" t="s">
        <v>582</v>
      </c>
      <c r="D212" s="842" t="s">
        <v>566</v>
      </c>
      <c r="E212" s="842">
        <f ca="1">H117</f>
        <v>17697.585317090663</v>
      </c>
      <c r="F212" s="842">
        <f ca="1">F213/'Energy &amp; Unit Conversions'!G80</f>
        <v>15693.336005246892</v>
      </c>
      <c r="G212" s="842">
        <f ca="1">G213/'Energy &amp; Unit Conversions'!$G$80</f>
        <v>3694154.0492169661</v>
      </c>
      <c r="H212" s="842"/>
      <c r="I212" s="337"/>
      <c r="J212" s="842"/>
      <c r="K212" s="842"/>
      <c r="L212" s="842"/>
      <c r="M212" s="842"/>
      <c r="N212" s="842"/>
      <c r="O212" s="842"/>
      <c r="P212" s="842"/>
      <c r="Q212" s="842"/>
      <c r="R212" s="842"/>
      <c r="S212" s="842"/>
      <c r="T212" s="842"/>
      <c r="U212" s="842"/>
      <c r="V212" s="842"/>
      <c r="W212" s="842"/>
      <c r="X212" s="842"/>
      <c r="Y212" s="842"/>
      <c r="Z212" s="842"/>
      <c r="AA212" s="2209"/>
      <c r="AB212" s="2209"/>
      <c r="AC212" s="346"/>
    </row>
    <row r="213" spans="1:29" ht="18.75" customHeight="1" x14ac:dyDescent="0.2">
      <c r="A213" s="341"/>
      <c r="B213" s="345"/>
      <c r="C213" s="442" t="s">
        <v>582</v>
      </c>
      <c r="D213" s="842" t="s">
        <v>628</v>
      </c>
      <c r="E213" s="842">
        <f ca="1">H118</f>
        <v>2813.6913060838883</v>
      </c>
      <c r="F213" s="842">
        <f ca="1">F214/F217</f>
        <v>2495.0411194669891</v>
      </c>
      <c r="G213" s="842">
        <f ca="1">G214*'Energy &amp; Unit Conversions'!$E$93/'Energy &amp; Unit Conversions'!$E$26*'Energy &amp; Unit Conversions'!G81</f>
        <v>587323.57806907257</v>
      </c>
      <c r="H213" s="842"/>
      <c r="I213" s="337"/>
      <c r="J213" s="842"/>
      <c r="K213" s="842"/>
      <c r="L213" s="842"/>
      <c r="M213" s="842"/>
      <c r="N213" s="842"/>
      <c r="O213" s="842"/>
      <c r="P213" s="842"/>
      <c r="Q213" s="842"/>
      <c r="R213" s="842"/>
      <c r="S213" s="842"/>
      <c r="T213" s="842"/>
      <c r="U213" s="842"/>
      <c r="V213" s="842"/>
      <c r="W213" s="842"/>
      <c r="X213" s="842"/>
      <c r="Y213" s="842"/>
      <c r="Z213" s="842"/>
      <c r="AA213" s="2209"/>
      <c r="AB213" s="2209"/>
      <c r="AC213" s="346"/>
    </row>
    <row r="214" spans="1:29" ht="18.75" customHeight="1" x14ac:dyDescent="0.2">
      <c r="A214" s="341"/>
      <c r="B214" s="345"/>
      <c r="C214" s="442" t="s">
        <v>620</v>
      </c>
      <c r="D214" s="842" t="s">
        <v>622</v>
      </c>
      <c r="E214" s="842">
        <f ca="1">H119</f>
        <v>2190142.6865078406</v>
      </c>
      <c r="F214" s="842">
        <f ca="1">((E214*(1-E218/100))-(H214*(1-H218/100)))/(1-F218/100)</f>
        <v>1921181.6619895815</v>
      </c>
      <c r="G214" s="842">
        <f ca="1">E214-F214-H214</f>
        <v>49946.755867475033</v>
      </c>
      <c r="H214" s="842">
        <f ca="1">H199/100*E214</f>
        <v>219014.26865078407</v>
      </c>
      <c r="I214" s="337"/>
      <c r="J214" s="842"/>
      <c r="K214" s="842"/>
      <c r="L214" s="842"/>
      <c r="M214" s="842"/>
      <c r="N214" s="842"/>
      <c r="O214" s="842"/>
      <c r="P214" s="842"/>
      <c r="Q214" s="842"/>
      <c r="R214" s="842"/>
      <c r="S214" s="842"/>
      <c r="T214" s="842"/>
      <c r="U214" s="842"/>
      <c r="V214" s="842"/>
      <c r="W214" s="842"/>
      <c r="X214" s="842"/>
      <c r="Y214" s="842"/>
      <c r="Z214" s="842"/>
      <c r="AA214" s="2209"/>
      <c r="AB214" s="2209"/>
      <c r="AC214" s="346"/>
    </row>
    <row r="215" spans="1:29" ht="18.75" customHeight="1" x14ac:dyDescent="0.2">
      <c r="A215" s="341"/>
      <c r="B215" s="345"/>
      <c r="C215" s="442" t="s">
        <v>578</v>
      </c>
      <c r="D215" s="842" t="s">
        <v>579</v>
      </c>
      <c r="E215" s="842">
        <f>H120</f>
        <v>0</v>
      </c>
      <c r="F215" s="842">
        <v>0</v>
      </c>
      <c r="G215" s="842"/>
      <c r="H215" s="842"/>
      <c r="I215" s="337"/>
      <c r="J215" s="842"/>
      <c r="K215" s="842"/>
      <c r="L215" s="842"/>
      <c r="M215" s="842"/>
      <c r="N215" s="842"/>
      <c r="O215" s="842"/>
      <c r="P215" s="842"/>
      <c r="Q215" s="842"/>
      <c r="R215" s="842"/>
      <c r="S215" s="842"/>
      <c r="T215" s="842"/>
      <c r="U215" s="842"/>
      <c r="V215" s="842"/>
      <c r="W215" s="842"/>
      <c r="X215" s="842"/>
      <c r="Y215" s="842"/>
      <c r="Z215" s="842"/>
      <c r="AA215" s="2209"/>
      <c r="AB215" s="2209"/>
      <c r="AC215" s="346"/>
    </row>
    <row r="216" spans="1:29" ht="18.75" customHeight="1" x14ac:dyDescent="0.2">
      <c r="A216" s="341"/>
      <c r="B216" s="345"/>
      <c r="C216" s="442" t="s">
        <v>567</v>
      </c>
      <c r="D216" s="842"/>
      <c r="E216" s="842">
        <f ca="1">H122</f>
        <v>50.096959674877127</v>
      </c>
      <c r="F216" s="842">
        <v>0</v>
      </c>
      <c r="G216" s="842"/>
      <c r="H216" s="842"/>
      <c r="I216" s="337"/>
      <c r="J216" s="842"/>
      <c r="K216" s="842"/>
      <c r="L216" s="842"/>
      <c r="M216" s="842"/>
      <c r="N216" s="842"/>
      <c r="O216" s="842"/>
      <c r="P216" s="842"/>
      <c r="Q216" s="842"/>
      <c r="R216" s="842"/>
      <c r="S216" s="842"/>
      <c r="T216" s="842"/>
      <c r="U216" s="842"/>
      <c r="V216" s="842"/>
      <c r="W216" s="842"/>
      <c r="X216" s="842"/>
      <c r="Y216" s="842"/>
      <c r="Z216" s="842"/>
      <c r="AA216" s="2209"/>
      <c r="AB216" s="2209"/>
      <c r="AC216" s="346"/>
    </row>
    <row r="217" spans="1:29" ht="18.75" customHeight="1" x14ac:dyDescent="0.2">
      <c r="A217" s="341"/>
      <c r="B217" s="345"/>
      <c r="C217" s="442" t="s">
        <v>580</v>
      </c>
      <c r="D217" s="842" t="s">
        <v>581</v>
      </c>
      <c r="E217" s="842">
        <f ca="1">H123</f>
        <v>778.38769369341151</v>
      </c>
      <c r="F217" s="410">
        <v>770</v>
      </c>
      <c r="G217" s="410"/>
      <c r="H217" s="410">
        <v>20</v>
      </c>
      <c r="I217" s="337"/>
      <c r="J217" s="842"/>
      <c r="K217" s="842"/>
      <c r="L217" s="842"/>
      <c r="M217" s="842"/>
      <c r="N217" s="842"/>
      <c r="O217" s="842"/>
      <c r="P217" s="842"/>
      <c r="Q217" s="842"/>
      <c r="R217" s="842"/>
      <c r="S217" s="842"/>
      <c r="T217" s="842"/>
      <c r="U217" s="842"/>
      <c r="V217" s="842"/>
      <c r="W217" s="842"/>
      <c r="X217" s="842"/>
      <c r="Y217" s="842"/>
      <c r="Z217" s="842"/>
      <c r="AA217" s="2209"/>
      <c r="AB217" s="2209"/>
      <c r="AC217" s="346"/>
    </row>
    <row r="218" spans="1:29" ht="18.75" customHeight="1" x14ac:dyDescent="0.2">
      <c r="A218" s="341"/>
      <c r="B218" s="345"/>
      <c r="C218" s="442" t="s">
        <v>621</v>
      </c>
      <c r="D218" s="842" t="s">
        <v>579</v>
      </c>
      <c r="E218" s="842">
        <f ca="1">H124</f>
        <v>15</v>
      </c>
      <c r="F218" s="410">
        <v>12.3</v>
      </c>
      <c r="G218" s="410">
        <v>100</v>
      </c>
      <c r="H218" s="410">
        <f>Constants!N389</f>
        <v>19.299794001723541</v>
      </c>
      <c r="I218" s="337"/>
      <c r="J218" s="842"/>
      <c r="K218" s="842"/>
      <c r="L218" s="842"/>
      <c r="M218" s="842"/>
      <c r="N218" s="842"/>
      <c r="O218" s="842"/>
      <c r="P218" s="842"/>
      <c r="Q218" s="842"/>
      <c r="R218" s="842"/>
      <c r="S218" s="842"/>
      <c r="T218" s="842"/>
      <c r="U218" s="842"/>
      <c r="V218" s="842"/>
      <c r="W218" s="842"/>
      <c r="X218" s="842"/>
      <c r="Y218" s="842"/>
      <c r="Z218" s="842"/>
      <c r="AA218" s="2209"/>
      <c r="AB218" s="2209"/>
      <c r="AC218" s="346"/>
    </row>
    <row r="219" spans="1:29" ht="18.75" customHeight="1" x14ac:dyDescent="0.2">
      <c r="A219" s="341"/>
      <c r="B219" s="345"/>
      <c r="C219" s="442" t="s">
        <v>544</v>
      </c>
      <c r="D219" s="842" t="s">
        <v>579</v>
      </c>
      <c r="E219" s="842">
        <f>H125</f>
        <v>0</v>
      </c>
      <c r="F219" s="842"/>
      <c r="G219" s="842"/>
      <c r="H219" s="842">
        <v>0</v>
      </c>
      <c r="I219" s="337"/>
      <c r="J219" s="842"/>
      <c r="K219" s="842"/>
      <c r="L219" s="842"/>
      <c r="M219" s="842"/>
      <c r="N219" s="842"/>
      <c r="O219" s="842"/>
      <c r="P219" s="842"/>
      <c r="Q219" s="842"/>
      <c r="R219" s="842"/>
      <c r="S219" s="842"/>
      <c r="T219" s="842"/>
      <c r="U219" s="842"/>
      <c r="V219" s="842"/>
      <c r="W219" s="842"/>
      <c r="X219" s="842"/>
      <c r="Y219" s="842"/>
      <c r="Z219" s="842"/>
      <c r="AA219" s="2209"/>
      <c r="AB219" s="2209"/>
      <c r="AC219" s="346"/>
    </row>
    <row r="220" spans="1:29" ht="18.75" customHeight="1" x14ac:dyDescent="0.2">
      <c r="A220" s="341"/>
      <c r="B220" s="345"/>
      <c r="C220" s="452"/>
      <c r="D220" s="334"/>
      <c r="E220" s="334">
        <f ca="1">E214*E218/100</f>
        <v>328521.40297617612</v>
      </c>
      <c r="F220" s="334">
        <f ca="1">F214*F218/100</f>
        <v>236305.34442471855</v>
      </c>
      <c r="G220" s="334">
        <f ca="1">G214*G218/100</f>
        <v>49946.755867475033</v>
      </c>
      <c r="H220" s="334">
        <f ca="1">H214*H218/100</f>
        <v>42269.302683982707</v>
      </c>
      <c r="I220" s="338"/>
      <c r="J220" s="842"/>
      <c r="K220" s="842"/>
      <c r="L220" s="842"/>
      <c r="M220" s="842"/>
      <c r="N220" s="842"/>
      <c r="O220" s="842"/>
      <c r="P220" s="842"/>
      <c r="Q220" s="842"/>
      <c r="R220" s="842"/>
      <c r="S220" s="842"/>
      <c r="T220" s="842"/>
      <c r="U220" s="842"/>
      <c r="V220" s="842"/>
      <c r="W220" s="842"/>
      <c r="X220" s="842"/>
      <c r="Y220" s="842"/>
      <c r="Z220" s="842"/>
      <c r="AA220" s="2209"/>
      <c r="AB220" s="2209"/>
      <c r="AC220" s="346"/>
    </row>
    <row r="221" spans="1:29" ht="18.75" customHeight="1" x14ac:dyDescent="0.2">
      <c r="A221" s="341"/>
      <c r="B221" s="345"/>
      <c r="C221" s="437"/>
      <c r="D221" s="842"/>
      <c r="E221" s="842"/>
      <c r="F221" s="842"/>
      <c r="G221" s="842"/>
      <c r="H221" s="842"/>
      <c r="I221" s="842"/>
      <c r="J221" s="842"/>
      <c r="K221" s="842"/>
      <c r="L221" s="842"/>
      <c r="M221" s="842"/>
      <c r="N221" s="842"/>
      <c r="O221" s="842"/>
      <c r="P221" s="842"/>
      <c r="Q221" s="842"/>
      <c r="R221" s="842"/>
      <c r="S221" s="842"/>
      <c r="T221" s="842"/>
      <c r="U221" s="842"/>
      <c r="V221" s="842"/>
      <c r="W221" s="842"/>
      <c r="X221" s="842"/>
      <c r="Y221" s="842"/>
      <c r="Z221" s="842"/>
      <c r="AA221" s="2209"/>
      <c r="AB221" s="2209"/>
      <c r="AC221" s="346"/>
    </row>
    <row r="222" spans="1:29" ht="18.75" customHeight="1" x14ac:dyDescent="0.2">
      <c r="A222" s="341"/>
      <c r="B222" s="345"/>
      <c r="C222" s="843" t="s">
        <v>771</v>
      </c>
      <c r="D222" s="842"/>
      <c r="E222" s="842"/>
      <c r="F222" s="842"/>
      <c r="G222" s="842"/>
      <c r="H222" s="842"/>
      <c r="I222" s="842"/>
      <c r="J222" s="842"/>
      <c r="K222" s="842"/>
      <c r="L222" s="842"/>
      <c r="M222" s="842"/>
      <c r="N222" s="842"/>
      <c r="O222" s="842"/>
      <c r="P222" s="842"/>
      <c r="Q222" s="842"/>
      <c r="R222" s="842"/>
      <c r="S222" s="842"/>
      <c r="T222" s="842"/>
      <c r="U222" s="842"/>
      <c r="V222" s="842"/>
      <c r="W222" s="842"/>
      <c r="X222" s="842"/>
      <c r="Y222" s="842"/>
      <c r="Z222" s="842"/>
      <c r="AA222" s="2209"/>
      <c r="AB222" s="2209"/>
      <c r="AC222" s="346"/>
    </row>
    <row r="223" spans="1:29" ht="18.75" customHeight="1" x14ac:dyDescent="0.2">
      <c r="A223" s="341"/>
      <c r="B223" s="345"/>
      <c r="C223" s="441" t="s">
        <v>568</v>
      </c>
      <c r="D223" s="351" t="s">
        <v>623</v>
      </c>
      <c r="E223" s="356"/>
      <c r="F223" s="356" t="s">
        <v>612</v>
      </c>
      <c r="G223" s="351" t="s">
        <v>515</v>
      </c>
      <c r="H223" s="351" t="s">
        <v>369</v>
      </c>
      <c r="I223" s="369"/>
      <c r="J223" s="842"/>
      <c r="K223" s="842"/>
      <c r="L223" s="842"/>
      <c r="M223" s="842"/>
      <c r="N223" s="842"/>
      <c r="O223" s="842"/>
      <c r="P223" s="842"/>
      <c r="Q223" s="842"/>
      <c r="R223" s="842"/>
      <c r="S223" s="842"/>
      <c r="T223" s="842"/>
      <c r="U223" s="842"/>
      <c r="V223" s="842"/>
      <c r="W223" s="842"/>
      <c r="X223" s="842"/>
      <c r="Y223" s="842"/>
      <c r="Z223" s="842"/>
      <c r="AA223" s="2209"/>
      <c r="AB223" s="2209"/>
      <c r="AC223" s="346"/>
    </row>
    <row r="224" spans="1:29" ht="18.75" customHeight="1" x14ac:dyDescent="0.2">
      <c r="A224" s="341"/>
      <c r="B224" s="345"/>
      <c r="C224" s="442" t="s">
        <v>582</v>
      </c>
      <c r="D224" s="842" t="s">
        <v>566</v>
      </c>
      <c r="E224" s="842">
        <f ca="1">F979</f>
        <v>1.0943045066169453E-17</v>
      </c>
      <c r="F224" s="842">
        <f ca="1">F225/'Energy &amp; Unit Conversions'!G80</f>
        <v>8.8941851941812207E-18</v>
      </c>
      <c r="G224" s="842">
        <f ca="1">G225/'Energy &amp; Unit Conversions'!$G$80</f>
        <v>2.8523861504991881E-15</v>
      </c>
      <c r="H224" s="842"/>
      <c r="I224" s="337"/>
      <c r="J224" s="842"/>
      <c r="K224" s="362"/>
      <c r="L224" s="842"/>
      <c r="M224" s="842"/>
      <c r="N224" s="842"/>
      <c r="O224" s="842"/>
      <c r="P224" s="842"/>
      <c r="Q224" s="842"/>
      <c r="R224" s="842"/>
      <c r="S224" s="842"/>
      <c r="T224" s="842"/>
      <c r="U224" s="842"/>
      <c r="V224" s="842"/>
      <c r="W224" s="842"/>
      <c r="X224" s="842"/>
      <c r="Y224" s="842"/>
      <c r="Z224" s="842"/>
      <c r="AA224" s="2209"/>
      <c r="AB224" s="2209"/>
      <c r="AC224" s="346"/>
    </row>
    <row r="225" spans="1:29" ht="18.75" customHeight="1" x14ac:dyDescent="0.2">
      <c r="A225" s="341"/>
      <c r="B225" s="345"/>
      <c r="C225" s="442" t="s">
        <v>582</v>
      </c>
      <c r="D225" s="842" t="s">
        <v>628</v>
      </c>
      <c r="E225" s="842">
        <f ca="1">F980</f>
        <v>1.7398051888486026E-18</v>
      </c>
      <c r="F225" s="842">
        <f ca="1">F226/F229</f>
        <v>1.4140624897228481E-18</v>
      </c>
      <c r="G225" s="842">
        <f ca="1">G226*'Energy &amp; Unit Conversions'!$E$93/'Energy &amp; Unit Conversions'!$E$26*'Energy &amp; Unit Conversions'!G81</f>
        <v>4.5349317262525959E-16</v>
      </c>
      <c r="H225" s="842"/>
      <c r="I225" s="337"/>
      <c r="J225" s="842"/>
      <c r="K225" s="363"/>
      <c r="L225" s="842"/>
      <c r="M225" s="842"/>
      <c r="N225" s="842"/>
      <c r="O225" s="842"/>
      <c r="P225" s="842"/>
      <c r="Q225" s="842"/>
      <c r="R225" s="842"/>
      <c r="S225" s="842"/>
      <c r="T225" s="842"/>
      <c r="U225" s="842"/>
      <c r="V225" s="842"/>
      <c r="W225" s="842"/>
      <c r="X225" s="842"/>
      <c r="Y225" s="842"/>
      <c r="Z225" s="842"/>
      <c r="AA225" s="2209"/>
      <c r="AB225" s="2209"/>
      <c r="AC225" s="346"/>
    </row>
    <row r="226" spans="1:29" ht="18.75" customHeight="1" x14ac:dyDescent="0.2">
      <c r="A226" s="341"/>
      <c r="B226" s="345"/>
      <c r="C226" s="442" t="s">
        <v>620</v>
      </c>
      <c r="D226" s="842" t="s">
        <v>622</v>
      </c>
      <c r="E226" s="842">
        <f ca="1">F981</f>
        <v>1.2526597359709939E-15</v>
      </c>
      <c r="F226" s="842">
        <f ca="1">((E226*(1-E230/100))-(H226*(1-H230/100)))/(1-F230/100)</f>
        <v>1.088828117086593E-15</v>
      </c>
      <c r="G226" s="842">
        <f ca="1">E226-F226-H226</f>
        <v>3.8565645287301439E-17</v>
      </c>
      <c r="H226" s="842">
        <f ca="1">H199/100*E226</f>
        <v>1.252659735970994E-16</v>
      </c>
      <c r="I226" s="337"/>
      <c r="J226" s="842"/>
      <c r="K226" s="363"/>
      <c r="L226" s="842"/>
      <c r="M226" s="842"/>
      <c r="N226" s="842"/>
      <c r="O226" s="842"/>
      <c r="P226" s="842"/>
      <c r="Q226" s="842"/>
      <c r="R226" s="842"/>
      <c r="S226" s="842"/>
      <c r="T226" s="842"/>
      <c r="U226" s="842"/>
      <c r="V226" s="842"/>
      <c r="W226" s="842"/>
      <c r="X226" s="842"/>
      <c r="Y226" s="842"/>
      <c r="Z226" s="842"/>
      <c r="AA226" s="2209"/>
      <c r="AB226" s="2209"/>
      <c r="AC226" s="346"/>
    </row>
    <row r="227" spans="1:29" ht="18.75" customHeight="1" x14ac:dyDescent="0.2">
      <c r="A227" s="341"/>
      <c r="B227" s="345"/>
      <c r="C227" s="442" t="s">
        <v>578</v>
      </c>
      <c r="D227" s="842" t="s">
        <v>579</v>
      </c>
      <c r="E227" s="842">
        <f>F982</f>
        <v>0</v>
      </c>
      <c r="F227" s="842">
        <v>0</v>
      </c>
      <c r="G227" s="842"/>
      <c r="H227" s="842"/>
      <c r="I227" s="337"/>
      <c r="J227" s="842"/>
      <c r="K227" s="842"/>
      <c r="L227" s="842"/>
      <c r="M227" s="842"/>
      <c r="N227" s="842"/>
      <c r="O227" s="842"/>
      <c r="P227" s="842"/>
      <c r="Q227" s="842"/>
      <c r="R227" s="842"/>
      <c r="S227" s="842"/>
      <c r="T227" s="842"/>
      <c r="U227" s="842"/>
      <c r="V227" s="842"/>
      <c r="W227" s="842"/>
      <c r="X227" s="842"/>
      <c r="Y227" s="842"/>
      <c r="Z227" s="842"/>
      <c r="AA227" s="2209"/>
      <c r="AB227" s="2209"/>
      <c r="AC227" s="346"/>
    </row>
    <row r="228" spans="1:29" ht="18.75" customHeight="1" x14ac:dyDescent="0.2">
      <c r="A228" s="341"/>
      <c r="B228" s="345"/>
      <c r="C228" s="442" t="s">
        <v>567</v>
      </c>
      <c r="D228" s="842"/>
      <c r="E228" s="842">
        <f>F984</f>
        <v>65.027777777777771</v>
      </c>
      <c r="F228" s="842">
        <v>0</v>
      </c>
      <c r="G228" s="842"/>
      <c r="H228" s="842"/>
      <c r="I228" s="337"/>
      <c r="J228" s="842"/>
      <c r="K228" s="842"/>
      <c r="L228" s="842"/>
      <c r="M228" s="842"/>
      <c r="N228" s="842"/>
      <c r="O228" s="842"/>
      <c r="P228" s="842"/>
      <c r="Q228" s="842"/>
      <c r="R228" s="842"/>
      <c r="S228" s="842"/>
      <c r="T228" s="842"/>
      <c r="U228" s="842"/>
      <c r="V228" s="842"/>
      <c r="W228" s="842"/>
      <c r="X228" s="842"/>
      <c r="Y228" s="842"/>
      <c r="Z228" s="842"/>
      <c r="AA228" s="2209"/>
      <c r="AB228" s="2209"/>
      <c r="AC228" s="346"/>
    </row>
    <row r="229" spans="1:29" ht="18.75" customHeight="1" x14ac:dyDescent="0.2">
      <c r="A229" s="341"/>
      <c r="B229" s="345"/>
      <c r="C229" s="442" t="s">
        <v>580</v>
      </c>
      <c r="D229" s="842" t="s">
        <v>581</v>
      </c>
      <c r="E229" s="842">
        <f>F985</f>
        <v>720</v>
      </c>
      <c r="F229" s="410">
        <v>770</v>
      </c>
      <c r="G229" s="410"/>
      <c r="H229" s="410">
        <v>20</v>
      </c>
      <c r="I229" s="337"/>
      <c r="J229" s="842"/>
      <c r="K229" s="842"/>
      <c r="L229" s="842"/>
      <c r="M229" s="842"/>
      <c r="N229" s="842"/>
      <c r="O229" s="842"/>
      <c r="P229" s="842"/>
      <c r="Q229" s="842"/>
      <c r="R229" s="842"/>
      <c r="S229" s="842"/>
      <c r="T229" s="842"/>
      <c r="U229" s="842"/>
      <c r="V229" s="842"/>
      <c r="W229" s="842"/>
      <c r="X229" s="842"/>
      <c r="Y229" s="842"/>
      <c r="Z229" s="842"/>
      <c r="AA229" s="2209"/>
      <c r="AB229" s="2209"/>
      <c r="AC229" s="346"/>
    </row>
    <row r="230" spans="1:29" ht="18.75" customHeight="1" x14ac:dyDescent="0.2">
      <c r="A230" s="341"/>
      <c r="B230" s="345"/>
      <c r="C230" s="442" t="s">
        <v>621</v>
      </c>
      <c r="D230" s="842" t="s">
        <v>579</v>
      </c>
      <c r="E230" s="842">
        <f ca="1">F986</f>
        <v>15.7</v>
      </c>
      <c r="F230" s="410">
        <v>12.3</v>
      </c>
      <c r="G230" s="410">
        <v>100</v>
      </c>
      <c r="H230" s="410">
        <f>Constants!N389</f>
        <v>19.299794001723541</v>
      </c>
      <c r="I230" s="337"/>
      <c r="J230" s="842"/>
      <c r="K230" s="842"/>
      <c r="L230" s="842"/>
      <c r="M230" s="842"/>
      <c r="N230" s="842"/>
      <c r="O230" s="842"/>
      <c r="P230" s="842"/>
      <c r="Q230" s="842"/>
      <c r="R230" s="842"/>
      <c r="S230" s="842"/>
      <c r="T230" s="842"/>
      <c r="U230" s="842"/>
      <c r="V230" s="842"/>
      <c r="W230" s="842"/>
      <c r="X230" s="842"/>
      <c r="Y230" s="842"/>
      <c r="Z230" s="842"/>
      <c r="AA230" s="2209"/>
      <c r="AB230" s="2209"/>
      <c r="AC230" s="346"/>
    </row>
    <row r="231" spans="1:29" ht="18.75" customHeight="1" x14ac:dyDescent="0.2">
      <c r="A231" s="341"/>
      <c r="B231" s="345"/>
      <c r="C231" s="442" t="s">
        <v>544</v>
      </c>
      <c r="D231" s="842" t="s">
        <v>579</v>
      </c>
      <c r="E231" s="842">
        <f ca="1">F972</f>
        <v>11.160000000000947</v>
      </c>
      <c r="F231" s="842"/>
      <c r="G231" s="842"/>
      <c r="H231" s="842"/>
      <c r="I231" s="337"/>
      <c r="J231" s="842"/>
      <c r="K231" s="842"/>
      <c r="L231" s="842"/>
      <c r="M231" s="842"/>
      <c r="N231" s="842"/>
      <c r="O231" s="842"/>
      <c r="P231" s="842"/>
      <c r="Q231" s="842"/>
      <c r="R231" s="842"/>
      <c r="S231" s="842"/>
      <c r="T231" s="842"/>
      <c r="U231" s="842"/>
      <c r="V231" s="842"/>
      <c r="W231" s="842"/>
      <c r="X231" s="842"/>
      <c r="Y231" s="842"/>
      <c r="Z231" s="842"/>
      <c r="AA231" s="2209"/>
      <c r="AB231" s="2209"/>
      <c r="AC231" s="346"/>
    </row>
    <row r="232" spans="1:29" ht="18.75" customHeight="1" x14ac:dyDescent="0.2">
      <c r="A232" s="341"/>
      <c r="B232" s="345"/>
      <c r="C232" s="452"/>
      <c r="D232" s="334"/>
      <c r="E232" s="334">
        <f ca="1">E226*E230/100</f>
        <v>1.9666757854744603E-16</v>
      </c>
      <c r="F232" s="334">
        <f ca="1">F226*F230/100</f>
        <v>1.3392585840165095E-16</v>
      </c>
      <c r="G232" s="334">
        <f ca="1">G226*G230/100</f>
        <v>3.8565645287301439E-17</v>
      </c>
      <c r="H232" s="334">
        <f ca="1">H226*H230/100</f>
        <v>2.4176074858493586E-17</v>
      </c>
      <c r="I232" s="338"/>
      <c r="J232" s="842"/>
      <c r="K232" s="842"/>
      <c r="L232" s="842"/>
      <c r="M232" s="842"/>
      <c r="N232" s="842"/>
      <c r="O232" s="842"/>
      <c r="P232" s="842"/>
      <c r="Q232" s="842"/>
      <c r="R232" s="842"/>
      <c r="S232" s="842"/>
      <c r="T232" s="842"/>
      <c r="U232" s="842"/>
      <c r="V232" s="842"/>
      <c r="W232" s="842"/>
      <c r="X232" s="842"/>
      <c r="Y232" s="842"/>
      <c r="Z232" s="842"/>
      <c r="AA232" s="2209"/>
      <c r="AB232" s="2209"/>
      <c r="AC232" s="346"/>
    </row>
    <row r="233" spans="1:29" ht="18.75" customHeight="1" x14ac:dyDescent="0.2">
      <c r="A233" s="341"/>
      <c r="B233" s="345"/>
      <c r="C233" s="437"/>
      <c r="D233" s="842"/>
      <c r="E233" s="842"/>
      <c r="F233" s="842"/>
      <c r="G233" s="842"/>
      <c r="H233" s="842"/>
      <c r="I233" s="842"/>
      <c r="J233" s="842"/>
      <c r="K233" s="842"/>
      <c r="L233" s="842"/>
      <c r="M233" s="842"/>
      <c r="N233" s="842"/>
      <c r="O233" s="842"/>
      <c r="P233" s="842"/>
      <c r="Q233" s="842"/>
      <c r="R233" s="842"/>
      <c r="S233" s="842"/>
      <c r="T233" s="842"/>
      <c r="U233" s="842"/>
      <c r="V233" s="842"/>
      <c r="W233" s="842"/>
      <c r="X233" s="842"/>
      <c r="Y233" s="842"/>
      <c r="Z233" s="842"/>
      <c r="AA233" s="2209"/>
      <c r="AB233" s="2209"/>
      <c r="AC233" s="346"/>
    </row>
    <row r="234" spans="1:29" ht="18.75" customHeight="1" x14ac:dyDescent="0.2">
      <c r="A234" s="341"/>
      <c r="B234" s="345"/>
      <c r="C234" s="843" t="s">
        <v>507</v>
      </c>
      <c r="D234" s="842"/>
      <c r="E234" s="842"/>
      <c r="F234" s="842"/>
      <c r="G234" s="842"/>
      <c r="H234" s="842"/>
      <c r="I234" s="842"/>
      <c r="J234" s="842"/>
      <c r="K234" s="842"/>
      <c r="L234" s="842"/>
      <c r="M234" s="842"/>
      <c r="N234" s="842"/>
      <c r="O234" s="842"/>
      <c r="P234" s="842"/>
      <c r="Q234" s="842"/>
      <c r="R234" s="842"/>
      <c r="S234" s="842"/>
      <c r="T234" s="842"/>
      <c r="U234" s="842"/>
      <c r="V234" s="842"/>
      <c r="W234" s="842"/>
      <c r="X234" s="842"/>
      <c r="Y234" s="842"/>
      <c r="Z234" s="842"/>
      <c r="AA234" s="2209"/>
      <c r="AB234" s="2209"/>
      <c r="AC234" s="346"/>
    </row>
    <row r="235" spans="1:29" ht="18.75" customHeight="1" x14ac:dyDescent="0.2">
      <c r="A235" s="341"/>
      <c r="B235" s="345"/>
      <c r="C235" s="454" t="s">
        <v>617</v>
      </c>
      <c r="D235" s="368"/>
      <c r="E235" s="368">
        <f ca="1">100-E194</f>
        <v>85</v>
      </c>
      <c r="F235" s="368" t="s">
        <v>633</v>
      </c>
      <c r="G235" s="368" t="s">
        <v>618</v>
      </c>
      <c r="H235" s="368"/>
      <c r="I235" s="368">
        <f>100-H194</f>
        <v>80.700205998276459</v>
      </c>
      <c r="J235" s="369" t="s">
        <v>633</v>
      </c>
      <c r="K235" s="842"/>
      <c r="L235" s="842"/>
      <c r="M235" s="842"/>
      <c r="N235" s="842"/>
      <c r="O235" s="842"/>
      <c r="P235" s="842"/>
      <c r="Q235" s="842"/>
      <c r="R235" s="842"/>
      <c r="S235" s="842"/>
      <c r="T235" s="842"/>
      <c r="U235" s="842"/>
      <c r="V235" s="842"/>
      <c r="W235" s="842"/>
      <c r="X235" s="842"/>
      <c r="Y235" s="842"/>
      <c r="Z235" s="842"/>
      <c r="AA235" s="2209"/>
      <c r="AB235" s="2209"/>
      <c r="AC235" s="346"/>
    </row>
    <row r="236" spans="1:29" ht="18.75" customHeight="1" x14ac:dyDescent="0.2">
      <c r="A236" s="341"/>
      <c r="B236" s="345"/>
      <c r="C236" s="453" t="s">
        <v>615</v>
      </c>
      <c r="D236" s="842"/>
      <c r="E236" s="842">
        <f ca="1">E235/100*E190</f>
        <v>1861621.2835316644</v>
      </c>
      <c r="F236" s="842" t="s">
        <v>622</v>
      </c>
      <c r="G236" s="842" t="s">
        <v>616</v>
      </c>
      <c r="H236" s="842"/>
      <c r="I236" s="842">
        <f ca="1">I235/100*H190</f>
        <v>176744.96596680136</v>
      </c>
      <c r="J236" s="337" t="s">
        <v>622</v>
      </c>
      <c r="K236" s="842"/>
      <c r="L236" s="842"/>
      <c r="M236" s="842"/>
      <c r="N236" s="842"/>
      <c r="O236" s="842"/>
      <c r="P236" s="842"/>
      <c r="Q236" s="842"/>
      <c r="R236" s="842"/>
      <c r="S236" s="842"/>
      <c r="T236" s="842"/>
      <c r="U236" s="842"/>
      <c r="V236" s="842"/>
      <c r="W236" s="842"/>
      <c r="X236" s="842"/>
      <c r="Y236" s="842"/>
      <c r="Z236" s="842"/>
      <c r="AA236" s="2209"/>
      <c r="AB236" s="2209"/>
      <c r="AC236" s="346"/>
    </row>
    <row r="237" spans="1:29" ht="18.75" customHeight="1" x14ac:dyDescent="0.2">
      <c r="A237" s="341"/>
      <c r="B237" s="345"/>
      <c r="C237" s="453"/>
      <c r="D237" s="842"/>
      <c r="E237" s="842"/>
      <c r="F237" s="842"/>
      <c r="G237" s="842"/>
      <c r="H237" s="842"/>
      <c r="I237" s="842"/>
      <c r="J237" s="337"/>
      <c r="K237" s="842"/>
      <c r="L237" s="842"/>
      <c r="M237" s="842"/>
      <c r="N237" s="842"/>
      <c r="O237" s="842"/>
      <c r="P237" s="842"/>
      <c r="Q237" s="842"/>
      <c r="R237" s="842"/>
      <c r="S237" s="842"/>
      <c r="T237" s="842"/>
      <c r="U237" s="842"/>
      <c r="V237" s="842"/>
      <c r="W237" s="842"/>
      <c r="X237" s="842"/>
      <c r="Y237" s="842"/>
      <c r="Z237" s="842"/>
      <c r="AA237" s="2209"/>
      <c r="AB237" s="2209"/>
      <c r="AC237" s="346"/>
    </row>
    <row r="238" spans="1:29" ht="18.75" customHeight="1" x14ac:dyDescent="0.2">
      <c r="A238" s="341"/>
      <c r="B238" s="345"/>
      <c r="C238" s="453" t="s">
        <v>619</v>
      </c>
      <c r="D238" s="842"/>
      <c r="E238" s="842">
        <f ca="1">E236-I236</f>
        <v>1684876.317564863</v>
      </c>
      <c r="F238" s="842" t="s">
        <v>622</v>
      </c>
      <c r="G238" s="842"/>
      <c r="H238" s="842"/>
      <c r="I238" s="842"/>
      <c r="J238" s="337"/>
      <c r="K238" s="842"/>
      <c r="L238" s="842"/>
      <c r="M238" s="842"/>
      <c r="N238" s="842"/>
      <c r="O238" s="842"/>
      <c r="P238" s="842"/>
      <c r="Q238" s="842"/>
      <c r="R238" s="842"/>
      <c r="S238" s="842"/>
      <c r="T238" s="842"/>
      <c r="U238" s="842"/>
      <c r="V238" s="842"/>
      <c r="W238" s="842"/>
      <c r="X238" s="842"/>
      <c r="Y238" s="842"/>
      <c r="Z238" s="842"/>
      <c r="AA238" s="2209"/>
      <c r="AB238" s="2209"/>
      <c r="AC238" s="346"/>
    </row>
    <row r="239" spans="1:29" ht="18.75" customHeight="1" x14ac:dyDescent="0.2">
      <c r="A239" s="341"/>
      <c r="B239" s="345"/>
      <c r="C239" s="453" t="s">
        <v>506</v>
      </c>
      <c r="D239" s="842"/>
      <c r="E239" s="842">
        <f>100-F194</f>
        <v>87.7</v>
      </c>
      <c r="F239" s="842" t="s">
        <v>633</v>
      </c>
      <c r="G239" s="842"/>
      <c r="H239" s="842"/>
      <c r="I239" s="842"/>
      <c r="J239" s="337"/>
      <c r="K239" s="842"/>
      <c r="L239" s="842"/>
      <c r="M239" s="842"/>
      <c r="N239" s="842"/>
      <c r="O239" s="842"/>
      <c r="P239" s="842"/>
      <c r="Q239" s="842"/>
      <c r="R239" s="842"/>
      <c r="S239" s="842"/>
      <c r="T239" s="842"/>
      <c r="U239" s="842"/>
      <c r="V239" s="842"/>
      <c r="W239" s="842"/>
      <c r="X239" s="842"/>
      <c r="Y239" s="842"/>
      <c r="Z239" s="842"/>
      <c r="AA239" s="2209"/>
      <c r="AB239" s="2209"/>
      <c r="AC239" s="346"/>
    </row>
    <row r="240" spans="1:29" ht="18.75" customHeight="1" x14ac:dyDescent="0.2">
      <c r="A240" s="341"/>
      <c r="B240" s="345"/>
      <c r="C240" s="453" t="s">
        <v>508</v>
      </c>
      <c r="D240" s="842"/>
      <c r="E240" s="842">
        <f ca="1">E238*100/E239</f>
        <v>1921181.6619895815</v>
      </c>
      <c r="F240" s="842" t="s">
        <v>622</v>
      </c>
      <c r="G240" s="842"/>
      <c r="H240" s="842"/>
      <c r="I240" s="842"/>
      <c r="J240" s="337"/>
      <c r="K240" s="842"/>
      <c r="L240" s="842"/>
      <c r="M240" s="842"/>
      <c r="N240" s="842"/>
      <c r="O240" s="842"/>
      <c r="P240" s="842"/>
      <c r="Q240" s="842"/>
      <c r="R240" s="842"/>
      <c r="S240" s="842"/>
      <c r="T240" s="842"/>
      <c r="U240" s="842"/>
      <c r="V240" s="842"/>
      <c r="W240" s="842"/>
      <c r="X240" s="842"/>
      <c r="Y240" s="842"/>
      <c r="Z240" s="842"/>
      <c r="AA240" s="2209"/>
      <c r="AB240" s="2209"/>
      <c r="AC240" s="346"/>
    </row>
    <row r="241" spans="1:29" ht="18.75" customHeight="1" x14ac:dyDescent="0.2">
      <c r="A241" s="341"/>
      <c r="B241" s="345"/>
      <c r="C241" s="452"/>
      <c r="D241" s="334"/>
      <c r="E241" s="334"/>
      <c r="F241" s="334"/>
      <c r="G241" s="334"/>
      <c r="H241" s="334"/>
      <c r="I241" s="334"/>
      <c r="J241" s="338"/>
      <c r="K241" s="842"/>
      <c r="L241" s="842"/>
      <c r="M241" s="842"/>
      <c r="N241" s="842"/>
      <c r="O241" s="842"/>
      <c r="P241" s="842"/>
      <c r="Q241" s="842"/>
      <c r="R241" s="842"/>
      <c r="S241" s="842"/>
      <c r="T241" s="842"/>
      <c r="U241" s="842"/>
      <c r="V241" s="842"/>
      <c r="W241" s="842"/>
      <c r="X241" s="842"/>
      <c r="Y241" s="842"/>
      <c r="Z241" s="842"/>
      <c r="AA241" s="2209"/>
      <c r="AB241" s="2209"/>
      <c r="AC241" s="346"/>
    </row>
    <row r="242" spans="1:29" ht="18.75" customHeight="1" x14ac:dyDescent="0.2">
      <c r="A242" s="341"/>
      <c r="B242" s="345"/>
      <c r="C242" s="437"/>
      <c r="D242" s="842"/>
      <c r="E242" s="842"/>
      <c r="F242" s="842"/>
      <c r="G242" s="842"/>
      <c r="H242" s="842"/>
      <c r="I242" s="842"/>
      <c r="J242" s="842"/>
      <c r="K242" s="842"/>
      <c r="L242" s="842"/>
      <c r="M242" s="842"/>
      <c r="N242" s="842"/>
      <c r="O242" s="842"/>
      <c r="P242" s="842"/>
      <c r="Q242" s="842"/>
      <c r="R242" s="842"/>
      <c r="S242" s="842"/>
      <c r="T242" s="842"/>
      <c r="U242" s="842"/>
      <c r="V242" s="842"/>
      <c r="W242" s="842"/>
      <c r="X242" s="842"/>
      <c r="Y242" s="842"/>
      <c r="Z242" s="842"/>
      <c r="AA242" s="2209"/>
      <c r="AB242" s="2209"/>
      <c r="AC242" s="346"/>
    </row>
    <row r="243" spans="1:29" ht="26.25" x14ac:dyDescent="0.2">
      <c r="A243" s="341"/>
      <c r="B243" s="699"/>
      <c r="C243" s="603" t="s">
        <v>453</v>
      </c>
      <c r="D243" s="842"/>
      <c r="E243" s="842"/>
      <c r="F243" s="842"/>
      <c r="G243" s="842"/>
      <c r="H243" s="842"/>
      <c r="I243" s="842"/>
      <c r="J243" s="842"/>
      <c r="K243" s="842"/>
      <c r="L243" s="842"/>
      <c r="M243" s="842"/>
      <c r="N243" s="842"/>
      <c r="O243" s="842"/>
      <c r="P243" s="842"/>
      <c r="Q243" s="842"/>
      <c r="R243" s="842"/>
      <c r="S243" s="842"/>
      <c r="T243" s="842"/>
      <c r="U243" s="842"/>
      <c r="V243" s="842"/>
      <c r="W243" s="842"/>
      <c r="X243" s="842"/>
      <c r="Y243" s="842"/>
      <c r="Z243" s="842"/>
      <c r="AA243" s="2209"/>
      <c r="AB243" s="2209"/>
      <c r="AC243" s="346"/>
    </row>
    <row r="244" spans="1:29" ht="18.75" customHeight="1" x14ac:dyDescent="0.2">
      <c r="A244" s="341"/>
      <c r="B244" s="345"/>
      <c r="C244" s="437"/>
      <c r="D244" s="842"/>
      <c r="E244" s="426"/>
      <c r="F244" s="842"/>
      <c r="G244" s="842"/>
      <c r="H244" s="842"/>
      <c r="I244" s="842"/>
      <c r="J244" s="842"/>
      <c r="K244" s="842"/>
      <c r="L244" s="842"/>
      <c r="M244" s="842"/>
      <c r="N244" s="842"/>
      <c r="O244" s="842"/>
      <c r="P244" s="842"/>
      <c r="Q244" s="842"/>
      <c r="R244" s="842"/>
      <c r="S244" s="842"/>
      <c r="T244" s="842"/>
      <c r="U244" s="842"/>
      <c r="V244" s="842"/>
      <c r="W244" s="842"/>
      <c r="X244" s="842"/>
      <c r="Y244" s="842"/>
      <c r="Z244" s="842"/>
      <c r="AA244" s="2209"/>
      <c r="AB244" s="2209"/>
      <c r="AC244" s="346"/>
    </row>
    <row r="245" spans="1:29" ht="18.75" customHeight="1" x14ac:dyDescent="0.2">
      <c r="A245" s="341"/>
      <c r="B245" s="345"/>
      <c r="C245" s="843" t="s">
        <v>569</v>
      </c>
      <c r="D245" s="842"/>
      <c r="E245" s="839"/>
      <c r="F245" s="842"/>
      <c r="G245" s="842"/>
      <c r="H245" s="842"/>
      <c r="I245" s="842"/>
      <c r="J245" s="842"/>
      <c r="K245" s="842"/>
      <c r="L245" s="842"/>
      <c r="M245" s="842"/>
      <c r="N245" s="842"/>
      <c r="O245" s="842"/>
      <c r="P245" s="842"/>
      <c r="Q245" s="842"/>
      <c r="R245" s="842"/>
      <c r="S245" s="842"/>
      <c r="T245" s="842"/>
      <c r="U245" s="842"/>
      <c r="V245" s="842"/>
      <c r="W245" s="842"/>
      <c r="X245" s="842"/>
      <c r="Y245" s="842"/>
      <c r="Z245" s="842"/>
      <c r="AA245" s="2209"/>
      <c r="AB245" s="2209"/>
      <c r="AC245" s="346"/>
    </row>
    <row r="246" spans="1:29" ht="18.75" customHeight="1" x14ac:dyDescent="0.2">
      <c r="A246" s="341"/>
      <c r="B246" s="345"/>
      <c r="C246" s="441" t="s">
        <v>568</v>
      </c>
      <c r="D246" s="351" t="s">
        <v>623</v>
      </c>
      <c r="E246" s="351" t="s">
        <v>480</v>
      </c>
      <c r="F246" s="351" t="s">
        <v>386</v>
      </c>
      <c r="G246" s="356" t="s">
        <v>481</v>
      </c>
      <c r="H246" s="351" t="s">
        <v>365</v>
      </c>
      <c r="I246" s="368"/>
      <c r="J246" s="369" t="s">
        <v>1093</v>
      </c>
      <c r="K246" s="842"/>
      <c r="L246" s="842"/>
      <c r="M246" s="842"/>
      <c r="N246" s="842"/>
      <c r="O246" s="842"/>
      <c r="P246" s="842"/>
      <c r="Q246" s="842"/>
      <c r="R246" s="842"/>
      <c r="S246" s="842"/>
      <c r="T246" s="842"/>
      <c r="U246" s="842"/>
      <c r="V246" s="842"/>
      <c r="W246" s="842"/>
      <c r="X246" s="842"/>
      <c r="Y246" s="842"/>
      <c r="Z246" s="842"/>
      <c r="AA246" s="2209"/>
      <c r="AB246" s="2209"/>
      <c r="AC246" s="346"/>
    </row>
    <row r="247" spans="1:29" ht="18.75" customHeight="1" x14ac:dyDescent="0.2">
      <c r="A247" s="341"/>
      <c r="B247" s="345"/>
      <c r="C247" s="442" t="str">
        <f t="shared" ref="C247:D255" si="15">C117</f>
        <v>Vol Flow</v>
      </c>
      <c r="D247" s="842" t="str">
        <f ca="1">D117</f>
        <v>bpd</v>
      </c>
      <c r="E247" s="842">
        <f ca="1">HydroRefineryCalcs!H47</f>
        <v>26885.40784503843</v>
      </c>
      <c r="F247" s="842"/>
      <c r="G247" s="842">
        <f ca="1">G248/'Energy &amp; Unit Conversions'!G80</f>
        <v>27711.741788300664</v>
      </c>
      <c r="H247" s="842"/>
      <c r="I247" s="842"/>
      <c r="J247" s="337"/>
      <c r="K247" s="842"/>
      <c r="L247" s="842"/>
      <c r="M247" s="842"/>
      <c r="N247" s="842"/>
      <c r="O247" s="842"/>
      <c r="P247" s="842"/>
      <c r="Q247" s="842"/>
      <c r="R247" s="842"/>
      <c r="S247" s="842"/>
      <c r="T247" s="842"/>
      <c r="U247" s="842"/>
      <c r="V247" s="842"/>
      <c r="W247" s="842"/>
      <c r="X247" s="842"/>
      <c r="Y247" s="842"/>
      <c r="Z247" s="842"/>
      <c r="AA247" s="2209"/>
      <c r="AB247" s="2209"/>
      <c r="AC247" s="346"/>
    </row>
    <row r="248" spans="1:29" ht="18.75" customHeight="1" x14ac:dyDescent="0.2">
      <c r="A248" s="341"/>
      <c r="B248" s="345"/>
      <c r="C248" s="442" t="str">
        <f t="shared" si="15"/>
        <v>Vol Flow</v>
      </c>
      <c r="D248" s="842" t="str">
        <f ca="1">D118</f>
        <v>m^3/d</v>
      </c>
      <c r="E248" s="842">
        <f ca="1">HydroRefineryCalcs!H48</f>
        <v>4274.4384026814787</v>
      </c>
      <c r="F248" s="842"/>
      <c r="G248" s="842">
        <f ca="1">G249/G253</f>
        <v>4405.815005219094</v>
      </c>
      <c r="H248" s="842"/>
      <c r="I248" s="842"/>
      <c r="J248" s="337"/>
      <c r="K248" s="842"/>
      <c r="L248" s="842"/>
      <c r="M248" s="842"/>
      <c r="N248" s="842"/>
      <c r="O248" s="842"/>
      <c r="P248" s="842"/>
      <c r="Q248" s="842"/>
      <c r="R248" s="842"/>
      <c r="S248" s="842"/>
      <c r="T248" s="842"/>
      <c r="U248" s="842"/>
      <c r="V248" s="842"/>
      <c r="W248" s="842"/>
      <c r="X248" s="842"/>
      <c r="Y248" s="842"/>
      <c r="Z248" s="842"/>
      <c r="AA248" s="2209"/>
      <c r="AB248" s="2209"/>
      <c r="AC248" s="346"/>
    </row>
    <row r="249" spans="1:29" ht="18.75" customHeight="1" x14ac:dyDescent="0.2">
      <c r="A249" s="341"/>
      <c r="B249" s="345"/>
      <c r="C249" s="442" t="str">
        <f t="shared" si="15"/>
        <v>Mass Flow</v>
      </c>
      <c r="D249" s="842" t="str">
        <f t="shared" si="15"/>
        <v>kg/d</v>
      </c>
      <c r="E249" s="842">
        <f ca="1">HydroRefineryCalcs!H49</f>
        <v>3607246.9722819468</v>
      </c>
      <c r="F249" s="842">
        <f ca="1">D274</f>
        <v>15218.271221719793</v>
      </c>
      <c r="G249" s="842">
        <f ca="1">D266</f>
        <v>3612768.3042796571</v>
      </c>
      <c r="H249" s="842">
        <f ca="1">H259</f>
        <v>9696.9447453418234</v>
      </c>
      <c r="I249" s="842"/>
      <c r="J249" s="859">
        <f ca="1">(E249+F249-G249-H249)/(E249+F249)</f>
        <v>-1.5241919660013158E-9</v>
      </c>
      <c r="K249" s="842"/>
      <c r="L249" s="842"/>
      <c r="M249" s="842"/>
      <c r="N249" s="842"/>
      <c r="O249" s="842"/>
      <c r="P249" s="842"/>
      <c r="Q249" s="842"/>
      <c r="R249" s="842"/>
      <c r="S249" s="842"/>
      <c r="T249" s="842"/>
      <c r="U249" s="842"/>
      <c r="V249" s="842"/>
      <c r="W249" s="842"/>
      <c r="X249" s="842"/>
      <c r="Y249" s="842"/>
      <c r="Z249" s="842"/>
      <c r="AA249" s="2209"/>
      <c r="AB249" s="2209"/>
      <c r="AC249" s="346"/>
    </row>
    <row r="250" spans="1:29" ht="18.75" customHeight="1" x14ac:dyDescent="0.2">
      <c r="A250" s="341"/>
      <c r="B250" s="345"/>
      <c r="C250" s="442" t="str">
        <f t="shared" si="15"/>
        <v xml:space="preserve">Sulphur </v>
      </c>
      <c r="D250" s="842" t="str">
        <f t="shared" ref="D250:D255" ca="1" si="16">D120</f>
        <v>wt%</v>
      </c>
      <c r="E250" s="842">
        <f ca="1">HydroRefineryCalcs!H50</f>
        <v>6.4870288839055754E-2</v>
      </c>
      <c r="F250" s="842"/>
      <c r="G250" s="386">
        <v>1E-4</v>
      </c>
      <c r="H250" s="842">
        <f ca="1">H261</f>
        <v>24.094437417594566</v>
      </c>
      <c r="I250" s="842"/>
      <c r="J250" s="337"/>
      <c r="K250" s="842"/>
      <c r="L250" s="842"/>
      <c r="M250" s="842"/>
      <c r="N250" s="842"/>
      <c r="O250" s="842"/>
      <c r="P250" s="842"/>
      <c r="Q250" s="842"/>
      <c r="R250" s="842"/>
      <c r="S250" s="842"/>
      <c r="T250" s="842"/>
      <c r="U250" s="842"/>
      <c r="V250" s="842"/>
      <c r="W250" s="842"/>
      <c r="X250" s="842"/>
      <c r="Y250" s="842"/>
      <c r="Z250" s="842"/>
      <c r="AA250" s="2209"/>
      <c r="AB250" s="2209"/>
      <c r="AC250" s="346"/>
    </row>
    <row r="251" spans="1:29" ht="18.75" customHeight="1" x14ac:dyDescent="0.2">
      <c r="A251" s="341"/>
      <c r="B251" s="345"/>
      <c r="C251" s="442" t="str">
        <f t="shared" si="15"/>
        <v xml:space="preserve">Nitrogen </v>
      </c>
      <c r="D251" s="842" t="str">
        <f t="shared" ca="1" si="16"/>
        <v>mass ppm</v>
      </c>
      <c r="E251" s="842">
        <f ca="1">HydroRefineryCalcs!H51</f>
        <v>3.6001321362723841E-11</v>
      </c>
      <c r="F251" s="842"/>
      <c r="G251" s="386">
        <v>0</v>
      </c>
      <c r="H251" s="842"/>
      <c r="I251" s="842"/>
      <c r="J251" s="337"/>
      <c r="K251" s="842"/>
      <c r="L251" s="842"/>
      <c r="M251" s="842"/>
      <c r="N251" s="842"/>
      <c r="O251" s="842"/>
      <c r="P251" s="842"/>
      <c r="Q251" s="842"/>
      <c r="R251" s="842"/>
      <c r="S251" s="842"/>
      <c r="T251" s="842"/>
      <c r="U251" s="842"/>
      <c r="V251" s="842"/>
      <c r="W251" s="842"/>
      <c r="X251" s="842"/>
      <c r="Y251" s="842"/>
      <c r="Z251" s="842"/>
      <c r="AA251" s="2209"/>
      <c r="AB251" s="2209"/>
      <c r="AC251" s="346"/>
    </row>
    <row r="252" spans="1:29" ht="18.75" customHeight="1" x14ac:dyDescent="0.2">
      <c r="A252" s="341"/>
      <c r="B252" s="345"/>
      <c r="C252" s="442" t="str">
        <f t="shared" si="15"/>
        <v xml:space="preserve">API gravity </v>
      </c>
      <c r="D252" s="842" t="str">
        <f t="shared" ca="1" si="16"/>
        <v>oAPI</v>
      </c>
      <c r="E252" s="842">
        <f ca="1">HydroRefineryCalcs!H52</f>
        <v>36.171645059781241</v>
      </c>
      <c r="F252" s="842"/>
      <c r="G252" s="842">
        <f>141.5/(G253/1000)-131.5</f>
        <v>41.060975609756099</v>
      </c>
      <c r="H252" s="842"/>
      <c r="I252" s="842"/>
      <c r="J252" s="337"/>
      <c r="K252" s="842"/>
      <c r="L252" s="842"/>
      <c r="M252" s="842"/>
      <c r="N252" s="842"/>
      <c r="O252" s="842"/>
      <c r="P252" s="842"/>
      <c r="Q252" s="842"/>
      <c r="R252" s="842"/>
      <c r="S252" s="842"/>
      <c r="T252" s="842"/>
      <c r="U252" s="842"/>
      <c r="V252" s="842"/>
      <c r="W252" s="842"/>
      <c r="X252" s="842"/>
      <c r="Y252" s="842"/>
      <c r="Z252" s="842"/>
      <c r="AA252" s="2209"/>
      <c r="AB252" s="2209"/>
      <c r="AC252" s="346"/>
    </row>
    <row r="253" spans="1:29" ht="18.75" customHeight="1" x14ac:dyDescent="0.2">
      <c r="A253" s="341"/>
      <c r="B253" s="345"/>
      <c r="C253" s="442" t="str">
        <f t="shared" si="15"/>
        <v>Density</v>
      </c>
      <c r="D253" s="842" t="str">
        <f t="shared" ca="1" si="16"/>
        <v>kg/m^3</v>
      </c>
      <c r="E253" s="842">
        <f ca="1">HydroRefineryCalcs!H53</f>
        <v>843.91132412132015</v>
      </c>
      <c r="F253" s="842"/>
      <c r="G253" s="410">
        <v>820</v>
      </c>
      <c r="H253" s="842"/>
      <c r="I253" s="842"/>
      <c r="J253" s="337"/>
      <c r="K253" s="842"/>
      <c r="L253" s="842"/>
      <c r="M253" s="842"/>
      <c r="N253" s="842"/>
      <c r="O253" s="842"/>
      <c r="P253" s="842"/>
      <c r="Q253" s="842"/>
      <c r="R253" s="842"/>
      <c r="S253" s="842"/>
      <c r="T253" s="842"/>
      <c r="U253" s="842"/>
      <c r="V253" s="842"/>
      <c r="W253" s="842"/>
      <c r="X253" s="842"/>
      <c r="Y253" s="842"/>
      <c r="Z253" s="842"/>
      <c r="AA253" s="2209"/>
      <c r="AB253" s="2209"/>
      <c r="AC253" s="346"/>
    </row>
    <row r="254" spans="1:29" ht="18.75" customHeight="1" x14ac:dyDescent="0.2">
      <c r="A254" s="341"/>
      <c r="B254" s="345"/>
      <c r="C254" s="442" t="str">
        <f t="shared" si="15"/>
        <v>Hydrogen</v>
      </c>
      <c r="D254" s="842" t="str">
        <f t="shared" ca="1" si="16"/>
        <v>wt%</v>
      </c>
      <c r="E254" s="842">
        <f ca="1">HydroRefineryCalcs!H54</f>
        <v>12.638480433923533</v>
      </c>
      <c r="F254" s="842">
        <v>100</v>
      </c>
      <c r="G254" s="386">
        <f ca="1">IF(E254&lt;12.999999999,12.999999999999,(E249*E254/100+D260+D261+D263+D270-H259*H260/100)/(E249+D260+D261+D263+D270-E249*(E251-G251)/1000000-H259)*100)</f>
        <v>12.999999999999</v>
      </c>
      <c r="H254" s="842">
        <f ca="1">H260</f>
        <v>15.052106605583376</v>
      </c>
      <c r="I254" s="842"/>
      <c r="J254" s="859">
        <f ca="1">(SUMPRODUCT(G249:H249,G254:H254)-SUMPRODUCT(E249:F249,E254:F254))/SUMPRODUCT(E249:F249,E254:F254)</f>
        <v>0</v>
      </c>
      <c r="K254" s="842"/>
      <c r="L254" s="842"/>
      <c r="M254" s="842"/>
      <c r="N254" s="842"/>
      <c r="O254" s="842"/>
      <c r="P254" s="842"/>
      <c r="Q254" s="842"/>
      <c r="R254" s="842"/>
      <c r="S254" s="842"/>
      <c r="T254" s="842"/>
      <c r="U254" s="842"/>
      <c r="V254" s="842"/>
      <c r="W254" s="842"/>
      <c r="X254" s="842"/>
      <c r="Y254" s="842"/>
      <c r="Z254" s="842"/>
      <c r="AA254" s="2209"/>
      <c r="AB254" s="2209"/>
      <c r="AC254" s="346"/>
    </row>
    <row r="255" spans="1:29" ht="18.75" customHeight="1" x14ac:dyDescent="0.2">
      <c r="A255" s="341"/>
      <c r="B255" s="345"/>
      <c r="C255" s="443" t="str">
        <f t="shared" si="15"/>
        <v>MCR</v>
      </c>
      <c r="D255" s="334" t="str">
        <f t="shared" ca="1" si="16"/>
        <v>wt%</v>
      </c>
      <c r="E255" s="334">
        <f>HydroRefineryCalcs!H55</f>
        <v>0</v>
      </c>
      <c r="F255" s="334"/>
      <c r="G255" s="334" t="str">
        <f ca="1">HydroRefineryCalcs!G523</f>
        <v/>
      </c>
      <c r="H255" s="334"/>
      <c r="I255" s="334"/>
      <c r="J255" s="338"/>
      <c r="K255" s="842"/>
      <c r="L255" s="842"/>
      <c r="M255" s="842"/>
      <c r="N255" s="842"/>
      <c r="O255" s="842"/>
      <c r="P255" s="842"/>
      <c r="Q255" s="842"/>
      <c r="R255" s="842"/>
      <c r="S255" s="842"/>
      <c r="T255" s="842"/>
      <c r="U255" s="842"/>
      <c r="V255" s="842"/>
      <c r="W255" s="842"/>
      <c r="X255" s="842"/>
      <c r="Y255" s="842"/>
      <c r="Z255" s="842"/>
      <c r="AA255" s="2209"/>
      <c r="AB255" s="2209"/>
      <c r="AC255" s="346"/>
    </row>
    <row r="256" spans="1:29" ht="18.75" customHeight="1" x14ac:dyDescent="0.2">
      <c r="A256" s="341"/>
      <c r="B256" s="345"/>
      <c r="C256" s="437"/>
      <c r="D256" s="842"/>
      <c r="E256" s="842"/>
      <c r="F256" s="842"/>
      <c r="G256" s="842"/>
      <c r="H256" s="842"/>
      <c r="I256" s="842"/>
      <c r="J256" s="842"/>
      <c r="K256" s="842"/>
      <c r="L256" s="842"/>
      <c r="M256" s="842"/>
      <c r="N256" s="842"/>
      <c r="O256" s="842"/>
      <c r="P256" s="842"/>
      <c r="Q256" s="842"/>
      <c r="R256" s="842"/>
      <c r="S256" s="842"/>
      <c r="T256" s="842"/>
      <c r="U256" s="842"/>
      <c r="V256" s="842"/>
      <c r="W256" s="842"/>
      <c r="X256" s="842"/>
      <c r="Y256" s="842"/>
      <c r="Z256" s="842"/>
      <c r="AA256" s="2209"/>
      <c r="AB256" s="2209"/>
      <c r="AC256" s="346"/>
    </row>
    <row r="257" spans="1:29" ht="18.75" customHeight="1" x14ac:dyDescent="0.2">
      <c r="A257" s="341"/>
      <c r="B257" s="345"/>
      <c r="C257" s="843" t="s">
        <v>308</v>
      </c>
      <c r="D257" s="842"/>
      <c r="E257" s="842"/>
      <c r="F257" s="842"/>
      <c r="G257" s="843" t="s">
        <v>241</v>
      </c>
      <c r="H257" s="842"/>
      <c r="I257" s="842"/>
      <c r="J257" s="842"/>
      <c r="K257" s="842"/>
      <c r="L257" s="842"/>
      <c r="M257" s="842"/>
      <c r="N257" s="842"/>
      <c r="O257" s="842"/>
      <c r="P257" s="842"/>
      <c r="Q257" s="842"/>
      <c r="R257" s="842"/>
      <c r="S257" s="842"/>
      <c r="T257" s="842"/>
      <c r="U257" s="842"/>
      <c r="V257" s="842"/>
      <c r="W257" s="842"/>
      <c r="X257" s="842"/>
      <c r="Y257" s="842"/>
      <c r="Z257" s="842"/>
      <c r="AA257" s="2209"/>
      <c r="AB257" s="2209"/>
      <c r="AC257" s="346"/>
    </row>
    <row r="258" spans="1:29" ht="18.75" customHeight="1" x14ac:dyDescent="0.2">
      <c r="A258" s="341"/>
      <c r="B258" s="345"/>
      <c r="C258" s="855"/>
      <c r="D258" s="351" t="s">
        <v>624</v>
      </c>
      <c r="E258" s="352" t="s">
        <v>623</v>
      </c>
      <c r="F258" s="842"/>
      <c r="G258" s="855"/>
      <c r="H258" s="351" t="s">
        <v>624</v>
      </c>
      <c r="I258" s="352" t="s">
        <v>623</v>
      </c>
      <c r="J258" s="842"/>
      <c r="K258" s="842"/>
      <c r="L258" s="842"/>
      <c r="M258" s="842"/>
      <c r="N258" s="842"/>
      <c r="O258" s="842"/>
      <c r="P258" s="842"/>
      <c r="Q258" s="842"/>
      <c r="R258" s="842"/>
      <c r="S258" s="842"/>
      <c r="T258" s="842"/>
      <c r="U258" s="842"/>
      <c r="V258" s="842"/>
      <c r="W258" s="842"/>
      <c r="X258" s="842"/>
      <c r="Y258" s="842"/>
      <c r="Z258" s="842"/>
      <c r="AA258" s="2209"/>
      <c r="AB258" s="2209"/>
      <c r="AC258" s="346"/>
    </row>
    <row r="259" spans="1:29" ht="18.75" customHeight="1" x14ac:dyDescent="0.2">
      <c r="A259" s="341"/>
      <c r="B259" s="345"/>
      <c r="C259" s="453" t="s">
        <v>376</v>
      </c>
      <c r="D259" s="842">
        <f ca="1">E249*(E250-G250)/100</f>
        <v>2336.4242830851103</v>
      </c>
      <c r="E259" s="337" t="s">
        <v>622</v>
      </c>
      <c r="F259" s="842"/>
      <c r="G259" s="860" t="s">
        <v>363</v>
      </c>
      <c r="H259" s="368">
        <f ca="1">D272+D273</f>
        <v>9696.9447453418234</v>
      </c>
      <c r="I259" s="369" t="s">
        <v>622</v>
      </c>
      <c r="J259" s="842"/>
      <c r="K259" s="842"/>
      <c r="L259" s="842"/>
      <c r="M259" s="842"/>
      <c r="N259" s="842"/>
      <c r="O259" s="842"/>
      <c r="P259" s="842"/>
      <c r="Q259" s="842"/>
      <c r="R259" s="842"/>
      <c r="S259" s="842"/>
      <c r="T259" s="842"/>
      <c r="U259" s="842"/>
      <c r="V259" s="842"/>
      <c r="W259" s="842"/>
      <c r="X259" s="842"/>
      <c r="Y259" s="842"/>
      <c r="Z259" s="842"/>
      <c r="AA259" s="2209"/>
      <c r="AB259" s="2209"/>
      <c r="AC259" s="346"/>
    </row>
    <row r="260" spans="1:29" ht="18.75" customHeight="1" x14ac:dyDescent="0.2">
      <c r="A260" s="341"/>
      <c r="B260" s="345"/>
      <c r="C260" s="453" t="s">
        <v>380</v>
      </c>
      <c r="D260" s="842">
        <f ca="1">2/32*D259</f>
        <v>146.0265176928194</v>
      </c>
      <c r="E260" s="337" t="s">
        <v>622</v>
      </c>
      <c r="F260" s="842"/>
      <c r="G260" s="856" t="s">
        <v>377</v>
      </c>
      <c r="H260" s="842">
        <f ca="1">(D271/100*D272+2/34*D273)/H259*100</f>
        <v>15.052106605583376</v>
      </c>
      <c r="I260" s="337" t="s">
        <v>579</v>
      </c>
      <c r="J260" s="842"/>
      <c r="K260" s="842"/>
      <c r="L260" s="842"/>
      <c r="M260" s="842"/>
      <c r="N260" s="842"/>
      <c r="O260" s="842"/>
      <c r="P260" s="842"/>
      <c r="Q260" s="842"/>
      <c r="R260" s="842"/>
      <c r="S260" s="842"/>
      <c r="T260" s="842"/>
      <c r="U260" s="842"/>
      <c r="V260" s="842"/>
      <c r="W260" s="842"/>
      <c r="X260" s="842"/>
      <c r="Y260" s="842"/>
      <c r="Z260" s="842"/>
      <c r="AA260" s="2209"/>
      <c r="AB260" s="2209"/>
      <c r="AC260" s="346"/>
    </row>
    <row r="261" spans="1:29" ht="18.75" customHeight="1" x14ac:dyDescent="0.2">
      <c r="A261" s="341"/>
      <c r="B261" s="345"/>
      <c r="C261" s="453" t="s">
        <v>381</v>
      </c>
      <c r="D261" s="842">
        <f ca="1">D260</f>
        <v>146.0265176928194</v>
      </c>
      <c r="E261" s="337" t="s">
        <v>622</v>
      </c>
      <c r="F261" s="842"/>
      <c r="G261" s="856" t="s">
        <v>378</v>
      </c>
      <c r="H261" s="842">
        <f ca="1">32/34*D273/H259*100</f>
        <v>24.094437417594566</v>
      </c>
      <c r="I261" s="337" t="s">
        <v>579</v>
      </c>
      <c r="J261" s="842"/>
      <c r="K261" s="842"/>
      <c r="L261" s="842"/>
      <c r="M261" s="842"/>
      <c r="N261" s="842"/>
      <c r="O261" s="842"/>
      <c r="P261" s="842"/>
      <c r="Q261" s="842"/>
      <c r="R261" s="842"/>
      <c r="S261" s="842"/>
      <c r="T261" s="842"/>
      <c r="U261" s="842"/>
      <c r="V261" s="842"/>
      <c r="W261" s="842"/>
      <c r="X261" s="842"/>
      <c r="Y261" s="842"/>
      <c r="Z261" s="842"/>
      <c r="AA261" s="2209"/>
      <c r="AB261" s="2209"/>
      <c r="AC261" s="346"/>
    </row>
    <row r="262" spans="1:29" ht="18.75" customHeight="1" x14ac:dyDescent="0.2">
      <c r="A262" s="341"/>
      <c r="B262" s="345"/>
      <c r="C262" s="453" t="s">
        <v>1393</v>
      </c>
      <c r="D262" s="842">
        <f ca="1">(D261+D260)*'Energy &amp; Unit Conversions'!$E$93/'Energy &amp; Unit Conversions'!$E$26*'Energy &amp; Unit Conversions'!$G$82/E248/(E250-G250)</f>
        <v>11.735668014564384</v>
      </c>
      <c r="E262" s="337" t="s">
        <v>904</v>
      </c>
      <c r="F262" s="842"/>
      <c r="G262" s="856" t="s">
        <v>379</v>
      </c>
      <c r="H262" s="973">
        <f ca="1">H259/(D274+E249)*100</f>
        <v>0.2676891037873117</v>
      </c>
      <c r="I262" s="337" t="s">
        <v>579</v>
      </c>
      <c r="J262" s="842"/>
      <c r="K262" s="842"/>
      <c r="L262" s="842"/>
      <c r="M262" s="842"/>
      <c r="N262" s="842"/>
      <c r="O262" s="842"/>
      <c r="P262" s="842"/>
      <c r="Q262" s="842"/>
      <c r="R262" s="842"/>
      <c r="S262" s="842"/>
      <c r="T262" s="842"/>
      <c r="U262" s="842"/>
      <c r="V262" s="842"/>
      <c r="W262" s="842"/>
      <c r="X262" s="842"/>
      <c r="Y262" s="842"/>
      <c r="Z262" s="842"/>
      <c r="AA262" s="2209"/>
      <c r="AB262" s="2209"/>
      <c r="AC262" s="346"/>
    </row>
    <row r="263" spans="1:29" ht="18.75" customHeight="1" x14ac:dyDescent="0.2">
      <c r="A263" s="341"/>
      <c r="B263" s="345"/>
      <c r="C263" s="453" t="s">
        <v>905</v>
      </c>
      <c r="D263" s="842">
        <f ca="1">D264*E248*(E251-G251)/10000/'Energy &amp; Unit Conversions'!$G$82*'Energy &amp; Unit Conversions'!$E$26/'Energy &amp; Unit Conversions'!$E$93</f>
        <v>4.7030049215889106E-11</v>
      </c>
      <c r="E263" s="337" t="s">
        <v>622</v>
      </c>
      <c r="F263" s="842"/>
      <c r="G263" s="865" t="s">
        <v>1092</v>
      </c>
      <c r="H263" s="976">
        <v>2E-3</v>
      </c>
      <c r="I263" s="866" t="s">
        <v>1091</v>
      </c>
      <c r="J263" s="842"/>
      <c r="K263" s="842"/>
      <c r="L263" s="842"/>
      <c r="M263" s="842"/>
      <c r="N263" s="842"/>
      <c r="O263" s="842"/>
      <c r="P263" s="842"/>
      <c r="Q263" s="842"/>
      <c r="R263" s="842"/>
      <c r="S263" s="842"/>
      <c r="T263" s="842"/>
      <c r="U263" s="842"/>
      <c r="V263" s="842"/>
      <c r="W263" s="842"/>
      <c r="X263" s="842"/>
      <c r="Y263" s="842"/>
      <c r="Z263" s="842"/>
      <c r="AA263" s="2209"/>
      <c r="AB263" s="2209"/>
      <c r="AC263" s="346"/>
    </row>
    <row r="264" spans="1:29" ht="18.75" customHeight="1" x14ac:dyDescent="0.2">
      <c r="A264" s="341"/>
      <c r="B264" s="345"/>
      <c r="C264" s="881" t="s">
        <v>905</v>
      </c>
      <c r="D264" s="410">
        <v>34</v>
      </c>
      <c r="E264" s="337" t="s">
        <v>904</v>
      </c>
      <c r="F264" s="842"/>
      <c r="G264" s="842"/>
      <c r="H264" s="842"/>
      <c r="I264" s="842"/>
      <c r="J264" s="842"/>
      <c r="K264" s="842"/>
      <c r="L264" s="842"/>
      <c r="M264" s="842"/>
      <c r="N264" s="842"/>
      <c r="O264" s="842"/>
      <c r="P264" s="842"/>
      <c r="Q264" s="842"/>
      <c r="R264" s="842"/>
      <c r="S264" s="842"/>
      <c r="T264" s="842"/>
      <c r="U264" s="842"/>
      <c r="V264" s="842"/>
      <c r="W264" s="842"/>
      <c r="X264" s="842"/>
      <c r="Y264" s="842"/>
      <c r="Z264" s="842"/>
      <c r="AA264" s="2209"/>
      <c r="AB264" s="2209"/>
      <c r="AC264" s="346"/>
    </row>
    <row r="265" spans="1:29" ht="18.75" customHeight="1" x14ac:dyDescent="0.2">
      <c r="A265" s="341"/>
      <c r="B265" s="345"/>
      <c r="C265" s="881" t="s">
        <v>1520</v>
      </c>
      <c r="D265" s="842">
        <f ca="1">E254/100*E249</f>
        <v>455901.2027951529</v>
      </c>
      <c r="E265" s="337" t="s">
        <v>622</v>
      </c>
      <c r="F265" s="842"/>
      <c r="G265" s="842"/>
      <c r="H265" s="842"/>
      <c r="I265" s="842"/>
      <c r="J265" s="842"/>
      <c r="K265" s="842"/>
      <c r="L265" s="842"/>
      <c r="M265" s="842"/>
      <c r="N265" s="842"/>
      <c r="O265" s="842"/>
      <c r="P265" s="842"/>
      <c r="Q265" s="842"/>
      <c r="R265" s="842"/>
      <c r="S265" s="842"/>
      <c r="T265" s="842"/>
      <c r="U265" s="842"/>
      <c r="V265" s="842"/>
      <c r="W265" s="842"/>
      <c r="X265" s="842"/>
      <c r="Y265" s="842"/>
      <c r="Z265" s="842"/>
      <c r="AA265" s="2209"/>
      <c r="AB265" s="2209"/>
      <c r="AC265" s="346"/>
    </row>
    <row r="266" spans="1:29" ht="18.75" customHeight="1" x14ac:dyDescent="0.2">
      <c r="A266" s="341"/>
      <c r="B266" s="345"/>
      <c r="C266" s="881" t="s">
        <v>1740</v>
      </c>
      <c r="D266" s="842">
        <f ca="1">D267/(1-G254/100-(G250/100))</f>
        <v>3612768.3042796571</v>
      </c>
      <c r="E266" s="337" t="s">
        <v>622</v>
      </c>
      <c r="F266" s="842"/>
      <c r="H266" s="842"/>
      <c r="I266" s="842"/>
      <c r="J266" s="842"/>
      <c r="K266" s="842"/>
      <c r="L266" s="842"/>
      <c r="M266" s="842"/>
      <c r="N266" s="842"/>
      <c r="O266" s="842"/>
      <c r="P266" s="842"/>
      <c r="Q266" s="842"/>
      <c r="R266" s="842"/>
      <c r="S266" s="842"/>
      <c r="T266" s="842"/>
      <c r="U266" s="842"/>
      <c r="V266" s="842"/>
      <c r="W266" s="842"/>
      <c r="X266" s="842"/>
      <c r="Y266" s="842"/>
      <c r="Z266" s="842"/>
      <c r="AA266" s="2209"/>
      <c r="AB266" s="2209"/>
      <c r="AC266" s="346"/>
    </row>
    <row r="267" spans="1:29" ht="18.75" customHeight="1" x14ac:dyDescent="0.2">
      <c r="A267" s="341"/>
      <c r="B267" s="345"/>
      <c r="C267" s="881" t="s">
        <v>1521</v>
      </c>
      <c r="D267" s="842">
        <f ca="1">((E249*(1-E254/100-E250/100-E251/1000000))-D269)</f>
        <v>3143104.8119550333</v>
      </c>
      <c r="E267" s="337" t="s">
        <v>622</v>
      </c>
      <c r="F267" s="842"/>
      <c r="G267" s="842"/>
      <c r="H267" s="842"/>
      <c r="I267" s="842"/>
      <c r="J267" s="842"/>
      <c r="K267" s="842"/>
      <c r="L267" s="842"/>
      <c r="M267" s="842"/>
      <c r="N267" s="842"/>
      <c r="O267" s="842"/>
      <c r="P267" s="842"/>
      <c r="Q267" s="842"/>
      <c r="R267" s="842"/>
      <c r="S267" s="842"/>
      <c r="T267" s="842"/>
      <c r="U267" s="842"/>
      <c r="V267" s="842"/>
      <c r="W267" s="842"/>
      <c r="X267" s="842"/>
      <c r="Y267" s="842"/>
      <c r="Z267" s="842"/>
      <c r="AA267" s="2209"/>
      <c r="AB267" s="2209"/>
      <c r="AC267" s="346"/>
    </row>
    <row r="268" spans="1:29" ht="18.75" customHeight="1" x14ac:dyDescent="0.2">
      <c r="A268" s="341"/>
      <c r="B268" s="345"/>
      <c r="C268" s="881" t="s">
        <v>1779</v>
      </c>
      <c r="D268" s="842">
        <f ca="1">D266*(G254/100)-D265-D260-D263</f>
        <v>13612.650243473559</v>
      </c>
      <c r="E268" s="337" t="s">
        <v>622</v>
      </c>
      <c r="F268" s="842"/>
      <c r="G268" s="842"/>
      <c r="H268" s="842"/>
      <c r="I268" s="842"/>
      <c r="J268" s="842"/>
      <c r="K268" s="842"/>
      <c r="L268" s="842"/>
      <c r="M268" s="842"/>
      <c r="N268" s="842"/>
      <c r="O268" s="842"/>
      <c r="P268" s="842"/>
      <c r="Q268" s="842"/>
      <c r="R268" s="842"/>
      <c r="S268" s="842"/>
      <c r="T268" s="842"/>
      <c r="U268" s="842"/>
      <c r="V268" s="842"/>
      <c r="W268" s="842"/>
      <c r="X268" s="842"/>
      <c r="Y268" s="842"/>
      <c r="Z268" s="842"/>
      <c r="AA268" s="2209"/>
      <c r="AB268" s="2209"/>
      <c r="AC268" s="346"/>
    </row>
    <row r="269" spans="1:29" ht="18.75" customHeight="1" x14ac:dyDescent="0.2">
      <c r="A269" s="341"/>
      <c r="B269" s="345"/>
      <c r="C269" s="881" t="s">
        <v>1522</v>
      </c>
      <c r="D269" s="842">
        <f ca="1">D272*(1-D271/100)</f>
        <v>5900.9260017033466</v>
      </c>
      <c r="E269" s="337" t="s">
        <v>622</v>
      </c>
      <c r="F269" s="842"/>
      <c r="G269" s="444" t="s">
        <v>734</v>
      </c>
      <c r="H269" s="842"/>
      <c r="I269" s="842"/>
      <c r="J269" s="842"/>
      <c r="K269" s="842"/>
      <c r="L269" s="842"/>
      <c r="M269" s="842"/>
      <c r="N269" s="842"/>
      <c r="O269" s="842"/>
      <c r="P269" s="842"/>
      <c r="Q269" s="842"/>
      <c r="R269" s="842"/>
      <c r="S269" s="842"/>
      <c r="T269" s="842"/>
      <c r="U269" s="842"/>
      <c r="V269" s="842"/>
      <c r="W269" s="842"/>
      <c r="X269" s="842"/>
      <c r="Y269" s="842"/>
      <c r="Z269" s="842"/>
      <c r="AA269" s="2209"/>
      <c r="AB269" s="2209"/>
      <c r="AC269" s="346"/>
    </row>
    <row r="270" spans="1:29" ht="18.75" customHeight="1" x14ac:dyDescent="0.2">
      <c r="A270" s="341"/>
      <c r="B270" s="345"/>
      <c r="C270" s="881" t="s">
        <v>1523</v>
      </c>
      <c r="D270" s="842">
        <f ca="1">D272*(D271/100)</f>
        <v>1313.5679428605472</v>
      </c>
      <c r="E270" s="337" t="s">
        <v>622</v>
      </c>
      <c r="F270" s="842"/>
      <c r="G270" s="873" t="s">
        <v>733</v>
      </c>
      <c r="H270" s="883">
        <v>1</v>
      </c>
      <c r="I270" s="842"/>
      <c r="J270" s="842"/>
      <c r="K270" s="842"/>
      <c r="L270" s="842"/>
      <c r="M270" s="842"/>
      <c r="N270" s="842"/>
      <c r="O270" s="842"/>
      <c r="P270" s="842"/>
      <c r="Q270" s="842"/>
      <c r="R270" s="842"/>
      <c r="S270" s="842"/>
      <c r="T270" s="842"/>
      <c r="U270" s="842"/>
      <c r="V270" s="842"/>
      <c r="W270" s="842"/>
      <c r="X270" s="842"/>
      <c r="Y270" s="842"/>
      <c r="Z270" s="842"/>
      <c r="AA270" s="2209"/>
      <c r="AB270" s="2209"/>
      <c r="AC270" s="346"/>
    </row>
    <row r="271" spans="1:29" ht="18.75" customHeight="1" x14ac:dyDescent="0.2">
      <c r="A271" s="341"/>
      <c r="B271" s="345"/>
      <c r="C271" s="881" t="s">
        <v>375</v>
      </c>
      <c r="D271" s="410">
        <f>Constants!N392</f>
        <v>18.207346945662319</v>
      </c>
      <c r="E271" s="337" t="s">
        <v>579</v>
      </c>
      <c r="F271" s="842"/>
      <c r="G271" s="842"/>
      <c r="H271" s="842"/>
      <c r="I271" s="842"/>
      <c r="J271" s="842"/>
      <c r="K271" s="842"/>
      <c r="L271" s="842"/>
      <c r="M271" s="842"/>
      <c r="N271" s="842"/>
      <c r="O271" s="842"/>
      <c r="P271" s="842"/>
      <c r="Q271" s="842"/>
      <c r="R271" s="842"/>
      <c r="S271" s="842"/>
      <c r="T271" s="842"/>
      <c r="U271" s="842"/>
      <c r="V271" s="842"/>
      <c r="W271" s="842"/>
      <c r="X271" s="842"/>
      <c r="Y271" s="842"/>
      <c r="Z271" s="842"/>
      <c r="AA271" s="2209"/>
      <c r="AB271" s="2209"/>
      <c r="AC271" s="346"/>
    </row>
    <row r="272" spans="1:29" ht="18.75" customHeight="1" x14ac:dyDescent="0.2">
      <c r="A272" s="341"/>
      <c r="B272" s="345"/>
      <c r="C272" s="881" t="s">
        <v>385</v>
      </c>
      <c r="D272" s="842">
        <f ca="1">E249*H263</f>
        <v>7214.4939445638938</v>
      </c>
      <c r="E272" s="337" t="s">
        <v>622</v>
      </c>
      <c r="F272" s="842"/>
      <c r="G272" s="842"/>
      <c r="H272" s="842"/>
      <c r="I272" s="842"/>
      <c r="J272" s="842"/>
      <c r="K272" s="842"/>
      <c r="L272" s="842"/>
      <c r="M272" s="842"/>
      <c r="N272" s="842"/>
      <c r="O272" s="842"/>
      <c r="P272" s="842"/>
      <c r="Q272" s="842"/>
      <c r="R272" s="842"/>
      <c r="S272" s="842"/>
      <c r="T272" s="842"/>
      <c r="U272" s="842"/>
      <c r="V272" s="842"/>
      <c r="W272" s="842"/>
      <c r="X272" s="842"/>
      <c r="Y272" s="842"/>
      <c r="Z272" s="842"/>
      <c r="AA272" s="2209"/>
      <c r="AB272" s="2209"/>
      <c r="AC272" s="346"/>
    </row>
    <row r="273" spans="1:29" ht="18.75" customHeight="1" x14ac:dyDescent="0.2">
      <c r="A273" s="341"/>
      <c r="B273" s="345"/>
      <c r="C273" s="881" t="s">
        <v>384</v>
      </c>
      <c r="D273" s="842">
        <f ca="1">D259+D261</f>
        <v>2482.4508007779295</v>
      </c>
      <c r="E273" s="337" t="s">
        <v>622</v>
      </c>
      <c r="F273" s="842"/>
      <c r="G273" s="842"/>
      <c r="H273" s="842"/>
      <c r="I273" s="842"/>
      <c r="J273" s="842"/>
      <c r="K273" s="842"/>
      <c r="L273" s="842"/>
      <c r="M273" s="842"/>
      <c r="N273" s="842"/>
      <c r="O273" s="842"/>
      <c r="P273" s="842"/>
      <c r="Q273" s="842"/>
      <c r="R273" s="842"/>
      <c r="S273" s="842"/>
      <c r="T273" s="842"/>
      <c r="U273" s="842"/>
      <c r="V273" s="842"/>
      <c r="W273" s="842"/>
      <c r="X273" s="842"/>
      <c r="Y273" s="842"/>
      <c r="Z273" s="842"/>
      <c r="AA273" s="2209"/>
      <c r="AB273" s="2209"/>
      <c r="AC273" s="346"/>
    </row>
    <row r="274" spans="1:29" ht="18.75" customHeight="1" x14ac:dyDescent="0.2">
      <c r="A274" s="341"/>
      <c r="B274" s="345"/>
      <c r="C274" s="452" t="s">
        <v>1780</v>
      </c>
      <c r="D274" s="334">
        <f ca="1">D260+D261+D268+D270+D263</f>
        <v>15218.271221719793</v>
      </c>
      <c r="E274" s="338" t="s">
        <v>622</v>
      </c>
      <c r="F274" s="842"/>
      <c r="G274" s="842"/>
      <c r="H274" s="842"/>
      <c r="I274" s="842"/>
      <c r="J274" s="842"/>
      <c r="K274" s="842"/>
      <c r="L274" s="842"/>
      <c r="M274" s="842"/>
      <c r="N274" s="842"/>
      <c r="O274" s="842"/>
      <c r="P274" s="842"/>
      <c r="Q274" s="842"/>
      <c r="R274" s="842"/>
      <c r="S274" s="842"/>
      <c r="T274" s="842"/>
      <c r="U274" s="842"/>
      <c r="V274" s="842"/>
      <c r="W274" s="842"/>
      <c r="X274" s="842"/>
      <c r="Y274" s="842"/>
      <c r="Z274" s="842"/>
      <c r="AA274" s="2209"/>
      <c r="AB274" s="2209"/>
      <c r="AC274" s="346"/>
    </row>
    <row r="275" spans="1:29" ht="18.75" customHeight="1" x14ac:dyDescent="0.2">
      <c r="A275" s="341"/>
      <c r="B275" s="345"/>
      <c r="C275" s="453" t="s">
        <v>635</v>
      </c>
      <c r="D275" s="410">
        <f ca="1">Constants!H89</f>
        <v>161.0264731376526</v>
      </c>
      <c r="E275" s="337" t="s">
        <v>637</v>
      </c>
      <c r="F275" s="842"/>
      <c r="G275" s="842"/>
      <c r="H275" s="842"/>
      <c r="I275" s="842"/>
      <c r="J275" s="842"/>
      <c r="K275" s="842"/>
      <c r="L275" s="842"/>
      <c r="M275" s="842"/>
      <c r="N275" s="842"/>
      <c r="O275" s="842"/>
      <c r="P275" s="842"/>
      <c r="Q275" s="842"/>
      <c r="R275" s="842"/>
      <c r="S275" s="842"/>
      <c r="T275" s="842"/>
      <c r="U275" s="842"/>
      <c r="V275" s="842"/>
      <c r="W275" s="842"/>
      <c r="X275" s="842"/>
      <c r="Y275" s="842"/>
      <c r="Z275" s="842"/>
      <c r="AA275" s="2209"/>
      <c r="AB275" s="2209"/>
      <c r="AC275" s="346"/>
    </row>
    <row r="276" spans="1:29" ht="18.75" customHeight="1" x14ac:dyDescent="0.2">
      <c r="A276" s="341"/>
      <c r="B276" s="345"/>
      <c r="C276" s="453" t="s">
        <v>634</v>
      </c>
      <c r="D276" s="842">
        <f ca="1">D275*'Energy &amp; Unit Conversions'!G82/'Energy &amp; Unit Conversions'!G80</f>
        <v>27.133800305602612</v>
      </c>
      <c r="E276" s="337" t="s">
        <v>636</v>
      </c>
      <c r="F276" s="842"/>
      <c r="G276" s="842"/>
      <c r="H276" s="842"/>
      <c r="I276" s="842"/>
      <c r="J276" s="842"/>
      <c r="K276" s="842"/>
      <c r="L276" s="842"/>
      <c r="M276" s="842"/>
      <c r="N276" s="842"/>
      <c r="O276" s="842"/>
      <c r="P276" s="842"/>
      <c r="Q276" s="842"/>
      <c r="R276" s="842"/>
      <c r="S276" s="842"/>
      <c r="T276" s="842"/>
      <c r="U276" s="842"/>
      <c r="V276" s="842"/>
      <c r="W276" s="842"/>
      <c r="X276" s="842"/>
      <c r="Y276" s="842"/>
      <c r="Z276" s="842"/>
      <c r="AA276" s="2209"/>
      <c r="AB276" s="2209"/>
      <c r="AC276" s="346"/>
    </row>
    <row r="277" spans="1:29" ht="18.75" customHeight="1" x14ac:dyDescent="0.2">
      <c r="A277" s="341"/>
      <c r="B277" s="345"/>
      <c r="C277" s="453" t="s">
        <v>542</v>
      </c>
      <c r="D277" s="842">
        <f ca="1">D275*E247/1000</f>
        <v>4329.2624041539148</v>
      </c>
      <c r="E277" s="337" t="s">
        <v>472</v>
      </c>
      <c r="F277" s="842"/>
      <c r="G277" s="842"/>
      <c r="H277" s="842"/>
      <c r="I277" s="842"/>
      <c r="J277" s="842"/>
      <c r="K277" s="842"/>
      <c r="L277" s="842"/>
      <c r="M277" s="842"/>
      <c r="N277" s="842"/>
      <c r="O277" s="842"/>
      <c r="P277" s="842"/>
      <c r="Q277" s="842"/>
      <c r="R277" s="842"/>
      <c r="S277" s="842"/>
      <c r="T277" s="842"/>
      <c r="U277" s="842"/>
      <c r="V277" s="842"/>
      <c r="W277" s="842"/>
      <c r="X277" s="842"/>
      <c r="Y277" s="842"/>
      <c r="Z277" s="842"/>
      <c r="AA277" s="2209"/>
      <c r="AB277" s="2209"/>
      <c r="AC277" s="346"/>
    </row>
    <row r="278" spans="1:29" ht="18.75" customHeight="1" x14ac:dyDescent="0.2">
      <c r="A278" s="341"/>
      <c r="B278" s="345"/>
      <c r="C278" s="453" t="s">
        <v>542</v>
      </c>
      <c r="D278" s="842">
        <f ca="1">D276*E248</f>
        <v>115981.75803695824</v>
      </c>
      <c r="E278" s="337" t="s">
        <v>628</v>
      </c>
      <c r="F278" s="842"/>
      <c r="G278" s="842"/>
      <c r="H278" s="842"/>
      <c r="I278" s="842"/>
      <c r="J278" s="842"/>
      <c r="K278" s="842"/>
      <c r="L278" s="842"/>
      <c r="M278" s="842"/>
      <c r="N278" s="842"/>
      <c r="O278" s="842"/>
      <c r="P278" s="842"/>
      <c r="Q278" s="842"/>
      <c r="R278" s="842"/>
      <c r="S278" s="842"/>
      <c r="T278" s="842"/>
      <c r="U278" s="842"/>
      <c r="V278" s="842"/>
      <c r="W278" s="842"/>
      <c r="X278" s="842"/>
      <c r="Y278" s="842"/>
      <c r="Z278" s="842"/>
      <c r="AA278" s="2209"/>
      <c r="AB278" s="2209"/>
      <c r="AC278" s="346"/>
    </row>
    <row r="279" spans="1:29" ht="18.75" customHeight="1" x14ac:dyDescent="0.2">
      <c r="A279" s="341"/>
      <c r="B279" s="345"/>
      <c r="C279" s="452" t="s">
        <v>631</v>
      </c>
      <c r="D279" s="334">
        <f ca="1">D278*'Energy &amp; Unit Conversions'!P25*'Energy &amp; Unit Conversions'!G87</f>
        <v>49.165444901806389</v>
      </c>
      <c r="E279" s="338" t="s">
        <v>632</v>
      </c>
      <c r="F279" s="842"/>
      <c r="G279" s="842"/>
      <c r="H279" s="842"/>
      <c r="I279" s="842"/>
      <c r="J279" s="842"/>
      <c r="K279" s="842"/>
      <c r="L279" s="842"/>
      <c r="M279" s="842"/>
      <c r="N279" s="842"/>
      <c r="O279" s="842"/>
      <c r="P279" s="842"/>
      <c r="Q279" s="842"/>
      <c r="R279" s="842"/>
      <c r="S279" s="842"/>
      <c r="T279" s="842"/>
      <c r="U279" s="842"/>
      <c r="V279" s="842"/>
      <c r="W279" s="842"/>
      <c r="X279" s="842"/>
      <c r="Y279" s="842"/>
      <c r="Z279" s="842"/>
      <c r="AA279" s="2209"/>
      <c r="AB279" s="2209"/>
      <c r="AC279" s="346"/>
    </row>
    <row r="280" spans="1:29" ht="18.75" customHeight="1" x14ac:dyDescent="0.2">
      <c r="A280" s="341"/>
      <c r="B280" s="345"/>
      <c r="C280" s="454" t="s">
        <v>451</v>
      </c>
      <c r="D280" s="854">
        <f ca="1">Constants!H90</f>
        <v>3</v>
      </c>
      <c r="E280" s="369" t="s">
        <v>665</v>
      </c>
      <c r="F280" s="842"/>
      <c r="G280" s="842"/>
      <c r="H280" s="842"/>
      <c r="I280" s="842"/>
      <c r="J280" s="842"/>
      <c r="K280" s="842"/>
      <c r="L280" s="842"/>
      <c r="M280" s="842"/>
      <c r="N280" s="842"/>
      <c r="O280" s="842"/>
      <c r="P280" s="842"/>
      <c r="Q280" s="842"/>
      <c r="R280" s="842"/>
      <c r="S280" s="842"/>
      <c r="T280" s="842"/>
      <c r="U280" s="842"/>
      <c r="V280" s="842"/>
      <c r="W280" s="842"/>
      <c r="X280" s="842"/>
      <c r="Y280" s="842"/>
      <c r="Z280" s="842"/>
      <c r="AA280" s="2209"/>
      <c r="AB280" s="2209"/>
      <c r="AC280" s="346"/>
    </row>
    <row r="281" spans="1:29" ht="18.75" customHeight="1" x14ac:dyDescent="0.2">
      <c r="A281" s="341"/>
      <c r="B281" s="345"/>
      <c r="C281" s="453" t="s">
        <v>451</v>
      </c>
      <c r="D281" s="842">
        <f ca="1">D280/'Energy &amp; Unit Conversions'!G80</f>
        <v>18.869431709325209</v>
      </c>
      <c r="E281" s="337" t="s">
        <v>629</v>
      </c>
      <c r="F281" s="842"/>
      <c r="G281" s="842"/>
      <c r="H281" s="842"/>
      <c r="I281" s="842"/>
      <c r="J281" s="842"/>
      <c r="K281" s="842"/>
      <c r="L281" s="842"/>
      <c r="M281" s="842"/>
      <c r="N281" s="842"/>
      <c r="O281" s="842"/>
      <c r="P281" s="842"/>
      <c r="Q281" s="842"/>
      <c r="R281" s="842"/>
      <c r="S281" s="842"/>
      <c r="T281" s="842"/>
      <c r="U281" s="842"/>
      <c r="V281" s="842"/>
      <c r="W281" s="842"/>
      <c r="X281" s="842"/>
      <c r="Y281" s="842"/>
      <c r="Z281" s="842"/>
      <c r="AA281" s="2209"/>
      <c r="AB281" s="2209"/>
      <c r="AC281" s="346"/>
    </row>
    <row r="282" spans="1:29" ht="18.75" customHeight="1" x14ac:dyDescent="0.2">
      <c r="A282" s="341"/>
      <c r="B282" s="345"/>
      <c r="C282" s="452" t="s">
        <v>452</v>
      </c>
      <c r="D282" s="334">
        <f ca="1">E248*D281</f>
        <v>80656.223535115292</v>
      </c>
      <c r="E282" s="338" t="s">
        <v>627</v>
      </c>
      <c r="F282" s="842"/>
      <c r="G282" s="842"/>
      <c r="H282" s="842"/>
      <c r="I282" s="842"/>
      <c r="J282" s="842"/>
      <c r="K282" s="842"/>
      <c r="L282" s="842"/>
      <c r="M282" s="842"/>
      <c r="N282" s="842"/>
      <c r="O282" s="842"/>
      <c r="P282" s="842"/>
      <c r="Q282" s="842"/>
      <c r="R282" s="842"/>
      <c r="S282" s="842"/>
      <c r="T282" s="842"/>
      <c r="U282" s="842"/>
      <c r="V282" s="842"/>
      <c r="W282" s="842"/>
      <c r="X282" s="842"/>
      <c r="Y282" s="842"/>
      <c r="Z282" s="842"/>
      <c r="AA282" s="2209"/>
      <c r="AB282" s="2209"/>
      <c r="AC282" s="346"/>
    </row>
    <row r="283" spans="1:29" ht="18.75" customHeight="1" x14ac:dyDescent="0.2">
      <c r="A283" s="341"/>
      <c r="B283" s="345"/>
      <c r="C283" s="453" t="s">
        <v>485</v>
      </c>
      <c r="D283" s="410">
        <f ca="1">Constants!H92</f>
        <v>8</v>
      </c>
      <c r="E283" s="337" t="s">
        <v>496</v>
      </c>
      <c r="F283" s="842"/>
      <c r="G283" s="842"/>
      <c r="H283" s="842"/>
      <c r="I283" s="842"/>
      <c r="J283" s="842"/>
      <c r="K283" s="842"/>
      <c r="L283" s="842"/>
      <c r="M283" s="842"/>
      <c r="N283" s="842"/>
      <c r="O283" s="842"/>
      <c r="P283" s="842"/>
      <c r="Q283" s="842"/>
      <c r="R283" s="842"/>
      <c r="S283" s="842"/>
      <c r="T283" s="842"/>
      <c r="U283" s="842"/>
      <c r="V283" s="842"/>
      <c r="W283" s="842"/>
      <c r="X283" s="842"/>
      <c r="Y283" s="842"/>
      <c r="Z283" s="842"/>
      <c r="AA283" s="2209"/>
      <c r="AB283" s="2209"/>
      <c r="AC283" s="346"/>
    </row>
    <row r="284" spans="1:29" ht="18.75" customHeight="1" x14ac:dyDescent="0.2">
      <c r="A284" s="341"/>
      <c r="B284" s="345"/>
      <c r="C284" s="453" t="s">
        <v>485</v>
      </c>
      <c r="D284" s="842">
        <f ca="1">D283*'Energy &amp; Unit Conversions'!G79/'Energy &amp; Unit Conversions'!G80</f>
        <v>22.824080665562597</v>
      </c>
      <c r="E284" s="337" t="s">
        <v>581</v>
      </c>
      <c r="F284" s="842"/>
      <c r="G284" s="842"/>
      <c r="H284" s="842"/>
      <c r="I284" s="842"/>
      <c r="J284" s="842"/>
      <c r="K284" s="842"/>
      <c r="L284" s="842"/>
      <c r="M284" s="842"/>
      <c r="N284" s="842"/>
      <c r="O284" s="842"/>
      <c r="P284" s="842"/>
      <c r="Q284" s="842"/>
      <c r="R284" s="842"/>
      <c r="S284" s="842"/>
      <c r="T284" s="842"/>
      <c r="U284" s="842"/>
      <c r="V284" s="842"/>
      <c r="W284" s="842"/>
      <c r="X284" s="842"/>
      <c r="Y284" s="842"/>
      <c r="Z284" s="842"/>
      <c r="AA284" s="2209"/>
      <c r="AB284" s="2209"/>
      <c r="AC284" s="346"/>
    </row>
    <row r="285" spans="1:29" ht="18.75" customHeight="1" x14ac:dyDescent="0.2">
      <c r="A285" s="341"/>
      <c r="B285" s="345"/>
      <c r="C285" s="452" t="s">
        <v>485</v>
      </c>
      <c r="D285" s="334">
        <f ca="1">D284*E248</f>
        <v>97560.126902780612</v>
      </c>
      <c r="E285" s="338" t="s">
        <v>622</v>
      </c>
      <c r="F285" s="842"/>
      <c r="G285" s="842"/>
      <c r="H285" s="842"/>
      <c r="I285" s="842"/>
      <c r="J285" s="842"/>
      <c r="K285" s="842"/>
      <c r="L285" s="842"/>
      <c r="M285" s="842"/>
      <c r="N285" s="842"/>
      <c r="O285" s="842"/>
      <c r="P285" s="842"/>
      <c r="Q285" s="842"/>
      <c r="R285" s="842"/>
      <c r="S285" s="842"/>
      <c r="T285" s="842"/>
      <c r="U285" s="842"/>
      <c r="V285" s="842"/>
      <c r="W285" s="842"/>
      <c r="X285" s="842"/>
      <c r="Y285" s="842"/>
      <c r="Z285" s="842"/>
      <c r="AA285" s="2209"/>
      <c r="AB285" s="2209"/>
      <c r="AC285" s="346"/>
    </row>
    <row r="286" spans="1:29" ht="18.75" customHeight="1" x14ac:dyDescent="0.2">
      <c r="A286" s="341"/>
      <c r="B286" s="345"/>
      <c r="C286" s="437"/>
      <c r="D286" s="842"/>
      <c r="E286" s="842"/>
      <c r="F286" s="842"/>
      <c r="G286" s="842"/>
      <c r="H286" s="842"/>
      <c r="I286" s="842"/>
      <c r="J286" s="842"/>
      <c r="K286" s="842"/>
      <c r="L286" s="842"/>
      <c r="M286" s="842"/>
      <c r="N286" s="842"/>
      <c r="O286" s="842"/>
      <c r="P286" s="842"/>
      <c r="Q286" s="842"/>
      <c r="R286" s="842"/>
      <c r="S286" s="842"/>
      <c r="T286" s="842"/>
      <c r="U286" s="842"/>
      <c r="V286" s="842"/>
      <c r="W286" s="842"/>
      <c r="X286" s="842"/>
      <c r="Y286" s="842"/>
      <c r="Z286" s="842"/>
      <c r="AA286" s="2209"/>
      <c r="AB286" s="2209"/>
      <c r="AC286" s="346"/>
    </row>
    <row r="287" spans="1:29" ht="26.25" x14ac:dyDescent="0.2">
      <c r="A287" s="341"/>
      <c r="B287" s="699"/>
      <c r="C287" s="603" t="s">
        <v>454</v>
      </c>
      <c r="D287" s="842"/>
      <c r="E287" s="842"/>
      <c r="F287" s="842"/>
      <c r="G287" s="842"/>
      <c r="H287" s="842"/>
      <c r="I287" s="842"/>
      <c r="J287" s="842"/>
      <c r="K287" s="842"/>
      <c r="L287" s="842"/>
      <c r="M287" s="842"/>
      <c r="N287" s="842"/>
      <c r="O287" s="842"/>
      <c r="P287" s="842"/>
      <c r="Q287" s="842"/>
      <c r="R287" s="842"/>
      <c r="S287" s="842"/>
      <c r="T287" s="842"/>
      <c r="U287" s="842"/>
      <c r="V287" s="842"/>
      <c r="W287" s="842"/>
      <c r="X287" s="842"/>
      <c r="Y287" s="842"/>
      <c r="Z287" s="842"/>
      <c r="AA287" s="2209"/>
      <c r="AB287" s="2209"/>
      <c r="AC287" s="346"/>
    </row>
    <row r="288" spans="1:29" ht="18.75" customHeight="1" x14ac:dyDescent="0.2">
      <c r="A288" s="341"/>
      <c r="B288" s="345"/>
      <c r="C288" s="437"/>
      <c r="D288" s="842"/>
      <c r="E288" s="842"/>
      <c r="F288" s="842"/>
      <c r="G288" s="842"/>
      <c r="H288" s="842"/>
      <c r="I288" s="842"/>
      <c r="J288" s="842"/>
      <c r="K288" s="842"/>
      <c r="L288" s="842"/>
      <c r="M288" s="842"/>
      <c r="N288" s="842"/>
      <c r="O288" s="842"/>
      <c r="P288" s="842"/>
      <c r="Q288" s="842"/>
      <c r="R288" s="842"/>
      <c r="S288" s="842"/>
      <c r="T288" s="842"/>
      <c r="U288" s="842"/>
      <c r="V288" s="842"/>
      <c r="W288" s="842"/>
      <c r="X288" s="842"/>
      <c r="Y288" s="842"/>
      <c r="Z288" s="842"/>
      <c r="AA288" s="2209"/>
      <c r="AB288" s="2209"/>
      <c r="AC288" s="346"/>
    </row>
    <row r="289" spans="1:29" ht="18.75" customHeight="1" x14ac:dyDescent="0.2">
      <c r="A289" s="341"/>
      <c r="B289" s="345"/>
      <c r="C289" s="843" t="s">
        <v>569</v>
      </c>
      <c r="D289" s="842"/>
      <c r="E289" s="426"/>
      <c r="F289" s="842"/>
      <c r="G289" s="842"/>
      <c r="H289" s="842"/>
      <c r="I289" s="842"/>
      <c r="J289" s="842"/>
      <c r="K289" s="842"/>
      <c r="L289" s="842"/>
      <c r="M289" s="842"/>
      <c r="N289" s="842"/>
      <c r="O289" s="842"/>
      <c r="P289" s="842"/>
      <c r="Q289" s="842"/>
      <c r="R289" s="842"/>
      <c r="S289" s="842"/>
      <c r="T289" s="842"/>
      <c r="U289" s="842"/>
      <c r="V289" s="842"/>
      <c r="W289" s="842"/>
      <c r="X289" s="842"/>
      <c r="Y289" s="842"/>
      <c r="Z289" s="842"/>
      <c r="AA289" s="2209"/>
      <c r="AB289" s="2209"/>
      <c r="AC289" s="346"/>
    </row>
    <row r="290" spans="1:29" ht="18.75" customHeight="1" x14ac:dyDescent="0.2">
      <c r="A290" s="341"/>
      <c r="B290" s="345"/>
      <c r="C290" s="441" t="s">
        <v>568</v>
      </c>
      <c r="D290" s="351" t="s">
        <v>623</v>
      </c>
      <c r="E290" s="351" t="str">
        <f>HydroRefineryCalcs!G246</f>
        <v>HT Kero Product</v>
      </c>
      <c r="F290" s="357" t="s">
        <v>521</v>
      </c>
      <c r="G290" s="839"/>
      <c r="H290" s="842"/>
      <c r="I290" s="842"/>
      <c r="J290" s="842"/>
      <c r="K290" s="842"/>
      <c r="L290" s="842"/>
      <c r="M290" s="842"/>
      <c r="N290" s="842"/>
      <c r="O290" s="842"/>
      <c r="P290" s="842"/>
      <c r="Q290" s="842"/>
      <c r="R290" s="842"/>
      <c r="S290" s="842"/>
      <c r="T290" s="842"/>
      <c r="U290" s="842"/>
      <c r="V290" s="842"/>
      <c r="W290" s="842"/>
      <c r="X290" s="842"/>
      <c r="Y290" s="842"/>
      <c r="Z290" s="842"/>
      <c r="AA290" s="2209"/>
      <c r="AB290" s="2209"/>
      <c r="AC290" s="346"/>
    </row>
    <row r="291" spans="1:29" ht="18.75" customHeight="1" x14ac:dyDescent="0.2">
      <c r="A291" s="341"/>
      <c r="B291" s="345"/>
      <c r="C291" s="442" t="s">
        <v>582</v>
      </c>
      <c r="D291" s="842" t="s">
        <v>566</v>
      </c>
      <c r="E291" s="842">
        <f ca="1">HydroRefineryCalcs!G247</f>
        <v>27711.741788300664</v>
      </c>
      <c r="F291" s="337">
        <f ca="1">F292/'Energy &amp; Unit Conversions'!G80</f>
        <v>28123.302309909086</v>
      </c>
      <c r="G291" s="842"/>
      <c r="H291" s="842"/>
      <c r="I291" s="842"/>
      <c r="J291" s="842"/>
      <c r="K291" s="842"/>
      <c r="L291" s="842"/>
      <c r="M291" s="842"/>
      <c r="N291" s="842"/>
      <c r="O291" s="842"/>
      <c r="P291" s="842"/>
      <c r="Q291" s="842"/>
      <c r="R291" s="842"/>
      <c r="S291" s="842"/>
      <c r="T291" s="842"/>
      <c r="U291" s="842"/>
      <c r="V291" s="842"/>
      <c r="W291" s="842"/>
      <c r="X291" s="842"/>
      <c r="Y291" s="842"/>
      <c r="Z291" s="842"/>
      <c r="AA291" s="2209"/>
      <c r="AB291" s="2209"/>
      <c r="AC291" s="346"/>
    </row>
    <row r="292" spans="1:29" ht="18.75" customHeight="1" x14ac:dyDescent="0.2">
      <c r="A292" s="341"/>
      <c r="B292" s="345"/>
      <c r="C292" s="442" t="s">
        <v>582</v>
      </c>
      <c r="D292" s="842" t="s">
        <v>628</v>
      </c>
      <c r="E292" s="842">
        <f ca="1">HydroRefineryCalcs!G248</f>
        <v>4405.815005219094</v>
      </c>
      <c r="F292" s="337">
        <f ca="1">F293/F296</f>
        <v>4471.247901336209</v>
      </c>
      <c r="G292" s="842"/>
      <c r="H292" s="842"/>
      <c r="I292" s="842"/>
      <c r="J292" s="842"/>
      <c r="K292" s="842"/>
      <c r="L292" s="842"/>
      <c r="M292" s="842"/>
      <c r="N292" s="842"/>
      <c r="O292" s="842"/>
      <c r="P292" s="842"/>
      <c r="Q292" s="842"/>
      <c r="R292" s="842"/>
      <c r="S292" s="842"/>
      <c r="T292" s="842"/>
      <c r="U292" s="842"/>
      <c r="V292" s="842"/>
      <c r="W292" s="842"/>
      <c r="X292" s="842"/>
      <c r="Y292" s="842"/>
      <c r="Z292" s="842"/>
      <c r="AA292" s="2209"/>
      <c r="AB292" s="2209"/>
      <c r="AC292" s="346"/>
    </row>
    <row r="293" spans="1:29" ht="18.75" customHeight="1" x14ac:dyDescent="0.2">
      <c r="A293" s="341"/>
      <c r="B293" s="345"/>
      <c r="C293" s="442" t="s">
        <v>620</v>
      </c>
      <c r="D293" s="842" t="s">
        <v>622</v>
      </c>
      <c r="E293" s="842">
        <f ca="1">HydroRefineryCalcs!G249</f>
        <v>3612768.3042796571</v>
      </c>
      <c r="F293" s="337">
        <f ca="1">E293</f>
        <v>3612768.3042796571</v>
      </c>
      <c r="G293" s="842"/>
      <c r="H293" s="842"/>
      <c r="I293" s="842"/>
      <c r="J293" s="842"/>
      <c r="K293" s="842"/>
      <c r="L293" s="842"/>
      <c r="M293" s="842"/>
      <c r="N293" s="842"/>
      <c r="O293" s="842"/>
      <c r="P293" s="842"/>
      <c r="Q293" s="842"/>
      <c r="R293" s="842"/>
      <c r="S293" s="842"/>
      <c r="T293" s="842"/>
      <c r="U293" s="842"/>
      <c r="V293" s="842"/>
      <c r="W293" s="842"/>
      <c r="X293" s="842"/>
      <c r="Y293" s="842"/>
      <c r="Z293" s="842"/>
      <c r="AA293" s="2209"/>
      <c r="AB293" s="2209"/>
      <c r="AC293" s="346"/>
    </row>
    <row r="294" spans="1:29" ht="18.75" customHeight="1" x14ac:dyDescent="0.2">
      <c r="A294" s="341"/>
      <c r="B294" s="345"/>
      <c r="C294" s="442" t="s">
        <v>578</v>
      </c>
      <c r="D294" s="842" t="s">
        <v>579</v>
      </c>
      <c r="E294" s="842">
        <f>HydroRefineryCalcs!G250</f>
        <v>1E-4</v>
      </c>
      <c r="F294" s="337">
        <f>E294</f>
        <v>1E-4</v>
      </c>
      <c r="G294" s="842"/>
      <c r="H294" s="842"/>
      <c r="I294" s="842"/>
      <c r="J294" s="842"/>
      <c r="K294" s="842"/>
      <c r="L294" s="842"/>
      <c r="M294" s="842"/>
      <c r="N294" s="842"/>
      <c r="O294" s="842"/>
      <c r="P294" s="842"/>
      <c r="Q294" s="842"/>
      <c r="R294" s="842"/>
      <c r="S294" s="842"/>
      <c r="T294" s="842"/>
      <c r="U294" s="842"/>
      <c r="V294" s="842"/>
      <c r="W294" s="842"/>
      <c r="X294" s="842"/>
      <c r="Y294" s="842"/>
      <c r="Z294" s="842"/>
      <c r="AA294" s="2209"/>
      <c r="AB294" s="2209"/>
      <c r="AC294" s="346"/>
    </row>
    <row r="295" spans="1:29" ht="18.75" customHeight="1" x14ac:dyDescent="0.2">
      <c r="A295" s="341"/>
      <c r="B295" s="345"/>
      <c r="C295" s="442" t="s">
        <v>567</v>
      </c>
      <c r="D295" s="842"/>
      <c r="E295" s="842">
        <f>HydroRefineryCalcs!G252</f>
        <v>41.060975609756099</v>
      </c>
      <c r="F295" s="337">
        <f>141.5/(F296/1000)-131.5</f>
        <v>43.623762376237607</v>
      </c>
      <c r="G295" s="842"/>
      <c r="H295" s="842"/>
      <c r="I295" s="842"/>
      <c r="J295" s="842"/>
      <c r="K295" s="842"/>
      <c r="L295" s="842"/>
      <c r="M295" s="842"/>
      <c r="N295" s="842"/>
      <c r="O295" s="842"/>
      <c r="P295" s="842"/>
      <c r="Q295" s="842"/>
      <c r="R295" s="842"/>
      <c r="S295" s="842"/>
      <c r="T295" s="842"/>
      <c r="U295" s="842"/>
      <c r="V295" s="842"/>
      <c r="W295" s="842"/>
      <c r="X295" s="842"/>
      <c r="Y295" s="842"/>
      <c r="Z295" s="842"/>
      <c r="AA295" s="2209"/>
      <c r="AB295" s="2209"/>
      <c r="AC295" s="346"/>
    </row>
    <row r="296" spans="1:29" ht="18.75" customHeight="1" x14ac:dyDescent="0.2">
      <c r="A296" s="341"/>
      <c r="B296" s="345"/>
      <c r="C296" s="442" t="s">
        <v>580</v>
      </c>
      <c r="D296" s="842" t="s">
        <v>581</v>
      </c>
      <c r="E296" s="842">
        <f>HydroRefineryCalcs!G253</f>
        <v>820</v>
      </c>
      <c r="F296" s="861">
        <v>808</v>
      </c>
      <c r="G296" s="842"/>
      <c r="H296" s="842"/>
      <c r="I296" s="842"/>
      <c r="J296" s="842"/>
      <c r="K296" s="842"/>
      <c r="L296" s="842"/>
      <c r="M296" s="842"/>
      <c r="N296" s="842"/>
      <c r="O296" s="842"/>
      <c r="P296" s="842"/>
      <c r="Q296" s="842"/>
      <c r="R296" s="842"/>
      <c r="S296" s="842"/>
      <c r="T296" s="842"/>
      <c r="U296" s="842"/>
      <c r="V296" s="842"/>
      <c r="W296" s="842"/>
      <c r="X296" s="842"/>
      <c r="Y296" s="842"/>
      <c r="Z296" s="842"/>
      <c r="AA296" s="2209"/>
      <c r="AB296" s="2209"/>
      <c r="AC296" s="346"/>
    </row>
    <row r="297" spans="1:29" ht="18.75" customHeight="1" x14ac:dyDescent="0.2">
      <c r="A297" s="341"/>
      <c r="B297" s="345"/>
      <c r="C297" s="442" t="s">
        <v>621</v>
      </c>
      <c r="D297" s="842" t="s">
        <v>579</v>
      </c>
      <c r="E297" s="842">
        <f ca="1">HydroRefineryCalcs!G254</f>
        <v>12.999999999999</v>
      </c>
      <c r="F297" s="861">
        <v>13.8</v>
      </c>
      <c r="G297" s="842"/>
      <c r="H297" s="842"/>
      <c r="I297" s="842"/>
      <c r="J297" s="842"/>
      <c r="K297" s="842"/>
      <c r="L297" s="842"/>
      <c r="M297" s="842"/>
      <c r="N297" s="842"/>
      <c r="O297" s="842"/>
      <c r="P297" s="842"/>
      <c r="Q297" s="842"/>
      <c r="R297" s="842"/>
      <c r="S297" s="842"/>
      <c r="T297" s="842"/>
      <c r="U297" s="842"/>
      <c r="V297" s="842"/>
      <c r="W297" s="842"/>
      <c r="X297" s="842"/>
      <c r="Y297" s="842"/>
      <c r="Z297" s="842"/>
      <c r="AA297" s="2209"/>
      <c r="AB297" s="2209"/>
      <c r="AC297" s="346"/>
    </row>
    <row r="298" spans="1:29" ht="18.75" customHeight="1" x14ac:dyDescent="0.2">
      <c r="A298" s="341"/>
      <c r="B298" s="345"/>
      <c r="C298" s="442" t="s">
        <v>544</v>
      </c>
      <c r="D298" s="842" t="s">
        <v>579</v>
      </c>
      <c r="E298" s="842" t="str">
        <f ca="1">HydroRefineryCalcs!G255</f>
        <v/>
      </c>
      <c r="F298" s="337" t="str">
        <f ca="1">HydroRefineryCalcs!G523</f>
        <v/>
      </c>
      <c r="G298" s="842"/>
      <c r="H298" s="842"/>
      <c r="I298" s="842"/>
      <c r="J298" s="842"/>
      <c r="K298" s="842"/>
      <c r="L298" s="842"/>
      <c r="M298" s="842"/>
      <c r="N298" s="842"/>
      <c r="O298" s="842"/>
      <c r="P298" s="842"/>
      <c r="Q298" s="842"/>
      <c r="R298" s="842"/>
      <c r="S298" s="842"/>
      <c r="T298" s="842"/>
      <c r="U298" s="842"/>
      <c r="V298" s="842"/>
      <c r="W298" s="842"/>
      <c r="X298" s="842"/>
      <c r="Y298" s="842"/>
      <c r="Z298" s="842"/>
      <c r="AA298" s="2209"/>
      <c r="AB298" s="2209"/>
      <c r="AC298" s="346"/>
    </row>
    <row r="299" spans="1:29" ht="18.75" customHeight="1" x14ac:dyDescent="0.2">
      <c r="A299" s="341"/>
      <c r="B299" s="345"/>
      <c r="C299" s="452" t="s">
        <v>621</v>
      </c>
      <c r="D299" s="334" t="s">
        <v>622</v>
      </c>
      <c r="E299" s="334">
        <f ca="1">E293*E297/100</f>
        <v>469659.87955631927</v>
      </c>
      <c r="F299" s="338">
        <f ca="1">F293*F297/100</f>
        <v>498562.02599059267</v>
      </c>
      <c r="G299" s="842"/>
      <c r="H299" s="842"/>
      <c r="I299" s="842"/>
      <c r="J299" s="842"/>
      <c r="K299" s="842"/>
      <c r="L299" s="842"/>
      <c r="M299" s="842"/>
      <c r="N299" s="842"/>
      <c r="O299" s="842"/>
      <c r="P299" s="842"/>
      <c r="Q299" s="842"/>
      <c r="R299" s="842"/>
      <c r="S299" s="842"/>
      <c r="T299" s="842"/>
      <c r="U299" s="842"/>
      <c r="V299" s="842"/>
      <c r="W299" s="842"/>
      <c r="X299" s="842"/>
      <c r="Y299" s="842"/>
      <c r="Z299" s="842"/>
      <c r="AA299" s="2209"/>
      <c r="AB299" s="2209"/>
      <c r="AC299" s="346"/>
    </row>
    <row r="300" spans="1:29" ht="18.75" customHeight="1" x14ac:dyDescent="0.2">
      <c r="A300" s="341"/>
      <c r="B300" s="345"/>
      <c r="C300" s="437"/>
      <c r="D300" s="842"/>
      <c r="E300" s="842"/>
      <c r="F300" s="842"/>
      <c r="G300" s="842"/>
      <c r="H300" s="842"/>
      <c r="I300" s="842"/>
      <c r="J300" s="842"/>
      <c r="K300" s="842"/>
      <c r="L300" s="842"/>
      <c r="M300" s="842"/>
      <c r="N300" s="842"/>
      <c r="O300" s="842"/>
      <c r="P300" s="842"/>
      <c r="Q300" s="842"/>
      <c r="R300" s="842"/>
      <c r="S300" s="842"/>
      <c r="T300" s="842"/>
      <c r="U300" s="842"/>
      <c r="V300" s="842"/>
      <c r="W300" s="842"/>
      <c r="X300" s="842"/>
      <c r="Y300" s="842"/>
      <c r="Z300" s="842"/>
      <c r="AA300" s="2209"/>
      <c r="AB300" s="2209"/>
      <c r="AC300" s="346"/>
    </row>
    <row r="301" spans="1:29" ht="18.75" customHeight="1" x14ac:dyDescent="0.2">
      <c r="A301" s="341"/>
      <c r="B301" s="345"/>
      <c r="C301" s="843" t="s">
        <v>308</v>
      </c>
      <c r="D301" s="842"/>
      <c r="E301" s="842"/>
      <c r="F301" s="842"/>
      <c r="G301" s="842"/>
      <c r="H301" s="842"/>
      <c r="I301" s="842"/>
      <c r="J301" s="842"/>
      <c r="K301" s="842"/>
      <c r="L301" s="842"/>
      <c r="M301" s="842"/>
      <c r="N301" s="842"/>
      <c r="O301" s="842"/>
      <c r="P301" s="842"/>
      <c r="Q301" s="842"/>
      <c r="R301" s="842"/>
      <c r="S301" s="842"/>
      <c r="T301" s="842"/>
      <c r="U301" s="842"/>
      <c r="V301" s="842"/>
      <c r="W301" s="842"/>
      <c r="X301" s="842"/>
      <c r="Y301" s="842"/>
      <c r="Z301" s="842"/>
      <c r="AA301" s="2209"/>
      <c r="AB301" s="2209"/>
      <c r="AC301" s="346"/>
    </row>
    <row r="302" spans="1:29" ht="18.75" customHeight="1" x14ac:dyDescent="0.2">
      <c r="A302" s="341"/>
      <c r="B302" s="345"/>
      <c r="C302" s="855"/>
      <c r="D302" s="351" t="s">
        <v>624</v>
      </c>
      <c r="E302" s="352" t="s">
        <v>623</v>
      </c>
      <c r="F302" s="842"/>
      <c r="G302" s="842"/>
      <c r="H302" s="842"/>
      <c r="I302" s="842"/>
      <c r="J302" s="842"/>
      <c r="K302" s="842"/>
      <c r="L302" s="842"/>
      <c r="M302" s="842"/>
      <c r="N302" s="842"/>
      <c r="O302" s="842"/>
      <c r="P302" s="842"/>
      <c r="Q302" s="842"/>
      <c r="R302" s="842"/>
      <c r="S302" s="842"/>
      <c r="T302" s="842"/>
      <c r="U302" s="842"/>
      <c r="V302" s="842"/>
      <c r="W302" s="842"/>
      <c r="X302" s="842"/>
      <c r="Y302" s="842"/>
      <c r="Z302" s="842"/>
      <c r="AA302" s="2209"/>
      <c r="AB302" s="2209"/>
      <c r="AC302" s="346"/>
    </row>
    <row r="303" spans="1:29" ht="18.75" customHeight="1" x14ac:dyDescent="0.2">
      <c r="A303" s="341"/>
      <c r="B303" s="345"/>
      <c r="C303" s="454" t="s">
        <v>451</v>
      </c>
      <c r="D303" s="854">
        <f>Constants!H182</f>
        <v>0.1</v>
      </c>
      <c r="E303" s="369" t="s">
        <v>665</v>
      </c>
      <c r="F303" s="842"/>
      <c r="G303" s="842"/>
      <c r="H303" s="842"/>
      <c r="I303" s="842"/>
      <c r="J303" s="842"/>
      <c r="K303" s="842"/>
      <c r="L303" s="842"/>
      <c r="M303" s="842"/>
      <c r="N303" s="842"/>
      <c r="O303" s="842"/>
      <c r="P303" s="842"/>
      <c r="Q303" s="842"/>
      <c r="R303" s="842"/>
      <c r="S303" s="842"/>
      <c r="T303" s="842"/>
      <c r="U303" s="842"/>
      <c r="V303" s="842"/>
      <c r="W303" s="842"/>
      <c r="X303" s="842"/>
      <c r="Y303" s="842"/>
      <c r="Z303" s="842"/>
      <c r="AA303" s="2209"/>
      <c r="AB303" s="2209"/>
      <c r="AC303" s="346"/>
    </row>
    <row r="304" spans="1:29" ht="18.75" customHeight="1" x14ac:dyDescent="0.2">
      <c r="A304" s="341"/>
      <c r="B304" s="345"/>
      <c r="C304" s="453" t="s">
        <v>451</v>
      </c>
      <c r="D304" s="973">
        <f>D303/'Energy &amp; Unit Conversions'!G80</f>
        <v>0.62898105697750706</v>
      </c>
      <c r="E304" s="337" t="s">
        <v>629</v>
      </c>
      <c r="F304" s="842"/>
      <c r="G304" s="842"/>
      <c r="H304" s="842"/>
      <c r="I304" s="842"/>
      <c r="J304" s="842"/>
      <c r="K304" s="842"/>
      <c r="L304" s="842"/>
      <c r="M304" s="842"/>
      <c r="N304" s="842"/>
      <c r="O304" s="842"/>
      <c r="P304" s="842"/>
      <c r="Q304" s="842"/>
      <c r="R304" s="842"/>
      <c r="S304" s="842"/>
      <c r="T304" s="842"/>
      <c r="U304" s="842"/>
      <c r="V304" s="842"/>
      <c r="W304" s="842"/>
      <c r="X304" s="842"/>
      <c r="Y304" s="842"/>
      <c r="Z304" s="842"/>
      <c r="AA304" s="2209"/>
      <c r="AB304" s="2209"/>
      <c r="AC304" s="346"/>
    </row>
    <row r="305" spans="1:29" ht="18.75" customHeight="1" x14ac:dyDescent="0.2">
      <c r="A305" s="341"/>
      <c r="B305" s="345"/>
      <c r="C305" s="452" t="s">
        <v>452</v>
      </c>
      <c r="D305" s="334">
        <f ca="1">D304*E292</f>
        <v>2771.1741788300665</v>
      </c>
      <c r="E305" s="338" t="s">
        <v>627</v>
      </c>
      <c r="F305" s="842"/>
      <c r="G305" s="842"/>
      <c r="H305" s="842"/>
      <c r="I305" s="842"/>
      <c r="J305" s="842"/>
      <c r="K305" s="842"/>
      <c r="L305" s="842"/>
      <c r="M305" s="842"/>
      <c r="N305" s="842"/>
      <c r="O305" s="842"/>
      <c r="P305" s="842"/>
      <c r="Q305" s="842"/>
      <c r="R305" s="842"/>
      <c r="S305" s="842"/>
      <c r="T305" s="842"/>
      <c r="U305" s="842"/>
      <c r="V305" s="842"/>
      <c r="W305" s="842"/>
      <c r="X305" s="842"/>
      <c r="Y305" s="842"/>
      <c r="Z305" s="842"/>
      <c r="AA305" s="2209"/>
      <c r="AB305" s="2209"/>
      <c r="AC305" s="346"/>
    </row>
    <row r="306" spans="1:29" ht="18.75" customHeight="1" x14ac:dyDescent="0.2">
      <c r="A306" s="341"/>
      <c r="B306" s="345"/>
      <c r="C306" s="437"/>
      <c r="D306" s="842"/>
      <c r="E306" s="842"/>
      <c r="F306" s="842"/>
      <c r="G306" s="842"/>
      <c r="H306" s="842"/>
      <c r="I306" s="842"/>
      <c r="J306" s="842"/>
      <c r="K306" s="842"/>
      <c r="L306" s="842"/>
      <c r="M306" s="842"/>
      <c r="N306" s="842"/>
      <c r="O306" s="842"/>
      <c r="P306" s="842"/>
      <c r="Q306" s="842"/>
      <c r="R306" s="842"/>
      <c r="S306" s="842"/>
      <c r="T306" s="842"/>
      <c r="U306" s="842"/>
      <c r="V306" s="842"/>
      <c r="W306" s="842"/>
      <c r="X306" s="842"/>
      <c r="Y306" s="842"/>
      <c r="Z306" s="842"/>
      <c r="AA306" s="2209"/>
      <c r="AB306" s="2209"/>
      <c r="AC306" s="346"/>
    </row>
    <row r="307" spans="1:29" ht="26.25" x14ac:dyDescent="0.2">
      <c r="A307" s="341"/>
      <c r="B307" s="699"/>
      <c r="C307" s="603" t="s">
        <v>946</v>
      </c>
      <c r="D307" s="603"/>
      <c r="E307" s="842"/>
      <c r="F307" s="842"/>
      <c r="G307" s="842"/>
      <c r="H307" s="842"/>
      <c r="I307" s="842"/>
      <c r="J307" s="842"/>
      <c r="K307" s="842"/>
      <c r="L307" s="842"/>
      <c r="M307" s="842"/>
      <c r="N307" s="842"/>
      <c r="O307" s="842"/>
      <c r="P307" s="842"/>
      <c r="Q307" s="842"/>
      <c r="R307" s="842"/>
      <c r="S307" s="842"/>
      <c r="T307" s="842"/>
      <c r="U307" s="842"/>
      <c r="V307" s="842"/>
      <c r="W307" s="842"/>
      <c r="X307" s="842"/>
      <c r="Y307" s="842"/>
      <c r="Z307" s="842"/>
      <c r="AA307" s="2209"/>
      <c r="AB307" s="2209"/>
      <c r="AC307" s="346"/>
    </row>
    <row r="308" spans="1:29" ht="18.75" customHeight="1" x14ac:dyDescent="0.2">
      <c r="A308" s="341"/>
      <c r="B308" s="345"/>
      <c r="C308" s="437"/>
      <c r="D308" s="842"/>
      <c r="E308" s="842"/>
      <c r="F308" s="842"/>
      <c r="G308" s="842"/>
      <c r="H308" s="842"/>
      <c r="I308" s="842"/>
      <c r="J308" s="842"/>
      <c r="K308" s="842"/>
      <c r="L308" s="842"/>
      <c r="M308" s="842"/>
      <c r="N308" s="842"/>
      <c r="O308" s="842"/>
      <c r="P308" s="842"/>
      <c r="Q308" s="842"/>
      <c r="R308" s="842"/>
      <c r="S308" s="842"/>
      <c r="T308" s="842"/>
      <c r="U308" s="842"/>
      <c r="V308" s="842"/>
      <c r="W308" s="842"/>
      <c r="X308" s="842"/>
      <c r="Y308" s="842"/>
      <c r="Z308" s="842"/>
      <c r="AA308" s="2209"/>
      <c r="AB308" s="2209"/>
      <c r="AC308" s="346"/>
    </row>
    <row r="309" spans="1:29" ht="18.75" customHeight="1" x14ac:dyDescent="0.2">
      <c r="A309" s="341"/>
      <c r="B309" s="345"/>
      <c r="C309" s="843" t="s">
        <v>569</v>
      </c>
      <c r="D309" s="842"/>
      <c r="E309" s="426"/>
      <c r="F309" s="842"/>
      <c r="G309" s="842"/>
      <c r="H309" s="842"/>
      <c r="I309" s="2471" t="s">
        <v>939</v>
      </c>
      <c r="J309" s="2471"/>
      <c r="K309" s="2471"/>
      <c r="L309" s="842"/>
      <c r="M309" s="842"/>
      <c r="N309" s="842"/>
      <c r="O309" s="842"/>
      <c r="P309" s="842"/>
      <c r="Q309" s="842"/>
      <c r="R309" s="842"/>
      <c r="S309" s="842"/>
      <c r="T309" s="842"/>
      <c r="U309" s="842"/>
      <c r="V309" s="842"/>
      <c r="W309" s="842"/>
      <c r="X309" s="842"/>
      <c r="Y309" s="842"/>
      <c r="Z309" s="842"/>
      <c r="AA309" s="2209"/>
      <c r="AB309" s="2209"/>
      <c r="AC309" s="346"/>
    </row>
    <row r="310" spans="1:29" ht="18.75" customHeight="1" x14ac:dyDescent="0.2">
      <c r="A310" s="341"/>
      <c r="B310" s="345"/>
      <c r="C310" s="441" t="s">
        <v>568</v>
      </c>
      <c r="D310" s="351" t="s">
        <v>623</v>
      </c>
      <c r="E310" s="351" t="str">
        <f>HydroRefineryCalcs!I46</f>
        <v>Straight Run  Diesel</v>
      </c>
      <c r="F310" s="351" t="str">
        <f t="shared" ref="F310:F315" si="17">G906</f>
        <v>Residue HC Diesel</v>
      </c>
      <c r="G310" s="356" t="s">
        <v>605</v>
      </c>
      <c r="H310" s="351" t="s">
        <v>475</v>
      </c>
      <c r="I310" s="351" t="s">
        <v>945</v>
      </c>
      <c r="J310" s="351" t="str">
        <f>HydroRefineryCalcs!G444</f>
        <v>HC Diesel</v>
      </c>
      <c r="K310" s="356" t="s">
        <v>489</v>
      </c>
      <c r="L310" s="352" t="s">
        <v>366</v>
      </c>
      <c r="M310" s="842"/>
      <c r="N310" s="842"/>
      <c r="O310" s="842"/>
      <c r="P310" s="842"/>
      <c r="Q310" s="842"/>
      <c r="R310" s="842"/>
      <c r="S310" s="842"/>
      <c r="T310" s="842"/>
      <c r="U310" s="842"/>
      <c r="V310" s="842"/>
      <c r="W310" s="842"/>
      <c r="X310" s="842"/>
      <c r="Y310" s="842"/>
      <c r="Z310" s="842"/>
      <c r="AA310" s="2209"/>
      <c r="AB310" s="2209"/>
      <c r="AC310" s="346"/>
    </row>
    <row r="311" spans="1:29" ht="18.75" customHeight="1" x14ac:dyDescent="0.2">
      <c r="A311" s="341"/>
      <c r="B311" s="345"/>
      <c r="C311" s="442" t="str">
        <f t="shared" ref="C311:D319" si="18">C47</f>
        <v>Vol Flow</v>
      </c>
      <c r="D311" s="842" t="str">
        <f ca="1">D47</f>
        <v>bpd</v>
      </c>
      <c r="E311" s="842">
        <f ca="1">HydroRefineryCalcs!I47</f>
        <v>12524.817625472946</v>
      </c>
      <c r="F311" s="842">
        <f ca="1">G907</f>
        <v>2.3907256979379672E-17</v>
      </c>
      <c r="G311" s="842">
        <f ca="1">I725</f>
        <v>3.7525958149627914E-17</v>
      </c>
      <c r="H311" s="842">
        <f ca="1">SUM(E311:G311)</f>
        <v>12524.817625472946</v>
      </c>
      <c r="I311" s="842">
        <f ca="1">I312/'Energy &amp; Unit Conversions'!G80</f>
        <v>13412.605933516299</v>
      </c>
      <c r="J311" s="842">
        <f ca="1">G445</f>
        <v>6.3917148298864941E-9</v>
      </c>
      <c r="K311" s="842">
        <f ca="1">I311+J311</f>
        <v>13412.605933522691</v>
      </c>
      <c r="L311" s="337"/>
      <c r="M311" s="842"/>
      <c r="N311" s="842"/>
      <c r="O311" s="842"/>
      <c r="P311" s="842"/>
      <c r="Q311" s="842"/>
      <c r="R311" s="842"/>
      <c r="S311" s="842"/>
      <c r="T311" s="842"/>
      <c r="U311" s="842"/>
      <c r="V311" s="842"/>
      <c r="W311" s="842"/>
      <c r="X311" s="842"/>
      <c r="Y311" s="842"/>
      <c r="Z311" s="842"/>
      <c r="AA311" s="2209"/>
      <c r="AB311" s="2209"/>
      <c r="AC311" s="346"/>
    </row>
    <row r="312" spans="1:29" ht="18.75" customHeight="1" x14ac:dyDescent="0.2">
      <c r="A312" s="341"/>
      <c r="B312" s="345"/>
      <c r="C312" s="442" t="str">
        <f t="shared" si="18"/>
        <v>Vol Flow</v>
      </c>
      <c r="D312" s="842" t="str">
        <f ca="1">D48</f>
        <v>m^3/d</v>
      </c>
      <c r="E312" s="842">
        <f ca="1">HydroRefineryCalcs!I48</f>
        <v>1991.2869372663549</v>
      </c>
      <c r="F312" s="842">
        <f ca="1">G908</f>
        <v>3.8009502375577299E-18</v>
      </c>
      <c r="G312" s="842">
        <f ca="1">I726</f>
        <v>5.9661507661223382E-18</v>
      </c>
      <c r="H312" s="842">
        <f ca="1">SUM(E312:G312)</f>
        <v>1991.2869372663549</v>
      </c>
      <c r="I312" s="842">
        <f ca="1">I313/I317</f>
        <v>2132.4340033337357</v>
      </c>
      <c r="J312" s="842">
        <f ca="1">G446</f>
        <v>1.0162014831736131E-9</v>
      </c>
      <c r="K312" s="842">
        <f ca="1">I312+J312</f>
        <v>2132.4340033347521</v>
      </c>
      <c r="L312" s="337"/>
      <c r="M312" s="842"/>
      <c r="N312" s="842"/>
      <c r="O312" s="842"/>
      <c r="P312" s="842"/>
      <c r="Q312" s="842"/>
      <c r="R312" s="842"/>
      <c r="S312" s="842"/>
      <c r="T312" s="842"/>
      <c r="U312" s="842"/>
      <c r="V312" s="842"/>
      <c r="W312" s="842"/>
      <c r="X312" s="842"/>
      <c r="Y312" s="842"/>
      <c r="Z312" s="842"/>
      <c r="AA312" s="2209"/>
      <c r="AB312" s="2209"/>
      <c r="AC312" s="346"/>
    </row>
    <row r="313" spans="1:29" ht="18.75" customHeight="1" x14ac:dyDescent="0.2">
      <c r="A313" s="341"/>
      <c r="B313" s="345"/>
      <c r="C313" s="442" t="str">
        <f t="shared" si="18"/>
        <v>Mass Flow</v>
      </c>
      <c r="D313" s="842" t="str">
        <f t="shared" si="18"/>
        <v>kg/d</v>
      </c>
      <c r="E313" s="842">
        <f ca="1">HydroRefineryCalcs!I49</f>
        <v>1757731.9563243806</v>
      </c>
      <c r="F313" s="842">
        <f ca="1">G909</f>
        <v>3.26881720429967E-15</v>
      </c>
      <c r="G313" s="842">
        <f ca="1">I727</f>
        <v>5.0712281512033266E-15</v>
      </c>
      <c r="H313" s="842">
        <f ca="1">SUM(E313:G313)</f>
        <v>1757731.9563243806</v>
      </c>
      <c r="I313" s="842">
        <f ca="1">D334</f>
        <v>1759258.0527503318</v>
      </c>
      <c r="J313" s="842">
        <f ca="1">G447</f>
        <v>8.4345446730125368E-7</v>
      </c>
      <c r="K313" s="842">
        <f ca="1">I313+J313</f>
        <v>1759258.0527511754</v>
      </c>
      <c r="L313" s="337">
        <f ca="1">H323</f>
        <v>6337.361175245027</v>
      </c>
      <c r="M313" s="842"/>
      <c r="N313" s="842"/>
      <c r="O313" s="842"/>
      <c r="P313" s="842"/>
      <c r="Q313" s="842"/>
      <c r="R313" s="842"/>
      <c r="S313" s="842"/>
      <c r="T313" s="842"/>
      <c r="U313" s="842"/>
      <c r="V313" s="842"/>
      <c r="W313" s="842"/>
      <c r="X313" s="842"/>
      <c r="Y313" s="842"/>
      <c r="Z313" s="842"/>
      <c r="AA313" s="2209"/>
      <c r="AB313" s="2209"/>
      <c r="AC313" s="346"/>
    </row>
    <row r="314" spans="1:29" ht="18.75" customHeight="1" x14ac:dyDescent="0.2">
      <c r="A314" s="341"/>
      <c r="B314" s="345"/>
      <c r="C314" s="442" t="str">
        <f t="shared" si="18"/>
        <v xml:space="preserve">Sulphur </v>
      </c>
      <c r="D314" s="842" t="str">
        <f t="shared" ref="D314:D319" ca="1" si="19">D50</f>
        <v>wt%</v>
      </c>
      <c r="E314" s="842">
        <f ca="1">HydroRefineryCalcs!I50</f>
        <v>0.15109831145852037</v>
      </c>
      <c r="F314" s="842">
        <f ca="1">G910</f>
        <v>0</v>
      </c>
      <c r="G314" s="842">
        <f ca="1">I728</f>
        <v>0</v>
      </c>
      <c r="H314" s="842">
        <f ca="1">(E313*E314+F313*F314+G313*G314)/H313</f>
        <v>0.15109831145852037</v>
      </c>
      <c r="I314" s="842">
        <f>D323</f>
        <v>0</v>
      </c>
      <c r="J314" s="842">
        <f ca="1">G448</f>
        <v>4.017723721006432E-6</v>
      </c>
      <c r="K314" s="842">
        <f ca="1">((I314*I313)+(J314*J313))/K313</f>
        <v>1.9262478381529332E-18</v>
      </c>
      <c r="L314" s="337">
        <f ca="1">H325</f>
        <v>41.908662494216578</v>
      </c>
      <c r="M314" s="842"/>
      <c r="N314" s="842"/>
      <c r="O314" s="842"/>
      <c r="P314" s="842"/>
      <c r="Q314" s="842"/>
      <c r="R314" s="842"/>
      <c r="S314" s="842"/>
      <c r="T314" s="842"/>
      <c r="U314" s="842"/>
      <c r="V314" s="842"/>
      <c r="W314" s="842"/>
      <c r="X314" s="842"/>
      <c r="Y314" s="842"/>
      <c r="Z314" s="842"/>
      <c r="AA314" s="2209"/>
      <c r="AB314" s="2209"/>
      <c r="AC314" s="346"/>
    </row>
    <row r="315" spans="1:29" ht="18.75" customHeight="1" x14ac:dyDescent="0.2">
      <c r="A315" s="341"/>
      <c r="B315" s="345"/>
      <c r="C315" s="442" t="str">
        <f t="shared" si="18"/>
        <v xml:space="preserve">Nitrogen </v>
      </c>
      <c r="D315" s="842" t="str">
        <f t="shared" ca="1" si="19"/>
        <v>mass ppm</v>
      </c>
      <c r="E315" s="842">
        <f ca="1">HydroRefineryCalcs!I51</f>
        <v>147.76502983481029</v>
      </c>
      <c r="F315" s="842">
        <f t="shared" si="17"/>
        <v>0</v>
      </c>
      <c r="G315" s="842">
        <f t="shared" ref="G315" si="20">I729</f>
        <v>0</v>
      </c>
      <c r="H315" s="842">
        <f ca="1">(E313*E315+F313*F315+G313*G315)/H313</f>
        <v>147.76502983481029</v>
      </c>
      <c r="I315" s="842">
        <f>D325</f>
        <v>0</v>
      </c>
      <c r="J315" s="842">
        <f>G449</f>
        <v>0</v>
      </c>
      <c r="K315" s="842">
        <f ca="1">((J313*J315)+(J314*J313))/K313</f>
        <v>1.9262478381529332E-18</v>
      </c>
      <c r="L315" s="337"/>
      <c r="M315" s="842"/>
      <c r="N315" s="842"/>
      <c r="O315" s="842"/>
      <c r="P315" s="842"/>
      <c r="Q315" s="842"/>
      <c r="R315" s="842"/>
      <c r="S315" s="842"/>
      <c r="T315" s="842"/>
      <c r="U315" s="842"/>
      <c r="V315" s="842"/>
      <c r="W315" s="842"/>
      <c r="X315" s="842"/>
      <c r="Y315" s="842"/>
      <c r="Z315" s="842"/>
      <c r="AA315" s="2209"/>
      <c r="AB315" s="2209"/>
      <c r="AC315" s="346"/>
    </row>
    <row r="316" spans="1:29" ht="18.75" customHeight="1" x14ac:dyDescent="0.2">
      <c r="A316" s="341"/>
      <c r="B316" s="345"/>
      <c r="C316" s="442" t="str">
        <f t="shared" si="18"/>
        <v xml:space="preserve">API gravity </v>
      </c>
      <c r="D316" s="842" t="str">
        <f t="shared" ca="1" si="19"/>
        <v>oAPI</v>
      </c>
      <c r="E316" s="842">
        <f ca="1">HydroRefineryCalcs!I52</f>
        <v>28.801518447896115</v>
      </c>
      <c r="F316" s="842">
        <f ca="1">G912</f>
        <v>33.034883720929088</v>
      </c>
      <c r="G316" s="842">
        <f ca="1">I730</f>
        <v>34.97058823531583</v>
      </c>
      <c r="H316" s="842">
        <f ca="1">141.5/(H317/1000)-131.5</f>
        <v>28.801518447896115</v>
      </c>
      <c r="I316" s="842">
        <f>141.5/(I317/1000)-131.5</f>
        <v>40.01515151515153</v>
      </c>
      <c r="J316" s="842">
        <f ca="1">141.5/(J317/1000)-131.5</f>
        <v>38.980465091553498</v>
      </c>
      <c r="K316" s="842">
        <f ca="1">141.5/(K317/1000)-131.5</f>
        <v>40.015151515151047</v>
      </c>
      <c r="L316" s="337"/>
      <c r="M316" s="842"/>
      <c r="N316" s="842"/>
      <c r="O316" s="842"/>
      <c r="P316" s="842"/>
      <c r="Q316" s="842"/>
      <c r="R316" s="842"/>
      <c r="S316" s="842"/>
      <c r="T316" s="842"/>
      <c r="U316" s="842"/>
      <c r="V316" s="842"/>
      <c r="W316" s="842"/>
      <c r="X316" s="842"/>
      <c r="Y316" s="842"/>
      <c r="Z316" s="842"/>
      <c r="AA316" s="2209"/>
      <c r="AB316" s="2209"/>
      <c r="AC316" s="346"/>
    </row>
    <row r="317" spans="1:29" ht="18.75" customHeight="1" x14ac:dyDescent="0.2">
      <c r="A317" s="341"/>
      <c r="B317" s="345"/>
      <c r="C317" s="442" t="str">
        <f t="shared" si="18"/>
        <v>Density</v>
      </c>
      <c r="D317" s="842" t="str">
        <f t="shared" ca="1" si="19"/>
        <v>kg/m^3</v>
      </c>
      <c r="E317" s="842">
        <f ca="1">HydroRefineryCalcs!I53</f>
        <v>882.71153866825466</v>
      </c>
      <c r="F317" s="842">
        <f ca="1">G913</f>
        <v>860.00000000000603</v>
      </c>
      <c r="G317" s="842">
        <f ca="1">I731</f>
        <v>849.99999999988916</v>
      </c>
      <c r="H317" s="842">
        <f ca="1">H313/H312</f>
        <v>882.71153866825478</v>
      </c>
      <c r="I317" s="842">
        <f>D326</f>
        <v>825</v>
      </c>
      <c r="J317" s="842">
        <f ca="1">G451</f>
        <v>830.00712089804506</v>
      </c>
      <c r="K317" s="842">
        <f ca="1">K313/K312</f>
        <v>825.00000000000227</v>
      </c>
      <c r="L317" s="337"/>
      <c r="M317" s="842"/>
      <c r="N317" s="842"/>
      <c r="O317" s="842"/>
      <c r="P317" s="842"/>
      <c r="Q317" s="842"/>
      <c r="R317" s="842"/>
      <c r="S317" s="842"/>
      <c r="T317" s="842"/>
      <c r="U317" s="842"/>
      <c r="V317" s="842"/>
      <c r="W317" s="842"/>
      <c r="X317" s="842"/>
      <c r="Y317" s="842"/>
      <c r="Z317" s="842"/>
      <c r="AA317" s="2209"/>
      <c r="AB317" s="2209"/>
      <c r="AC317" s="346"/>
    </row>
    <row r="318" spans="1:29" ht="18.75" customHeight="1" x14ac:dyDescent="0.2">
      <c r="A318" s="341"/>
      <c r="B318" s="345"/>
      <c r="C318" s="442" t="str">
        <f t="shared" si="18"/>
        <v>Hydrogen</v>
      </c>
      <c r="D318" s="842" t="str">
        <f t="shared" ca="1" si="19"/>
        <v>wt%</v>
      </c>
      <c r="E318" s="842">
        <f ca="1">HydroRefineryCalcs!I54</f>
        <v>12.394831175477645</v>
      </c>
      <c r="F318" s="842">
        <f ca="1">G914</f>
        <v>12.609999999999648</v>
      </c>
      <c r="G318" s="842">
        <f ca="1">I732</f>
        <v>9.8000000000053582</v>
      </c>
      <c r="H318" s="842">
        <f ca="1">(E318*E313+F318*F313+G318*G313)/H313</f>
        <v>12.394831175477645</v>
      </c>
      <c r="I318" s="842">
        <f ca="1">D324</f>
        <v>12.8</v>
      </c>
      <c r="J318" s="842">
        <f ca="1">G452</f>
        <v>13.386945726864488</v>
      </c>
      <c r="K318" s="842">
        <f ca="1">((I318*I313)+(J318*J313))/K313</f>
        <v>12.800000000000281</v>
      </c>
      <c r="L318" s="337">
        <f ca="1">H324</f>
        <v>12.71927929715414</v>
      </c>
      <c r="M318" s="842"/>
      <c r="N318" s="842"/>
      <c r="O318" s="842"/>
      <c r="P318" s="842"/>
      <c r="Q318" s="842"/>
      <c r="R318" s="842"/>
      <c r="S318" s="842"/>
      <c r="T318" s="842"/>
      <c r="U318" s="842"/>
      <c r="V318" s="842"/>
      <c r="W318" s="842"/>
      <c r="X318" s="842"/>
      <c r="Y318" s="842"/>
      <c r="Z318" s="842"/>
      <c r="AA318" s="2209"/>
      <c r="AB318" s="2209"/>
      <c r="AC318" s="346"/>
    </row>
    <row r="319" spans="1:29" ht="18.75" customHeight="1" x14ac:dyDescent="0.2">
      <c r="A319" s="341"/>
      <c r="B319" s="345"/>
      <c r="C319" s="443" t="str">
        <f t="shared" si="18"/>
        <v>MCR</v>
      </c>
      <c r="D319" s="334" t="str">
        <f t="shared" ca="1" si="19"/>
        <v>wt%</v>
      </c>
      <c r="E319" s="334">
        <f>HydroRefineryCalcs!I55</f>
        <v>0</v>
      </c>
      <c r="F319" s="334"/>
      <c r="G319" s="334">
        <f ca="1">I733</f>
        <v>5.8999999999999995</v>
      </c>
      <c r="H319" s="334"/>
      <c r="I319" s="334"/>
      <c r="J319" s="334" t="str">
        <f ca="1">'Assay Inventory'!L20</f>
        <v/>
      </c>
      <c r="K319" s="334"/>
      <c r="L319" s="338"/>
      <c r="M319" s="842"/>
      <c r="N319" s="842"/>
      <c r="O319" s="842"/>
      <c r="P319" s="842"/>
      <c r="Q319" s="842"/>
      <c r="R319" s="842"/>
      <c r="S319" s="842"/>
      <c r="T319" s="842"/>
      <c r="U319" s="842"/>
      <c r="V319" s="842"/>
      <c r="W319" s="842"/>
      <c r="X319" s="842"/>
      <c r="Y319" s="842"/>
      <c r="Z319" s="842"/>
      <c r="AA319" s="2209"/>
      <c r="AB319" s="2209"/>
      <c r="AC319" s="346"/>
    </row>
    <row r="320" spans="1:29" ht="18.75" customHeight="1" x14ac:dyDescent="0.2">
      <c r="A320" s="341"/>
      <c r="B320" s="345"/>
      <c r="C320" s="437"/>
      <c r="D320" s="842"/>
      <c r="E320" s="842"/>
      <c r="F320" s="842"/>
      <c r="G320" s="842"/>
      <c r="H320" s="842">
        <f ca="1">H313+D342-I313</f>
        <v>6597.092490212759</v>
      </c>
      <c r="I320" s="842"/>
      <c r="J320" s="842"/>
      <c r="K320" s="842"/>
      <c r="L320" s="842"/>
      <c r="M320" s="842"/>
      <c r="N320" s="842"/>
      <c r="O320" s="842"/>
      <c r="P320" s="842"/>
      <c r="Q320" s="842"/>
      <c r="R320" s="842"/>
      <c r="S320" s="842"/>
      <c r="T320" s="842"/>
      <c r="U320" s="842"/>
      <c r="V320" s="842"/>
      <c r="W320" s="842"/>
      <c r="X320" s="842"/>
      <c r="Y320" s="842"/>
      <c r="Z320" s="842"/>
      <c r="AA320" s="2209"/>
      <c r="AB320" s="2209"/>
      <c r="AC320" s="346"/>
    </row>
    <row r="321" spans="1:29" ht="18.75" customHeight="1" x14ac:dyDescent="0.2">
      <c r="A321" s="341"/>
      <c r="B321" s="345"/>
      <c r="C321" s="843" t="s">
        <v>308</v>
      </c>
      <c r="D321" s="842"/>
      <c r="E321" s="842"/>
      <c r="F321" s="842"/>
      <c r="G321" s="843" t="s">
        <v>241</v>
      </c>
      <c r="H321" s="842"/>
      <c r="I321" s="842"/>
      <c r="J321" s="842"/>
      <c r="K321" s="842"/>
      <c r="L321" s="842"/>
      <c r="M321" s="842"/>
      <c r="N321" s="842"/>
      <c r="O321" s="842"/>
      <c r="P321" s="842"/>
      <c r="Q321" s="842"/>
      <c r="R321" s="842"/>
      <c r="S321" s="842"/>
      <c r="T321" s="842"/>
      <c r="U321" s="842"/>
      <c r="V321" s="842"/>
      <c r="W321" s="842"/>
      <c r="X321" s="842"/>
      <c r="Y321" s="842"/>
      <c r="Z321" s="842"/>
      <c r="AA321" s="2209"/>
      <c r="AB321" s="2209"/>
      <c r="AC321" s="346"/>
    </row>
    <row r="322" spans="1:29" ht="18.75" customHeight="1" x14ac:dyDescent="0.2">
      <c r="A322" s="341"/>
      <c r="B322" s="345"/>
      <c r="C322" s="855"/>
      <c r="D322" s="351" t="s">
        <v>624</v>
      </c>
      <c r="E322" s="352" t="s">
        <v>623</v>
      </c>
      <c r="F322" s="842"/>
      <c r="G322" s="855"/>
      <c r="H322" s="351" t="s">
        <v>624</v>
      </c>
      <c r="I322" s="352" t="s">
        <v>623</v>
      </c>
      <c r="J322" s="842"/>
      <c r="K322" s="842"/>
      <c r="L322" s="842"/>
      <c r="M322" s="842"/>
      <c r="N322" s="842"/>
      <c r="O322" s="842"/>
      <c r="P322" s="842"/>
      <c r="Q322" s="842"/>
      <c r="R322" s="842"/>
      <c r="S322" s="842"/>
      <c r="T322" s="842"/>
      <c r="U322" s="842"/>
      <c r="V322" s="842"/>
      <c r="W322" s="842"/>
      <c r="X322" s="842"/>
      <c r="Y322" s="842"/>
      <c r="Z322" s="842"/>
      <c r="AA322" s="2209"/>
      <c r="AB322" s="2209"/>
      <c r="AC322" s="346"/>
    </row>
    <row r="323" spans="1:29" ht="18.75" customHeight="1" x14ac:dyDescent="0.2">
      <c r="A323" s="341"/>
      <c r="B323" s="345"/>
      <c r="C323" s="453" t="s">
        <v>935</v>
      </c>
      <c r="D323" s="410">
        <v>0</v>
      </c>
      <c r="E323" s="337" t="s">
        <v>579</v>
      </c>
      <c r="F323" s="842"/>
      <c r="G323" s="856" t="s">
        <v>363</v>
      </c>
      <c r="H323" s="842">
        <f ca="1">D340+D341</f>
        <v>6337.361175245027</v>
      </c>
      <c r="I323" s="337" t="s">
        <v>622</v>
      </c>
      <c r="J323" s="842"/>
      <c r="K323" s="842"/>
      <c r="L323" s="842"/>
      <c r="M323" s="842"/>
      <c r="N323" s="842"/>
      <c r="O323" s="842"/>
      <c r="P323" s="842"/>
      <c r="Q323" s="842"/>
      <c r="R323" s="842"/>
      <c r="S323" s="842"/>
      <c r="T323" s="842"/>
      <c r="U323" s="842"/>
      <c r="V323" s="842"/>
      <c r="W323" s="842"/>
      <c r="X323" s="842"/>
      <c r="Y323" s="842"/>
      <c r="Z323" s="842"/>
      <c r="AA323" s="2209"/>
      <c r="AB323" s="2209"/>
      <c r="AC323" s="346"/>
    </row>
    <row r="324" spans="1:29" ht="18.75" customHeight="1" x14ac:dyDescent="0.2">
      <c r="A324" s="341"/>
      <c r="B324" s="345"/>
      <c r="C324" s="453" t="s">
        <v>936</v>
      </c>
      <c r="D324" s="882">
        <f ca="1">IF(H318&lt;12.8,12.8,(H313*H318/100+D329+D328+D331+D338-H323*H324/100)/(H313+D328+D329+D331+D338-H313*(H315-I315)/1000000-H323)*100)</f>
        <v>12.8</v>
      </c>
      <c r="E324" s="337" t="s">
        <v>579</v>
      </c>
      <c r="F324" s="842"/>
      <c r="G324" s="856" t="s">
        <v>377</v>
      </c>
      <c r="H324" s="842">
        <f ca="1">(D339/100*D340+2/34*D341)/H323*100</f>
        <v>12.71927929715414</v>
      </c>
      <c r="I324" s="337" t="s">
        <v>579</v>
      </c>
      <c r="J324" s="842"/>
      <c r="K324" s="842"/>
      <c r="L324" s="842"/>
      <c r="M324" s="842"/>
      <c r="N324" s="842"/>
      <c r="O324" s="842"/>
      <c r="P324" s="842"/>
      <c r="Q324" s="842"/>
      <c r="R324" s="842"/>
      <c r="S324" s="842"/>
      <c r="T324" s="842"/>
      <c r="U324" s="842"/>
      <c r="V324" s="842"/>
      <c r="W324" s="842"/>
      <c r="X324" s="842"/>
      <c r="Y324" s="842"/>
      <c r="Z324" s="842"/>
      <c r="AA324" s="2209"/>
      <c r="AB324" s="2209"/>
      <c r="AC324" s="346"/>
    </row>
    <row r="325" spans="1:29" ht="18.75" customHeight="1" x14ac:dyDescent="0.2">
      <c r="A325" s="341"/>
      <c r="B325" s="345"/>
      <c r="C325" s="453" t="s">
        <v>938</v>
      </c>
      <c r="D325" s="882">
        <v>0</v>
      </c>
      <c r="E325" s="337" t="s">
        <v>579</v>
      </c>
      <c r="F325" s="842"/>
      <c r="G325" s="856" t="s">
        <v>378</v>
      </c>
      <c r="H325" s="842">
        <f ca="1">32/34*D341/H323*100</f>
        <v>41.908662494216578</v>
      </c>
      <c r="I325" s="337" t="s">
        <v>579</v>
      </c>
      <c r="J325" s="842"/>
      <c r="K325" s="842"/>
      <c r="L325" s="842"/>
      <c r="M325" s="842"/>
      <c r="N325" s="842"/>
      <c r="O325" s="842"/>
      <c r="P325" s="842"/>
      <c r="Q325" s="842"/>
      <c r="R325" s="842"/>
      <c r="S325" s="842"/>
      <c r="T325" s="842"/>
      <c r="U325" s="842"/>
      <c r="V325" s="842"/>
      <c r="W325" s="842"/>
      <c r="X325" s="842"/>
      <c r="Y325" s="842"/>
      <c r="Z325" s="842"/>
      <c r="AA325" s="2209"/>
      <c r="AB325" s="2209"/>
      <c r="AC325" s="346"/>
    </row>
    <row r="326" spans="1:29" ht="18.75" customHeight="1" x14ac:dyDescent="0.2">
      <c r="A326" s="341"/>
      <c r="B326" s="345"/>
      <c r="C326" s="453" t="s">
        <v>937</v>
      </c>
      <c r="D326" s="882">
        <v>825</v>
      </c>
      <c r="E326" s="337" t="s">
        <v>579</v>
      </c>
      <c r="F326" s="842"/>
      <c r="G326" s="857" t="s">
        <v>379</v>
      </c>
      <c r="H326" s="334">
        <f ca="1">H323/(H313+D342)*100</f>
        <v>0.35888341081237174</v>
      </c>
      <c r="I326" s="338" t="s">
        <v>579</v>
      </c>
      <c r="J326" s="842"/>
      <c r="K326" s="842"/>
      <c r="L326" s="842"/>
      <c r="M326" s="842"/>
      <c r="N326" s="842"/>
      <c r="O326" s="842"/>
      <c r="P326" s="842"/>
      <c r="Q326" s="842"/>
      <c r="R326" s="842"/>
      <c r="S326" s="842"/>
      <c r="T326" s="842"/>
      <c r="U326" s="842"/>
      <c r="V326" s="842"/>
      <c r="W326" s="842"/>
      <c r="X326" s="842"/>
      <c r="Y326" s="842"/>
      <c r="Z326" s="842"/>
      <c r="AA326" s="2209"/>
      <c r="AB326" s="2209"/>
      <c r="AC326" s="346"/>
    </row>
    <row r="327" spans="1:29" ht="18.75" customHeight="1" x14ac:dyDescent="0.2">
      <c r="A327" s="341"/>
      <c r="B327" s="345"/>
      <c r="C327" s="453" t="s">
        <v>376</v>
      </c>
      <c r="D327" s="842">
        <f ca="1">H313*(H314-D323)/100</f>
        <v>2655.9033059729559</v>
      </c>
      <c r="E327" s="337" t="s">
        <v>622</v>
      </c>
      <c r="F327" s="842"/>
      <c r="G327" s="857" t="s">
        <v>1092</v>
      </c>
      <c r="H327" s="977">
        <v>2E-3</v>
      </c>
      <c r="I327" s="338" t="s">
        <v>1091</v>
      </c>
      <c r="J327" s="842"/>
      <c r="K327" s="842"/>
      <c r="L327" s="842"/>
      <c r="M327" s="842"/>
      <c r="N327" s="842"/>
      <c r="O327" s="842"/>
      <c r="P327" s="842"/>
      <c r="Q327" s="842"/>
      <c r="R327" s="842"/>
      <c r="S327" s="842"/>
      <c r="T327" s="842"/>
      <c r="U327" s="842"/>
      <c r="V327" s="842"/>
      <c r="W327" s="842"/>
      <c r="X327" s="842"/>
      <c r="Y327" s="842"/>
      <c r="Z327" s="842"/>
      <c r="AA327" s="2209"/>
      <c r="AB327" s="2209"/>
      <c r="AC327" s="346"/>
    </row>
    <row r="328" spans="1:29" ht="18.75" customHeight="1" x14ac:dyDescent="0.2">
      <c r="A328" s="341"/>
      <c r="B328" s="345"/>
      <c r="C328" s="453" t="s">
        <v>380</v>
      </c>
      <c r="D328" s="842">
        <f ca="1">2/32*D327</f>
        <v>165.99395662330974</v>
      </c>
      <c r="E328" s="337" t="s">
        <v>622</v>
      </c>
      <c r="F328" s="842"/>
      <c r="G328" s="842"/>
      <c r="H328" s="842"/>
      <c r="I328" s="842"/>
      <c r="J328" s="842"/>
      <c r="K328" s="842"/>
      <c r="L328" s="842"/>
      <c r="M328" s="842"/>
      <c r="N328" s="842"/>
      <c r="O328" s="842"/>
      <c r="P328" s="842"/>
      <c r="Q328" s="842"/>
      <c r="R328" s="842"/>
      <c r="S328" s="842"/>
      <c r="T328" s="842"/>
      <c r="U328" s="842"/>
      <c r="V328" s="842"/>
      <c r="W328" s="842"/>
      <c r="X328" s="842"/>
      <c r="Y328" s="842"/>
      <c r="Z328" s="842"/>
      <c r="AA328" s="2209"/>
      <c r="AB328" s="2209"/>
      <c r="AC328" s="346"/>
    </row>
    <row r="329" spans="1:29" ht="18.75" customHeight="1" x14ac:dyDescent="0.2">
      <c r="A329" s="341"/>
      <c r="B329" s="345"/>
      <c r="C329" s="453" t="s">
        <v>381</v>
      </c>
      <c r="D329" s="842">
        <f ca="1">D328</f>
        <v>165.99395662330974</v>
      </c>
      <c r="E329" s="337" t="s">
        <v>622</v>
      </c>
      <c r="F329" s="842"/>
      <c r="H329" s="842"/>
      <c r="I329" s="842"/>
      <c r="J329" s="842"/>
      <c r="K329" s="842"/>
      <c r="L329" s="842"/>
      <c r="M329" s="842"/>
      <c r="N329" s="842"/>
      <c r="O329" s="842"/>
      <c r="P329" s="842"/>
      <c r="Q329" s="842"/>
      <c r="R329" s="842"/>
      <c r="S329" s="842"/>
      <c r="T329" s="842"/>
      <c r="U329" s="842"/>
      <c r="V329" s="842"/>
      <c r="W329" s="842"/>
      <c r="X329" s="842"/>
      <c r="Y329" s="842"/>
      <c r="Z329" s="842"/>
      <c r="AA329" s="2209"/>
      <c r="AB329" s="2209"/>
      <c r="AC329" s="346"/>
    </row>
    <row r="330" spans="1:29" ht="18.75" customHeight="1" x14ac:dyDescent="0.2">
      <c r="A330" s="341"/>
      <c r="B330" s="345"/>
      <c r="C330" s="453" t="s">
        <v>1393</v>
      </c>
      <c r="D330" s="842">
        <f ca="1">(D329+D328)*'Energy &amp; Unit Conversions'!$E$93/'Energy &amp; Unit Conversions'!$E$26*'Energy &amp; Unit Conversions'!$G$82/H312/(H314-D323)</f>
        <v>12.275234701017848</v>
      </c>
      <c r="E330" s="337" t="s">
        <v>904</v>
      </c>
      <c r="F330" s="842"/>
      <c r="G330" s="842"/>
      <c r="H330" s="842"/>
      <c r="I330" s="842"/>
      <c r="J330" s="842"/>
      <c r="K330" s="842"/>
      <c r="L330" s="842"/>
      <c r="M330" s="842"/>
      <c r="N330" s="842"/>
      <c r="O330" s="842"/>
      <c r="P330" s="842"/>
      <c r="Q330" s="842"/>
      <c r="R330" s="842"/>
      <c r="S330" s="842"/>
      <c r="T330" s="842"/>
      <c r="U330" s="842"/>
      <c r="V330" s="842"/>
      <c r="W330" s="842"/>
      <c r="X330" s="842"/>
      <c r="Y330" s="842"/>
      <c r="Z330" s="842"/>
      <c r="AA330" s="2209"/>
      <c r="AB330" s="2209"/>
      <c r="AC330" s="346"/>
    </row>
    <row r="331" spans="1:29" ht="18.75" customHeight="1" x14ac:dyDescent="0.2">
      <c r="A331" s="341"/>
      <c r="B331" s="345"/>
      <c r="C331" s="881" t="s">
        <v>905</v>
      </c>
      <c r="D331" s="842">
        <f ca="1">D332*H312*(H315-D325)/10000/'Energy &amp; Unit Conversions'!$G$82*'Energy &amp; Unit Conversions'!$E$26/'Energy &amp; Unit Conversions'!$E$93</f>
        <v>89.925619794619749</v>
      </c>
      <c r="E331" s="337" t="s">
        <v>622</v>
      </c>
      <c r="F331" s="842"/>
      <c r="G331" s="842"/>
      <c r="H331" s="842"/>
      <c r="I331" s="842"/>
      <c r="J331" s="842"/>
      <c r="K331" s="842"/>
      <c r="L331" s="842"/>
      <c r="M331" s="842"/>
      <c r="N331" s="842"/>
      <c r="O331" s="842"/>
      <c r="P331" s="842"/>
      <c r="Q331" s="842"/>
      <c r="R331" s="842"/>
      <c r="S331" s="842"/>
      <c r="T331" s="842"/>
      <c r="U331" s="842"/>
      <c r="V331" s="842"/>
      <c r="W331" s="842"/>
      <c r="X331" s="842"/>
      <c r="Y331" s="842"/>
      <c r="Z331" s="842"/>
      <c r="AA331" s="2209"/>
      <c r="AB331" s="2209"/>
      <c r="AC331" s="346"/>
    </row>
    <row r="332" spans="1:29" ht="18.75" customHeight="1" x14ac:dyDescent="0.2">
      <c r="A332" s="341"/>
      <c r="B332" s="345"/>
      <c r="C332" s="881" t="s">
        <v>905</v>
      </c>
      <c r="D332" s="410">
        <v>34</v>
      </c>
      <c r="E332" s="337" t="s">
        <v>904</v>
      </c>
      <c r="F332" s="842"/>
      <c r="G332" s="842"/>
      <c r="H332" s="842"/>
      <c r="I332" s="842"/>
      <c r="J332" s="842"/>
      <c r="K332" s="842"/>
      <c r="L332" s="842"/>
      <c r="M332" s="842"/>
      <c r="N332" s="842"/>
      <c r="O332" s="842"/>
      <c r="P332" s="842"/>
      <c r="Q332" s="842"/>
      <c r="R332" s="842"/>
      <c r="S332" s="842"/>
      <c r="T332" s="842"/>
      <c r="U332" s="842"/>
      <c r="V332" s="842"/>
      <c r="W332" s="842"/>
      <c r="X332" s="842"/>
      <c r="Y332" s="842"/>
      <c r="Z332" s="842"/>
      <c r="AA332" s="2209"/>
      <c r="AB332" s="2209"/>
      <c r="AC332" s="346"/>
    </row>
    <row r="333" spans="1:29" ht="18.75" customHeight="1" x14ac:dyDescent="0.2">
      <c r="A333" s="341"/>
      <c r="B333" s="345"/>
      <c r="C333" s="881" t="s">
        <v>1520</v>
      </c>
      <c r="D333" s="842">
        <f ca="1">H313*H318/100</f>
        <v>217867.90850382741</v>
      </c>
      <c r="E333" s="337" t="s">
        <v>622</v>
      </c>
      <c r="F333" s="842"/>
      <c r="G333" s="842"/>
      <c r="H333" s="842"/>
      <c r="I333" s="842"/>
      <c r="J333" s="842"/>
      <c r="K333" s="842"/>
      <c r="L333" s="842"/>
      <c r="M333" s="842"/>
      <c r="N333" s="842"/>
      <c r="O333" s="842"/>
      <c r="P333" s="842"/>
      <c r="Q333" s="842"/>
      <c r="R333" s="842"/>
      <c r="S333" s="842"/>
      <c r="T333" s="842"/>
      <c r="U333" s="842"/>
      <c r="V333" s="842"/>
      <c r="W333" s="842"/>
      <c r="X333" s="842"/>
      <c r="Y333" s="842"/>
      <c r="Z333" s="842"/>
      <c r="AA333" s="2209"/>
      <c r="AB333" s="2209"/>
      <c r="AC333" s="346"/>
    </row>
    <row r="334" spans="1:29" ht="18.75" customHeight="1" x14ac:dyDescent="0.2">
      <c r="A334" s="341"/>
      <c r="B334" s="345"/>
      <c r="C334" s="881" t="s">
        <v>1740</v>
      </c>
      <c r="D334" s="842">
        <f ca="1">D335/(1-I318/100-I314/100)</f>
        <v>1759258.0527503318</v>
      </c>
      <c r="E334" s="337" t="s">
        <v>622</v>
      </c>
      <c r="F334" s="842"/>
      <c r="G334" s="842"/>
      <c r="H334" s="842"/>
      <c r="I334" s="842"/>
      <c r="J334" s="842"/>
      <c r="K334" s="842"/>
      <c r="L334" s="842"/>
      <c r="M334" s="842"/>
      <c r="N334" s="842"/>
      <c r="O334" s="842"/>
      <c r="P334" s="842"/>
      <c r="Q334" s="842"/>
      <c r="R334" s="842"/>
      <c r="S334" s="842"/>
      <c r="T334" s="842"/>
      <c r="U334" s="842"/>
      <c r="V334" s="842"/>
      <c r="W334" s="842"/>
      <c r="X334" s="842"/>
      <c r="Y334" s="842"/>
      <c r="Z334" s="842"/>
      <c r="AA334" s="2209"/>
      <c r="AB334" s="2209"/>
      <c r="AC334" s="346"/>
    </row>
    <row r="335" spans="1:29" ht="18.75" customHeight="1" x14ac:dyDescent="0.2">
      <c r="A335" s="341"/>
      <c r="B335" s="345"/>
      <c r="C335" s="881" t="s">
        <v>1521</v>
      </c>
      <c r="D335" s="842">
        <f ca="1">H313*(1-H318/100-H314/100-H315/1000000)-D337</f>
        <v>1534073.0219982893</v>
      </c>
      <c r="E335" s="337" t="s">
        <v>622</v>
      </c>
      <c r="F335" s="842"/>
      <c r="G335" s="842"/>
      <c r="H335" s="842"/>
      <c r="I335" s="842"/>
      <c r="J335" s="842"/>
      <c r="K335" s="842"/>
      <c r="L335" s="842"/>
      <c r="M335" s="842"/>
      <c r="N335" s="842"/>
      <c r="O335" s="842"/>
      <c r="P335" s="842"/>
      <c r="Q335" s="842"/>
      <c r="R335" s="842"/>
      <c r="S335" s="842"/>
      <c r="T335" s="842"/>
      <c r="U335" s="842"/>
      <c r="V335" s="842"/>
      <c r="W335" s="842"/>
      <c r="X335" s="842"/>
      <c r="Y335" s="842"/>
      <c r="Z335" s="842"/>
      <c r="AA335" s="2209"/>
      <c r="AB335" s="2209"/>
      <c r="AC335" s="346"/>
    </row>
    <row r="336" spans="1:29" ht="18.75" customHeight="1" x14ac:dyDescent="0.2">
      <c r="A336" s="341"/>
      <c r="B336" s="345"/>
      <c r="C336" s="881" t="s">
        <v>1779</v>
      </c>
      <c r="D336" s="842">
        <f ca="1">D334*D324/100-D333-D328-D331</f>
        <v>7061.2026717971476</v>
      </c>
      <c r="E336" s="337" t="s">
        <v>622</v>
      </c>
      <c r="F336" s="842"/>
      <c r="G336" s="842"/>
      <c r="H336" s="842"/>
      <c r="I336" s="842"/>
      <c r="J336" s="842"/>
      <c r="K336" s="842"/>
      <c r="L336" s="842"/>
      <c r="M336" s="842"/>
      <c r="N336" s="842"/>
      <c r="O336" s="842"/>
      <c r="P336" s="842"/>
      <c r="Q336" s="842"/>
      <c r="R336" s="842"/>
      <c r="S336" s="842"/>
      <c r="T336" s="842"/>
      <c r="U336" s="842"/>
      <c r="V336" s="842"/>
      <c r="W336" s="842"/>
      <c r="X336" s="842"/>
      <c r="Y336" s="842"/>
      <c r="Z336" s="842"/>
      <c r="AA336" s="2209"/>
      <c r="AB336" s="2209"/>
      <c r="AC336" s="346"/>
    </row>
    <row r="337" spans="1:29" ht="18.75" customHeight="1" x14ac:dyDescent="0.2">
      <c r="A337" s="341"/>
      <c r="B337" s="345"/>
      <c r="C337" s="881" t="s">
        <v>1522</v>
      </c>
      <c r="D337" s="842">
        <f ca="1">D340*(1-D339/100)</f>
        <v>2875.3912013232462</v>
      </c>
      <c r="E337" s="337" t="s">
        <v>622</v>
      </c>
      <c r="F337" s="842"/>
      <c r="G337" s="842"/>
      <c r="H337" s="842"/>
      <c r="I337" s="842"/>
      <c r="J337" s="842"/>
      <c r="K337" s="842"/>
      <c r="L337" s="842"/>
      <c r="M337" s="842"/>
      <c r="N337" s="842"/>
      <c r="O337" s="842"/>
      <c r="P337" s="842"/>
      <c r="Q337" s="842"/>
      <c r="R337" s="842"/>
      <c r="S337" s="842"/>
      <c r="T337" s="842"/>
      <c r="U337" s="842"/>
      <c r="V337" s="842"/>
      <c r="W337" s="842"/>
      <c r="X337" s="842"/>
      <c r="Y337" s="842"/>
      <c r="Z337" s="842"/>
      <c r="AA337" s="2209"/>
      <c r="AB337" s="2209"/>
      <c r="AC337" s="346"/>
    </row>
    <row r="338" spans="1:29" ht="18.75" customHeight="1" x14ac:dyDescent="0.2">
      <c r="A338" s="341"/>
      <c r="B338" s="345"/>
      <c r="C338" s="881" t="s">
        <v>1523</v>
      </c>
      <c r="D338" s="842">
        <f ca="1">D340*(D339/100)</f>
        <v>640.07271132551534</v>
      </c>
      <c r="E338" s="337" t="s">
        <v>622</v>
      </c>
      <c r="F338" s="842"/>
      <c r="G338" s="842"/>
      <c r="H338" s="842"/>
      <c r="I338" s="842"/>
      <c r="J338" s="842"/>
      <c r="K338" s="842"/>
      <c r="L338" s="842"/>
      <c r="M338" s="842"/>
      <c r="N338" s="842"/>
      <c r="O338" s="842"/>
      <c r="P338" s="842"/>
      <c r="Q338" s="842"/>
      <c r="R338" s="842"/>
      <c r="S338" s="842"/>
      <c r="T338" s="842"/>
      <c r="U338" s="842"/>
      <c r="V338" s="842"/>
      <c r="W338" s="842"/>
      <c r="X338" s="842"/>
      <c r="Y338" s="842"/>
      <c r="Z338" s="842"/>
      <c r="AA338" s="2209"/>
      <c r="AB338" s="2209"/>
      <c r="AC338" s="346"/>
    </row>
    <row r="339" spans="1:29" ht="18.75" customHeight="1" x14ac:dyDescent="0.2">
      <c r="A339" s="341"/>
      <c r="B339" s="345"/>
      <c r="C339" s="881" t="s">
        <v>375</v>
      </c>
      <c r="D339" s="410">
        <f>Constants!N394</f>
        <v>18.207346945662319</v>
      </c>
      <c r="E339" s="337" t="s">
        <v>579</v>
      </c>
      <c r="F339" s="842"/>
      <c r="G339" s="842"/>
      <c r="H339" s="842"/>
      <c r="I339" s="842"/>
      <c r="J339" s="842"/>
      <c r="K339" s="842"/>
      <c r="L339" s="842"/>
      <c r="M339" s="842"/>
      <c r="N339" s="842"/>
      <c r="O339" s="842"/>
      <c r="P339" s="842"/>
      <c r="Q339" s="842"/>
      <c r="R339" s="842"/>
      <c r="S339" s="842"/>
      <c r="T339" s="842"/>
      <c r="U339" s="842"/>
      <c r="V339" s="842"/>
      <c r="W339" s="842"/>
      <c r="X339" s="842"/>
      <c r="Y339" s="842"/>
      <c r="Z339" s="842"/>
      <c r="AA339" s="2209"/>
      <c r="AB339" s="2209"/>
      <c r="AC339" s="346"/>
    </row>
    <row r="340" spans="1:29" ht="18.75" customHeight="1" x14ac:dyDescent="0.2">
      <c r="A340" s="341"/>
      <c r="B340" s="345"/>
      <c r="C340" s="453" t="s">
        <v>385</v>
      </c>
      <c r="D340" s="842">
        <f ca="1">H313*H327</f>
        <v>3515.4639126487614</v>
      </c>
      <c r="E340" s="337" t="s">
        <v>622</v>
      </c>
      <c r="F340" s="842"/>
      <c r="G340" s="842"/>
      <c r="H340" s="842"/>
      <c r="I340" s="842"/>
      <c r="J340" s="842"/>
      <c r="K340" s="842"/>
      <c r="L340" s="842"/>
      <c r="M340" s="842"/>
      <c r="N340" s="842"/>
      <c r="O340" s="842"/>
      <c r="P340" s="842"/>
      <c r="Q340" s="842"/>
      <c r="R340" s="842"/>
      <c r="S340" s="842"/>
      <c r="T340" s="842"/>
      <c r="U340" s="842"/>
      <c r="V340" s="842"/>
      <c r="W340" s="842"/>
      <c r="X340" s="842"/>
      <c r="Y340" s="842"/>
      <c r="Z340" s="842"/>
      <c r="AA340" s="2209"/>
      <c r="AB340" s="2209"/>
      <c r="AC340" s="346"/>
    </row>
    <row r="341" spans="1:29" ht="18.75" customHeight="1" x14ac:dyDescent="0.2">
      <c r="A341" s="341"/>
      <c r="B341" s="345"/>
      <c r="C341" s="453" t="s">
        <v>384</v>
      </c>
      <c r="D341" s="842">
        <f ca="1">D327+D329</f>
        <v>2821.8972625962656</v>
      </c>
      <c r="E341" s="337" t="s">
        <v>622</v>
      </c>
      <c r="F341" s="842"/>
      <c r="G341" s="842"/>
      <c r="H341" s="842"/>
      <c r="I341" s="842"/>
      <c r="J341" s="842"/>
      <c r="K341" s="842"/>
      <c r="L341" s="842"/>
      <c r="M341" s="842"/>
      <c r="N341" s="842"/>
      <c r="O341" s="842"/>
      <c r="P341" s="842"/>
      <c r="Q341" s="842"/>
      <c r="R341" s="842"/>
      <c r="S341" s="842"/>
      <c r="T341" s="842"/>
      <c r="U341" s="842"/>
      <c r="V341" s="842"/>
      <c r="W341" s="842"/>
      <c r="X341" s="842"/>
      <c r="Y341" s="842"/>
      <c r="Z341" s="842"/>
      <c r="AA341" s="2209"/>
      <c r="AB341" s="2209"/>
      <c r="AC341" s="346"/>
    </row>
    <row r="342" spans="1:29" ht="18.75" customHeight="1" x14ac:dyDescent="0.2">
      <c r="A342" s="341"/>
      <c r="B342" s="345"/>
      <c r="C342" s="452" t="s">
        <v>1780</v>
      </c>
      <c r="D342" s="335">
        <f ca="1">D328+D329+D336+D338+D331</f>
        <v>8123.1889161639019</v>
      </c>
      <c r="E342" s="338" t="s">
        <v>622</v>
      </c>
      <c r="F342" s="842"/>
      <c r="G342" s="842"/>
      <c r="H342" s="842"/>
      <c r="I342" s="842"/>
      <c r="J342" s="842"/>
      <c r="K342" s="842"/>
      <c r="L342" s="842"/>
      <c r="M342" s="842"/>
      <c r="N342" s="842"/>
      <c r="O342" s="842"/>
      <c r="P342" s="842"/>
      <c r="Q342" s="842"/>
      <c r="R342" s="842"/>
      <c r="S342" s="842"/>
      <c r="T342" s="842"/>
      <c r="U342" s="842"/>
      <c r="V342" s="842"/>
      <c r="W342" s="842"/>
      <c r="X342" s="842"/>
      <c r="Y342" s="842"/>
      <c r="Z342" s="842"/>
      <c r="AA342" s="2209"/>
      <c r="AB342" s="2209"/>
      <c r="AC342" s="346"/>
    </row>
    <row r="343" spans="1:29" ht="18.75" customHeight="1" x14ac:dyDescent="0.2">
      <c r="A343" s="341"/>
      <c r="B343" s="345"/>
      <c r="C343" s="453" t="s">
        <v>635</v>
      </c>
      <c r="D343" s="410">
        <f ca="1">Constants!H120</f>
        <v>161.0264731376526</v>
      </c>
      <c r="E343" s="337" t="s">
        <v>637</v>
      </c>
      <c r="F343" s="842"/>
      <c r="G343" s="842"/>
      <c r="H343" s="842"/>
      <c r="I343" s="842"/>
      <c r="J343" s="842"/>
      <c r="K343" s="842"/>
      <c r="L343" s="842"/>
      <c r="M343" s="842"/>
      <c r="N343" s="842"/>
      <c r="O343" s="842"/>
      <c r="P343" s="842"/>
      <c r="Q343" s="842"/>
      <c r="R343" s="842"/>
      <c r="S343" s="842"/>
      <c r="T343" s="842"/>
      <c r="U343" s="842"/>
      <c r="V343" s="842"/>
      <c r="W343" s="842"/>
      <c r="X343" s="842"/>
      <c r="Y343" s="842"/>
      <c r="Z343" s="842"/>
      <c r="AA343" s="2209"/>
      <c r="AB343" s="2209"/>
      <c r="AC343" s="346"/>
    </row>
    <row r="344" spans="1:29" ht="18.75" customHeight="1" x14ac:dyDescent="0.2">
      <c r="A344" s="341"/>
      <c r="B344" s="345"/>
      <c r="C344" s="453" t="s">
        <v>634</v>
      </c>
      <c r="D344" s="842">
        <f ca="1">D343*'Energy &amp; Unit Conversions'!G82/'Energy &amp; Unit Conversions'!G80</f>
        <v>27.133800305602612</v>
      </c>
      <c r="E344" s="337" t="s">
        <v>636</v>
      </c>
      <c r="F344" s="842"/>
      <c r="G344" s="842"/>
      <c r="H344" s="842"/>
      <c r="I344" s="842"/>
      <c r="J344" s="842"/>
      <c r="K344" s="842"/>
      <c r="L344" s="842"/>
      <c r="M344" s="842"/>
      <c r="N344" s="842"/>
      <c r="O344" s="842"/>
      <c r="P344" s="842"/>
      <c r="Q344" s="842"/>
      <c r="R344" s="842"/>
      <c r="S344" s="842"/>
      <c r="T344" s="842"/>
      <c r="U344" s="842"/>
      <c r="V344" s="842"/>
      <c r="W344" s="842"/>
      <c r="X344" s="842"/>
      <c r="Y344" s="842"/>
      <c r="Z344" s="842"/>
      <c r="AA344" s="2209"/>
      <c r="AB344" s="2209"/>
      <c r="AC344" s="346"/>
    </row>
    <row r="345" spans="1:29" ht="18.75" customHeight="1" x14ac:dyDescent="0.2">
      <c r="A345" s="341"/>
      <c r="B345" s="345"/>
      <c r="C345" s="453" t="s">
        <v>542</v>
      </c>
      <c r="D345" s="842">
        <f ca="1">D343*H311/1000</f>
        <v>2016.8272089222171</v>
      </c>
      <c r="E345" s="337" t="s">
        <v>472</v>
      </c>
      <c r="F345" s="842"/>
      <c r="G345" s="842"/>
      <c r="H345" s="842"/>
      <c r="I345" s="842"/>
      <c r="J345" s="842"/>
      <c r="K345" s="842"/>
      <c r="L345" s="842"/>
      <c r="M345" s="842"/>
      <c r="N345" s="842"/>
      <c r="O345" s="842"/>
      <c r="P345" s="842"/>
      <c r="Q345" s="842"/>
      <c r="R345" s="842"/>
      <c r="S345" s="842"/>
      <c r="T345" s="842"/>
      <c r="U345" s="842"/>
      <c r="V345" s="842"/>
      <c r="W345" s="842"/>
      <c r="X345" s="842"/>
      <c r="Y345" s="842"/>
      <c r="Z345" s="842"/>
      <c r="AA345" s="2209"/>
      <c r="AB345" s="2209"/>
      <c r="AC345" s="346"/>
    </row>
    <row r="346" spans="1:29" ht="18.75" customHeight="1" x14ac:dyDescent="0.2">
      <c r="A346" s="341"/>
      <c r="B346" s="345"/>
      <c r="C346" s="453" t="s">
        <v>542</v>
      </c>
      <c r="D346" s="842">
        <f ca="1">D344*H312</f>
        <v>54031.182106940309</v>
      </c>
      <c r="E346" s="337" t="s">
        <v>628</v>
      </c>
      <c r="F346" s="842"/>
      <c r="G346" s="842"/>
      <c r="H346" s="842"/>
      <c r="I346" s="842"/>
      <c r="J346" s="842"/>
      <c r="K346" s="842"/>
      <c r="L346" s="842"/>
      <c r="M346" s="842"/>
      <c r="N346" s="842"/>
      <c r="O346" s="842"/>
      <c r="P346" s="842"/>
      <c r="Q346" s="842"/>
      <c r="R346" s="842"/>
      <c r="S346" s="842"/>
      <c r="T346" s="842"/>
      <c r="U346" s="842"/>
      <c r="V346" s="842"/>
      <c r="W346" s="842"/>
      <c r="X346" s="842"/>
      <c r="Y346" s="842"/>
      <c r="Z346" s="842"/>
      <c r="AA346" s="2209"/>
      <c r="AB346" s="2209"/>
      <c r="AC346" s="346"/>
    </row>
    <row r="347" spans="1:29" ht="18.75" customHeight="1" x14ac:dyDescent="0.2">
      <c r="A347" s="341"/>
      <c r="B347" s="345"/>
      <c r="C347" s="452" t="s">
        <v>631</v>
      </c>
      <c r="D347" s="334">
        <f ca="1">D346*'Energy &amp; Unit Conversions'!P25*'Energy &amp; Unit Conversions'!G87</f>
        <v>22.9041803799158</v>
      </c>
      <c r="E347" s="338" t="s">
        <v>632</v>
      </c>
      <c r="F347" s="842"/>
      <c r="G347" s="842"/>
      <c r="H347" s="842"/>
      <c r="I347" s="842"/>
      <c r="J347" s="842"/>
      <c r="K347" s="842"/>
      <c r="L347" s="842"/>
      <c r="M347" s="842"/>
      <c r="N347" s="842"/>
      <c r="O347" s="842"/>
      <c r="P347" s="842"/>
      <c r="Q347" s="842"/>
      <c r="R347" s="842"/>
      <c r="S347" s="842"/>
      <c r="T347" s="842"/>
      <c r="U347" s="842"/>
      <c r="V347" s="842"/>
      <c r="W347" s="842"/>
      <c r="X347" s="842"/>
      <c r="Y347" s="842"/>
      <c r="Z347" s="842"/>
      <c r="AA347" s="2209"/>
      <c r="AB347" s="2209"/>
      <c r="AC347" s="346"/>
    </row>
    <row r="348" spans="1:29" ht="18.75" customHeight="1" x14ac:dyDescent="0.2">
      <c r="A348" s="341"/>
      <c r="B348" s="345"/>
      <c r="C348" s="454" t="s">
        <v>451</v>
      </c>
      <c r="D348" s="854">
        <f ca="1">Constants!H121</f>
        <v>3</v>
      </c>
      <c r="E348" s="369" t="s">
        <v>665</v>
      </c>
      <c r="F348" s="842"/>
      <c r="G348" s="842"/>
      <c r="H348" s="842"/>
      <c r="I348" s="842"/>
      <c r="J348" s="842"/>
      <c r="K348" s="842"/>
      <c r="L348" s="842"/>
      <c r="M348" s="842"/>
      <c r="N348" s="842"/>
      <c r="O348" s="842"/>
      <c r="P348" s="842"/>
      <c r="Q348" s="842"/>
      <c r="R348" s="842"/>
      <c r="S348" s="842"/>
      <c r="T348" s="842"/>
      <c r="U348" s="842"/>
      <c r="V348" s="842"/>
      <c r="W348" s="842"/>
      <c r="X348" s="842"/>
      <c r="Y348" s="842"/>
      <c r="Z348" s="842"/>
      <c r="AA348" s="2209"/>
      <c r="AB348" s="2209"/>
      <c r="AC348" s="346"/>
    </row>
    <row r="349" spans="1:29" ht="18.75" customHeight="1" x14ac:dyDescent="0.2">
      <c r="A349" s="341"/>
      <c r="B349" s="345"/>
      <c r="C349" s="453" t="s">
        <v>451</v>
      </c>
      <c r="D349" s="842">
        <f ca="1">D348/'Energy &amp; Unit Conversions'!G80</f>
        <v>18.869431709325209</v>
      </c>
      <c r="E349" s="337" t="s">
        <v>629</v>
      </c>
      <c r="F349" s="842"/>
      <c r="G349" s="842"/>
      <c r="H349" s="842"/>
      <c r="I349" s="842"/>
      <c r="J349" s="842"/>
      <c r="K349" s="842"/>
      <c r="L349" s="842"/>
      <c r="M349" s="842"/>
      <c r="N349" s="842"/>
      <c r="O349" s="842"/>
      <c r="P349" s="842"/>
      <c r="Q349" s="842"/>
      <c r="R349" s="842"/>
      <c r="S349" s="842"/>
      <c r="T349" s="842"/>
      <c r="U349" s="842"/>
      <c r="V349" s="842"/>
      <c r="W349" s="842"/>
      <c r="X349" s="842"/>
      <c r="Y349" s="842"/>
      <c r="Z349" s="842"/>
      <c r="AA349" s="2209"/>
      <c r="AB349" s="2209"/>
      <c r="AC349" s="346"/>
    </row>
    <row r="350" spans="1:29" ht="18.75" customHeight="1" x14ac:dyDescent="0.2">
      <c r="A350" s="341"/>
      <c r="B350" s="345"/>
      <c r="C350" s="452" t="s">
        <v>452</v>
      </c>
      <c r="D350" s="334">
        <f ca="1">H312*D349</f>
        <v>37574.452876418836</v>
      </c>
      <c r="E350" s="338" t="s">
        <v>627</v>
      </c>
      <c r="F350" s="842"/>
      <c r="G350" s="842"/>
      <c r="H350" s="842"/>
      <c r="I350" s="842"/>
      <c r="J350" s="842"/>
      <c r="K350" s="842"/>
      <c r="L350" s="842"/>
      <c r="M350" s="842"/>
      <c r="N350" s="842"/>
      <c r="O350" s="842"/>
      <c r="P350" s="842"/>
      <c r="Q350" s="842"/>
      <c r="R350" s="842"/>
      <c r="S350" s="842"/>
      <c r="T350" s="842"/>
      <c r="U350" s="842"/>
      <c r="V350" s="842"/>
      <c r="W350" s="842"/>
      <c r="X350" s="842"/>
      <c r="Y350" s="842"/>
      <c r="Z350" s="842"/>
      <c r="AA350" s="2209"/>
      <c r="AB350" s="2209"/>
      <c r="AC350" s="346"/>
    </row>
    <row r="351" spans="1:29" ht="18.75" customHeight="1" x14ac:dyDescent="0.2">
      <c r="A351" s="341"/>
      <c r="B351" s="345"/>
      <c r="C351" s="453" t="s">
        <v>485</v>
      </c>
      <c r="D351" s="410">
        <f ca="1">Constants!H123</f>
        <v>8</v>
      </c>
      <c r="E351" s="337" t="s">
        <v>496</v>
      </c>
      <c r="F351" s="842"/>
      <c r="G351" s="842"/>
      <c r="H351" s="842"/>
      <c r="I351" s="842"/>
      <c r="J351" s="842"/>
      <c r="K351" s="842"/>
      <c r="L351" s="842"/>
      <c r="M351" s="842"/>
      <c r="N351" s="842"/>
      <c r="O351" s="842"/>
      <c r="P351" s="842"/>
      <c r="Q351" s="842"/>
      <c r="R351" s="842"/>
      <c r="S351" s="842"/>
      <c r="T351" s="842"/>
      <c r="U351" s="842"/>
      <c r="V351" s="842"/>
      <c r="W351" s="842"/>
      <c r="X351" s="842"/>
      <c r="Y351" s="842"/>
      <c r="Z351" s="842"/>
      <c r="AA351" s="2209"/>
      <c r="AB351" s="2209"/>
      <c r="AC351" s="346"/>
    </row>
    <row r="352" spans="1:29" ht="18.75" customHeight="1" x14ac:dyDescent="0.2">
      <c r="A352" s="341"/>
      <c r="B352" s="345"/>
      <c r="C352" s="453" t="s">
        <v>485</v>
      </c>
      <c r="D352" s="842">
        <f ca="1">D351*'Energy &amp; Unit Conversions'!G79/'Energy &amp; Unit Conversions'!G80</f>
        <v>22.824080665562597</v>
      </c>
      <c r="E352" s="337" t="s">
        <v>581</v>
      </c>
      <c r="F352" s="842"/>
      <c r="G352" s="842"/>
      <c r="H352" s="842"/>
      <c r="I352" s="842"/>
      <c r="J352" s="842"/>
      <c r="K352" s="842"/>
      <c r="L352" s="842"/>
      <c r="M352" s="842"/>
      <c r="N352" s="842"/>
      <c r="O352" s="842"/>
      <c r="P352" s="842"/>
      <c r="Q352" s="842"/>
      <c r="R352" s="842"/>
      <c r="S352" s="842"/>
      <c r="T352" s="842"/>
      <c r="U352" s="842"/>
      <c r="V352" s="842"/>
      <c r="W352" s="842"/>
      <c r="X352" s="842"/>
      <c r="Y352" s="842"/>
      <c r="Z352" s="842"/>
      <c r="AA352" s="2209"/>
      <c r="AB352" s="2209"/>
      <c r="AC352" s="346"/>
    </row>
    <row r="353" spans="1:29" ht="18.75" customHeight="1" x14ac:dyDescent="0.2">
      <c r="A353" s="341"/>
      <c r="B353" s="345"/>
      <c r="C353" s="452" t="s">
        <v>485</v>
      </c>
      <c r="D353" s="334">
        <f ca="1">D352*H312</f>
        <v>45449.29368444837</v>
      </c>
      <c r="E353" s="338" t="s">
        <v>622</v>
      </c>
      <c r="F353" s="842"/>
      <c r="G353" s="842"/>
      <c r="H353" s="842"/>
      <c r="I353" s="842"/>
      <c r="J353" s="842"/>
      <c r="K353" s="842"/>
      <c r="L353" s="842"/>
      <c r="M353" s="842"/>
      <c r="N353" s="842"/>
      <c r="O353" s="842"/>
      <c r="P353" s="842"/>
      <c r="Q353" s="842"/>
      <c r="R353" s="842"/>
      <c r="S353" s="842"/>
      <c r="T353" s="842"/>
      <c r="U353" s="842"/>
      <c r="V353" s="842"/>
      <c r="W353" s="842"/>
      <c r="X353" s="842"/>
      <c r="Y353" s="842"/>
      <c r="Z353" s="842"/>
      <c r="AA353" s="2209"/>
      <c r="AB353" s="2209"/>
      <c r="AC353" s="346"/>
    </row>
    <row r="354" spans="1:29" ht="18.75" customHeight="1" x14ac:dyDescent="0.2">
      <c r="A354" s="341"/>
      <c r="B354" s="345"/>
      <c r="C354" s="437"/>
      <c r="D354" s="842"/>
      <c r="E354" s="842"/>
      <c r="F354" s="842"/>
      <c r="G354" s="842"/>
      <c r="H354" s="842"/>
      <c r="I354" s="842"/>
      <c r="J354" s="842"/>
      <c r="K354" s="842"/>
      <c r="L354" s="842"/>
      <c r="M354" s="842"/>
      <c r="N354" s="842"/>
      <c r="O354" s="842"/>
      <c r="P354" s="842"/>
      <c r="Q354" s="842"/>
      <c r="R354" s="842"/>
      <c r="S354" s="842"/>
      <c r="T354" s="842"/>
      <c r="U354" s="842"/>
      <c r="V354" s="842"/>
      <c r="W354" s="842"/>
      <c r="X354" s="842"/>
      <c r="Y354" s="842"/>
      <c r="Z354" s="842"/>
      <c r="AA354" s="2209"/>
      <c r="AB354" s="2209"/>
      <c r="AC354" s="346"/>
    </row>
    <row r="355" spans="1:29" ht="26.25" x14ac:dyDescent="0.2">
      <c r="A355" s="341"/>
      <c r="B355" s="699"/>
      <c r="C355" s="603" t="s">
        <v>534</v>
      </c>
      <c r="D355" s="842"/>
      <c r="E355" s="842"/>
      <c r="F355" s="842"/>
      <c r="G355" s="842"/>
      <c r="H355" s="842"/>
      <c r="I355" s="842"/>
      <c r="J355" s="842"/>
      <c r="K355" s="842"/>
      <c r="L355" s="842"/>
      <c r="M355" s="842"/>
      <c r="N355" s="842"/>
      <c r="O355" s="842"/>
      <c r="P355" s="842"/>
      <c r="Q355" s="842"/>
      <c r="R355" s="842"/>
      <c r="S355" s="842"/>
      <c r="T355" s="842"/>
      <c r="U355" s="842"/>
      <c r="V355" s="842"/>
      <c r="W355" s="842"/>
      <c r="X355" s="842"/>
      <c r="Y355" s="842"/>
      <c r="Z355" s="842"/>
      <c r="AA355" s="2209"/>
      <c r="AB355" s="2209"/>
      <c r="AC355" s="346"/>
    </row>
    <row r="356" spans="1:29" ht="18.75" customHeight="1" x14ac:dyDescent="0.2">
      <c r="A356" s="341"/>
      <c r="B356" s="345"/>
      <c r="C356" s="437"/>
      <c r="D356" s="842"/>
      <c r="E356" s="842"/>
      <c r="F356" s="842"/>
      <c r="G356" s="842"/>
      <c r="H356" s="842"/>
      <c r="I356" s="842"/>
      <c r="J356" s="842"/>
      <c r="K356" s="842"/>
      <c r="L356" s="842"/>
      <c r="M356" s="842"/>
      <c r="N356" s="842"/>
      <c r="O356" s="842"/>
      <c r="P356" s="842"/>
      <c r="Q356" s="842"/>
      <c r="R356" s="842"/>
      <c r="S356" s="842"/>
      <c r="T356" s="842"/>
      <c r="U356" s="842"/>
      <c r="V356" s="842"/>
      <c r="W356" s="842"/>
      <c r="X356" s="842"/>
      <c r="Y356" s="842"/>
      <c r="Z356" s="842"/>
      <c r="AA356" s="2209"/>
      <c r="AB356" s="2209"/>
      <c r="AC356" s="346"/>
    </row>
    <row r="357" spans="1:29" ht="18.75" customHeight="1" x14ac:dyDescent="0.2">
      <c r="A357" s="341"/>
      <c r="B357" s="345"/>
      <c r="C357" s="843" t="s">
        <v>569</v>
      </c>
      <c r="D357" s="842"/>
      <c r="E357" s="426"/>
      <c r="F357" s="842"/>
      <c r="G357" s="842"/>
      <c r="H357" s="842"/>
      <c r="I357" s="842"/>
      <c r="J357" s="842"/>
      <c r="K357" s="842"/>
      <c r="L357" s="842"/>
      <c r="M357" s="842"/>
      <c r="N357" s="842"/>
      <c r="O357" s="842"/>
      <c r="P357" s="842"/>
      <c r="Q357" s="842"/>
      <c r="R357" s="842"/>
      <c r="S357" s="842"/>
      <c r="T357" s="842"/>
      <c r="U357" s="842"/>
      <c r="V357" s="842"/>
      <c r="W357" s="842"/>
      <c r="X357" s="842"/>
      <c r="Y357" s="842"/>
      <c r="Z357" s="842"/>
      <c r="AA357" s="2209"/>
      <c r="AB357" s="2209"/>
      <c r="AC357" s="346"/>
    </row>
    <row r="358" spans="1:29" ht="18.75" customHeight="1" x14ac:dyDescent="0.2">
      <c r="A358" s="341"/>
      <c r="B358" s="345"/>
      <c r="C358" s="441" t="s">
        <v>568</v>
      </c>
      <c r="D358" s="351" t="s">
        <v>623</v>
      </c>
      <c r="E358" s="356" t="str">
        <f t="shared" ref="E358:E367" si="21">F570</f>
        <v>AGO To Gas Oil HC</v>
      </c>
      <c r="F358" s="356" t="str">
        <f>F964</f>
        <v>HC Gas Oil To Gas Oil HC</v>
      </c>
      <c r="G358" s="356" t="str">
        <f t="shared" ref="G358" si="22">F587</f>
        <v>LVGO To Gas Oil HC</v>
      </c>
      <c r="H358" s="356" t="str">
        <f t="shared" ref="H358" si="23">F604</f>
        <v>HVGO To Gas Oil HC</v>
      </c>
      <c r="I358" s="356" t="s">
        <v>427</v>
      </c>
      <c r="J358" s="356" t="s">
        <v>488</v>
      </c>
      <c r="K358" s="356" t="s">
        <v>942</v>
      </c>
      <c r="L358" s="356" t="s">
        <v>352</v>
      </c>
      <c r="M358" s="356" t="s">
        <v>520</v>
      </c>
      <c r="N358" s="357" t="s">
        <v>669</v>
      </c>
      <c r="O358" s="388"/>
      <c r="P358" s="388"/>
      <c r="Q358" s="388"/>
      <c r="R358" s="842"/>
      <c r="S358" s="842"/>
      <c r="T358" s="842"/>
      <c r="U358" s="842"/>
      <c r="V358" s="842"/>
      <c r="W358" s="842"/>
      <c r="X358" s="842"/>
      <c r="Y358" s="842"/>
      <c r="Z358" s="842"/>
      <c r="AA358" s="2209"/>
      <c r="AB358" s="2209"/>
      <c r="AC358" s="346"/>
    </row>
    <row r="359" spans="1:29" ht="18.75" customHeight="1" x14ac:dyDescent="0.2">
      <c r="A359" s="341"/>
      <c r="B359" s="345"/>
      <c r="C359" s="442" t="str">
        <f t="shared" ref="C359:D368" si="24">C571</f>
        <v>Vol Flow</v>
      </c>
      <c r="D359" s="842" t="str">
        <f ca="1">D571</f>
        <v>bpd</v>
      </c>
      <c r="E359" s="842">
        <f t="shared" ref="E359:E366" ca="1" si="25">F571</f>
        <v>1.1182517606218385E-8</v>
      </c>
      <c r="F359" s="842">
        <f ca="1">F965</f>
        <v>1.6431560039009141E-29</v>
      </c>
      <c r="G359" s="842">
        <f t="shared" ref="G359:G368" ca="1" si="26">F588</f>
        <v>1E-26</v>
      </c>
      <c r="H359" s="842">
        <f t="shared" ref="H359:H368" ca="1" si="27">F605</f>
        <v>1E-26</v>
      </c>
      <c r="I359" s="842">
        <f ca="1">SUM(E359:H359)</f>
        <v>1.1182517606218385E-8</v>
      </c>
      <c r="J359" s="842"/>
      <c r="K359" s="842">
        <f ca="1">IF(Constants!H209=1,V431,SUM(W420:Y420))</f>
        <v>6.6574384792262908E-9</v>
      </c>
      <c r="L359" s="842">
        <f ca="1">IF(Constants!H209=1,(W431+X431+Y431),Z420*$AB$419)</f>
        <v>6.3917148298896895E-9</v>
      </c>
      <c r="M359" s="842">
        <f ca="1">IF(Constants!$H$209=1,(Z431+AA431),Z420*(100%-$AB$419))</f>
        <v>6.3915734341695177E-21</v>
      </c>
      <c r="N359" s="337">
        <f ca="1">IF(Constants!$H$209=1,U431,V420)</f>
        <v>1.3049153309122374E-8</v>
      </c>
      <c r="O359" s="842"/>
      <c r="P359" s="842"/>
      <c r="Q359" s="842"/>
      <c r="R359" s="842"/>
      <c r="S359" s="842"/>
      <c r="T359" s="842"/>
      <c r="U359" s="842"/>
      <c r="V359" s="842"/>
      <c r="W359" s="842"/>
      <c r="X359" s="842"/>
      <c r="Y359" s="842"/>
      <c r="Z359" s="842"/>
      <c r="AA359" s="2209"/>
      <c r="AB359" s="2209"/>
      <c r="AC359" s="346"/>
    </row>
    <row r="360" spans="1:29" ht="18.75" customHeight="1" x14ac:dyDescent="0.2">
      <c r="A360" s="341"/>
      <c r="B360" s="345"/>
      <c r="C360" s="442" t="str">
        <f t="shared" si="24"/>
        <v>Vol Flow</v>
      </c>
      <c r="D360" s="842" t="str">
        <f ca="1">D572</f>
        <v>m^3/d</v>
      </c>
      <c r="E360" s="842">
        <f t="shared" ca="1" si="25"/>
        <v>1.7778782814151241E-9</v>
      </c>
      <c r="F360" s="842">
        <f ca="1">F966</f>
        <v>2.612409365389958E-30</v>
      </c>
      <c r="G360" s="842">
        <f t="shared" ca="1" si="26"/>
        <v>1.5898730000000001E-27</v>
      </c>
      <c r="H360" s="842">
        <f t="shared" ca="1" si="27"/>
        <v>1.5898730000000001E-27</v>
      </c>
      <c r="I360" s="842">
        <f ca="1">SUM(E360:H360)</f>
        <v>1.7778782814151241E-9</v>
      </c>
      <c r="J360" s="842"/>
      <c r="K360" s="842">
        <f ca="1">IF(Constants!H209=1,V432,SUM(W421:Y421))</f>
        <v>1.0584481687282941E-9</v>
      </c>
      <c r="L360" s="842">
        <f ca="1">IF(Constants!H209=1,(W432+X432+Y432),Z421*$AB$419)</f>
        <v>1.016201483174121E-9</v>
      </c>
      <c r="M360" s="842">
        <f ca="1">IF(Constants!$H$209=1,(Z432+AA432),Z421*(100%-$AB$419))</f>
        <v>1.0161790030503394E-21</v>
      </c>
      <c r="N360" s="337">
        <f ca="1">IF(Constants!$H$209=1,U432,V421)</f>
        <v>2.0746496519034315E-9</v>
      </c>
      <c r="O360" s="842"/>
      <c r="P360" s="842"/>
      <c r="Q360" s="842"/>
      <c r="R360" s="842"/>
      <c r="S360" s="842"/>
      <c r="T360" s="842"/>
      <c r="U360" s="842"/>
      <c r="V360" s="842"/>
      <c r="W360" s="842"/>
      <c r="X360" s="842"/>
      <c r="Y360" s="842"/>
      <c r="Z360" s="842"/>
      <c r="AA360" s="2209"/>
      <c r="AB360" s="2209"/>
      <c r="AC360" s="346"/>
    </row>
    <row r="361" spans="1:29" ht="18.75" customHeight="1" x14ac:dyDescent="0.2">
      <c r="A361" s="341"/>
      <c r="B361" s="345"/>
      <c r="C361" s="442" t="str">
        <f t="shared" si="24"/>
        <v>Mass Flow</v>
      </c>
      <c r="D361" s="842" t="str">
        <f t="shared" si="24"/>
        <v>kg/d</v>
      </c>
      <c r="E361" s="842">
        <f t="shared" ca="1" si="25"/>
        <v>1.6094174951277762E-6</v>
      </c>
      <c r="F361" s="842">
        <f ca="1">F967</f>
        <v>2.5026881720433934E-27</v>
      </c>
      <c r="G361" s="842">
        <f t="shared" ca="1" si="26"/>
        <v>1E-26</v>
      </c>
      <c r="H361" s="842">
        <f t="shared" ca="1" si="27"/>
        <v>1E-26</v>
      </c>
      <c r="I361" s="842">
        <f ca="1">SUM(E361:H361)</f>
        <v>1.6094174951277762E-6</v>
      </c>
      <c r="J361" s="842">
        <f ca="1">H372</f>
        <v>4.01525055866854E-8</v>
      </c>
      <c r="K361" s="842">
        <f ca="1">IF(Constants!H209=1,V433,SUM(W422:Y422))</f>
        <v>7.6620347850055368E-7</v>
      </c>
      <c r="L361" s="842">
        <f ca="1">IF(Constants!H209=1,(W433+X433+Y433),Z422*$AB$419)</f>
        <v>8.4345446730167539E-7</v>
      </c>
      <c r="M361" s="842">
        <f ca="1">IF(Constants!$H$209=1,(Z433+AA433),Z422*(100%-$AB$419))</f>
        <v>8.4343580863885792E-19</v>
      </c>
      <c r="N361" s="337">
        <f ca="1">IF(Constants!$H$209=1,U433,V422)</f>
        <v>1.6096579458030726E-6</v>
      </c>
      <c r="O361" s="842"/>
      <c r="P361" s="842"/>
      <c r="Q361" s="842"/>
      <c r="R361" s="842"/>
      <c r="S361" s="842"/>
      <c r="T361" s="842"/>
      <c r="U361" s="842"/>
      <c r="V361" s="842"/>
      <c r="W361" s="842"/>
      <c r="X361" s="842"/>
      <c r="Y361" s="842"/>
      <c r="Z361" s="842"/>
      <c r="AA361" s="2209"/>
      <c r="AB361" s="2209"/>
      <c r="AC361" s="346"/>
    </row>
    <row r="362" spans="1:29" ht="18.75" customHeight="1" x14ac:dyDescent="0.2">
      <c r="A362" s="341"/>
      <c r="B362" s="345"/>
      <c r="C362" s="442" t="str">
        <f t="shared" si="24"/>
        <v xml:space="preserve">Sulphur </v>
      </c>
      <c r="D362" s="842" t="str">
        <f t="shared" ref="D362:D368" ca="1" si="28">D574</f>
        <v>wt%</v>
      </c>
      <c r="E362" s="842">
        <f t="shared" ca="1" si="25"/>
        <v>0.21055860465847406</v>
      </c>
      <c r="F362" s="842">
        <f ca="1">F968</f>
        <v>0</v>
      </c>
      <c r="G362" s="842">
        <f t="shared" ca="1" si="26"/>
        <v>0</v>
      </c>
      <c r="H362" s="842">
        <f t="shared" ca="1" si="27"/>
        <v>0</v>
      </c>
      <c r="I362" s="842">
        <f ca="1">(E362*E361+F362*F361+G362*G361+H362*H361)/I361</f>
        <v>0.21055860465847406</v>
      </c>
      <c r="J362" s="842">
        <f ca="1">H374</f>
        <v>8.4313001253205329</v>
      </c>
      <c r="K362" s="842">
        <f ca="1">IF(Constants!H209=1,V434,SUMPRODUCT(W423:Y423,W422:Y422)/K361)</f>
        <v>0</v>
      </c>
      <c r="L362" s="842">
        <f ca="1">IF(Constants!H209=1,SUMPRODUCT(W434:Y434,W433:Y433)/L361,Z423)</f>
        <v>4.017723721006432E-6</v>
      </c>
      <c r="M362" s="842">
        <f ca="1">IF(Constants!H209=1,SUMPRODUCT(Z434:AA434,Z433:AA433)/M361,Z423)</f>
        <v>4.017723721006432E-6</v>
      </c>
      <c r="N362" s="337">
        <f ca="1">IF(Constants!$H$209=1,U434,V423)</f>
        <v>2.1052715141784285E-4</v>
      </c>
      <c r="O362" s="842"/>
      <c r="P362" s="842"/>
      <c r="Q362" s="842"/>
      <c r="R362" s="842"/>
      <c r="S362" s="842"/>
      <c r="T362" s="842"/>
      <c r="U362" s="842"/>
      <c r="V362" s="842"/>
      <c r="W362" s="842"/>
      <c r="X362" s="842"/>
      <c r="Y362" s="842"/>
      <c r="Z362" s="842"/>
      <c r="AA362" s="2209"/>
      <c r="AB362" s="2209"/>
      <c r="AC362" s="346"/>
    </row>
    <row r="363" spans="1:29" ht="18.75" customHeight="1" x14ac:dyDescent="0.2">
      <c r="A363" s="341"/>
      <c r="B363" s="345"/>
      <c r="C363" s="442" t="str">
        <f t="shared" si="24"/>
        <v xml:space="preserve">Nitrogen </v>
      </c>
      <c r="D363" s="842" t="str">
        <f t="shared" ca="1" si="28"/>
        <v>mass ppm</v>
      </c>
      <c r="E363" s="842">
        <f t="shared" ca="1" si="25"/>
        <v>573.33295706140962</v>
      </c>
      <c r="F363" s="842"/>
      <c r="G363" s="842">
        <f t="shared" ca="1" si="26"/>
        <v>0</v>
      </c>
      <c r="H363" s="842">
        <f t="shared" ca="1" si="27"/>
        <v>0</v>
      </c>
      <c r="I363" s="842">
        <f ca="1">(E363*E361+F363*F361+G363*G361+H363*H361)/I361</f>
        <v>573.33295706140962</v>
      </c>
      <c r="J363" s="842"/>
      <c r="K363" s="842"/>
      <c r="L363" s="842"/>
      <c r="M363" s="842"/>
      <c r="N363" s="861">
        <v>0</v>
      </c>
      <c r="O363" s="842"/>
      <c r="P363" s="842"/>
      <c r="Q363" s="842"/>
      <c r="R363" s="842"/>
      <c r="S363" s="842"/>
      <c r="T363" s="842"/>
      <c r="U363" s="842"/>
      <c r="V363" s="842"/>
      <c r="W363" s="842"/>
      <c r="X363" s="842"/>
      <c r="Y363" s="842"/>
      <c r="Z363" s="842"/>
      <c r="AA363" s="2209"/>
      <c r="AB363" s="2209"/>
      <c r="AC363" s="346"/>
    </row>
    <row r="364" spans="1:29" ht="18.75" customHeight="1" x14ac:dyDescent="0.2">
      <c r="A364" s="341"/>
      <c r="B364" s="345"/>
      <c r="C364" s="442" t="str">
        <f t="shared" si="24"/>
        <v xml:space="preserve">API gravity </v>
      </c>
      <c r="D364" s="842" t="str">
        <f t="shared" ca="1" si="28"/>
        <v>oAPI</v>
      </c>
      <c r="E364" s="842">
        <f t="shared" ca="1" si="25"/>
        <v>24.811073777824959</v>
      </c>
      <c r="F364" s="842">
        <f ca="1">F970</f>
        <v>16.203549060553797</v>
      </c>
      <c r="G364" s="842">
        <f t="shared" ca="1" si="26"/>
        <v>0</v>
      </c>
      <c r="H364" s="842">
        <f t="shared" ca="1" si="27"/>
        <v>0</v>
      </c>
      <c r="I364" s="842">
        <f ca="1">141.5/(I365/1000)-131.5</f>
        <v>24.81107377782493</v>
      </c>
      <c r="J364" s="842"/>
      <c r="K364" s="842">
        <f ca="1">141.5/(K365/1000)-131.5</f>
        <v>63.970811706769609</v>
      </c>
      <c r="L364" s="842">
        <f ca="1">141.5/(L365/1000)-131.5</f>
        <v>38.980465091553469</v>
      </c>
      <c r="M364" s="842">
        <f ca="1">IF(M360=0,0,141.5/(M365/1000)-131.5)</f>
        <v>38.980465091553498</v>
      </c>
      <c r="N364" s="337">
        <f ca="1">IF(Constants!$H$209=1,U436,V425)</f>
        <v>24.787724032405976</v>
      </c>
      <c r="O364" s="842"/>
      <c r="P364" s="842"/>
      <c r="Q364" s="842"/>
      <c r="R364" s="842"/>
      <c r="S364" s="842"/>
      <c r="T364" s="842"/>
      <c r="U364" s="842"/>
      <c r="V364" s="842"/>
      <c r="W364" s="842"/>
      <c r="X364" s="842"/>
      <c r="Y364" s="842"/>
      <c r="Z364" s="842"/>
      <c r="AA364" s="2209"/>
      <c r="AB364" s="2209"/>
      <c r="AC364" s="346"/>
    </row>
    <row r="365" spans="1:29" ht="18.75" customHeight="1" x14ac:dyDescent="0.2">
      <c r="A365" s="341"/>
      <c r="B365" s="345"/>
      <c r="C365" s="442" t="str">
        <f t="shared" si="24"/>
        <v>Density</v>
      </c>
      <c r="D365" s="842" t="str">
        <f t="shared" ca="1" si="28"/>
        <v>kg/m^3</v>
      </c>
      <c r="E365" s="842">
        <f t="shared" ca="1" si="25"/>
        <v>905.24616445999914</v>
      </c>
      <c r="F365" s="842">
        <f ca="1">F971</f>
        <v>957.99999999992872</v>
      </c>
      <c r="G365" s="842">
        <f t="shared" ca="1" si="26"/>
        <v>0</v>
      </c>
      <c r="H365" s="842">
        <f t="shared" ca="1" si="27"/>
        <v>0</v>
      </c>
      <c r="I365" s="842">
        <f ca="1">I361/I360</f>
        <v>905.24616445999925</v>
      </c>
      <c r="J365" s="842"/>
      <c r="K365" s="842">
        <f ca="1">K361/K360</f>
        <v>723.89324403209366</v>
      </c>
      <c r="L365" s="842">
        <f ca="1">L361/L360</f>
        <v>830.00712089804517</v>
      </c>
      <c r="M365" s="842">
        <f ca="1">IF(M360=0,0,M361/M360)</f>
        <v>830.00712089804506</v>
      </c>
      <c r="N365" s="337">
        <f ca="1">IF(Constants!$H$209=1,U437,V426)</f>
        <v>905.38141031895907</v>
      </c>
      <c r="O365" s="842"/>
      <c r="P365" s="842"/>
      <c r="Q365" s="842"/>
      <c r="R365" s="842"/>
      <c r="S365" s="842"/>
      <c r="T365" s="842"/>
      <c r="U365" s="842"/>
      <c r="V365" s="842"/>
      <c r="W365" s="842"/>
      <c r="X365" s="842"/>
      <c r="Y365" s="842"/>
      <c r="Z365" s="842"/>
      <c r="AA365" s="2209"/>
      <c r="AB365" s="2209"/>
      <c r="AC365" s="346"/>
    </row>
    <row r="366" spans="1:29" ht="18.75" customHeight="1" x14ac:dyDescent="0.2">
      <c r="A366" s="341"/>
      <c r="B366" s="345"/>
      <c r="C366" s="442" t="str">
        <f t="shared" si="24"/>
        <v>Hydrogen</v>
      </c>
      <c r="D366" s="842" t="str">
        <f t="shared" ca="1" si="28"/>
        <v>wt%</v>
      </c>
      <c r="E366" s="842">
        <f t="shared" ca="1" si="25"/>
        <v>12.331915988948833</v>
      </c>
      <c r="F366" s="842">
        <f ca="1">F972</f>
        <v>11.160000000000947</v>
      </c>
      <c r="G366" s="842">
        <f t="shared" ca="1" si="26"/>
        <v>0</v>
      </c>
      <c r="H366" s="842">
        <f t="shared" ca="1" si="27"/>
        <v>0</v>
      </c>
      <c r="I366" s="842">
        <f ca="1">(E361*E366+F361*F366+G361*G366+H361*H366)/I361</f>
        <v>12.331915988948833</v>
      </c>
      <c r="J366" s="842">
        <f ca="1">H373</f>
        <v>20.738223340772556</v>
      </c>
      <c r="K366" s="842">
        <f ca="1">IF(Constants!H209=1,V438,SUMPRODUCT(W427:Y427,W422:Y422)/K361)</f>
        <v>14.666871318973451</v>
      </c>
      <c r="L366" s="842">
        <f ca="1">IF(Constants!H209=1,SUMPRODUCT(W438:Y438,W433:Y433)/L361,Z427)</f>
        <v>13.386945726864486</v>
      </c>
      <c r="M366" s="842">
        <f ca="1">IF(Constants!H209=1,SUMPRODUCT(Z438:AA438,Z433:AA433)/M361,Z427)</f>
        <v>13.386945726864486</v>
      </c>
      <c r="N366" s="337">
        <f ca="1">IF(Constants!$H$209=1,U438,V427)</f>
        <v>14.500360201057855</v>
      </c>
      <c r="O366" s="842"/>
      <c r="P366" s="842"/>
      <c r="Q366" s="842"/>
      <c r="R366" s="842"/>
      <c r="S366" s="842"/>
      <c r="T366" s="842"/>
      <c r="U366" s="842"/>
      <c r="V366" s="842"/>
      <c r="W366" s="842"/>
      <c r="X366" s="842"/>
      <c r="Y366" s="842"/>
      <c r="Z366" s="842"/>
      <c r="AA366" s="2209"/>
      <c r="AB366" s="2209"/>
      <c r="AC366" s="346"/>
    </row>
    <row r="367" spans="1:29" ht="18.75" customHeight="1" x14ac:dyDescent="0.2">
      <c r="A367" s="341"/>
      <c r="B367" s="345"/>
      <c r="C367" s="442" t="str">
        <f t="shared" si="24"/>
        <v>MCR</v>
      </c>
      <c r="D367" s="842" t="str">
        <f t="shared" ca="1" si="28"/>
        <v>wt%</v>
      </c>
      <c r="E367" s="842">
        <f t="shared" si="21"/>
        <v>0</v>
      </c>
      <c r="F367" s="842">
        <f>F973</f>
        <v>0</v>
      </c>
      <c r="G367" s="842" t="str">
        <f t="shared" ca="1" si="26"/>
        <v/>
      </c>
      <c r="H367" s="842" t="str">
        <f t="shared" ca="1" si="27"/>
        <v/>
      </c>
      <c r="I367" s="842"/>
      <c r="J367" s="842"/>
      <c r="K367" s="842"/>
      <c r="L367" s="842"/>
      <c r="M367" s="842"/>
      <c r="N367" s="337"/>
      <c r="O367" s="842"/>
      <c r="P367" s="842"/>
      <c r="Q367" s="842"/>
      <c r="R367" s="842"/>
      <c r="S367" s="842"/>
      <c r="T367" s="842"/>
      <c r="U367" s="842"/>
      <c r="V367" s="842"/>
      <c r="W367" s="842"/>
      <c r="X367" s="842"/>
      <c r="Y367" s="842"/>
      <c r="Z367" s="842"/>
      <c r="AA367" s="2209"/>
      <c r="AB367" s="2209"/>
      <c r="AC367" s="346"/>
    </row>
    <row r="368" spans="1:29" ht="18.75" customHeight="1" x14ac:dyDescent="0.2">
      <c r="A368" s="341"/>
      <c r="B368" s="345"/>
      <c r="C368" s="443" t="str">
        <f t="shared" si="24"/>
        <v>Characterization Factor</v>
      </c>
      <c r="D368" s="334" t="str">
        <f t="shared" ca="1" si="28"/>
        <v xml:space="preserve">Kw (Approximate) </v>
      </c>
      <c r="E368" s="334">
        <f ca="1">F580</f>
        <v>11.585905176337844</v>
      </c>
      <c r="F368" s="858">
        <v>12</v>
      </c>
      <c r="G368" s="334">
        <f t="shared" ca="1" si="26"/>
        <v>0</v>
      </c>
      <c r="H368" s="334">
        <f t="shared" ca="1" si="27"/>
        <v>0</v>
      </c>
      <c r="I368" s="334">
        <f ca="1">(E368*E361+F368*F361+G368*G361+H368*H361)/I361</f>
        <v>11.585905176337844</v>
      </c>
      <c r="J368" s="334"/>
      <c r="K368" s="334"/>
      <c r="L368" s="334"/>
      <c r="M368" s="334"/>
      <c r="N368" s="338"/>
      <c r="O368" s="842"/>
      <c r="P368" s="842"/>
      <c r="Q368" s="842"/>
      <c r="R368" s="842"/>
      <c r="S368" s="842"/>
      <c r="T368" s="842"/>
      <c r="U368" s="842"/>
      <c r="V368" s="842"/>
      <c r="W368" s="842"/>
      <c r="X368" s="842"/>
      <c r="Y368" s="842"/>
      <c r="Z368" s="842"/>
      <c r="AA368" s="2209"/>
      <c r="AB368" s="2209"/>
      <c r="AC368" s="346"/>
    </row>
    <row r="369" spans="1:29" ht="18.75" customHeight="1" x14ac:dyDescent="0.2">
      <c r="A369" s="341"/>
      <c r="B369" s="345"/>
      <c r="C369" s="444"/>
      <c r="D369" s="842"/>
      <c r="E369" s="842"/>
      <c r="F369" s="842"/>
      <c r="G369" s="842"/>
      <c r="H369" s="842"/>
      <c r="I369" s="842"/>
      <c r="J369" s="842"/>
      <c r="K369" s="842"/>
      <c r="L369" s="842"/>
      <c r="M369" s="842"/>
      <c r="N369" s="842"/>
      <c r="O369" s="842"/>
      <c r="P369" s="842"/>
      <c r="Q369" s="842"/>
      <c r="R369" s="842"/>
      <c r="S369" s="842"/>
      <c r="T369" s="842"/>
      <c r="U369" s="842"/>
      <c r="V369" s="842"/>
      <c r="W369" s="842"/>
      <c r="X369" s="842"/>
      <c r="Y369" s="842"/>
      <c r="Z369" s="842"/>
      <c r="AA369" s="2209"/>
      <c r="AB369" s="2209"/>
      <c r="AC369" s="346"/>
    </row>
    <row r="370" spans="1:29" ht="18.75" customHeight="1" x14ac:dyDescent="0.2">
      <c r="A370" s="341"/>
      <c r="B370" s="345"/>
      <c r="C370" s="843" t="s">
        <v>308</v>
      </c>
      <c r="D370" s="842"/>
      <c r="E370" s="842"/>
      <c r="F370" s="842"/>
      <c r="G370" s="843" t="s">
        <v>241</v>
      </c>
      <c r="H370" s="842"/>
      <c r="I370" s="842"/>
      <c r="J370" s="842"/>
      <c r="K370" s="842"/>
      <c r="L370" s="842"/>
      <c r="M370" s="842"/>
      <c r="N370" s="842"/>
      <c r="O370" s="842"/>
      <c r="P370" s="842"/>
      <c r="Q370" s="842"/>
      <c r="R370" s="842"/>
      <c r="S370" s="842"/>
      <c r="T370" s="842"/>
      <c r="U370" s="842"/>
      <c r="V370" s="842"/>
      <c r="W370" s="842"/>
      <c r="X370" s="842"/>
      <c r="Y370" s="842"/>
      <c r="Z370" s="842"/>
      <c r="AA370" s="2209"/>
      <c r="AB370" s="2209"/>
      <c r="AC370" s="346"/>
    </row>
    <row r="371" spans="1:29" ht="18.75" customHeight="1" x14ac:dyDescent="0.2">
      <c r="A371" s="341"/>
      <c r="B371" s="345"/>
      <c r="C371" s="855"/>
      <c r="D371" s="351" t="s">
        <v>624</v>
      </c>
      <c r="E371" s="352" t="s">
        <v>623</v>
      </c>
      <c r="F371" s="842"/>
      <c r="G371" s="855"/>
      <c r="H371" s="351" t="s">
        <v>624</v>
      </c>
      <c r="I371" s="352" t="s">
        <v>623</v>
      </c>
      <c r="J371" s="842"/>
      <c r="K371" s="842"/>
      <c r="L371" s="842"/>
      <c r="M371" s="842"/>
      <c r="N371" s="842"/>
      <c r="O371" s="842"/>
      <c r="P371" s="842"/>
      <c r="Q371" s="842"/>
      <c r="R371" s="842"/>
      <c r="S371" s="842"/>
      <c r="T371" s="842"/>
      <c r="U371" s="842"/>
      <c r="V371" s="842"/>
      <c r="W371" s="842"/>
      <c r="X371" s="842"/>
      <c r="Y371" s="842"/>
      <c r="Z371" s="842"/>
      <c r="AA371" s="2209"/>
      <c r="AB371" s="2209"/>
      <c r="AC371" s="346"/>
    </row>
    <row r="372" spans="1:29" ht="18.75" customHeight="1" x14ac:dyDescent="0.2">
      <c r="A372" s="341"/>
      <c r="B372" s="345"/>
      <c r="C372" s="453" t="s">
        <v>1780</v>
      </c>
      <c r="D372" s="842">
        <f ca="1">IF(Constants!H209=1,D416,J405)</f>
        <v>4.0741184345877698E-8</v>
      </c>
      <c r="E372" s="337" t="s">
        <v>622</v>
      </c>
      <c r="F372" s="842"/>
      <c r="G372" s="856" t="s">
        <v>363</v>
      </c>
      <c r="H372" s="842">
        <f ca="1">IF(Constants!H209=1,T433,(T422+U422))</f>
        <v>4.01525055866854E-8</v>
      </c>
      <c r="I372" s="337" t="s">
        <v>622</v>
      </c>
      <c r="J372" s="842"/>
      <c r="K372" s="842"/>
      <c r="L372" s="842"/>
      <c r="M372" s="842"/>
      <c r="N372" s="842"/>
      <c r="O372" s="842"/>
      <c r="P372" s="842"/>
      <c r="Q372" s="842"/>
      <c r="R372" s="842"/>
      <c r="S372" s="842"/>
      <c r="T372" s="842"/>
      <c r="U372" s="842"/>
      <c r="V372" s="842"/>
      <c r="W372" s="842"/>
      <c r="X372" s="842"/>
      <c r="Y372" s="842"/>
      <c r="Z372" s="842"/>
      <c r="AA372" s="2209"/>
      <c r="AB372" s="2209"/>
      <c r="AC372" s="346"/>
    </row>
    <row r="373" spans="1:29" ht="18.75" customHeight="1" x14ac:dyDescent="0.2">
      <c r="A373" s="341"/>
      <c r="B373" s="345"/>
      <c r="C373" s="454" t="s">
        <v>635</v>
      </c>
      <c r="D373" s="854">
        <f ca="1">Constants!H196</f>
        <v>107.52653348774533</v>
      </c>
      <c r="E373" s="369" t="s">
        <v>637</v>
      </c>
      <c r="F373" s="842"/>
      <c r="G373" s="856" t="s">
        <v>377</v>
      </c>
      <c r="H373" s="842">
        <f ca="1">IF(Constants!H209=1,T438,(J398/H372)*100)</f>
        <v>20.738223340772556</v>
      </c>
      <c r="I373" s="337" t="s">
        <v>579</v>
      </c>
      <c r="J373" s="842"/>
      <c r="K373" s="842"/>
      <c r="L373" s="842"/>
      <c r="M373" s="842"/>
      <c r="N373" s="842"/>
      <c r="O373" s="842"/>
      <c r="P373" s="842"/>
      <c r="Q373" s="842"/>
      <c r="R373" s="842"/>
      <c r="S373" s="842"/>
      <c r="T373" s="842"/>
      <c r="U373" s="842"/>
      <c r="V373" s="842"/>
      <c r="W373" s="842"/>
      <c r="X373" s="842"/>
      <c r="Y373" s="842"/>
      <c r="Z373" s="842"/>
      <c r="AA373" s="2209"/>
      <c r="AB373" s="2209"/>
      <c r="AC373" s="346"/>
    </row>
    <row r="374" spans="1:29" ht="18.75" customHeight="1" x14ac:dyDescent="0.2">
      <c r="A374" s="341"/>
      <c r="B374" s="345"/>
      <c r="C374" s="453" t="s">
        <v>634</v>
      </c>
      <c r="D374" s="842">
        <f ca="1">D373*'Energy &amp; Unit Conversions'!G82/'Energy &amp; Unit Conversions'!G80</f>
        <v>18.118781529271129</v>
      </c>
      <c r="E374" s="337" t="s">
        <v>636</v>
      </c>
      <c r="F374" s="842"/>
      <c r="G374" s="856" t="s">
        <v>378</v>
      </c>
      <c r="H374" s="842">
        <f ca="1">IF(Constants!H209=1,T434,(J387/H372)*100)</f>
        <v>8.4313001253205329</v>
      </c>
      <c r="I374" s="337" t="s">
        <v>579</v>
      </c>
      <c r="J374" s="842"/>
      <c r="K374" s="842"/>
      <c r="L374" s="842"/>
      <c r="M374" s="842"/>
      <c r="N374" s="842"/>
      <c r="O374" s="842"/>
      <c r="P374" s="842"/>
      <c r="Q374" s="842"/>
      <c r="R374" s="842"/>
      <c r="S374" s="842"/>
      <c r="T374" s="842"/>
      <c r="U374" s="842"/>
      <c r="V374" s="842"/>
      <c r="W374" s="842"/>
      <c r="X374" s="842"/>
      <c r="Y374" s="842"/>
      <c r="Z374" s="842"/>
      <c r="AA374" s="2209"/>
      <c r="AB374" s="2209"/>
      <c r="AC374" s="346"/>
    </row>
    <row r="375" spans="1:29" ht="18.75" customHeight="1" x14ac:dyDescent="0.2">
      <c r="A375" s="341"/>
      <c r="B375" s="345"/>
      <c r="C375" s="453" t="s">
        <v>542</v>
      </c>
      <c r="D375" s="842">
        <f ca="1">D373*I359/1000</f>
        <v>1.2024173538623429E-9</v>
      </c>
      <c r="E375" s="337" t="s">
        <v>472</v>
      </c>
      <c r="F375" s="842"/>
      <c r="G375" s="857" t="s">
        <v>379</v>
      </c>
      <c r="H375" s="334">
        <f ca="1">H372/(D372+I361)*100</f>
        <v>2.433251182819141</v>
      </c>
      <c r="I375" s="338" t="s">
        <v>579</v>
      </c>
      <c r="J375" s="842"/>
      <c r="K375" s="842"/>
      <c r="L375" s="842"/>
      <c r="M375" s="842"/>
      <c r="N375" s="842"/>
      <c r="O375" s="842"/>
      <c r="P375" s="842"/>
      <c r="Q375" s="842"/>
      <c r="R375" s="842"/>
      <c r="S375" s="842"/>
      <c r="T375" s="842"/>
      <c r="U375" s="842"/>
      <c r="V375" s="842"/>
      <c r="W375" s="842"/>
      <c r="X375" s="842"/>
      <c r="Y375" s="842"/>
      <c r="Z375" s="842"/>
      <c r="AA375" s="2209"/>
      <c r="AB375" s="2209"/>
      <c r="AC375" s="346"/>
    </row>
    <row r="376" spans="1:29" ht="18.75" customHeight="1" x14ac:dyDescent="0.2">
      <c r="A376" s="341"/>
      <c r="B376" s="345"/>
      <c r="C376" s="453" t="s">
        <v>542</v>
      </c>
      <c r="D376" s="842">
        <f ca="1">D374*I360</f>
        <v>3.2212988166596645E-8</v>
      </c>
      <c r="E376" s="337" t="s">
        <v>628</v>
      </c>
      <c r="F376" s="842"/>
      <c r="G376" s="839"/>
      <c r="H376" s="839"/>
      <c r="I376" s="839"/>
      <c r="J376" s="842"/>
      <c r="K376" s="842"/>
      <c r="L376" s="842"/>
      <c r="M376" s="842"/>
      <c r="N376" s="842"/>
      <c r="O376" s="842"/>
      <c r="P376" s="842"/>
      <c r="Q376" s="842"/>
      <c r="R376" s="842"/>
      <c r="S376" s="842"/>
      <c r="T376" s="842"/>
      <c r="U376" s="842"/>
      <c r="V376" s="842"/>
      <c r="W376" s="842"/>
      <c r="X376" s="842"/>
      <c r="Y376" s="842"/>
      <c r="Z376" s="842"/>
      <c r="AA376" s="2209"/>
      <c r="AB376" s="2209"/>
      <c r="AC376" s="346"/>
    </row>
    <row r="377" spans="1:29" ht="18.75" customHeight="1" x14ac:dyDescent="0.2">
      <c r="A377" s="341"/>
      <c r="B377" s="345"/>
      <c r="C377" s="452" t="s">
        <v>631</v>
      </c>
      <c r="D377" s="334">
        <f ca="1">D376*'Energy &amp; Unit Conversions'!P25*'Energy &amp; Unit Conversions'!G87</f>
        <v>1.3655301675308909E-11</v>
      </c>
      <c r="E377" s="338" t="s">
        <v>632</v>
      </c>
      <c r="F377" s="842"/>
      <c r="G377" s="839"/>
      <c r="H377" s="839"/>
      <c r="I377" s="839"/>
      <c r="J377" s="842"/>
      <c r="K377" s="842"/>
      <c r="L377" s="842"/>
      <c r="M377" s="842"/>
      <c r="N377" s="842"/>
      <c r="O377" s="842"/>
      <c r="P377" s="842"/>
      <c r="Q377" s="842"/>
      <c r="R377" s="842"/>
      <c r="S377" s="842"/>
      <c r="T377" s="842"/>
      <c r="U377" s="842"/>
      <c r="V377" s="842"/>
      <c r="W377" s="842"/>
      <c r="X377" s="842"/>
      <c r="Y377" s="842"/>
      <c r="Z377" s="842"/>
      <c r="AA377" s="2209"/>
      <c r="AB377" s="2209"/>
      <c r="AC377" s="346"/>
    </row>
    <row r="378" spans="1:29" ht="18.75" customHeight="1" x14ac:dyDescent="0.2">
      <c r="A378" s="341"/>
      <c r="B378" s="345"/>
      <c r="C378" s="453" t="s">
        <v>451</v>
      </c>
      <c r="D378" s="410">
        <f ca="1">Constants!H219</f>
        <v>6.4</v>
      </c>
      <c r="E378" s="337" t="s">
        <v>665</v>
      </c>
      <c r="F378" s="842"/>
      <c r="G378" s="839"/>
      <c r="H378" s="839"/>
      <c r="I378" s="839"/>
      <c r="J378" s="842"/>
      <c r="K378" s="842"/>
      <c r="L378" s="842"/>
      <c r="M378" s="842"/>
      <c r="N378" s="842"/>
      <c r="O378" s="842"/>
      <c r="P378" s="842"/>
      <c r="Q378" s="842"/>
      <c r="R378" s="842"/>
      <c r="S378" s="842"/>
      <c r="T378" s="842"/>
      <c r="U378" s="842"/>
      <c r="V378" s="842"/>
      <c r="W378" s="842"/>
      <c r="X378" s="842"/>
      <c r="Y378" s="842"/>
      <c r="Z378" s="842"/>
      <c r="AA378" s="2209"/>
      <c r="AB378" s="2209"/>
      <c r="AC378" s="346"/>
    </row>
    <row r="379" spans="1:29" ht="18.75" customHeight="1" x14ac:dyDescent="0.2">
      <c r="A379" s="341"/>
      <c r="B379" s="345"/>
      <c r="C379" s="453" t="s">
        <v>451</v>
      </c>
      <c r="D379" s="842">
        <f ca="1">D378/'Energy &amp; Unit Conversions'!G80</f>
        <v>40.254787646560452</v>
      </c>
      <c r="E379" s="337" t="s">
        <v>629</v>
      </c>
      <c r="F379" s="842"/>
      <c r="G379" s="839"/>
      <c r="H379" s="839"/>
      <c r="I379" s="839"/>
      <c r="J379" s="842"/>
      <c r="K379" s="842"/>
      <c r="L379" s="842"/>
      <c r="M379" s="842"/>
      <c r="N379" s="842"/>
      <c r="O379" s="842"/>
      <c r="P379" s="842"/>
      <c r="Q379" s="842"/>
      <c r="R379" s="842"/>
      <c r="S379" s="842"/>
      <c r="T379" s="842"/>
      <c r="U379" s="842"/>
      <c r="V379" s="842"/>
      <c r="W379" s="842"/>
      <c r="X379" s="842"/>
      <c r="Y379" s="842"/>
      <c r="Z379" s="842"/>
      <c r="AA379" s="2209"/>
      <c r="AB379" s="2209"/>
      <c r="AC379" s="346"/>
    </row>
    <row r="380" spans="1:29" ht="18.75" customHeight="1" x14ac:dyDescent="0.2">
      <c r="A380" s="341"/>
      <c r="B380" s="345"/>
      <c r="C380" s="452" t="s">
        <v>452</v>
      </c>
      <c r="D380" s="334">
        <f ca="1">I360*D379</f>
        <v>7.1568112679797666E-8</v>
      </c>
      <c r="E380" s="338" t="s">
        <v>627</v>
      </c>
      <c r="F380" s="842"/>
      <c r="G380" s="839"/>
      <c r="H380" s="839"/>
      <c r="I380" s="839"/>
      <c r="J380" s="842"/>
      <c r="K380" s="842"/>
      <c r="L380" s="842"/>
      <c r="M380" s="842"/>
      <c r="N380" s="842"/>
      <c r="O380" s="842"/>
      <c r="P380" s="842"/>
      <c r="Q380" s="842"/>
      <c r="R380" s="842"/>
      <c r="S380" s="842"/>
      <c r="T380" s="842"/>
      <c r="U380" s="842"/>
      <c r="V380" s="842"/>
      <c r="W380" s="842"/>
      <c r="X380" s="842"/>
      <c r="Y380" s="842"/>
      <c r="Z380" s="842"/>
      <c r="AA380" s="2209"/>
      <c r="AB380" s="2209"/>
      <c r="AC380" s="346"/>
    </row>
    <row r="381" spans="1:29" ht="18.75" customHeight="1" x14ac:dyDescent="0.2">
      <c r="A381" s="341"/>
      <c r="B381" s="345"/>
      <c r="C381" s="444"/>
      <c r="D381" s="839"/>
      <c r="E381" s="839"/>
      <c r="F381" s="842"/>
      <c r="G381" s="839"/>
      <c r="H381" s="839"/>
      <c r="I381" s="839"/>
      <c r="J381" s="842"/>
      <c r="K381" s="842"/>
      <c r="L381" s="842"/>
      <c r="M381" s="842"/>
      <c r="N381" s="842"/>
      <c r="O381" s="842"/>
      <c r="P381" s="842"/>
      <c r="Q381" s="842"/>
      <c r="R381" s="842"/>
      <c r="S381" s="842"/>
      <c r="T381" s="842"/>
      <c r="U381" s="842"/>
      <c r="V381" s="842"/>
      <c r="W381" s="842"/>
      <c r="X381" s="842"/>
      <c r="Y381" s="842"/>
      <c r="Z381" s="842"/>
      <c r="AA381" s="2209"/>
      <c r="AB381" s="2209"/>
      <c r="AC381" s="346"/>
    </row>
    <row r="382" spans="1:29" ht="18.75" customHeight="1" x14ac:dyDescent="0.2">
      <c r="A382" s="341"/>
      <c r="B382" s="345"/>
      <c r="C382" s="843" t="s">
        <v>387</v>
      </c>
      <c r="D382" s="839"/>
      <c r="E382" s="839"/>
      <c r="F382" s="842"/>
      <c r="G382" s="842"/>
      <c r="H382" s="842"/>
      <c r="I382" s="843" t="s">
        <v>387</v>
      </c>
      <c r="J382" s="839"/>
      <c r="K382" s="839"/>
      <c r="L382" s="842"/>
      <c r="M382" s="842"/>
      <c r="N382" s="842"/>
      <c r="O382" s="842"/>
      <c r="P382" s="842"/>
      <c r="Q382" s="842"/>
      <c r="R382" s="842"/>
      <c r="S382" s="842"/>
      <c r="T382" s="842"/>
      <c r="U382" s="842"/>
      <c r="V382" s="842"/>
      <c r="W382" s="842"/>
      <c r="X382" s="842"/>
      <c r="Y382" s="842"/>
      <c r="Z382" s="842"/>
      <c r="AA382" s="2209"/>
      <c r="AB382" s="2209"/>
      <c r="AC382" s="346"/>
    </row>
    <row r="383" spans="1:29" ht="18.75" customHeight="1" x14ac:dyDescent="0.2">
      <c r="A383" s="341"/>
      <c r="B383" s="345"/>
      <c r="C383" s="454" t="s">
        <v>1389</v>
      </c>
      <c r="D383" s="862">
        <v>99.9</v>
      </c>
      <c r="E383" s="369" t="s">
        <v>579</v>
      </c>
      <c r="F383" s="842"/>
      <c r="G383" s="842"/>
      <c r="H383" s="842"/>
      <c r="I383" s="454" t="s">
        <v>1389</v>
      </c>
      <c r="J383" s="862">
        <v>99.9</v>
      </c>
      <c r="K383" s="369" t="s">
        <v>579</v>
      </c>
      <c r="L383" s="842"/>
      <c r="M383" s="842"/>
      <c r="N383" s="842"/>
      <c r="O383" s="842"/>
      <c r="P383" s="842"/>
      <c r="Q383" s="842"/>
      <c r="R383" s="842"/>
      <c r="S383" s="842"/>
      <c r="T383" s="842"/>
      <c r="U383" s="842"/>
      <c r="V383" s="842"/>
      <c r="W383" s="842"/>
      <c r="X383" s="842"/>
      <c r="Y383" s="842"/>
      <c r="Z383" s="842"/>
      <c r="AA383" s="2209"/>
      <c r="AB383" s="2209"/>
      <c r="AC383" s="346"/>
    </row>
    <row r="384" spans="1:29" ht="18.75" customHeight="1" x14ac:dyDescent="0.2">
      <c r="A384" s="341"/>
      <c r="B384" s="345"/>
      <c r="C384" s="453" t="s">
        <v>64</v>
      </c>
      <c r="D384" s="842">
        <f ca="1">I361*I362/100</f>
        <v>3.3887670208704103E-9</v>
      </c>
      <c r="E384" s="337" t="s">
        <v>59</v>
      </c>
      <c r="F384" s="842"/>
      <c r="G384" s="842"/>
      <c r="H384" s="842"/>
      <c r="I384" s="453" t="s">
        <v>64</v>
      </c>
      <c r="J384" s="842">
        <f ca="1">I361*I362/100</f>
        <v>3.3887670208704103E-9</v>
      </c>
      <c r="K384" s="337" t="s">
        <v>59</v>
      </c>
      <c r="L384" s="842"/>
      <c r="M384" s="842"/>
      <c r="N384" s="842"/>
      <c r="O384" s="842"/>
      <c r="P384" s="842"/>
      <c r="Q384" s="842"/>
      <c r="R384" s="842"/>
      <c r="S384" s="842"/>
      <c r="T384" s="842"/>
      <c r="U384" s="842"/>
      <c r="V384" s="842"/>
      <c r="W384" s="842"/>
      <c r="X384" s="842"/>
      <c r="Y384" s="842"/>
      <c r="Z384" s="842"/>
      <c r="AA384" s="2209"/>
      <c r="AB384" s="2209"/>
      <c r="AC384" s="346"/>
    </row>
    <row r="385" spans="1:29" ht="18.75" customHeight="1" x14ac:dyDescent="0.2">
      <c r="A385" s="341"/>
      <c r="B385" s="345"/>
      <c r="C385" s="453" t="s">
        <v>58</v>
      </c>
      <c r="D385" s="842">
        <f ca="1">D384*(D383/100)</f>
        <v>3.3853782538495402E-9</v>
      </c>
      <c r="E385" s="337" t="s">
        <v>59</v>
      </c>
      <c r="F385" s="842"/>
      <c r="G385" s="842"/>
      <c r="H385" s="842"/>
      <c r="I385" s="453" t="s">
        <v>58</v>
      </c>
      <c r="J385" s="842">
        <f ca="1">J384*(J383/100)</f>
        <v>3.3853782538495402E-9</v>
      </c>
      <c r="K385" s="337" t="s">
        <v>59</v>
      </c>
      <c r="L385" s="842"/>
      <c r="M385" s="842"/>
      <c r="N385" s="842"/>
      <c r="O385" s="842"/>
      <c r="P385" s="842"/>
      <c r="Q385" s="842"/>
      <c r="R385" s="842"/>
      <c r="S385" s="842"/>
      <c r="T385" s="842"/>
      <c r="U385" s="842"/>
      <c r="V385" s="842"/>
      <c r="W385" s="842"/>
      <c r="X385" s="842"/>
      <c r="Y385" s="842"/>
      <c r="Z385" s="842"/>
      <c r="AA385" s="2209"/>
      <c r="AB385" s="2209"/>
      <c r="AC385" s="346"/>
    </row>
    <row r="386" spans="1:29" ht="18.75" customHeight="1" x14ac:dyDescent="0.2">
      <c r="A386" s="341"/>
      <c r="B386" s="345"/>
      <c r="C386" s="453" t="s">
        <v>729</v>
      </c>
      <c r="D386" s="842">
        <f ca="1">D384-D385</f>
        <v>3.3887670208701738E-12</v>
      </c>
      <c r="E386" s="337" t="s">
        <v>59</v>
      </c>
      <c r="F386" s="842"/>
      <c r="G386" s="842"/>
      <c r="H386" s="842"/>
      <c r="I386" s="453" t="s">
        <v>729</v>
      </c>
      <c r="J386" s="842">
        <f ca="1">J384-J385</f>
        <v>3.3887670208701738E-12</v>
      </c>
      <c r="K386" s="337" t="s">
        <v>59</v>
      </c>
      <c r="L386" s="842"/>
      <c r="M386" s="842"/>
      <c r="N386" s="842"/>
      <c r="O386" s="842"/>
      <c r="P386" s="842"/>
      <c r="Q386" s="842"/>
      <c r="R386" s="842"/>
      <c r="S386" s="842"/>
      <c r="T386" s="842"/>
      <c r="U386" s="842"/>
      <c r="V386" s="842"/>
      <c r="W386" s="842"/>
      <c r="X386" s="842"/>
      <c r="Y386" s="842"/>
      <c r="Z386" s="842"/>
      <c r="AA386" s="2209"/>
      <c r="AB386" s="2209"/>
      <c r="AC386" s="346"/>
    </row>
    <row r="387" spans="1:29" ht="18.75" customHeight="1" x14ac:dyDescent="0.2">
      <c r="A387" s="341"/>
      <c r="B387" s="345"/>
      <c r="C387" s="453" t="s">
        <v>60</v>
      </c>
      <c r="D387" s="842">
        <f ca="1">D384-D386</f>
        <v>3.3853782538495402E-9</v>
      </c>
      <c r="E387" s="337" t="s">
        <v>59</v>
      </c>
      <c r="F387" s="842"/>
      <c r="G387" s="842"/>
      <c r="H387" s="842"/>
      <c r="I387" s="453" t="s">
        <v>60</v>
      </c>
      <c r="J387" s="842">
        <f ca="1">J384-J386</f>
        <v>3.3853782538495402E-9</v>
      </c>
      <c r="K387" s="337" t="s">
        <v>59</v>
      </c>
      <c r="L387" s="842"/>
      <c r="M387" s="842"/>
      <c r="N387" s="842"/>
      <c r="O387" s="842"/>
      <c r="P387" s="842"/>
      <c r="Q387" s="842"/>
      <c r="R387" s="842"/>
      <c r="S387" s="842"/>
      <c r="T387" s="842"/>
      <c r="U387" s="842"/>
      <c r="V387" s="842"/>
      <c r="W387" s="842"/>
      <c r="X387" s="842"/>
      <c r="Y387" s="842"/>
      <c r="Z387" s="842"/>
      <c r="AA387" s="2209"/>
      <c r="AB387" s="2209"/>
      <c r="AC387" s="346"/>
    </row>
    <row r="388" spans="1:29" ht="18.75" customHeight="1" x14ac:dyDescent="0.2">
      <c r="A388" s="341"/>
      <c r="B388" s="345"/>
      <c r="C388" s="453" t="s">
        <v>343</v>
      </c>
      <c r="D388" s="579">
        <v>5</v>
      </c>
      <c r="E388" s="337" t="s">
        <v>579</v>
      </c>
      <c r="F388" s="842"/>
      <c r="G388" s="842"/>
      <c r="H388" s="842"/>
      <c r="I388" s="453" t="str">
        <f>C421</f>
        <v>C3 and Lighthers</v>
      </c>
      <c r="J388" s="579">
        <f ca="1">G421</f>
        <v>2.2713522937730968</v>
      </c>
      <c r="K388" s="337" t="s">
        <v>579</v>
      </c>
      <c r="L388" s="842"/>
      <c r="M388" s="842"/>
      <c r="N388" s="842"/>
      <c r="O388" s="842"/>
      <c r="P388" s="842"/>
      <c r="Q388" s="842"/>
      <c r="R388" s="842"/>
      <c r="S388" s="842"/>
      <c r="T388" s="842"/>
      <c r="U388" s="842"/>
      <c r="V388" s="842"/>
      <c r="W388" s="842"/>
      <c r="X388" s="842"/>
      <c r="Y388" s="842"/>
      <c r="Z388" s="842"/>
      <c r="AA388" s="2209"/>
      <c r="AB388" s="2209"/>
      <c r="AC388" s="346"/>
    </row>
    <row r="389" spans="1:29" ht="18.75" customHeight="1" x14ac:dyDescent="0.2">
      <c r="A389" s="341"/>
      <c r="B389" s="345"/>
      <c r="C389" s="453" t="s">
        <v>346</v>
      </c>
      <c r="D389" s="410">
        <f>Constants!N393</f>
        <v>21.263257011562782</v>
      </c>
      <c r="E389" s="337" t="s">
        <v>579</v>
      </c>
      <c r="F389" s="842"/>
      <c r="G389" s="842"/>
      <c r="H389" s="842"/>
      <c r="I389" s="453" t="s">
        <v>346</v>
      </c>
      <c r="J389" s="410">
        <f>Constants!H207</f>
        <v>22.2</v>
      </c>
      <c r="K389" s="337" t="s">
        <v>579</v>
      </c>
      <c r="L389" s="842"/>
      <c r="M389" s="842"/>
      <c r="N389" s="842"/>
      <c r="O389" s="842"/>
      <c r="P389" s="842"/>
      <c r="Q389" s="842"/>
      <c r="R389" s="842"/>
      <c r="S389" s="842"/>
      <c r="T389" s="842"/>
      <c r="U389" s="842"/>
      <c r="V389" s="842"/>
      <c r="W389" s="842"/>
      <c r="X389" s="842"/>
      <c r="Y389" s="842"/>
      <c r="Z389" s="842"/>
      <c r="AA389" s="2209"/>
      <c r="AB389" s="2209"/>
      <c r="AC389" s="346"/>
    </row>
    <row r="390" spans="1:29" ht="18.75" customHeight="1" x14ac:dyDescent="0.2">
      <c r="A390" s="341"/>
      <c r="B390" s="345"/>
      <c r="C390" s="453" t="s">
        <v>343</v>
      </c>
      <c r="D390" s="842">
        <f ca="1">D388/100*I361</f>
        <v>8.0470874756388814E-8</v>
      </c>
      <c r="E390" s="337" t="s">
        <v>622</v>
      </c>
      <c r="F390" s="842"/>
      <c r="G390" s="842"/>
      <c r="H390" s="842"/>
      <c r="I390" s="453" t="str">
        <f>I388</f>
        <v>C3 and Lighthers</v>
      </c>
      <c r="J390" s="842">
        <f ca="1">I361*(J388/100)</f>
        <v>3.6555541191970266E-8</v>
      </c>
      <c r="K390" s="337" t="s">
        <v>622</v>
      </c>
      <c r="L390" s="842"/>
      <c r="M390" s="842"/>
      <c r="N390" s="842"/>
      <c r="O390" s="842"/>
      <c r="P390" s="842"/>
      <c r="Q390" s="842"/>
      <c r="R390" s="842"/>
      <c r="S390" s="842"/>
      <c r="T390" s="842"/>
      <c r="U390" s="842"/>
      <c r="V390" s="842"/>
      <c r="W390" s="842"/>
      <c r="X390" s="842"/>
      <c r="Y390" s="842"/>
      <c r="Z390" s="842"/>
      <c r="AA390" s="2209"/>
      <c r="AB390" s="2209"/>
      <c r="AC390" s="346"/>
    </row>
    <row r="391" spans="1:29" ht="18.75" customHeight="1" x14ac:dyDescent="0.2">
      <c r="A391" s="341"/>
      <c r="B391" s="345"/>
      <c r="C391" s="453" t="s">
        <v>345</v>
      </c>
      <c r="D391" s="842">
        <f ca="1">D390*I366/100</f>
        <v>9.9236006705301026E-9</v>
      </c>
      <c r="E391" s="337" t="s">
        <v>622</v>
      </c>
      <c r="F391" s="842"/>
      <c r="G391" s="842"/>
      <c r="H391" s="842"/>
      <c r="I391" s="453"/>
      <c r="J391" s="842"/>
      <c r="K391" s="337"/>
      <c r="L391" s="842"/>
      <c r="M391" s="842"/>
      <c r="N391" s="842"/>
      <c r="O391" s="842"/>
      <c r="P391" s="842"/>
      <c r="Q391" s="842"/>
      <c r="R391" s="842"/>
      <c r="S391" s="842"/>
      <c r="T391" s="842"/>
      <c r="U391" s="842"/>
      <c r="V391" s="842"/>
      <c r="W391" s="842"/>
      <c r="X391" s="842"/>
      <c r="Y391" s="842"/>
      <c r="Z391" s="842"/>
      <c r="AA391" s="2209"/>
      <c r="AB391" s="2209"/>
      <c r="AC391" s="346"/>
    </row>
    <row r="392" spans="1:29" ht="18.75" customHeight="1" x14ac:dyDescent="0.2">
      <c r="A392" s="341"/>
      <c r="B392" s="345"/>
      <c r="C392" s="453" t="s">
        <v>344</v>
      </c>
      <c r="D392" s="842">
        <f ca="1">D390*I362/100</f>
        <v>1.6943835104352053E-10</v>
      </c>
      <c r="E392" s="337" t="s">
        <v>622</v>
      </c>
      <c r="F392" s="842"/>
      <c r="G392" s="842"/>
      <c r="H392" s="842"/>
      <c r="I392" s="442" t="s">
        <v>875</v>
      </c>
      <c r="J392" s="410">
        <f>'Process Correlations'!E22</f>
        <v>1500</v>
      </c>
      <c r="K392" s="337" t="str">
        <f>'Process Correlations'!F22</f>
        <v>scf/bbl feed</v>
      </c>
      <c r="L392" s="842"/>
      <c r="M392" s="842"/>
      <c r="N392" s="842"/>
      <c r="O392" s="842"/>
      <c r="P392" s="842"/>
      <c r="Q392" s="842"/>
      <c r="R392" s="842"/>
      <c r="S392" s="842"/>
      <c r="T392" s="842"/>
      <c r="U392" s="842"/>
      <c r="V392" s="842"/>
      <c r="W392" s="842"/>
      <c r="X392" s="842"/>
      <c r="Y392" s="842"/>
      <c r="Z392" s="842"/>
      <c r="AA392" s="2209"/>
      <c r="AB392" s="2209"/>
      <c r="AC392" s="346"/>
    </row>
    <row r="393" spans="1:29" ht="18.75" customHeight="1" x14ac:dyDescent="0.2">
      <c r="A393" s="341"/>
      <c r="B393" s="345"/>
      <c r="C393" s="453" t="s">
        <v>347</v>
      </c>
      <c r="D393" s="842">
        <f ca="1">D390-D391-D392</f>
        <v>7.0377835734815197E-8</v>
      </c>
      <c r="E393" s="337" t="s">
        <v>622</v>
      </c>
      <c r="F393" s="842"/>
      <c r="G393" s="842"/>
      <c r="H393" s="842"/>
      <c r="I393" s="453" t="s">
        <v>876</v>
      </c>
      <c r="J393" s="842">
        <f ca="1">J392*('Energy &amp; Unit Conversions'!E26/'Energy &amp; Unit Conversions'!E93)*I359</f>
        <v>4.0392956261981734E-8</v>
      </c>
      <c r="K393" s="337" t="s">
        <v>622</v>
      </c>
      <c r="L393" s="842"/>
      <c r="M393" s="842"/>
      <c r="N393" s="842"/>
      <c r="O393" s="842"/>
      <c r="P393" s="842"/>
      <c r="Q393" s="842"/>
      <c r="R393" s="842"/>
      <c r="S393" s="842"/>
      <c r="T393" s="842"/>
      <c r="U393" s="842"/>
      <c r="V393" s="842"/>
      <c r="W393" s="842"/>
      <c r="X393" s="842"/>
      <c r="Y393" s="842"/>
      <c r="Z393" s="842"/>
      <c r="AA393" s="2209"/>
      <c r="AB393" s="2209"/>
      <c r="AC393" s="346"/>
    </row>
    <row r="394" spans="1:29" ht="18.75" customHeight="1" x14ac:dyDescent="0.2">
      <c r="A394" s="341"/>
      <c r="B394" s="345"/>
      <c r="C394" s="453" t="s">
        <v>349</v>
      </c>
      <c r="D394" s="842">
        <f ca="1">D392*(34/32)</f>
        <v>1.8002824798374057E-10</v>
      </c>
      <c r="E394" s="337" t="s">
        <v>622</v>
      </c>
      <c r="F394" s="842"/>
      <c r="G394" s="842"/>
      <c r="H394" s="842"/>
      <c r="I394" s="863" t="s">
        <v>349</v>
      </c>
      <c r="J394" s="842">
        <f ca="1">J387*(34/32)</f>
        <v>3.5969643947151366E-9</v>
      </c>
      <c r="K394" s="337" t="s">
        <v>622</v>
      </c>
      <c r="L394" s="842"/>
      <c r="M394" s="842"/>
      <c r="N394" s="842"/>
      <c r="O394" s="842"/>
      <c r="P394" s="842"/>
      <c r="Q394" s="842"/>
      <c r="R394" s="842"/>
      <c r="S394" s="842"/>
      <c r="T394" s="842"/>
      <c r="U394" s="842"/>
      <c r="V394" s="842"/>
      <c r="W394" s="842"/>
      <c r="X394" s="842"/>
      <c r="Y394" s="842"/>
      <c r="Z394" s="842"/>
      <c r="AA394" s="2209"/>
      <c r="AB394" s="2209"/>
      <c r="AC394" s="346"/>
    </row>
    <row r="395" spans="1:29" ht="18.75" customHeight="1" x14ac:dyDescent="0.2">
      <c r="A395" s="341"/>
      <c r="B395" s="345"/>
      <c r="C395" s="453" t="s">
        <v>348</v>
      </c>
      <c r="D395" s="842">
        <f ca="1">D393/(1-D389/100)</f>
        <v>8.9383727423358678E-8</v>
      </c>
      <c r="E395" s="337" t="s">
        <v>622</v>
      </c>
      <c r="F395" s="842"/>
      <c r="G395" s="842"/>
      <c r="H395" s="842"/>
      <c r="I395" s="453" t="s">
        <v>68</v>
      </c>
      <c r="J395" s="842">
        <f ca="1">2/32*J387</f>
        <v>2.1158614086559626E-10</v>
      </c>
      <c r="K395" s="337" t="s">
        <v>622</v>
      </c>
      <c r="L395" s="842"/>
      <c r="M395" s="842"/>
      <c r="N395" s="842"/>
      <c r="O395" s="842"/>
      <c r="P395" s="842"/>
      <c r="Q395" s="842"/>
      <c r="R395" s="842"/>
      <c r="S395" s="842"/>
      <c r="T395" s="842"/>
      <c r="U395" s="842"/>
      <c r="V395" s="842"/>
      <c r="W395" s="842"/>
      <c r="X395" s="842"/>
      <c r="Y395" s="842"/>
      <c r="Z395" s="842"/>
      <c r="AA395" s="2209"/>
      <c r="AB395" s="2209"/>
      <c r="AC395" s="346"/>
    </row>
    <row r="396" spans="1:29" ht="18.75" customHeight="1" x14ac:dyDescent="0.2">
      <c r="A396" s="341"/>
      <c r="B396" s="345"/>
      <c r="C396" s="453" t="s">
        <v>65</v>
      </c>
      <c r="D396" s="842">
        <f ca="1">D392*(2/32)</f>
        <v>1.0589896940220033E-11</v>
      </c>
      <c r="E396" s="337" t="s">
        <v>622</v>
      </c>
      <c r="F396" s="842"/>
      <c r="G396" s="842"/>
      <c r="H396" s="842"/>
      <c r="I396" s="453" t="s">
        <v>1395</v>
      </c>
      <c r="J396" s="842">
        <f ca="1">J395</f>
        <v>2.1158614086559626E-10</v>
      </c>
      <c r="K396" s="337" t="s">
        <v>622</v>
      </c>
      <c r="L396" s="842"/>
      <c r="M396" s="842"/>
      <c r="N396" s="842"/>
      <c r="O396" s="842"/>
      <c r="P396" s="842"/>
      <c r="Q396" s="842"/>
      <c r="R396" s="842"/>
      <c r="S396" s="842"/>
      <c r="T396" s="842"/>
      <c r="U396" s="842"/>
      <c r="V396" s="842"/>
      <c r="W396" s="842"/>
      <c r="X396" s="842"/>
      <c r="Y396" s="842"/>
      <c r="Z396" s="842"/>
      <c r="AA396" s="2209"/>
      <c r="AB396" s="2209"/>
      <c r="AC396" s="346"/>
    </row>
    <row r="397" spans="1:29" ht="18.75" customHeight="1" x14ac:dyDescent="0.2">
      <c r="A397" s="341"/>
      <c r="B397" s="345"/>
      <c r="C397" s="453" t="s">
        <v>66</v>
      </c>
      <c r="D397" s="842">
        <f ca="1">D395*(D389/100)</f>
        <v>1.9005891688543481E-8</v>
      </c>
      <c r="E397" s="337" t="s">
        <v>622</v>
      </c>
      <c r="F397" s="842"/>
      <c r="G397" s="842"/>
      <c r="H397" s="842"/>
      <c r="I397" s="453" t="s">
        <v>1393</v>
      </c>
      <c r="J397" s="842">
        <f ca="1">(J396+J395)*'Energy &amp; Unit Conversions'!$E$93/'Energy &amp; Unit Conversions'!$E$26*'Energy &amp; Unit Conversions'!$G$82/I360/(I362-N362)</f>
        <v>12.588605657199755</v>
      </c>
      <c r="K397" s="337" t="s">
        <v>904</v>
      </c>
      <c r="L397" s="842"/>
      <c r="M397" s="842"/>
      <c r="N397" s="842"/>
      <c r="O397" s="842"/>
      <c r="P397" s="842"/>
      <c r="Q397" s="842"/>
      <c r="R397" s="842"/>
      <c r="S397" s="842"/>
      <c r="T397" s="842"/>
      <c r="U397" s="842"/>
      <c r="V397" s="842"/>
      <c r="W397" s="842"/>
      <c r="X397" s="842"/>
      <c r="Y397" s="842"/>
      <c r="Z397" s="842"/>
      <c r="AA397" s="2209"/>
      <c r="AB397" s="2209"/>
      <c r="AC397" s="346"/>
    </row>
    <row r="398" spans="1:29" ht="18.75" customHeight="1" x14ac:dyDescent="0.2">
      <c r="A398" s="341"/>
      <c r="B398" s="345"/>
      <c r="C398" s="453" t="s">
        <v>67</v>
      </c>
      <c r="D398" s="842">
        <f ca="1">(D396+D397)-D391</f>
        <v>9.0928809149535966E-9</v>
      </c>
      <c r="E398" s="337" t="s">
        <v>622</v>
      </c>
      <c r="F398" s="842"/>
      <c r="G398" s="842"/>
      <c r="H398" s="842"/>
      <c r="I398" s="453" t="s">
        <v>867</v>
      </c>
      <c r="J398" s="842">
        <f ca="1">J390*(J389/100)+J395</f>
        <v>8.3269162854829956E-9</v>
      </c>
      <c r="K398" s="337" t="s">
        <v>622</v>
      </c>
      <c r="L398" s="842"/>
      <c r="M398" s="842"/>
      <c r="N398" s="842"/>
      <c r="O398" s="842"/>
      <c r="P398" s="842"/>
      <c r="Q398" s="842"/>
      <c r="R398" s="842"/>
      <c r="S398" s="842"/>
      <c r="T398" s="842"/>
      <c r="U398" s="842"/>
      <c r="V398" s="842"/>
      <c r="W398" s="842"/>
      <c r="X398" s="842"/>
      <c r="Y398" s="842"/>
      <c r="Z398" s="842"/>
      <c r="AA398" s="2209"/>
      <c r="AB398" s="2209"/>
      <c r="AC398" s="346"/>
    </row>
    <row r="399" spans="1:29" ht="18.75" customHeight="1" x14ac:dyDescent="0.2">
      <c r="A399" s="341"/>
      <c r="B399" s="345"/>
      <c r="C399" s="453" t="s">
        <v>1394</v>
      </c>
      <c r="D399" s="842">
        <f ca="1">I361*(1-D388/100)</f>
        <v>1.5289466203713873E-6</v>
      </c>
      <c r="E399" s="337" t="s">
        <v>622</v>
      </c>
      <c r="F399" s="842"/>
      <c r="G399" s="842"/>
      <c r="H399" s="842"/>
      <c r="I399" s="453" t="s">
        <v>868</v>
      </c>
      <c r="J399" s="842">
        <f ca="1">SUM(O422:O426)</f>
        <v>2.2529087000177676E-7</v>
      </c>
      <c r="K399" s="337" t="s">
        <v>622</v>
      </c>
      <c r="L399" s="842"/>
      <c r="M399" s="842"/>
      <c r="N399" s="842"/>
      <c r="O399" s="842"/>
      <c r="P399" s="842"/>
      <c r="Q399" s="842"/>
      <c r="R399" s="842"/>
      <c r="S399" s="842"/>
      <c r="T399" s="842"/>
      <c r="U399" s="842"/>
      <c r="V399" s="842"/>
      <c r="W399" s="842"/>
      <c r="X399" s="842"/>
      <c r="Y399" s="842"/>
      <c r="Z399" s="842"/>
      <c r="AA399" s="2209"/>
      <c r="AB399" s="2209"/>
      <c r="AC399" s="346"/>
    </row>
    <row r="400" spans="1:29" ht="18.75" customHeight="1" x14ac:dyDescent="0.2">
      <c r="A400" s="341"/>
      <c r="B400" s="345"/>
      <c r="C400" s="453" t="s">
        <v>376</v>
      </c>
      <c r="D400" s="842">
        <f ca="1">D387-D392</f>
        <v>3.2159399028060195E-9</v>
      </c>
      <c r="E400" s="337" t="s">
        <v>622</v>
      </c>
      <c r="F400" s="842"/>
      <c r="G400" s="842"/>
      <c r="H400" s="842"/>
      <c r="I400" s="453" t="s">
        <v>869</v>
      </c>
      <c r="J400" s="842">
        <f ca="1">I361*(I366/100)</f>
        <v>1.9847201341060203E-7</v>
      </c>
      <c r="K400" s="337" t="s">
        <v>622</v>
      </c>
      <c r="L400" s="842"/>
      <c r="M400" s="842"/>
      <c r="N400" s="842"/>
      <c r="O400" s="842"/>
      <c r="P400" s="842"/>
      <c r="Q400" s="842"/>
      <c r="R400" s="842"/>
      <c r="S400" s="842"/>
      <c r="T400" s="842"/>
      <c r="U400" s="842"/>
      <c r="V400" s="842"/>
      <c r="W400" s="842"/>
      <c r="X400" s="842"/>
      <c r="Y400" s="842"/>
      <c r="Z400" s="842"/>
      <c r="AA400" s="2209"/>
      <c r="AB400" s="2209"/>
      <c r="AC400" s="346"/>
    </row>
    <row r="401" spans="1:29" ht="18.75" customHeight="1" x14ac:dyDescent="0.2">
      <c r="A401" s="341"/>
      <c r="B401" s="345"/>
      <c r="C401" s="453" t="s">
        <v>349</v>
      </c>
      <c r="D401" s="842">
        <f ca="1">D400*(34/32)</f>
        <v>3.4169361467313958E-9</v>
      </c>
      <c r="E401" s="337" t="s">
        <v>622</v>
      </c>
      <c r="F401" s="842"/>
      <c r="G401" s="842"/>
      <c r="H401" s="842"/>
      <c r="I401" s="453" t="s">
        <v>905</v>
      </c>
      <c r="J401" s="842">
        <f ca="1">D406*I360*(I363-N363)/10000/'Energy &amp; Unit Conversions'!$G$82*'Energy &amp; Unit Conversions'!$E$26/'Energy &amp; Unit Conversions'!$E$93</f>
        <v>3.1152066478303512E-10</v>
      </c>
      <c r="K401" s="337" t="s">
        <v>622</v>
      </c>
      <c r="L401" s="842"/>
      <c r="M401" s="842"/>
      <c r="N401" s="842"/>
      <c r="O401" s="842"/>
      <c r="P401" s="842"/>
      <c r="Q401" s="842"/>
      <c r="R401" s="842"/>
      <c r="S401" s="842"/>
      <c r="T401" s="842"/>
      <c r="U401" s="842"/>
      <c r="V401" s="842"/>
      <c r="W401" s="842"/>
      <c r="X401" s="842"/>
      <c r="Y401" s="842"/>
      <c r="Z401" s="842"/>
      <c r="AA401" s="2209"/>
      <c r="AB401" s="2209"/>
      <c r="AC401" s="346"/>
    </row>
    <row r="402" spans="1:29" ht="18.75" customHeight="1" x14ac:dyDescent="0.2">
      <c r="A402" s="341"/>
      <c r="B402" s="345"/>
      <c r="C402" s="453" t="s">
        <v>68</v>
      </c>
      <c r="D402" s="842">
        <f ca="1">2/32*D400</f>
        <v>2.0099624392537622E-10</v>
      </c>
      <c r="E402" s="337" t="s">
        <v>622</v>
      </c>
      <c r="F402" s="842"/>
      <c r="G402" s="842"/>
      <c r="H402" s="842"/>
      <c r="I402" s="453" t="s">
        <v>905</v>
      </c>
      <c r="J402" s="410">
        <v>34</v>
      </c>
      <c r="K402" s="337" t="s">
        <v>904</v>
      </c>
      <c r="L402" s="842"/>
      <c r="M402" s="842"/>
      <c r="N402" s="842"/>
      <c r="O402" s="842"/>
      <c r="P402" s="842"/>
      <c r="Q402" s="842"/>
      <c r="R402" s="842"/>
      <c r="S402" s="842"/>
      <c r="T402" s="842"/>
      <c r="U402" s="842"/>
      <c r="V402" s="842"/>
      <c r="W402" s="842"/>
      <c r="X402" s="842"/>
      <c r="Y402" s="842"/>
      <c r="Z402" s="842"/>
      <c r="AA402" s="2209"/>
      <c r="AB402" s="2209"/>
      <c r="AC402" s="346"/>
    </row>
    <row r="403" spans="1:29" ht="18.75" customHeight="1" x14ac:dyDescent="0.2">
      <c r="A403" s="341"/>
      <c r="B403" s="345"/>
      <c r="C403" s="453" t="s">
        <v>1395</v>
      </c>
      <c r="D403" s="842">
        <f ca="1">D402</f>
        <v>2.0099624392537622E-10</v>
      </c>
      <c r="E403" s="337" t="s">
        <v>622</v>
      </c>
      <c r="F403" s="842"/>
      <c r="G403" s="842"/>
      <c r="H403" s="842"/>
      <c r="I403" s="453" t="s">
        <v>870</v>
      </c>
      <c r="J403" s="842">
        <f ca="1">+J396+J398+J399-J400+J401</f>
        <v>3.5668879682306371E-8</v>
      </c>
      <c r="K403" s="337" t="s">
        <v>622</v>
      </c>
      <c r="L403" s="842"/>
      <c r="M403" s="842"/>
      <c r="N403" s="842"/>
      <c r="O403" s="842"/>
      <c r="P403" s="842"/>
      <c r="Q403" s="842"/>
      <c r="R403" s="842"/>
      <c r="S403" s="842"/>
      <c r="T403" s="842"/>
      <c r="U403" s="842"/>
      <c r="V403" s="842"/>
      <c r="W403" s="842"/>
      <c r="X403" s="842"/>
      <c r="Y403" s="842"/>
      <c r="Z403" s="842"/>
      <c r="AA403" s="2209"/>
      <c r="AB403" s="2209"/>
      <c r="AC403" s="346"/>
    </row>
    <row r="404" spans="1:29" ht="18.75" customHeight="1" x14ac:dyDescent="0.2">
      <c r="A404" s="341"/>
      <c r="B404" s="345"/>
      <c r="C404" s="453" t="s">
        <v>1393</v>
      </c>
      <c r="D404" s="842">
        <f ca="1">(D403+D402)*'Energy &amp; Unit Conversions'!$E$93/'Energy &amp; Unit Conversions'!$E$26*'Energy &amp; Unit Conversions'!$G$82/I360/(I362-N362)</f>
        <v>11.958545313996559</v>
      </c>
      <c r="E404" s="337" t="s">
        <v>904</v>
      </c>
      <c r="F404" s="842"/>
      <c r="G404" s="842"/>
      <c r="H404" s="842"/>
      <c r="I404" s="453" t="s">
        <v>873</v>
      </c>
      <c r="J404" s="842">
        <f ca="1">I359*'Energy &amp; Unit Conversions'!G79</f>
        <v>5.0723046635713242E-9</v>
      </c>
      <c r="K404" s="337" t="s">
        <v>622</v>
      </c>
      <c r="L404" s="842"/>
      <c r="M404" s="842"/>
      <c r="N404" s="842"/>
      <c r="O404" s="842"/>
      <c r="P404" s="842"/>
      <c r="Q404" s="842"/>
      <c r="R404" s="842"/>
      <c r="S404" s="842"/>
      <c r="T404" s="842"/>
      <c r="U404" s="842"/>
      <c r="V404" s="842"/>
      <c r="W404" s="842"/>
      <c r="X404" s="842"/>
      <c r="Y404" s="842"/>
      <c r="Z404" s="842"/>
      <c r="AA404" s="2209"/>
      <c r="AB404" s="2209"/>
      <c r="AC404" s="346"/>
    </row>
    <row r="405" spans="1:29" ht="18.75" customHeight="1" x14ac:dyDescent="0.2">
      <c r="A405" s="341"/>
      <c r="B405" s="345"/>
      <c r="C405" s="453" t="s">
        <v>905</v>
      </c>
      <c r="D405" s="842">
        <f ca="1">D406*I360*(I363-N363)/10000/'Energy &amp; Unit Conversions'!$G$82*'Energy &amp; Unit Conversions'!$E$26/'Energy &amp; Unit Conversions'!$E$93</f>
        <v>3.1152066478303512E-10</v>
      </c>
      <c r="E405" s="337" t="s">
        <v>622</v>
      </c>
      <c r="F405" s="842"/>
      <c r="G405" s="842"/>
      <c r="H405" s="842"/>
      <c r="I405" s="442" t="s">
        <v>871</v>
      </c>
      <c r="J405" s="839">
        <f ca="1">SUM(J403,J404)</f>
        <v>4.0741184345877698E-8</v>
      </c>
      <c r="K405" s="840" t="s">
        <v>622</v>
      </c>
      <c r="L405" s="842"/>
      <c r="M405" s="842"/>
      <c r="N405" s="842"/>
      <c r="O405" s="842"/>
      <c r="P405" s="842"/>
      <c r="Q405" s="842"/>
      <c r="R405" s="842"/>
      <c r="S405" s="842"/>
      <c r="T405" s="842"/>
      <c r="U405" s="842"/>
      <c r="V405" s="842"/>
      <c r="W405" s="842"/>
      <c r="X405" s="842"/>
      <c r="Y405" s="842"/>
      <c r="Z405" s="842"/>
      <c r="AA405" s="2209"/>
      <c r="AB405" s="2209"/>
      <c r="AC405" s="346"/>
    </row>
    <row r="406" spans="1:29" ht="18.75" customHeight="1" x14ac:dyDescent="0.2">
      <c r="A406" s="341"/>
      <c r="B406" s="345"/>
      <c r="C406" s="453" t="s">
        <v>905</v>
      </c>
      <c r="D406" s="410">
        <v>34</v>
      </c>
      <c r="E406" s="337" t="s">
        <v>904</v>
      </c>
      <c r="F406" s="842"/>
      <c r="G406" s="842"/>
      <c r="H406" s="842"/>
      <c r="I406" s="452"/>
      <c r="J406" s="334">
        <f ca="1">J405/I359*'Energy &amp; Unit Conversions'!E93/'Energy &amp; Unit Conversions'!E26</f>
        <v>1512.9315151497235</v>
      </c>
      <c r="K406" s="338" t="s">
        <v>872</v>
      </c>
      <c r="L406" s="842"/>
      <c r="M406" s="842"/>
      <c r="N406" s="842"/>
      <c r="O406" s="842"/>
      <c r="P406" s="842"/>
      <c r="Q406" s="842"/>
      <c r="R406" s="842"/>
      <c r="S406" s="842"/>
      <c r="T406" s="842"/>
      <c r="U406" s="842"/>
      <c r="V406" s="842"/>
      <c r="W406" s="842"/>
      <c r="X406" s="842"/>
      <c r="Y406" s="842"/>
      <c r="Z406" s="842"/>
      <c r="AA406" s="2209"/>
      <c r="AB406" s="2209"/>
      <c r="AC406" s="346"/>
    </row>
    <row r="407" spans="1:29" ht="18.75" customHeight="1" x14ac:dyDescent="0.2">
      <c r="A407" s="341"/>
      <c r="B407" s="345"/>
      <c r="C407" s="453" t="s">
        <v>1397</v>
      </c>
      <c r="D407" s="842">
        <f ca="1">D399-D400+D403</f>
        <v>1.5259316767125067E-6</v>
      </c>
      <c r="E407" s="337" t="s">
        <v>622</v>
      </c>
      <c r="F407" s="842"/>
      <c r="G407" s="842"/>
      <c r="H407" s="842"/>
      <c r="I407" s="842"/>
      <c r="J407" s="842"/>
      <c r="K407" s="842"/>
      <c r="L407" s="842"/>
      <c r="M407" s="842"/>
      <c r="N407" s="842"/>
      <c r="O407" s="842"/>
      <c r="P407" s="842"/>
      <c r="Q407" s="842"/>
      <c r="R407" s="842"/>
      <c r="S407" s="842"/>
      <c r="T407" s="842"/>
      <c r="U407" s="842"/>
      <c r="V407" s="842"/>
      <c r="W407" s="842"/>
      <c r="X407" s="842"/>
      <c r="Y407" s="842"/>
      <c r="Z407" s="842"/>
      <c r="AA407" s="2209"/>
      <c r="AB407" s="2209"/>
      <c r="AC407" s="346"/>
    </row>
    <row r="408" spans="1:29" ht="18.75" customHeight="1" x14ac:dyDescent="0.2">
      <c r="A408" s="341"/>
      <c r="B408" s="345"/>
      <c r="C408" s="453" t="s">
        <v>1391</v>
      </c>
      <c r="D408" s="842">
        <f ca="1">I361*(I366/100)-D391</f>
        <v>1.8854841274007192E-7</v>
      </c>
      <c r="E408" s="337" t="s">
        <v>622</v>
      </c>
      <c r="F408" s="842"/>
      <c r="G408" s="842"/>
      <c r="H408" s="842"/>
      <c r="I408" s="842"/>
      <c r="J408" s="842"/>
      <c r="K408" s="842"/>
      <c r="L408" s="842"/>
      <c r="M408" s="842"/>
      <c r="N408" s="842"/>
      <c r="O408" s="842"/>
      <c r="P408" s="842"/>
      <c r="Q408" s="842"/>
      <c r="R408" s="842"/>
      <c r="S408" s="842"/>
      <c r="T408" s="842"/>
      <c r="U408" s="842"/>
      <c r="V408" s="842"/>
      <c r="W408" s="842"/>
      <c r="X408" s="842"/>
      <c r="Y408" s="842"/>
      <c r="Z408" s="842"/>
      <c r="AA408" s="2209"/>
      <c r="AB408" s="2209"/>
      <c r="AC408" s="346"/>
    </row>
    <row r="409" spans="1:29" ht="18.75" customHeight="1" x14ac:dyDescent="0.2">
      <c r="A409" s="341"/>
      <c r="B409" s="345"/>
      <c r="C409" s="453" t="s">
        <v>1398</v>
      </c>
      <c r="D409" s="842">
        <f ca="1">(D403+D408)/D407*100</f>
        <v>12.369453486321369</v>
      </c>
      <c r="E409" s="337" t="s">
        <v>579</v>
      </c>
      <c r="F409" s="842"/>
      <c r="G409" s="842"/>
      <c r="H409" s="842"/>
      <c r="I409" s="842"/>
      <c r="J409" s="842"/>
      <c r="K409" s="842"/>
      <c r="L409" s="842"/>
      <c r="M409" s="842"/>
      <c r="N409" s="842"/>
      <c r="O409" s="842"/>
      <c r="P409" s="842"/>
      <c r="Q409" s="842"/>
      <c r="R409" s="842"/>
      <c r="S409" s="842"/>
      <c r="T409" s="842"/>
      <c r="U409" s="842"/>
      <c r="V409" s="842"/>
      <c r="W409" s="842"/>
      <c r="X409" s="842"/>
      <c r="Y409" s="842"/>
      <c r="Z409" s="842"/>
      <c r="AA409" s="2209"/>
      <c r="AB409" s="2209"/>
      <c r="AC409" s="346"/>
    </row>
    <row r="410" spans="1:29" ht="18.75" customHeight="1" x14ac:dyDescent="0.2">
      <c r="A410" s="341"/>
      <c r="B410" s="345"/>
      <c r="C410" s="453" t="s">
        <v>71</v>
      </c>
      <c r="D410" s="410">
        <v>2</v>
      </c>
      <c r="E410" s="337" t="s">
        <v>579</v>
      </c>
      <c r="F410" s="842"/>
      <c r="G410" s="842"/>
      <c r="H410" s="842"/>
      <c r="I410" s="842"/>
      <c r="J410" s="842"/>
      <c r="K410" s="842"/>
      <c r="L410" s="842"/>
      <c r="M410" s="842"/>
      <c r="N410" s="842"/>
      <c r="O410" s="842"/>
      <c r="P410" s="842"/>
      <c r="Q410" s="842"/>
      <c r="R410" s="842"/>
      <c r="S410" s="842"/>
      <c r="T410" s="842"/>
      <c r="U410" s="842"/>
      <c r="V410" s="842"/>
      <c r="W410" s="842"/>
      <c r="X410" s="842"/>
      <c r="Y410" s="842"/>
      <c r="Z410" s="842"/>
      <c r="AA410" s="2209"/>
      <c r="AB410" s="2209"/>
      <c r="AC410" s="346"/>
    </row>
    <row r="411" spans="1:29" ht="18.75" customHeight="1" x14ac:dyDescent="0.2">
      <c r="A411" s="341"/>
      <c r="B411" s="345"/>
      <c r="C411" s="453" t="s">
        <v>767</v>
      </c>
      <c r="D411" s="842">
        <f ca="1">I366+D410</f>
        <v>14.331915988948833</v>
      </c>
      <c r="E411" s="337" t="s">
        <v>579</v>
      </c>
      <c r="F411" s="842"/>
      <c r="G411" s="842"/>
      <c r="H411" s="842"/>
      <c r="I411" s="842"/>
      <c r="J411" s="842"/>
      <c r="K411" s="842"/>
      <c r="L411" s="842"/>
      <c r="M411" s="842"/>
      <c r="N411" s="842"/>
      <c r="O411" s="842"/>
      <c r="P411" s="842"/>
      <c r="Q411" s="842"/>
      <c r="R411" s="842"/>
      <c r="S411" s="842"/>
      <c r="T411" s="842"/>
      <c r="U411" s="842"/>
      <c r="V411" s="842"/>
      <c r="W411" s="842"/>
      <c r="X411" s="842"/>
      <c r="Y411" s="842"/>
      <c r="Z411" s="842"/>
      <c r="AA411" s="2209"/>
      <c r="AB411" s="2209"/>
      <c r="AC411" s="346"/>
    </row>
    <row r="412" spans="1:29" ht="18.75" customHeight="1" x14ac:dyDescent="0.2">
      <c r="A412" s="341"/>
      <c r="B412" s="345"/>
      <c r="C412" s="453" t="s">
        <v>768</v>
      </c>
      <c r="D412" s="842">
        <f ca="1">D407*(D411-D409)/100</f>
        <v>2.9945836971197478E-8</v>
      </c>
      <c r="E412" s="337" t="s">
        <v>622</v>
      </c>
      <c r="F412" s="842"/>
      <c r="G412" s="842"/>
      <c r="H412" s="842"/>
      <c r="I412" s="842"/>
      <c r="J412" s="842"/>
      <c r="K412" s="842"/>
      <c r="L412" s="842"/>
      <c r="M412" s="842"/>
      <c r="N412" s="842"/>
      <c r="O412" s="842"/>
      <c r="P412" s="842"/>
      <c r="Q412" s="842"/>
      <c r="R412" s="842"/>
      <c r="S412" s="842"/>
      <c r="T412" s="842"/>
      <c r="U412" s="842"/>
      <c r="V412" s="842"/>
      <c r="W412" s="842"/>
      <c r="X412" s="842"/>
      <c r="Y412" s="842"/>
      <c r="Z412" s="842"/>
      <c r="AA412" s="2209"/>
      <c r="AB412" s="2209"/>
      <c r="AC412" s="346"/>
    </row>
    <row r="413" spans="1:29" ht="18.75" customHeight="1" x14ac:dyDescent="0.2">
      <c r="A413" s="341"/>
      <c r="B413" s="345"/>
      <c r="C413" s="453" t="s">
        <v>382</v>
      </c>
      <c r="D413" s="842">
        <f ca="1">D412</f>
        <v>2.9945836971197478E-8</v>
      </c>
      <c r="E413" s="337" t="s">
        <v>622</v>
      </c>
      <c r="F413" s="842"/>
      <c r="G413" s="842"/>
      <c r="H413" s="842"/>
      <c r="I413" s="842"/>
      <c r="J413" s="842"/>
      <c r="K413" s="842"/>
      <c r="L413" s="842"/>
      <c r="M413" s="842"/>
      <c r="N413" s="842"/>
      <c r="O413" s="842"/>
      <c r="P413" s="842"/>
      <c r="Q413" s="842"/>
      <c r="R413" s="842"/>
      <c r="S413" s="842"/>
      <c r="T413" s="842"/>
      <c r="U413" s="842"/>
      <c r="V413" s="842"/>
      <c r="W413" s="842"/>
      <c r="X413" s="842"/>
      <c r="Y413" s="842"/>
      <c r="Z413" s="842"/>
      <c r="AA413" s="2209"/>
      <c r="AB413" s="2209"/>
      <c r="AC413" s="346"/>
    </row>
    <row r="414" spans="1:29" ht="18.75" customHeight="1" x14ac:dyDescent="0.2">
      <c r="A414" s="341"/>
      <c r="B414" s="345"/>
      <c r="C414" s="453" t="s">
        <v>383</v>
      </c>
      <c r="D414" s="842">
        <f ca="1">D415*(D389/100)</f>
        <v>8.0870252410420299E-9</v>
      </c>
      <c r="E414" s="337" t="s">
        <v>622</v>
      </c>
      <c r="F414" s="842"/>
      <c r="G414" s="842"/>
      <c r="H414" s="842"/>
      <c r="I414" s="842"/>
      <c r="J414" s="842"/>
      <c r="K414" s="842"/>
      <c r="L414" s="842"/>
      <c r="M414" s="842"/>
      <c r="N414" s="842"/>
      <c r="O414" s="842"/>
      <c r="P414" s="842"/>
      <c r="Q414" s="842"/>
      <c r="R414" s="842"/>
      <c r="S414" s="842"/>
      <c r="T414" s="842"/>
      <c r="U414" s="842"/>
      <c r="V414" s="842"/>
      <c r="W414" s="842"/>
      <c r="X414" s="842"/>
      <c r="Y414" s="842"/>
      <c r="Z414" s="842"/>
      <c r="AA414" s="2209"/>
      <c r="AB414" s="2209"/>
      <c r="AC414" s="346"/>
    </row>
    <row r="415" spans="1:29" ht="18.75" customHeight="1" x14ac:dyDescent="0.2">
      <c r="A415" s="341"/>
      <c r="B415" s="345"/>
      <c r="C415" s="453" t="s">
        <v>385</v>
      </c>
      <c r="D415" s="842">
        <f ca="1">D413/(1-D389/100)</f>
        <v>3.8032862212239507E-8</v>
      </c>
      <c r="E415" s="337" t="s">
        <v>622</v>
      </c>
      <c r="F415" s="842"/>
      <c r="G415" s="842"/>
      <c r="H415" s="842"/>
      <c r="I415" s="842"/>
      <c r="J415" s="842"/>
      <c r="K415" s="842"/>
      <c r="L415" s="842"/>
      <c r="M415" s="842"/>
      <c r="N415" s="842"/>
      <c r="O415" s="842"/>
      <c r="P415" s="842"/>
      <c r="Q415" s="842"/>
      <c r="R415" s="842"/>
      <c r="S415" s="842"/>
      <c r="T415" s="842"/>
      <c r="U415" s="842"/>
      <c r="V415" s="2209"/>
      <c r="W415" s="184"/>
      <c r="X415" s="2209"/>
      <c r="Y415" s="842"/>
      <c r="Z415" s="842"/>
      <c r="AA415" s="2209"/>
      <c r="AB415" s="2209"/>
      <c r="AC415" s="346"/>
    </row>
    <row r="416" spans="1:29" ht="18.75" customHeight="1" x14ac:dyDescent="0.2">
      <c r="A416" s="341"/>
      <c r="B416" s="345"/>
      <c r="C416" s="442" t="s">
        <v>880</v>
      </c>
      <c r="D416" s="839">
        <f ca="1">D398+D402+D403+D412+D414+D405</f>
        <v>4.7839256279826894E-8</v>
      </c>
      <c r="E416" s="840" t="s">
        <v>622</v>
      </c>
      <c r="F416" s="842"/>
      <c r="G416" s="842"/>
      <c r="H416" s="842"/>
      <c r="I416" s="842"/>
      <c r="J416" s="842"/>
      <c r="K416" s="842"/>
      <c r="L416" s="842"/>
      <c r="M416" s="842"/>
      <c r="N416" s="842"/>
      <c r="O416" s="842"/>
      <c r="P416" s="842"/>
      <c r="Q416" s="842"/>
      <c r="R416" s="842"/>
      <c r="S416" s="842"/>
      <c r="T416" s="842"/>
      <c r="U416" s="842"/>
      <c r="V416" s="2209"/>
      <c r="W416" s="184"/>
      <c r="X416" s="2209"/>
      <c r="Y416" s="842"/>
      <c r="Z416" s="842"/>
      <c r="AA416" s="2209"/>
      <c r="AB416" s="2209"/>
      <c r="AC416" s="346"/>
    </row>
    <row r="417" spans="1:29" ht="18.75" customHeight="1" x14ac:dyDescent="0.2">
      <c r="A417" s="341"/>
      <c r="B417" s="345"/>
      <c r="C417" s="452" t="s">
        <v>934</v>
      </c>
      <c r="D417" s="334">
        <f ca="1">L362-D323</f>
        <v>4.017723721006432E-6</v>
      </c>
      <c r="E417" s="338"/>
      <c r="F417" s="842"/>
      <c r="G417" s="842"/>
      <c r="H417" s="842"/>
      <c r="I417" s="842"/>
      <c r="J417" s="842"/>
      <c r="K417" s="842"/>
      <c r="L417" s="842"/>
      <c r="M417" s="842"/>
      <c r="N417" s="842"/>
      <c r="O417" s="842"/>
      <c r="P417" s="842"/>
      <c r="Q417" s="842"/>
      <c r="R417" s="842"/>
      <c r="S417" s="842"/>
      <c r="T417" s="842"/>
      <c r="U417" s="842"/>
      <c r="V417" s="842"/>
      <c r="W417" s="842"/>
      <c r="X417" s="842"/>
      <c r="Y417" s="842"/>
      <c r="Z417" s="842"/>
      <c r="AA417" s="2209"/>
      <c r="AB417" s="2209"/>
      <c r="AC417" s="346"/>
    </row>
    <row r="418" spans="1:29" ht="18.75" customHeight="1" x14ac:dyDescent="0.2">
      <c r="A418" s="341"/>
      <c r="B418" s="345"/>
      <c r="C418" s="437"/>
      <c r="D418" s="842"/>
      <c r="E418" s="842"/>
      <c r="F418" s="842"/>
      <c r="G418" s="842"/>
      <c r="H418" s="842"/>
      <c r="I418" s="842"/>
      <c r="J418" s="842"/>
      <c r="K418" s="842"/>
      <c r="L418" s="842"/>
      <c r="M418" s="842"/>
      <c r="N418" s="842"/>
      <c r="O418" s="842"/>
      <c r="P418" s="842"/>
      <c r="Q418" s="842"/>
      <c r="R418" s="842"/>
      <c r="S418" s="842"/>
      <c r="T418" s="842"/>
      <c r="U418" s="842"/>
      <c r="V418" s="842"/>
      <c r="W418" s="842"/>
      <c r="X418" s="842"/>
      <c r="Y418" s="842"/>
      <c r="Z418" s="842"/>
      <c r="AA418" s="2209"/>
      <c r="AB418" s="2209"/>
      <c r="AC418" s="346"/>
    </row>
    <row r="419" spans="1:29" ht="18.75" customHeight="1" x14ac:dyDescent="0.2">
      <c r="A419" s="341"/>
      <c r="B419" s="345"/>
      <c r="C419" s="843" t="s">
        <v>655</v>
      </c>
      <c r="D419" s="842"/>
      <c r="E419" s="842"/>
      <c r="F419" s="842"/>
      <c r="G419" s="842"/>
      <c r="H419" s="842"/>
      <c r="I419" s="842"/>
      <c r="J419" s="842"/>
      <c r="K419" s="842"/>
      <c r="L419" s="842"/>
      <c r="M419" s="842"/>
      <c r="N419" s="842"/>
      <c r="O419" s="842"/>
      <c r="P419" s="842"/>
      <c r="Q419" s="358"/>
      <c r="R419" s="388" t="s">
        <v>874</v>
      </c>
      <c r="S419" s="388"/>
      <c r="T419" s="580" t="s">
        <v>865</v>
      </c>
      <c r="U419" s="581" t="s">
        <v>877</v>
      </c>
      <c r="V419" s="582" t="s">
        <v>669</v>
      </c>
      <c r="W419" s="580" t="s">
        <v>866</v>
      </c>
      <c r="X419" s="583" t="s">
        <v>1220</v>
      </c>
      <c r="Y419" s="581" t="s">
        <v>1221</v>
      </c>
      <c r="Z419" s="580" t="s">
        <v>1222</v>
      </c>
      <c r="AA419" s="582"/>
      <c r="AB419" s="589">
        <v>0.99999999999900002</v>
      </c>
      <c r="AC419" s="346"/>
    </row>
    <row r="420" spans="1:29" ht="18.75" customHeight="1" x14ac:dyDescent="0.2">
      <c r="A420" s="341"/>
      <c r="B420" s="345"/>
      <c r="C420" s="441"/>
      <c r="D420" s="974" t="s">
        <v>571</v>
      </c>
      <c r="E420" s="974" t="s">
        <v>580</v>
      </c>
      <c r="F420" s="974" t="s">
        <v>664</v>
      </c>
      <c r="G420" s="974" t="s">
        <v>661</v>
      </c>
      <c r="H420" s="974"/>
      <c r="I420" s="356"/>
      <c r="J420" s="356" t="s">
        <v>61</v>
      </c>
      <c r="K420" s="356" t="s">
        <v>63</v>
      </c>
      <c r="L420" s="974" t="s">
        <v>752</v>
      </c>
      <c r="M420" s="356"/>
      <c r="N420" s="356"/>
      <c r="O420" s="356" t="s">
        <v>70</v>
      </c>
      <c r="P420" s="975" t="s">
        <v>666</v>
      </c>
      <c r="Q420" s="842"/>
      <c r="R420" s="842" t="str">
        <f t="shared" ref="R420:S427" si="29">C359</f>
        <v>Vol Flow</v>
      </c>
      <c r="S420" s="842" t="str">
        <f ca="1">D359</f>
        <v>bpd</v>
      </c>
      <c r="T420" s="584"/>
      <c r="U420" s="428"/>
      <c r="V420" s="585">
        <f ca="1">V421/'Energy &amp; Unit Conversions'!G80</f>
        <v>1.3049153309122374E-8</v>
      </c>
      <c r="W420" s="584">
        <f ca="1">$I$359*(D422/100)</f>
        <v>8.8934729190753232E-10</v>
      </c>
      <c r="X420" s="427">
        <f ca="1">$I$359*(D423/100)</f>
        <v>1.5796577120915318E-9</v>
      </c>
      <c r="Y420" s="428">
        <f ca="1">$I$359*(D424/100)</f>
        <v>4.188433475227227E-9</v>
      </c>
      <c r="Z420" s="584">
        <f ca="1">Z421/'Energy &amp; Unit Conversions'!G80</f>
        <v>6.3917148298960811E-9</v>
      </c>
      <c r="AA420" s="585"/>
      <c r="AB420" s="590">
        <f>100%-AB419</f>
        <v>9.999778782798785E-13</v>
      </c>
      <c r="AC420" s="346"/>
    </row>
    <row r="421" spans="1:29" ht="18.75" customHeight="1" x14ac:dyDescent="0.2">
      <c r="A421" s="341"/>
      <c r="B421" s="345"/>
      <c r="C421" s="459" t="s">
        <v>865</v>
      </c>
      <c r="D421" s="361"/>
      <c r="E421" s="842"/>
      <c r="F421" s="842">
        <f ca="1">I361*G421/100</f>
        <v>3.6555541191970266E-8</v>
      </c>
      <c r="G421" s="842">
        <f ca="1">'Process Correlations'!W17</f>
        <v>2.2713522937730968</v>
      </c>
      <c r="H421" s="842"/>
      <c r="I421" s="842"/>
      <c r="J421" s="842"/>
      <c r="K421" s="842">
        <f t="shared" ref="K421:K426" ca="1" si="30">$D$386*J421/100</f>
        <v>0</v>
      </c>
      <c r="L421" s="842">
        <f>J389</f>
        <v>22.2</v>
      </c>
      <c r="M421" s="842"/>
      <c r="N421" s="842"/>
      <c r="O421" s="842">
        <f t="shared" ref="O421:O426" ca="1" si="31">F421*(L421/100)</f>
        <v>8.1153301446173988E-9</v>
      </c>
      <c r="P421" s="337">
        <f t="shared" ref="P421:P426" si="32">D421*E421</f>
        <v>0</v>
      </c>
      <c r="Q421" s="842"/>
      <c r="R421" s="842" t="str">
        <f t="shared" si="29"/>
        <v>Vol Flow</v>
      </c>
      <c r="S421" s="842" t="str">
        <f ca="1">D360</f>
        <v>m^3/d</v>
      </c>
      <c r="T421" s="578"/>
      <c r="U421" s="429"/>
      <c r="V421" s="586">
        <f ca="1">SUM(W421:Z421)</f>
        <v>2.0746496519034315E-9</v>
      </c>
      <c r="W421" s="578">
        <f ca="1">$I$360*(D422/100)</f>
        <v>1.4139492470269041E-10</v>
      </c>
      <c r="X421" s="2209">
        <f ca="1">$I$360*(D423/100)</f>
        <v>2.5114551456960995E-10</v>
      </c>
      <c r="Y421" s="429">
        <f ca="1">$I$360*(D424/100)</f>
        <v>6.6590772945599376E-10</v>
      </c>
      <c r="Z421" s="578">
        <f ca="1">Z422/Z426</f>
        <v>1.0162014831751372E-9</v>
      </c>
      <c r="AA421" s="586"/>
      <c r="AB421" s="2209"/>
      <c r="AC421" s="346"/>
    </row>
    <row r="422" spans="1:29" ht="18.75" customHeight="1" x14ac:dyDescent="0.2">
      <c r="A422" s="341"/>
      <c r="B422" s="345"/>
      <c r="C422" s="459" t="s">
        <v>866</v>
      </c>
      <c r="D422" s="842">
        <f ca="1">'Process Correlations'!W18+'Process Correlations'!W19</f>
        <v>7.9530149043805949</v>
      </c>
      <c r="E422" s="410">
        <v>625</v>
      </c>
      <c r="F422" s="842">
        <f ca="1">$I$360*(D422/100)*E422</f>
        <v>8.8371827939181503E-8</v>
      </c>
      <c r="G422" s="842">
        <f ca="1">F422/$F$427*100</f>
        <v>5.3681875793942897</v>
      </c>
      <c r="H422" s="842"/>
      <c r="I422" s="842"/>
      <c r="J422" s="386">
        <f>J432</f>
        <v>0</v>
      </c>
      <c r="K422" s="842">
        <f t="shared" ca="1" si="30"/>
        <v>0</v>
      </c>
      <c r="L422" s="386">
        <v>17.2</v>
      </c>
      <c r="M422" s="842"/>
      <c r="N422" s="842"/>
      <c r="O422" s="842">
        <f t="shared" ca="1" si="31"/>
        <v>1.5199954405539217E-8</v>
      </c>
      <c r="P422" s="337">
        <f ca="1">D422*E422</f>
        <v>4970.6343152378722</v>
      </c>
      <c r="Q422" s="842"/>
      <c r="R422" s="842" t="str">
        <f t="shared" si="29"/>
        <v>Mass Flow</v>
      </c>
      <c r="S422" s="842" t="str">
        <f t="shared" si="29"/>
        <v>kg/d</v>
      </c>
      <c r="T422" s="578">
        <f ca="1">I361*(J388/100)</f>
        <v>3.6555541191970266E-8</v>
      </c>
      <c r="U422" s="429">
        <f ca="1">J394</f>
        <v>3.5969643947151366E-9</v>
      </c>
      <c r="V422" s="586">
        <f ca="1">SUM(W422:Z422)</f>
        <v>1.6096579458030726E-6</v>
      </c>
      <c r="W422" s="578">
        <f ca="1">W421*W426</f>
        <v>8.8371827939181503E-8</v>
      </c>
      <c r="X422" s="2209">
        <f ca="1">X421*X426</f>
        <v>1.6674222412864005E-7</v>
      </c>
      <c r="Y422" s="429">
        <f ca="1">Y421*Y426</f>
        <v>5.1108942643273213E-7</v>
      </c>
      <c r="Z422" s="578">
        <f ca="1">(I361+J393)-SUM(T422:U422,W422:Y422)</f>
        <v>8.4345446730251883E-7</v>
      </c>
      <c r="AA422" s="586"/>
      <c r="AB422" s="2209"/>
      <c r="AC422" s="346"/>
    </row>
    <row r="423" spans="1:29" ht="18.75" customHeight="1" x14ac:dyDescent="0.2">
      <c r="A423" s="341"/>
      <c r="B423" s="345"/>
      <c r="C423" s="459" t="s">
        <v>1220</v>
      </c>
      <c r="D423" s="842">
        <f ca="1">'Process Correlations'!W15</f>
        <v>14.126136597478855</v>
      </c>
      <c r="E423" s="842">
        <f ca="1">'Process Correlations'!W24</f>
        <v>663.92674547418267</v>
      </c>
      <c r="F423" s="842">
        <f ca="1">$I$360*(D423/100)*E423</f>
        <v>1.6674222412864005E-7</v>
      </c>
      <c r="G423" s="842">
        <f ca="1">F423/$F$427*100</f>
        <v>10.128833559309927</v>
      </c>
      <c r="H423" s="842"/>
      <c r="I423" s="842"/>
      <c r="J423" s="386">
        <v>0</v>
      </c>
      <c r="K423" s="842">
        <f t="shared" ca="1" si="30"/>
        <v>0</v>
      </c>
      <c r="L423" s="842">
        <f ca="1">'Process Correlations'!U24</f>
        <v>16.007324225096358</v>
      </c>
      <c r="M423" s="842"/>
      <c r="N423" s="842"/>
      <c r="O423" s="842">
        <f t="shared" ca="1" si="31"/>
        <v>2.6690968436408266E-8</v>
      </c>
      <c r="P423" s="337">
        <f ca="1">D423*E423</f>
        <v>9378.7198972878796</v>
      </c>
      <c r="Q423" s="842"/>
      <c r="R423" s="842" t="str">
        <f t="shared" si="29"/>
        <v xml:space="preserve">Sulphur </v>
      </c>
      <c r="S423" s="842" t="str">
        <f ca="1">D362</f>
        <v>wt%</v>
      </c>
      <c r="T423" s="578"/>
      <c r="U423" s="429"/>
      <c r="V423" s="586">
        <f ca="1">K425/V422*100</f>
        <v>2.1052715141784285E-4</v>
      </c>
      <c r="W423" s="578">
        <f ca="1">K422/W422</f>
        <v>0</v>
      </c>
      <c r="X423" s="2209">
        <f ca="1">K423/X422</f>
        <v>0</v>
      </c>
      <c r="Y423" s="429">
        <f ca="1">K424/Y422</f>
        <v>0</v>
      </c>
      <c r="Z423" s="578">
        <f ca="1">K425/Z422</f>
        <v>4.017723721006432E-6</v>
      </c>
      <c r="AA423" s="586"/>
      <c r="AB423" s="2209"/>
      <c r="AC423" s="346"/>
    </row>
    <row r="424" spans="1:29" ht="18.75" customHeight="1" x14ac:dyDescent="0.2">
      <c r="A424" s="341"/>
      <c r="B424" s="345"/>
      <c r="C424" s="459" t="s">
        <v>1221</v>
      </c>
      <c r="D424" s="842">
        <f ca="1">'Process Correlations'!W16</f>
        <v>37.455192316425411</v>
      </c>
      <c r="E424" s="842">
        <f ca="1">'Process Correlations'!W25</f>
        <v>767.50787507791995</v>
      </c>
      <c r="F424" s="842">
        <f ca="1">$I$360*(D424/100)*E424</f>
        <v>5.1108942643273213E-7</v>
      </c>
      <c r="G424" s="842">
        <f ca="1">F424/$F$427*100</f>
        <v>31.046363698894368</v>
      </c>
      <c r="H424" s="842"/>
      <c r="I424" s="842"/>
      <c r="J424" s="386">
        <v>0</v>
      </c>
      <c r="K424" s="842">
        <f t="shared" ca="1" si="30"/>
        <v>0</v>
      </c>
      <c r="L424" s="842">
        <f ca="1">'Process Correlations'!U25</f>
        <v>13.791550313065304</v>
      </c>
      <c r="M424" s="842"/>
      <c r="N424" s="842"/>
      <c r="O424" s="842">
        <f t="shared" ca="1" si="31"/>
        <v>7.0487155391227135E-8</v>
      </c>
      <c r="P424" s="337">
        <f ca="1">D424*E424</f>
        <v>28747.155065414499</v>
      </c>
      <c r="Q424" s="842"/>
      <c r="R424" s="842" t="str">
        <f t="shared" si="29"/>
        <v xml:space="preserve">Nitrogen </v>
      </c>
      <c r="S424" s="842" t="str">
        <f ca="1">D363</f>
        <v>mass ppm</v>
      </c>
      <c r="T424" s="578"/>
      <c r="U424" s="429"/>
      <c r="V424" s="586"/>
      <c r="W424" s="578">
        <v>0</v>
      </c>
      <c r="X424" s="2209">
        <v>0</v>
      </c>
      <c r="Y424" s="429"/>
      <c r="Z424" s="578"/>
      <c r="AA424" s="586"/>
      <c r="AB424" s="2209"/>
      <c r="AC424" s="346"/>
    </row>
    <row r="425" spans="1:29" ht="18.75" customHeight="1" x14ac:dyDescent="0.2">
      <c r="A425" s="341"/>
      <c r="B425" s="345"/>
      <c r="C425" s="459" t="s">
        <v>1222</v>
      </c>
      <c r="D425" s="842">
        <f ca="1">Z420/I359*100</f>
        <v>57.158102092696637</v>
      </c>
      <c r="E425" s="842">
        <f ca="1">'Process Correlations'!W26</f>
        <v>830.00712089804506</v>
      </c>
      <c r="F425" s="842">
        <f ca="1">Z422</f>
        <v>8.4345446730251883E-7</v>
      </c>
      <c r="G425" s="842">
        <f ca="1">F425/$F$427*100</f>
        <v>51.236031897791079</v>
      </c>
      <c r="H425" s="842"/>
      <c r="I425" s="842"/>
      <c r="J425" s="386">
        <v>100</v>
      </c>
      <c r="K425" s="842">
        <f t="shared" ca="1" si="30"/>
        <v>3.3887670208701738E-12</v>
      </c>
      <c r="L425" s="842">
        <f ca="1">'Process Correlations'!U26</f>
        <v>13.386945726864486</v>
      </c>
      <c r="M425" s="842"/>
      <c r="N425" s="842"/>
      <c r="O425" s="842">
        <f t="shared" ca="1" si="31"/>
        <v>1.1291279176860215E-7</v>
      </c>
      <c r="P425" s="337">
        <f ca="1">D425*E425</f>
        <v>47441.631753955662</v>
      </c>
      <c r="Q425" s="842"/>
      <c r="R425" s="842" t="str">
        <f t="shared" si="29"/>
        <v xml:space="preserve">API gravity </v>
      </c>
      <c r="S425" s="842" t="str">
        <f ca="1">D364</f>
        <v>oAPI</v>
      </c>
      <c r="T425" s="578"/>
      <c r="U425" s="429"/>
      <c r="V425" s="586">
        <f ca="1">141.5/(V426/1000)-131.5</f>
        <v>24.787724032405976</v>
      </c>
      <c r="W425" s="578">
        <f>141.5/(W426/1000)-131.5</f>
        <v>94.9</v>
      </c>
      <c r="X425" s="2209">
        <f ca="1">141.5/(X426/1000)-131.5</f>
        <v>81.625922346959214</v>
      </c>
      <c r="Y425" s="429">
        <f ca="1">141.5/(Y426/1000)-131.5</f>
        <v>52.86292915643952</v>
      </c>
      <c r="Z425" s="578">
        <f ca="1">141.5/(Z426/1000)-131.5</f>
        <v>38.980465091553498</v>
      </c>
      <c r="AA425" s="586"/>
      <c r="AB425" s="2209"/>
      <c r="AC425" s="346"/>
    </row>
    <row r="426" spans="1:29" ht="18.75" customHeight="1" x14ac:dyDescent="0.2">
      <c r="A426" s="341"/>
      <c r="B426" s="345"/>
      <c r="C426" s="459"/>
      <c r="D426" s="361"/>
      <c r="E426" s="842"/>
      <c r="F426" s="842"/>
      <c r="G426" s="842"/>
      <c r="H426" s="842"/>
      <c r="I426" s="842"/>
      <c r="J426" s="842"/>
      <c r="K426" s="842">
        <f t="shared" ca="1" si="30"/>
        <v>0</v>
      </c>
      <c r="L426" s="842">
        <f ca="1">'Process Correlations'!U26</f>
        <v>13.386945726864486</v>
      </c>
      <c r="M426" s="842"/>
      <c r="N426" s="842"/>
      <c r="O426" s="842">
        <f t="shared" ca="1" si="31"/>
        <v>0</v>
      </c>
      <c r="P426" s="337">
        <f t="shared" si="32"/>
        <v>0</v>
      </c>
      <c r="Q426" s="842"/>
      <c r="R426" s="842" t="str">
        <f t="shared" si="29"/>
        <v>Density</v>
      </c>
      <c r="S426" s="842" t="str">
        <f ca="1">D365</f>
        <v>kg/m^3</v>
      </c>
      <c r="T426" s="578"/>
      <c r="U426" s="429"/>
      <c r="V426" s="586">
        <f ca="1">P427</f>
        <v>905.38141031895907</v>
      </c>
      <c r="W426" s="578">
        <f>E422</f>
        <v>625</v>
      </c>
      <c r="X426" s="2209">
        <f ca="1">E423</f>
        <v>663.92674547418267</v>
      </c>
      <c r="Y426" s="429">
        <f ca="1">E424</f>
        <v>767.50787507791995</v>
      </c>
      <c r="Z426" s="578">
        <f ca="1">E425</f>
        <v>830.00712089804506</v>
      </c>
      <c r="AA426" s="586"/>
      <c r="AB426" s="2209"/>
      <c r="AC426" s="346"/>
    </row>
    <row r="427" spans="1:29" ht="18.75" customHeight="1" x14ac:dyDescent="0.2">
      <c r="A427" s="341"/>
      <c r="B427" s="345"/>
      <c r="C427" s="442" t="s">
        <v>598</v>
      </c>
      <c r="D427" s="842">
        <f ca="1">SUM(D421:D426)</f>
        <v>116.69244591098149</v>
      </c>
      <c r="E427" s="842"/>
      <c r="F427" s="842">
        <f ca="1">SUM(F421:F426)</f>
        <v>1.6462134869950427E-6</v>
      </c>
      <c r="G427" s="842">
        <f ca="1">SUM(G421:G426)</f>
        <v>100.05076902916275</v>
      </c>
      <c r="H427" s="842"/>
      <c r="I427" s="842"/>
      <c r="J427" s="842">
        <f>SUM(J421:J426)</f>
        <v>100</v>
      </c>
      <c r="K427" s="842">
        <f ca="1">J386</f>
        <v>3.3887670208701738E-12</v>
      </c>
      <c r="L427" s="842" t="s">
        <v>751</v>
      </c>
      <c r="M427" s="842"/>
      <c r="N427" s="842"/>
      <c r="O427" s="842">
        <f ca="1">SUM(O421:O426)</f>
        <v>2.3340620014639416E-7</v>
      </c>
      <c r="P427" s="337">
        <f ca="1">SUM(P421:P426)/100</f>
        <v>905.38141031895907</v>
      </c>
      <c r="Q427" s="842"/>
      <c r="R427" s="842" t="str">
        <f t="shared" si="29"/>
        <v>Hydrogen</v>
      </c>
      <c r="S427" s="842" t="str">
        <f ca="1">D366</f>
        <v>wt%</v>
      </c>
      <c r="T427" s="587">
        <f>L421</f>
        <v>22.2</v>
      </c>
      <c r="U427" s="430"/>
      <c r="V427" s="588">
        <f ca="1">O427/V422*100</f>
        <v>14.500360201057855</v>
      </c>
      <c r="W427" s="587">
        <f>L422</f>
        <v>17.2</v>
      </c>
      <c r="X427" s="841">
        <f ca="1">L423</f>
        <v>16.007324225096358</v>
      </c>
      <c r="Y427" s="430">
        <f ca="1">L424</f>
        <v>13.791550313065304</v>
      </c>
      <c r="Z427" s="587">
        <f ca="1">L425</f>
        <v>13.386945726864486</v>
      </c>
      <c r="AA427" s="588"/>
      <c r="AB427" s="2209"/>
      <c r="AC427" s="346"/>
    </row>
    <row r="428" spans="1:29" ht="18.75" customHeight="1" x14ac:dyDescent="0.2">
      <c r="A428" s="341"/>
      <c r="B428" s="345"/>
      <c r="C428" s="452"/>
      <c r="D428" s="334"/>
      <c r="E428" s="334"/>
      <c r="F428" s="334"/>
      <c r="G428" s="334"/>
      <c r="H428" s="334"/>
      <c r="I428" s="334"/>
      <c r="J428" s="335" t="s">
        <v>668</v>
      </c>
      <c r="K428" s="334">
        <f ca="1">K427/(F427-F421)*100</f>
        <v>2.105271514178429E-4</v>
      </c>
      <c r="L428" s="334"/>
      <c r="M428" s="334"/>
      <c r="N428" s="335"/>
      <c r="O428" s="334"/>
      <c r="P428" s="338"/>
      <c r="Q428" s="842"/>
      <c r="R428" s="842"/>
      <c r="S428" s="842"/>
      <c r="T428" s="578"/>
      <c r="U428" s="2209"/>
      <c r="V428" s="2209"/>
      <c r="W428" s="2209"/>
      <c r="X428" s="2209"/>
      <c r="Y428" s="2209"/>
      <c r="Z428" s="2209"/>
      <c r="AA428" s="429"/>
      <c r="AB428" s="2209"/>
      <c r="AC428" s="346"/>
    </row>
    <row r="429" spans="1:29" ht="18.75" customHeight="1" x14ac:dyDescent="0.2">
      <c r="A429" s="341"/>
      <c r="B429" s="345"/>
      <c r="C429" s="437"/>
      <c r="D429" s="842"/>
      <c r="E429" s="842"/>
      <c r="F429" s="842"/>
      <c r="G429" s="842"/>
      <c r="H429" s="842"/>
      <c r="I429" s="842"/>
      <c r="J429" s="839"/>
      <c r="K429" s="842"/>
      <c r="L429" s="842"/>
      <c r="M429" s="842"/>
      <c r="N429" s="839"/>
      <c r="O429" s="842"/>
      <c r="P429" s="842"/>
      <c r="Q429" s="842"/>
      <c r="R429" s="842"/>
      <c r="S429" s="842"/>
      <c r="T429" s="578"/>
      <c r="U429" s="2209"/>
      <c r="V429" s="2209"/>
      <c r="W429" s="2209"/>
      <c r="X429" s="2209"/>
      <c r="Y429" s="2209"/>
      <c r="Z429" s="2209"/>
      <c r="AA429" s="429"/>
      <c r="AB429" s="2209"/>
      <c r="AC429" s="346"/>
    </row>
    <row r="430" spans="1:29" ht="18.75" customHeight="1" x14ac:dyDescent="0.2">
      <c r="A430" s="341"/>
      <c r="B430" s="345"/>
      <c r="C430" s="843" t="s">
        <v>655</v>
      </c>
      <c r="D430" s="842"/>
      <c r="E430" s="842"/>
      <c r="F430" s="842"/>
      <c r="G430" s="842"/>
      <c r="H430" s="842"/>
      <c r="I430" s="842"/>
      <c r="J430" s="842"/>
      <c r="K430" s="842"/>
      <c r="L430" s="842"/>
      <c r="M430" s="842"/>
      <c r="N430" s="842"/>
      <c r="O430" s="842"/>
      <c r="P430" s="842"/>
      <c r="Q430" s="842"/>
      <c r="R430" s="842"/>
      <c r="S430" s="842"/>
      <c r="T430" s="582" t="s">
        <v>488</v>
      </c>
      <c r="U430" s="582" t="s">
        <v>669</v>
      </c>
      <c r="V430" s="581" t="s">
        <v>493</v>
      </c>
      <c r="W430" s="580" t="s">
        <v>486</v>
      </c>
      <c r="X430" s="583" t="s">
        <v>487</v>
      </c>
      <c r="Y430" s="581" t="s">
        <v>658</v>
      </c>
      <c r="Z430" s="580" t="s">
        <v>659</v>
      </c>
      <c r="AA430" s="582" t="s">
        <v>660</v>
      </c>
      <c r="AB430" s="2209"/>
      <c r="AC430" s="346"/>
    </row>
    <row r="431" spans="1:29" ht="18.75" customHeight="1" x14ac:dyDescent="0.2">
      <c r="A431" s="341"/>
      <c r="B431" s="345"/>
      <c r="C431" s="441"/>
      <c r="D431" s="974" t="s">
        <v>571</v>
      </c>
      <c r="E431" s="974" t="s">
        <v>580</v>
      </c>
      <c r="F431" s="974" t="s">
        <v>664</v>
      </c>
      <c r="G431" s="974" t="s">
        <v>661</v>
      </c>
      <c r="H431" s="974" t="s">
        <v>663</v>
      </c>
      <c r="I431" s="356" t="s">
        <v>73</v>
      </c>
      <c r="J431" s="356" t="s">
        <v>61</v>
      </c>
      <c r="K431" s="356" t="s">
        <v>63</v>
      </c>
      <c r="L431" s="974" t="s">
        <v>752</v>
      </c>
      <c r="M431" s="356" t="s">
        <v>74</v>
      </c>
      <c r="N431" s="356" t="s">
        <v>69</v>
      </c>
      <c r="O431" s="356" t="s">
        <v>70</v>
      </c>
      <c r="P431" s="975" t="s">
        <v>666</v>
      </c>
      <c r="Q431" s="842"/>
      <c r="R431" s="842" t="str">
        <f t="shared" ref="R431:S438" si="33">C359</f>
        <v>Vol Flow</v>
      </c>
      <c r="S431" s="842" t="str">
        <f ca="1">D359</f>
        <v>bpd</v>
      </c>
      <c r="T431" s="585"/>
      <c r="U431" s="585">
        <f ca="1">U432/'Energy &amp; Unit Conversions'!G80</f>
        <v>1.160502658751804E-8</v>
      </c>
      <c r="V431" s="585">
        <f ca="1">D432/100*U431</f>
        <v>5.8025132937590202E-10</v>
      </c>
      <c r="W431" s="584">
        <f ca="1">D433/100*U431</f>
        <v>2.6691561151291494E-9</v>
      </c>
      <c r="X431" s="427">
        <f ca="1">D434/100*U431</f>
        <v>6.3827646231349226E-9</v>
      </c>
      <c r="Y431" s="428">
        <f ca="1">D435/100*U431</f>
        <v>9.2840212700144329E-10</v>
      </c>
      <c r="Z431" s="584">
        <f ca="1">D436/100*U431</f>
        <v>6.9630159525108244E-10</v>
      </c>
      <c r="AA431" s="585">
        <f ca="1">D437/100*U431</f>
        <v>3.4815079762554122E-10</v>
      </c>
      <c r="AB431" s="2209"/>
      <c r="AC431" s="346"/>
    </row>
    <row r="432" spans="1:29" ht="18.75" customHeight="1" x14ac:dyDescent="0.2">
      <c r="A432" s="341"/>
      <c r="B432" s="345"/>
      <c r="C432" s="459" t="s">
        <v>490</v>
      </c>
      <c r="D432" s="410">
        <v>5</v>
      </c>
      <c r="E432" s="410">
        <v>625</v>
      </c>
      <c r="F432" s="842">
        <f t="shared" ref="F432:F437" si="34">D432*E432</f>
        <v>3125</v>
      </c>
      <c r="G432" s="842">
        <f t="shared" ref="G432:G437" si="35">F432/$F$438*100</f>
        <v>3.77853550009673</v>
      </c>
      <c r="H432" s="410">
        <v>0</v>
      </c>
      <c r="I432" s="842">
        <f t="shared" ref="I432:I437" si="36">G432*H432/100</f>
        <v>0</v>
      </c>
      <c r="J432" s="842">
        <f t="shared" ref="J432:J437" si="37">(I432/$I$438)*100</f>
        <v>0</v>
      </c>
      <c r="K432" s="842">
        <f t="shared" ref="K432:K437" ca="1" si="38">(J432/100)*$D$386</f>
        <v>0</v>
      </c>
      <c r="L432" s="410">
        <v>14.5</v>
      </c>
      <c r="M432" s="842">
        <f t="shared" ref="M432:M437" si="39">G432*L432/100</f>
        <v>0.54788764751402586</v>
      </c>
      <c r="N432" s="842">
        <f t="shared" ref="N432:N437" si="40">M432/$M$438*100</f>
        <v>3.9603898955234937</v>
      </c>
      <c r="O432" s="842">
        <f t="shared" ref="O432:O438" ca="1" si="41">(N432/100)*($D$408+$D$403+$D$412)</f>
        <v>8.6611844227997858E-9</v>
      </c>
      <c r="P432" s="337">
        <f t="shared" ref="P432:P437" si="42">D432*E432</f>
        <v>3125</v>
      </c>
      <c r="Q432" s="842"/>
      <c r="R432" s="842" t="str">
        <f t="shared" si="33"/>
        <v>Vol Flow</v>
      </c>
      <c r="S432" s="842" t="str">
        <f ca="1">D360</f>
        <v>m^3/d</v>
      </c>
      <c r="T432" s="586"/>
      <c r="U432" s="586">
        <f ca="1">U433/U437</f>
        <v>1.845051843577707E-9</v>
      </c>
      <c r="V432" s="586">
        <f ca="1">V431*'Energy &amp; Unit Conversions'!G80</f>
        <v>9.2252592178885344E-11</v>
      </c>
      <c r="W432" s="578">
        <f ca="1">W431*'Energy &amp; Unit Conversions'!G80</f>
        <v>4.243619240228726E-10</v>
      </c>
      <c r="X432" s="2209">
        <f ca="1">X431*'Energy &amp; Unit Conversions'!G80</f>
        <v>1.014778513967739E-9</v>
      </c>
      <c r="Y432" s="429">
        <f ca="1">Y431*'Energy &amp; Unit Conversions'!G80</f>
        <v>1.4760414748621657E-10</v>
      </c>
      <c r="Z432" s="578">
        <f ca="1">Z431*'Energy &amp; Unit Conversions'!G80</f>
        <v>1.1070311061466242E-10</v>
      </c>
      <c r="AA432" s="586">
        <f ca="1">AA431*'Energy &amp; Unit Conversions'!G80</f>
        <v>5.5351555307331209E-11</v>
      </c>
      <c r="AB432" s="2209"/>
      <c r="AC432" s="346"/>
    </row>
    <row r="433" spans="1:29" ht="18.75" customHeight="1" x14ac:dyDescent="0.2">
      <c r="A433" s="341"/>
      <c r="B433" s="345"/>
      <c r="C433" s="459" t="s">
        <v>656</v>
      </c>
      <c r="D433" s="410">
        <v>23</v>
      </c>
      <c r="E433" s="410">
        <v>780</v>
      </c>
      <c r="F433" s="842">
        <f t="shared" si="34"/>
        <v>17940</v>
      </c>
      <c r="G433" s="842">
        <f t="shared" si="35"/>
        <v>21.69181659895531</v>
      </c>
      <c r="H433" s="410">
        <v>4.3999999999999997E-2</v>
      </c>
      <c r="I433" s="842">
        <f t="shared" si="36"/>
        <v>9.5443993035403355E-3</v>
      </c>
      <c r="J433" s="842">
        <f t="shared" si="37"/>
        <v>3.3993353432947142</v>
      </c>
      <c r="K433" s="842">
        <f t="shared" ca="1" si="38"/>
        <v>1.1519555504235517E-13</v>
      </c>
      <c r="L433" s="410">
        <v>14.5</v>
      </c>
      <c r="M433" s="842">
        <f t="shared" si="39"/>
        <v>3.14531340684852</v>
      </c>
      <c r="N433" s="842">
        <f t="shared" si="40"/>
        <v>22.735806312221278</v>
      </c>
      <c r="O433" s="842">
        <f t="shared" ca="1" si="41"/>
        <v>4.9722127534409025E-8</v>
      </c>
      <c r="P433" s="337">
        <f t="shared" si="42"/>
        <v>17940</v>
      </c>
      <c r="Q433" s="842"/>
      <c r="R433" s="842" t="str">
        <f t="shared" si="33"/>
        <v>Mass Flow</v>
      </c>
      <c r="S433" s="842" t="str">
        <f t="shared" si="33"/>
        <v>kg/d</v>
      </c>
      <c r="T433" s="586">
        <f ca="1">D394+D395+D401+D415</f>
        <v>1.3101355403031333E-7</v>
      </c>
      <c r="U433" s="586">
        <f ca="1">D407+D412-D413</f>
        <v>1.5259316767125067E-6</v>
      </c>
      <c r="V433" s="586">
        <f ca="1">$U$432*D432/100*E432</f>
        <v>5.7657870111803337E-8</v>
      </c>
      <c r="W433" s="578">
        <f ca="1">$U$432*D433/100*E433</f>
        <v>3.3100230073784062E-7</v>
      </c>
      <c r="X433" s="2209">
        <f ca="1">$U$432*D434/100*E434</f>
        <v>8.5748784430273942E-7</v>
      </c>
      <c r="Y433" s="429">
        <f ca="1">$U$432*D435/100*E435</f>
        <v>1.2989164978787059E-7</v>
      </c>
      <c r="Z433" s="578">
        <f ca="1">$U$432*D436/100*E436</f>
        <v>9.9300690221352193E-8</v>
      </c>
      <c r="AA433" s="586">
        <f ca="1">$U$432*D437/100*E437</f>
        <v>5.0591321550900726E-8</v>
      </c>
      <c r="AB433" s="2209"/>
      <c r="AC433" s="346"/>
    </row>
    <row r="434" spans="1:29" ht="18.75" customHeight="1" x14ac:dyDescent="0.2">
      <c r="A434" s="341"/>
      <c r="B434" s="345"/>
      <c r="C434" s="442" t="s">
        <v>657</v>
      </c>
      <c r="D434" s="410">
        <v>55</v>
      </c>
      <c r="E434" s="410">
        <v>845</v>
      </c>
      <c r="F434" s="842">
        <f t="shared" si="34"/>
        <v>46475</v>
      </c>
      <c r="G434" s="842">
        <f t="shared" si="35"/>
        <v>56.194379957438578</v>
      </c>
      <c r="H434" s="410">
        <v>0.28999999999999998</v>
      </c>
      <c r="I434" s="842">
        <f t="shared" si="36"/>
        <v>0.16296370187657186</v>
      </c>
      <c r="J434" s="842">
        <f t="shared" si="37"/>
        <v>58.041187700276595</v>
      </c>
      <c r="K434" s="842">
        <f t="shared" ca="1" si="38"/>
        <v>1.9668806273083288E-12</v>
      </c>
      <c r="L434" s="410">
        <v>13.7</v>
      </c>
      <c r="M434" s="842">
        <f t="shared" si="39"/>
        <v>7.698630054169084</v>
      </c>
      <c r="N434" s="842">
        <f t="shared" si="40"/>
        <v>55.649323021330211</v>
      </c>
      <c r="O434" s="842">
        <f t="shared" ca="1" si="41"/>
        <v>1.2170242385389893E-7</v>
      </c>
      <c r="P434" s="337">
        <f t="shared" si="42"/>
        <v>46475</v>
      </c>
      <c r="Q434" s="842"/>
      <c r="R434" s="842" t="str">
        <f t="shared" si="33"/>
        <v xml:space="preserve">Sulphur </v>
      </c>
      <c r="S434" s="842" t="str">
        <f ca="1">D362</f>
        <v>wt%</v>
      </c>
      <c r="T434" s="586">
        <f ca="1">(D392+D400)/T433*100</f>
        <v>2.5839908541571557</v>
      </c>
      <c r="U434" s="586">
        <f ca="1">K439</f>
        <v>2.2207855519265396E-4</v>
      </c>
      <c r="V434" s="586">
        <f ca="1">K432/V433*100</f>
        <v>0</v>
      </c>
      <c r="W434" s="578">
        <f ca="1">K433/W433*100</f>
        <v>3.4802040585691271E-5</v>
      </c>
      <c r="X434" s="2209">
        <f ca="1">K434/X433*100</f>
        <v>2.2937708567841972E-4</v>
      </c>
      <c r="Y434" s="429">
        <f ca="1">K435/Y433*100</f>
        <v>4.4293506199970711E-4</v>
      </c>
      <c r="Z434" s="578">
        <f ca="1">K436/Z433*100</f>
        <v>4.7457328071397198E-4</v>
      </c>
      <c r="AA434" s="586">
        <f ca="1">K437/AA433*100</f>
        <v>5.14121054106803E-4</v>
      </c>
      <c r="AB434" s="2209"/>
      <c r="AC434" s="346"/>
    </row>
    <row r="435" spans="1:29" ht="18.75" customHeight="1" x14ac:dyDescent="0.2">
      <c r="A435" s="341"/>
      <c r="B435" s="345"/>
      <c r="C435" s="442" t="s">
        <v>658</v>
      </c>
      <c r="D435" s="410">
        <v>8</v>
      </c>
      <c r="E435" s="410">
        <v>880</v>
      </c>
      <c r="F435" s="842">
        <f t="shared" si="34"/>
        <v>7040</v>
      </c>
      <c r="G435" s="842">
        <f t="shared" si="35"/>
        <v>8.512284774617914</v>
      </c>
      <c r="H435" s="410">
        <v>0.56000000000000005</v>
      </c>
      <c r="I435" s="842">
        <f t="shared" si="36"/>
        <v>4.7668794737860322E-2</v>
      </c>
      <c r="J435" s="842">
        <f t="shared" si="37"/>
        <v>16.977728358930126</v>
      </c>
      <c r="K435" s="842">
        <f t="shared" ca="1" si="38"/>
        <v>5.7533565952034707E-13</v>
      </c>
      <c r="L435" s="410">
        <v>13.5</v>
      </c>
      <c r="M435" s="842">
        <f t="shared" si="39"/>
        <v>1.1491584445734184</v>
      </c>
      <c r="N435" s="842">
        <f t="shared" si="40"/>
        <v>8.3066583320397882</v>
      </c>
      <c r="O435" s="842">
        <f t="shared" ca="1" si="41"/>
        <v>1.8166266869912095E-8</v>
      </c>
      <c r="P435" s="337">
        <f t="shared" si="42"/>
        <v>7040</v>
      </c>
      <c r="Q435" s="842"/>
      <c r="R435" s="842" t="str">
        <f t="shared" si="33"/>
        <v xml:space="preserve">Nitrogen </v>
      </c>
      <c r="S435" s="842" t="str">
        <f ca="1">D363</f>
        <v>mass ppm</v>
      </c>
      <c r="T435" s="586"/>
      <c r="U435" s="586"/>
      <c r="V435" s="586"/>
      <c r="W435" s="578"/>
      <c r="X435" s="2209"/>
      <c r="Y435" s="429"/>
      <c r="Z435" s="578"/>
      <c r="AA435" s="586"/>
      <c r="AB435" s="2209"/>
      <c r="AC435" s="346"/>
    </row>
    <row r="436" spans="1:29" ht="18.75" customHeight="1" x14ac:dyDescent="0.2">
      <c r="A436" s="341"/>
      <c r="B436" s="345"/>
      <c r="C436" s="442" t="s">
        <v>659</v>
      </c>
      <c r="D436" s="410">
        <v>6</v>
      </c>
      <c r="E436" s="410">
        <v>897</v>
      </c>
      <c r="F436" s="842">
        <f t="shared" si="34"/>
        <v>5382</v>
      </c>
      <c r="G436" s="842">
        <f t="shared" si="35"/>
        <v>6.5075449796865925</v>
      </c>
      <c r="H436" s="410">
        <v>0.6</v>
      </c>
      <c r="I436" s="842">
        <f t="shared" si="36"/>
        <v>3.9045269878119557E-2</v>
      </c>
      <c r="J436" s="842">
        <f t="shared" si="37"/>
        <v>13.906371858932923</v>
      </c>
      <c r="K436" s="842">
        <f t="shared" ca="1" si="38"/>
        <v>4.7125454335508945E-13</v>
      </c>
      <c r="L436" s="410">
        <v>13.3</v>
      </c>
      <c r="M436" s="842">
        <f t="shared" si="39"/>
        <v>0.86550348229831686</v>
      </c>
      <c r="N436" s="842">
        <f t="shared" si="40"/>
        <v>6.2562667024664069</v>
      </c>
      <c r="O436" s="842">
        <f t="shared" ca="1" si="41"/>
        <v>1.3682157852571861E-8</v>
      </c>
      <c r="P436" s="337">
        <f t="shared" si="42"/>
        <v>5382</v>
      </c>
      <c r="Q436" s="842"/>
      <c r="R436" s="842" t="str">
        <f t="shared" si="33"/>
        <v xml:space="preserve">API gravity </v>
      </c>
      <c r="S436" s="842" t="str">
        <f ca="1">D364</f>
        <v>oAPI</v>
      </c>
      <c r="T436" s="586"/>
      <c r="U436" s="586">
        <f>141.5/(U437/1000)-131.5</f>
        <v>39.592087444379956</v>
      </c>
      <c r="V436" s="586">
        <f t="shared" ref="V436:AA436" si="43">141.5/(V437/1000)-131.5</f>
        <v>94.9</v>
      </c>
      <c r="W436" s="578">
        <f t="shared" si="43"/>
        <v>49.910256410256409</v>
      </c>
      <c r="X436" s="2209">
        <f t="shared" si="43"/>
        <v>35.955621301775153</v>
      </c>
      <c r="Y436" s="429">
        <f t="shared" si="43"/>
        <v>29.295454545454533</v>
      </c>
      <c r="Z436" s="578">
        <f t="shared" si="43"/>
        <v>26.24804905239688</v>
      </c>
      <c r="AA436" s="586">
        <f t="shared" si="43"/>
        <v>23.31400437636762</v>
      </c>
      <c r="AB436" s="2209"/>
      <c r="AC436" s="346"/>
    </row>
    <row r="437" spans="1:29" ht="18.75" customHeight="1" x14ac:dyDescent="0.2">
      <c r="A437" s="341"/>
      <c r="B437" s="345"/>
      <c r="C437" s="442" t="s">
        <v>660</v>
      </c>
      <c r="D437" s="410">
        <v>3</v>
      </c>
      <c r="E437" s="410">
        <v>914</v>
      </c>
      <c r="F437" s="842">
        <f t="shared" si="34"/>
        <v>2742</v>
      </c>
      <c r="G437" s="842">
        <f t="shared" si="35"/>
        <v>3.3154381892048752</v>
      </c>
      <c r="H437" s="410">
        <v>0.65</v>
      </c>
      <c r="I437" s="842">
        <f t="shared" si="36"/>
        <v>2.1550348229831689E-2</v>
      </c>
      <c r="J437" s="842">
        <f t="shared" si="37"/>
        <v>7.6753767385656344</v>
      </c>
      <c r="K437" s="842">
        <f t="shared" ca="1" si="38"/>
        <v>2.6010063564405297E-13</v>
      </c>
      <c r="L437" s="410">
        <v>12.9</v>
      </c>
      <c r="M437" s="842">
        <f t="shared" si="39"/>
        <v>0.42769152640742886</v>
      </c>
      <c r="N437" s="842">
        <f t="shared" si="40"/>
        <v>3.0915557364188233</v>
      </c>
      <c r="O437" s="842">
        <f t="shared" ca="1" si="41"/>
        <v>6.7610854216030782E-9</v>
      </c>
      <c r="P437" s="337">
        <f t="shared" si="42"/>
        <v>2742</v>
      </c>
      <c r="Q437" s="842"/>
      <c r="R437" s="842" t="str">
        <f t="shared" si="33"/>
        <v>Density</v>
      </c>
      <c r="S437" s="842" t="str">
        <f ca="1">D365</f>
        <v>kg/m^3</v>
      </c>
      <c r="T437" s="586"/>
      <c r="U437" s="586">
        <f>P438</f>
        <v>827.04</v>
      </c>
      <c r="V437" s="586">
        <f>E432</f>
        <v>625</v>
      </c>
      <c r="W437" s="578">
        <f>E433</f>
        <v>780</v>
      </c>
      <c r="X437" s="2209">
        <f>E434</f>
        <v>845</v>
      </c>
      <c r="Y437" s="429">
        <f>E435</f>
        <v>880</v>
      </c>
      <c r="Z437" s="578">
        <f>E436</f>
        <v>897</v>
      </c>
      <c r="AA437" s="586">
        <f>E437</f>
        <v>914</v>
      </c>
      <c r="AB437" s="2209"/>
      <c r="AC437" s="346"/>
    </row>
    <row r="438" spans="1:29" ht="18.75" customHeight="1" x14ac:dyDescent="0.2">
      <c r="A438" s="341"/>
      <c r="B438" s="345"/>
      <c r="C438" s="442" t="s">
        <v>598</v>
      </c>
      <c r="D438" s="842">
        <f>SUM(D432:D437)</f>
        <v>100</v>
      </c>
      <c r="E438" s="842"/>
      <c r="F438" s="842">
        <f>SUM(F432:F437)</f>
        <v>82704</v>
      </c>
      <c r="G438" s="842"/>
      <c r="H438" s="842" t="s">
        <v>742</v>
      </c>
      <c r="I438" s="842">
        <f>SUM(I432:I437)</f>
        <v>0.28077251402592379</v>
      </c>
      <c r="J438" s="842">
        <f>SUM(J432:J437)</f>
        <v>100</v>
      </c>
      <c r="K438" s="842">
        <f ca="1">SUM(K432:K437)</f>
        <v>3.3887670208701738E-12</v>
      </c>
      <c r="L438" s="842" t="s">
        <v>751</v>
      </c>
      <c r="M438" s="842">
        <f>SUM(M432:M437)</f>
        <v>13.834184561810794</v>
      </c>
      <c r="N438" s="842">
        <f>SUM(N432:N437)</f>
        <v>100</v>
      </c>
      <c r="O438" s="842">
        <f t="shared" ca="1" si="41"/>
        <v>2.1869524595519477E-7</v>
      </c>
      <c r="P438" s="337">
        <f>SUM(P432:P437)/100</f>
        <v>827.04</v>
      </c>
      <c r="Q438" s="842"/>
      <c r="R438" s="842" t="str">
        <f t="shared" si="33"/>
        <v>Hydrogen</v>
      </c>
      <c r="S438" s="842" t="str">
        <f ca="1">D366</f>
        <v>wt%</v>
      </c>
      <c r="T438" s="588">
        <f ca="1">(D391+D398+D402+D414)/T433*100</f>
        <v>20.840975784943222</v>
      </c>
      <c r="U438" s="588">
        <f ca="1">O439</f>
        <v>14.331915988948833</v>
      </c>
      <c r="V438" s="588">
        <f>L432</f>
        <v>14.5</v>
      </c>
      <c r="W438" s="587">
        <f>L433</f>
        <v>14.5</v>
      </c>
      <c r="X438" s="841">
        <f>L434</f>
        <v>13.7</v>
      </c>
      <c r="Y438" s="430">
        <f>L435</f>
        <v>13.5</v>
      </c>
      <c r="Z438" s="587">
        <f>L436</f>
        <v>13.3</v>
      </c>
      <c r="AA438" s="588">
        <f>L437</f>
        <v>12.9</v>
      </c>
      <c r="AB438" s="2209"/>
      <c r="AC438" s="346"/>
    </row>
    <row r="439" spans="1:29" ht="18.75" customHeight="1" x14ac:dyDescent="0.2">
      <c r="A439" s="341"/>
      <c r="B439" s="345"/>
      <c r="C439" s="452"/>
      <c r="D439" s="334"/>
      <c r="E439" s="334"/>
      <c r="F439" s="334"/>
      <c r="G439" s="334"/>
      <c r="H439" s="334"/>
      <c r="I439" s="334"/>
      <c r="J439" s="335" t="s">
        <v>668</v>
      </c>
      <c r="K439" s="334">
        <f ca="1">K438/U433*100</f>
        <v>2.2207855519265396E-4</v>
      </c>
      <c r="L439" s="334"/>
      <c r="M439" s="334"/>
      <c r="N439" s="335" t="s">
        <v>667</v>
      </c>
      <c r="O439" s="334">
        <f ca="1">O438/(D407+D412-D413)*100</f>
        <v>14.331915988948833</v>
      </c>
      <c r="P439" s="338"/>
      <c r="Q439" s="842"/>
      <c r="R439" s="842"/>
      <c r="S439" s="842"/>
      <c r="T439" s="587"/>
      <c r="U439" s="841"/>
      <c r="V439" s="841"/>
      <c r="W439" s="841"/>
      <c r="X439" s="841"/>
      <c r="Y439" s="841"/>
      <c r="Z439" s="841"/>
      <c r="AA439" s="430"/>
      <c r="AB439" s="2209"/>
      <c r="AC439" s="346"/>
    </row>
    <row r="440" spans="1:29" ht="18.75" customHeight="1" x14ac:dyDescent="0.2">
      <c r="A440" s="341"/>
      <c r="B440" s="345"/>
      <c r="C440" s="437"/>
      <c r="D440" s="842"/>
      <c r="E440" s="842"/>
      <c r="F440" s="842"/>
      <c r="G440" s="842"/>
      <c r="H440" s="842"/>
      <c r="I440" s="842"/>
      <c r="J440" s="842"/>
      <c r="K440" s="842"/>
      <c r="L440" s="842"/>
      <c r="M440" s="842"/>
      <c r="N440" s="842"/>
      <c r="O440" s="842"/>
      <c r="P440" s="842"/>
      <c r="Q440" s="842"/>
      <c r="R440" s="842"/>
      <c r="S440" s="842"/>
      <c r="T440" s="842"/>
      <c r="U440" s="842"/>
      <c r="V440" s="842"/>
      <c r="W440" s="842"/>
      <c r="X440" s="842"/>
      <c r="Y440" s="842"/>
      <c r="Z440" s="842"/>
      <c r="AA440" s="2209"/>
      <c r="AB440" s="2209"/>
      <c r="AC440" s="346"/>
    </row>
    <row r="441" spans="1:29" ht="26.25" x14ac:dyDescent="0.2">
      <c r="A441" s="341"/>
      <c r="B441" s="699"/>
      <c r="C441" s="603" t="s">
        <v>535</v>
      </c>
      <c r="D441" s="603"/>
      <c r="E441" s="842"/>
      <c r="F441" s="842"/>
      <c r="G441" s="842"/>
      <c r="H441" s="842"/>
      <c r="I441" s="842"/>
      <c r="J441" s="842"/>
      <c r="K441" s="842"/>
      <c r="L441" s="842"/>
      <c r="M441" s="842"/>
      <c r="N441" s="842"/>
      <c r="O441" s="842"/>
      <c r="P441" s="842"/>
      <c r="Q441" s="842"/>
      <c r="R441" s="842"/>
      <c r="S441" s="842"/>
      <c r="T441" s="842"/>
      <c r="U441" s="842"/>
      <c r="V441" s="842"/>
      <c r="W441" s="842"/>
      <c r="X441" s="842"/>
      <c r="Y441" s="842"/>
      <c r="Z441" s="842"/>
      <c r="AA441" s="2209"/>
      <c r="AB441" s="2209"/>
      <c r="AC441" s="346"/>
    </row>
    <row r="442" spans="1:29" ht="18.75" customHeight="1" x14ac:dyDescent="0.2">
      <c r="A442" s="341"/>
      <c r="B442" s="345"/>
      <c r="C442" s="437"/>
      <c r="D442" s="842"/>
      <c r="E442" s="842"/>
      <c r="F442" s="842"/>
      <c r="G442" s="842"/>
      <c r="H442" s="842"/>
      <c r="I442" s="842"/>
      <c r="J442" s="842"/>
      <c r="K442" s="842"/>
      <c r="L442" s="842"/>
      <c r="M442" s="842"/>
      <c r="N442" s="842"/>
      <c r="O442" s="842"/>
      <c r="P442" s="842"/>
      <c r="Q442" s="842"/>
      <c r="R442" s="842"/>
      <c r="S442" s="842"/>
      <c r="T442" s="842"/>
      <c r="U442" s="842"/>
      <c r="V442" s="842"/>
      <c r="W442" s="842"/>
      <c r="X442" s="842"/>
      <c r="Y442" s="842"/>
      <c r="Z442" s="842"/>
      <c r="AA442" s="2209"/>
      <c r="AB442" s="2209"/>
      <c r="AC442" s="346"/>
    </row>
    <row r="443" spans="1:29" ht="18.75" customHeight="1" x14ac:dyDescent="0.2">
      <c r="A443" s="341"/>
      <c r="B443" s="345"/>
      <c r="C443" s="843" t="s">
        <v>569</v>
      </c>
      <c r="D443" s="842"/>
      <c r="E443" s="426"/>
      <c r="F443" s="842"/>
      <c r="G443" s="842"/>
      <c r="H443" s="842"/>
      <c r="I443" s="842"/>
      <c r="J443" s="842"/>
      <c r="K443" s="842"/>
      <c r="L443" s="842"/>
      <c r="M443" s="842"/>
      <c r="N443" s="842"/>
      <c r="O443" s="842"/>
      <c r="P443" s="842"/>
      <c r="Q443" s="842"/>
      <c r="R443" s="842"/>
      <c r="S443" s="842"/>
      <c r="T443" s="842"/>
      <c r="U443" s="842"/>
      <c r="V443" s="842"/>
      <c r="W443" s="842"/>
      <c r="X443" s="842"/>
      <c r="Y443" s="842"/>
      <c r="Z443" s="842"/>
      <c r="AA443" s="2209"/>
      <c r="AB443" s="2209"/>
      <c r="AC443" s="346"/>
    </row>
    <row r="444" spans="1:29" ht="18.75" customHeight="1" x14ac:dyDescent="0.2">
      <c r="A444" s="341"/>
      <c r="B444" s="345"/>
      <c r="C444" s="441" t="s">
        <v>568</v>
      </c>
      <c r="D444" s="351" t="s">
        <v>623</v>
      </c>
      <c r="E444" s="356" t="str">
        <f>HydroRefineryCalcs!N358</f>
        <v>HC Product Liquids</v>
      </c>
      <c r="F444" s="351" t="str">
        <f>K358</f>
        <v xml:space="preserve">HC Gasoline </v>
      </c>
      <c r="G444" s="351" t="str">
        <f>L358</f>
        <v>HC Diesel</v>
      </c>
      <c r="H444" s="352" t="str">
        <f>M358</f>
        <v>Fuel Oil</v>
      </c>
      <c r="I444" s="842"/>
      <c r="J444" s="842"/>
      <c r="K444" s="842"/>
      <c r="L444" s="842"/>
      <c r="M444" s="842"/>
      <c r="N444" s="842"/>
      <c r="O444" s="842"/>
      <c r="P444" s="842"/>
      <c r="Q444" s="842"/>
      <c r="R444" s="842"/>
      <c r="S444" s="842"/>
      <c r="T444" s="842"/>
      <c r="U444" s="842"/>
      <c r="V444" s="842"/>
      <c r="W444" s="842"/>
      <c r="X444" s="842"/>
      <c r="Y444" s="842"/>
      <c r="Z444" s="842"/>
      <c r="AA444" s="2209"/>
      <c r="AB444" s="2209"/>
      <c r="AC444" s="346"/>
    </row>
    <row r="445" spans="1:29" ht="18.75" customHeight="1" x14ac:dyDescent="0.2">
      <c r="A445" s="341"/>
      <c r="B445" s="345"/>
      <c r="C445" s="442" t="s">
        <v>582</v>
      </c>
      <c r="D445" s="842" t="s">
        <v>566</v>
      </c>
      <c r="E445" s="358">
        <f ca="1">HydroRefineryCalcs!N359</f>
        <v>1.3049153309122374E-8</v>
      </c>
      <c r="F445" s="358">
        <f ca="1">K359</f>
        <v>6.6574384792262908E-9</v>
      </c>
      <c r="G445" s="358">
        <f ca="1">D486</f>
        <v>6.3917148298864941E-9</v>
      </c>
      <c r="H445" s="337">
        <f ca="1">D487</f>
        <v>9.5874308491111665E-21</v>
      </c>
      <c r="I445" s="839"/>
      <c r="J445" s="842"/>
      <c r="K445" s="842"/>
      <c r="L445" s="842"/>
      <c r="M445" s="842"/>
      <c r="N445" s="842"/>
      <c r="O445" s="842"/>
      <c r="P445" s="842"/>
      <c r="Q445" s="842"/>
      <c r="R445" s="842"/>
      <c r="S445" s="842"/>
      <c r="T445" s="842"/>
      <c r="U445" s="842"/>
      <c r="V445" s="842"/>
      <c r="W445" s="842"/>
      <c r="X445" s="842"/>
      <c r="Y445" s="842"/>
      <c r="Z445" s="842"/>
      <c r="AA445" s="2209"/>
      <c r="AB445" s="2209"/>
      <c r="AC445" s="346"/>
    </row>
    <row r="446" spans="1:29" ht="18.75" customHeight="1" x14ac:dyDescent="0.2">
      <c r="A446" s="341"/>
      <c r="B446" s="345"/>
      <c r="C446" s="442" t="s">
        <v>582</v>
      </c>
      <c r="D446" s="842" t="s">
        <v>628</v>
      </c>
      <c r="E446" s="358">
        <f ca="1">HydroRefineryCalcs!N360</f>
        <v>2.0746496519034315E-9</v>
      </c>
      <c r="F446" s="358">
        <f ca="1">K360</f>
        <v>1.0584481687282941E-9</v>
      </c>
      <c r="G446" s="358">
        <f ca="1">G445*'Energy &amp; Unit Conversions'!G80</f>
        <v>1.0162014831736131E-9</v>
      </c>
      <c r="H446" s="371">
        <f ca="1">H445*'Energy &amp; Unit Conversions'!G80</f>
        <v>1.5242797446368918E-21</v>
      </c>
      <c r="I446" s="842"/>
      <c r="J446" s="842"/>
      <c r="K446" s="842"/>
      <c r="L446" s="842"/>
      <c r="M446" s="842"/>
      <c r="N446" s="842"/>
      <c r="O446" s="842"/>
      <c r="P446" s="842"/>
      <c r="Q446" s="842"/>
      <c r="R446" s="842"/>
      <c r="S446" s="842"/>
      <c r="T446" s="842"/>
      <c r="U446" s="842"/>
      <c r="V446" s="842"/>
      <c r="W446" s="842"/>
      <c r="X446" s="842"/>
      <c r="Y446" s="842"/>
      <c r="Z446" s="842"/>
      <c r="AA446" s="2209"/>
      <c r="AB446" s="2209"/>
      <c r="AC446" s="346"/>
    </row>
    <row r="447" spans="1:29" ht="18.75" customHeight="1" x14ac:dyDescent="0.2">
      <c r="A447" s="341"/>
      <c r="B447" s="345"/>
      <c r="C447" s="442" t="s">
        <v>620</v>
      </c>
      <c r="D447" s="842" t="s">
        <v>622</v>
      </c>
      <c r="E447" s="358">
        <f ca="1">HydroRefineryCalcs!N361</f>
        <v>1.6096579458030726E-6</v>
      </c>
      <c r="F447" s="358">
        <f ca="1">K361</f>
        <v>7.6620347850055368E-7</v>
      </c>
      <c r="G447" s="358">
        <f ca="1">E486</f>
        <v>8.4345446730125368E-7</v>
      </c>
      <c r="H447" s="337">
        <f ca="1">E487</f>
        <v>1.2651630422892739E-18</v>
      </c>
      <c r="I447" s="842"/>
      <c r="J447" s="842"/>
      <c r="K447" s="842"/>
      <c r="L447" s="842"/>
      <c r="M447" s="842"/>
      <c r="N447" s="842"/>
      <c r="O447" s="842"/>
      <c r="P447" s="842"/>
      <c r="Q447" s="842"/>
      <c r="R447" s="842"/>
      <c r="S447" s="842"/>
      <c r="T447" s="842"/>
      <c r="U447" s="842"/>
      <c r="V447" s="842"/>
      <c r="W447" s="842"/>
      <c r="X447" s="842"/>
      <c r="Y447" s="842"/>
      <c r="Z447" s="842"/>
      <c r="AA447" s="2209"/>
      <c r="AB447" s="2209"/>
      <c r="AC447" s="346"/>
    </row>
    <row r="448" spans="1:29" ht="18.75" customHeight="1" x14ac:dyDescent="0.2">
      <c r="A448" s="341"/>
      <c r="B448" s="345"/>
      <c r="C448" s="442" t="s">
        <v>578</v>
      </c>
      <c r="D448" s="842" t="s">
        <v>579</v>
      </c>
      <c r="E448" s="358">
        <f ca="1">HydroRefineryCalcs!N362</f>
        <v>2.1052715141784285E-4</v>
      </c>
      <c r="F448" s="358">
        <f ca="1">K362</f>
        <v>0</v>
      </c>
      <c r="G448" s="358">
        <f ca="1">G486</f>
        <v>4.017723721006432E-6</v>
      </c>
      <c r="H448" s="337">
        <f ca="1">G487</f>
        <v>4.017723721006432E-6</v>
      </c>
      <c r="I448" s="842"/>
      <c r="J448" s="842"/>
      <c r="K448" s="842"/>
      <c r="L448" s="842"/>
      <c r="M448" s="842"/>
      <c r="N448" s="842"/>
      <c r="O448" s="842"/>
      <c r="P448" s="842"/>
      <c r="Q448" s="842"/>
      <c r="R448" s="842"/>
      <c r="S448" s="842"/>
      <c r="T448" s="842"/>
      <c r="U448" s="842"/>
      <c r="V448" s="842"/>
      <c r="W448" s="842"/>
      <c r="X448" s="842"/>
      <c r="Y448" s="842"/>
      <c r="Z448" s="842"/>
      <c r="AA448" s="2209"/>
      <c r="AB448" s="2209"/>
      <c r="AC448" s="346"/>
    </row>
    <row r="449" spans="1:29" ht="18.75" customHeight="1" x14ac:dyDescent="0.2">
      <c r="A449" s="341"/>
      <c r="B449" s="345"/>
      <c r="C449" s="442" t="s">
        <v>888</v>
      </c>
      <c r="D449" s="842"/>
      <c r="E449" s="358"/>
      <c r="F449" s="358"/>
      <c r="G449" s="358"/>
      <c r="H449" s="371"/>
      <c r="I449" s="842"/>
      <c r="J449" s="842"/>
      <c r="K449" s="842"/>
      <c r="L449" s="842"/>
      <c r="M449" s="842"/>
      <c r="N449" s="842"/>
      <c r="O449" s="842"/>
      <c r="P449" s="842"/>
      <c r="Q449" s="842"/>
      <c r="R449" s="842"/>
      <c r="S449" s="842"/>
      <c r="T449" s="842"/>
      <c r="U449" s="842"/>
      <c r="V449" s="842"/>
      <c r="W449" s="842"/>
      <c r="X449" s="842"/>
      <c r="Y449" s="842"/>
      <c r="Z449" s="842"/>
      <c r="AA449" s="2209"/>
      <c r="AB449" s="2209"/>
      <c r="AC449" s="346"/>
    </row>
    <row r="450" spans="1:29" ht="18.75" customHeight="1" x14ac:dyDescent="0.2">
      <c r="A450" s="341"/>
      <c r="B450" s="345"/>
      <c r="C450" s="442" t="s">
        <v>567</v>
      </c>
      <c r="D450" s="842"/>
      <c r="E450" s="358">
        <f ca="1">HydroRefineryCalcs!N364</f>
        <v>24.787724032405976</v>
      </c>
      <c r="F450" s="358">
        <f ca="1">K364</f>
        <v>63.970811706769609</v>
      </c>
      <c r="G450" s="358">
        <f ca="1">I486</f>
        <v>38.980465091553498</v>
      </c>
      <c r="H450" s="371">
        <f ca="1">I487</f>
        <v>38.980465091553498</v>
      </c>
      <c r="I450" s="842"/>
      <c r="J450" s="842"/>
      <c r="K450" s="842"/>
      <c r="L450" s="842"/>
      <c r="M450" s="842"/>
      <c r="N450" s="842"/>
      <c r="O450" s="842"/>
      <c r="P450" s="842"/>
      <c r="Q450" s="842"/>
      <c r="R450" s="842"/>
      <c r="S450" s="842"/>
      <c r="T450" s="842"/>
      <c r="U450" s="842"/>
      <c r="V450" s="842"/>
      <c r="W450" s="842"/>
      <c r="X450" s="842"/>
      <c r="Y450" s="842"/>
      <c r="Z450" s="842"/>
      <c r="AA450" s="2209"/>
      <c r="AB450" s="2209"/>
      <c r="AC450" s="346"/>
    </row>
    <row r="451" spans="1:29" ht="18.75" customHeight="1" x14ac:dyDescent="0.2">
      <c r="A451" s="341"/>
      <c r="B451" s="345"/>
      <c r="C451" s="442" t="s">
        <v>580</v>
      </c>
      <c r="D451" s="842" t="s">
        <v>581</v>
      </c>
      <c r="E451" s="358">
        <f ca="1">HydroRefineryCalcs!N365</f>
        <v>905.38141031895907</v>
      </c>
      <c r="F451" s="358">
        <f ca="1">K365</f>
        <v>723.89324403209366</v>
      </c>
      <c r="G451" s="358">
        <f ca="1">F486</f>
        <v>830.00712089804506</v>
      </c>
      <c r="H451" s="371">
        <f ca="1">F487</f>
        <v>830.00712089804506</v>
      </c>
      <c r="I451" s="842"/>
      <c r="J451" s="842"/>
      <c r="K451" s="842"/>
      <c r="L451" s="842"/>
      <c r="M451" s="842"/>
      <c r="N451" s="842"/>
      <c r="O451" s="842"/>
      <c r="P451" s="842"/>
      <c r="Q451" s="842"/>
      <c r="R451" s="842"/>
      <c r="S451" s="842"/>
      <c r="T451" s="842"/>
      <c r="U451" s="842"/>
      <c r="V451" s="842"/>
      <c r="W451" s="842"/>
      <c r="X451" s="842"/>
      <c r="Y451" s="842"/>
      <c r="Z451" s="842"/>
      <c r="AA451" s="2209"/>
      <c r="AB451" s="2209"/>
      <c r="AC451" s="346"/>
    </row>
    <row r="452" spans="1:29" ht="18.75" customHeight="1" x14ac:dyDescent="0.2">
      <c r="A452" s="341"/>
      <c r="B452" s="345"/>
      <c r="C452" s="442" t="s">
        <v>621</v>
      </c>
      <c r="D452" s="842" t="s">
        <v>579</v>
      </c>
      <c r="E452" s="358">
        <f ca="1">HydroRefineryCalcs!N366</f>
        <v>14.500360201057855</v>
      </c>
      <c r="F452" s="358">
        <f ca="1">K366</f>
        <v>14.666871318973451</v>
      </c>
      <c r="G452" s="358">
        <f ca="1">H486</f>
        <v>13.386945726864488</v>
      </c>
      <c r="H452" s="371">
        <f ca="1">H487</f>
        <v>13.386945726864486</v>
      </c>
      <c r="I452" s="842"/>
      <c r="J452" s="842"/>
      <c r="K452" s="842"/>
      <c r="L452" s="842"/>
      <c r="M452" s="842"/>
      <c r="N452" s="842"/>
      <c r="O452" s="842"/>
      <c r="P452" s="842"/>
      <c r="Q452" s="842"/>
      <c r="R452" s="842"/>
      <c r="S452" s="842"/>
      <c r="T452" s="842"/>
      <c r="U452" s="842"/>
      <c r="V452" s="842"/>
      <c r="W452" s="842"/>
      <c r="X452" s="842"/>
      <c r="Y452" s="842"/>
      <c r="Z452" s="842"/>
      <c r="AA452" s="2209"/>
      <c r="AB452" s="2209"/>
      <c r="AC452" s="346"/>
    </row>
    <row r="453" spans="1:29" ht="18.75" customHeight="1" x14ac:dyDescent="0.2">
      <c r="A453" s="341"/>
      <c r="B453" s="345"/>
      <c r="C453" s="443" t="s">
        <v>544</v>
      </c>
      <c r="D453" s="334" t="s">
        <v>579</v>
      </c>
      <c r="E453" s="397">
        <f>HydroRefineryCalcs!N367</f>
        <v>0</v>
      </c>
      <c r="F453" s="397">
        <f>K367</f>
        <v>0</v>
      </c>
      <c r="G453" s="397"/>
      <c r="H453" s="398"/>
      <c r="I453" s="842"/>
      <c r="J453" s="842"/>
      <c r="K453" s="842"/>
      <c r="L453" s="842"/>
      <c r="M453" s="842"/>
      <c r="N453" s="842"/>
      <c r="O453" s="842"/>
      <c r="P453" s="842"/>
      <c r="Q453" s="842"/>
      <c r="R453" s="842"/>
      <c r="S453" s="842"/>
      <c r="T453" s="842"/>
      <c r="U453" s="842"/>
      <c r="V453" s="842"/>
      <c r="W453" s="842"/>
      <c r="X453" s="842"/>
      <c r="Y453" s="842"/>
      <c r="Z453" s="842"/>
      <c r="AA453" s="2209"/>
      <c r="AB453" s="2209"/>
      <c r="AC453" s="346"/>
    </row>
    <row r="454" spans="1:29" ht="18.75" customHeight="1" x14ac:dyDescent="0.2">
      <c r="A454" s="341"/>
      <c r="B454" s="345"/>
      <c r="C454" s="437"/>
      <c r="D454" s="842"/>
      <c r="E454" s="842"/>
      <c r="F454" s="842"/>
      <c r="G454" s="842"/>
      <c r="H454" s="842"/>
      <c r="I454" s="842"/>
      <c r="J454" s="842"/>
      <c r="K454" s="842"/>
      <c r="L454" s="842"/>
      <c r="M454" s="842"/>
      <c r="N454" s="842"/>
      <c r="O454" s="842"/>
      <c r="P454" s="842"/>
      <c r="Q454" s="842"/>
      <c r="R454" s="842"/>
      <c r="S454" s="842"/>
      <c r="T454" s="842"/>
      <c r="U454" s="842"/>
      <c r="V454" s="842"/>
      <c r="W454" s="842"/>
      <c r="X454" s="842"/>
      <c r="Y454" s="842"/>
      <c r="Z454" s="842"/>
      <c r="AA454" s="2209"/>
      <c r="AB454" s="2209"/>
      <c r="AC454" s="346"/>
    </row>
    <row r="455" spans="1:29" ht="18.75" customHeight="1" x14ac:dyDescent="0.2">
      <c r="A455" s="341"/>
      <c r="B455" s="345"/>
      <c r="C455" s="843" t="s">
        <v>308</v>
      </c>
      <c r="D455" s="842"/>
      <c r="E455" s="842"/>
      <c r="F455" s="842"/>
      <c r="G455" s="842"/>
      <c r="H455" s="842"/>
      <c r="I455" s="842"/>
      <c r="J455" s="842"/>
      <c r="K455" s="842"/>
      <c r="L455" s="842"/>
      <c r="M455" s="842"/>
      <c r="N455" s="842"/>
      <c r="O455" s="842"/>
      <c r="P455" s="842"/>
      <c r="Q455" s="842"/>
      <c r="R455" s="842"/>
      <c r="S455" s="842"/>
      <c r="T455" s="842"/>
      <c r="U455" s="842"/>
      <c r="V455" s="842"/>
      <c r="W455" s="842"/>
      <c r="X455" s="842"/>
      <c r="Y455" s="842"/>
      <c r="Z455" s="842"/>
      <c r="AA455" s="2209"/>
      <c r="AB455" s="2209"/>
      <c r="AC455" s="346"/>
    </row>
    <row r="456" spans="1:29" ht="18.75" customHeight="1" x14ac:dyDescent="0.2">
      <c r="A456" s="341"/>
      <c r="B456" s="345"/>
      <c r="C456" s="855"/>
      <c r="D456" s="351" t="s">
        <v>624</v>
      </c>
      <c r="E456" s="352" t="s">
        <v>623</v>
      </c>
      <c r="F456" s="842"/>
      <c r="G456" s="842"/>
      <c r="H456" s="842"/>
      <c r="I456" s="842"/>
      <c r="J456" s="842"/>
      <c r="K456" s="842"/>
      <c r="L456" s="842"/>
      <c r="M456" s="842"/>
      <c r="N456" s="842"/>
      <c r="O456" s="842"/>
      <c r="P456" s="842"/>
      <c r="Q456" s="842"/>
      <c r="R456" s="842"/>
      <c r="S456" s="842"/>
      <c r="T456" s="842"/>
      <c r="U456" s="842"/>
      <c r="V456" s="842"/>
      <c r="W456" s="842"/>
      <c r="X456" s="842"/>
      <c r="Y456" s="842"/>
      <c r="Z456" s="842"/>
      <c r="AA456" s="2209"/>
      <c r="AB456" s="2209"/>
      <c r="AC456" s="346"/>
    </row>
    <row r="457" spans="1:29" ht="18.75" customHeight="1" x14ac:dyDescent="0.2">
      <c r="A457" s="341"/>
      <c r="B457" s="345"/>
      <c r="C457" s="864" t="s">
        <v>494</v>
      </c>
      <c r="D457" s="554">
        <v>180000</v>
      </c>
      <c r="E457" s="379" t="s">
        <v>611</v>
      </c>
      <c r="F457" s="842"/>
      <c r="G457" s="842"/>
      <c r="H457" s="842"/>
      <c r="I457" s="842"/>
      <c r="J457" s="842"/>
      <c r="K457" s="842"/>
      <c r="L457" s="842"/>
      <c r="M457" s="842"/>
      <c r="N457" s="842"/>
      <c r="O457" s="842"/>
      <c r="P457" s="842"/>
      <c r="Q457" s="842"/>
      <c r="R457" s="842"/>
      <c r="S457" s="842"/>
      <c r="T457" s="842"/>
      <c r="U457" s="842"/>
      <c r="V457" s="842"/>
      <c r="W457" s="842"/>
      <c r="X457" s="842"/>
      <c r="Y457" s="842"/>
      <c r="Z457" s="842"/>
      <c r="AA457" s="2209"/>
      <c r="AB457" s="2209"/>
      <c r="AC457" s="346"/>
    </row>
    <row r="458" spans="1:29" ht="18.75" customHeight="1" x14ac:dyDescent="0.2">
      <c r="A458" s="341"/>
      <c r="B458" s="345"/>
      <c r="C458" s="864" t="s">
        <v>882</v>
      </c>
      <c r="D458" s="554">
        <v>150</v>
      </c>
      <c r="E458" s="379" t="s">
        <v>630</v>
      </c>
      <c r="F458" s="842"/>
      <c r="G458" s="842"/>
      <c r="H458" s="842"/>
      <c r="I458" s="842"/>
      <c r="J458" s="842"/>
      <c r="K458" s="842"/>
      <c r="L458" s="842"/>
      <c r="M458" s="842"/>
      <c r="N458" s="842"/>
      <c r="O458" s="842"/>
      <c r="P458" s="842"/>
      <c r="Q458" s="842"/>
      <c r="R458" s="842"/>
      <c r="S458" s="842"/>
      <c r="T458" s="842"/>
      <c r="U458" s="842"/>
      <c r="V458" s="842"/>
      <c r="W458" s="842"/>
      <c r="X458" s="842"/>
      <c r="Y458" s="842"/>
      <c r="Z458" s="842"/>
      <c r="AA458" s="2209"/>
      <c r="AB458" s="2209"/>
      <c r="AC458" s="346"/>
    </row>
    <row r="459" spans="1:29" ht="18.75" customHeight="1" x14ac:dyDescent="0.2">
      <c r="A459" s="341"/>
      <c r="B459" s="345"/>
      <c r="C459" s="453" t="s">
        <v>883</v>
      </c>
      <c r="D459" s="842">
        <f ca="1">D458*G446*'Energy &amp; Unit Conversions'!G87</f>
        <v>1.7642386860653005E-12</v>
      </c>
      <c r="E459" s="337" t="s">
        <v>632</v>
      </c>
      <c r="F459" s="842"/>
      <c r="G459" s="842"/>
      <c r="H459" s="842"/>
      <c r="I459" s="842"/>
      <c r="J459" s="842"/>
      <c r="K459" s="842"/>
      <c r="L459" s="842"/>
      <c r="M459" s="842"/>
      <c r="N459" s="842"/>
      <c r="O459" s="842"/>
      <c r="P459" s="842"/>
      <c r="Q459" s="842"/>
      <c r="R459" s="842"/>
      <c r="S459" s="842"/>
      <c r="T459" s="842"/>
      <c r="U459" s="842"/>
      <c r="V459" s="842"/>
      <c r="W459" s="842"/>
      <c r="X459" s="842"/>
      <c r="Y459" s="842"/>
      <c r="Z459" s="842"/>
      <c r="AA459" s="2209"/>
      <c r="AB459" s="2209"/>
      <c r="AC459" s="346"/>
    </row>
    <row r="460" spans="1:29" ht="18.75" customHeight="1" x14ac:dyDescent="0.2">
      <c r="A460" s="341"/>
      <c r="B460" s="345"/>
      <c r="C460" s="453" t="s">
        <v>884</v>
      </c>
      <c r="D460" s="410">
        <f ca="1">Constants!H213</f>
        <v>50</v>
      </c>
      <c r="E460" s="337" t="s">
        <v>496</v>
      </c>
      <c r="F460" s="842"/>
      <c r="G460" s="842"/>
      <c r="H460" s="842"/>
      <c r="I460" s="842"/>
      <c r="J460" s="842"/>
      <c r="K460" s="842"/>
      <c r="L460" s="842"/>
      <c r="M460" s="842"/>
      <c r="N460" s="842"/>
      <c r="O460" s="842"/>
      <c r="P460" s="842"/>
      <c r="Q460" s="842"/>
      <c r="R460" s="842"/>
      <c r="S460" s="842"/>
      <c r="T460" s="842"/>
      <c r="U460" s="842"/>
      <c r="V460" s="842"/>
      <c r="W460" s="842"/>
      <c r="X460" s="842"/>
      <c r="Y460" s="842"/>
      <c r="Z460" s="842"/>
      <c r="AA460" s="2209"/>
      <c r="AB460" s="2209"/>
      <c r="AC460" s="346"/>
    </row>
    <row r="461" spans="1:29" ht="18.75" customHeight="1" x14ac:dyDescent="0.2">
      <c r="A461" s="341"/>
      <c r="B461" s="345"/>
      <c r="C461" s="453" t="s">
        <v>884</v>
      </c>
      <c r="D461" s="842">
        <f ca="1">D460*'Energy &amp; Unit Conversions'!G79/'Energy &amp; Unit Conversions'!G80</f>
        <v>142.65050415976623</v>
      </c>
      <c r="E461" s="337" t="s">
        <v>581</v>
      </c>
      <c r="F461" s="842"/>
      <c r="G461" s="842"/>
      <c r="H461" s="842"/>
      <c r="I461" s="842"/>
      <c r="J461" s="842"/>
      <c r="K461" s="842"/>
      <c r="L461" s="842"/>
      <c r="M461" s="842"/>
      <c r="N461" s="842"/>
      <c r="O461" s="842"/>
      <c r="P461" s="842"/>
      <c r="Q461" s="842"/>
      <c r="R461" s="842"/>
      <c r="S461" s="842"/>
      <c r="T461" s="842"/>
      <c r="U461" s="842"/>
      <c r="V461" s="842"/>
      <c r="W461" s="842"/>
      <c r="X461" s="842"/>
      <c r="Y461" s="842"/>
      <c r="Z461" s="842"/>
      <c r="AA461" s="2209"/>
      <c r="AB461" s="2209"/>
      <c r="AC461" s="346"/>
    </row>
    <row r="462" spans="1:29" ht="18.75" customHeight="1" x14ac:dyDescent="0.2">
      <c r="A462" s="341"/>
      <c r="B462" s="345"/>
      <c r="C462" s="452" t="s">
        <v>885</v>
      </c>
      <c r="D462" s="334">
        <f ca="1">IF(Constants!H209=Constants!H210,D461*H446,D461*E446)</f>
        <v>2.95949818798908E-7</v>
      </c>
      <c r="E462" s="338" t="s">
        <v>622</v>
      </c>
      <c r="F462" s="842"/>
      <c r="G462" s="842"/>
      <c r="H462" s="842"/>
      <c r="I462" s="842"/>
      <c r="J462" s="842"/>
      <c r="K462" s="842"/>
      <c r="L462" s="842"/>
      <c r="M462" s="842"/>
      <c r="N462" s="842"/>
      <c r="O462" s="842"/>
      <c r="P462" s="842"/>
      <c r="Q462" s="842"/>
      <c r="R462" s="842"/>
      <c r="S462" s="842"/>
      <c r="T462" s="842"/>
      <c r="U462" s="842"/>
      <c r="V462" s="842"/>
      <c r="W462" s="842"/>
      <c r="X462" s="842"/>
      <c r="Y462" s="842"/>
      <c r="Z462" s="842"/>
      <c r="AA462" s="2209"/>
      <c r="AB462" s="2209"/>
      <c r="AC462" s="346"/>
    </row>
    <row r="463" spans="1:29" ht="18.75" customHeight="1" x14ac:dyDescent="0.2">
      <c r="A463" s="341"/>
      <c r="B463" s="345"/>
      <c r="C463" s="453" t="s">
        <v>451</v>
      </c>
      <c r="D463" s="410">
        <f ca="1">Constants!H220</f>
        <v>1.6</v>
      </c>
      <c r="E463" s="337" t="s">
        <v>665</v>
      </c>
      <c r="F463" s="842"/>
      <c r="G463" s="842"/>
      <c r="H463" s="842"/>
      <c r="I463" s="842"/>
      <c r="J463" s="842"/>
      <c r="K463" s="842"/>
      <c r="L463" s="842"/>
      <c r="M463" s="842"/>
      <c r="N463" s="842"/>
      <c r="O463" s="842"/>
      <c r="P463" s="842"/>
      <c r="Q463" s="842"/>
      <c r="R463" s="842"/>
      <c r="S463" s="842"/>
      <c r="T463" s="842"/>
      <c r="U463" s="842"/>
      <c r="V463" s="842"/>
      <c r="W463" s="842"/>
      <c r="X463" s="842"/>
      <c r="Y463" s="842"/>
      <c r="Z463" s="842"/>
      <c r="AA463" s="2209"/>
      <c r="AB463" s="2209"/>
      <c r="AC463" s="346"/>
    </row>
    <row r="464" spans="1:29" ht="18.75" customHeight="1" x14ac:dyDescent="0.2">
      <c r="A464" s="341"/>
      <c r="B464" s="345"/>
      <c r="C464" s="453" t="s">
        <v>451</v>
      </c>
      <c r="D464" s="842">
        <f ca="1">D463/'Energy &amp; Unit Conversions'!G80</f>
        <v>10.063696911640113</v>
      </c>
      <c r="E464" s="337" t="s">
        <v>629</v>
      </c>
      <c r="F464" s="842"/>
      <c r="G464" s="842"/>
      <c r="H464" s="842"/>
      <c r="I464" s="842"/>
      <c r="J464" s="842"/>
      <c r="K464" s="842"/>
      <c r="L464" s="842"/>
      <c r="M464" s="842"/>
      <c r="N464" s="842"/>
      <c r="O464" s="842"/>
      <c r="P464" s="842"/>
      <c r="Q464" s="842"/>
      <c r="R464" s="842"/>
      <c r="S464" s="842"/>
      <c r="T464" s="842"/>
      <c r="U464" s="842"/>
      <c r="V464" s="842"/>
      <c r="W464" s="842"/>
      <c r="X464" s="842"/>
      <c r="Y464" s="842"/>
      <c r="Z464" s="842"/>
      <c r="AA464" s="2209"/>
      <c r="AB464" s="2209"/>
      <c r="AC464" s="346"/>
    </row>
    <row r="465" spans="1:29" ht="18.75" customHeight="1" x14ac:dyDescent="0.2">
      <c r="A465" s="341"/>
      <c r="B465" s="345"/>
      <c r="C465" s="452" t="s">
        <v>452</v>
      </c>
      <c r="D465" s="334">
        <f ca="1">E446*D464</f>
        <v>2.08786452945958E-8</v>
      </c>
      <c r="E465" s="338" t="s">
        <v>627</v>
      </c>
      <c r="F465" s="842"/>
      <c r="G465" s="842"/>
      <c r="H465" s="842"/>
      <c r="I465" s="842"/>
      <c r="J465" s="842"/>
      <c r="K465" s="842"/>
      <c r="L465" s="842"/>
      <c r="M465" s="842"/>
      <c r="N465" s="842"/>
      <c r="O465" s="842"/>
      <c r="P465" s="842"/>
      <c r="Q465" s="842"/>
      <c r="R465" s="842"/>
      <c r="S465" s="842"/>
      <c r="T465" s="842"/>
      <c r="U465" s="842"/>
      <c r="V465" s="842"/>
      <c r="W465" s="842"/>
      <c r="X465" s="842"/>
      <c r="Y465" s="842"/>
      <c r="Z465" s="842"/>
      <c r="AA465" s="2209"/>
      <c r="AB465" s="2209"/>
      <c r="AC465" s="346"/>
    </row>
    <row r="466" spans="1:29" ht="18.75" customHeight="1" x14ac:dyDescent="0.2">
      <c r="A466" s="341"/>
      <c r="B466" s="345"/>
      <c r="C466" s="437"/>
      <c r="D466" s="842"/>
      <c r="E466" s="842"/>
      <c r="F466" s="842"/>
      <c r="G466" s="842"/>
      <c r="H466" s="842"/>
      <c r="I466" s="842"/>
      <c r="J466" s="842"/>
      <c r="K466" s="842"/>
      <c r="L466" s="842"/>
      <c r="M466" s="842"/>
      <c r="N466" s="842"/>
      <c r="O466" s="842"/>
      <c r="P466" s="842"/>
      <c r="Q466" s="842"/>
      <c r="R466" s="842"/>
      <c r="S466" s="842"/>
      <c r="T466" s="842"/>
      <c r="U466" s="842"/>
      <c r="V466" s="842"/>
      <c r="W466" s="842"/>
      <c r="X466" s="842"/>
      <c r="Y466" s="842"/>
      <c r="Z466" s="842"/>
      <c r="AA466" s="2209"/>
      <c r="AB466" s="2209"/>
      <c r="AC466" s="346"/>
    </row>
    <row r="467" spans="1:29" ht="18.75" customHeight="1" x14ac:dyDescent="0.2">
      <c r="A467" s="341"/>
      <c r="B467" s="345"/>
      <c r="C467" s="843" t="s">
        <v>352</v>
      </c>
      <c r="D467" s="842"/>
      <c r="E467" s="842"/>
      <c r="F467" s="842"/>
      <c r="G467" s="842"/>
      <c r="H467" s="842"/>
      <c r="I467" s="842"/>
      <c r="J467" s="842"/>
      <c r="K467" s="842"/>
      <c r="L467" s="842"/>
      <c r="M467" s="842"/>
      <c r="N467" s="842"/>
      <c r="O467" s="842"/>
      <c r="P467" s="842"/>
      <c r="Q467" s="842"/>
      <c r="R467" s="842"/>
      <c r="S467" s="842"/>
      <c r="T467" s="842"/>
      <c r="U467" s="842"/>
      <c r="V467" s="842"/>
      <c r="W467" s="842"/>
      <c r="X467" s="842"/>
      <c r="Y467" s="842"/>
      <c r="Z467" s="842"/>
      <c r="AA467" s="2209"/>
      <c r="AB467" s="2209"/>
      <c r="AC467" s="346"/>
    </row>
    <row r="468" spans="1:29" ht="18.75" customHeight="1" x14ac:dyDescent="0.2">
      <c r="A468" s="341"/>
      <c r="B468" s="345"/>
      <c r="C468" s="454"/>
      <c r="D468" s="356" t="s">
        <v>1197</v>
      </c>
      <c r="E468" s="356" t="s">
        <v>1198</v>
      </c>
      <c r="F468" s="356" t="s">
        <v>1199</v>
      </c>
      <c r="G468" s="356" t="s">
        <v>663</v>
      </c>
      <c r="H468" s="357" t="s">
        <v>662</v>
      </c>
      <c r="I468" s="842"/>
      <c r="J468" s="842"/>
      <c r="K468" s="842"/>
      <c r="L468" s="839"/>
      <c r="M468" s="839"/>
      <c r="N468" s="839"/>
      <c r="O468" s="839"/>
      <c r="P468" s="842"/>
      <c r="Q468" s="842"/>
      <c r="R468" s="842"/>
      <c r="S468" s="842"/>
      <c r="T468" s="842"/>
      <c r="U468" s="842"/>
      <c r="V468" s="842"/>
      <c r="W468" s="842"/>
      <c r="X468" s="842"/>
      <c r="Y468" s="842"/>
      <c r="Z468" s="842"/>
      <c r="AA468" s="2209"/>
      <c r="AB468" s="2209"/>
      <c r="AC468" s="346"/>
    </row>
    <row r="469" spans="1:29" ht="18.75" customHeight="1" x14ac:dyDescent="0.2">
      <c r="A469" s="341"/>
      <c r="B469" s="345"/>
      <c r="C469" s="442" t="str">
        <f>G444</f>
        <v>HC Diesel</v>
      </c>
      <c r="D469" s="842">
        <f ca="1">L359</f>
        <v>6.3917148298896895E-9</v>
      </c>
      <c r="E469" s="842">
        <f ca="1">L361</f>
        <v>8.4345446730167539E-7</v>
      </c>
      <c r="F469" s="842">
        <f ca="1">E469/D469/'Energy &amp; Unit Conversions'!G80</f>
        <v>830.00712089804506</v>
      </c>
      <c r="G469" s="842">
        <f ca="1">L362</f>
        <v>4.017723721006432E-6</v>
      </c>
      <c r="H469" s="337">
        <f ca="1">L366</f>
        <v>13.386945726864486</v>
      </c>
      <c r="I469" s="842"/>
      <c r="J469" s="842"/>
      <c r="K469" s="842"/>
      <c r="L469" s="842"/>
      <c r="M469" s="842"/>
      <c r="N469" s="842"/>
      <c r="O469" s="842"/>
      <c r="P469" s="842"/>
      <c r="Q469" s="842"/>
      <c r="R469" s="842"/>
      <c r="S469" s="842"/>
      <c r="T469" s="842"/>
      <c r="U469" s="842"/>
      <c r="V469" s="842"/>
      <c r="W469" s="842"/>
      <c r="X469" s="842"/>
      <c r="Y469" s="842"/>
      <c r="Z469" s="842"/>
      <c r="AA469" s="2209"/>
      <c r="AB469" s="2209"/>
      <c r="AC469" s="346"/>
    </row>
    <row r="470" spans="1:29" ht="18.75" customHeight="1" x14ac:dyDescent="0.2">
      <c r="A470" s="341"/>
      <c r="B470" s="345"/>
      <c r="C470" s="442" t="str">
        <f>H444</f>
        <v>Fuel Oil</v>
      </c>
      <c r="D470" s="842">
        <f ca="1">M359</f>
        <v>6.3915734341695177E-21</v>
      </c>
      <c r="E470" s="842">
        <f ca="1">M361</f>
        <v>8.4343580863885792E-19</v>
      </c>
      <c r="F470" s="842">
        <f ca="1">E470/D470/'Energy &amp; Unit Conversions'!G80</f>
        <v>830.00712089804506</v>
      </c>
      <c r="G470" s="842">
        <f ca="1">M362</f>
        <v>4.017723721006432E-6</v>
      </c>
      <c r="H470" s="337">
        <f ca="1">M366</f>
        <v>13.386945726864486</v>
      </c>
      <c r="I470" s="842"/>
      <c r="J470" s="842"/>
      <c r="K470" s="842"/>
      <c r="L470" s="842"/>
      <c r="M470" s="842"/>
      <c r="N470" s="842"/>
      <c r="O470" s="842"/>
      <c r="P470" s="842"/>
      <c r="Q470" s="842"/>
      <c r="R470" s="842"/>
      <c r="S470" s="842"/>
      <c r="T470" s="842"/>
      <c r="U470" s="842"/>
      <c r="V470" s="842"/>
      <c r="W470" s="842"/>
      <c r="X470" s="842"/>
      <c r="Y470" s="842"/>
      <c r="Z470" s="842"/>
      <c r="AA470" s="2209"/>
      <c r="AB470" s="2209"/>
      <c r="AC470" s="346"/>
    </row>
    <row r="471" spans="1:29" ht="18.75" customHeight="1" x14ac:dyDescent="0.2">
      <c r="A471" s="341"/>
      <c r="B471" s="345"/>
      <c r="C471" s="452" t="s">
        <v>1200</v>
      </c>
      <c r="D471" s="334">
        <f ca="1">SUM(D469:D470)</f>
        <v>6.3917148298960811E-9</v>
      </c>
      <c r="E471" s="334">
        <f ca="1">SUM(E469:E470)</f>
        <v>8.4345446730251883E-7</v>
      </c>
      <c r="F471" s="334"/>
      <c r="G471" s="334"/>
      <c r="H471" s="338"/>
      <c r="I471" s="842"/>
      <c r="J471" s="842"/>
      <c r="K471" s="842"/>
      <c r="L471" s="842"/>
      <c r="M471" s="842"/>
      <c r="N471" s="842"/>
      <c r="O471" s="842"/>
      <c r="P471" s="842"/>
      <c r="Q471" s="842"/>
      <c r="R471" s="842"/>
      <c r="S471" s="842"/>
      <c r="T471" s="842"/>
      <c r="U471" s="842"/>
      <c r="V471" s="842"/>
      <c r="W471" s="842"/>
      <c r="X471" s="842"/>
      <c r="Y471" s="842"/>
      <c r="Z471" s="842"/>
      <c r="AA471" s="2209"/>
      <c r="AB471" s="2209"/>
      <c r="AC471" s="346"/>
    </row>
    <row r="472" spans="1:29" ht="18.75" customHeight="1" x14ac:dyDescent="0.2">
      <c r="A472" s="341"/>
      <c r="B472" s="345"/>
      <c r="C472" s="437"/>
      <c r="D472" s="842"/>
      <c r="E472" s="842"/>
      <c r="F472" s="842"/>
      <c r="G472" s="842"/>
      <c r="H472" s="842"/>
      <c r="I472" s="842"/>
      <c r="J472" s="842"/>
      <c r="K472" s="842"/>
      <c r="L472" s="842"/>
      <c r="M472" s="842"/>
      <c r="N472" s="842"/>
      <c r="O472" s="842"/>
      <c r="P472" s="842"/>
      <c r="Q472" s="842"/>
      <c r="R472" s="842"/>
      <c r="S472" s="842"/>
      <c r="T472" s="842"/>
      <c r="U472" s="842"/>
      <c r="V472" s="842"/>
      <c r="W472" s="842"/>
      <c r="X472" s="842"/>
      <c r="Y472" s="842"/>
      <c r="Z472" s="842"/>
      <c r="AA472" s="2209"/>
      <c r="AB472" s="2209"/>
      <c r="AC472" s="346"/>
    </row>
    <row r="473" spans="1:29" ht="18.75" customHeight="1" x14ac:dyDescent="0.2">
      <c r="A473" s="341"/>
      <c r="B473" s="345"/>
      <c r="C473" s="342"/>
      <c r="D473" s="842"/>
      <c r="E473" s="842"/>
      <c r="F473" s="842"/>
      <c r="G473" s="842"/>
      <c r="H473" s="842"/>
      <c r="I473" s="842"/>
      <c r="J473" s="842"/>
      <c r="K473" s="842"/>
      <c r="L473" s="842"/>
      <c r="M473" s="842"/>
      <c r="N473" s="842"/>
      <c r="O473" s="842"/>
      <c r="P473" s="842"/>
      <c r="Q473" s="842"/>
      <c r="R473" s="842"/>
      <c r="S473" s="842"/>
      <c r="T473" s="842"/>
      <c r="U473" s="842"/>
      <c r="V473" s="842"/>
      <c r="W473" s="842"/>
      <c r="X473" s="842"/>
      <c r="Y473" s="842"/>
      <c r="Z473" s="842"/>
      <c r="AA473" s="2209"/>
      <c r="AB473" s="2209"/>
      <c r="AC473" s="346"/>
    </row>
    <row r="474" spans="1:29" ht="18.75" customHeight="1" x14ac:dyDescent="0.2">
      <c r="A474" s="341"/>
      <c r="B474" s="345"/>
      <c r="C474" s="843" t="s">
        <v>460</v>
      </c>
      <c r="D474" s="842"/>
      <c r="E474" s="842"/>
      <c r="F474" s="842"/>
      <c r="G474" s="842"/>
      <c r="H474" s="842"/>
      <c r="I474" s="842"/>
      <c r="J474" s="842"/>
      <c r="K474" s="842"/>
      <c r="L474" s="842"/>
      <c r="M474" s="842"/>
      <c r="N474" s="842"/>
      <c r="O474" s="842"/>
      <c r="P474" s="842"/>
      <c r="Q474" s="842"/>
      <c r="R474" s="842"/>
      <c r="S474" s="842"/>
      <c r="T474" s="842"/>
      <c r="U474" s="842"/>
      <c r="V474" s="842"/>
      <c r="W474" s="842"/>
      <c r="X474" s="842"/>
      <c r="Y474" s="842"/>
      <c r="Z474" s="842"/>
      <c r="AA474" s="2209"/>
      <c r="AB474" s="2209"/>
      <c r="AC474" s="346"/>
    </row>
    <row r="475" spans="1:29" ht="18.75" customHeight="1" x14ac:dyDescent="0.2">
      <c r="A475" s="341"/>
      <c r="B475" s="345"/>
      <c r="C475" s="454"/>
      <c r="D475" s="368"/>
      <c r="E475" s="368"/>
      <c r="F475" s="368"/>
      <c r="G475" s="372" t="s">
        <v>292</v>
      </c>
      <c r="H475" s="372" t="s">
        <v>293</v>
      </c>
      <c r="I475" s="356" t="s">
        <v>294</v>
      </c>
      <c r="J475" s="373" t="s">
        <v>663</v>
      </c>
      <c r="K475" s="374" t="s">
        <v>662</v>
      </c>
      <c r="L475" s="842"/>
      <c r="M475" s="842"/>
      <c r="N475" s="842"/>
      <c r="O475" s="842"/>
      <c r="P475" s="842"/>
      <c r="Q475" s="842"/>
      <c r="R475" s="842"/>
      <c r="S475" s="842"/>
      <c r="T475" s="842"/>
      <c r="U475" s="842"/>
      <c r="V475" s="842"/>
      <c r="W475" s="842"/>
      <c r="X475" s="842"/>
      <c r="Y475" s="842"/>
      <c r="Z475" s="842"/>
      <c r="AA475" s="2209"/>
      <c r="AB475" s="2209"/>
      <c r="AC475" s="346"/>
    </row>
    <row r="476" spans="1:29" ht="18.75" customHeight="1" x14ac:dyDescent="0.2">
      <c r="A476" s="341"/>
      <c r="B476" s="345"/>
      <c r="C476" s="453" t="str">
        <f>C469</f>
        <v>HC Diesel</v>
      </c>
      <c r="D476" s="842">
        <f>HydroRefineryControls!C19</f>
        <v>1E-10</v>
      </c>
      <c r="E476" s="842" t="s">
        <v>1194</v>
      </c>
      <c r="F476" s="839" t="s">
        <v>887</v>
      </c>
      <c r="G476" s="842">
        <f ca="1">D476/100*D469+D477/100*D470</f>
        <v>6.3917148298960808E-21</v>
      </c>
      <c r="H476" s="842">
        <f ca="1">D476/100*E469+D477/100*E470</f>
        <v>8.4345446730251883E-19</v>
      </c>
      <c r="I476" s="842">
        <f ca="1">H476/G476/'Energy &amp; Unit Conversions'!G80</f>
        <v>830.00712089804506</v>
      </c>
      <c r="J476" s="842">
        <f ca="1">(D476/100*E469*G469+D477/100*E470*G470)/H476</f>
        <v>4.017723721006432E-6</v>
      </c>
      <c r="K476" s="337">
        <f ca="1">(D476/100*E469*H469+D477/100*E470*H470)/H476</f>
        <v>13.386945726864486</v>
      </c>
      <c r="L476" s="842"/>
      <c r="M476" s="842"/>
      <c r="N476" s="842"/>
      <c r="O476" s="842"/>
      <c r="P476" s="842"/>
      <c r="Q476" s="842"/>
      <c r="R476" s="842"/>
      <c r="S476" s="842"/>
      <c r="T476" s="842"/>
      <c r="U476" s="842"/>
      <c r="V476" s="842"/>
      <c r="W476" s="842"/>
      <c r="X476" s="842"/>
      <c r="Y476" s="842"/>
      <c r="Z476" s="842"/>
      <c r="AA476" s="2209"/>
      <c r="AB476" s="2209"/>
      <c r="AC476" s="346"/>
    </row>
    <row r="477" spans="1:29" ht="18.75" customHeight="1" x14ac:dyDescent="0.2">
      <c r="A477" s="341"/>
      <c r="B477" s="345"/>
      <c r="C477" s="452" t="str">
        <f>C470</f>
        <v>Fuel Oil</v>
      </c>
      <c r="D477" s="334">
        <f>HydroRefineryControls!C20</f>
        <v>1E-10</v>
      </c>
      <c r="E477" s="334" t="s">
        <v>1194</v>
      </c>
      <c r="F477" s="335"/>
      <c r="G477" s="334">
        <f ca="1">SUM(G476:G476)</f>
        <v>6.3917148298960808E-21</v>
      </c>
      <c r="H477" s="334"/>
      <c r="I477" s="334"/>
      <c r="J477" s="334"/>
      <c r="K477" s="338"/>
      <c r="L477" s="842"/>
      <c r="M477" s="842"/>
      <c r="N477" s="842"/>
      <c r="O477" s="842"/>
      <c r="P477" s="842"/>
      <c r="Q477" s="842"/>
      <c r="R477" s="842"/>
      <c r="S477" s="842"/>
      <c r="T477" s="842"/>
      <c r="U477" s="842"/>
      <c r="V477" s="842"/>
      <c r="W477" s="842"/>
      <c r="X477" s="842"/>
      <c r="Y477" s="842"/>
      <c r="Z477" s="842"/>
      <c r="AA477" s="2209"/>
      <c r="AB477" s="2209"/>
      <c r="AC477" s="346"/>
    </row>
    <row r="478" spans="1:29" ht="18.75" customHeight="1" x14ac:dyDescent="0.2">
      <c r="A478" s="341"/>
      <c r="B478" s="345"/>
      <c r="C478" s="437"/>
      <c r="D478" s="842"/>
      <c r="E478" s="842"/>
      <c r="F478" s="842"/>
      <c r="G478" s="842"/>
      <c r="H478" s="842"/>
      <c r="I478" s="842"/>
      <c r="J478" s="842"/>
      <c r="K478" s="842"/>
      <c r="L478" s="842"/>
      <c r="M478" s="842"/>
      <c r="N478" s="842"/>
      <c r="O478" s="842"/>
      <c r="P478" s="842"/>
      <c r="Q478" s="842"/>
      <c r="R478" s="842"/>
      <c r="S478" s="842"/>
      <c r="T478" s="842"/>
      <c r="U478" s="842"/>
      <c r="V478" s="842"/>
      <c r="W478" s="842"/>
      <c r="X478" s="842"/>
      <c r="Y478" s="842"/>
      <c r="Z478" s="842"/>
      <c r="AA478" s="2209"/>
      <c r="AB478" s="2209"/>
      <c r="AC478" s="346"/>
    </row>
    <row r="479" spans="1:29" ht="18.75" customHeight="1" x14ac:dyDescent="0.2">
      <c r="A479" s="341"/>
      <c r="B479" s="345"/>
      <c r="C479" s="843" t="s">
        <v>296</v>
      </c>
      <c r="D479" s="842"/>
      <c r="E479" s="842"/>
      <c r="F479" s="842"/>
      <c r="G479" s="842"/>
      <c r="H479" s="842"/>
      <c r="I479" s="842"/>
      <c r="J479" s="842"/>
      <c r="K479" s="842"/>
      <c r="L479" s="842"/>
      <c r="M479" s="842"/>
      <c r="N479" s="842"/>
      <c r="O479" s="842"/>
      <c r="P479" s="842"/>
      <c r="Q479" s="842"/>
      <c r="R479" s="842"/>
      <c r="S479" s="842"/>
      <c r="T479" s="842"/>
      <c r="U479" s="842"/>
      <c r="V479" s="842"/>
      <c r="W479" s="842"/>
      <c r="X479" s="842"/>
      <c r="Y479" s="842"/>
      <c r="Z479" s="842"/>
      <c r="AA479" s="2209"/>
      <c r="AB479" s="2209"/>
      <c r="AC479" s="346"/>
    </row>
    <row r="480" spans="1:29" ht="18.75" customHeight="1" x14ac:dyDescent="0.2">
      <c r="A480" s="341"/>
      <c r="B480" s="345"/>
      <c r="C480" s="445" t="s">
        <v>1208</v>
      </c>
      <c r="D480" s="368" t="s">
        <v>1209</v>
      </c>
      <c r="E480" s="368" t="s">
        <v>1210</v>
      </c>
      <c r="F480" s="356" t="s">
        <v>1211</v>
      </c>
      <c r="G480" s="368" t="s">
        <v>1212</v>
      </c>
      <c r="H480" s="368" t="s">
        <v>1213</v>
      </c>
      <c r="I480" s="356" t="s">
        <v>1214</v>
      </c>
      <c r="J480" s="368" t="s">
        <v>1215</v>
      </c>
      <c r="K480" s="369" t="s">
        <v>1216</v>
      </c>
      <c r="L480" s="842"/>
      <c r="M480" s="842"/>
      <c r="N480" s="842"/>
      <c r="O480" s="842"/>
      <c r="P480" s="842"/>
      <c r="Q480" s="842"/>
      <c r="R480" s="842"/>
      <c r="S480" s="842"/>
      <c r="T480" s="842"/>
      <c r="U480" s="842"/>
      <c r="V480" s="842"/>
      <c r="W480" s="842"/>
      <c r="X480" s="842"/>
      <c r="Y480" s="842"/>
      <c r="Z480" s="842"/>
      <c r="AA480" s="2209"/>
      <c r="AB480" s="2209"/>
      <c r="AC480" s="346"/>
    </row>
    <row r="481" spans="1:29" ht="18.75" customHeight="1" x14ac:dyDescent="0.2">
      <c r="A481" s="341"/>
      <c r="B481" s="345"/>
      <c r="C481" s="453">
        <f ca="1">D476/100*D469</f>
        <v>6.3917148298896891E-21</v>
      </c>
      <c r="D481" s="842">
        <f>HydroRefineryControls!C21</f>
        <v>50</v>
      </c>
      <c r="E481" s="842">
        <f>100-D481</f>
        <v>50</v>
      </c>
      <c r="F481" s="842">
        <f ca="1">D469-D476/100*D469</f>
        <v>6.3917148298832979E-9</v>
      </c>
      <c r="G481" s="842">
        <f ca="1">D481/100*G476</f>
        <v>3.1958574149480404E-21</v>
      </c>
      <c r="H481" s="842">
        <f ca="1">G476-G481</f>
        <v>3.1958574149480404E-21</v>
      </c>
      <c r="I481" s="842">
        <f ca="1">E469-D476/100*E469</f>
        <v>8.4345446730083196E-7</v>
      </c>
      <c r="J481" s="842">
        <f ca="1">D481/100*H476</f>
        <v>4.2172723365125941E-19</v>
      </c>
      <c r="K481" s="337">
        <f ca="1">H476-J481</f>
        <v>4.2172723365125941E-19</v>
      </c>
      <c r="L481" s="842"/>
      <c r="M481" s="842"/>
      <c r="N481" s="842"/>
      <c r="O481" s="842"/>
      <c r="P481" s="842"/>
      <c r="Q481" s="842"/>
      <c r="R481" s="842"/>
      <c r="S481" s="842"/>
      <c r="T481" s="842"/>
      <c r="U481" s="842"/>
      <c r="V481" s="842"/>
      <c r="W481" s="842"/>
      <c r="X481" s="842"/>
      <c r="Y481" s="842"/>
      <c r="Z481" s="842"/>
      <c r="AA481" s="2209"/>
      <c r="AB481" s="2209"/>
      <c r="AC481" s="346"/>
    </row>
    <row r="482" spans="1:29" ht="18.75" customHeight="1" x14ac:dyDescent="0.2">
      <c r="A482" s="341"/>
      <c r="B482" s="345"/>
      <c r="C482" s="453">
        <f ca="1">D477/100*D470</f>
        <v>6.3915734341695176E-33</v>
      </c>
      <c r="D482" s="842"/>
      <c r="E482" s="842"/>
      <c r="F482" s="842">
        <f ca="1">D470-D477/100*D470</f>
        <v>6.3915734341631261E-21</v>
      </c>
      <c r="G482" s="842"/>
      <c r="H482" s="842"/>
      <c r="I482" s="842">
        <f ca="1">E470-D477/100*E470</f>
        <v>8.4343580863801446E-19</v>
      </c>
      <c r="J482" s="842"/>
      <c r="K482" s="337"/>
      <c r="L482" s="842"/>
      <c r="M482" s="842"/>
      <c r="N482" s="842"/>
      <c r="O482" s="842"/>
      <c r="P482" s="842"/>
      <c r="Q482" s="842"/>
      <c r="R482" s="842"/>
      <c r="S482" s="842"/>
      <c r="T482" s="842"/>
      <c r="U482" s="842"/>
      <c r="V482" s="842"/>
      <c r="W482" s="842"/>
      <c r="X482" s="842"/>
      <c r="Y482" s="842"/>
      <c r="Z482" s="842"/>
      <c r="AA482" s="2209"/>
      <c r="AB482" s="2209"/>
      <c r="AC482" s="346"/>
    </row>
    <row r="483" spans="1:29" ht="18.75" customHeight="1" x14ac:dyDescent="0.2">
      <c r="A483" s="341"/>
      <c r="B483" s="345"/>
      <c r="C483" s="452">
        <f ca="1">SUM(C481:C482)</f>
        <v>6.3917148298960808E-21</v>
      </c>
      <c r="D483" s="334"/>
      <c r="E483" s="334"/>
      <c r="F483" s="334">
        <f ca="1">SUM(F481:F482)</f>
        <v>6.3917148298896895E-9</v>
      </c>
      <c r="G483" s="334"/>
      <c r="H483" s="334"/>
      <c r="I483" s="334"/>
      <c r="J483" s="334"/>
      <c r="K483" s="338"/>
      <c r="L483" s="842"/>
      <c r="M483" s="842"/>
      <c r="N483" s="842"/>
      <c r="O483" s="842"/>
      <c r="P483" s="842"/>
      <c r="Q483" s="842"/>
      <c r="R483" s="842"/>
      <c r="S483" s="842"/>
      <c r="T483" s="842"/>
      <c r="U483" s="842"/>
      <c r="V483" s="842"/>
      <c r="W483" s="842"/>
      <c r="X483" s="842"/>
      <c r="Y483" s="842"/>
      <c r="Z483" s="842"/>
      <c r="AA483" s="2209"/>
      <c r="AB483" s="2209"/>
      <c r="AC483" s="346"/>
    </row>
    <row r="484" spans="1:29" ht="18.75" customHeight="1" x14ac:dyDescent="0.2">
      <c r="A484" s="341"/>
      <c r="B484" s="345"/>
      <c r="C484" s="437"/>
      <c r="D484" s="842"/>
      <c r="E484" s="842"/>
      <c r="F484" s="842"/>
      <c r="G484" s="842"/>
      <c r="H484" s="842"/>
      <c r="I484" s="842"/>
      <c r="J484" s="842"/>
      <c r="K484" s="842"/>
      <c r="L484" s="842"/>
      <c r="M484" s="842"/>
      <c r="N484" s="842"/>
      <c r="O484" s="842"/>
      <c r="P484" s="842"/>
      <c r="Q484" s="842"/>
      <c r="R484" s="842"/>
      <c r="S484" s="842"/>
      <c r="T484" s="842"/>
      <c r="U484" s="842"/>
      <c r="V484" s="842"/>
      <c r="W484" s="842"/>
      <c r="X484" s="842"/>
      <c r="Y484" s="842"/>
      <c r="Z484" s="842"/>
      <c r="AA484" s="2209"/>
      <c r="AB484" s="2209"/>
      <c r="AC484" s="346"/>
    </row>
    <row r="485" spans="1:29" ht="18.75" customHeight="1" x14ac:dyDescent="0.2">
      <c r="A485" s="341"/>
      <c r="B485" s="345"/>
      <c r="C485" s="454"/>
      <c r="D485" s="372" t="s">
        <v>292</v>
      </c>
      <c r="E485" s="372" t="s">
        <v>293</v>
      </c>
      <c r="F485" s="356" t="s">
        <v>294</v>
      </c>
      <c r="G485" s="373" t="s">
        <v>663</v>
      </c>
      <c r="H485" s="373" t="s">
        <v>662</v>
      </c>
      <c r="I485" s="351" t="s">
        <v>567</v>
      </c>
      <c r="J485" s="351" t="s">
        <v>544</v>
      </c>
      <c r="K485" s="369"/>
      <c r="L485" s="724"/>
      <c r="M485" s="724" t="s">
        <v>464</v>
      </c>
      <c r="N485" s="724" t="s">
        <v>463</v>
      </c>
      <c r="O485" s="724" t="s">
        <v>461</v>
      </c>
      <c r="P485" s="724" t="s">
        <v>462</v>
      </c>
      <c r="Q485" s="842"/>
      <c r="R485" s="842"/>
      <c r="S485" s="842"/>
      <c r="T485" s="842"/>
      <c r="U485" s="842"/>
      <c r="V485" s="842"/>
      <c r="W485" s="842"/>
      <c r="X485" s="842"/>
      <c r="Y485" s="842"/>
      <c r="Z485" s="842"/>
      <c r="AA485" s="2209"/>
      <c r="AB485" s="2209"/>
      <c r="AC485" s="346"/>
    </row>
    <row r="486" spans="1:29" ht="18.75" customHeight="1" x14ac:dyDescent="0.2">
      <c r="A486" s="341"/>
      <c r="B486" s="345"/>
      <c r="C486" s="442" t="str">
        <f>C476</f>
        <v>HC Diesel</v>
      </c>
      <c r="D486" s="842">
        <f ca="1">F481+G481</f>
        <v>6.3917148298864941E-9</v>
      </c>
      <c r="E486" s="842">
        <f ca="1">I481+J481</f>
        <v>8.4345446730125368E-7</v>
      </c>
      <c r="F486" s="842">
        <f ca="1">E486/D486/'Energy &amp; Unit Conversions'!G80</f>
        <v>830.00712089804506</v>
      </c>
      <c r="G486" s="842">
        <f ca="1">(I481*G469+J481*J476)/E486</f>
        <v>4.017723721006432E-6</v>
      </c>
      <c r="H486" s="842">
        <f ca="1">(I481*H469+J481*K476)/E486</f>
        <v>13.386945726864488</v>
      </c>
      <c r="I486" s="842">
        <f ca="1">141.5/(F486/1000)-131.5</f>
        <v>38.980465091553498</v>
      </c>
      <c r="J486" s="842"/>
      <c r="K486" s="337"/>
      <c r="L486" s="724">
        <f ca="1">(H469-H486)^2*1000000</f>
        <v>3.1554436208840472E-24</v>
      </c>
      <c r="M486" s="724">
        <f ca="1">(G469-G486)^2*1000000</f>
        <v>0</v>
      </c>
      <c r="N486" s="724">
        <f ca="1">(E469-E486)^2/1000000</f>
        <v>1.778448305064407E-43</v>
      </c>
      <c r="O486" s="724">
        <f ca="1">SUM(L486:L487)+SUM(M486:M487)+SUM(N486:N487)</f>
        <v>3.1554436208840472E-24</v>
      </c>
      <c r="P486" s="724"/>
      <c r="Q486" s="842"/>
      <c r="R486" s="842"/>
      <c r="S486" s="842"/>
      <c r="T486" s="842"/>
      <c r="U486" s="842"/>
      <c r="V486" s="842"/>
      <c r="W486" s="842"/>
      <c r="X486" s="842"/>
      <c r="Y486" s="842"/>
      <c r="Z486" s="842"/>
      <c r="AA486" s="2209"/>
      <c r="AB486" s="2209"/>
      <c r="AC486" s="346"/>
    </row>
    <row r="487" spans="1:29" ht="18.75" customHeight="1" x14ac:dyDescent="0.2">
      <c r="A487" s="341"/>
      <c r="B487" s="345"/>
      <c r="C487" s="442" t="str">
        <f>C477</f>
        <v>Fuel Oil</v>
      </c>
      <c r="D487" s="842">
        <f ca="1">F482+H481</f>
        <v>9.5874308491111665E-21</v>
      </c>
      <c r="E487" s="842">
        <f ca="1">I482+K481</f>
        <v>1.2651630422892739E-18</v>
      </c>
      <c r="F487" s="842">
        <f ca="1">E487/D487/'Energy &amp; Unit Conversions'!G80</f>
        <v>830.00712089804506</v>
      </c>
      <c r="G487" s="842">
        <f ca="1">(I482*G470+K481*J476)/E487</f>
        <v>4.017723721006432E-6</v>
      </c>
      <c r="H487" s="842">
        <f ca="1">(I482*H470+K481*K476)/E487</f>
        <v>13.386945726864486</v>
      </c>
      <c r="I487" s="842">
        <f ca="1">141.5/(F487/1000)-131.5</f>
        <v>38.980465091553498</v>
      </c>
      <c r="J487" s="842"/>
      <c r="K487" s="337"/>
      <c r="L487" s="724">
        <f ca="1">(H470-H487)^2*1000000</f>
        <v>0</v>
      </c>
      <c r="M487" s="724">
        <f ca="1">(G470-G487)^2*1000000</f>
        <v>0</v>
      </c>
      <c r="N487" s="724">
        <f ca="1">(E470-E487)^2/1000000</f>
        <v>1.7785385960243254E-43</v>
      </c>
      <c r="O487" s="724"/>
      <c r="P487" s="724"/>
      <c r="Q487" s="842"/>
      <c r="R487" s="842"/>
      <c r="S487" s="842"/>
      <c r="T487" s="842"/>
      <c r="U487" s="842"/>
      <c r="V487" s="842"/>
      <c r="W487" s="842"/>
      <c r="X487" s="842"/>
      <c r="Y487" s="842"/>
      <c r="Z487" s="842"/>
      <c r="AA487" s="2209"/>
      <c r="AB487" s="2209"/>
      <c r="AC487" s="346"/>
    </row>
    <row r="488" spans="1:29" ht="18.75" customHeight="1" x14ac:dyDescent="0.2">
      <c r="A488" s="341"/>
      <c r="B488" s="345"/>
      <c r="C488" s="452"/>
      <c r="D488" s="334">
        <f ca="1">SUM(D486:D487)</f>
        <v>6.3917148298960811E-9</v>
      </c>
      <c r="E488" s="334">
        <f ca="1">SUM(E486:E487)</f>
        <v>8.4345446730251883E-7</v>
      </c>
      <c r="F488" s="334"/>
      <c r="G488" s="334"/>
      <c r="H488" s="334"/>
      <c r="I488" s="334"/>
      <c r="J488" s="334"/>
      <c r="K488" s="338"/>
      <c r="L488" s="842"/>
      <c r="M488" s="842"/>
      <c r="N488" s="842"/>
      <c r="O488" s="842"/>
      <c r="P488" s="842"/>
      <c r="Q488" s="842"/>
      <c r="R488" s="842"/>
      <c r="S488" s="842"/>
      <c r="T488" s="842"/>
      <c r="U488" s="842"/>
      <c r="V488" s="842"/>
      <c r="W488" s="842"/>
      <c r="X488" s="842"/>
      <c r="Y488" s="842"/>
      <c r="Z488" s="842"/>
      <c r="AA488" s="2209"/>
      <c r="AB488" s="2209"/>
      <c r="AC488" s="346"/>
    </row>
    <row r="489" spans="1:29" ht="18.75" customHeight="1" x14ac:dyDescent="0.2">
      <c r="A489" s="341"/>
      <c r="B489" s="345"/>
      <c r="C489" s="437"/>
      <c r="D489" s="842"/>
      <c r="E489" s="842"/>
      <c r="F489" s="842"/>
      <c r="G489" s="842"/>
      <c r="H489" s="842"/>
      <c r="I489" s="842"/>
      <c r="J489" s="842"/>
      <c r="K489" s="842"/>
      <c r="L489" s="842"/>
      <c r="M489" s="842"/>
      <c r="N489" s="842"/>
      <c r="O489" s="842"/>
      <c r="P489" s="842"/>
      <c r="Q489" s="842"/>
      <c r="R489" s="842"/>
      <c r="S489" s="842"/>
      <c r="T489" s="842"/>
      <c r="U489" s="842"/>
      <c r="V489" s="842"/>
      <c r="W489" s="842"/>
      <c r="X489" s="842"/>
      <c r="Y489" s="842"/>
      <c r="Z489" s="842"/>
      <c r="AA489" s="2209"/>
      <c r="AB489" s="2209"/>
      <c r="AC489" s="346"/>
    </row>
    <row r="490" spans="1:29" ht="26.25" x14ac:dyDescent="0.2">
      <c r="A490" s="341"/>
      <c r="B490" s="699"/>
      <c r="C490" s="603" t="s">
        <v>1296</v>
      </c>
      <c r="D490" s="842"/>
      <c r="E490" s="842"/>
      <c r="F490" s="842"/>
      <c r="G490" s="842"/>
      <c r="H490" s="842"/>
      <c r="I490" s="842"/>
      <c r="J490" s="842"/>
      <c r="K490" s="842"/>
      <c r="L490" s="842"/>
      <c r="M490" s="842"/>
      <c r="N490" s="842"/>
      <c r="O490" s="842"/>
      <c r="P490" s="842"/>
      <c r="Q490" s="842"/>
      <c r="R490" s="842"/>
      <c r="S490" s="842"/>
      <c r="T490" s="842"/>
      <c r="U490" s="842"/>
      <c r="V490" s="842"/>
      <c r="W490" s="842"/>
      <c r="X490" s="842"/>
      <c r="Y490" s="842"/>
      <c r="Z490" s="842"/>
      <c r="AA490" s="2209"/>
      <c r="AB490" s="2209"/>
      <c r="AC490" s="346"/>
    </row>
    <row r="491" spans="1:29" ht="18.75" customHeight="1" x14ac:dyDescent="0.2">
      <c r="A491" s="341"/>
      <c r="B491" s="345"/>
      <c r="C491" s="444"/>
      <c r="D491" s="842"/>
      <c r="E491" s="842"/>
      <c r="F491" s="842"/>
      <c r="G491" s="842"/>
      <c r="H491" s="842"/>
      <c r="I491" s="842"/>
      <c r="J491" s="842"/>
      <c r="K491" s="842"/>
      <c r="L491" s="842"/>
      <c r="M491" s="842"/>
      <c r="N491" s="842"/>
      <c r="O491" s="842"/>
      <c r="P491" s="842"/>
      <c r="Q491" s="842"/>
      <c r="R491" s="842"/>
      <c r="S491" s="842"/>
      <c r="T491" s="842"/>
      <c r="U491" s="842"/>
      <c r="V491" s="842"/>
      <c r="W491" s="842"/>
      <c r="X491" s="842"/>
      <c r="Y491" s="842"/>
      <c r="Z491" s="842"/>
      <c r="AA491" s="2209"/>
      <c r="AB491" s="2209"/>
      <c r="AC491" s="346"/>
    </row>
    <row r="492" spans="1:29" ht="18.75" customHeight="1" x14ac:dyDescent="0.2">
      <c r="A492" s="341"/>
      <c r="B492" s="345"/>
      <c r="C492" s="843" t="s">
        <v>569</v>
      </c>
      <c r="D492" s="842"/>
      <c r="E492" s="842"/>
      <c r="F492" s="842"/>
      <c r="G492" s="842"/>
      <c r="H492" s="843" t="s">
        <v>308</v>
      </c>
      <c r="I492" s="843"/>
      <c r="J492" s="842"/>
      <c r="K492" s="842"/>
      <c r="L492" s="842"/>
      <c r="M492" s="842"/>
      <c r="N492" s="842"/>
      <c r="O492" s="842"/>
      <c r="P492" s="842"/>
      <c r="Q492" s="842"/>
      <c r="R492" s="842"/>
      <c r="S492" s="842"/>
      <c r="T492" s="842"/>
      <c r="U492" s="842"/>
      <c r="V492" s="842"/>
      <c r="W492" s="842"/>
      <c r="X492" s="842"/>
      <c r="Y492" s="842"/>
      <c r="Z492" s="842"/>
      <c r="AA492" s="2209"/>
      <c r="AB492" s="2209"/>
      <c r="AC492" s="346"/>
    </row>
    <row r="493" spans="1:29" ht="18.75" customHeight="1" x14ac:dyDescent="0.2">
      <c r="A493" s="341"/>
      <c r="B493" s="345"/>
      <c r="C493" s="441" t="str">
        <f t="shared" ref="C493:D503" si="44">C46</f>
        <v>Property</v>
      </c>
      <c r="D493" s="351" t="str">
        <f t="shared" si="44"/>
        <v>Units</v>
      </c>
      <c r="E493" s="351" t="s">
        <v>570</v>
      </c>
      <c r="F493" s="352" t="s">
        <v>1182</v>
      </c>
      <c r="G493" s="842"/>
      <c r="H493" s="476"/>
      <c r="I493" s="368"/>
      <c r="J493" s="351" t="s">
        <v>624</v>
      </c>
      <c r="K493" s="352" t="s">
        <v>623</v>
      </c>
      <c r="L493" s="842"/>
      <c r="M493" s="842"/>
      <c r="N493" s="842"/>
      <c r="O493" s="842"/>
      <c r="P493" s="842"/>
      <c r="Q493" s="842"/>
      <c r="R493" s="842"/>
      <c r="S493" s="842"/>
      <c r="T493" s="842"/>
      <c r="U493" s="842"/>
      <c r="V493" s="842"/>
      <c r="W493" s="842"/>
      <c r="X493" s="842"/>
      <c r="Y493" s="842"/>
      <c r="Z493" s="842"/>
      <c r="AA493" s="2209"/>
      <c r="AB493" s="2209"/>
      <c r="AC493" s="346"/>
    </row>
    <row r="494" spans="1:29" ht="18.75" customHeight="1" x14ac:dyDescent="0.2">
      <c r="A494" s="341"/>
      <c r="B494" s="345"/>
      <c r="C494" s="442" t="str">
        <f t="shared" si="44"/>
        <v>Vol Flow</v>
      </c>
      <c r="D494" s="842" t="str">
        <f ca="1">D47</f>
        <v>bpd</v>
      </c>
      <c r="E494" s="842">
        <f ca="1">HydroRefineryCalcs!K47</f>
        <v>1E-14</v>
      </c>
      <c r="F494" s="337">
        <f t="shared" ref="F494:F503" ca="1" si="45">E494</f>
        <v>1E-14</v>
      </c>
      <c r="G494" s="842"/>
      <c r="H494" s="442" t="s">
        <v>635</v>
      </c>
      <c r="I494" s="842"/>
      <c r="J494" s="842">
        <f ca="1">J495/('Energy &amp; Unit Conversions'!$G$82/'Energy &amp; Unit Conversions'!$G$80)</f>
        <v>0.67426103874170251</v>
      </c>
      <c r="K494" s="337" t="s">
        <v>637</v>
      </c>
      <c r="L494" s="842"/>
      <c r="M494" s="842"/>
      <c r="N494" s="842"/>
      <c r="O494" s="842"/>
      <c r="P494" s="842"/>
      <c r="Q494" s="842"/>
      <c r="R494" s="842"/>
      <c r="S494" s="842"/>
      <c r="T494" s="842"/>
      <c r="U494" s="842"/>
      <c r="V494" s="842"/>
      <c r="W494" s="842"/>
      <c r="X494" s="842"/>
      <c r="Y494" s="842"/>
      <c r="Z494" s="842"/>
      <c r="AA494" s="2209"/>
      <c r="AB494" s="2209"/>
      <c r="AC494" s="346"/>
    </row>
    <row r="495" spans="1:29" ht="18.75" customHeight="1" x14ac:dyDescent="0.2">
      <c r="A495" s="341"/>
      <c r="B495" s="345"/>
      <c r="C495" s="442" t="str">
        <f t="shared" si="44"/>
        <v>Vol Flow</v>
      </c>
      <c r="D495" s="842" t="str">
        <f ca="1">D48</f>
        <v>m^3/d</v>
      </c>
      <c r="E495" s="842">
        <f ca="1">HydroRefineryCalcs!K48</f>
        <v>1.589873E-15</v>
      </c>
      <c r="F495" s="337">
        <f t="shared" ca="1" si="45"/>
        <v>1.589873E-15</v>
      </c>
      <c r="G495" s="842"/>
      <c r="H495" s="442" t="s">
        <v>634</v>
      </c>
      <c r="I495" s="842"/>
      <c r="J495" s="842">
        <f ca="1">J497/E495</f>
        <v>0.11361650058264602</v>
      </c>
      <c r="K495" s="337" t="s">
        <v>636</v>
      </c>
      <c r="L495" s="842"/>
      <c r="M495" s="842"/>
      <c r="N495" s="842"/>
      <c r="O495" s="842"/>
      <c r="P495" s="842"/>
      <c r="Q495" s="842"/>
      <c r="R495" s="842"/>
      <c r="S495" s="842"/>
      <c r="T495" s="842"/>
      <c r="U495" s="842"/>
      <c r="V495" s="842"/>
      <c r="W495" s="842"/>
      <c r="X495" s="842"/>
      <c r="Y495" s="842"/>
      <c r="Z495" s="842"/>
      <c r="AA495" s="2209"/>
      <c r="AB495" s="2209"/>
      <c r="AC495" s="346"/>
    </row>
    <row r="496" spans="1:29" ht="18.75" customHeight="1" x14ac:dyDescent="0.2">
      <c r="A496" s="341"/>
      <c r="B496" s="345"/>
      <c r="C496" s="442" t="str">
        <f t="shared" si="44"/>
        <v>Mass Flow</v>
      </c>
      <c r="D496" s="842" t="str">
        <f t="shared" si="44"/>
        <v>kg/d</v>
      </c>
      <c r="E496" s="842">
        <f ca="1">HydroRefineryCalcs!K49</f>
        <v>1E-14</v>
      </c>
      <c r="F496" s="337">
        <f t="shared" ca="1" si="45"/>
        <v>1E-14</v>
      </c>
      <c r="G496" s="842"/>
      <c r="H496" s="442" t="s">
        <v>542</v>
      </c>
      <c r="I496" s="842"/>
      <c r="J496" s="842">
        <f ca="1">J494*E494/1000</f>
        <v>6.742610387417025E-18</v>
      </c>
      <c r="K496" s="337" t="s">
        <v>472</v>
      </c>
      <c r="L496" s="842"/>
      <c r="M496" s="842"/>
      <c r="N496" s="842"/>
      <c r="O496" s="842"/>
      <c r="P496" s="842"/>
      <c r="Q496" s="842"/>
      <c r="R496" s="842"/>
      <c r="S496" s="842"/>
      <c r="T496" s="842"/>
      <c r="U496" s="842"/>
      <c r="V496" s="842"/>
      <c r="W496" s="842"/>
      <c r="X496" s="842"/>
      <c r="Y496" s="842"/>
      <c r="Z496" s="842"/>
      <c r="AA496" s="2209"/>
      <c r="AB496" s="2209"/>
      <c r="AC496" s="346"/>
    </row>
    <row r="497" spans="1:29" ht="18.75" customHeight="1" x14ac:dyDescent="0.2">
      <c r="A497" s="341"/>
      <c r="B497" s="345"/>
      <c r="C497" s="442" t="str">
        <f t="shared" si="44"/>
        <v xml:space="preserve">Sulphur </v>
      </c>
      <c r="D497" s="842" t="str">
        <f t="shared" ref="D497:D503" ca="1" si="46">D50</f>
        <v>wt%</v>
      </c>
      <c r="E497" s="842">
        <f ca="1">HydroRefineryCalcs!K50</f>
        <v>1E-14</v>
      </c>
      <c r="F497" s="337">
        <f t="shared" ca="1" si="45"/>
        <v>1E-14</v>
      </c>
      <c r="G497" s="842"/>
      <c r="H497" s="442" t="s">
        <v>542</v>
      </c>
      <c r="I497" s="842"/>
      <c r="J497" s="842">
        <f ca="1">J498/('Energy &amp; Unit Conversions'!$P$25*'Energy &amp; Unit Conversions'!$G$87)</f>
        <v>1.8063580663083318E-16</v>
      </c>
      <c r="K497" s="337" t="s">
        <v>628</v>
      </c>
      <c r="L497" s="842"/>
      <c r="M497" s="842"/>
      <c r="N497" s="842"/>
      <c r="O497" s="842"/>
      <c r="P497" s="842"/>
      <c r="Q497" s="842"/>
      <c r="R497" s="842"/>
      <c r="S497" s="842"/>
      <c r="T497" s="842"/>
      <c r="U497" s="842"/>
      <c r="V497" s="842"/>
      <c r="W497" s="842"/>
      <c r="X497" s="842"/>
      <c r="Y497" s="842"/>
      <c r="Z497" s="842"/>
      <c r="AA497" s="2209"/>
      <c r="AB497" s="2209"/>
      <c r="AC497" s="346"/>
    </row>
    <row r="498" spans="1:29" ht="18.75" customHeight="1" x14ac:dyDescent="0.2">
      <c r="A498" s="341"/>
      <c r="B498" s="345"/>
      <c r="C498" s="442" t="str">
        <f t="shared" si="44"/>
        <v xml:space="preserve">Nitrogen </v>
      </c>
      <c r="D498" s="842" t="str">
        <f t="shared" ca="1" si="46"/>
        <v>mass ppm</v>
      </c>
      <c r="E498" s="842">
        <f ca="1">HydroRefineryCalcs!K51</f>
        <v>1E-14</v>
      </c>
      <c r="F498" s="337">
        <f t="shared" ca="1" si="45"/>
        <v>1E-14</v>
      </c>
      <c r="G498" s="842"/>
      <c r="H498" s="443" t="s">
        <v>631</v>
      </c>
      <c r="I498" s="334"/>
      <c r="J498" s="334">
        <f ca="1">SUM(F509:H509)*'Energy &amp; Unit Conversions'!$G$87</f>
        <v>7.6572729612975761E-20</v>
      </c>
      <c r="K498" s="338" t="s">
        <v>632</v>
      </c>
      <c r="L498" s="842"/>
      <c r="M498" s="842"/>
      <c r="N498" s="842"/>
      <c r="O498" s="842"/>
      <c r="P498" s="842"/>
      <c r="Q498" s="842"/>
      <c r="R498" s="842"/>
      <c r="S498" s="842"/>
      <c r="T498" s="842"/>
      <c r="U498" s="842"/>
      <c r="V498" s="842"/>
      <c r="W498" s="842"/>
      <c r="X498" s="842"/>
      <c r="Y498" s="842"/>
      <c r="Z498" s="842"/>
      <c r="AA498" s="2209"/>
      <c r="AB498" s="2209"/>
      <c r="AC498" s="346"/>
    </row>
    <row r="499" spans="1:29" ht="18.75" customHeight="1" x14ac:dyDescent="0.2">
      <c r="A499" s="341"/>
      <c r="B499" s="345"/>
      <c r="C499" s="442" t="str">
        <f t="shared" si="44"/>
        <v xml:space="preserve">API gravity </v>
      </c>
      <c r="D499" s="842" t="str">
        <f t="shared" ca="1" si="46"/>
        <v>oAPI</v>
      </c>
      <c r="E499" s="842">
        <f ca="1">HydroRefineryCalcs!K52</f>
        <v>1E-14</v>
      </c>
      <c r="F499" s="337">
        <f t="shared" ca="1" si="45"/>
        <v>1E-14</v>
      </c>
      <c r="G499" s="842"/>
      <c r="H499" s="842"/>
      <c r="I499" s="842"/>
      <c r="J499" s="842"/>
      <c r="K499" s="842"/>
      <c r="L499" s="842"/>
      <c r="M499" s="842"/>
      <c r="N499" s="842"/>
      <c r="O499" s="842"/>
      <c r="P499" s="842"/>
      <c r="Q499" s="842"/>
      <c r="R499" s="842"/>
      <c r="S499" s="842"/>
      <c r="T499" s="842"/>
      <c r="U499" s="842"/>
      <c r="V499" s="842"/>
      <c r="W499" s="842"/>
      <c r="X499" s="842"/>
      <c r="Y499" s="842"/>
      <c r="Z499" s="842"/>
      <c r="AA499" s="2209"/>
      <c r="AB499" s="2209"/>
      <c r="AC499" s="346"/>
    </row>
    <row r="500" spans="1:29" ht="18.75" customHeight="1" x14ac:dyDescent="0.2">
      <c r="A500" s="341"/>
      <c r="B500" s="345"/>
      <c r="C500" s="442" t="str">
        <f t="shared" si="44"/>
        <v>Density</v>
      </c>
      <c r="D500" s="842" t="str">
        <f t="shared" ca="1" si="46"/>
        <v>kg/m^3</v>
      </c>
      <c r="E500" s="842">
        <f ca="1">HydroRefineryCalcs!K53</f>
        <v>0</v>
      </c>
      <c r="F500" s="337">
        <f t="shared" ca="1" si="45"/>
        <v>0</v>
      </c>
      <c r="G500" s="842"/>
      <c r="H500" s="842"/>
      <c r="I500" s="842"/>
      <c r="J500" s="842"/>
      <c r="K500" s="842"/>
      <c r="L500" s="842"/>
      <c r="M500" s="842"/>
      <c r="N500" s="842"/>
      <c r="O500" s="842"/>
      <c r="P500" s="842"/>
      <c r="Q500" s="842"/>
      <c r="R500" s="842"/>
      <c r="S500" s="842"/>
      <c r="T500" s="842"/>
      <c r="U500" s="842"/>
      <c r="V500" s="842"/>
      <c r="W500" s="842"/>
      <c r="X500" s="842"/>
      <c r="Y500" s="842"/>
      <c r="Z500" s="842"/>
      <c r="AA500" s="2209"/>
      <c r="AB500" s="2209"/>
      <c r="AC500" s="346"/>
    </row>
    <row r="501" spans="1:29" ht="18.75" customHeight="1" x14ac:dyDescent="0.2">
      <c r="A501" s="341"/>
      <c r="B501" s="345"/>
      <c r="C501" s="442" t="str">
        <f t="shared" si="44"/>
        <v>Hydrogen</v>
      </c>
      <c r="D501" s="842" t="str">
        <f t="shared" ca="1" si="46"/>
        <v>wt%</v>
      </c>
      <c r="E501" s="842">
        <f ca="1">HydroRefineryCalcs!K54</f>
        <v>1E-14</v>
      </c>
      <c r="F501" s="337">
        <f t="shared" ca="1" si="45"/>
        <v>1E-14</v>
      </c>
      <c r="G501" s="842"/>
      <c r="H501" s="842"/>
      <c r="I501" s="842"/>
      <c r="J501" s="842"/>
      <c r="K501" s="842"/>
      <c r="L501" s="842"/>
      <c r="M501" s="842"/>
      <c r="N501" s="842"/>
      <c r="O501" s="842"/>
      <c r="P501" s="842"/>
      <c r="Q501" s="842"/>
      <c r="R501" s="842"/>
      <c r="S501" s="842"/>
      <c r="T501" s="842"/>
      <c r="U501" s="842"/>
      <c r="V501" s="842"/>
      <c r="W501" s="842"/>
      <c r="X501" s="842"/>
      <c r="Y501" s="842"/>
      <c r="Z501" s="842"/>
      <c r="AA501" s="2209"/>
      <c r="AB501" s="2209"/>
      <c r="AC501" s="346"/>
    </row>
    <row r="502" spans="1:29" ht="18.75" customHeight="1" x14ac:dyDescent="0.2">
      <c r="A502" s="341"/>
      <c r="B502" s="345"/>
      <c r="C502" s="442" t="str">
        <f t="shared" si="44"/>
        <v>MCR</v>
      </c>
      <c r="D502" s="842" t="str">
        <f t="shared" ca="1" si="46"/>
        <v>wt%</v>
      </c>
      <c r="E502" s="842">
        <f ca="1">HydroRefineryCalcs!K55</f>
        <v>4.4374255523499508</v>
      </c>
      <c r="F502" s="337">
        <f t="shared" ca="1" si="45"/>
        <v>4.4374255523499508</v>
      </c>
      <c r="G502" s="842"/>
      <c r="H502" s="842"/>
      <c r="I502" s="842"/>
      <c r="J502" s="842"/>
      <c r="K502" s="842"/>
      <c r="L502" s="842"/>
      <c r="M502" s="842"/>
      <c r="N502" s="842"/>
      <c r="O502" s="842"/>
      <c r="P502" s="842"/>
      <c r="Q502" s="842"/>
      <c r="R502" s="842"/>
      <c r="S502" s="842"/>
      <c r="T502" s="842"/>
      <c r="U502" s="842"/>
      <c r="V502" s="842"/>
      <c r="W502" s="842"/>
      <c r="X502" s="842"/>
      <c r="Y502" s="842"/>
      <c r="Z502" s="842"/>
      <c r="AA502" s="2209"/>
      <c r="AB502" s="2209"/>
      <c r="AC502" s="346"/>
    </row>
    <row r="503" spans="1:29" ht="18.75" customHeight="1" x14ac:dyDescent="0.2">
      <c r="A503" s="341"/>
      <c r="B503" s="345"/>
      <c r="C503" s="443" t="str">
        <f t="shared" si="44"/>
        <v>Characterization Factor</v>
      </c>
      <c r="D503" s="334" t="str">
        <f t="shared" ca="1" si="46"/>
        <v xml:space="preserve">Kw (Approximate) </v>
      </c>
      <c r="E503" s="334">
        <f ca="1">HydroRefineryCalcs!K56</f>
        <v>1E-14</v>
      </c>
      <c r="F503" s="338">
        <f t="shared" ca="1" si="45"/>
        <v>1E-14</v>
      </c>
      <c r="G503" s="842"/>
      <c r="H503" s="842"/>
      <c r="I503" s="842"/>
      <c r="J503" s="842"/>
      <c r="K503" s="842"/>
      <c r="L503" s="842"/>
      <c r="M503" s="842"/>
      <c r="N503" s="842"/>
      <c r="O503" s="842"/>
      <c r="P503" s="842"/>
      <c r="Q503" s="842"/>
      <c r="R503" s="842"/>
      <c r="S503" s="842"/>
      <c r="T503" s="842"/>
      <c r="U503" s="842"/>
      <c r="V503" s="842"/>
      <c r="W503" s="842"/>
      <c r="X503" s="842"/>
      <c r="Y503" s="842"/>
      <c r="Z503" s="842"/>
      <c r="AA503" s="2209"/>
      <c r="AB503" s="2209"/>
      <c r="AC503" s="346"/>
    </row>
    <row r="504" spans="1:29" ht="18.75" customHeight="1" x14ac:dyDescent="0.2">
      <c r="A504" s="341"/>
      <c r="B504" s="345"/>
      <c r="C504" s="698"/>
      <c r="D504" s="842"/>
      <c r="E504" s="842"/>
      <c r="F504" s="842"/>
      <c r="G504" s="842"/>
      <c r="H504" s="842"/>
      <c r="I504" s="842"/>
      <c r="J504" s="842"/>
      <c r="K504" s="842"/>
      <c r="L504" s="842"/>
      <c r="M504" s="842"/>
      <c r="N504" s="842"/>
      <c r="O504" s="842"/>
      <c r="P504" s="842"/>
      <c r="Q504" s="842"/>
      <c r="R504" s="842"/>
      <c r="S504" s="842"/>
      <c r="T504" s="842"/>
      <c r="U504" s="842"/>
      <c r="V504" s="842"/>
      <c r="W504" s="842"/>
      <c r="X504" s="842"/>
      <c r="Y504" s="842"/>
      <c r="Z504" s="842"/>
      <c r="AA504" s="2209"/>
      <c r="AB504" s="2209"/>
      <c r="AC504" s="346"/>
    </row>
    <row r="505" spans="1:29" ht="18.75" customHeight="1" x14ac:dyDescent="0.2">
      <c r="A505" s="341"/>
      <c r="B505" s="345"/>
      <c r="C505" s="843" t="s">
        <v>955</v>
      </c>
      <c r="D505" s="842"/>
      <c r="E505" s="842"/>
      <c r="F505" s="842"/>
      <c r="G505" s="842"/>
      <c r="H505" s="842"/>
      <c r="I505" s="842"/>
      <c r="J505" s="842"/>
      <c r="K505" s="842"/>
      <c r="L505" s="842"/>
      <c r="M505" s="842"/>
      <c r="N505" s="842"/>
      <c r="O505" s="842"/>
      <c r="P505" s="842"/>
      <c r="Q505" s="842"/>
      <c r="R505" s="842"/>
      <c r="S505" s="842"/>
      <c r="T505" s="842"/>
      <c r="U505" s="842"/>
      <c r="V505" s="842"/>
      <c r="W505" s="842"/>
      <c r="X505" s="842"/>
      <c r="Y505" s="842"/>
      <c r="Z505" s="842"/>
      <c r="AA505" s="2209"/>
      <c r="AB505" s="2209"/>
      <c r="AC505" s="346"/>
    </row>
    <row r="506" spans="1:29" ht="18.75" customHeight="1" x14ac:dyDescent="0.2">
      <c r="A506" s="341"/>
      <c r="B506" s="345"/>
      <c r="C506" s="445" t="s">
        <v>1293</v>
      </c>
      <c r="D506" s="853"/>
      <c r="E506" s="368" t="s">
        <v>956</v>
      </c>
      <c r="F506" s="368" t="s">
        <v>575</v>
      </c>
      <c r="G506" s="368" t="s">
        <v>576</v>
      </c>
      <c r="H506" s="369" t="s">
        <v>653</v>
      </c>
      <c r="I506" s="842"/>
      <c r="J506" s="842"/>
      <c r="K506" s="842"/>
      <c r="L506" s="842"/>
      <c r="M506" s="842"/>
      <c r="N506" s="842"/>
      <c r="O506" s="842"/>
      <c r="P506" s="842"/>
      <c r="Q506" s="842"/>
      <c r="R506" s="842"/>
      <c r="S506" s="842"/>
      <c r="T506" s="842"/>
      <c r="U506" s="842"/>
      <c r="V506" s="842"/>
      <c r="W506" s="842"/>
      <c r="X506" s="842"/>
      <c r="Y506" s="842"/>
      <c r="Z506" s="842"/>
      <c r="AA506" s="2209"/>
      <c r="AB506" s="2209"/>
      <c r="AC506" s="346"/>
    </row>
    <row r="507" spans="1:29" ht="18.75" customHeight="1" x14ac:dyDescent="0.2">
      <c r="A507" s="341"/>
      <c r="B507" s="345"/>
      <c r="C507" s="442" t="s">
        <v>952</v>
      </c>
      <c r="D507" s="386">
        <f>Constants!H30+273.15</f>
        <v>672.15</v>
      </c>
      <c r="E507" s="842" t="s">
        <v>1195</v>
      </c>
      <c r="F507" s="842">
        <f ca="1">POWER((0.03181*$D$507 + 0.00001791*POWER(G524,4.693)),2.2916)</f>
        <v>1116.5969952889848</v>
      </c>
      <c r="G507" s="842">
        <f ca="1">POWER((0.03181*$D$507 + 0.00001791*POWER(H524,4.693)),2.2916)</f>
        <v>1116.5969952889848</v>
      </c>
      <c r="H507" s="337">
        <f ca="1">POWER((0.03181*$D$507 + 0.00001791*POWER(I524,4.693)),2.2916)</f>
        <v>1116.5969952889848</v>
      </c>
      <c r="I507" s="842"/>
      <c r="J507" s="842"/>
      <c r="K507" s="842"/>
      <c r="L507" s="842"/>
      <c r="M507" s="842"/>
      <c r="N507" s="842"/>
      <c r="O507" s="842"/>
      <c r="P507" s="842"/>
      <c r="Q507" s="842"/>
      <c r="R507" s="842"/>
      <c r="S507" s="842"/>
      <c r="T507" s="842"/>
      <c r="U507" s="842"/>
      <c r="V507" s="842"/>
      <c r="W507" s="842"/>
      <c r="X507" s="842"/>
      <c r="Y507" s="842"/>
      <c r="Z507" s="842"/>
      <c r="AA507" s="2209"/>
      <c r="AB507" s="2209"/>
      <c r="AC507" s="346"/>
    </row>
    <row r="508" spans="1:29" ht="18.75" customHeight="1" x14ac:dyDescent="0.2">
      <c r="A508" s="341"/>
      <c r="B508" s="345"/>
      <c r="C508" s="442" t="s">
        <v>954</v>
      </c>
      <c r="D508" s="386">
        <f>Constants!H31+273.15</f>
        <v>727.15</v>
      </c>
      <c r="E508" s="842" t="s">
        <v>1195</v>
      </c>
      <c r="F508" s="842">
        <f ca="1">POWER((0.03181*$D$508+ 0.00001791*POWER(G524,4.693)),2.2916)</f>
        <v>1337.126456574355</v>
      </c>
      <c r="G508" s="842">
        <f ca="1">POWER((0.03181*$D$508+ 0.00001791*POWER(H524,4.693)),2.2916)</f>
        <v>1337.126456574355</v>
      </c>
      <c r="H508" s="337">
        <f ca="1">POWER((0.03181*$D$508+ 0.00001791*POWER(I524,4.693)),2.2916)</f>
        <v>1337.126456574355</v>
      </c>
      <c r="I508" s="842"/>
      <c r="J508" s="842"/>
      <c r="K508" s="842"/>
      <c r="L508" s="842"/>
      <c r="M508" s="842"/>
      <c r="N508" s="842"/>
      <c r="O508" s="842"/>
      <c r="P508" s="842"/>
      <c r="Q508" s="842"/>
      <c r="R508" s="842"/>
      <c r="S508" s="842"/>
      <c r="T508" s="842"/>
      <c r="U508" s="842"/>
      <c r="V508" s="842"/>
      <c r="W508" s="842"/>
      <c r="X508" s="842"/>
      <c r="Y508" s="842"/>
      <c r="Z508" s="842"/>
      <c r="AA508" s="2209"/>
      <c r="AB508" s="2209"/>
      <c r="AC508" s="346"/>
    </row>
    <row r="509" spans="1:29" ht="18.75" customHeight="1" x14ac:dyDescent="0.2">
      <c r="A509" s="341"/>
      <c r="B509" s="345"/>
      <c r="C509" s="446" t="s">
        <v>1223</v>
      </c>
      <c r="D509" s="334"/>
      <c r="E509" s="334"/>
      <c r="F509" s="334">
        <f ca="1">(F508-F507)*G517/'Energy &amp; Unit Conversions'!$E$95</f>
        <v>2.2052946128537019E-15</v>
      </c>
      <c r="G509" s="334">
        <f ca="1">(G508-G507)*H517/'Energy &amp; Unit Conversions'!$E$95</f>
        <v>2.2052946128537019E-15</v>
      </c>
      <c r="H509" s="338">
        <f ca="1">(H508-H507)*I517/'Energy &amp; Unit Conversions'!$E$95</f>
        <v>2.2052946128537019E-15</v>
      </c>
      <c r="I509" s="842"/>
      <c r="J509" s="842"/>
      <c r="K509" s="842"/>
      <c r="L509" s="842"/>
      <c r="M509" s="842"/>
      <c r="N509" s="842"/>
      <c r="O509" s="842"/>
      <c r="P509" s="842"/>
      <c r="Q509" s="842"/>
      <c r="R509" s="842"/>
      <c r="S509" s="842"/>
      <c r="T509" s="842"/>
      <c r="U509" s="842"/>
      <c r="V509" s="842"/>
      <c r="W509" s="842"/>
      <c r="X509" s="842"/>
      <c r="Y509" s="842"/>
      <c r="Z509" s="842"/>
      <c r="AA509" s="2209"/>
      <c r="AB509" s="2209"/>
      <c r="AC509" s="346"/>
    </row>
    <row r="510" spans="1:29" ht="18.75" customHeight="1" x14ac:dyDescent="0.2">
      <c r="A510" s="341"/>
      <c r="B510" s="345"/>
      <c r="C510" s="437"/>
      <c r="D510" s="842"/>
      <c r="E510" s="842"/>
      <c r="F510" s="842"/>
      <c r="G510" s="842"/>
      <c r="H510" s="842"/>
      <c r="I510" s="842"/>
      <c r="J510" s="842"/>
      <c r="K510" s="842"/>
      <c r="L510" s="842"/>
      <c r="M510" s="842"/>
      <c r="N510" s="842"/>
      <c r="O510" s="842"/>
      <c r="P510" s="842"/>
      <c r="Q510" s="842"/>
      <c r="R510" s="842"/>
      <c r="S510" s="842"/>
      <c r="T510" s="842"/>
      <c r="U510" s="842"/>
      <c r="V510" s="842"/>
      <c r="W510" s="842"/>
      <c r="X510" s="842"/>
      <c r="Y510" s="842"/>
      <c r="Z510" s="842"/>
      <c r="AA510" s="2209"/>
      <c r="AB510" s="2209"/>
      <c r="AC510" s="346"/>
    </row>
    <row r="511" spans="1:29" ht="26.25" x14ac:dyDescent="0.2">
      <c r="A511" s="341"/>
      <c r="B511" s="699"/>
      <c r="C511" s="603" t="s">
        <v>1297</v>
      </c>
      <c r="D511" s="842"/>
      <c r="E511" s="842"/>
      <c r="F511" s="842"/>
      <c r="G511" s="842"/>
      <c r="H511" s="842"/>
      <c r="I511" s="842"/>
      <c r="J511" s="842"/>
      <c r="K511" s="842"/>
      <c r="L511" s="842"/>
      <c r="M511" s="842"/>
      <c r="N511" s="842"/>
      <c r="O511" s="842"/>
      <c r="P511" s="842"/>
      <c r="Q511" s="842"/>
      <c r="R511" s="842"/>
      <c r="S511" s="842"/>
      <c r="T511" s="842"/>
      <c r="U511" s="842"/>
      <c r="V511" s="842"/>
      <c r="W511" s="842"/>
      <c r="X511" s="842"/>
      <c r="Y511" s="842"/>
      <c r="Z511" s="842"/>
      <c r="AA511" s="2209"/>
      <c r="AB511" s="2209"/>
      <c r="AC511" s="346"/>
    </row>
    <row r="512" spans="1:29" ht="18.75" customHeight="1" x14ac:dyDescent="0.2">
      <c r="A512" s="341"/>
      <c r="B512" s="345"/>
      <c r="C512" s="439"/>
      <c r="D512" s="842"/>
      <c r="E512" s="426"/>
      <c r="F512" s="842"/>
      <c r="G512" s="842"/>
      <c r="H512" s="842"/>
      <c r="I512" s="842"/>
      <c r="J512" s="842"/>
      <c r="K512" s="842"/>
      <c r="L512" s="842"/>
      <c r="M512" s="842"/>
      <c r="N512" s="842"/>
      <c r="O512" s="842"/>
      <c r="P512" s="842"/>
      <c r="Q512" s="842"/>
      <c r="R512" s="842"/>
      <c r="S512" s="842"/>
      <c r="T512" s="842"/>
      <c r="U512" s="842"/>
      <c r="V512" s="842"/>
      <c r="W512" s="842"/>
      <c r="X512" s="842"/>
      <c r="Y512" s="842"/>
      <c r="Z512" s="842"/>
      <c r="AA512" s="2209"/>
      <c r="AB512" s="2209"/>
      <c r="AC512" s="346"/>
    </row>
    <row r="513" spans="1:29" ht="18.75" customHeight="1" x14ac:dyDescent="0.2">
      <c r="A513" s="341"/>
      <c r="B513" s="345"/>
      <c r="C513" s="843" t="s">
        <v>569</v>
      </c>
      <c r="D513" s="842"/>
      <c r="E513" s="839"/>
      <c r="F513" s="842"/>
      <c r="G513" s="842"/>
      <c r="H513" s="842"/>
      <c r="I513" s="842"/>
      <c r="J513" s="842"/>
      <c r="K513" s="842"/>
      <c r="L513" s="842"/>
      <c r="M513" s="842"/>
      <c r="N513" s="842"/>
      <c r="O513" s="842"/>
      <c r="P513" s="842"/>
      <c r="Q513" s="842"/>
      <c r="R513" s="842"/>
      <c r="S513" s="842"/>
      <c r="T513" s="842"/>
      <c r="U513" s="842"/>
      <c r="V513" s="842"/>
      <c r="W513" s="842"/>
      <c r="X513" s="842"/>
      <c r="Y513" s="842"/>
      <c r="Z513" s="842"/>
      <c r="AA513" s="2209"/>
      <c r="AB513" s="2209"/>
      <c r="AC513" s="346"/>
    </row>
    <row r="514" spans="1:29" ht="18.75" customHeight="1" x14ac:dyDescent="0.2">
      <c r="A514" s="341"/>
      <c r="B514" s="345"/>
      <c r="C514" s="441" t="str">
        <f t="shared" ref="C514:D524" si="47">C493</f>
        <v>Property</v>
      </c>
      <c r="D514" s="351" t="str">
        <f t="shared" si="47"/>
        <v>Units</v>
      </c>
      <c r="E514" s="351" t="s">
        <v>570</v>
      </c>
      <c r="F514" s="351" t="s">
        <v>1637</v>
      </c>
      <c r="G514" s="351" t="s">
        <v>575</v>
      </c>
      <c r="H514" s="351" t="s">
        <v>576</v>
      </c>
      <c r="I514" s="351" t="s">
        <v>653</v>
      </c>
      <c r="J514" s="352" t="s">
        <v>1460</v>
      </c>
      <c r="K514" s="842"/>
      <c r="L514" s="842"/>
      <c r="M514" s="842"/>
      <c r="N514" s="842"/>
      <c r="O514" s="842"/>
      <c r="P514" s="842"/>
      <c r="Q514" s="842"/>
      <c r="R514" s="842"/>
      <c r="S514" s="842"/>
      <c r="T514" s="842"/>
      <c r="U514" s="842"/>
      <c r="V514" s="842"/>
      <c r="W514" s="842"/>
      <c r="X514" s="842"/>
      <c r="Y514" s="842"/>
      <c r="Z514" s="842"/>
      <c r="AA514" s="2209"/>
      <c r="AB514" s="2209"/>
      <c r="AC514" s="346"/>
    </row>
    <row r="515" spans="1:29" ht="18.75" customHeight="1" x14ac:dyDescent="0.2">
      <c r="A515" s="341"/>
      <c r="B515" s="345"/>
      <c r="C515" s="442" t="str">
        <f t="shared" si="47"/>
        <v>Vol Flow</v>
      </c>
      <c r="D515" s="842" t="str">
        <f ca="1">D494</f>
        <v>bpd</v>
      </c>
      <c r="E515" s="842">
        <f ca="1">HydroRefineryCalcs!F494</f>
        <v>1E-14</v>
      </c>
      <c r="F515" s="842">
        <v>0</v>
      </c>
      <c r="G515" s="842">
        <f ca="1">D558</f>
        <v>1E-14</v>
      </c>
      <c r="H515" s="842">
        <f ca="1">D559</f>
        <v>1E-14</v>
      </c>
      <c r="I515" s="842">
        <f ca="1">D560</f>
        <v>1E-14</v>
      </c>
      <c r="J515" s="337">
        <f ca="1">D561</f>
        <v>1E-14</v>
      </c>
      <c r="K515" s="842"/>
      <c r="L515" s="842"/>
      <c r="M515" s="842"/>
      <c r="N515" s="842"/>
      <c r="O515" s="842"/>
      <c r="P515" s="842"/>
      <c r="Q515" s="842"/>
      <c r="R515" s="842"/>
      <c r="S515" s="842"/>
      <c r="T515" s="842"/>
      <c r="U515" s="842"/>
      <c r="V515" s="842"/>
      <c r="W515" s="842"/>
      <c r="X515" s="842"/>
      <c r="Y515" s="842"/>
      <c r="Z515" s="842"/>
      <c r="AA515" s="2209"/>
      <c r="AB515" s="2209"/>
      <c r="AC515" s="346"/>
    </row>
    <row r="516" spans="1:29" ht="18.75" customHeight="1" x14ac:dyDescent="0.2">
      <c r="A516" s="341"/>
      <c r="B516" s="345"/>
      <c r="C516" s="442" t="str">
        <f t="shared" si="47"/>
        <v>Vol Flow</v>
      </c>
      <c r="D516" s="842" t="str">
        <f ca="1">D495</f>
        <v>m^3/d</v>
      </c>
      <c r="E516" s="842">
        <f ca="1">HydroRefineryCalcs!F495</f>
        <v>1.589873E-15</v>
      </c>
      <c r="F516" s="842"/>
      <c r="G516" s="842">
        <f ca="1">G515*'Energy &amp; Unit Conversions'!G80</f>
        <v>1.589873E-15</v>
      </c>
      <c r="H516" s="842">
        <f ca="1">H515*'Energy &amp; Unit Conversions'!G80</f>
        <v>1.589873E-15</v>
      </c>
      <c r="I516" s="842">
        <f ca="1">I515*'Energy &amp; Unit Conversions'!G80</f>
        <v>1.589873E-15</v>
      </c>
      <c r="J516" s="337">
        <f ca="1">J515*'Energy &amp; Unit Conversions'!G80</f>
        <v>1.589873E-15</v>
      </c>
      <c r="K516" s="842"/>
      <c r="L516" s="842"/>
      <c r="M516" s="842"/>
      <c r="N516" s="842"/>
      <c r="O516" s="842"/>
      <c r="P516" s="842"/>
      <c r="Q516" s="842"/>
      <c r="R516" s="842"/>
      <c r="S516" s="842"/>
      <c r="T516" s="842"/>
      <c r="U516" s="842"/>
      <c r="V516" s="842"/>
      <c r="W516" s="842"/>
      <c r="X516" s="842"/>
      <c r="Y516" s="842"/>
      <c r="Z516" s="842"/>
      <c r="AA516" s="2209"/>
      <c r="AB516" s="2209"/>
      <c r="AC516" s="346"/>
    </row>
    <row r="517" spans="1:29" ht="18.75" customHeight="1" x14ac:dyDescent="0.2">
      <c r="A517" s="341"/>
      <c r="B517" s="345"/>
      <c r="C517" s="442" t="str">
        <f t="shared" si="47"/>
        <v>Mass Flow</v>
      </c>
      <c r="D517" s="842" t="str">
        <f t="shared" si="47"/>
        <v>kg/d</v>
      </c>
      <c r="E517" s="842">
        <f ca="1">HydroRefineryCalcs!F496</f>
        <v>1E-14</v>
      </c>
      <c r="F517" s="842"/>
      <c r="G517" s="842">
        <f ca="1">E558</f>
        <v>1E-14</v>
      </c>
      <c r="H517" s="842">
        <f ca="1">E559</f>
        <v>1E-14</v>
      </c>
      <c r="I517" s="842">
        <f ca="1">E560</f>
        <v>1E-14</v>
      </c>
      <c r="J517" s="337">
        <f ca="1">E561</f>
        <v>1E-14</v>
      </c>
      <c r="K517" s="842"/>
      <c r="L517" s="842"/>
      <c r="M517" s="842"/>
      <c r="N517" s="842"/>
      <c r="O517" s="842"/>
      <c r="P517" s="842"/>
      <c r="Q517" s="842"/>
      <c r="R517" s="842"/>
      <c r="S517" s="842"/>
      <c r="T517" s="842"/>
      <c r="U517" s="842"/>
      <c r="V517" s="842"/>
      <c r="W517" s="842"/>
      <c r="X517" s="842"/>
      <c r="Y517" s="842"/>
      <c r="Z517" s="842"/>
      <c r="AA517" s="2209"/>
      <c r="AB517" s="2209"/>
      <c r="AC517" s="346"/>
    </row>
    <row r="518" spans="1:29" ht="18.75" customHeight="1" x14ac:dyDescent="0.2">
      <c r="A518" s="341"/>
      <c r="B518" s="345"/>
      <c r="C518" s="442" t="str">
        <f t="shared" si="47"/>
        <v xml:space="preserve">Sulphur </v>
      </c>
      <c r="D518" s="842" t="str">
        <f t="shared" ref="D518:D524" ca="1" si="48">D497</f>
        <v>wt%</v>
      </c>
      <c r="E518" s="842">
        <f ca="1">HydroRefineryCalcs!F497</f>
        <v>1E-14</v>
      </c>
      <c r="F518" s="842"/>
      <c r="G518" s="842">
        <f ca="1">G558</f>
        <v>0</v>
      </c>
      <c r="H518" s="842">
        <f ca="1">G559</f>
        <v>0</v>
      </c>
      <c r="I518" s="842">
        <f ca="1">G560</f>
        <v>0</v>
      </c>
      <c r="J518" s="337">
        <f ca="1">G561</f>
        <v>0</v>
      </c>
      <c r="K518" s="842"/>
      <c r="L518" s="842"/>
      <c r="M518" s="842"/>
      <c r="N518" s="842"/>
      <c r="O518" s="842"/>
      <c r="P518" s="842"/>
      <c r="Q518" s="842"/>
      <c r="R518" s="842"/>
      <c r="S518" s="842"/>
      <c r="T518" s="842"/>
      <c r="U518" s="842"/>
      <c r="V518" s="842"/>
      <c r="W518" s="842"/>
      <c r="X518" s="842"/>
      <c r="Y518" s="842"/>
      <c r="Z518" s="842"/>
      <c r="AA518" s="2209"/>
      <c r="AB518" s="2209"/>
      <c r="AC518" s="346"/>
    </row>
    <row r="519" spans="1:29" ht="18.75" customHeight="1" x14ac:dyDescent="0.2">
      <c r="A519" s="341"/>
      <c r="B519" s="345"/>
      <c r="C519" s="442" t="str">
        <f t="shared" si="47"/>
        <v xml:space="preserve">Nitrogen </v>
      </c>
      <c r="D519" s="842" t="str">
        <f t="shared" ca="1" si="48"/>
        <v>mass ppm</v>
      </c>
      <c r="E519" s="842">
        <f ca="1">HydroRefineryCalcs!F498</f>
        <v>1E-14</v>
      </c>
      <c r="F519" s="842"/>
      <c r="G519" s="842">
        <f ca="1">H558</f>
        <v>0</v>
      </c>
      <c r="H519" s="842">
        <f ca="1">H559</f>
        <v>0</v>
      </c>
      <c r="I519" s="842">
        <f ca="1">H560</f>
        <v>0</v>
      </c>
      <c r="J519" s="337">
        <f ca="1">H561</f>
        <v>0</v>
      </c>
      <c r="K519" s="842"/>
      <c r="L519" s="842"/>
      <c r="M519" s="842"/>
      <c r="N519" s="842"/>
      <c r="O519" s="842"/>
      <c r="P519" s="842"/>
      <c r="Q519" s="842"/>
      <c r="R519" s="842"/>
      <c r="S519" s="842"/>
      <c r="T519" s="842"/>
      <c r="U519" s="842"/>
      <c r="V519" s="842"/>
      <c r="W519" s="842"/>
      <c r="X519" s="842"/>
      <c r="Y519" s="842"/>
      <c r="Z519" s="842"/>
      <c r="AA519" s="2209"/>
      <c r="AB519" s="2209"/>
      <c r="AC519" s="346"/>
    </row>
    <row r="520" spans="1:29" ht="18.75" customHeight="1" x14ac:dyDescent="0.2">
      <c r="A520" s="341"/>
      <c r="B520" s="345"/>
      <c r="C520" s="442" t="str">
        <f t="shared" si="47"/>
        <v xml:space="preserve">API gravity </v>
      </c>
      <c r="D520" s="842" t="str">
        <f t="shared" ca="1" si="48"/>
        <v>oAPI</v>
      </c>
      <c r="E520" s="842">
        <f ca="1">HydroRefineryCalcs!F499</f>
        <v>1E-14</v>
      </c>
      <c r="F520" s="842"/>
      <c r="G520" s="842">
        <f ca="1">J558</f>
        <v>0</v>
      </c>
      <c r="H520" s="842">
        <f ca="1">J559</f>
        <v>0</v>
      </c>
      <c r="I520" s="842">
        <f ca="1">J560</f>
        <v>0</v>
      </c>
      <c r="J520" s="337">
        <f ca="1">J561</f>
        <v>0</v>
      </c>
      <c r="K520" s="842"/>
      <c r="L520" s="842"/>
      <c r="M520" s="842"/>
      <c r="N520" s="842"/>
      <c r="O520" s="842"/>
      <c r="P520" s="842"/>
      <c r="Q520" s="842"/>
      <c r="R520" s="842"/>
      <c r="S520" s="842"/>
      <c r="T520" s="842"/>
      <c r="U520" s="842"/>
      <c r="V520" s="842"/>
      <c r="W520" s="842"/>
      <c r="X520" s="842"/>
      <c r="Y520" s="842"/>
      <c r="Z520" s="842"/>
      <c r="AA520" s="2209"/>
      <c r="AB520" s="2209"/>
      <c r="AC520" s="346"/>
    </row>
    <row r="521" spans="1:29" ht="18.75" customHeight="1" x14ac:dyDescent="0.2">
      <c r="A521" s="341"/>
      <c r="B521" s="345"/>
      <c r="C521" s="442" t="str">
        <f t="shared" si="47"/>
        <v>Density</v>
      </c>
      <c r="D521" s="842" t="str">
        <f t="shared" ca="1" si="48"/>
        <v>kg/m^3</v>
      </c>
      <c r="E521" s="842">
        <f ca="1">HydroRefineryCalcs!F500</f>
        <v>0</v>
      </c>
      <c r="F521" s="842"/>
      <c r="G521" s="842">
        <f ca="1">F558</f>
        <v>0</v>
      </c>
      <c r="H521" s="842">
        <f ca="1">F559</f>
        <v>0</v>
      </c>
      <c r="I521" s="842">
        <f ca="1">F560</f>
        <v>0</v>
      </c>
      <c r="J521" s="337">
        <f ca="1">F561</f>
        <v>0</v>
      </c>
      <c r="K521" s="842"/>
      <c r="L521" s="842"/>
      <c r="M521" s="842"/>
      <c r="N521" s="842"/>
      <c r="O521" s="842"/>
      <c r="P521" s="842"/>
      <c r="Q521" s="842"/>
      <c r="R521" s="842"/>
      <c r="S521" s="842"/>
      <c r="T521" s="842"/>
      <c r="U521" s="842"/>
      <c r="V521" s="842"/>
      <c r="W521" s="842"/>
      <c r="X521" s="842"/>
      <c r="Y521" s="842"/>
      <c r="Z521" s="842"/>
      <c r="AA521" s="2209"/>
      <c r="AB521" s="2209"/>
      <c r="AC521" s="346"/>
    </row>
    <row r="522" spans="1:29" ht="18.75" customHeight="1" x14ac:dyDescent="0.2">
      <c r="A522" s="341"/>
      <c r="B522" s="345"/>
      <c r="C522" s="442" t="str">
        <f t="shared" si="47"/>
        <v>Hydrogen</v>
      </c>
      <c r="D522" s="842" t="str">
        <f t="shared" ca="1" si="48"/>
        <v>wt%</v>
      </c>
      <c r="E522" s="842">
        <f ca="1">HydroRefineryCalcs!F501</f>
        <v>1E-14</v>
      </c>
      <c r="F522" s="842"/>
      <c r="G522" s="842">
        <f ca="1">I558</f>
        <v>0</v>
      </c>
      <c r="H522" s="842">
        <f ca="1">I559</f>
        <v>0</v>
      </c>
      <c r="I522" s="842">
        <f ca="1">I560</f>
        <v>0</v>
      </c>
      <c r="J522" s="337">
        <f ca="1">I561</f>
        <v>0</v>
      </c>
      <c r="K522" s="842"/>
      <c r="L522" s="842"/>
      <c r="M522" s="842"/>
      <c r="N522" s="842"/>
      <c r="O522" s="842"/>
      <c r="P522" s="842"/>
      <c r="Q522" s="842"/>
      <c r="R522" s="842"/>
      <c r="S522" s="842"/>
      <c r="T522" s="842"/>
      <c r="U522" s="842"/>
      <c r="V522" s="842"/>
      <c r="W522" s="842"/>
      <c r="X522" s="842"/>
      <c r="Y522" s="842"/>
      <c r="Z522" s="842"/>
      <c r="AA522" s="2209"/>
      <c r="AB522" s="2209"/>
      <c r="AC522" s="346"/>
    </row>
    <row r="523" spans="1:29" ht="18.75" customHeight="1" x14ac:dyDescent="0.2">
      <c r="A523" s="341"/>
      <c r="B523" s="345"/>
      <c r="C523" s="442" t="str">
        <f t="shared" si="47"/>
        <v>MCR</v>
      </c>
      <c r="D523" s="842" t="str">
        <f t="shared" ca="1" si="48"/>
        <v>wt%</v>
      </c>
      <c r="E523" s="842">
        <f ca="1">HydroRefineryCalcs!F502</f>
        <v>4.4374255523499508</v>
      </c>
      <c r="F523" s="842"/>
      <c r="G523" s="842" t="str">
        <f ca="1">'Assay Inventory'!K20</f>
        <v/>
      </c>
      <c r="H523" s="842" t="str">
        <f ca="1">'Assay Inventory'!L20</f>
        <v/>
      </c>
      <c r="I523" s="842">
        <f ca="1">'Assay Inventory'!M20</f>
        <v>10.823381666475589</v>
      </c>
      <c r="J523" s="337"/>
      <c r="K523" s="842"/>
      <c r="L523" s="842"/>
      <c r="M523" s="842"/>
      <c r="N523" s="842"/>
      <c r="O523" s="842"/>
      <c r="P523" s="842"/>
      <c r="Q523" s="842"/>
      <c r="R523" s="842"/>
      <c r="S523" s="842"/>
      <c r="T523" s="842"/>
      <c r="U523" s="842"/>
      <c r="V523" s="842"/>
      <c r="W523" s="842"/>
      <c r="X523" s="842"/>
      <c r="Y523" s="842"/>
      <c r="Z523" s="842"/>
      <c r="AA523" s="2209"/>
      <c r="AB523" s="2209"/>
      <c r="AC523" s="346"/>
    </row>
    <row r="524" spans="1:29" ht="18.75" customHeight="1" x14ac:dyDescent="0.2">
      <c r="A524" s="341"/>
      <c r="B524" s="345"/>
      <c r="C524" s="443" t="str">
        <f t="shared" si="47"/>
        <v>Characterization Factor</v>
      </c>
      <c r="D524" s="334" t="str">
        <f t="shared" ca="1" si="48"/>
        <v xml:space="preserve">Kw (Approximate) </v>
      </c>
      <c r="E524" s="334">
        <f ca="1">HydroRefineryCalcs!F503</f>
        <v>1E-14</v>
      </c>
      <c r="F524" s="334"/>
      <c r="G524" s="334">
        <f ca="1">K558</f>
        <v>0</v>
      </c>
      <c r="H524" s="334">
        <f ca="1">K559</f>
        <v>0</v>
      </c>
      <c r="I524" s="334">
        <f ca="1">K560</f>
        <v>0</v>
      </c>
      <c r="J524" s="338"/>
      <c r="K524" s="842"/>
      <c r="L524" s="842"/>
      <c r="M524" s="842"/>
      <c r="N524" s="842"/>
      <c r="O524" s="842"/>
      <c r="P524" s="842"/>
      <c r="Q524" s="842"/>
      <c r="R524" s="842"/>
      <c r="S524" s="842"/>
      <c r="T524" s="842"/>
      <c r="U524" s="842"/>
      <c r="V524" s="842"/>
      <c r="W524" s="842"/>
      <c r="X524" s="842"/>
      <c r="Y524" s="842"/>
      <c r="Z524" s="842"/>
      <c r="AA524" s="2209"/>
      <c r="AB524" s="2209"/>
      <c r="AC524" s="346"/>
    </row>
    <row r="525" spans="1:29" ht="18.75" customHeight="1" x14ac:dyDescent="0.2">
      <c r="A525" s="341"/>
      <c r="B525" s="345"/>
      <c r="C525" s="437"/>
      <c r="D525" s="842"/>
      <c r="E525" s="842"/>
      <c r="F525" s="842"/>
      <c r="G525" s="842"/>
      <c r="H525" s="842"/>
      <c r="I525" s="842"/>
      <c r="J525" s="842"/>
      <c r="K525" s="842"/>
      <c r="L525" s="842"/>
      <c r="M525" s="842"/>
      <c r="N525" s="842"/>
      <c r="O525" s="842"/>
      <c r="P525" s="842"/>
      <c r="Q525" s="842"/>
      <c r="R525" s="842"/>
      <c r="S525" s="842"/>
      <c r="T525" s="842"/>
      <c r="U525" s="842"/>
      <c r="V525" s="842"/>
      <c r="W525" s="842"/>
      <c r="X525" s="842"/>
      <c r="Y525" s="842"/>
      <c r="Z525" s="842"/>
      <c r="AA525" s="2209"/>
      <c r="AB525" s="2209"/>
      <c r="AC525" s="346"/>
    </row>
    <row r="526" spans="1:29" ht="18.75" customHeight="1" x14ac:dyDescent="0.2">
      <c r="A526" s="341"/>
      <c r="B526" s="345"/>
      <c r="C526" s="843" t="s">
        <v>308</v>
      </c>
      <c r="D526" s="842"/>
      <c r="E526" s="842"/>
      <c r="F526" s="842"/>
      <c r="G526" s="842"/>
      <c r="H526" s="842"/>
      <c r="I526" s="842"/>
      <c r="J526" s="842"/>
      <c r="K526" s="842"/>
      <c r="L526" s="842"/>
      <c r="M526" s="842"/>
      <c r="N526" s="842"/>
      <c r="O526" s="842"/>
      <c r="P526" s="842"/>
      <c r="Q526" s="842"/>
      <c r="R526" s="842"/>
      <c r="S526" s="842"/>
      <c r="T526" s="842"/>
      <c r="U526" s="842"/>
      <c r="V526" s="842"/>
      <c r="W526" s="842"/>
      <c r="X526" s="842"/>
      <c r="Y526" s="842"/>
      <c r="Z526" s="842"/>
      <c r="AA526" s="2209"/>
      <c r="AB526" s="2209"/>
      <c r="AC526" s="346"/>
    </row>
    <row r="527" spans="1:29" ht="18.75" customHeight="1" x14ac:dyDescent="0.2">
      <c r="A527" s="341"/>
      <c r="B527" s="345"/>
      <c r="C527" s="855"/>
      <c r="D527" s="351" t="s">
        <v>624</v>
      </c>
      <c r="E527" s="352" t="s">
        <v>623</v>
      </c>
      <c r="F527" s="842"/>
      <c r="G527" s="842"/>
      <c r="H527" s="842"/>
      <c r="I527" s="842"/>
      <c r="J527" s="842"/>
      <c r="K527" s="842"/>
      <c r="L527" s="842"/>
      <c r="M527" s="842"/>
      <c r="N527" s="842"/>
      <c r="O527" s="842"/>
      <c r="P527" s="842"/>
      <c r="Q527" s="842"/>
      <c r="R527" s="842"/>
      <c r="S527" s="842"/>
      <c r="T527" s="842"/>
      <c r="U527" s="842"/>
      <c r="V527" s="842"/>
      <c r="W527" s="842"/>
      <c r="X527" s="842"/>
      <c r="Y527" s="842"/>
      <c r="Z527" s="842"/>
      <c r="AA527" s="2209"/>
      <c r="AB527" s="2209"/>
      <c r="AC527" s="346"/>
    </row>
    <row r="528" spans="1:29" ht="18.75" customHeight="1" x14ac:dyDescent="0.2">
      <c r="A528" s="341"/>
      <c r="B528" s="345"/>
      <c r="C528" s="453" t="s">
        <v>1453</v>
      </c>
      <c r="D528" s="410">
        <f>Constants!H36</f>
        <v>15</v>
      </c>
      <c r="E528" s="337" t="s">
        <v>496</v>
      </c>
      <c r="F528" s="842"/>
      <c r="G528" s="842"/>
      <c r="H528" s="842"/>
      <c r="I528" s="842"/>
      <c r="J528" s="842"/>
      <c r="K528" s="842"/>
      <c r="L528" s="842"/>
      <c r="M528" s="842"/>
      <c r="N528" s="842"/>
      <c r="O528" s="842"/>
      <c r="P528" s="842"/>
      <c r="Q528" s="842"/>
      <c r="R528" s="842"/>
      <c r="S528" s="842"/>
      <c r="T528" s="842"/>
      <c r="U528" s="842"/>
      <c r="V528" s="842"/>
      <c r="W528" s="842"/>
      <c r="X528" s="842"/>
      <c r="Y528" s="842"/>
      <c r="Z528" s="842"/>
      <c r="AA528" s="2209"/>
      <c r="AB528" s="2209"/>
      <c r="AC528" s="346"/>
    </row>
    <row r="529" spans="1:29" ht="18.75" customHeight="1" x14ac:dyDescent="0.2">
      <c r="A529" s="341"/>
      <c r="B529" s="345"/>
      <c r="C529" s="453" t="s">
        <v>1453</v>
      </c>
      <c r="D529" s="842">
        <f>D528*'Energy &amp; Unit Conversions'!G79/'Energy &amp; Unit Conversions'!G80</f>
        <v>42.795151247929866</v>
      </c>
      <c r="E529" s="337" t="s">
        <v>581</v>
      </c>
      <c r="F529" s="842"/>
      <c r="G529" s="842"/>
      <c r="H529" s="842"/>
      <c r="I529" s="842"/>
      <c r="J529" s="842"/>
      <c r="K529" s="842"/>
      <c r="L529" s="842"/>
      <c r="M529" s="842"/>
      <c r="N529" s="842"/>
      <c r="O529" s="842"/>
      <c r="P529" s="842"/>
      <c r="Q529" s="842"/>
      <c r="R529" s="842"/>
      <c r="S529" s="842"/>
      <c r="T529" s="842"/>
      <c r="U529" s="842"/>
      <c r="V529" s="842"/>
      <c r="W529" s="842"/>
      <c r="X529" s="842"/>
      <c r="Y529" s="842"/>
      <c r="Z529" s="842"/>
      <c r="AA529" s="2209"/>
      <c r="AB529" s="2209"/>
      <c r="AC529" s="346"/>
    </row>
    <row r="530" spans="1:29" ht="18.75" customHeight="1" x14ac:dyDescent="0.2">
      <c r="A530" s="341"/>
      <c r="B530" s="345"/>
      <c r="C530" s="452" t="s">
        <v>1454</v>
      </c>
      <c r="D530" s="334">
        <f ca="1">D529*I516</f>
        <v>6.8038855500000001E-14</v>
      </c>
      <c r="E530" s="338" t="s">
        <v>622</v>
      </c>
      <c r="F530" s="842"/>
      <c r="G530" s="842"/>
      <c r="H530" s="842"/>
      <c r="I530" s="842"/>
      <c r="J530" s="842"/>
      <c r="K530" s="842"/>
      <c r="L530" s="842"/>
      <c r="M530" s="842"/>
      <c r="N530" s="842"/>
      <c r="O530" s="842"/>
      <c r="P530" s="842"/>
      <c r="Q530" s="842"/>
      <c r="R530" s="842"/>
      <c r="S530" s="842"/>
      <c r="T530" s="842"/>
      <c r="U530" s="842"/>
      <c r="V530" s="842"/>
      <c r="W530" s="842"/>
      <c r="X530" s="842"/>
      <c r="Y530" s="842"/>
      <c r="Z530" s="842"/>
      <c r="AA530" s="2209"/>
      <c r="AB530" s="2209"/>
      <c r="AC530" s="346"/>
    </row>
    <row r="531" spans="1:29" ht="18.75" customHeight="1" x14ac:dyDescent="0.2">
      <c r="A531" s="341"/>
      <c r="B531" s="345"/>
      <c r="C531" s="453" t="s">
        <v>451</v>
      </c>
      <c r="D531" s="410">
        <f>Constants!H33</f>
        <v>0.3</v>
      </c>
      <c r="E531" s="337" t="s">
        <v>665</v>
      </c>
      <c r="F531" s="842"/>
      <c r="G531" s="842"/>
      <c r="H531" s="842"/>
      <c r="I531" s="842"/>
      <c r="J531" s="842"/>
      <c r="K531" s="842"/>
      <c r="L531" s="842"/>
      <c r="M531" s="842"/>
      <c r="N531" s="842"/>
      <c r="O531" s="842"/>
      <c r="P531" s="842"/>
      <c r="Q531" s="842"/>
      <c r="R531" s="842"/>
      <c r="S531" s="842"/>
      <c r="T531" s="842"/>
      <c r="U531" s="842"/>
      <c r="V531" s="842"/>
      <c r="W531" s="842"/>
      <c r="X531" s="842"/>
      <c r="Y531" s="842"/>
      <c r="Z531" s="842"/>
      <c r="AA531" s="2209"/>
      <c r="AB531" s="2209"/>
      <c r="AC531" s="346"/>
    </row>
    <row r="532" spans="1:29" ht="18.75" customHeight="1" x14ac:dyDescent="0.2">
      <c r="A532" s="341"/>
      <c r="B532" s="345"/>
      <c r="C532" s="453" t="s">
        <v>451</v>
      </c>
      <c r="D532" s="842">
        <f>D531/'Energy &amp; Unit Conversions'!G80</f>
        <v>1.8869431709325211</v>
      </c>
      <c r="E532" s="337" t="s">
        <v>629</v>
      </c>
      <c r="F532" s="842"/>
      <c r="G532" s="842"/>
      <c r="H532" s="842"/>
      <c r="I532" s="842"/>
      <c r="J532" s="842"/>
      <c r="K532" s="842"/>
      <c r="L532" s="842"/>
      <c r="M532" s="842"/>
      <c r="N532" s="842"/>
      <c r="O532" s="842"/>
      <c r="P532" s="842"/>
      <c r="Q532" s="842"/>
      <c r="R532" s="842"/>
      <c r="S532" s="842"/>
      <c r="T532" s="842"/>
      <c r="U532" s="842"/>
      <c r="V532" s="842"/>
      <c r="W532" s="842"/>
      <c r="X532" s="842"/>
      <c r="Y532" s="842"/>
      <c r="Z532" s="842"/>
      <c r="AA532" s="2209"/>
      <c r="AB532" s="2209"/>
      <c r="AC532" s="346"/>
    </row>
    <row r="533" spans="1:29" ht="18.75" customHeight="1" x14ac:dyDescent="0.2">
      <c r="A533" s="341"/>
      <c r="B533" s="345"/>
      <c r="C533" s="452" t="s">
        <v>452</v>
      </c>
      <c r="D533" s="334">
        <f ca="1">E516*D532</f>
        <v>3.0000000000000002E-15</v>
      </c>
      <c r="E533" s="338" t="s">
        <v>627</v>
      </c>
      <c r="F533" s="842"/>
      <c r="G533" s="842"/>
      <c r="H533" s="842"/>
      <c r="I533" s="842"/>
      <c r="J533" s="842"/>
      <c r="K533" s="842"/>
      <c r="L533" s="842"/>
      <c r="M533" s="842"/>
      <c r="N533" s="842"/>
      <c r="O533" s="842"/>
      <c r="P533" s="842"/>
      <c r="Q533" s="842"/>
      <c r="R533" s="842"/>
      <c r="S533" s="842"/>
      <c r="T533" s="842"/>
      <c r="U533" s="842"/>
      <c r="V533" s="842"/>
      <c r="W533" s="842"/>
      <c r="X533" s="842"/>
      <c r="Y533" s="842"/>
      <c r="Z533" s="842"/>
      <c r="AA533" s="2209"/>
      <c r="AB533" s="2209"/>
      <c r="AC533" s="346"/>
    </row>
    <row r="534" spans="1:29" ht="18.75" customHeight="1" x14ac:dyDescent="0.2">
      <c r="A534" s="341"/>
      <c r="B534" s="345"/>
      <c r="C534" s="437"/>
      <c r="D534" s="842"/>
      <c r="E534" s="842"/>
      <c r="F534" s="842"/>
      <c r="G534" s="842"/>
      <c r="H534" s="842"/>
      <c r="I534" s="842"/>
      <c r="J534" s="842"/>
      <c r="K534" s="842"/>
      <c r="L534" s="842"/>
      <c r="M534" s="842"/>
      <c r="N534" s="842"/>
      <c r="O534" s="842"/>
      <c r="P534" s="842"/>
      <c r="Q534" s="842"/>
      <c r="R534" s="842"/>
      <c r="S534" s="842"/>
      <c r="T534" s="842"/>
      <c r="U534" s="842"/>
      <c r="V534" s="842"/>
      <c r="W534" s="842"/>
      <c r="X534" s="842"/>
      <c r="Y534" s="842"/>
      <c r="Z534" s="842"/>
      <c r="AA534" s="2209"/>
      <c r="AB534" s="2209"/>
      <c r="AC534" s="346"/>
    </row>
    <row r="535" spans="1:29" ht="18.75" customHeight="1" x14ac:dyDescent="0.2">
      <c r="A535" s="341"/>
      <c r="B535" s="345"/>
      <c r="C535" s="843" t="s">
        <v>295</v>
      </c>
      <c r="D535" s="842"/>
      <c r="E535" s="842"/>
      <c r="F535" s="842"/>
      <c r="G535" s="842"/>
      <c r="H535" s="842"/>
      <c r="I535" s="842"/>
      <c r="J535" s="842"/>
      <c r="K535" s="842"/>
      <c r="L535" s="842"/>
      <c r="M535" s="842"/>
      <c r="N535" s="842"/>
      <c r="O535" s="842"/>
      <c r="P535" s="842"/>
      <c r="Q535" s="842"/>
      <c r="R535" s="842"/>
      <c r="S535" s="842"/>
      <c r="T535" s="842"/>
      <c r="U535" s="842"/>
      <c r="V535" s="842"/>
      <c r="W535" s="842"/>
      <c r="X535" s="842"/>
      <c r="Y535" s="842"/>
      <c r="Z535" s="842"/>
      <c r="AA535" s="2209"/>
      <c r="AB535" s="2209"/>
      <c r="AC535" s="346"/>
    </row>
    <row r="536" spans="1:29" ht="18.75" customHeight="1" x14ac:dyDescent="0.2">
      <c r="A536" s="341"/>
      <c r="B536" s="345"/>
      <c r="C536" s="454"/>
      <c r="D536" s="356" t="s">
        <v>1197</v>
      </c>
      <c r="E536" s="356" t="s">
        <v>1198</v>
      </c>
      <c r="F536" s="356" t="s">
        <v>1199</v>
      </c>
      <c r="G536" s="356" t="s">
        <v>663</v>
      </c>
      <c r="H536" s="356" t="s">
        <v>784</v>
      </c>
      <c r="I536" s="356" t="s">
        <v>662</v>
      </c>
      <c r="J536" s="357" t="s">
        <v>806</v>
      </c>
      <c r="K536" s="842"/>
      <c r="L536" s="842"/>
      <c r="M536" s="842"/>
      <c r="N536" s="842"/>
      <c r="O536" s="842"/>
      <c r="P536" s="842"/>
      <c r="Q536" s="842"/>
      <c r="R536" s="842"/>
      <c r="S536" s="842"/>
      <c r="T536" s="842"/>
      <c r="U536" s="842"/>
      <c r="V536" s="842"/>
      <c r="W536" s="842"/>
      <c r="X536" s="842"/>
      <c r="Y536" s="842"/>
      <c r="Z536" s="842"/>
      <c r="AA536" s="2209"/>
      <c r="AB536" s="2209"/>
      <c r="AC536" s="346"/>
    </row>
    <row r="537" spans="1:29" ht="18.75" customHeight="1" x14ac:dyDescent="0.2">
      <c r="A537" s="341"/>
      <c r="B537" s="345"/>
      <c r="C537" s="442" t="s">
        <v>408</v>
      </c>
      <c r="D537" s="358">
        <f ca="1">E102</f>
        <v>5.5912588031116516E-9</v>
      </c>
      <c r="E537" s="358">
        <f ca="1">E104</f>
        <v>8.047087475642534E-7</v>
      </c>
      <c r="F537" s="358">
        <f ca="1">E108</f>
        <v>905.24616446001198</v>
      </c>
      <c r="G537" s="358">
        <f ca="1">E105</f>
        <v>0.21055860465850654</v>
      </c>
      <c r="H537" s="358">
        <f ca="1">E106</f>
        <v>573.33295706164199</v>
      </c>
      <c r="I537" s="358">
        <f ca="1">E109</f>
        <v>12.331915988948797</v>
      </c>
      <c r="J537" s="371">
        <f ca="1">E111</f>
        <v>11.585905176337866</v>
      </c>
      <c r="K537" s="842"/>
      <c r="L537" s="842"/>
      <c r="M537" s="842"/>
      <c r="N537" s="842"/>
      <c r="O537" s="842"/>
      <c r="P537" s="842"/>
      <c r="Q537" s="842"/>
      <c r="R537" s="842"/>
      <c r="S537" s="842"/>
      <c r="T537" s="842"/>
      <c r="U537" s="842"/>
      <c r="V537" s="842"/>
      <c r="W537" s="842"/>
      <c r="X537" s="842"/>
      <c r="Y537" s="842"/>
      <c r="Z537" s="842"/>
      <c r="AA537" s="2209"/>
      <c r="AB537" s="2209"/>
      <c r="AC537" s="346"/>
    </row>
    <row r="538" spans="1:29" ht="18.75" customHeight="1" x14ac:dyDescent="0.2">
      <c r="A538" s="341"/>
      <c r="B538" s="345"/>
      <c r="C538" s="442" t="s">
        <v>575</v>
      </c>
      <c r="D538" s="842">
        <f ca="1">F102</f>
        <v>8218.2707229657353</v>
      </c>
      <c r="E538" s="842">
        <f ca="1">F104</f>
        <v>1209891.7354650162</v>
      </c>
      <c r="F538" s="842">
        <f ca="1">F108</f>
        <v>925.910357612398</v>
      </c>
      <c r="G538" s="842">
        <f ca="1">F105</f>
        <v>0.27398518285937168</v>
      </c>
      <c r="H538" s="842">
        <f ca="1">F106</f>
        <v>1315.9260423987175</v>
      </c>
      <c r="I538" s="842">
        <f ca="1">F109</f>
        <v>12.271763653145852</v>
      </c>
      <c r="J538" s="337">
        <f ca="1">F111</f>
        <v>11.638857688170157</v>
      </c>
      <c r="K538" s="842"/>
      <c r="L538" s="842"/>
      <c r="M538" s="842"/>
      <c r="N538" s="842"/>
      <c r="O538" s="842"/>
      <c r="P538" s="842"/>
      <c r="Q538" s="842"/>
      <c r="R538" s="842"/>
      <c r="S538" s="842"/>
      <c r="T538" s="842"/>
      <c r="U538" s="842"/>
      <c r="V538" s="842"/>
      <c r="W538" s="842"/>
      <c r="X538" s="842"/>
      <c r="Y538" s="842"/>
      <c r="Z538" s="842"/>
      <c r="AA538" s="2209"/>
      <c r="AB538" s="2209"/>
      <c r="AC538" s="346"/>
    </row>
    <row r="539" spans="1:29" ht="18.75" customHeight="1" x14ac:dyDescent="0.2">
      <c r="A539" s="341"/>
      <c r="B539" s="345"/>
      <c r="C539" s="442" t="s">
        <v>576</v>
      </c>
      <c r="D539" s="842">
        <f ca="1">G102</f>
        <v>6475.5173608741952</v>
      </c>
      <c r="E539" s="842">
        <f ca="1">G104</f>
        <v>975521.165617669</v>
      </c>
      <c r="F539" s="842">
        <f ca="1">G108</f>
        <v>947.46919836072334</v>
      </c>
      <c r="G539" s="842">
        <f ca="1">G105</f>
        <v>0.34883282222603118</v>
      </c>
      <c r="H539" s="842">
        <f ca="1">G106</f>
        <v>2546.2715056129705</v>
      </c>
      <c r="I539" s="842">
        <f ca="1">G109</f>
        <v>12.125465535911589</v>
      </c>
      <c r="J539" s="337">
        <f ca="1">G111</f>
        <v>11.689687554365658</v>
      </c>
      <c r="K539" s="842"/>
      <c r="L539" s="842"/>
      <c r="M539" s="842"/>
      <c r="N539" s="842"/>
      <c r="O539" s="842"/>
      <c r="P539" s="842"/>
      <c r="Q539" s="842"/>
      <c r="R539" s="842"/>
      <c r="S539" s="842"/>
      <c r="T539" s="842"/>
      <c r="U539" s="842"/>
      <c r="V539" s="842"/>
      <c r="W539" s="842"/>
      <c r="X539" s="842"/>
      <c r="Y539" s="842"/>
      <c r="Z539" s="842"/>
      <c r="AA539" s="2209"/>
      <c r="AB539" s="2209"/>
      <c r="AC539" s="346"/>
    </row>
    <row r="540" spans="1:29" ht="18.75" customHeight="1" x14ac:dyDescent="0.2">
      <c r="A540" s="341"/>
      <c r="B540" s="345"/>
      <c r="C540" s="442" t="s">
        <v>653</v>
      </c>
      <c r="D540" s="842">
        <f ca="1">H102</f>
        <v>9035.8995417507103</v>
      </c>
      <c r="E540" s="842">
        <f ca="1">H104</f>
        <v>1516011.3978110366</v>
      </c>
      <c r="F540" s="842">
        <f ca="1">H108</f>
        <v>1055.1979728481299</v>
      </c>
      <c r="G540" s="842">
        <f ca="1">H105</f>
        <v>0.53683769453568042</v>
      </c>
      <c r="H540" s="842">
        <f ca="1">H106</f>
        <v>5170.9765737434327</v>
      </c>
      <c r="I540" s="842">
        <f ca="1">H109</f>
        <v>13.775491885583563</v>
      </c>
      <c r="J540" s="337">
        <f ca="1">H111</f>
        <v>11.195866150132154</v>
      </c>
      <c r="K540" s="842"/>
      <c r="L540" s="842"/>
      <c r="M540" s="842"/>
      <c r="N540" s="842"/>
      <c r="O540" s="842"/>
      <c r="P540" s="842"/>
      <c r="Q540" s="842"/>
      <c r="R540" s="842"/>
      <c r="S540" s="842"/>
      <c r="T540" s="842"/>
      <c r="U540" s="842"/>
      <c r="V540" s="842"/>
      <c r="W540" s="842"/>
      <c r="X540" s="842"/>
      <c r="Y540" s="842"/>
      <c r="Z540" s="842"/>
      <c r="AA540" s="2209"/>
      <c r="AB540" s="2209"/>
      <c r="AC540" s="346"/>
    </row>
    <row r="541" spans="1:29" ht="18.75" customHeight="1" x14ac:dyDescent="0.2">
      <c r="A541" s="341"/>
      <c r="B541" s="345"/>
      <c r="C541" s="452" t="s">
        <v>1200</v>
      </c>
      <c r="D541" s="334">
        <f ca="1">SUM(D537:D540)</f>
        <v>23729.687625596234</v>
      </c>
      <c r="E541" s="334">
        <f ca="1">SUM(E537:E540)</f>
        <v>3701424.2988945264</v>
      </c>
      <c r="F541" s="334"/>
      <c r="G541" s="334"/>
      <c r="H541" s="334"/>
      <c r="I541" s="334"/>
      <c r="J541" s="338"/>
      <c r="K541" s="842"/>
      <c r="L541" s="842"/>
      <c r="M541" s="842"/>
      <c r="N541" s="842"/>
      <c r="O541" s="842"/>
      <c r="P541" s="842"/>
      <c r="Q541" s="842"/>
      <c r="R541" s="842"/>
      <c r="S541" s="842"/>
      <c r="T541" s="842"/>
      <c r="U541" s="842"/>
      <c r="V541" s="842"/>
      <c r="W541" s="842"/>
      <c r="X541" s="842"/>
      <c r="Y541" s="842"/>
      <c r="Z541" s="842"/>
      <c r="AA541" s="2209"/>
      <c r="AB541" s="2209"/>
      <c r="AC541" s="346"/>
    </row>
    <row r="542" spans="1:29" ht="18.75" customHeight="1" x14ac:dyDescent="0.2">
      <c r="A542" s="341"/>
      <c r="B542" s="345"/>
      <c r="C542" s="437"/>
      <c r="D542" s="842"/>
      <c r="E542" s="842"/>
      <c r="F542" s="842"/>
      <c r="G542" s="842"/>
      <c r="H542" s="842"/>
      <c r="I542" s="842"/>
      <c r="J542" s="842"/>
      <c r="K542" s="842"/>
      <c r="L542" s="842"/>
      <c r="M542" s="842"/>
      <c r="N542" s="842"/>
      <c r="O542" s="842"/>
      <c r="P542" s="842"/>
      <c r="Q542" s="842"/>
      <c r="R542" s="842"/>
      <c r="S542" s="842"/>
      <c r="T542" s="842"/>
      <c r="U542" s="842"/>
      <c r="V542" s="842"/>
      <c r="W542" s="842"/>
      <c r="X542" s="842"/>
      <c r="Y542" s="842"/>
      <c r="Z542" s="842"/>
      <c r="AA542" s="2209"/>
      <c r="AB542" s="2209"/>
      <c r="AC542" s="346"/>
    </row>
    <row r="543" spans="1:29" ht="18.75" customHeight="1" x14ac:dyDescent="0.2">
      <c r="A543" s="341"/>
      <c r="B543" s="345"/>
      <c r="C543" s="843" t="s">
        <v>460</v>
      </c>
      <c r="D543" s="842"/>
      <c r="E543" s="842"/>
      <c r="F543" s="842"/>
      <c r="G543" s="842"/>
      <c r="H543" s="842"/>
      <c r="I543" s="842"/>
      <c r="J543" s="842"/>
      <c r="K543" s="842"/>
      <c r="L543" s="842"/>
      <c r="M543" s="842"/>
      <c r="N543" s="842"/>
      <c r="O543" s="842"/>
      <c r="P543" s="842"/>
      <c r="Q543" s="842"/>
      <c r="R543" s="842"/>
      <c r="S543" s="842"/>
      <c r="T543" s="842"/>
      <c r="U543" s="842"/>
      <c r="V543" s="842"/>
      <c r="W543" s="842"/>
      <c r="X543" s="842"/>
      <c r="Y543" s="842"/>
      <c r="Z543" s="842"/>
      <c r="AA543" s="2209"/>
      <c r="AB543" s="2209"/>
      <c r="AC543" s="346"/>
    </row>
    <row r="544" spans="1:29" ht="18.75" customHeight="1" x14ac:dyDescent="0.2">
      <c r="A544" s="341"/>
      <c r="B544" s="345"/>
      <c r="C544" s="454"/>
      <c r="D544" s="368"/>
      <c r="E544" s="368"/>
      <c r="F544" s="368"/>
      <c r="G544" s="372" t="s">
        <v>292</v>
      </c>
      <c r="H544" s="372" t="s">
        <v>293</v>
      </c>
      <c r="I544" s="356" t="s">
        <v>294</v>
      </c>
      <c r="J544" s="373" t="s">
        <v>663</v>
      </c>
      <c r="K544" s="356" t="s">
        <v>784</v>
      </c>
      <c r="L544" s="373" t="s">
        <v>662</v>
      </c>
      <c r="M544" s="374" t="s">
        <v>806</v>
      </c>
      <c r="N544" s="842"/>
      <c r="O544" s="842"/>
      <c r="P544" s="842"/>
      <c r="Q544" s="842"/>
      <c r="R544" s="842"/>
      <c r="S544" s="842"/>
      <c r="T544" s="842"/>
      <c r="U544" s="842"/>
      <c r="V544" s="842"/>
      <c r="W544" s="842"/>
      <c r="X544" s="842"/>
      <c r="Y544" s="842"/>
      <c r="Z544" s="842"/>
      <c r="AA544" s="2209"/>
      <c r="AB544" s="2209"/>
      <c r="AC544" s="346"/>
    </row>
    <row r="545" spans="1:29" ht="18.75" customHeight="1" x14ac:dyDescent="0.2">
      <c r="A545" s="341"/>
      <c r="B545" s="345"/>
      <c r="C545" s="453" t="s">
        <v>465</v>
      </c>
      <c r="D545" s="842">
        <f>HydroRefineryControls!C14</f>
        <v>1E-10</v>
      </c>
      <c r="E545" s="842" t="s">
        <v>1194</v>
      </c>
      <c r="F545" s="839" t="s">
        <v>467</v>
      </c>
      <c r="G545" s="842">
        <f ca="1">D545/100*D538+D546/100*D539</f>
        <v>1.4693788083839931E-8</v>
      </c>
      <c r="H545" s="842">
        <f ca="1">D545/100*E538+D546/100*E539</f>
        <v>2.1854129010826852E-6</v>
      </c>
      <c r="I545" s="842">
        <f ca="1">H545/G545/'Energy &amp; Unit Conversions'!G80</f>
        <v>935.48600851744914</v>
      </c>
      <c r="J545" s="842">
        <f ca="1">(D545/100*E538*G538+D546/100*E539*G539)/H545</f>
        <v>0.30739555412720931</v>
      </c>
      <c r="K545" s="842">
        <f ca="1">(D545/100*E538*H538+D546/100*E539*H539)/H545</f>
        <v>1865.125710705136</v>
      </c>
      <c r="L545" s="842">
        <f ca="1">(D545/100*E538*I538+D546/100*E539*I539)/H545</f>
        <v>12.20645933020471</v>
      </c>
      <c r="M545" s="337">
        <f ca="1">(D545/100*E538*J538+D546/100*E539*J539)/H545</f>
        <v>11.66154704371238</v>
      </c>
      <c r="N545" s="842"/>
      <c r="O545" s="842"/>
      <c r="P545" s="842"/>
      <c r="Q545" s="842"/>
      <c r="R545" s="842"/>
      <c r="S545" s="842"/>
      <c r="T545" s="842"/>
      <c r="U545" s="842"/>
      <c r="V545" s="842"/>
      <c r="W545" s="842"/>
      <c r="X545" s="842"/>
      <c r="Y545" s="842"/>
      <c r="Z545" s="842"/>
      <c r="AA545" s="2209"/>
      <c r="AB545" s="2209"/>
      <c r="AC545" s="346"/>
    </row>
    <row r="546" spans="1:29" ht="18.75" customHeight="1" x14ac:dyDescent="0.2">
      <c r="A546" s="341"/>
      <c r="B546" s="345"/>
      <c r="C546" s="453" t="s">
        <v>466</v>
      </c>
      <c r="D546" s="842">
        <f>HydroRefineryControls!C15</f>
        <v>1E-10</v>
      </c>
      <c r="E546" s="842" t="s">
        <v>1194</v>
      </c>
      <c r="F546" s="839" t="s">
        <v>1455</v>
      </c>
      <c r="G546" s="842">
        <f ca="1">D546/100*D539+D547/100*D540</f>
        <v>1.5511416902624907E-8</v>
      </c>
      <c r="H546" s="842">
        <f ca="1">D546/100*E539+D547/100*E540</f>
        <v>2.4915325634287057E-6</v>
      </c>
      <c r="I546" s="842">
        <f ca="1">H546/G546/'Energy &amp; Unit Conversions'!G80</f>
        <v>1010.3053738269837</v>
      </c>
      <c r="J546" s="842">
        <f ca="1">(D546/100*E539*G539+D547/100*E540*G540)/H546</f>
        <v>0.46322728507552002</v>
      </c>
      <c r="K546" s="842">
        <f ca="1">(D546/100*E539*H539+D547/100*E540*H540)/H546</f>
        <v>4143.3137669039024</v>
      </c>
      <c r="L546" s="842">
        <f ca="1">(D546/100*E539*I539+D547/100*E540*I540)/H546</f>
        <v>13.129449505259709</v>
      </c>
      <c r="M546" s="337">
        <f ca="1">(D546/100*E539*J539+D547/100*E540*J540)/H546</f>
        <v>11.389214308183874</v>
      </c>
      <c r="N546" s="842"/>
      <c r="O546" s="842"/>
      <c r="P546" s="842"/>
      <c r="Q546" s="842"/>
      <c r="R546" s="842"/>
      <c r="S546" s="842"/>
      <c r="T546" s="842"/>
      <c r="U546" s="842"/>
      <c r="V546" s="842"/>
      <c r="W546" s="842"/>
      <c r="X546" s="842"/>
      <c r="Y546" s="842"/>
      <c r="Z546" s="842"/>
      <c r="AA546" s="2209"/>
      <c r="AB546" s="2209"/>
      <c r="AC546" s="346"/>
    </row>
    <row r="547" spans="1:29" ht="18.75" customHeight="1" x14ac:dyDescent="0.2">
      <c r="A547" s="341"/>
      <c r="B547" s="345"/>
      <c r="C547" s="452" t="s">
        <v>1456</v>
      </c>
      <c r="D547" s="334">
        <f>HydroRefineryControls!C16</f>
        <v>1E-10</v>
      </c>
      <c r="E547" s="334" t="s">
        <v>1194</v>
      </c>
      <c r="F547" s="335"/>
      <c r="G547" s="334">
        <f ca="1">SUM(G545:G546)</f>
        <v>3.0205204986464838E-8</v>
      </c>
      <c r="H547" s="334"/>
      <c r="I547" s="334"/>
      <c r="J547" s="334"/>
      <c r="K547" s="334"/>
      <c r="L547" s="334"/>
      <c r="M547" s="338"/>
      <c r="N547" s="842"/>
      <c r="O547" s="842"/>
      <c r="P547" s="842"/>
      <c r="Q547" s="842"/>
      <c r="R547" s="842"/>
      <c r="S547" s="842"/>
      <c r="T547" s="842"/>
      <c r="U547" s="842"/>
      <c r="V547" s="842"/>
      <c r="W547" s="842"/>
      <c r="X547" s="842"/>
      <c r="Y547" s="842"/>
      <c r="Z547" s="842"/>
      <c r="AA547" s="2209"/>
      <c r="AB547" s="2209"/>
      <c r="AC547" s="346"/>
    </row>
    <row r="548" spans="1:29" ht="18.75" customHeight="1" x14ac:dyDescent="0.2">
      <c r="A548" s="341"/>
      <c r="B548" s="345"/>
      <c r="C548" s="437"/>
      <c r="D548" s="842"/>
      <c r="E548" s="842"/>
      <c r="F548" s="842"/>
      <c r="G548" s="842"/>
      <c r="H548" s="842"/>
      <c r="I548" s="842"/>
      <c r="J548" s="842"/>
      <c r="K548" s="842"/>
      <c r="L548" s="842"/>
      <c r="M548" s="842"/>
      <c r="N548" s="842"/>
      <c r="O548" s="842"/>
      <c r="P548" s="842"/>
      <c r="Q548" s="842"/>
      <c r="R548" s="842"/>
      <c r="S548" s="842"/>
      <c r="T548" s="842"/>
      <c r="U548" s="842"/>
      <c r="V548" s="842"/>
      <c r="W548" s="842"/>
      <c r="X548" s="842"/>
      <c r="Y548" s="842"/>
      <c r="Z548" s="842"/>
      <c r="AA548" s="2209"/>
      <c r="AB548" s="2209"/>
      <c r="AC548" s="346"/>
    </row>
    <row r="549" spans="1:29" ht="18.75" customHeight="1" x14ac:dyDescent="0.2">
      <c r="A549" s="341"/>
      <c r="B549" s="345"/>
      <c r="C549" s="843" t="s">
        <v>296</v>
      </c>
      <c r="D549" s="842"/>
      <c r="E549" s="842"/>
      <c r="F549" s="842"/>
      <c r="G549" s="842"/>
      <c r="H549" s="842"/>
      <c r="I549" s="842"/>
      <c r="J549" s="842"/>
      <c r="K549" s="842"/>
      <c r="L549" s="842"/>
      <c r="M549" s="842"/>
      <c r="N549" s="842"/>
      <c r="O549" s="842"/>
      <c r="P549" s="842"/>
      <c r="Q549" s="842"/>
      <c r="R549" s="842"/>
      <c r="S549" s="842"/>
      <c r="T549" s="842"/>
      <c r="U549" s="842"/>
      <c r="V549" s="842"/>
      <c r="W549" s="842"/>
      <c r="X549" s="842"/>
      <c r="Y549" s="842"/>
      <c r="Z549" s="842"/>
      <c r="AA549" s="2209"/>
      <c r="AB549" s="2209"/>
      <c r="AC549" s="346"/>
    </row>
    <row r="550" spans="1:29" ht="18.75" customHeight="1" x14ac:dyDescent="0.2">
      <c r="A550" s="341"/>
      <c r="B550" s="345"/>
      <c r="C550" s="445" t="s">
        <v>1208</v>
      </c>
      <c r="D550" s="368" t="s">
        <v>1209</v>
      </c>
      <c r="E550" s="368" t="s">
        <v>1210</v>
      </c>
      <c r="F550" s="356" t="s">
        <v>1211</v>
      </c>
      <c r="G550" s="368" t="s">
        <v>1212</v>
      </c>
      <c r="H550" s="368" t="s">
        <v>1213</v>
      </c>
      <c r="I550" s="356" t="s">
        <v>1214</v>
      </c>
      <c r="J550" s="368" t="s">
        <v>1215</v>
      </c>
      <c r="K550" s="369" t="s">
        <v>1216</v>
      </c>
      <c r="L550" s="842"/>
      <c r="M550" s="842"/>
      <c r="N550" s="842"/>
      <c r="O550" s="842"/>
      <c r="P550" s="842"/>
      <c r="Q550" s="842"/>
      <c r="R550" s="842"/>
      <c r="S550" s="842"/>
      <c r="T550" s="842"/>
      <c r="U550" s="842"/>
      <c r="V550" s="842"/>
      <c r="W550" s="842"/>
      <c r="X550" s="842"/>
      <c r="Y550" s="842"/>
      <c r="Z550" s="842"/>
      <c r="AA550" s="2209"/>
      <c r="AB550" s="2209"/>
      <c r="AC550" s="346"/>
    </row>
    <row r="551" spans="1:29" ht="18.75" customHeight="1" x14ac:dyDescent="0.2">
      <c r="A551" s="341"/>
      <c r="B551" s="345"/>
      <c r="C551" s="453">
        <f ca="1">D545/100*D538</f>
        <v>8.2182707229657348E-9</v>
      </c>
      <c r="D551" s="842">
        <f>HydroRefineryControls!C17</f>
        <v>50</v>
      </c>
      <c r="E551" s="842">
        <f>100-D551</f>
        <v>50</v>
      </c>
      <c r="F551" s="842">
        <f ca="1">D538-D545/100*D538</f>
        <v>8218.2707229575171</v>
      </c>
      <c r="G551" s="842">
        <f ca="1">D551/100*G545</f>
        <v>7.3468940419199655E-9</v>
      </c>
      <c r="H551" s="842">
        <f ca="1">G545-G551</f>
        <v>7.3468940419199655E-9</v>
      </c>
      <c r="I551" s="842">
        <f ca="1">E538-D545/100*E538</f>
        <v>1209891.7354638064</v>
      </c>
      <c r="J551" s="842">
        <f ca="1">D551/100*H545</f>
        <v>1.0927064505413426E-6</v>
      </c>
      <c r="K551" s="337">
        <f ca="1">H545-J551</f>
        <v>1.0927064505413426E-6</v>
      </c>
      <c r="L551" s="842"/>
      <c r="M551" s="842"/>
      <c r="N551" s="842"/>
      <c r="O551" s="842"/>
      <c r="P551" s="842"/>
      <c r="Q551" s="842"/>
      <c r="R551" s="842"/>
      <c r="S551" s="842"/>
      <c r="T551" s="842"/>
      <c r="U551" s="842"/>
      <c r="V551" s="842"/>
      <c r="W551" s="842"/>
      <c r="X551" s="842"/>
      <c r="Y551" s="842"/>
      <c r="Z551" s="842"/>
      <c r="AA551" s="2209"/>
      <c r="AB551" s="2209"/>
      <c r="AC551" s="346"/>
    </row>
    <row r="552" spans="1:29" ht="18.75" customHeight="1" x14ac:dyDescent="0.2">
      <c r="A552" s="341"/>
      <c r="B552" s="345"/>
      <c r="C552" s="453">
        <f ca="1">2*D546/100*D539</f>
        <v>1.2951034721748391E-8</v>
      </c>
      <c r="D552" s="842">
        <f>HydroRefineryControls!C18</f>
        <v>50</v>
      </c>
      <c r="E552" s="842">
        <f>100-D552</f>
        <v>50</v>
      </c>
      <c r="F552" s="842">
        <f ca="1">D539-D546*2/100*D539</f>
        <v>6475.517360861244</v>
      </c>
      <c r="G552" s="842">
        <f ca="1">D552/100*G546</f>
        <v>7.7557084513124534E-9</v>
      </c>
      <c r="H552" s="842">
        <f ca="1">G546-G552</f>
        <v>7.7557084513124534E-9</v>
      </c>
      <c r="I552" s="842">
        <f ca="1">E539-2*D546/100*E539</f>
        <v>975521.165615718</v>
      </c>
      <c r="J552" s="842">
        <f ca="1">D552/100*H546</f>
        <v>1.2457662817143528E-6</v>
      </c>
      <c r="K552" s="337">
        <f ca="1">H546-J552</f>
        <v>1.2457662817143528E-6</v>
      </c>
      <c r="L552" s="842"/>
      <c r="M552" s="842"/>
      <c r="N552" s="842"/>
      <c r="O552" s="842"/>
      <c r="P552" s="842"/>
      <c r="Q552" s="842"/>
      <c r="R552" s="842"/>
      <c r="S552" s="842"/>
      <c r="T552" s="842"/>
      <c r="U552" s="842"/>
      <c r="V552" s="842"/>
      <c r="W552" s="842"/>
      <c r="X552" s="842"/>
      <c r="Y552" s="842"/>
      <c r="Z552" s="842"/>
      <c r="AA552" s="2209"/>
      <c r="AB552" s="2209"/>
      <c r="AC552" s="346"/>
    </row>
    <row r="553" spans="1:29" ht="18.75" customHeight="1" x14ac:dyDescent="0.2">
      <c r="A553" s="341"/>
      <c r="B553" s="345"/>
      <c r="C553" s="453">
        <f ca="1">2*D547/100*D540</f>
        <v>1.8071799083501421E-8</v>
      </c>
      <c r="D553" s="842"/>
      <c r="E553" s="842"/>
      <c r="F553" s="842">
        <f ca="1">D540-D547/100*D540</f>
        <v>9035.8995417416736</v>
      </c>
      <c r="G553" s="842"/>
      <c r="H553" s="842"/>
      <c r="I553" s="842">
        <f ca="1">E540-D547/100*E540</f>
        <v>1516011.3978095206</v>
      </c>
      <c r="J553" s="842"/>
      <c r="K553" s="337"/>
      <c r="L553" s="842"/>
      <c r="M553" s="842"/>
      <c r="N553" s="842"/>
      <c r="O553" s="842"/>
      <c r="P553" s="842"/>
      <c r="Q553" s="842"/>
      <c r="R553" s="842"/>
      <c r="S553" s="842"/>
      <c r="T553" s="842"/>
      <c r="U553" s="842"/>
      <c r="V553" s="842"/>
      <c r="W553" s="842"/>
      <c r="X553" s="842"/>
      <c r="Y553" s="842"/>
      <c r="Z553" s="842"/>
      <c r="AA553" s="2209"/>
      <c r="AB553" s="2209"/>
      <c r="AC553" s="346"/>
    </row>
    <row r="554" spans="1:29" ht="18.75" customHeight="1" x14ac:dyDescent="0.2">
      <c r="A554" s="341"/>
      <c r="B554" s="345"/>
      <c r="C554" s="452">
        <f ca="1">SUM(C551:C553)</f>
        <v>3.924110452821555E-8</v>
      </c>
      <c r="D554" s="334"/>
      <c r="E554" s="334"/>
      <c r="F554" s="334">
        <f ca="1">SUM(F551:F553)</f>
        <v>23729.687625560437</v>
      </c>
      <c r="G554" s="334"/>
      <c r="H554" s="334"/>
      <c r="I554" s="334"/>
      <c r="J554" s="334"/>
      <c r="K554" s="338"/>
      <c r="L554" s="842"/>
      <c r="M554" s="842"/>
      <c r="N554" s="842"/>
      <c r="O554" s="842"/>
      <c r="P554" s="842"/>
      <c r="Q554" s="842"/>
      <c r="R554" s="842"/>
      <c r="S554" s="842"/>
      <c r="T554" s="842"/>
      <c r="U554" s="842"/>
      <c r="V554" s="842"/>
      <c r="W554" s="842"/>
      <c r="X554" s="842"/>
      <c r="Y554" s="842"/>
      <c r="Z554" s="842"/>
      <c r="AA554" s="2209"/>
      <c r="AB554" s="2209"/>
      <c r="AC554" s="346"/>
    </row>
    <row r="555" spans="1:29" ht="18.75" customHeight="1" x14ac:dyDescent="0.2">
      <c r="A555" s="341"/>
      <c r="B555" s="345"/>
      <c r="C555" s="437"/>
      <c r="D555" s="842"/>
      <c r="E555" s="842"/>
      <c r="F555" s="842"/>
      <c r="G555" s="842"/>
      <c r="H555" s="842"/>
      <c r="I555" s="842"/>
      <c r="J555" s="842"/>
      <c r="K555" s="842"/>
      <c r="L555" s="842"/>
      <c r="M555" s="842"/>
      <c r="N555" s="842"/>
      <c r="O555" s="842"/>
      <c r="P555" s="842"/>
      <c r="Q555" s="842"/>
      <c r="R555" s="842"/>
      <c r="S555" s="842"/>
      <c r="T555" s="842"/>
      <c r="U555" s="842"/>
      <c r="V555" s="842"/>
      <c r="W555" s="842"/>
      <c r="X555" s="842"/>
      <c r="Y555" s="842"/>
      <c r="Z555" s="842"/>
      <c r="AA555" s="2209"/>
      <c r="AB555" s="2209"/>
      <c r="AC555" s="346"/>
    </row>
    <row r="556" spans="1:29" ht="18.75" customHeight="1" x14ac:dyDescent="0.2">
      <c r="A556" s="341"/>
      <c r="B556" s="345"/>
      <c r="C556" s="843" t="s">
        <v>286</v>
      </c>
      <c r="D556" s="843"/>
      <c r="E556" s="842"/>
      <c r="F556" s="842"/>
      <c r="G556" s="842"/>
      <c r="H556" s="842"/>
      <c r="I556" s="842"/>
      <c r="J556" s="842"/>
      <c r="K556" s="842"/>
      <c r="L556" s="842"/>
      <c r="M556" s="842"/>
      <c r="N556" s="359"/>
      <c r="O556" s="359"/>
      <c r="P556" s="359"/>
      <c r="Q556" s="359"/>
      <c r="R556" s="359"/>
      <c r="S556" s="359"/>
      <c r="T556" s="842"/>
      <c r="U556" s="842"/>
      <c r="V556" s="842"/>
      <c r="W556" s="842"/>
      <c r="X556" s="842"/>
      <c r="Y556" s="842"/>
      <c r="Z556" s="842"/>
      <c r="AA556" s="2209"/>
      <c r="AB556" s="2209"/>
      <c r="AC556" s="346"/>
    </row>
    <row r="557" spans="1:29" ht="18.75" customHeight="1" x14ac:dyDescent="0.2">
      <c r="A557" s="341"/>
      <c r="B557" s="345"/>
      <c r="C557" s="454"/>
      <c r="D557" s="372" t="s">
        <v>292</v>
      </c>
      <c r="E557" s="372" t="s">
        <v>293</v>
      </c>
      <c r="F557" s="356" t="s">
        <v>294</v>
      </c>
      <c r="G557" s="373" t="s">
        <v>663</v>
      </c>
      <c r="H557" s="356" t="s">
        <v>784</v>
      </c>
      <c r="I557" s="373" t="s">
        <v>662</v>
      </c>
      <c r="J557" s="373" t="s">
        <v>567</v>
      </c>
      <c r="K557" s="373" t="s">
        <v>806</v>
      </c>
      <c r="L557" s="373" t="s">
        <v>544</v>
      </c>
      <c r="M557" s="374"/>
      <c r="N557" s="359"/>
      <c r="O557" s="359"/>
      <c r="P557" s="359"/>
      <c r="Q557" s="359"/>
      <c r="R557" s="359"/>
      <c r="S557" s="359"/>
      <c r="T557" s="842"/>
      <c r="U557" s="842"/>
      <c r="V557" s="842"/>
      <c r="W557" s="842"/>
      <c r="X557" s="842"/>
      <c r="Y557" s="842"/>
      <c r="Z557" s="842"/>
      <c r="AA557" s="2209"/>
      <c r="AB557" s="2209"/>
      <c r="AC557" s="346"/>
    </row>
    <row r="558" spans="1:29" ht="18.75" customHeight="1" x14ac:dyDescent="0.2">
      <c r="A558" s="341"/>
      <c r="B558" s="345"/>
      <c r="C558" s="442" t="s">
        <v>409</v>
      </c>
      <c r="D558" s="932">
        <f ca="1">IF(HydroRefineryConfig=0,0.00000000000001,F551+G551+D537)</f>
        <v>1E-14</v>
      </c>
      <c r="E558" s="932">
        <f ca="1">IF(HydroRefineryConfig=0,0.00000000000001,I551+J551+E537)</f>
        <v>1E-14</v>
      </c>
      <c r="F558" s="932">
        <f ca="1">IF(HydroRefineryConfig=0,0,E558/D558/'Energy &amp; Unit Conversions'!$G$80)</f>
        <v>0</v>
      </c>
      <c r="G558" s="932">
        <f ca="1">IF(HydroRefineryConfig=0,0,(I551*G538+J551*J545+E537*G537)/E558)</f>
        <v>0</v>
      </c>
      <c r="H558" s="932">
        <f ca="1">IF(HydroRefineryConfig=0,0,(I551*H538+J551*K545+E537*H537)/E558)</f>
        <v>0</v>
      </c>
      <c r="I558" s="932">
        <f ca="1">IF(HydroRefineryConfig=0,0,(I551*I538+J551*L545+E537*I537)/E558)</f>
        <v>0</v>
      </c>
      <c r="J558" s="932">
        <f ca="1">IF(HydroRefineryConfig=0,0,141.5/(F558/1000)-131.5)</f>
        <v>0</v>
      </c>
      <c r="K558" s="932">
        <f ca="1">IF(HydroRefineryConfig=0,0,(I551*J538+J551*M545+E537*J537)/E558)</f>
        <v>0</v>
      </c>
      <c r="L558" s="932" t="s">
        <v>289</v>
      </c>
      <c r="M558" s="337"/>
      <c r="N558" s="359"/>
      <c r="O558" s="359"/>
      <c r="P558" s="359"/>
      <c r="Q558" s="359"/>
      <c r="R558" s="359"/>
      <c r="S558" s="359"/>
      <c r="T558" s="842"/>
      <c r="U558" s="842"/>
      <c r="V558" s="842"/>
      <c r="W558" s="842"/>
      <c r="X558" s="842"/>
      <c r="Y558" s="842"/>
      <c r="Z558" s="842"/>
      <c r="AA558" s="2209"/>
      <c r="AB558" s="2209"/>
      <c r="AC558" s="346"/>
    </row>
    <row r="559" spans="1:29" ht="18.75" customHeight="1" x14ac:dyDescent="0.2">
      <c r="A559" s="341"/>
      <c r="B559" s="345"/>
      <c r="C559" s="442" t="s">
        <v>468</v>
      </c>
      <c r="D559" s="932">
        <f ca="1">IF(HydroRefineryConfig=0,0.00000000000001,F552+H551+G552)</f>
        <v>1E-14</v>
      </c>
      <c r="E559" s="932">
        <f ca="1">IF(HydroRefineryConfig=0,0.00000000000001,I552+K551+J552)</f>
        <v>1E-14</v>
      </c>
      <c r="F559" s="932">
        <f ca="1">IF(HydroRefineryConfig=0,0,E559/D559/'Energy &amp; Unit Conversions'!$G$80)</f>
        <v>0</v>
      </c>
      <c r="G559" s="932">
        <f ca="1">IF(HydroRefineryConfig=0,0,(I552*G539+K551*J545+J552*J546)/E559)</f>
        <v>0</v>
      </c>
      <c r="H559" s="932">
        <f ca="1">IF(HydroRefineryConfig=0,0,(I552*H539+K551*K545+J552*K546)/E559)</f>
        <v>0</v>
      </c>
      <c r="I559" s="932">
        <f ca="1">IF(HydroRefineryConfig=0,0,(I552*I539+K551*L545+J552*L546)/E559)</f>
        <v>0</v>
      </c>
      <c r="J559" s="932">
        <f ca="1">IF(HydroRefineryConfig=0,0,141.5/(F559/1000)-131.5)</f>
        <v>0</v>
      </c>
      <c r="K559" s="932">
        <f ca="1">IF(HydroRefineryConfig=0,0,(I552*J539+K551*M545+J552*M546)/E559)</f>
        <v>0</v>
      </c>
      <c r="L559" s="932"/>
      <c r="M559" s="337"/>
      <c r="N559" s="359"/>
      <c r="O559" s="359"/>
      <c r="P559" s="359"/>
      <c r="Q559" s="359"/>
      <c r="R559" s="359"/>
      <c r="S559" s="359"/>
      <c r="T559" s="842"/>
      <c r="U559" s="842"/>
      <c r="V559" s="842"/>
      <c r="W559" s="842"/>
      <c r="X559" s="842"/>
      <c r="Y559" s="842"/>
      <c r="Z559" s="842"/>
      <c r="AA559" s="2209"/>
      <c r="AB559" s="2209"/>
      <c r="AC559" s="346"/>
    </row>
    <row r="560" spans="1:29" ht="18.75" customHeight="1" x14ac:dyDescent="0.2">
      <c r="A560" s="341"/>
      <c r="B560" s="345"/>
      <c r="C560" s="442" t="s">
        <v>1457</v>
      </c>
      <c r="D560" s="932">
        <f ca="1">IF((OR(HydroRefineryConfig=0,HydroRefineryConfig=1,HydroRefineryConfig=2,HydroRefineryConfig=3)),0.00000000000001,F553+H552-D1528)</f>
        <v>1E-14</v>
      </c>
      <c r="E560" s="932">
        <f ca="1">IF((OR(HydroRefineryConfig=0,HydroRefineryConfig=1,HydroRefineryConfig=2,HydroRefineryConfig=3)),0.00000000000001,I553+K552-D1526)</f>
        <v>1E-14</v>
      </c>
      <c r="F560" s="932">
        <f ca="1">IF((OR(HydroRefineryConfig=0,HydroRefineryConfig=1,HydroRefineryConfig=2,HydroRefineryConfig=3)),0,E560/D560/'Energy &amp; Unit Conversions'!G80)</f>
        <v>0</v>
      </c>
      <c r="G560" s="932">
        <f ca="1">IF((OR(HydroRefineryConfig=0,HydroRefineryConfig=1,HydroRefineryConfig=2,HydroRefineryConfig=3)),0,(I553*G540+K552*J546)/E560)</f>
        <v>0</v>
      </c>
      <c r="H560" s="932">
        <f ca="1">IF((OR(HydroRefineryConfig=0,HydroRefineryConfig=1,HydroRefineryConfig=2,HydroRefineryConfig=3)),0,(I553*H540+K552*K546)/E560)</f>
        <v>0</v>
      </c>
      <c r="I560" s="932">
        <f ca="1">IF((OR(HydroRefineryConfig=0,HydroRefineryConfig=1,HydroRefineryConfig=2,HydroRefineryConfig=3)),0,(I553*I540+K552*L546-D1526*H109)/E560)</f>
        <v>0</v>
      </c>
      <c r="J560" s="932">
        <f ca="1">IF((OR(HydroRefineryConfig=0,HydroRefineryConfig=1,HydroRefineryConfig=2,HydroRefineryConfig=3)),0,141.5/(F560/1000)-131.5)</f>
        <v>0</v>
      </c>
      <c r="K560" s="932">
        <f ca="1">IF((OR(HydroRefineryConfig=0,HydroRefineryConfig=1,HydroRefineryConfig=2,HydroRefineryConfig=3)),0,((I553-D1526)*J540+K552*M546)/E560)</f>
        <v>0</v>
      </c>
      <c r="L560" s="932">
        <f ca="1">IF((OR(HydroRefineryConfig=0,HydroRefineryConfig=1,HydroRefineryConfig=2,HydroRefineryConfig=3)),0,'Assay Inventory'!M20)</f>
        <v>0</v>
      </c>
      <c r="M560" s="337"/>
      <c r="N560" s="359"/>
      <c r="O560" s="359"/>
      <c r="P560" s="359"/>
      <c r="Q560" s="359"/>
      <c r="R560" s="359"/>
      <c r="S560" s="359"/>
      <c r="T560" s="842"/>
      <c r="U560" s="842"/>
      <c r="V560" s="842"/>
      <c r="W560" s="842"/>
      <c r="X560" s="842"/>
      <c r="Y560" s="842"/>
      <c r="Z560" s="842"/>
      <c r="AA560" s="2209"/>
      <c r="AB560" s="2209"/>
      <c r="AC560" s="346"/>
    </row>
    <row r="561" spans="1:29" ht="18.75" customHeight="1" x14ac:dyDescent="0.2">
      <c r="A561" s="341"/>
      <c r="B561" s="345"/>
      <c r="C561" s="443" t="s">
        <v>1458</v>
      </c>
      <c r="D561" s="334">
        <f ca="1">IF(HydroRefineryConfig=0,0.00000000000001,(F553+H552)-D560)</f>
        <v>1E-14</v>
      </c>
      <c r="E561" s="334">
        <f ca="1">IF(HydroRefineryConfig=0,0.00000000000001,(I553+K552-D1526)-E560)</f>
        <v>1E-14</v>
      </c>
      <c r="F561" s="334">
        <f ca="1">IF((OR(HydroRefineryConfig=1,HydroRefineryConfig=2,HydroRefineryConfig=3)),E561/D561/'Energy &amp; Unit Conversions'!$G$80,0)</f>
        <v>0</v>
      </c>
      <c r="G561" s="334">
        <f ca="1">IF((OR(HydroRefineryConfig=1,HydroRefineryConfig=2,HydroRefineryConfig=3)),(I553*G540+K552*J546)/E561,0)</f>
        <v>0</v>
      </c>
      <c r="H561" s="334">
        <f ca="1">IF((OR(HydroRefineryConfig=1,HydroRefineryConfig=2,HydroRefineryConfig=3)),(I553*H540+K552*K546)/E561,0)</f>
        <v>0</v>
      </c>
      <c r="I561" s="334">
        <f ca="1">IF((OR(HydroRefineryConfig=1,HydroRefineryConfig=2,HydroRefineryConfig=3)),(I553*I540+K552*L546)/E561,0)</f>
        <v>0</v>
      </c>
      <c r="J561" s="334">
        <f ca="1">IF((OR(HydroRefineryConfig=1,HydroRefineryConfig=2,HydroRefineryConfig=3)),141.5/(F561/1000)-131.5,0)</f>
        <v>0</v>
      </c>
      <c r="K561" s="334">
        <f ca="1">IF((OR(HydroRefineryConfig=1,HydroRefineryConfig=2,HydroRefineryConfig=3)),(I553*J540+K552*M546)/E561,0)</f>
        <v>0</v>
      </c>
      <c r="L561" s="334"/>
      <c r="M561" s="338"/>
      <c r="N561" s="359"/>
      <c r="O561" s="359"/>
      <c r="P561" s="359"/>
      <c r="Q561" s="359"/>
      <c r="R561" s="359"/>
      <c r="S561" s="359"/>
      <c r="T561" s="842"/>
      <c r="U561" s="842"/>
      <c r="V561" s="842"/>
      <c r="W561" s="842"/>
      <c r="X561" s="842"/>
      <c r="Y561" s="842"/>
      <c r="Z561" s="842"/>
      <c r="AA561" s="2209"/>
      <c r="AB561" s="2209"/>
      <c r="AC561" s="346"/>
    </row>
    <row r="562" spans="1:29" ht="18.75" customHeight="1" x14ac:dyDescent="0.2">
      <c r="A562" s="341"/>
      <c r="B562" s="345"/>
      <c r="C562" s="437"/>
      <c r="D562" s="842"/>
      <c r="E562" s="842"/>
      <c r="F562" s="842"/>
      <c r="G562" s="842"/>
      <c r="H562" s="842"/>
      <c r="I562" s="842"/>
      <c r="J562" s="842"/>
      <c r="K562" s="842"/>
      <c r="L562" s="842"/>
      <c r="M562" s="842"/>
      <c r="N562" s="359"/>
      <c r="O562" s="359"/>
      <c r="P562" s="359"/>
      <c r="Q562" s="359"/>
      <c r="R562" s="359"/>
      <c r="S562" s="359"/>
      <c r="T562" s="842"/>
      <c r="U562" s="842"/>
      <c r="V562" s="842"/>
      <c r="W562" s="842"/>
      <c r="X562" s="842"/>
      <c r="Y562" s="842"/>
      <c r="Z562" s="842"/>
      <c r="AA562" s="2209"/>
      <c r="AB562" s="2209"/>
      <c r="AC562" s="346"/>
    </row>
    <row r="563" spans="1:29" ht="18.75" customHeight="1" x14ac:dyDescent="0.2">
      <c r="A563" s="341"/>
      <c r="B563" s="345"/>
      <c r="C563" s="444" t="s">
        <v>1459</v>
      </c>
      <c r="D563" s="842"/>
      <c r="E563" s="842"/>
      <c r="F563" s="842"/>
      <c r="G563" s="842"/>
      <c r="H563" s="842"/>
      <c r="I563" s="842"/>
      <c r="J563" s="842"/>
      <c r="K563" s="842"/>
      <c r="L563" s="842"/>
      <c r="M563" s="842"/>
      <c r="N563" s="842"/>
      <c r="O563" s="842"/>
      <c r="P563" s="842"/>
      <c r="Q563" s="842"/>
      <c r="R563" s="842"/>
      <c r="S563" s="842"/>
      <c r="T563" s="842"/>
      <c r="U563" s="842"/>
      <c r="V563" s="842"/>
      <c r="W563" s="842"/>
      <c r="X563" s="842"/>
      <c r="Y563" s="842"/>
      <c r="Z563" s="842"/>
      <c r="AA563" s="2209"/>
      <c r="AB563" s="2209"/>
      <c r="AC563" s="346"/>
    </row>
    <row r="564" spans="1:29" ht="18.75" customHeight="1" x14ac:dyDescent="0.2">
      <c r="A564" s="341"/>
      <c r="B564" s="345"/>
      <c r="C564" s="444"/>
      <c r="D564" s="842"/>
      <c r="E564" s="842"/>
      <c r="F564" s="842"/>
      <c r="G564" s="842"/>
      <c r="H564" s="842"/>
      <c r="I564" s="842"/>
      <c r="J564" s="842"/>
      <c r="K564" s="842"/>
      <c r="L564" s="842"/>
      <c r="M564" s="842"/>
      <c r="N564" s="842"/>
      <c r="O564" s="842"/>
      <c r="P564" s="842"/>
      <c r="Q564" s="842"/>
      <c r="R564" s="842"/>
      <c r="S564" s="842"/>
      <c r="T564" s="842"/>
      <c r="U564" s="842"/>
      <c r="V564" s="842"/>
      <c r="W564" s="842"/>
      <c r="X564" s="842"/>
      <c r="Y564" s="842"/>
      <c r="Z564" s="842"/>
      <c r="AA564" s="2209"/>
      <c r="AB564" s="2209"/>
      <c r="AC564" s="346"/>
    </row>
    <row r="565" spans="1:29" ht="18.75" customHeight="1" x14ac:dyDescent="0.2">
      <c r="A565" s="341"/>
      <c r="B565" s="345"/>
      <c r="C565" s="843" t="s">
        <v>469</v>
      </c>
      <c r="D565" s="842"/>
      <c r="E565" s="842"/>
      <c r="F565" s="842"/>
      <c r="G565" s="842"/>
      <c r="H565" s="842"/>
      <c r="I565" s="842"/>
      <c r="J565" s="842"/>
      <c r="K565" s="842"/>
      <c r="L565" s="842"/>
      <c r="M565" s="842"/>
      <c r="N565" s="842"/>
      <c r="O565" s="842"/>
      <c r="P565" s="842"/>
      <c r="Q565" s="842"/>
      <c r="R565" s="842"/>
      <c r="S565" s="842"/>
      <c r="T565" s="842"/>
      <c r="U565" s="842"/>
      <c r="V565" s="842"/>
      <c r="W565" s="842"/>
      <c r="X565" s="842"/>
      <c r="Y565" s="842"/>
      <c r="Z565" s="842"/>
      <c r="AA565" s="2209"/>
      <c r="AB565" s="2209"/>
      <c r="AC565" s="346"/>
    </row>
    <row r="566" spans="1:29" ht="18.75" customHeight="1" x14ac:dyDescent="0.2">
      <c r="A566" s="341"/>
      <c r="B566" s="345"/>
      <c r="C566" s="441" t="s">
        <v>624</v>
      </c>
      <c r="D566" s="368"/>
      <c r="E566" s="368"/>
      <c r="F566" s="368"/>
      <c r="G566" s="368"/>
      <c r="H566" s="368"/>
      <c r="I566" s="369"/>
      <c r="J566" s="842"/>
      <c r="K566" s="842"/>
      <c r="L566" s="842"/>
      <c r="M566" s="842"/>
      <c r="N566" s="842"/>
      <c r="O566" s="842"/>
      <c r="P566" s="842"/>
      <c r="Q566" s="842"/>
      <c r="R566" s="842"/>
      <c r="S566" s="842"/>
      <c r="T566" s="842"/>
      <c r="U566" s="842"/>
      <c r="V566" s="842"/>
      <c r="W566" s="842"/>
      <c r="X566" s="842"/>
      <c r="Y566" s="842"/>
      <c r="Z566" s="842"/>
      <c r="AA566" s="2209"/>
      <c r="AB566" s="2209"/>
      <c r="AC566" s="346"/>
    </row>
    <row r="567" spans="1:29" ht="18.75" customHeight="1" x14ac:dyDescent="0.2">
      <c r="A567" s="341"/>
      <c r="B567" s="345"/>
      <c r="C567" s="453" t="s">
        <v>395</v>
      </c>
      <c r="D567" s="842">
        <f ca="1">IF(OR(HydroRefineryConfig=9,HydroRefineryConfig=3),HydroRefineryControls!C32,HydroRefineryControls!C39)</f>
        <v>1E-10</v>
      </c>
      <c r="E567" s="842" t="s">
        <v>633</v>
      </c>
      <c r="F567" s="842"/>
      <c r="G567" s="842"/>
      <c r="H567" s="842"/>
      <c r="I567" s="337"/>
      <c r="J567" s="842"/>
      <c r="K567" s="842"/>
      <c r="L567" s="842"/>
      <c r="M567" s="842"/>
      <c r="N567" s="842"/>
      <c r="O567" s="842"/>
      <c r="P567" s="842"/>
      <c r="Q567" s="842"/>
      <c r="R567" s="842"/>
      <c r="S567" s="842"/>
      <c r="T567" s="842"/>
      <c r="U567" s="842"/>
      <c r="V567" s="842"/>
      <c r="W567" s="842"/>
      <c r="X567" s="842"/>
      <c r="Y567" s="842"/>
      <c r="Z567" s="842"/>
      <c r="AA567" s="2209"/>
      <c r="AB567" s="2209"/>
      <c r="AC567" s="346"/>
    </row>
    <row r="568" spans="1:29" ht="18.75" customHeight="1" x14ac:dyDescent="0.2">
      <c r="A568" s="341"/>
      <c r="B568" s="345"/>
      <c r="C568" s="453" t="s">
        <v>396</v>
      </c>
      <c r="D568" s="842">
        <f ca="1">100-D567</f>
        <v>99.999999999899998</v>
      </c>
      <c r="E568" s="842" t="s">
        <v>633</v>
      </c>
      <c r="F568" s="842"/>
      <c r="G568" s="842"/>
      <c r="H568" s="842"/>
      <c r="I568" s="337"/>
      <c r="J568" s="842"/>
      <c r="K568" s="842"/>
      <c r="L568" s="842"/>
      <c r="M568" s="842"/>
      <c r="N568" s="842"/>
      <c r="O568" s="842"/>
      <c r="P568" s="842"/>
      <c r="Q568" s="842"/>
      <c r="R568" s="842"/>
      <c r="S568" s="842"/>
      <c r="T568" s="842"/>
      <c r="U568" s="842"/>
      <c r="V568" s="842"/>
      <c r="W568" s="842"/>
      <c r="X568" s="842"/>
      <c r="Y568" s="842"/>
      <c r="Z568" s="842"/>
      <c r="AA568" s="2209"/>
      <c r="AB568" s="2209"/>
      <c r="AC568" s="346"/>
    </row>
    <row r="569" spans="1:29" ht="18.75" customHeight="1" x14ac:dyDescent="0.2">
      <c r="A569" s="341"/>
      <c r="B569" s="345"/>
      <c r="C569" s="453"/>
      <c r="D569" s="842"/>
      <c r="E569" s="842"/>
      <c r="F569" s="842"/>
      <c r="G569" s="842"/>
      <c r="H569" s="842"/>
      <c r="I569" s="337"/>
      <c r="J569" s="842"/>
      <c r="K569" s="842"/>
      <c r="L569" s="842"/>
      <c r="M569" s="842"/>
      <c r="N569" s="842"/>
      <c r="O569" s="842"/>
      <c r="P569" s="842"/>
      <c r="Q569" s="842"/>
      <c r="R569" s="842"/>
      <c r="S569" s="842"/>
      <c r="T569" s="842"/>
      <c r="U569" s="842"/>
      <c r="V569" s="842"/>
      <c r="W569" s="842"/>
      <c r="X569" s="842"/>
      <c r="Y569" s="842"/>
      <c r="Z569" s="842"/>
      <c r="AA569" s="2209"/>
      <c r="AB569" s="2209"/>
      <c r="AC569" s="346"/>
    </row>
    <row r="570" spans="1:29" ht="18.75" customHeight="1" x14ac:dyDescent="0.2">
      <c r="A570" s="341"/>
      <c r="B570" s="345"/>
      <c r="C570" s="442" t="s">
        <v>568</v>
      </c>
      <c r="D570" s="839" t="s">
        <v>623</v>
      </c>
      <c r="E570" s="839" t="s">
        <v>563</v>
      </c>
      <c r="F570" s="839" t="s">
        <v>470</v>
      </c>
      <c r="G570" s="839" t="s">
        <v>471</v>
      </c>
      <c r="H570" s="842"/>
      <c r="I570" s="337"/>
      <c r="J570" s="842"/>
      <c r="K570" s="842"/>
      <c r="L570" s="842"/>
      <c r="M570" s="842"/>
      <c r="N570" s="842"/>
      <c r="O570" s="842"/>
      <c r="P570" s="842"/>
      <c r="Q570" s="842"/>
      <c r="R570" s="842"/>
      <c r="S570" s="842"/>
      <c r="T570" s="842"/>
      <c r="U570" s="842"/>
      <c r="V570" s="842"/>
      <c r="W570" s="842"/>
      <c r="X570" s="842"/>
      <c r="Y570" s="842"/>
      <c r="Z570" s="842"/>
      <c r="AA570" s="2209"/>
      <c r="AB570" s="2209"/>
      <c r="AC570" s="346"/>
    </row>
    <row r="571" spans="1:29" ht="18.75" customHeight="1" x14ac:dyDescent="0.2">
      <c r="A571" s="341"/>
      <c r="B571" s="345"/>
      <c r="C571" s="442" t="str">
        <f t="shared" ref="C571:D580" si="49">C515</f>
        <v>Vol Flow</v>
      </c>
      <c r="D571" s="842" t="str">
        <f ca="1">D515</f>
        <v>bpd</v>
      </c>
      <c r="E571" s="842">
        <f t="shared" ref="E571:E578" ca="1" si="50">J47</f>
        <v>11182.517606218385</v>
      </c>
      <c r="F571" s="842">
        <f ca="1">D567/100*E571</f>
        <v>1.1182517606218385E-8</v>
      </c>
      <c r="G571" s="842">
        <f ca="1">IF(HydroRefineryConfig=0,0,D568/100*E571)</f>
        <v>0</v>
      </c>
      <c r="H571" s="842"/>
      <c r="I571" s="337"/>
      <c r="J571" s="842"/>
      <c r="K571" s="842"/>
      <c r="L571" s="842"/>
      <c r="M571" s="842"/>
      <c r="N571" s="842"/>
      <c r="O571" s="842"/>
      <c r="P571" s="842"/>
      <c r="Q571" s="842"/>
      <c r="R571" s="842"/>
      <c r="S571" s="842"/>
      <c r="T571" s="842"/>
      <c r="U571" s="842"/>
      <c r="V571" s="842"/>
      <c r="W571" s="842"/>
      <c r="X571" s="842"/>
      <c r="Y571" s="842"/>
      <c r="Z571" s="842"/>
      <c r="AA571" s="2209"/>
      <c r="AB571" s="2209"/>
      <c r="AC571" s="346"/>
    </row>
    <row r="572" spans="1:29" ht="18.75" customHeight="1" x14ac:dyDescent="0.2">
      <c r="A572" s="341"/>
      <c r="B572" s="345"/>
      <c r="C572" s="442" t="str">
        <f t="shared" si="49"/>
        <v>Vol Flow</v>
      </c>
      <c r="D572" s="842" t="str">
        <f ca="1">D516</f>
        <v>m^3/d</v>
      </c>
      <c r="E572" s="842">
        <f t="shared" ca="1" si="50"/>
        <v>1777.8782814151243</v>
      </c>
      <c r="F572" s="842">
        <f ca="1">F571*'Energy &amp; Unit Conversions'!G80</f>
        <v>1.7778782814151241E-9</v>
      </c>
      <c r="G572" s="842">
        <f ca="1">IF(HydroRefineryConfig=0,0,G571*'Energy &amp; Unit Conversions'!G80)</f>
        <v>0</v>
      </c>
      <c r="H572" s="842"/>
      <c r="I572" s="337"/>
      <c r="J572" s="842"/>
      <c r="K572" s="842"/>
      <c r="L572" s="842"/>
      <c r="M572" s="842"/>
      <c r="N572" s="842"/>
      <c r="O572" s="842"/>
      <c r="P572" s="842"/>
      <c r="Q572" s="842"/>
      <c r="R572" s="842"/>
      <c r="S572" s="842"/>
      <c r="T572" s="842"/>
      <c r="U572" s="842"/>
      <c r="V572" s="842"/>
      <c r="W572" s="842"/>
      <c r="X572" s="842"/>
      <c r="Y572" s="842"/>
      <c r="Z572" s="842"/>
      <c r="AA572" s="2209"/>
      <c r="AB572" s="2209"/>
      <c r="AC572" s="346"/>
    </row>
    <row r="573" spans="1:29" ht="18.75" customHeight="1" x14ac:dyDescent="0.2">
      <c r="A573" s="341"/>
      <c r="B573" s="345"/>
      <c r="C573" s="442" t="str">
        <f t="shared" si="49"/>
        <v>Mass Flow</v>
      </c>
      <c r="D573" s="842" t="str">
        <f t="shared" si="49"/>
        <v>kg/d</v>
      </c>
      <c r="E573" s="842">
        <f t="shared" ca="1" si="50"/>
        <v>1609417.4951277762</v>
      </c>
      <c r="F573" s="842">
        <f ca="1">D567/100*E573</f>
        <v>1.6094174951277762E-6</v>
      </c>
      <c r="G573" s="842">
        <f ca="1">IF(HydroRefineryConfig=0,0,D568/100*E573)</f>
        <v>0</v>
      </c>
      <c r="H573" s="842"/>
      <c r="I573" s="337"/>
      <c r="J573" s="842"/>
      <c r="K573" s="842"/>
      <c r="L573" s="842"/>
      <c r="M573" s="842"/>
      <c r="N573" s="842"/>
      <c r="O573" s="842"/>
      <c r="P573" s="842"/>
      <c r="Q573" s="842"/>
      <c r="R573" s="842"/>
      <c r="S573" s="842"/>
      <c r="T573" s="842"/>
      <c r="U573" s="842"/>
      <c r="V573" s="842"/>
      <c r="W573" s="842"/>
      <c r="X573" s="842"/>
      <c r="Y573" s="842"/>
      <c r="Z573" s="842"/>
      <c r="AA573" s="2209"/>
      <c r="AB573" s="2209"/>
      <c r="AC573" s="346"/>
    </row>
    <row r="574" spans="1:29" ht="18.75" customHeight="1" x14ac:dyDescent="0.2">
      <c r="A574" s="341"/>
      <c r="B574" s="345"/>
      <c r="C574" s="442" t="str">
        <f t="shared" si="49"/>
        <v xml:space="preserve">Sulphur </v>
      </c>
      <c r="D574" s="842" t="str">
        <f t="shared" ref="D574:D580" ca="1" si="51">D518</f>
        <v>wt%</v>
      </c>
      <c r="E574" s="842">
        <f t="shared" ca="1" si="50"/>
        <v>0.21055860465847406</v>
      </c>
      <c r="F574" s="842">
        <f ca="1">E574</f>
        <v>0.21055860465847406</v>
      </c>
      <c r="G574" s="842">
        <f t="shared" ref="G574:G580" ca="1" si="52">IF(HydroRefineryConfig=0,0,E574)</f>
        <v>0</v>
      </c>
      <c r="H574" s="842"/>
      <c r="I574" s="337"/>
      <c r="J574" s="842"/>
      <c r="K574" s="842"/>
      <c r="L574" s="842"/>
      <c r="M574" s="842"/>
      <c r="N574" s="842"/>
      <c r="O574" s="842"/>
      <c r="P574" s="842"/>
      <c r="Q574" s="842"/>
      <c r="R574" s="842"/>
      <c r="S574" s="842"/>
      <c r="T574" s="842"/>
      <c r="U574" s="842"/>
      <c r="V574" s="842"/>
      <c r="W574" s="842"/>
      <c r="X574" s="842"/>
      <c r="Y574" s="842"/>
      <c r="Z574" s="842"/>
      <c r="AA574" s="2209"/>
      <c r="AB574" s="2209"/>
      <c r="AC574" s="346"/>
    </row>
    <row r="575" spans="1:29" ht="18.75" customHeight="1" x14ac:dyDescent="0.2">
      <c r="A575" s="341"/>
      <c r="B575" s="345"/>
      <c r="C575" s="442" t="str">
        <f t="shared" si="49"/>
        <v xml:space="preserve">Nitrogen </v>
      </c>
      <c r="D575" s="842" t="str">
        <f t="shared" ca="1" si="51"/>
        <v>mass ppm</v>
      </c>
      <c r="E575" s="842">
        <f t="shared" ca="1" si="50"/>
        <v>573.33295706140962</v>
      </c>
      <c r="F575" s="842">
        <f ca="1">E575</f>
        <v>573.33295706140962</v>
      </c>
      <c r="G575" s="842">
        <f t="shared" ca="1" si="52"/>
        <v>0</v>
      </c>
      <c r="H575" s="842"/>
      <c r="I575" s="337"/>
      <c r="J575" s="842"/>
      <c r="K575" s="842"/>
      <c r="L575" s="842"/>
      <c r="M575" s="842"/>
      <c r="N575" s="842"/>
      <c r="O575" s="842"/>
      <c r="P575" s="842"/>
      <c r="Q575" s="842"/>
      <c r="R575" s="842"/>
      <c r="S575" s="842"/>
      <c r="T575" s="842"/>
      <c r="U575" s="842"/>
      <c r="V575" s="842"/>
      <c r="W575" s="842"/>
      <c r="X575" s="842"/>
      <c r="Y575" s="842"/>
      <c r="Z575" s="842"/>
      <c r="AA575" s="2209"/>
      <c r="AB575" s="2209"/>
      <c r="AC575" s="346"/>
    </row>
    <row r="576" spans="1:29" ht="18.75" customHeight="1" x14ac:dyDescent="0.2">
      <c r="A576" s="341"/>
      <c r="B576" s="345"/>
      <c r="C576" s="442" t="str">
        <f t="shared" si="49"/>
        <v xml:space="preserve">API gravity </v>
      </c>
      <c r="D576" s="842" t="str">
        <f t="shared" ca="1" si="51"/>
        <v>oAPI</v>
      </c>
      <c r="E576" s="842">
        <f t="shared" ca="1" si="50"/>
        <v>24.811073777824959</v>
      </c>
      <c r="F576" s="842">
        <f ca="1">E576</f>
        <v>24.811073777824959</v>
      </c>
      <c r="G576" s="842">
        <f t="shared" ca="1" si="52"/>
        <v>0</v>
      </c>
      <c r="H576" s="842"/>
      <c r="I576" s="337"/>
      <c r="J576" s="842"/>
      <c r="K576" s="842"/>
      <c r="L576" s="842"/>
      <c r="M576" s="842"/>
      <c r="N576" s="842"/>
      <c r="O576" s="842"/>
      <c r="P576" s="842"/>
      <c r="Q576" s="842"/>
      <c r="R576" s="842"/>
      <c r="S576" s="842"/>
      <c r="T576" s="842"/>
      <c r="U576" s="842"/>
      <c r="V576" s="842"/>
      <c r="W576" s="842"/>
      <c r="X576" s="842"/>
      <c r="Y576" s="842"/>
      <c r="Z576" s="842"/>
      <c r="AA576" s="2209"/>
      <c r="AB576" s="2209"/>
      <c r="AC576" s="346"/>
    </row>
    <row r="577" spans="1:29" ht="18.75" customHeight="1" x14ac:dyDescent="0.2">
      <c r="A577" s="341"/>
      <c r="B577" s="345"/>
      <c r="C577" s="442" t="str">
        <f t="shared" si="49"/>
        <v>Density</v>
      </c>
      <c r="D577" s="842" t="str">
        <f t="shared" ca="1" si="51"/>
        <v>kg/m^3</v>
      </c>
      <c r="E577" s="842">
        <f t="shared" ca="1" si="50"/>
        <v>905.24616445999914</v>
      </c>
      <c r="F577" s="842">
        <f ca="1">E577</f>
        <v>905.24616445999914</v>
      </c>
      <c r="G577" s="842">
        <f t="shared" ca="1" si="52"/>
        <v>0</v>
      </c>
      <c r="H577" s="842"/>
      <c r="I577" s="337"/>
      <c r="J577" s="842"/>
      <c r="K577" s="842"/>
      <c r="L577" s="842"/>
      <c r="M577" s="842"/>
      <c r="N577" s="842"/>
      <c r="O577" s="842"/>
      <c r="P577" s="842"/>
      <c r="Q577" s="842"/>
      <c r="R577" s="842"/>
      <c r="S577" s="842"/>
      <c r="T577" s="842"/>
      <c r="U577" s="842"/>
      <c r="V577" s="842"/>
      <c r="W577" s="842"/>
      <c r="X577" s="842"/>
      <c r="Y577" s="842"/>
      <c r="Z577" s="842"/>
      <c r="AA577" s="2209"/>
      <c r="AB577" s="2209"/>
      <c r="AC577" s="346"/>
    </row>
    <row r="578" spans="1:29" ht="18.75" customHeight="1" x14ac:dyDescent="0.2">
      <c r="A578" s="341"/>
      <c r="B578" s="345"/>
      <c r="C578" s="442" t="str">
        <f t="shared" si="49"/>
        <v>Hydrogen</v>
      </c>
      <c r="D578" s="842" t="str">
        <f t="shared" ca="1" si="51"/>
        <v>wt%</v>
      </c>
      <c r="E578" s="842">
        <f t="shared" ca="1" si="50"/>
        <v>12.331915988948833</v>
      </c>
      <c r="F578" s="842">
        <f ca="1">E578</f>
        <v>12.331915988948833</v>
      </c>
      <c r="G578" s="842">
        <f t="shared" ca="1" si="52"/>
        <v>0</v>
      </c>
      <c r="H578" s="842"/>
      <c r="I578" s="337"/>
      <c r="J578" s="842"/>
      <c r="K578" s="842"/>
      <c r="L578" s="842"/>
      <c r="M578" s="842"/>
      <c r="N578" s="842"/>
      <c r="O578" s="842"/>
      <c r="P578" s="842"/>
      <c r="Q578" s="842"/>
      <c r="R578" s="842"/>
      <c r="S578" s="842"/>
      <c r="T578" s="842"/>
      <c r="U578" s="842"/>
      <c r="V578" s="842"/>
      <c r="W578" s="842"/>
      <c r="X578" s="842"/>
      <c r="Y578" s="842"/>
      <c r="Z578" s="842"/>
      <c r="AA578" s="2209"/>
      <c r="AB578" s="2209"/>
      <c r="AC578" s="346"/>
    </row>
    <row r="579" spans="1:29" ht="18.75" customHeight="1" x14ac:dyDescent="0.2">
      <c r="A579" s="341"/>
      <c r="B579" s="345"/>
      <c r="C579" s="442" t="str">
        <f t="shared" si="49"/>
        <v>MCR</v>
      </c>
      <c r="D579" s="842" t="str">
        <f t="shared" ca="1" si="51"/>
        <v>wt%</v>
      </c>
      <c r="E579" s="842">
        <f t="shared" ref="E579" si="53">J55</f>
        <v>0</v>
      </c>
      <c r="F579" s="842">
        <f t="shared" ref="F579" si="54">E579</f>
        <v>0</v>
      </c>
      <c r="G579" s="842">
        <f t="shared" ca="1" si="52"/>
        <v>0</v>
      </c>
      <c r="H579" s="842"/>
      <c r="I579" s="337"/>
      <c r="J579" s="842"/>
      <c r="K579" s="842"/>
      <c r="L579" s="842"/>
      <c r="M579" s="842"/>
      <c r="N579" s="842"/>
      <c r="O579" s="842"/>
      <c r="P579" s="842"/>
      <c r="Q579" s="842"/>
      <c r="R579" s="842"/>
      <c r="S579" s="842"/>
      <c r="T579" s="842"/>
      <c r="U579" s="842"/>
      <c r="V579" s="842"/>
      <c r="W579" s="842"/>
      <c r="X579" s="842"/>
      <c r="Y579" s="842"/>
      <c r="Z579" s="842"/>
      <c r="AA579" s="2209"/>
      <c r="AB579" s="2209"/>
      <c r="AC579" s="346"/>
    </row>
    <row r="580" spans="1:29" ht="18.75" customHeight="1" x14ac:dyDescent="0.2">
      <c r="A580" s="341"/>
      <c r="B580" s="345"/>
      <c r="C580" s="443" t="str">
        <f t="shared" si="49"/>
        <v>Characterization Factor</v>
      </c>
      <c r="D580" s="334" t="str">
        <f t="shared" ca="1" si="51"/>
        <v xml:space="preserve">Kw (Approximate) </v>
      </c>
      <c r="E580" s="334">
        <f ca="1">J56</f>
        <v>11.585905176337844</v>
      </c>
      <c r="F580" s="334">
        <f ca="1">E580</f>
        <v>11.585905176337844</v>
      </c>
      <c r="G580" s="334">
        <f t="shared" ca="1" si="52"/>
        <v>0</v>
      </c>
      <c r="H580" s="334"/>
      <c r="I580" s="338"/>
      <c r="J580" s="842"/>
      <c r="K580" s="842"/>
      <c r="L580" s="842"/>
      <c r="M580" s="842"/>
      <c r="N580" s="842"/>
      <c r="O580" s="842"/>
      <c r="P580" s="842"/>
      <c r="Q580" s="842"/>
      <c r="R580" s="842"/>
      <c r="S580" s="842"/>
      <c r="T580" s="842"/>
      <c r="U580" s="842"/>
      <c r="V580" s="842"/>
      <c r="W580" s="842"/>
      <c r="X580" s="842"/>
      <c r="Y580" s="842"/>
      <c r="Z580" s="842"/>
      <c r="AA580" s="2209"/>
      <c r="AB580" s="2209"/>
      <c r="AC580" s="346"/>
    </row>
    <row r="581" spans="1:29" ht="18.75" customHeight="1" x14ac:dyDescent="0.2">
      <c r="A581" s="341"/>
      <c r="B581" s="345"/>
      <c r="C581" s="444"/>
      <c r="D581" s="842"/>
      <c r="E581" s="842"/>
      <c r="F581" s="842"/>
      <c r="G581" s="842"/>
      <c r="H581" s="842"/>
      <c r="I581" s="842"/>
      <c r="J581" s="842"/>
      <c r="K581" s="842"/>
      <c r="L581" s="842"/>
      <c r="M581" s="842"/>
      <c r="N581" s="842"/>
      <c r="O581" s="842"/>
      <c r="P581" s="842"/>
      <c r="Q581" s="842"/>
      <c r="R581" s="842"/>
      <c r="S581" s="842"/>
      <c r="T581" s="842"/>
      <c r="U581" s="842"/>
      <c r="V581" s="842"/>
      <c r="W581" s="842"/>
      <c r="X581" s="842"/>
      <c r="Y581" s="842"/>
      <c r="Z581" s="842"/>
      <c r="AA581" s="2209"/>
      <c r="AB581" s="2209"/>
      <c r="AC581" s="346"/>
    </row>
    <row r="582" spans="1:29" ht="18.75" customHeight="1" x14ac:dyDescent="0.2">
      <c r="A582" s="341"/>
      <c r="B582" s="345"/>
      <c r="C582" s="843" t="s">
        <v>397</v>
      </c>
      <c r="D582" s="842"/>
      <c r="E582" s="842"/>
      <c r="F582" s="842"/>
      <c r="G582" s="842"/>
      <c r="H582" s="842"/>
      <c r="I582" s="842"/>
      <c r="J582" s="842"/>
      <c r="K582" s="842"/>
      <c r="L582" s="842"/>
      <c r="M582" s="842"/>
      <c r="N582" s="842"/>
      <c r="O582" s="842"/>
      <c r="P582" s="842"/>
      <c r="Q582" s="842"/>
      <c r="R582" s="842"/>
      <c r="S582" s="842"/>
      <c r="T582" s="842"/>
      <c r="U582" s="842"/>
      <c r="V582" s="842"/>
      <c r="W582" s="842"/>
      <c r="X582" s="842"/>
      <c r="Y582" s="842"/>
      <c r="Z582" s="842"/>
      <c r="AA582" s="2209"/>
      <c r="AB582" s="2209"/>
      <c r="AC582" s="346"/>
    </row>
    <row r="583" spans="1:29" ht="18.75" customHeight="1" x14ac:dyDescent="0.2">
      <c r="A583" s="341"/>
      <c r="B583" s="345"/>
      <c r="C583" s="441" t="s">
        <v>624</v>
      </c>
      <c r="D583" s="368"/>
      <c r="E583" s="368"/>
      <c r="F583" s="368"/>
      <c r="G583" s="368"/>
      <c r="H583" s="368"/>
      <c r="I583" s="369"/>
      <c r="J583" s="842"/>
      <c r="K583" s="842"/>
      <c r="L583" s="842"/>
      <c r="M583" s="842"/>
      <c r="N583" s="842"/>
      <c r="O583" s="842"/>
      <c r="P583" s="842"/>
      <c r="Q583" s="842"/>
      <c r="R583" s="842"/>
      <c r="S583" s="842"/>
      <c r="T583" s="842"/>
      <c r="U583" s="842"/>
      <c r="V583" s="842"/>
      <c r="W583" s="842"/>
      <c r="X583" s="842"/>
      <c r="Y583" s="842"/>
      <c r="Z583" s="842"/>
      <c r="AA583" s="2209"/>
      <c r="AB583" s="2209"/>
      <c r="AC583" s="346"/>
    </row>
    <row r="584" spans="1:29" ht="18.75" customHeight="1" x14ac:dyDescent="0.2">
      <c r="A584" s="341"/>
      <c r="B584" s="345"/>
      <c r="C584" s="453" t="s">
        <v>410</v>
      </c>
      <c r="D584" s="842">
        <f ca="1">IF(OR(HydroRefineryConfig=9,HydroRefineryConfig=3),HydroRefineryControls!C33,HydroRefineryControls!C40)</f>
        <v>1E-10</v>
      </c>
      <c r="E584" s="842" t="s">
        <v>633</v>
      </c>
      <c r="F584" s="842"/>
      <c r="G584" s="842"/>
      <c r="H584" s="842"/>
      <c r="I584" s="337"/>
      <c r="J584" s="842"/>
      <c r="K584" s="842"/>
      <c r="L584" s="842"/>
      <c r="M584" s="842"/>
      <c r="N584" s="842"/>
      <c r="O584" s="842"/>
      <c r="P584" s="842"/>
      <c r="Q584" s="842"/>
      <c r="R584" s="842"/>
      <c r="S584" s="842"/>
      <c r="T584" s="842"/>
      <c r="U584" s="842"/>
      <c r="V584" s="842"/>
      <c r="W584" s="842"/>
      <c r="X584" s="842"/>
      <c r="Y584" s="842"/>
      <c r="Z584" s="842"/>
      <c r="AA584" s="2209"/>
      <c r="AB584" s="2209"/>
      <c r="AC584" s="346"/>
    </row>
    <row r="585" spans="1:29" ht="18.75" customHeight="1" x14ac:dyDescent="0.2">
      <c r="A585" s="341"/>
      <c r="B585" s="345"/>
      <c r="C585" s="453" t="s">
        <v>411</v>
      </c>
      <c r="D585" s="842">
        <f ca="1">100-D584</f>
        <v>99.999999999899998</v>
      </c>
      <c r="E585" s="842" t="s">
        <v>633</v>
      </c>
      <c r="F585" s="842"/>
      <c r="G585" s="842"/>
      <c r="H585" s="842"/>
      <c r="I585" s="337"/>
      <c r="J585" s="842"/>
      <c r="K585" s="842"/>
      <c r="L585" s="842"/>
      <c r="M585" s="842"/>
      <c r="N585" s="842"/>
      <c r="O585" s="842"/>
      <c r="P585" s="842"/>
      <c r="Q585" s="842"/>
      <c r="R585" s="842"/>
      <c r="S585" s="842"/>
      <c r="T585" s="842"/>
      <c r="U585" s="842"/>
      <c r="V585" s="842"/>
      <c r="W585" s="842"/>
      <c r="X585" s="842"/>
      <c r="Y585" s="842"/>
      <c r="Z585" s="842"/>
      <c r="AA585" s="2209"/>
      <c r="AB585" s="2209"/>
      <c r="AC585" s="346"/>
    </row>
    <row r="586" spans="1:29" ht="18.75" customHeight="1" x14ac:dyDescent="0.2">
      <c r="A586" s="341"/>
      <c r="B586" s="345"/>
      <c r="C586" s="453"/>
      <c r="D586" s="842"/>
      <c r="E586" s="842"/>
      <c r="F586" s="842"/>
      <c r="G586" s="842"/>
      <c r="H586" s="842"/>
      <c r="I586" s="337"/>
      <c r="J586" s="842"/>
      <c r="K586" s="842"/>
      <c r="L586" s="842"/>
      <c r="M586" s="842"/>
      <c r="N586" s="842"/>
      <c r="O586" s="842"/>
      <c r="P586" s="842"/>
      <c r="Q586" s="842"/>
      <c r="R586" s="842"/>
      <c r="S586" s="842"/>
      <c r="T586" s="842"/>
      <c r="U586" s="842"/>
      <c r="V586" s="842"/>
      <c r="W586" s="842"/>
      <c r="X586" s="842"/>
      <c r="Y586" s="842"/>
      <c r="Z586" s="842"/>
      <c r="AA586" s="2209"/>
      <c r="AB586" s="2209"/>
      <c r="AC586" s="346"/>
    </row>
    <row r="587" spans="1:29" ht="18.75" customHeight="1" x14ac:dyDescent="0.2">
      <c r="A587" s="341"/>
      <c r="B587" s="345"/>
      <c r="C587" s="442" t="s">
        <v>568</v>
      </c>
      <c r="D587" s="839" t="s">
        <v>623</v>
      </c>
      <c r="E587" s="839" t="s">
        <v>564</v>
      </c>
      <c r="F587" s="839" t="s">
        <v>398</v>
      </c>
      <c r="G587" s="839" t="s">
        <v>399</v>
      </c>
      <c r="H587" s="842"/>
      <c r="I587" s="337"/>
      <c r="J587" s="842"/>
      <c r="K587" s="842"/>
      <c r="L587" s="842"/>
      <c r="M587" s="842"/>
      <c r="N587" s="842"/>
      <c r="O587" s="842"/>
      <c r="P587" s="842"/>
      <c r="Q587" s="842"/>
      <c r="R587" s="842"/>
      <c r="S587" s="842"/>
      <c r="T587" s="842"/>
      <c r="U587" s="842"/>
      <c r="V587" s="842"/>
      <c r="W587" s="842"/>
      <c r="X587" s="842"/>
      <c r="Y587" s="842"/>
      <c r="Z587" s="842"/>
      <c r="AA587" s="2209"/>
      <c r="AB587" s="2209"/>
      <c r="AC587" s="346"/>
    </row>
    <row r="588" spans="1:29" ht="18.75" customHeight="1" x14ac:dyDescent="0.2">
      <c r="A588" s="341"/>
      <c r="B588" s="345"/>
      <c r="C588" s="442" t="str">
        <f t="shared" ref="C588:D597" si="55">C571</f>
        <v>Vol Flow</v>
      </c>
      <c r="D588" s="842" t="str">
        <f ca="1">D571</f>
        <v>bpd</v>
      </c>
      <c r="E588" s="842">
        <f t="shared" ref="E588:E597" ca="1" si="56">G515</f>
        <v>1E-14</v>
      </c>
      <c r="F588" s="842">
        <f ca="1">D584/100*E588</f>
        <v>1E-26</v>
      </c>
      <c r="G588" s="842">
        <f ca="1">D585/100*E588</f>
        <v>9.9999999999900004E-15</v>
      </c>
      <c r="H588" s="842"/>
      <c r="I588" s="337"/>
      <c r="J588" s="842"/>
      <c r="K588" s="842"/>
      <c r="L588" s="842"/>
      <c r="M588" s="842"/>
      <c r="N588" s="842"/>
      <c r="O588" s="842"/>
      <c r="P588" s="842"/>
      <c r="Q588" s="842"/>
      <c r="R588" s="842"/>
      <c r="S588" s="842"/>
      <c r="T588" s="842"/>
      <c r="U588" s="842"/>
      <c r="V588" s="842"/>
      <c r="W588" s="842"/>
      <c r="X588" s="842"/>
      <c r="Y588" s="842"/>
      <c r="Z588" s="842"/>
      <c r="AA588" s="2209"/>
      <c r="AB588" s="2209"/>
      <c r="AC588" s="346"/>
    </row>
    <row r="589" spans="1:29" ht="18.75" customHeight="1" x14ac:dyDescent="0.2">
      <c r="A589" s="341"/>
      <c r="B589" s="345"/>
      <c r="C589" s="442" t="str">
        <f t="shared" si="55"/>
        <v>Vol Flow</v>
      </c>
      <c r="D589" s="842" t="str">
        <f ca="1">D572</f>
        <v>m^3/d</v>
      </c>
      <c r="E589" s="842">
        <f t="shared" ca="1" si="56"/>
        <v>1.589873E-15</v>
      </c>
      <c r="F589" s="842">
        <f ca="1">F588*'Energy &amp; Unit Conversions'!G80</f>
        <v>1.5898730000000001E-27</v>
      </c>
      <c r="G589" s="842">
        <f ca="1">G588*'Energy &amp; Unit Conversions'!G80</f>
        <v>1.5898729999984102E-15</v>
      </c>
      <c r="H589" s="842"/>
      <c r="I589" s="337"/>
      <c r="J589" s="842"/>
      <c r="K589" s="842"/>
      <c r="L589" s="842"/>
      <c r="M589" s="842"/>
      <c r="N589" s="842"/>
      <c r="O589" s="842"/>
      <c r="P589" s="842"/>
      <c r="Q589" s="842"/>
      <c r="R589" s="842"/>
      <c r="S589" s="842"/>
      <c r="T589" s="842"/>
      <c r="U589" s="842"/>
      <c r="V589" s="842"/>
      <c r="W589" s="842"/>
      <c r="X589" s="842"/>
      <c r="Y589" s="842"/>
      <c r="Z589" s="842"/>
      <c r="AA589" s="2209"/>
      <c r="AB589" s="2209"/>
      <c r="AC589" s="346"/>
    </row>
    <row r="590" spans="1:29" ht="18.75" customHeight="1" x14ac:dyDescent="0.2">
      <c r="A590" s="341"/>
      <c r="B590" s="345"/>
      <c r="C590" s="442" t="str">
        <f t="shared" si="55"/>
        <v>Mass Flow</v>
      </c>
      <c r="D590" s="842" t="str">
        <f t="shared" si="55"/>
        <v>kg/d</v>
      </c>
      <c r="E590" s="842">
        <f t="shared" ca="1" si="56"/>
        <v>1E-14</v>
      </c>
      <c r="F590" s="842">
        <f ca="1">D584/100*E590</f>
        <v>1E-26</v>
      </c>
      <c r="G590" s="842">
        <f ca="1">D585/100*E590</f>
        <v>9.9999999999900004E-15</v>
      </c>
      <c r="H590" s="842"/>
      <c r="I590" s="337"/>
      <c r="J590" s="842"/>
      <c r="K590" s="842"/>
      <c r="L590" s="842"/>
      <c r="M590" s="842"/>
      <c r="N590" s="842"/>
      <c r="O590" s="842"/>
      <c r="P590" s="842"/>
      <c r="Q590" s="842"/>
      <c r="R590" s="842"/>
      <c r="S590" s="842"/>
      <c r="T590" s="842"/>
      <c r="U590" s="842"/>
      <c r="V590" s="842"/>
      <c r="W590" s="842"/>
      <c r="X590" s="842"/>
      <c r="Y590" s="842"/>
      <c r="Z590" s="842"/>
      <c r="AA590" s="2209"/>
      <c r="AB590" s="2209"/>
      <c r="AC590" s="346"/>
    </row>
    <row r="591" spans="1:29" ht="18.75" customHeight="1" x14ac:dyDescent="0.2">
      <c r="A591" s="341"/>
      <c r="B591" s="345"/>
      <c r="C591" s="442" t="str">
        <f t="shared" si="55"/>
        <v xml:space="preserve">Sulphur </v>
      </c>
      <c r="D591" s="842" t="str">
        <f t="shared" ref="D591:D597" ca="1" si="57">D574</f>
        <v>wt%</v>
      </c>
      <c r="E591" s="842">
        <f t="shared" ca="1" si="56"/>
        <v>0</v>
      </c>
      <c r="F591" s="842">
        <f t="shared" ref="F591:F597" ca="1" si="58">E591</f>
        <v>0</v>
      </c>
      <c r="G591" s="842">
        <f t="shared" ref="G591:G597" ca="1" si="59">E591</f>
        <v>0</v>
      </c>
      <c r="H591" s="842"/>
      <c r="I591" s="337"/>
      <c r="J591" s="842"/>
      <c r="K591" s="842"/>
      <c r="L591" s="842"/>
      <c r="M591" s="842"/>
      <c r="N591" s="842"/>
      <c r="O591" s="842"/>
      <c r="P591" s="842"/>
      <c r="Q591" s="842"/>
      <c r="R591" s="842"/>
      <c r="S591" s="842"/>
      <c r="T591" s="842"/>
      <c r="U591" s="842"/>
      <c r="V591" s="842"/>
      <c r="W591" s="842"/>
      <c r="X591" s="842"/>
      <c r="Y591" s="842"/>
      <c r="Z591" s="842"/>
      <c r="AA591" s="2209"/>
      <c r="AB591" s="2209"/>
      <c r="AC591" s="346"/>
    </row>
    <row r="592" spans="1:29" ht="18.75" customHeight="1" x14ac:dyDescent="0.2">
      <c r="A592" s="341"/>
      <c r="B592" s="345"/>
      <c r="C592" s="442" t="str">
        <f t="shared" si="55"/>
        <v xml:space="preserve">Nitrogen </v>
      </c>
      <c r="D592" s="842" t="str">
        <f t="shared" ca="1" si="57"/>
        <v>mass ppm</v>
      </c>
      <c r="E592" s="842">
        <f t="shared" ca="1" si="56"/>
        <v>0</v>
      </c>
      <c r="F592" s="842">
        <f t="shared" ca="1" si="58"/>
        <v>0</v>
      </c>
      <c r="G592" s="842">
        <f t="shared" ca="1" si="59"/>
        <v>0</v>
      </c>
      <c r="H592" s="842"/>
      <c r="I592" s="337"/>
      <c r="J592" s="842"/>
      <c r="K592" s="842"/>
      <c r="L592" s="842"/>
      <c r="M592" s="842"/>
      <c r="N592" s="842"/>
      <c r="O592" s="842"/>
      <c r="P592" s="842"/>
      <c r="Q592" s="842"/>
      <c r="R592" s="842"/>
      <c r="S592" s="842"/>
      <c r="T592" s="842"/>
      <c r="U592" s="842"/>
      <c r="V592" s="842"/>
      <c r="W592" s="842"/>
      <c r="X592" s="842"/>
      <c r="Y592" s="842"/>
      <c r="Z592" s="842"/>
      <c r="AA592" s="2209"/>
      <c r="AB592" s="2209"/>
      <c r="AC592" s="346"/>
    </row>
    <row r="593" spans="1:29" ht="18.75" customHeight="1" x14ac:dyDescent="0.2">
      <c r="A593" s="341"/>
      <c r="B593" s="345"/>
      <c r="C593" s="442" t="str">
        <f t="shared" si="55"/>
        <v xml:space="preserve">API gravity </v>
      </c>
      <c r="D593" s="842" t="str">
        <f t="shared" ca="1" si="57"/>
        <v>oAPI</v>
      </c>
      <c r="E593" s="842">
        <f t="shared" ca="1" si="56"/>
        <v>0</v>
      </c>
      <c r="F593" s="842">
        <f t="shared" ca="1" si="58"/>
        <v>0</v>
      </c>
      <c r="G593" s="842">
        <f t="shared" ca="1" si="59"/>
        <v>0</v>
      </c>
      <c r="H593" s="842"/>
      <c r="I593" s="337"/>
      <c r="J593" s="842"/>
      <c r="K593" s="842"/>
      <c r="L593" s="842"/>
      <c r="M593" s="842"/>
      <c r="N593" s="842"/>
      <c r="O593" s="842"/>
      <c r="P593" s="842"/>
      <c r="Q593" s="842"/>
      <c r="R593" s="842"/>
      <c r="S593" s="842"/>
      <c r="T593" s="842"/>
      <c r="U593" s="842"/>
      <c r="V593" s="842"/>
      <c r="W593" s="842"/>
      <c r="X593" s="842"/>
      <c r="Y593" s="842"/>
      <c r="Z593" s="842"/>
      <c r="AA593" s="2209"/>
      <c r="AB593" s="2209"/>
      <c r="AC593" s="346"/>
    </row>
    <row r="594" spans="1:29" ht="18.75" customHeight="1" x14ac:dyDescent="0.2">
      <c r="A594" s="341"/>
      <c r="B594" s="345"/>
      <c r="C594" s="442" t="str">
        <f t="shared" si="55"/>
        <v>Density</v>
      </c>
      <c r="D594" s="842" t="str">
        <f t="shared" ca="1" si="57"/>
        <v>kg/m^3</v>
      </c>
      <c r="E594" s="842">
        <f t="shared" ca="1" si="56"/>
        <v>0</v>
      </c>
      <c r="F594" s="842">
        <f t="shared" ca="1" si="58"/>
        <v>0</v>
      </c>
      <c r="G594" s="842">
        <f t="shared" ca="1" si="59"/>
        <v>0</v>
      </c>
      <c r="H594" s="842"/>
      <c r="I594" s="337"/>
      <c r="J594" s="842"/>
      <c r="K594" s="842"/>
      <c r="L594" s="842"/>
      <c r="M594" s="842"/>
      <c r="N594" s="842"/>
      <c r="O594" s="842"/>
      <c r="P594" s="842"/>
      <c r="Q594" s="842"/>
      <c r="R594" s="842"/>
      <c r="S594" s="842"/>
      <c r="T594" s="842"/>
      <c r="U594" s="842"/>
      <c r="V594" s="842"/>
      <c r="W594" s="842"/>
      <c r="X594" s="842"/>
      <c r="Y594" s="842"/>
      <c r="Z594" s="842"/>
      <c r="AA594" s="2209"/>
      <c r="AB594" s="2209"/>
      <c r="AC594" s="346"/>
    </row>
    <row r="595" spans="1:29" ht="18.75" customHeight="1" x14ac:dyDescent="0.2">
      <c r="A595" s="341"/>
      <c r="B595" s="345"/>
      <c r="C595" s="442" t="str">
        <f t="shared" si="55"/>
        <v>Hydrogen</v>
      </c>
      <c r="D595" s="842" t="str">
        <f t="shared" ca="1" si="57"/>
        <v>wt%</v>
      </c>
      <c r="E595" s="842">
        <f t="shared" ca="1" si="56"/>
        <v>0</v>
      </c>
      <c r="F595" s="842">
        <f t="shared" ca="1" si="58"/>
        <v>0</v>
      </c>
      <c r="G595" s="842">
        <f t="shared" ca="1" si="59"/>
        <v>0</v>
      </c>
      <c r="H595" s="842"/>
      <c r="I595" s="337"/>
      <c r="J595" s="842"/>
      <c r="K595" s="842"/>
      <c r="L595" s="842"/>
      <c r="M595" s="842"/>
      <c r="N595" s="842"/>
      <c r="O595" s="842"/>
      <c r="P595" s="842"/>
      <c r="Q595" s="842"/>
      <c r="R595" s="842"/>
      <c r="S595" s="842"/>
      <c r="T595" s="842"/>
      <c r="U595" s="842"/>
      <c r="V595" s="842"/>
      <c r="W595" s="842"/>
      <c r="X595" s="842"/>
      <c r="Y595" s="842"/>
      <c r="Z595" s="842"/>
      <c r="AA595" s="2209"/>
      <c r="AB595" s="2209"/>
      <c r="AC595" s="346"/>
    </row>
    <row r="596" spans="1:29" ht="18.75" customHeight="1" x14ac:dyDescent="0.2">
      <c r="A596" s="341"/>
      <c r="B596" s="345"/>
      <c r="C596" s="442" t="str">
        <f t="shared" si="55"/>
        <v>MCR</v>
      </c>
      <c r="D596" s="842" t="str">
        <f t="shared" ca="1" si="57"/>
        <v>wt%</v>
      </c>
      <c r="E596" s="842" t="str">
        <f t="shared" ca="1" si="56"/>
        <v/>
      </c>
      <c r="F596" s="842" t="str">
        <f t="shared" ca="1" si="58"/>
        <v/>
      </c>
      <c r="G596" s="842" t="str">
        <f t="shared" ca="1" si="59"/>
        <v/>
      </c>
      <c r="H596" s="842"/>
      <c r="I596" s="337"/>
      <c r="J596" s="842"/>
      <c r="K596" s="842"/>
      <c r="L596" s="842"/>
      <c r="M596" s="842"/>
      <c r="N596" s="842"/>
      <c r="O596" s="842"/>
      <c r="P596" s="842"/>
      <c r="Q596" s="842"/>
      <c r="R596" s="842"/>
      <c r="S596" s="842"/>
      <c r="T596" s="842"/>
      <c r="U596" s="842"/>
      <c r="V596" s="842"/>
      <c r="W596" s="842"/>
      <c r="X596" s="842"/>
      <c r="Y596" s="842"/>
      <c r="Z596" s="842"/>
      <c r="AA596" s="2209"/>
      <c r="AB596" s="2209"/>
      <c r="AC596" s="346"/>
    </row>
    <row r="597" spans="1:29" ht="18.75" customHeight="1" x14ac:dyDescent="0.2">
      <c r="A597" s="341"/>
      <c r="B597" s="345"/>
      <c r="C597" s="443" t="str">
        <f t="shared" si="55"/>
        <v>Characterization Factor</v>
      </c>
      <c r="D597" s="334" t="str">
        <f t="shared" ca="1" si="57"/>
        <v xml:space="preserve">Kw (Approximate) </v>
      </c>
      <c r="E597" s="334">
        <f t="shared" ca="1" si="56"/>
        <v>0</v>
      </c>
      <c r="F597" s="334">
        <f t="shared" ca="1" si="58"/>
        <v>0</v>
      </c>
      <c r="G597" s="334">
        <f t="shared" ca="1" si="59"/>
        <v>0</v>
      </c>
      <c r="H597" s="334"/>
      <c r="I597" s="338"/>
      <c r="J597" s="842"/>
      <c r="K597" s="842"/>
      <c r="L597" s="842"/>
      <c r="M597" s="842"/>
      <c r="N597" s="842"/>
      <c r="O597" s="842"/>
      <c r="P597" s="842"/>
      <c r="Q597" s="842"/>
      <c r="R597" s="842"/>
      <c r="S597" s="842"/>
      <c r="T597" s="842"/>
      <c r="U597" s="842"/>
      <c r="V597" s="842"/>
      <c r="W597" s="842"/>
      <c r="X597" s="842"/>
      <c r="Y597" s="842"/>
      <c r="Z597" s="842"/>
      <c r="AA597" s="2209"/>
      <c r="AB597" s="2209"/>
      <c r="AC597" s="346"/>
    </row>
    <row r="598" spans="1:29" ht="18.75" customHeight="1" x14ac:dyDescent="0.2">
      <c r="A598" s="341"/>
      <c r="B598" s="345"/>
      <c r="C598" s="437"/>
      <c r="D598" s="842"/>
      <c r="E598" s="842"/>
      <c r="F598" s="842"/>
      <c r="G598" s="842"/>
      <c r="H598" s="842"/>
      <c r="I598" s="842"/>
      <c r="J598" s="842"/>
      <c r="K598" s="842"/>
      <c r="L598" s="842"/>
      <c r="M598" s="842"/>
      <c r="N598" s="842"/>
      <c r="O598" s="842"/>
      <c r="P598" s="842"/>
      <c r="Q598" s="842"/>
      <c r="R598" s="842"/>
      <c r="S598" s="842"/>
      <c r="T598" s="842"/>
      <c r="U598" s="842"/>
      <c r="V598" s="842"/>
      <c r="W598" s="842"/>
      <c r="X598" s="842"/>
      <c r="Y598" s="842"/>
      <c r="Z598" s="842"/>
      <c r="AA598" s="2209"/>
      <c r="AB598" s="2209"/>
      <c r="AC598" s="346"/>
    </row>
    <row r="599" spans="1:29" ht="18.75" customHeight="1" x14ac:dyDescent="0.2">
      <c r="A599" s="341"/>
      <c r="B599" s="345"/>
      <c r="C599" s="843" t="s">
        <v>400</v>
      </c>
      <c r="D599" s="842"/>
      <c r="E599" s="842"/>
      <c r="F599" s="842"/>
      <c r="G599" s="842"/>
      <c r="H599" s="842"/>
      <c r="I599" s="842"/>
      <c r="J599" s="842"/>
      <c r="K599" s="842"/>
      <c r="L599" s="842"/>
      <c r="M599" s="842"/>
      <c r="N599" s="842"/>
      <c r="O599" s="842"/>
      <c r="P599" s="842"/>
      <c r="Q599" s="842"/>
      <c r="R599" s="842"/>
      <c r="S599" s="842"/>
      <c r="T599" s="842"/>
      <c r="U599" s="842"/>
      <c r="V599" s="842"/>
      <c r="W599" s="842"/>
      <c r="X599" s="842"/>
      <c r="Y599" s="842"/>
      <c r="Z599" s="842"/>
      <c r="AA599" s="2209"/>
      <c r="AB599" s="2209"/>
      <c r="AC599" s="346"/>
    </row>
    <row r="600" spans="1:29" ht="18.75" customHeight="1" x14ac:dyDescent="0.2">
      <c r="A600" s="341"/>
      <c r="B600" s="345"/>
      <c r="C600" s="441" t="s">
        <v>624</v>
      </c>
      <c r="D600" s="368"/>
      <c r="E600" s="368"/>
      <c r="F600" s="368"/>
      <c r="G600" s="368"/>
      <c r="H600" s="368"/>
      <c r="I600" s="369"/>
      <c r="J600" s="842"/>
      <c r="K600" s="842"/>
      <c r="L600" s="842"/>
      <c r="M600" s="842"/>
      <c r="N600" s="842"/>
      <c r="O600" s="842"/>
      <c r="P600" s="842"/>
      <c r="Q600" s="842"/>
      <c r="R600" s="842"/>
      <c r="S600" s="842"/>
      <c r="T600" s="842"/>
      <c r="U600" s="842"/>
      <c r="V600" s="842"/>
      <c r="W600" s="842"/>
      <c r="X600" s="842"/>
      <c r="Y600" s="842"/>
      <c r="Z600" s="842"/>
      <c r="AA600" s="2209"/>
      <c r="AB600" s="2209"/>
      <c r="AC600" s="346"/>
    </row>
    <row r="601" spans="1:29" ht="18.75" customHeight="1" x14ac:dyDescent="0.2">
      <c r="A601" s="341"/>
      <c r="B601" s="345"/>
      <c r="C601" s="453" t="s">
        <v>412</v>
      </c>
      <c r="D601" s="842">
        <f ca="1">IF(OR(HydroRefineryConfig=3,HydroRefineryConfig=9),HydroRefineryControls!C34,HydroRefineryControls!C41)</f>
        <v>1E-10</v>
      </c>
      <c r="E601" s="842" t="s">
        <v>633</v>
      </c>
      <c r="F601" s="842"/>
      <c r="G601" s="842"/>
      <c r="H601" s="842"/>
      <c r="I601" s="337"/>
      <c r="J601" s="842"/>
      <c r="K601" s="842"/>
      <c r="L601" s="842"/>
      <c r="M601" s="842"/>
      <c r="N601" s="842"/>
      <c r="O601" s="842"/>
      <c r="P601" s="842"/>
      <c r="Q601" s="842"/>
      <c r="R601" s="842"/>
      <c r="S601" s="842"/>
      <c r="T601" s="842"/>
      <c r="U601" s="842"/>
      <c r="V601" s="842"/>
      <c r="W601" s="842"/>
      <c r="X601" s="842"/>
      <c r="Y601" s="842"/>
      <c r="Z601" s="842"/>
      <c r="AA601" s="2209"/>
      <c r="AB601" s="2209"/>
      <c r="AC601" s="346"/>
    </row>
    <row r="602" spans="1:29" ht="18.75" customHeight="1" x14ac:dyDescent="0.2">
      <c r="A602" s="341"/>
      <c r="B602" s="345"/>
      <c r="C602" s="453" t="s">
        <v>413</v>
      </c>
      <c r="D602" s="842">
        <f ca="1">100-D601</f>
        <v>99.999999999899998</v>
      </c>
      <c r="E602" s="842" t="s">
        <v>633</v>
      </c>
      <c r="F602" s="842"/>
      <c r="G602" s="842"/>
      <c r="H602" s="842"/>
      <c r="I602" s="337"/>
      <c r="J602" s="842"/>
      <c r="K602" s="842"/>
      <c r="L602" s="842"/>
      <c r="M602" s="842"/>
      <c r="N602" s="842"/>
      <c r="O602" s="842"/>
      <c r="P602" s="842"/>
      <c r="Q602" s="842"/>
      <c r="R602" s="842"/>
      <c r="S602" s="842"/>
      <c r="T602" s="842"/>
      <c r="U602" s="842"/>
      <c r="V602" s="842"/>
      <c r="W602" s="842"/>
      <c r="X602" s="842"/>
      <c r="Y602" s="842"/>
      <c r="Z602" s="842"/>
      <c r="AA602" s="2209"/>
      <c r="AB602" s="2209"/>
      <c r="AC602" s="346"/>
    </row>
    <row r="603" spans="1:29" ht="18.75" customHeight="1" x14ac:dyDescent="0.2">
      <c r="A603" s="341"/>
      <c r="B603" s="345"/>
      <c r="C603" s="453"/>
      <c r="D603" s="842"/>
      <c r="E603" s="842"/>
      <c r="F603" s="842"/>
      <c r="G603" s="842"/>
      <c r="H603" s="842"/>
      <c r="I603" s="337"/>
      <c r="J603" s="842"/>
      <c r="K603" s="842"/>
      <c r="L603" s="842"/>
      <c r="M603" s="842"/>
      <c r="N603" s="842"/>
      <c r="O603" s="842"/>
      <c r="P603" s="842"/>
      <c r="Q603" s="842"/>
      <c r="R603" s="842"/>
      <c r="S603" s="842"/>
      <c r="T603" s="842"/>
      <c r="U603" s="842"/>
      <c r="V603" s="842"/>
      <c r="W603" s="842"/>
      <c r="X603" s="842"/>
      <c r="Y603" s="842"/>
      <c r="Z603" s="842"/>
      <c r="AA603" s="2209"/>
      <c r="AB603" s="2209"/>
      <c r="AC603" s="346"/>
    </row>
    <row r="604" spans="1:29" ht="18.75" customHeight="1" x14ac:dyDescent="0.2">
      <c r="A604" s="341"/>
      <c r="B604" s="345"/>
      <c r="C604" s="442" t="s">
        <v>568</v>
      </c>
      <c r="D604" s="839" t="s">
        <v>623</v>
      </c>
      <c r="E604" s="839" t="s">
        <v>401</v>
      </c>
      <c r="F604" s="839" t="s">
        <v>402</v>
      </c>
      <c r="G604" s="839" t="s">
        <v>403</v>
      </c>
      <c r="H604" s="842"/>
      <c r="I604" s="337"/>
      <c r="J604" s="842"/>
      <c r="K604" s="842"/>
      <c r="L604" s="842"/>
      <c r="M604" s="842"/>
      <c r="N604" s="842"/>
      <c r="O604" s="842"/>
      <c r="P604" s="842"/>
      <c r="Q604" s="842"/>
      <c r="R604" s="842"/>
      <c r="S604" s="842"/>
      <c r="T604" s="842"/>
      <c r="U604" s="842"/>
      <c r="V604" s="842"/>
      <c r="W604" s="842"/>
      <c r="X604" s="842"/>
      <c r="Y604" s="842"/>
      <c r="Z604" s="842"/>
      <c r="AA604" s="2209"/>
      <c r="AB604" s="2209"/>
      <c r="AC604" s="346"/>
    </row>
    <row r="605" spans="1:29" ht="18.75" customHeight="1" x14ac:dyDescent="0.2">
      <c r="A605" s="341"/>
      <c r="B605" s="345"/>
      <c r="C605" s="442" t="str">
        <f t="shared" ref="C605:D614" si="60">C588</f>
        <v>Vol Flow</v>
      </c>
      <c r="D605" s="842" t="str">
        <f ca="1">D588</f>
        <v>bpd</v>
      </c>
      <c r="E605" s="842">
        <f t="shared" ref="E605:E614" ca="1" si="61">H515</f>
        <v>1E-14</v>
      </c>
      <c r="F605" s="842">
        <f ca="1">D601/100*E605</f>
        <v>1E-26</v>
      </c>
      <c r="G605" s="842">
        <f ca="1">D602/100*E605</f>
        <v>9.9999999999900004E-15</v>
      </c>
      <c r="H605" s="842"/>
      <c r="I605" s="337"/>
      <c r="J605" s="842"/>
      <c r="K605" s="842"/>
      <c r="L605" s="842"/>
      <c r="M605" s="842"/>
      <c r="N605" s="842"/>
      <c r="O605" s="842"/>
      <c r="P605" s="842"/>
      <c r="Q605" s="842"/>
      <c r="R605" s="842"/>
      <c r="S605" s="842"/>
      <c r="T605" s="842"/>
      <c r="U605" s="842"/>
      <c r="V605" s="842"/>
      <c r="W605" s="842"/>
      <c r="X605" s="842"/>
      <c r="Y605" s="842"/>
      <c r="Z605" s="842"/>
      <c r="AA605" s="2209"/>
      <c r="AB605" s="2209"/>
      <c r="AC605" s="346"/>
    </row>
    <row r="606" spans="1:29" ht="18.75" customHeight="1" x14ac:dyDescent="0.2">
      <c r="A606" s="341"/>
      <c r="B606" s="345"/>
      <c r="C606" s="442" t="str">
        <f t="shared" si="60"/>
        <v>Vol Flow</v>
      </c>
      <c r="D606" s="842" t="str">
        <f ca="1">D589</f>
        <v>m^3/d</v>
      </c>
      <c r="E606" s="842">
        <f t="shared" ca="1" si="61"/>
        <v>1.589873E-15</v>
      </c>
      <c r="F606" s="842">
        <f ca="1">F605*'Energy &amp; Unit Conversions'!G80</f>
        <v>1.5898730000000001E-27</v>
      </c>
      <c r="G606" s="842">
        <f ca="1">G605*'Energy &amp; Unit Conversions'!G80</f>
        <v>1.5898729999984102E-15</v>
      </c>
      <c r="H606" s="842"/>
      <c r="I606" s="337"/>
      <c r="J606" s="842"/>
      <c r="K606" s="842"/>
      <c r="L606" s="842"/>
      <c r="M606" s="842"/>
      <c r="N606" s="842"/>
      <c r="O606" s="842"/>
      <c r="P606" s="842"/>
      <c r="Q606" s="842"/>
      <c r="R606" s="842"/>
      <c r="S606" s="842"/>
      <c r="T606" s="842"/>
      <c r="U606" s="842"/>
      <c r="V606" s="842"/>
      <c r="W606" s="842"/>
      <c r="X606" s="842"/>
      <c r="Y606" s="842"/>
      <c r="Z606" s="842"/>
      <c r="AA606" s="2209"/>
      <c r="AB606" s="2209"/>
      <c r="AC606" s="346"/>
    </row>
    <row r="607" spans="1:29" ht="18.75" customHeight="1" x14ac:dyDescent="0.2">
      <c r="A607" s="341"/>
      <c r="B607" s="345"/>
      <c r="C607" s="442" t="str">
        <f t="shared" si="60"/>
        <v>Mass Flow</v>
      </c>
      <c r="D607" s="842" t="str">
        <f t="shared" si="60"/>
        <v>kg/d</v>
      </c>
      <c r="E607" s="842">
        <f t="shared" ca="1" si="61"/>
        <v>1E-14</v>
      </c>
      <c r="F607" s="842">
        <f ca="1">D601/100*E607</f>
        <v>1E-26</v>
      </c>
      <c r="G607" s="842">
        <f ca="1">D602/100*E607</f>
        <v>9.9999999999900004E-15</v>
      </c>
      <c r="H607" s="842"/>
      <c r="I607" s="337"/>
      <c r="J607" s="842"/>
      <c r="K607" s="842"/>
      <c r="L607" s="842"/>
      <c r="M607" s="842"/>
      <c r="N607" s="842"/>
      <c r="O607" s="842"/>
      <c r="P607" s="842"/>
      <c r="Q607" s="842"/>
      <c r="R607" s="842"/>
      <c r="S607" s="842"/>
      <c r="T607" s="842"/>
      <c r="U607" s="842"/>
      <c r="V607" s="842"/>
      <c r="W607" s="842"/>
      <c r="X607" s="842"/>
      <c r="Y607" s="842"/>
      <c r="Z607" s="842"/>
      <c r="AA607" s="2209"/>
      <c r="AB607" s="2209"/>
      <c r="AC607" s="346"/>
    </row>
    <row r="608" spans="1:29" ht="18.75" customHeight="1" x14ac:dyDescent="0.2">
      <c r="A608" s="341"/>
      <c r="B608" s="345"/>
      <c r="C608" s="442" t="str">
        <f t="shared" si="60"/>
        <v xml:space="preserve">Sulphur </v>
      </c>
      <c r="D608" s="842" t="str">
        <f t="shared" ref="D608:D614" ca="1" si="62">D591</f>
        <v>wt%</v>
      </c>
      <c r="E608" s="842">
        <f t="shared" ca="1" si="61"/>
        <v>0</v>
      </c>
      <c r="F608" s="842">
        <f t="shared" ref="F608:F614" ca="1" si="63">E608</f>
        <v>0</v>
      </c>
      <c r="G608" s="842">
        <f t="shared" ref="G608:G614" ca="1" si="64">E608</f>
        <v>0</v>
      </c>
      <c r="H608" s="842"/>
      <c r="I608" s="337"/>
      <c r="J608" s="842"/>
      <c r="K608" s="842"/>
      <c r="L608" s="842"/>
      <c r="M608" s="842"/>
      <c r="N608" s="842"/>
      <c r="O608" s="842"/>
      <c r="P608" s="842"/>
      <c r="Q608" s="842"/>
      <c r="R608" s="842"/>
      <c r="S608" s="842"/>
      <c r="T608" s="842"/>
      <c r="U608" s="842"/>
      <c r="V608" s="842"/>
      <c r="W608" s="842"/>
      <c r="X608" s="842"/>
      <c r="Y608" s="842"/>
      <c r="Z608" s="842"/>
      <c r="AA608" s="2209"/>
      <c r="AB608" s="2209"/>
      <c r="AC608" s="346"/>
    </row>
    <row r="609" spans="1:29" ht="18.75" customHeight="1" x14ac:dyDescent="0.2">
      <c r="A609" s="341"/>
      <c r="B609" s="345"/>
      <c r="C609" s="442" t="str">
        <f t="shared" si="60"/>
        <v xml:space="preserve">Nitrogen </v>
      </c>
      <c r="D609" s="842" t="str">
        <f t="shared" ca="1" si="62"/>
        <v>mass ppm</v>
      </c>
      <c r="E609" s="842">
        <f t="shared" ca="1" si="61"/>
        <v>0</v>
      </c>
      <c r="F609" s="842">
        <f t="shared" ca="1" si="63"/>
        <v>0</v>
      </c>
      <c r="G609" s="842">
        <f t="shared" ca="1" si="64"/>
        <v>0</v>
      </c>
      <c r="H609" s="842"/>
      <c r="I609" s="337"/>
      <c r="J609" s="842"/>
      <c r="K609" s="842"/>
      <c r="L609" s="842"/>
      <c r="M609" s="842"/>
      <c r="N609" s="842"/>
      <c r="O609" s="842"/>
      <c r="P609" s="842"/>
      <c r="Q609" s="842"/>
      <c r="R609" s="842"/>
      <c r="S609" s="842"/>
      <c r="T609" s="842"/>
      <c r="U609" s="842"/>
      <c r="V609" s="842"/>
      <c r="W609" s="842"/>
      <c r="X609" s="842"/>
      <c r="Y609" s="842"/>
      <c r="Z609" s="842"/>
      <c r="AA609" s="2209"/>
      <c r="AB609" s="2209"/>
      <c r="AC609" s="346"/>
    </row>
    <row r="610" spans="1:29" ht="18.75" customHeight="1" x14ac:dyDescent="0.2">
      <c r="A610" s="341"/>
      <c r="B610" s="345"/>
      <c r="C610" s="442" t="str">
        <f t="shared" si="60"/>
        <v xml:space="preserve">API gravity </v>
      </c>
      <c r="D610" s="842" t="str">
        <f t="shared" ca="1" si="62"/>
        <v>oAPI</v>
      </c>
      <c r="E610" s="842">
        <f t="shared" ca="1" si="61"/>
        <v>0</v>
      </c>
      <c r="F610" s="842">
        <f t="shared" ca="1" si="63"/>
        <v>0</v>
      </c>
      <c r="G610" s="842">
        <f t="shared" ca="1" si="64"/>
        <v>0</v>
      </c>
      <c r="H610" s="842"/>
      <c r="I610" s="337"/>
      <c r="J610" s="842"/>
      <c r="K610" s="842"/>
      <c r="L610" s="842"/>
      <c r="M610" s="842"/>
      <c r="N610" s="842"/>
      <c r="O610" s="842"/>
      <c r="P610" s="842"/>
      <c r="Q610" s="842"/>
      <c r="R610" s="842"/>
      <c r="S610" s="842"/>
      <c r="T610" s="842"/>
      <c r="U610" s="842"/>
      <c r="V610" s="842"/>
      <c r="W610" s="842"/>
      <c r="X610" s="842"/>
      <c r="Y610" s="842"/>
      <c r="Z610" s="842"/>
      <c r="AA610" s="2209"/>
      <c r="AB610" s="2209"/>
      <c r="AC610" s="346"/>
    </row>
    <row r="611" spans="1:29" ht="18.75" customHeight="1" x14ac:dyDescent="0.2">
      <c r="A611" s="341"/>
      <c r="B611" s="345"/>
      <c r="C611" s="442" t="str">
        <f t="shared" si="60"/>
        <v>Density</v>
      </c>
      <c r="D611" s="842" t="str">
        <f t="shared" ca="1" si="62"/>
        <v>kg/m^3</v>
      </c>
      <c r="E611" s="842">
        <f t="shared" ca="1" si="61"/>
        <v>0</v>
      </c>
      <c r="F611" s="842">
        <f t="shared" ca="1" si="63"/>
        <v>0</v>
      </c>
      <c r="G611" s="842">
        <f t="shared" ca="1" si="64"/>
        <v>0</v>
      </c>
      <c r="H611" s="842"/>
      <c r="I611" s="337"/>
      <c r="J611" s="842"/>
      <c r="K611" s="842"/>
      <c r="L611" s="842"/>
      <c r="M611" s="842"/>
      <c r="N611" s="842"/>
      <c r="O611" s="842"/>
      <c r="P611" s="842"/>
      <c r="Q611" s="842"/>
      <c r="R611" s="842"/>
      <c r="S611" s="842"/>
      <c r="T611" s="842"/>
      <c r="U611" s="842"/>
      <c r="V611" s="842"/>
      <c r="W611" s="842"/>
      <c r="X611" s="842"/>
      <c r="Y611" s="842"/>
      <c r="Z611" s="842"/>
      <c r="AA611" s="2209"/>
      <c r="AB611" s="2209"/>
      <c r="AC611" s="346"/>
    </row>
    <row r="612" spans="1:29" ht="18.75" customHeight="1" x14ac:dyDescent="0.2">
      <c r="A612" s="341"/>
      <c r="B612" s="345"/>
      <c r="C612" s="442" t="str">
        <f t="shared" si="60"/>
        <v>Hydrogen</v>
      </c>
      <c r="D612" s="842" t="str">
        <f t="shared" ca="1" si="62"/>
        <v>wt%</v>
      </c>
      <c r="E612" s="842">
        <f t="shared" ca="1" si="61"/>
        <v>0</v>
      </c>
      <c r="F612" s="842">
        <f t="shared" ca="1" si="63"/>
        <v>0</v>
      </c>
      <c r="G612" s="842">
        <f t="shared" ca="1" si="64"/>
        <v>0</v>
      </c>
      <c r="H612" s="842"/>
      <c r="I612" s="337"/>
      <c r="J612" s="842"/>
      <c r="K612" s="842"/>
      <c r="L612" s="842"/>
      <c r="M612" s="842"/>
      <c r="N612" s="842"/>
      <c r="O612" s="842"/>
      <c r="P612" s="842"/>
      <c r="Q612" s="842"/>
      <c r="R612" s="842"/>
      <c r="S612" s="842"/>
      <c r="T612" s="842"/>
      <c r="U612" s="842"/>
      <c r="V612" s="842"/>
      <c r="W612" s="842"/>
      <c r="X612" s="842"/>
      <c r="Y612" s="842"/>
      <c r="Z612" s="842"/>
      <c r="AA612" s="2209"/>
      <c r="AB612" s="2209"/>
      <c r="AC612" s="346"/>
    </row>
    <row r="613" spans="1:29" ht="18.75" customHeight="1" x14ac:dyDescent="0.2">
      <c r="A613" s="341"/>
      <c r="B613" s="345"/>
      <c r="C613" s="442" t="str">
        <f t="shared" si="60"/>
        <v>MCR</v>
      </c>
      <c r="D613" s="842" t="str">
        <f t="shared" ca="1" si="62"/>
        <v>wt%</v>
      </c>
      <c r="E613" s="842" t="str">
        <f t="shared" ca="1" si="61"/>
        <v/>
      </c>
      <c r="F613" s="842" t="str">
        <f t="shared" ca="1" si="63"/>
        <v/>
      </c>
      <c r="G613" s="842" t="str">
        <f t="shared" ca="1" si="64"/>
        <v/>
      </c>
      <c r="H613" s="842"/>
      <c r="I613" s="337"/>
      <c r="J613" s="842"/>
      <c r="K613" s="842"/>
      <c r="L613" s="842"/>
      <c r="M613" s="842"/>
      <c r="N613" s="842"/>
      <c r="O613" s="842"/>
      <c r="P613" s="842"/>
      <c r="Q613" s="842"/>
      <c r="R613" s="842"/>
      <c r="S613" s="842"/>
      <c r="T613" s="842"/>
      <c r="U613" s="842"/>
      <c r="V613" s="842"/>
      <c r="W613" s="842"/>
      <c r="X613" s="842"/>
      <c r="Y613" s="842"/>
      <c r="Z613" s="842"/>
      <c r="AA613" s="2209"/>
      <c r="AB613" s="2209"/>
      <c r="AC613" s="346"/>
    </row>
    <row r="614" spans="1:29" ht="18.75" customHeight="1" x14ac:dyDescent="0.2">
      <c r="A614" s="341"/>
      <c r="B614" s="345"/>
      <c r="C614" s="443" t="str">
        <f t="shared" si="60"/>
        <v>Characterization Factor</v>
      </c>
      <c r="D614" s="334" t="str">
        <f t="shared" ca="1" si="62"/>
        <v xml:space="preserve">Kw (Approximate) </v>
      </c>
      <c r="E614" s="334">
        <f t="shared" ca="1" si="61"/>
        <v>0</v>
      </c>
      <c r="F614" s="334">
        <f t="shared" ca="1" si="63"/>
        <v>0</v>
      </c>
      <c r="G614" s="334">
        <f t="shared" ca="1" si="64"/>
        <v>0</v>
      </c>
      <c r="H614" s="334"/>
      <c r="I614" s="338"/>
      <c r="J614" s="842"/>
      <c r="K614" s="842"/>
      <c r="L614" s="842"/>
      <c r="M614" s="842"/>
      <c r="N614" s="842"/>
      <c r="O614" s="842"/>
      <c r="P614" s="842"/>
      <c r="Q614" s="842"/>
      <c r="R614" s="842"/>
      <c r="S614" s="842"/>
      <c r="T614" s="842"/>
      <c r="U614" s="842"/>
      <c r="V614" s="842"/>
      <c r="W614" s="842"/>
      <c r="X614" s="842"/>
      <c r="Y614" s="842"/>
      <c r="Z614" s="842"/>
      <c r="AA614" s="2209"/>
      <c r="AB614" s="2209"/>
      <c r="AC614" s="346"/>
    </row>
    <row r="615" spans="1:29" ht="18.75" customHeight="1" x14ac:dyDescent="0.2">
      <c r="A615" s="341"/>
      <c r="B615" s="345"/>
      <c r="C615" s="444"/>
      <c r="D615" s="842"/>
      <c r="E615" s="842"/>
      <c r="F615" s="842"/>
      <c r="G615" s="842"/>
      <c r="H615" s="842"/>
      <c r="I615" s="842"/>
      <c r="J615" s="842"/>
      <c r="K615" s="842"/>
      <c r="L615" s="842"/>
      <c r="M615" s="842"/>
      <c r="N615" s="842"/>
      <c r="O615" s="842"/>
      <c r="P615" s="842"/>
      <c r="Q615" s="842"/>
      <c r="R615" s="842"/>
      <c r="S615" s="842"/>
      <c r="T615" s="842"/>
      <c r="U615" s="842"/>
      <c r="V615" s="842"/>
      <c r="W615" s="842"/>
      <c r="X615" s="842"/>
      <c r="Y615" s="842"/>
      <c r="Z615" s="842"/>
      <c r="AA615" s="2209"/>
      <c r="AB615" s="2209"/>
      <c r="AC615" s="346"/>
    </row>
    <row r="616" spans="1:29" ht="26.25" x14ac:dyDescent="0.2">
      <c r="A616" s="341"/>
      <c r="B616" s="699"/>
      <c r="C616" s="603" t="s">
        <v>1422</v>
      </c>
      <c r="D616" s="603"/>
      <c r="E616" s="842"/>
      <c r="F616" s="842"/>
      <c r="G616" s="842"/>
      <c r="H616" s="842"/>
      <c r="I616" s="842"/>
      <c r="J616" s="842"/>
      <c r="K616" s="842"/>
      <c r="L616" s="842"/>
      <c r="M616" s="842"/>
      <c r="N616" s="842"/>
      <c r="O616" s="842"/>
      <c r="P616" s="842"/>
      <c r="Q616" s="842"/>
      <c r="R616" s="842"/>
      <c r="S616" s="842"/>
      <c r="T616" s="842"/>
      <c r="U616" s="842"/>
      <c r="V616" s="842"/>
      <c r="W616" s="842"/>
      <c r="X616" s="842"/>
      <c r="Y616" s="842"/>
      <c r="Z616" s="842"/>
      <c r="AA616" s="2209"/>
      <c r="AB616" s="2209"/>
      <c r="AC616" s="346"/>
    </row>
    <row r="617" spans="1:29" ht="18.75" customHeight="1" x14ac:dyDescent="0.2">
      <c r="A617" s="341"/>
      <c r="B617" s="345"/>
      <c r="C617" s="437"/>
      <c r="D617" s="842"/>
      <c r="E617" s="426"/>
      <c r="F617" s="842"/>
      <c r="G617" s="842"/>
      <c r="H617" s="842"/>
      <c r="I617" s="842"/>
      <c r="J617" s="842"/>
      <c r="K617" s="842"/>
      <c r="L617" s="842"/>
      <c r="M617" s="842"/>
      <c r="N617" s="842"/>
      <c r="O617" s="842"/>
      <c r="P617" s="842"/>
      <c r="Q617" s="842"/>
      <c r="R617" s="842"/>
      <c r="S617" s="842"/>
      <c r="T617" s="842"/>
      <c r="U617" s="842"/>
      <c r="V617" s="842"/>
      <c r="W617" s="842"/>
      <c r="X617" s="842"/>
      <c r="Y617" s="842"/>
      <c r="Z617" s="842"/>
      <c r="AA617" s="2209"/>
      <c r="AB617" s="2209"/>
      <c r="AC617" s="346"/>
    </row>
    <row r="618" spans="1:29" ht="18.75" customHeight="1" x14ac:dyDescent="0.2">
      <c r="A618" s="341"/>
      <c r="B618" s="345"/>
      <c r="C618" s="843" t="s">
        <v>569</v>
      </c>
      <c r="D618" s="842"/>
      <c r="E618" s="839"/>
      <c r="F618" s="842"/>
      <c r="G618" s="842"/>
      <c r="H618" s="842"/>
      <c r="I618" s="842"/>
      <c r="J618" s="842"/>
      <c r="K618" s="842"/>
      <c r="L618" s="842"/>
      <c r="M618" s="842"/>
      <c r="N618" s="842"/>
      <c r="O618" s="842"/>
      <c r="P618" s="842"/>
      <c r="Q618" s="842"/>
      <c r="R618" s="842"/>
      <c r="S618" s="842"/>
      <c r="T618" s="842"/>
      <c r="U618" s="842"/>
      <c r="V618" s="842"/>
      <c r="W618" s="842"/>
      <c r="X618" s="842"/>
      <c r="Y618" s="842"/>
      <c r="Z618" s="842"/>
      <c r="AA618" s="2209"/>
      <c r="AB618" s="2209"/>
      <c r="AC618" s="346"/>
    </row>
    <row r="619" spans="1:29" ht="18.75" customHeight="1" x14ac:dyDescent="0.2">
      <c r="A619" s="341"/>
      <c r="B619" s="345"/>
      <c r="C619" s="441" t="s">
        <v>568</v>
      </c>
      <c r="D619" s="351" t="s">
        <v>623</v>
      </c>
      <c r="E619" s="351" t="s">
        <v>417</v>
      </c>
      <c r="F619" s="351" t="s">
        <v>564</v>
      </c>
      <c r="G619" s="351" t="s">
        <v>401</v>
      </c>
      <c r="H619" s="356" t="str">
        <f t="shared" ref="H619:H628" si="65">G964</f>
        <v>HC Gas Oil to FCC</v>
      </c>
      <c r="I619" s="351" t="s">
        <v>425</v>
      </c>
      <c r="J619" s="356" t="s">
        <v>479</v>
      </c>
      <c r="K619" s="352" t="s">
        <v>368</v>
      </c>
      <c r="L619" s="842"/>
      <c r="M619" s="842"/>
      <c r="N619" s="842"/>
      <c r="O619" s="842"/>
      <c r="P619" s="842"/>
      <c r="Q619" s="842"/>
      <c r="R619" s="842"/>
      <c r="S619" s="842"/>
      <c r="T619" s="842"/>
      <c r="U619" s="842"/>
      <c r="V619" s="842"/>
      <c r="W619" s="842"/>
      <c r="X619" s="842"/>
      <c r="Y619" s="842"/>
      <c r="Z619" s="842"/>
      <c r="AA619" s="2209"/>
      <c r="AB619" s="2209"/>
      <c r="AC619" s="346"/>
    </row>
    <row r="620" spans="1:29" ht="18.75" customHeight="1" x14ac:dyDescent="0.2">
      <c r="A620" s="341"/>
      <c r="B620" s="345"/>
      <c r="C620" s="442" t="str">
        <f t="shared" ref="C620:D628" si="66">C571</f>
        <v>Vol Flow</v>
      </c>
      <c r="D620" s="842" t="str">
        <f ca="1">D571</f>
        <v>bpd</v>
      </c>
      <c r="E620" s="842">
        <f t="shared" ref="E620:E628" ca="1" si="67">G571</f>
        <v>0</v>
      </c>
      <c r="F620" s="842">
        <f t="shared" ref="F620:F627" ca="1" si="68">G588</f>
        <v>9.9999999999900004E-15</v>
      </c>
      <c r="G620" s="842">
        <f t="shared" ref="G620:G627" ca="1" si="69">G605</f>
        <v>9.9999999999900004E-15</v>
      </c>
      <c r="H620" s="842">
        <f ca="1">G965</f>
        <v>1.643156003899271E-17</v>
      </c>
      <c r="I620" s="842">
        <f ca="1">SUM(E620:H620)</f>
        <v>2.0016431560018994E-14</v>
      </c>
      <c r="J620" s="842">
        <f ca="1">J621/'Energy &amp; Unit Conversions'!G80</f>
        <v>1.7525859575361602E-16</v>
      </c>
      <c r="K620" s="337"/>
      <c r="L620" s="842"/>
      <c r="M620" s="842"/>
      <c r="N620" s="842"/>
      <c r="O620" s="842"/>
      <c r="P620" s="842"/>
      <c r="Q620" s="842"/>
      <c r="R620" s="842"/>
      <c r="S620" s="842"/>
      <c r="T620" s="842"/>
      <c r="U620" s="842"/>
      <c r="V620" s="842"/>
      <c r="W620" s="842"/>
      <c r="X620" s="842"/>
      <c r="Y620" s="842"/>
      <c r="Z620" s="842"/>
      <c r="AA620" s="2209"/>
      <c r="AB620" s="2209"/>
      <c r="AC620" s="346"/>
    </row>
    <row r="621" spans="1:29" ht="18.75" customHeight="1" x14ac:dyDescent="0.2">
      <c r="A621" s="341"/>
      <c r="B621" s="345"/>
      <c r="C621" s="442" t="str">
        <f t="shared" si="66"/>
        <v>Vol Flow</v>
      </c>
      <c r="D621" s="842" t="str">
        <f ca="1">D572</f>
        <v>m^3/d</v>
      </c>
      <c r="E621" s="842">
        <f t="shared" ca="1" si="67"/>
        <v>0</v>
      </c>
      <c r="F621" s="842">
        <f t="shared" ca="1" si="68"/>
        <v>1.5898729999984102E-15</v>
      </c>
      <c r="G621" s="842">
        <f t="shared" ca="1" si="69"/>
        <v>1.5898729999984102E-15</v>
      </c>
      <c r="H621" s="842">
        <f ca="1">G966</f>
        <v>2.6124093653873458E-18</v>
      </c>
      <c r="I621" s="842">
        <f ca="1">SUM(E621:H621)</f>
        <v>3.1823584093622077E-15</v>
      </c>
      <c r="J621" s="842">
        <f ca="1">J622/J626</f>
        <v>2.7863890940658877E-17</v>
      </c>
      <c r="K621" s="337"/>
      <c r="L621" s="842"/>
      <c r="M621" s="842"/>
      <c r="N621" s="842"/>
      <c r="O621" s="842"/>
      <c r="P621" s="842"/>
      <c r="Q621" s="842"/>
      <c r="R621" s="842"/>
      <c r="S621" s="842"/>
      <c r="T621" s="842"/>
      <c r="U621" s="842"/>
      <c r="V621" s="842"/>
      <c r="W621" s="842"/>
      <c r="X621" s="842"/>
      <c r="Y621" s="842"/>
      <c r="Z621" s="842"/>
      <c r="AA621" s="2209"/>
      <c r="AB621" s="2209"/>
      <c r="AC621" s="346"/>
    </row>
    <row r="622" spans="1:29" ht="18.75" customHeight="1" x14ac:dyDescent="0.2">
      <c r="A622" s="341"/>
      <c r="B622" s="345"/>
      <c r="C622" s="442" t="str">
        <f t="shared" si="66"/>
        <v>Mass Flow</v>
      </c>
      <c r="D622" s="842" t="str">
        <f t="shared" si="66"/>
        <v>kg/d</v>
      </c>
      <c r="E622" s="842">
        <f t="shared" ca="1" si="67"/>
        <v>0</v>
      </c>
      <c r="F622" s="842">
        <f t="shared" ca="1" si="68"/>
        <v>9.9999999999900004E-15</v>
      </c>
      <c r="G622" s="842">
        <f t="shared" ca="1" si="69"/>
        <v>9.9999999999900004E-15</v>
      </c>
      <c r="H622" s="842">
        <f ca="1">G967</f>
        <v>2.5026881720408908E-15</v>
      </c>
      <c r="I622" s="842">
        <f ca="1">SUM(E622:H622)</f>
        <v>2.250268817202089E-14</v>
      </c>
      <c r="J622" s="842">
        <f ca="1">D657</f>
        <v>2.5356140755999578E-14</v>
      </c>
      <c r="K622" s="337">
        <f ca="1">H632</f>
        <v>4.5005376344041782E-17</v>
      </c>
      <c r="L622" s="842"/>
      <c r="M622" s="842"/>
      <c r="N622" s="842"/>
      <c r="O622" s="842"/>
      <c r="P622" s="842"/>
      <c r="Q622" s="842"/>
      <c r="R622" s="842"/>
      <c r="S622" s="842"/>
      <c r="T622" s="842"/>
      <c r="U622" s="842"/>
      <c r="V622" s="842"/>
      <c r="W622" s="842"/>
      <c r="X622" s="842"/>
      <c r="Y622" s="842"/>
      <c r="Z622" s="842"/>
      <c r="AA622" s="2209"/>
      <c r="AB622" s="2209"/>
      <c r="AC622" s="346"/>
    </row>
    <row r="623" spans="1:29" ht="18.75" customHeight="1" x14ac:dyDescent="0.2">
      <c r="A623" s="341"/>
      <c r="B623" s="345"/>
      <c r="C623" s="442" t="str">
        <f t="shared" si="66"/>
        <v xml:space="preserve">Sulphur </v>
      </c>
      <c r="D623" s="842" t="str">
        <f t="shared" ref="D623:D628" ca="1" si="70">D574</f>
        <v>wt%</v>
      </c>
      <c r="E623" s="842">
        <f t="shared" ca="1" si="67"/>
        <v>0</v>
      </c>
      <c r="F623" s="842">
        <f t="shared" ca="1" si="68"/>
        <v>0</v>
      </c>
      <c r="G623" s="842">
        <f t="shared" ca="1" si="69"/>
        <v>0</v>
      </c>
      <c r="H623" s="842">
        <f ca="1">G968</f>
        <v>0</v>
      </c>
      <c r="I623" s="842">
        <f ca="1">(E622*E623+F622*F623+G622*G623+H622*H623)/I622</f>
        <v>0</v>
      </c>
      <c r="J623" s="842">
        <f ca="1">D649/J622*100</f>
        <v>0</v>
      </c>
      <c r="K623" s="337">
        <f ca="1">H634</f>
        <v>0</v>
      </c>
      <c r="L623" s="842"/>
      <c r="M623" s="842"/>
      <c r="N623" s="842"/>
      <c r="O623" s="842"/>
      <c r="P623" s="842"/>
      <c r="Q623" s="842"/>
      <c r="R623" s="842"/>
      <c r="S623" s="842"/>
      <c r="T623" s="842"/>
      <c r="U623" s="842"/>
      <c r="V623" s="842"/>
      <c r="W623" s="842"/>
      <c r="X623" s="842"/>
      <c r="Y623" s="842"/>
      <c r="Z623" s="842"/>
      <c r="AA623" s="2209"/>
      <c r="AB623" s="2209"/>
      <c r="AC623" s="346"/>
    </row>
    <row r="624" spans="1:29" ht="18.75" customHeight="1" x14ac:dyDescent="0.2">
      <c r="A624" s="341"/>
      <c r="B624" s="345"/>
      <c r="C624" s="442" t="str">
        <f t="shared" si="66"/>
        <v xml:space="preserve">Nitrogen </v>
      </c>
      <c r="D624" s="842" t="str">
        <f t="shared" ca="1" si="70"/>
        <v>mass ppm</v>
      </c>
      <c r="E624" s="842">
        <f t="shared" ca="1" si="67"/>
        <v>0</v>
      </c>
      <c r="F624" s="842">
        <f t="shared" ca="1" si="68"/>
        <v>0</v>
      </c>
      <c r="G624" s="842">
        <f t="shared" ca="1" si="69"/>
        <v>0</v>
      </c>
      <c r="H624" s="842">
        <f t="shared" si="65"/>
        <v>0</v>
      </c>
      <c r="I624" s="842">
        <f ca="1">(E622*E624+F622*F624+G622*G624+H622*H624)/I622</f>
        <v>0</v>
      </c>
      <c r="J624" s="410">
        <f>IF(CokingRefineryPFD!E37=1,0,I624)</f>
        <v>0</v>
      </c>
      <c r="K624" s="874">
        <v>0</v>
      </c>
      <c r="L624" s="842"/>
      <c r="M624" s="842"/>
      <c r="N624" s="842"/>
      <c r="O624" s="842"/>
      <c r="P624" s="842"/>
      <c r="Q624" s="842"/>
      <c r="R624" s="842"/>
      <c r="S624" s="842"/>
      <c r="T624" s="842"/>
      <c r="U624" s="842"/>
      <c r="V624" s="842"/>
      <c r="W624" s="842"/>
      <c r="X624" s="842"/>
      <c r="Y624" s="842"/>
      <c r="Z624" s="842"/>
      <c r="AA624" s="2209"/>
      <c r="AB624" s="2209"/>
      <c r="AC624" s="346"/>
    </row>
    <row r="625" spans="1:29" ht="18.75" customHeight="1" x14ac:dyDescent="0.2">
      <c r="A625" s="341"/>
      <c r="B625" s="345"/>
      <c r="C625" s="442" t="str">
        <f t="shared" si="66"/>
        <v xml:space="preserve">API gravity </v>
      </c>
      <c r="D625" s="842" t="str">
        <f t="shared" ca="1" si="70"/>
        <v>oAPI</v>
      </c>
      <c r="E625" s="842">
        <f t="shared" ca="1" si="67"/>
        <v>0</v>
      </c>
      <c r="F625" s="842">
        <f t="shared" ca="1" si="68"/>
        <v>0</v>
      </c>
      <c r="G625" s="842">
        <f t="shared" ca="1" si="69"/>
        <v>0</v>
      </c>
      <c r="H625" s="842">
        <f ca="1">G970</f>
        <v>16.203549060553797</v>
      </c>
      <c r="I625" s="842">
        <f ca="1">141.5/(I626/1000)-131.5</f>
        <v>19879.607627783127</v>
      </c>
      <c r="J625" s="842">
        <f>141.5/(J626/1000)-131.5</f>
        <v>23.994505494505489</v>
      </c>
      <c r="K625" s="337"/>
      <c r="L625" s="842"/>
      <c r="M625" s="842"/>
      <c r="N625" s="842"/>
      <c r="O625" s="842"/>
      <c r="P625" s="842"/>
      <c r="Q625" s="842"/>
      <c r="R625" s="842"/>
      <c r="S625" s="842"/>
      <c r="T625" s="842"/>
      <c r="U625" s="842"/>
      <c r="V625" s="842"/>
      <c r="W625" s="842"/>
      <c r="X625" s="842"/>
      <c r="Y625" s="842"/>
      <c r="Z625" s="842"/>
      <c r="AA625" s="2209"/>
      <c r="AB625" s="2209"/>
      <c r="AC625" s="346"/>
    </row>
    <row r="626" spans="1:29" ht="18.75" customHeight="1" x14ac:dyDescent="0.2">
      <c r="A626" s="341"/>
      <c r="B626" s="345"/>
      <c r="C626" s="442" t="str">
        <f t="shared" si="66"/>
        <v>Density</v>
      </c>
      <c r="D626" s="842" t="str">
        <f t="shared" ca="1" si="70"/>
        <v>kg/m^3</v>
      </c>
      <c r="E626" s="842">
        <f t="shared" ca="1" si="67"/>
        <v>0</v>
      </c>
      <c r="F626" s="842">
        <f t="shared" ca="1" si="68"/>
        <v>0</v>
      </c>
      <c r="G626" s="842">
        <f t="shared" ca="1" si="69"/>
        <v>0</v>
      </c>
      <c r="H626" s="842">
        <f ca="1">G971</f>
        <v>957.99999999992872</v>
      </c>
      <c r="I626" s="842">
        <f ca="1">I622/I621</f>
        <v>7.0710728577334461</v>
      </c>
      <c r="J626" s="842">
        <f>IF(CokingRefineryPFD!E37=1,910,I626)</f>
        <v>910</v>
      </c>
      <c r="K626" s="337"/>
      <c r="L626" s="842"/>
      <c r="M626" s="842"/>
      <c r="N626" s="842"/>
      <c r="O626" s="842"/>
      <c r="P626" s="842"/>
      <c r="Q626" s="842"/>
      <c r="R626" s="842"/>
      <c r="S626" s="842"/>
      <c r="T626" s="842"/>
      <c r="U626" s="842"/>
      <c r="V626" s="842"/>
      <c r="W626" s="842"/>
      <c r="X626" s="842"/>
      <c r="Y626" s="842"/>
      <c r="Z626" s="842"/>
      <c r="AA626" s="2209"/>
      <c r="AB626" s="2209"/>
      <c r="AC626" s="346"/>
    </row>
    <row r="627" spans="1:29" ht="18.75" customHeight="1" x14ac:dyDescent="0.2">
      <c r="A627" s="341"/>
      <c r="B627" s="345"/>
      <c r="C627" s="442" t="str">
        <f t="shared" si="66"/>
        <v>Hydrogen</v>
      </c>
      <c r="D627" s="842" t="str">
        <f t="shared" ca="1" si="70"/>
        <v>wt%</v>
      </c>
      <c r="E627" s="842">
        <f t="shared" ca="1" si="67"/>
        <v>0</v>
      </c>
      <c r="F627" s="842">
        <f t="shared" ca="1" si="68"/>
        <v>0</v>
      </c>
      <c r="G627" s="842">
        <f t="shared" ca="1" si="69"/>
        <v>0</v>
      </c>
      <c r="H627" s="842">
        <f ca="1">G972</f>
        <v>11.160000000000947</v>
      </c>
      <c r="I627" s="842">
        <f ca="1">(E627*E622+F627*F622+G627*G622+H627*H622)/I622</f>
        <v>1.2411850436031888</v>
      </c>
      <c r="J627" s="386">
        <f ca="1">IF(CokingRefineryPFD!E37=1,IF(I627&lt;12.5,12.5,(I622*I627/100+D651+D652+D654+D661-H632*H633/100)/(I622+D651+D652+D654+D661-I622*(I624-J624)/1000000-H632)*100),I627)</f>
        <v>12.5</v>
      </c>
      <c r="K627" s="337">
        <f ca="1">H633</f>
        <v>18.309736506983473</v>
      </c>
      <c r="L627" s="842"/>
      <c r="M627" s="842"/>
      <c r="N627" s="842"/>
      <c r="O627" s="842"/>
      <c r="P627" s="842"/>
      <c r="Q627" s="842"/>
      <c r="R627" s="842"/>
      <c r="S627" s="842"/>
      <c r="T627" s="842"/>
      <c r="U627" s="842"/>
      <c r="V627" s="842"/>
      <c r="W627" s="842"/>
      <c r="X627" s="842"/>
      <c r="Y627" s="842"/>
      <c r="Z627" s="842"/>
      <c r="AA627" s="2209"/>
      <c r="AB627" s="2209"/>
      <c r="AC627" s="346"/>
    </row>
    <row r="628" spans="1:29" ht="18.75" customHeight="1" x14ac:dyDescent="0.2">
      <c r="A628" s="341"/>
      <c r="B628" s="345"/>
      <c r="C628" s="443" t="str">
        <f t="shared" si="66"/>
        <v>MCR</v>
      </c>
      <c r="D628" s="334" t="str">
        <f t="shared" ca="1" si="70"/>
        <v>wt%</v>
      </c>
      <c r="E628" s="334">
        <f t="shared" ca="1" si="67"/>
        <v>0</v>
      </c>
      <c r="F628" s="334" t="str">
        <f ca="1">HydroRefineryCalcs!G523</f>
        <v/>
      </c>
      <c r="G628" s="334"/>
      <c r="H628" s="334">
        <f t="shared" si="65"/>
        <v>0</v>
      </c>
      <c r="I628" s="334" t="str">
        <f ca="1">'Assay Inventory'!L20</f>
        <v/>
      </c>
      <c r="J628" s="334">
        <v>0</v>
      </c>
      <c r="K628" s="338"/>
      <c r="L628" s="842"/>
      <c r="M628" s="842"/>
      <c r="N628" s="842"/>
      <c r="O628" s="842"/>
      <c r="P628" s="842"/>
      <c r="Q628" s="842"/>
      <c r="R628" s="842"/>
      <c r="S628" s="842"/>
      <c r="T628" s="842"/>
      <c r="U628" s="842"/>
      <c r="V628" s="842"/>
      <c r="W628" s="842"/>
      <c r="X628" s="842"/>
      <c r="Y628" s="842"/>
      <c r="Z628" s="842"/>
      <c r="AA628" s="2209"/>
      <c r="AB628" s="2209"/>
      <c r="AC628" s="346"/>
    </row>
    <row r="629" spans="1:29" ht="18.75" customHeight="1" x14ac:dyDescent="0.2">
      <c r="A629" s="341"/>
      <c r="B629" s="345"/>
      <c r="C629" s="437"/>
      <c r="D629" s="842"/>
      <c r="E629" s="842"/>
      <c r="F629" s="842"/>
      <c r="G629" s="842"/>
      <c r="H629" s="842"/>
      <c r="I629" s="842"/>
      <c r="J629" s="842"/>
      <c r="K629" s="842"/>
      <c r="L629" s="842"/>
      <c r="M629" s="842"/>
      <c r="N629" s="842"/>
      <c r="O629" s="842"/>
      <c r="P629" s="842"/>
      <c r="Q629" s="842"/>
      <c r="R629" s="842"/>
      <c r="S629" s="842"/>
      <c r="T629" s="842"/>
      <c r="U629" s="842"/>
      <c r="V629" s="842"/>
      <c r="W629" s="842"/>
      <c r="X629" s="842"/>
      <c r="Y629" s="842"/>
      <c r="Z629" s="842"/>
      <c r="AA629" s="2209"/>
      <c r="AB629" s="2209"/>
      <c r="AC629" s="346"/>
    </row>
    <row r="630" spans="1:29" ht="18.75" customHeight="1" x14ac:dyDescent="0.2">
      <c r="A630" s="341"/>
      <c r="B630" s="345"/>
      <c r="C630" s="843" t="s">
        <v>308</v>
      </c>
      <c r="D630" s="842"/>
      <c r="E630" s="842"/>
      <c r="F630" s="842"/>
      <c r="G630" s="843" t="s">
        <v>241</v>
      </c>
      <c r="H630" s="843"/>
      <c r="I630" s="842"/>
      <c r="J630" s="842"/>
      <c r="K630" s="842"/>
      <c r="L630" s="842"/>
      <c r="M630" s="842"/>
      <c r="N630" s="842"/>
      <c r="O630" s="842"/>
      <c r="P630" s="842"/>
      <c r="Q630" s="842"/>
      <c r="R630" s="842"/>
      <c r="S630" s="842"/>
      <c r="T630" s="842"/>
      <c r="U630" s="842"/>
      <c r="V630" s="842"/>
      <c r="W630" s="842"/>
      <c r="X630" s="842"/>
      <c r="Y630" s="842"/>
      <c r="Z630" s="842"/>
      <c r="AA630" s="2209"/>
      <c r="AB630" s="2209"/>
      <c r="AC630" s="346"/>
    </row>
    <row r="631" spans="1:29" ht="18.75" customHeight="1" x14ac:dyDescent="0.2">
      <c r="A631" s="341"/>
      <c r="B631" s="345"/>
      <c r="C631" s="855"/>
      <c r="D631" s="351" t="s">
        <v>233</v>
      </c>
      <c r="E631" s="352" t="s">
        <v>623</v>
      </c>
      <c r="F631" s="842"/>
      <c r="G631" s="855"/>
      <c r="H631" s="351" t="s">
        <v>624</v>
      </c>
      <c r="I631" s="352" t="s">
        <v>623</v>
      </c>
      <c r="J631" s="842"/>
      <c r="K631" s="842"/>
      <c r="L631" s="842"/>
      <c r="M631" s="842"/>
      <c r="N631" s="842"/>
      <c r="O631" s="842"/>
      <c r="P631" s="842"/>
      <c r="Q631" s="842"/>
      <c r="R631" s="842"/>
      <c r="S631" s="842"/>
      <c r="T631" s="842"/>
      <c r="U631" s="842"/>
      <c r="V631" s="842"/>
      <c r="W631" s="842"/>
      <c r="X631" s="842"/>
      <c r="Y631" s="842"/>
      <c r="Z631" s="842"/>
      <c r="AA631" s="2209"/>
      <c r="AB631" s="2209"/>
      <c r="AC631" s="346"/>
    </row>
    <row r="632" spans="1:29" ht="18.75" customHeight="1" x14ac:dyDescent="0.2">
      <c r="A632" s="341"/>
      <c r="B632" s="345"/>
      <c r="C632" s="452" t="s">
        <v>1780</v>
      </c>
      <c r="D632" s="1954">
        <f ca="1">IF(OR(HydroRefineryConfig=0,HydroRefineryConfig=2,HydroRefineryConfig=7),0,D651+D652+D659+D661+D654)</f>
        <v>0</v>
      </c>
      <c r="E632" s="338" t="s">
        <v>622</v>
      </c>
      <c r="F632" s="842"/>
      <c r="G632" s="856" t="s">
        <v>363</v>
      </c>
      <c r="H632" s="842">
        <f ca="1">D663+D664</f>
        <v>4.5005376344041782E-17</v>
      </c>
      <c r="I632" s="337" t="s">
        <v>622</v>
      </c>
      <c r="K632" s="842"/>
      <c r="L632" s="842"/>
      <c r="M632" s="842"/>
      <c r="N632" s="842"/>
      <c r="O632" s="842"/>
      <c r="P632" s="842"/>
      <c r="Q632" s="842"/>
      <c r="R632" s="842"/>
      <c r="S632" s="842"/>
      <c r="T632" s="842"/>
      <c r="U632" s="842"/>
      <c r="V632" s="842"/>
      <c r="W632" s="842"/>
      <c r="X632" s="842"/>
      <c r="Y632" s="842"/>
      <c r="Z632" s="842"/>
      <c r="AA632" s="2209"/>
      <c r="AB632" s="2209"/>
      <c r="AC632" s="346"/>
    </row>
    <row r="633" spans="1:29" ht="18.75" customHeight="1" x14ac:dyDescent="0.2">
      <c r="A633" s="341"/>
      <c r="B633" s="345"/>
      <c r="C633" s="453" t="s">
        <v>635</v>
      </c>
      <c r="D633" s="410">
        <f ca="1">IF(CokingRefineryPFD!E37=1,Constants!H148,0)</f>
        <v>107.01126379400964</v>
      </c>
      <c r="E633" s="337" t="s">
        <v>637</v>
      </c>
      <c r="F633" s="842"/>
      <c r="G633" s="856" t="s">
        <v>377</v>
      </c>
      <c r="H633" s="842">
        <f ca="1">(D662/100*D663+2/34*D664)/H632*100</f>
        <v>18.309736506983473</v>
      </c>
      <c r="I633" s="337" t="s">
        <v>579</v>
      </c>
      <c r="J633" s="842"/>
      <c r="K633" s="842"/>
      <c r="L633" s="842"/>
      <c r="M633" s="842"/>
      <c r="N633" s="842"/>
      <c r="O633" s="842"/>
      <c r="P633" s="842"/>
      <c r="Q633" s="842"/>
      <c r="R633" s="842"/>
      <c r="S633" s="842"/>
      <c r="T633" s="842"/>
      <c r="U633" s="842"/>
      <c r="V633" s="842"/>
      <c r="W633" s="842"/>
      <c r="X633" s="842"/>
      <c r="Y633" s="842"/>
      <c r="Z633" s="842"/>
      <c r="AA633" s="2209"/>
      <c r="AB633" s="2209"/>
      <c r="AC633" s="346"/>
    </row>
    <row r="634" spans="1:29" ht="18.75" customHeight="1" x14ac:dyDescent="0.2">
      <c r="A634" s="341"/>
      <c r="B634" s="345"/>
      <c r="C634" s="453" t="s">
        <v>634</v>
      </c>
      <c r="D634" s="842">
        <f ca="1">D633*'Energy &amp; Unit Conversions'!G82/'Energy &amp; Unit Conversions'!G80</f>
        <v>18.031955899292875</v>
      </c>
      <c r="E634" s="337" t="s">
        <v>636</v>
      </c>
      <c r="F634" s="842"/>
      <c r="G634" s="856" t="s">
        <v>378</v>
      </c>
      <c r="H634" s="842">
        <f ca="1">32/34*D664/H632*100</f>
        <v>0</v>
      </c>
      <c r="I634" s="337" t="s">
        <v>579</v>
      </c>
      <c r="J634" s="842"/>
      <c r="K634" s="842"/>
      <c r="L634" s="842"/>
      <c r="M634" s="842"/>
      <c r="N634" s="842"/>
      <c r="O634" s="842"/>
      <c r="P634" s="842"/>
      <c r="Q634" s="842"/>
      <c r="R634" s="842"/>
      <c r="S634" s="842"/>
      <c r="T634" s="842"/>
      <c r="U634" s="842"/>
      <c r="V634" s="842"/>
      <c r="W634" s="842"/>
      <c r="X634" s="842"/>
      <c r="Y634" s="842"/>
      <c r="Z634" s="842"/>
      <c r="AA634" s="2209"/>
      <c r="AB634" s="2209"/>
      <c r="AC634" s="346"/>
    </row>
    <row r="635" spans="1:29" ht="18.75" customHeight="1" x14ac:dyDescent="0.2">
      <c r="A635" s="341"/>
      <c r="B635" s="345"/>
      <c r="C635" s="453" t="s">
        <v>542</v>
      </c>
      <c r="D635" s="842">
        <f ca="1">D633*I620/1000</f>
        <v>2.1419836378839322E-15</v>
      </c>
      <c r="E635" s="337" t="s">
        <v>472</v>
      </c>
      <c r="F635" s="842"/>
      <c r="G635" s="856" t="s">
        <v>379</v>
      </c>
      <c r="H635" s="842">
        <f ca="1">H632/(D632+I622)*100</f>
        <v>0.2</v>
      </c>
      <c r="I635" s="337" t="s">
        <v>579</v>
      </c>
      <c r="J635" s="842"/>
      <c r="K635" s="842"/>
      <c r="L635" s="842"/>
      <c r="M635" s="842"/>
      <c r="N635" s="842"/>
      <c r="O635" s="842"/>
      <c r="P635" s="842"/>
      <c r="Q635" s="842"/>
      <c r="R635" s="842"/>
      <c r="S635" s="842"/>
      <c r="T635" s="842"/>
      <c r="U635" s="842"/>
      <c r="V635" s="842"/>
      <c r="W635" s="842"/>
      <c r="X635" s="842"/>
      <c r="Y635" s="842"/>
      <c r="Z635" s="842"/>
      <c r="AA635" s="2209"/>
      <c r="AB635" s="2209"/>
      <c r="AC635" s="346"/>
    </row>
    <row r="636" spans="1:29" ht="18.75" customHeight="1" x14ac:dyDescent="0.2">
      <c r="A636" s="341"/>
      <c r="B636" s="345"/>
      <c r="C636" s="453" t="s">
        <v>542</v>
      </c>
      <c r="D636" s="842">
        <f ca="1">D634*I621</f>
        <v>5.7384146493363154E-14</v>
      </c>
      <c r="E636" s="337" t="s">
        <v>628</v>
      </c>
      <c r="F636" s="842"/>
      <c r="G636" s="865" t="s">
        <v>1092</v>
      </c>
      <c r="H636" s="976">
        <f>IF(CokingRefineryPFD!E37=1,0.002,1E-88)</f>
        <v>2E-3</v>
      </c>
      <c r="I636" s="866" t="s">
        <v>1091</v>
      </c>
      <c r="J636" s="842"/>
      <c r="K636" s="842"/>
      <c r="L636" s="842"/>
      <c r="M636" s="842"/>
      <c r="N636" s="842"/>
      <c r="O636" s="842"/>
      <c r="P636" s="842"/>
      <c r="Q636" s="842"/>
      <c r="R636" s="842"/>
      <c r="S636" s="842"/>
      <c r="T636" s="842"/>
      <c r="U636" s="842"/>
      <c r="V636" s="842"/>
      <c r="W636" s="842"/>
      <c r="X636" s="842"/>
      <c r="Y636" s="842"/>
      <c r="Z636" s="842"/>
      <c r="AA636" s="2209"/>
      <c r="AB636" s="2209"/>
      <c r="AC636" s="346"/>
    </row>
    <row r="637" spans="1:29" ht="18.75" customHeight="1" x14ac:dyDescent="0.2">
      <c r="A637" s="341"/>
      <c r="B637" s="345"/>
      <c r="C637" s="452" t="s">
        <v>631</v>
      </c>
      <c r="D637" s="334">
        <f ca="1">D636*'Energy &amp; Unit Conversions'!P25*'Energy &amp; Unit Conversions'!G87</f>
        <v>2.4325524465300859E-17</v>
      </c>
      <c r="E637" s="338" t="s">
        <v>632</v>
      </c>
      <c r="F637" s="842"/>
      <c r="G637" s="842"/>
      <c r="H637" s="842"/>
      <c r="I637" s="842"/>
      <c r="J637" s="842"/>
      <c r="K637" s="842"/>
      <c r="L637" s="842"/>
      <c r="M637" s="842"/>
      <c r="N637" s="842"/>
      <c r="O637" s="842"/>
      <c r="P637" s="842"/>
      <c r="Q637" s="842"/>
      <c r="R637" s="842"/>
      <c r="S637" s="842"/>
      <c r="T637" s="842"/>
      <c r="U637" s="842"/>
      <c r="V637" s="842"/>
      <c r="W637" s="842"/>
      <c r="X637" s="842"/>
      <c r="Y637" s="842"/>
      <c r="Z637" s="842"/>
      <c r="AA637" s="2209"/>
      <c r="AB637" s="2209"/>
      <c r="AC637" s="346"/>
    </row>
    <row r="638" spans="1:29" ht="18.75" customHeight="1" x14ac:dyDescent="0.2">
      <c r="A638" s="341"/>
      <c r="B638" s="345"/>
      <c r="C638" s="453" t="s">
        <v>451</v>
      </c>
      <c r="D638" s="410">
        <f ca="1">IF(CokingRefineryPFD!E37=1,Constants!H149,0)</f>
        <v>2</v>
      </c>
      <c r="E638" s="337" t="s">
        <v>665</v>
      </c>
      <c r="F638" s="842"/>
      <c r="G638" s="842"/>
      <c r="H638" s="842"/>
      <c r="I638" s="842"/>
      <c r="J638" s="842"/>
      <c r="K638" s="842"/>
      <c r="L638" s="842"/>
      <c r="M638" s="842"/>
      <c r="N638" s="842"/>
      <c r="O638" s="842"/>
      <c r="P638" s="842"/>
      <c r="Q638" s="842"/>
      <c r="R638" s="842"/>
      <c r="S638" s="842"/>
      <c r="T638" s="842"/>
      <c r="U638" s="842"/>
      <c r="V638" s="842"/>
      <c r="W638" s="842"/>
      <c r="X638" s="842"/>
      <c r="Y638" s="842"/>
      <c r="Z638" s="842"/>
      <c r="AA638" s="2209"/>
      <c r="AB638" s="2209"/>
      <c r="AC638" s="346"/>
    </row>
    <row r="639" spans="1:29" ht="18.75" customHeight="1" x14ac:dyDescent="0.2">
      <c r="A639" s="341"/>
      <c r="B639" s="345"/>
      <c r="C639" s="453" t="s">
        <v>451</v>
      </c>
      <c r="D639" s="842">
        <f ca="1">D638/'Energy &amp; Unit Conversions'!G80</f>
        <v>12.57962113955014</v>
      </c>
      <c r="E639" s="337" t="s">
        <v>629</v>
      </c>
      <c r="F639" s="842"/>
      <c r="G639" s="842"/>
      <c r="H639" s="842"/>
      <c r="I639" s="842"/>
      <c r="J639" s="842"/>
      <c r="K639" s="842"/>
      <c r="L639" s="842"/>
      <c r="M639" s="842"/>
      <c r="N639" s="842"/>
      <c r="O639" s="842"/>
      <c r="P639" s="842"/>
      <c r="Q639" s="842"/>
      <c r="R639" s="842"/>
      <c r="S639" s="842"/>
      <c r="T639" s="842"/>
      <c r="U639" s="842"/>
      <c r="V639" s="842"/>
      <c r="W639" s="842"/>
      <c r="X639" s="842"/>
      <c r="Y639" s="842"/>
      <c r="Z639" s="842"/>
      <c r="AA639" s="2209"/>
      <c r="AB639" s="2209"/>
      <c r="AC639" s="346"/>
    </row>
    <row r="640" spans="1:29" ht="18.75" customHeight="1" x14ac:dyDescent="0.2">
      <c r="A640" s="341"/>
      <c r="B640" s="345"/>
      <c r="C640" s="452" t="s">
        <v>452</v>
      </c>
      <c r="D640" s="334">
        <f ca="1">D639*I621</f>
        <v>4.0032863120037988E-14</v>
      </c>
      <c r="E640" s="338" t="s">
        <v>627</v>
      </c>
      <c r="F640" s="842"/>
      <c r="G640" s="842"/>
      <c r="H640" s="1917"/>
      <c r="I640" s="842"/>
      <c r="J640" s="842"/>
      <c r="K640" s="842"/>
      <c r="L640" s="842"/>
      <c r="M640" s="842"/>
      <c r="N640" s="842"/>
      <c r="O640" s="842"/>
      <c r="P640" s="842"/>
      <c r="Q640" s="842"/>
      <c r="R640" s="842"/>
      <c r="S640" s="842"/>
      <c r="T640" s="842"/>
      <c r="U640" s="842"/>
      <c r="V640" s="842"/>
      <c r="W640" s="842"/>
      <c r="X640" s="842"/>
      <c r="Y640" s="842"/>
      <c r="Z640" s="842"/>
      <c r="AA640" s="2209"/>
      <c r="AB640" s="2209"/>
      <c r="AC640" s="346"/>
    </row>
    <row r="641" spans="1:29" ht="18.75" customHeight="1" x14ac:dyDescent="0.2">
      <c r="A641" s="341"/>
      <c r="B641" s="345"/>
      <c r="C641" s="453" t="s">
        <v>485</v>
      </c>
      <c r="D641" s="410">
        <f ca="1">IF(CokingRefineryPFD!E37=1,Constants!H151,0)</f>
        <v>6</v>
      </c>
      <c r="E641" s="337" t="s">
        <v>496</v>
      </c>
      <c r="F641" s="842"/>
      <c r="G641" s="842"/>
      <c r="H641" s="842"/>
      <c r="I641" s="842"/>
      <c r="J641" s="842"/>
      <c r="K641" s="842"/>
      <c r="L641" s="842"/>
      <c r="M641" s="842"/>
      <c r="N641" s="842"/>
      <c r="O641" s="842"/>
      <c r="P641" s="842"/>
      <c r="Q641" s="842"/>
      <c r="R641" s="842"/>
      <c r="S641" s="842"/>
      <c r="T641" s="842"/>
      <c r="U641" s="842"/>
      <c r="V641" s="842"/>
      <c r="W641" s="842"/>
      <c r="X641" s="842"/>
      <c r="Y641" s="842"/>
      <c r="Z641" s="842"/>
      <c r="AA641" s="2209"/>
      <c r="AB641" s="2209"/>
      <c r="AC641" s="346"/>
    </row>
    <row r="642" spans="1:29" ht="18.75" customHeight="1" x14ac:dyDescent="0.2">
      <c r="A642" s="341"/>
      <c r="B642" s="345"/>
      <c r="C642" s="453" t="s">
        <v>485</v>
      </c>
      <c r="D642" s="842">
        <f ca="1">D641*'Energy &amp; Unit Conversions'!G79/'Energy &amp; Unit Conversions'!G80</f>
        <v>17.11806049917195</v>
      </c>
      <c r="E642" s="337" t="s">
        <v>581</v>
      </c>
      <c r="F642" s="842"/>
      <c r="G642" s="842"/>
      <c r="H642" s="842"/>
      <c r="I642" s="842"/>
      <c r="J642" s="842"/>
      <c r="K642" s="842"/>
      <c r="L642" s="842"/>
      <c r="M642" s="842"/>
      <c r="N642" s="842"/>
      <c r="O642" s="842"/>
      <c r="P642" s="842"/>
      <c r="Q642" s="842"/>
      <c r="R642" s="842"/>
      <c r="S642" s="842"/>
      <c r="T642" s="842"/>
      <c r="U642" s="842"/>
      <c r="V642" s="842"/>
      <c r="W642" s="842"/>
      <c r="X642" s="842"/>
      <c r="Y642" s="842"/>
      <c r="Z642" s="842"/>
      <c r="AA642" s="2209"/>
      <c r="AB642" s="2209"/>
      <c r="AC642" s="346"/>
    </row>
    <row r="643" spans="1:29" ht="18.75" customHeight="1" x14ac:dyDescent="0.2">
      <c r="A643" s="341"/>
      <c r="B643" s="345"/>
      <c r="C643" s="452" t="s">
        <v>485</v>
      </c>
      <c r="D643" s="334">
        <f ca="1">D642*I621</f>
        <v>5.4475803781510883E-14</v>
      </c>
      <c r="E643" s="338" t="s">
        <v>622</v>
      </c>
      <c r="F643" s="842"/>
      <c r="G643" s="842"/>
      <c r="H643" s="842"/>
      <c r="I643" s="842"/>
      <c r="J643" s="842"/>
      <c r="K643" s="842"/>
      <c r="L643" s="842"/>
      <c r="M643" s="842"/>
      <c r="N643" s="842"/>
      <c r="O643" s="842"/>
      <c r="P643" s="842"/>
      <c r="Q643" s="842"/>
      <c r="R643" s="842"/>
      <c r="S643" s="842"/>
      <c r="T643" s="842"/>
      <c r="U643" s="842"/>
      <c r="V643" s="842"/>
      <c r="W643" s="842"/>
      <c r="X643" s="842"/>
      <c r="Y643" s="842"/>
      <c r="Z643" s="842"/>
      <c r="AA643" s="2209"/>
      <c r="AB643" s="2209"/>
      <c r="AC643" s="346"/>
    </row>
    <row r="644" spans="1:29" ht="18.75" customHeight="1" x14ac:dyDescent="0.2">
      <c r="A644" s="341"/>
      <c r="B644" s="345"/>
      <c r="C644" s="437"/>
      <c r="D644" s="842"/>
      <c r="E644" s="842"/>
      <c r="F644" s="842"/>
      <c r="G644" s="842"/>
      <c r="H644" s="842"/>
      <c r="I644" s="842"/>
      <c r="J644" s="842"/>
      <c r="K644" s="842"/>
      <c r="L644" s="842"/>
      <c r="M644" s="842"/>
      <c r="N644" s="842"/>
      <c r="O644" s="842"/>
      <c r="P644" s="842"/>
      <c r="Q644" s="842"/>
      <c r="R644" s="842"/>
      <c r="S644" s="842"/>
      <c r="T644" s="842"/>
      <c r="U644" s="842"/>
      <c r="V644" s="842"/>
      <c r="W644" s="842"/>
      <c r="X644" s="842"/>
      <c r="Y644" s="842"/>
      <c r="Z644" s="842"/>
      <c r="AA644" s="2209"/>
      <c r="AB644" s="2209"/>
      <c r="AC644" s="346"/>
    </row>
    <row r="645" spans="1:29" ht="18.75" customHeight="1" x14ac:dyDescent="0.2">
      <c r="A645" s="341"/>
      <c r="B645" s="345"/>
      <c r="C645" s="843" t="s">
        <v>387</v>
      </c>
      <c r="D645" s="842"/>
      <c r="E645" s="842"/>
      <c r="F645" s="842"/>
      <c r="G645" s="842"/>
      <c r="H645" s="842"/>
      <c r="I645" s="842"/>
      <c r="J645" s="842"/>
      <c r="K645" s="842"/>
      <c r="L645" s="842"/>
      <c r="M645" s="842"/>
      <c r="N645" s="842"/>
      <c r="O645" s="842"/>
      <c r="P645" s="842"/>
      <c r="Q645" s="842"/>
      <c r="R645" s="842"/>
      <c r="S645" s="842"/>
      <c r="T645" s="842"/>
      <c r="U645" s="842"/>
      <c r="V645" s="842"/>
      <c r="W645" s="842"/>
      <c r="X645" s="842"/>
      <c r="Y645" s="842"/>
      <c r="Z645" s="842"/>
      <c r="AA645" s="2209"/>
      <c r="AB645" s="2209"/>
      <c r="AC645" s="346"/>
    </row>
    <row r="646" spans="1:29" ht="18.75" customHeight="1" x14ac:dyDescent="0.2">
      <c r="A646" s="341"/>
      <c r="B646" s="345"/>
      <c r="C646" s="454" t="s">
        <v>1389</v>
      </c>
      <c r="D646" s="862">
        <f>IF(CokingRefineryPFD!E37=1,0.999,0)</f>
        <v>0.999</v>
      </c>
      <c r="E646" s="369" t="s">
        <v>579</v>
      </c>
      <c r="F646" s="842"/>
      <c r="G646" s="842"/>
      <c r="H646" s="842"/>
      <c r="I646" s="842"/>
      <c r="J646" s="842"/>
      <c r="K646" s="842"/>
      <c r="L646" s="842"/>
      <c r="M646" s="842"/>
      <c r="N646" s="842"/>
      <c r="O646" s="842"/>
      <c r="P646" s="842"/>
      <c r="Q646" s="842"/>
      <c r="R646" s="842"/>
      <c r="S646" s="842"/>
      <c r="T646" s="842"/>
      <c r="U646" s="842"/>
      <c r="V646" s="842"/>
      <c r="W646" s="842"/>
      <c r="X646" s="842"/>
      <c r="Y646" s="842"/>
      <c r="Z646" s="842"/>
      <c r="AA646" s="2209"/>
      <c r="AB646" s="2209"/>
      <c r="AC646" s="346"/>
    </row>
    <row r="647" spans="1:29" ht="18.75" customHeight="1" x14ac:dyDescent="0.2">
      <c r="A647" s="341"/>
      <c r="B647" s="345"/>
      <c r="C647" s="453" t="s">
        <v>64</v>
      </c>
      <c r="D647" s="842">
        <f ca="1">I622*I623/100</f>
        <v>0</v>
      </c>
      <c r="E647" s="337" t="s">
        <v>59</v>
      </c>
      <c r="F647" s="842"/>
      <c r="G647" s="842"/>
      <c r="H647" s="842"/>
      <c r="I647" s="842"/>
      <c r="J647" s="842"/>
      <c r="K647" s="842"/>
      <c r="L647" s="842"/>
      <c r="M647" s="842"/>
      <c r="N647" s="842"/>
      <c r="O647" s="842"/>
      <c r="P647" s="842"/>
      <c r="Q647" s="842"/>
      <c r="R647" s="842"/>
      <c r="S647" s="842"/>
      <c r="T647" s="842"/>
      <c r="U647" s="842"/>
      <c r="V647" s="842"/>
      <c r="W647" s="842"/>
      <c r="X647" s="842"/>
      <c r="Y647" s="842"/>
      <c r="Z647" s="842"/>
      <c r="AA647" s="2209"/>
      <c r="AB647" s="2209"/>
      <c r="AC647" s="346"/>
    </row>
    <row r="648" spans="1:29" ht="18.75" customHeight="1" x14ac:dyDescent="0.2">
      <c r="A648" s="341"/>
      <c r="B648" s="345"/>
      <c r="C648" s="453" t="s">
        <v>58</v>
      </c>
      <c r="D648" s="842">
        <f ca="1">D647*D646</f>
        <v>0</v>
      </c>
      <c r="E648" s="337" t="s">
        <v>59</v>
      </c>
      <c r="F648" s="842"/>
      <c r="G648" s="842"/>
      <c r="H648" s="842"/>
      <c r="I648" s="842"/>
      <c r="J648" s="842"/>
      <c r="K648" s="842"/>
      <c r="L648" s="842"/>
      <c r="M648" s="842"/>
      <c r="N648" s="842"/>
      <c r="O648" s="842"/>
      <c r="P648" s="842"/>
      <c r="Q648" s="842"/>
      <c r="R648" s="842"/>
      <c r="S648" s="842"/>
      <c r="T648" s="842"/>
      <c r="U648" s="842"/>
      <c r="V648" s="842"/>
      <c r="W648" s="842"/>
      <c r="X648" s="842"/>
      <c r="Y648" s="842"/>
      <c r="Z648" s="842"/>
      <c r="AA648" s="2209"/>
      <c r="AB648" s="2209"/>
      <c r="AC648" s="346"/>
    </row>
    <row r="649" spans="1:29" ht="18.75" customHeight="1" x14ac:dyDescent="0.2">
      <c r="A649" s="341"/>
      <c r="B649" s="345"/>
      <c r="C649" s="453" t="s">
        <v>740</v>
      </c>
      <c r="D649" s="842">
        <f ca="1">D647-D648</f>
        <v>0</v>
      </c>
      <c r="E649" s="337" t="s">
        <v>59</v>
      </c>
      <c r="F649" s="842"/>
      <c r="G649" s="842"/>
      <c r="H649" s="842"/>
      <c r="I649" s="842"/>
      <c r="J649" s="842"/>
      <c r="K649" s="842"/>
      <c r="L649" s="842"/>
      <c r="M649" s="842"/>
      <c r="N649" s="842"/>
      <c r="O649" s="842"/>
      <c r="P649" s="842"/>
      <c r="Q649" s="842"/>
      <c r="R649" s="842"/>
      <c r="S649" s="842"/>
      <c r="T649" s="842"/>
      <c r="U649" s="842"/>
      <c r="V649" s="842"/>
      <c r="W649" s="842"/>
      <c r="X649" s="842"/>
      <c r="Y649" s="842"/>
      <c r="Z649" s="842"/>
      <c r="AA649" s="2209"/>
      <c r="AB649" s="2209"/>
      <c r="AC649" s="346"/>
    </row>
    <row r="650" spans="1:29" ht="18.75" customHeight="1" x14ac:dyDescent="0.2">
      <c r="A650" s="341"/>
      <c r="B650" s="345"/>
      <c r="C650" s="453" t="s">
        <v>60</v>
      </c>
      <c r="D650" s="842">
        <f ca="1">D647-D649</f>
        <v>0</v>
      </c>
      <c r="E650" s="337" t="s">
        <v>59</v>
      </c>
      <c r="F650" s="842"/>
      <c r="G650" s="842"/>
      <c r="H650" s="842"/>
      <c r="I650" s="842"/>
      <c r="J650" s="842"/>
      <c r="K650" s="842"/>
      <c r="L650" s="842"/>
      <c r="M650" s="842"/>
      <c r="N650" s="842"/>
      <c r="O650" s="842"/>
      <c r="P650" s="842"/>
      <c r="Q650" s="842"/>
      <c r="R650" s="842"/>
      <c r="S650" s="842"/>
      <c r="T650" s="842"/>
      <c r="U650" s="842"/>
      <c r="V650" s="842"/>
      <c r="W650" s="842"/>
      <c r="X650" s="842"/>
      <c r="Y650" s="842"/>
      <c r="Z650" s="842"/>
      <c r="AA650" s="2209"/>
      <c r="AB650" s="2209"/>
      <c r="AC650" s="346"/>
    </row>
    <row r="651" spans="1:29" ht="18.75" customHeight="1" x14ac:dyDescent="0.2">
      <c r="A651" s="341"/>
      <c r="B651" s="345"/>
      <c r="C651" s="453" t="s">
        <v>1395</v>
      </c>
      <c r="D651" s="842">
        <f ca="1">2/32*D650</f>
        <v>0</v>
      </c>
      <c r="E651" s="337" t="s">
        <v>622</v>
      </c>
      <c r="F651" s="842"/>
      <c r="G651" s="842"/>
      <c r="H651" s="842"/>
      <c r="I651" s="842"/>
      <c r="J651" s="842"/>
      <c r="K651" s="842"/>
      <c r="L651" s="842"/>
      <c r="M651" s="842"/>
      <c r="N651" s="842"/>
      <c r="O651" s="842"/>
      <c r="P651" s="842"/>
      <c r="Q651" s="842"/>
      <c r="R651" s="842"/>
      <c r="S651" s="842"/>
      <c r="T651" s="842"/>
      <c r="U651" s="842"/>
      <c r="V651" s="842"/>
      <c r="W651" s="842"/>
      <c r="X651" s="842"/>
      <c r="Y651" s="842"/>
      <c r="Z651" s="842"/>
      <c r="AA651" s="2209"/>
      <c r="AB651" s="2209"/>
      <c r="AC651" s="346"/>
    </row>
    <row r="652" spans="1:29" ht="18.75" customHeight="1" x14ac:dyDescent="0.2">
      <c r="A652" s="341"/>
      <c r="B652" s="345"/>
      <c r="C652" s="453" t="s">
        <v>68</v>
      </c>
      <c r="D652" s="842">
        <f ca="1">D651</f>
        <v>0</v>
      </c>
      <c r="E652" s="337" t="s">
        <v>622</v>
      </c>
      <c r="F652" s="842"/>
      <c r="G652" s="842"/>
      <c r="H652" s="842"/>
      <c r="I652" s="842"/>
      <c r="J652" s="842"/>
      <c r="K652" s="842"/>
      <c r="L652" s="842"/>
      <c r="M652" s="842"/>
      <c r="N652" s="842"/>
      <c r="O652" s="842"/>
      <c r="P652" s="842"/>
      <c r="Q652" s="842"/>
      <c r="R652" s="842"/>
      <c r="S652" s="842"/>
      <c r="T652" s="842"/>
      <c r="U652" s="842"/>
      <c r="V652" s="842"/>
      <c r="W652" s="842"/>
      <c r="X652" s="842"/>
      <c r="Y652" s="842"/>
      <c r="Z652" s="842"/>
      <c r="AA652" s="2209"/>
      <c r="AB652" s="2209"/>
      <c r="AC652" s="346"/>
    </row>
    <row r="653" spans="1:29" ht="18.75" customHeight="1" x14ac:dyDescent="0.2">
      <c r="A653" s="341"/>
      <c r="B653" s="345"/>
      <c r="C653" s="453" t="s">
        <v>1393</v>
      </c>
      <c r="D653" s="842" t="e">
        <f ca="1">(D652+D651)*'Energy &amp; Unit Conversions'!$E$93/'Energy &amp; Unit Conversions'!$E$26*'Energy &amp; Unit Conversions'!$G$82/I621/(I623-J623)</f>
        <v>#DIV/0!</v>
      </c>
      <c r="E653" s="337" t="s">
        <v>904</v>
      </c>
      <c r="F653" s="842"/>
      <c r="G653" s="842"/>
      <c r="H653" s="842"/>
      <c r="I653" s="842"/>
      <c r="J653" s="842"/>
      <c r="K653" s="842"/>
      <c r="L653" s="842"/>
      <c r="M653" s="842"/>
      <c r="N653" s="842"/>
      <c r="O653" s="842"/>
      <c r="P653" s="842"/>
      <c r="Q653" s="842"/>
      <c r="R653" s="842"/>
      <c r="S653" s="842"/>
      <c r="T653" s="842"/>
      <c r="U653" s="842"/>
      <c r="V653" s="842"/>
      <c r="W653" s="842"/>
      <c r="X653" s="842"/>
      <c r="Y653" s="842"/>
      <c r="Z653" s="842"/>
      <c r="AA653" s="2209"/>
      <c r="AB653" s="2209"/>
      <c r="AC653" s="346"/>
    </row>
    <row r="654" spans="1:29" ht="18.75" customHeight="1" x14ac:dyDescent="0.2">
      <c r="A654" s="341"/>
      <c r="B654" s="345"/>
      <c r="C654" s="453" t="s">
        <v>905</v>
      </c>
      <c r="D654" s="842">
        <f ca="1">D655*I621*(I624-J624)/10000/'Energy &amp; Unit Conversions'!$G$82*'Energy &amp; Unit Conversions'!$E$26/'Energy &amp; Unit Conversions'!$E$93</f>
        <v>0</v>
      </c>
      <c r="E654" s="337" t="s">
        <v>622</v>
      </c>
      <c r="F654" s="842"/>
      <c r="G654" s="842"/>
      <c r="H654" s="842"/>
      <c r="I654" s="842"/>
      <c r="J654" s="842"/>
      <c r="K654" s="842"/>
      <c r="L654" s="842"/>
      <c r="M654" s="842"/>
      <c r="N654" s="842"/>
      <c r="O654" s="842"/>
      <c r="P654" s="842"/>
      <c r="Q654" s="842"/>
      <c r="R654" s="842"/>
      <c r="S654" s="842"/>
      <c r="T654" s="842"/>
      <c r="U654" s="842"/>
      <c r="V654" s="842"/>
      <c r="W654" s="842"/>
      <c r="X654" s="842"/>
      <c r="Y654" s="842"/>
      <c r="Z654" s="842"/>
      <c r="AA654" s="2209"/>
      <c r="AB654" s="2209"/>
      <c r="AC654" s="346"/>
    </row>
    <row r="655" spans="1:29" ht="18.75" customHeight="1" x14ac:dyDescent="0.2">
      <c r="A655" s="341"/>
      <c r="B655" s="345"/>
      <c r="C655" s="881" t="s">
        <v>905</v>
      </c>
      <c r="D655" s="410">
        <f>IF(CokingRefineryPFD!E37=1,59,0)</f>
        <v>59</v>
      </c>
      <c r="E655" s="337" t="s">
        <v>904</v>
      </c>
      <c r="F655" s="842"/>
      <c r="G655" s="842"/>
      <c r="H655" s="842"/>
      <c r="I655" s="842"/>
      <c r="J655" s="842"/>
      <c r="K655" s="842"/>
      <c r="L655" s="842"/>
      <c r="M655" s="842"/>
      <c r="N655" s="842"/>
      <c r="O655" s="842"/>
      <c r="P655" s="842"/>
      <c r="Q655" s="842"/>
      <c r="R655" s="842"/>
      <c r="S655" s="842"/>
      <c r="T655" s="842"/>
      <c r="U655" s="842"/>
      <c r="V655" s="842"/>
      <c r="W655" s="842"/>
      <c r="X655" s="842"/>
      <c r="Y655" s="842"/>
      <c r="Z655" s="842"/>
      <c r="AA655" s="2209"/>
      <c r="AB655" s="2209"/>
      <c r="AC655" s="346"/>
    </row>
    <row r="656" spans="1:29" ht="18.75" customHeight="1" x14ac:dyDescent="0.2">
      <c r="A656" s="341"/>
      <c r="B656" s="345"/>
      <c r="C656" s="881" t="s">
        <v>1316</v>
      </c>
      <c r="D656" s="842">
        <f ca="1">I627/100*I622</f>
        <v>2.7929999999978708E-16</v>
      </c>
      <c r="E656" s="337" t="s">
        <v>622</v>
      </c>
      <c r="F656" s="842"/>
      <c r="G656" s="842"/>
      <c r="H656" s="842"/>
      <c r="I656" s="842"/>
      <c r="J656" s="842"/>
      <c r="K656" s="842"/>
      <c r="L656" s="842"/>
      <c r="M656" s="842"/>
      <c r="N656" s="842"/>
      <c r="O656" s="842"/>
      <c r="P656" s="842"/>
      <c r="Q656" s="842"/>
      <c r="R656" s="842"/>
      <c r="S656" s="842"/>
      <c r="T656" s="842"/>
      <c r="U656" s="842"/>
      <c r="V656" s="842"/>
      <c r="W656" s="842"/>
      <c r="X656" s="842"/>
      <c r="Y656" s="842"/>
      <c r="Z656" s="842"/>
      <c r="AA656" s="2209"/>
      <c r="AB656" s="2209"/>
      <c r="AC656" s="346"/>
    </row>
    <row r="657" spans="1:29" ht="18.75" customHeight="1" x14ac:dyDescent="0.2">
      <c r="A657" s="341"/>
      <c r="B657" s="345"/>
      <c r="C657" s="881" t="s">
        <v>1741</v>
      </c>
      <c r="D657" s="842">
        <f ca="1">IF(CokingRefineryPFD!E37=1,D658/(1-J627/100),I622)</f>
        <v>2.5356140755999578E-14</v>
      </c>
      <c r="E657" s="337" t="s">
        <v>622</v>
      </c>
      <c r="F657" s="842"/>
      <c r="G657" s="842"/>
      <c r="H657" s="842"/>
      <c r="I657" s="842"/>
      <c r="J657" s="842"/>
      <c r="K657" s="842"/>
      <c r="L657" s="842"/>
      <c r="M657" s="842"/>
      <c r="N657" s="842"/>
      <c r="O657" s="842"/>
      <c r="P657" s="842"/>
      <c r="Q657" s="842"/>
      <c r="R657" s="842"/>
      <c r="S657" s="842"/>
      <c r="T657" s="842"/>
      <c r="U657" s="842"/>
      <c r="V657" s="842"/>
      <c r="W657" s="842"/>
      <c r="X657" s="842"/>
      <c r="Y657" s="842"/>
      <c r="Z657" s="842"/>
      <c r="AA657" s="2209"/>
      <c r="AB657" s="2209"/>
      <c r="AC657" s="346"/>
    </row>
    <row r="658" spans="1:29" ht="18.75" customHeight="1" x14ac:dyDescent="0.2">
      <c r="A658" s="341"/>
      <c r="B658" s="345"/>
      <c r="C658" s="881" t="s">
        <v>1317</v>
      </c>
      <c r="D658" s="842">
        <f ca="1">I622*(1-I627/100-I623/100-I624/1000000)-D660</f>
        <v>2.2186623161499631E-14</v>
      </c>
      <c r="E658" s="337" t="s">
        <v>622</v>
      </c>
      <c r="F658" s="842"/>
      <c r="G658" s="842"/>
      <c r="H658" s="842"/>
      <c r="I658" s="842"/>
      <c r="J658" s="842"/>
      <c r="K658" s="842"/>
      <c r="L658" s="842"/>
      <c r="M658" s="842"/>
      <c r="N658" s="842"/>
      <c r="O658" s="842"/>
      <c r="P658" s="842"/>
      <c r="Q658" s="842"/>
      <c r="R658" s="842"/>
      <c r="S658" s="842"/>
      <c r="T658" s="842"/>
      <c r="U658" s="842"/>
      <c r="V658" s="842"/>
      <c r="W658" s="842"/>
      <c r="X658" s="842"/>
      <c r="Y658" s="842"/>
      <c r="Z658" s="842"/>
      <c r="AA658" s="2209"/>
      <c r="AB658" s="2209"/>
      <c r="AC658" s="346"/>
    </row>
    <row r="659" spans="1:29" ht="18.75" customHeight="1" x14ac:dyDescent="0.2">
      <c r="A659" s="341"/>
      <c r="B659" s="345"/>
      <c r="C659" s="881" t="s">
        <v>1779</v>
      </c>
      <c r="D659" s="842">
        <f ca="1">D657*(J627/100)-D656-D651-D654</f>
        <v>2.8902175945001603E-15</v>
      </c>
      <c r="E659" s="337" t="s">
        <v>622</v>
      </c>
      <c r="F659" s="842"/>
      <c r="G659" s="842"/>
      <c r="H659" s="842"/>
      <c r="I659" s="842"/>
      <c r="J659" s="842"/>
      <c r="K659" s="842"/>
      <c r="L659" s="842"/>
      <c r="M659" s="842"/>
      <c r="N659" s="842"/>
      <c r="O659" s="842"/>
      <c r="P659" s="842"/>
      <c r="Q659" s="842"/>
      <c r="R659" s="842"/>
      <c r="S659" s="842"/>
      <c r="T659" s="842"/>
      <c r="U659" s="842"/>
      <c r="V659" s="842"/>
      <c r="W659" s="842"/>
      <c r="X659" s="842"/>
      <c r="Y659" s="842"/>
      <c r="Z659" s="842"/>
      <c r="AA659" s="2209"/>
      <c r="AB659" s="2209"/>
      <c r="AC659" s="346"/>
    </row>
    <row r="660" spans="1:29" ht="18.75" customHeight="1" x14ac:dyDescent="0.2">
      <c r="A660" s="341"/>
      <c r="B660" s="345"/>
      <c r="C660" s="881" t="s">
        <v>1318</v>
      </c>
      <c r="D660" s="842">
        <f ca="1">D663*(1-D662/100)</f>
        <v>3.6765010521471456E-17</v>
      </c>
      <c r="E660" s="337" t="s">
        <v>622</v>
      </c>
      <c r="F660" s="842"/>
      <c r="G660" s="842"/>
      <c r="H660" s="842"/>
      <c r="I660" s="842"/>
      <c r="J660" s="842"/>
      <c r="K660" s="842"/>
      <c r="L660" s="842"/>
      <c r="M660" s="842"/>
      <c r="N660" s="842"/>
      <c r="O660" s="842"/>
      <c r="P660" s="842"/>
      <c r="Q660" s="842"/>
      <c r="R660" s="842"/>
      <c r="S660" s="842"/>
      <c r="T660" s="842"/>
      <c r="U660" s="842"/>
      <c r="V660" s="842"/>
      <c r="W660" s="842"/>
      <c r="X660" s="842"/>
      <c r="Y660" s="842"/>
      <c r="Z660" s="842"/>
      <c r="AA660" s="2209"/>
      <c r="AB660" s="2209"/>
      <c r="AC660" s="346"/>
    </row>
    <row r="661" spans="1:29" ht="18.75" customHeight="1" x14ac:dyDescent="0.2">
      <c r="A661" s="341"/>
      <c r="B661" s="345"/>
      <c r="C661" s="881" t="s">
        <v>1319</v>
      </c>
      <c r="D661" s="842">
        <f ca="1">D663*(D662/100)</f>
        <v>8.2403658225703228E-18</v>
      </c>
      <c r="E661" s="337" t="s">
        <v>622</v>
      </c>
      <c r="F661" s="842"/>
      <c r="G661" s="842"/>
      <c r="H661" s="842"/>
      <c r="I661" s="842"/>
      <c r="J661" s="842"/>
      <c r="K661" s="842"/>
      <c r="L661" s="842"/>
      <c r="M661" s="842"/>
      <c r="N661" s="842"/>
      <c r="O661" s="842"/>
      <c r="P661" s="842"/>
      <c r="Q661" s="842"/>
      <c r="R661" s="842"/>
      <c r="S661" s="842"/>
      <c r="T661" s="842"/>
      <c r="U661" s="842"/>
      <c r="V661" s="842"/>
      <c r="W661" s="842"/>
      <c r="X661" s="842"/>
      <c r="Y661" s="842"/>
      <c r="Z661" s="842"/>
      <c r="AA661" s="2209"/>
      <c r="AB661" s="2209"/>
      <c r="AC661" s="346"/>
    </row>
    <row r="662" spans="1:29" ht="18.75" customHeight="1" x14ac:dyDescent="0.2">
      <c r="A662" s="341"/>
      <c r="B662" s="345"/>
      <c r="C662" s="881" t="s">
        <v>375</v>
      </c>
      <c r="D662" s="410">
        <f>Constants!N397</f>
        <v>18.309736506983477</v>
      </c>
      <c r="E662" s="337" t="s">
        <v>579</v>
      </c>
      <c r="F662" s="842"/>
      <c r="G662" s="842"/>
      <c r="H662" s="842"/>
      <c r="I662" s="842"/>
      <c r="J662" s="842"/>
      <c r="K662" s="842"/>
      <c r="L662" s="842"/>
      <c r="M662" s="842"/>
      <c r="N662" s="842"/>
      <c r="O662" s="842"/>
      <c r="P662" s="842"/>
      <c r="Q662" s="842"/>
      <c r="R662" s="842"/>
      <c r="S662" s="842"/>
      <c r="T662" s="842"/>
      <c r="U662" s="842"/>
      <c r="V662" s="842"/>
      <c r="W662" s="842"/>
      <c r="X662" s="842"/>
      <c r="Y662" s="842"/>
      <c r="Z662" s="842"/>
      <c r="AA662" s="2209"/>
      <c r="AB662" s="2209"/>
      <c r="AC662" s="346"/>
    </row>
    <row r="663" spans="1:29" ht="18.75" customHeight="1" x14ac:dyDescent="0.2">
      <c r="A663" s="341"/>
      <c r="B663" s="345"/>
      <c r="C663" s="881" t="s">
        <v>385</v>
      </c>
      <c r="D663" s="842">
        <f ca="1">I622*H636</f>
        <v>4.5005376344041782E-17</v>
      </c>
      <c r="E663" s="337" t="s">
        <v>622</v>
      </c>
      <c r="F663" s="842"/>
      <c r="G663" s="842"/>
      <c r="H663" s="842"/>
      <c r="I663" s="842"/>
      <c r="J663" s="842"/>
      <c r="K663" s="842"/>
      <c r="L663" s="842"/>
      <c r="M663" s="842"/>
      <c r="N663" s="842"/>
      <c r="O663" s="842"/>
      <c r="P663" s="842"/>
      <c r="Q663" s="842"/>
      <c r="R663" s="842"/>
      <c r="S663" s="842"/>
      <c r="T663" s="842"/>
      <c r="U663" s="842"/>
      <c r="V663" s="842"/>
      <c r="W663" s="842"/>
      <c r="X663" s="842"/>
      <c r="Y663" s="842"/>
      <c r="Z663" s="842"/>
      <c r="AA663" s="2209"/>
      <c r="AB663" s="2209"/>
      <c r="AC663" s="346"/>
    </row>
    <row r="664" spans="1:29" ht="18.75" customHeight="1" x14ac:dyDescent="0.2">
      <c r="A664" s="341"/>
      <c r="B664" s="345"/>
      <c r="C664" s="881" t="s">
        <v>384</v>
      </c>
      <c r="D664" s="842">
        <f ca="1">D650+D652</f>
        <v>0</v>
      </c>
      <c r="E664" s="337" t="s">
        <v>622</v>
      </c>
      <c r="F664" s="842"/>
      <c r="G664" s="842"/>
      <c r="H664" s="842"/>
      <c r="I664" s="842"/>
      <c r="J664" s="842"/>
      <c r="K664" s="842"/>
      <c r="L664" s="842"/>
      <c r="M664" s="842"/>
      <c r="N664" s="842"/>
      <c r="O664" s="842"/>
      <c r="P664" s="842"/>
      <c r="Q664" s="842"/>
      <c r="R664" s="842"/>
      <c r="S664" s="842"/>
      <c r="T664" s="842"/>
      <c r="U664" s="842"/>
      <c r="V664" s="842"/>
      <c r="W664" s="842"/>
      <c r="X664" s="842"/>
      <c r="Y664" s="842"/>
      <c r="Z664" s="842"/>
      <c r="AA664" s="2209"/>
      <c r="AB664" s="2209"/>
      <c r="AC664" s="346"/>
    </row>
    <row r="665" spans="1:29" ht="18.75" customHeight="1" x14ac:dyDescent="0.2">
      <c r="A665" s="341"/>
      <c r="B665" s="345"/>
      <c r="C665" s="872" t="s">
        <v>948</v>
      </c>
      <c r="D665" s="725">
        <f ca="1">J623-D323/10000</f>
        <v>0</v>
      </c>
      <c r="E665" s="338"/>
      <c r="F665" s="842"/>
      <c r="G665" s="842"/>
      <c r="H665" s="842"/>
      <c r="I665" s="842"/>
      <c r="J665" s="842"/>
      <c r="K665" s="842"/>
      <c r="L665" s="842"/>
      <c r="M665" s="842"/>
      <c r="N665" s="842"/>
      <c r="O665" s="842"/>
      <c r="P665" s="842"/>
      <c r="Q665" s="842"/>
      <c r="R665" s="842"/>
      <c r="S665" s="842"/>
      <c r="T665" s="842"/>
      <c r="U665" s="842"/>
      <c r="V665" s="842"/>
      <c r="W665" s="842"/>
      <c r="X665" s="842"/>
      <c r="Y665" s="842"/>
      <c r="Z665" s="842"/>
      <c r="AA665" s="2209"/>
      <c r="AB665" s="2209"/>
      <c r="AC665" s="346"/>
    </row>
    <row r="666" spans="1:29" ht="18.75" customHeight="1" x14ac:dyDescent="0.2">
      <c r="A666" s="341"/>
      <c r="B666" s="345"/>
      <c r="C666" s="437"/>
      <c r="D666" s="842"/>
      <c r="E666" s="842"/>
      <c r="F666" s="842"/>
      <c r="G666" s="842"/>
      <c r="H666" s="842"/>
      <c r="I666" s="842"/>
      <c r="J666" s="842"/>
      <c r="K666" s="842"/>
      <c r="L666" s="842"/>
      <c r="M666" s="842"/>
      <c r="N666" s="842"/>
      <c r="O666" s="842"/>
      <c r="P666" s="842"/>
      <c r="Q666" s="842"/>
      <c r="R666" s="842"/>
      <c r="S666" s="842"/>
      <c r="T666" s="842"/>
      <c r="U666" s="842"/>
      <c r="V666" s="842"/>
      <c r="W666" s="842"/>
      <c r="X666" s="842"/>
      <c r="Y666" s="842"/>
      <c r="Z666" s="842"/>
      <c r="AA666" s="2209"/>
      <c r="AB666" s="2209"/>
      <c r="AC666" s="346"/>
    </row>
    <row r="667" spans="1:29" ht="26.25" x14ac:dyDescent="0.2">
      <c r="A667" s="341"/>
      <c r="B667" s="699"/>
      <c r="C667" s="603" t="s">
        <v>1423</v>
      </c>
      <c r="D667" s="603"/>
      <c r="E667" s="842"/>
      <c r="F667" s="842"/>
      <c r="G667" s="842"/>
      <c r="H667" s="842"/>
      <c r="I667" s="842"/>
      <c r="J667" s="842"/>
      <c r="K667" s="842"/>
      <c r="L667" s="842"/>
      <c r="M667" s="842"/>
      <c r="N667" s="842"/>
      <c r="O667" s="842"/>
      <c r="P667" s="842"/>
      <c r="Q667" s="842"/>
      <c r="R667" s="842"/>
      <c r="S667" s="842"/>
      <c r="T667" s="842"/>
      <c r="U667" s="842"/>
      <c r="V667" s="842"/>
      <c r="W667" s="842"/>
      <c r="X667" s="842"/>
      <c r="Y667" s="842"/>
      <c r="Z667" s="842"/>
      <c r="AA667" s="2209"/>
      <c r="AB667" s="2209"/>
      <c r="AC667" s="346"/>
    </row>
    <row r="668" spans="1:29" ht="18.75" customHeight="1" x14ac:dyDescent="0.2">
      <c r="A668" s="341"/>
      <c r="B668" s="345"/>
      <c r="C668" s="437"/>
      <c r="D668" s="842"/>
      <c r="E668" s="426"/>
      <c r="F668" s="839"/>
      <c r="G668" s="839"/>
      <c r="H668" s="839"/>
      <c r="I668" s="842"/>
      <c r="J668" s="842"/>
      <c r="K668" s="842"/>
      <c r="L668" s="842"/>
      <c r="M668" s="842"/>
      <c r="N668" s="842"/>
      <c r="O668" s="842"/>
      <c r="P668" s="842"/>
      <c r="Q668" s="842"/>
      <c r="R668" s="842"/>
      <c r="S668" s="842"/>
      <c r="T668" s="842"/>
      <c r="U668" s="842"/>
      <c r="V668" s="842"/>
      <c r="W668" s="842"/>
      <c r="X668" s="842"/>
      <c r="Y668" s="842"/>
      <c r="Z668" s="842"/>
      <c r="AA668" s="2209"/>
      <c r="AB668" s="2209"/>
      <c r="AC668" s="346"/>
    </row>
    <row r="669" spans="1:29" ht="18.75" customHeight="1" x14ac:dyDescent="0.2">
      <c r="A669" s="341"/>
      <c r="B669" s="345"/>
      <c r="C669" s="843" t="s">
        <v>569</v>
      </c>
      <c r="D669" s="842"/>
      <c r="E669" s="839"/>
      <c r="F669" s="839"/>
      <c r="G669" s="839"/>
      <c r="H669" s="839"/>
      <c r="I669" s="842"/>
      <c r="J669" s="842"/>
      <c r="K669" s="842"/>
      <c r="L669" s="842"/>
      <c r="M669" s="842"/>
      <c r="N669" s="842"/>
      <c r="O669" s="842"/>
      <c r="P669" s="842"/>
      <c r="Q669" s="842"/>
      <c r="R669" s="842"/>
      <c r="S669" s="842"/>
      <c r="T669" s="842"/>
      <c r="U669" s="842"/>
      <c r="V669" s="842"/>
      <c r="W669" s="842"/>
      <c r="X669" s="842"/>
      <c r="Y669" s="842"/>
      <c r="Z669" s="842"/>
      <c r="AA669" s="2209"/>
      <c r="AB669" s="2209"/>
      <c r="AC669" s="346"/>
    </row>
    <row r="670" spans="1:29" ht="18.75" customHeight="1" x14ac:dyDescent="0.2">
      <c r="A670" s="341"/>
      <c r="B670" s="345"/>
      <c r="C670" s="441" t="s">
        <v>568</v>
      </c>
      <c r="D670" s="351" t="s">
        <v>623</v>
      </c>
      <c r="E670" s="356" t="s">
        <v>479</v>
      </c>
      <c r="F670" s="351" t="s">
        <v>373</v>
      </c>
      <c r="G670" s="351" t="s">
        <v>492</v>
      </c>
      <c r="H670" s="351" t="s">
        <v>482</v>
      </c>
      <c r="I670" s="356" t="s">
        <v>605</v>
      </c>
      <c r="J670" s="356" t="s">
        <v>639</v>
      </c>
      <c r="K670" s="356" t="s">
        <v>603</v>
      </c>
      <c r="L670" s="352" t="s">
        <v>604</v>
      </c>
      <c r="M670" s="842"/>
      <c r="N670" s="842"/>
      <c r="O670" s="842"/>
      <c r="P670" s="842"/>
      <c r="Q670" s="842"/>
      <c r="R670" s="842"/>
      <c r="S670" s="842"/>
      <c r="T670" s="842"/>
      <c r="U670" s="842"/>
      <c r="V670" s="842"/>
      <c r="W670" s="842"/>
      <c r="X670" s="842"/>
      <c r="Y670" s="842"/>
      <c r="Z670" s="842"/>
      <c r="AA670" s="2209"/>
      <c r="AB670" s="2209"/>
      <c r="AC670" s="346"/>
    </row>
    <row r="671" spans="1:29" ht="18.75" customHeight="1" x14ac:dyDescent="0.2">
      <c r="A671" s="341"/>
      <c r="B671" s="345"/>
      <c r="C671" s="442" t="s">
        <v>582</v>
      </c>
      <c r="D671" s="842" t="s">
        <v>566</v>
      </c>
      <c r="E671" s="842">
        <f ca="1">HydroRefineryCalcs!J620</f>
        <v>1.7525859575361602E-16</v>
      </c>
      <c r="F671" s="842"/>
      <c r="G671" s="842">
        <f ca="1">G719</f>
        <v>1.2758825770863247E-17</v>
      </c>
      <c r="H671" s="842">
        <f ca="1">J719</f>
        <v>1.109931633782867E-16</v>
      </c>
      <c r="I671" s="842">
        <f ca="1">M719</f>
        <v>3.752595814959779E-17</v>
      </c>
      <c r="J671" s="842">
        <f ca="1">P719</f>
        <v>2.4317563969219553E-17</v>
      </c>
      <c r="K671" s="842">
        <f ca="1">SUM(G671:J671)</f>
        <v>1.8559551126796729E-16</v>
      </c>
      <c r="L671" s="337"/>
      <c r="M671" s="842"/>
      <c r="N671" s="842"/>
      <c r="O671" s="842"/>
      <c r="P671" s="842"/>
      <c r="Q671" s="842"/>
      <c r="R671" s="842"/>
      <c r="S671" s="842"/>
      <c r="T671" s="842"/>
      <c r="U671" s="842"/>
      <c r="V671" s="842"/>
      <c r="W671" s="842"/>
      <c r="X671" s="842"/>
      <c r="Y671" s="842"/>
      <c r="Z671" s="842"/>
      <c r="AA671" s="2209"/>
      <c r="AB671" s="2209"/>
      <c r="AC671" s="346"/>
    </row>
    <row r="672" spans="1:29" ht="18.75" customHeight="1" x14ac:dyDescent="0.2">
      <c r="A672" s="341"/>
      <c r="B672" s="345"/>
      <c r="C672" s="442" t="s">
        <v>582</v>
      </c>
      <c r="D672" s="842" t="s">
        <v>628</v>
      </c>
      <c r="E672" s="842">
        <f ca="1">HydroRefineryCalcs!J621</f>
        <v>2.7863890940658877E-17</v>
      </c>
      <c r="F672" s="842"/>
      <c r="G672" s="842">
        <f ca="1">G718</f>
        <v>2.0284912604799663E-18</v>
      </c>
      <c r="H672" s="842">
        <f ca="1">J718</f>
        <v>1.764650336397268E-17</v>
      </c>
      <c r="I672" s="842">
        <f ca="1">M718</f>
        <v>5.9661507661175488E-18</v>
      </c>
      <c r="J672" s="842">
        <f ca="1">P718</f>
        <v>3.8661838380435E-18</v>
      </c>
      <c r="K672" s="842">
        <f ca="1">SUM(G672:J672)</f>
        <v>2.9507329228613699E-17</v>
      </c>
      <c r="L672" s="337"/>
      <c r="M672" s="842"/>
      <c r="N672" s="842"/>
      <c r="O672" s="842"/>
      <c r="P672" s="842"/>
      <c r="Q672" s="842"/>
      <c r="R672" s="842"/>
      <c r="S672" s="842"/>
      <c r="T672" s="842"/>
      <c r="U672" s="842"/>
      <c r="V672" s="842"/>
      <c r="W672" s="842"/>
      <c r="X672" s="842"/>
      <c r="Y672" s="842"/>
      <c r="Z672" s="842"/>
      <c r="AA672" s="2209"/>
      <c r="AB672" s="2209"/>
      <c r="AC672" s="346"/>
    </row>
    <row r="673" spans="1:29" ht="18.75" customHeight="1" x14ac:dyDescent="0.2">
      <c r="A673" s="341"/>
      <c r="B673" s="345"/>
      <c r="C673" s="442" t="s">
        <v>620</v>
      </c>
      <c r="D673" s="842" t="s">
        <v>622</v>
      </c>
      <c r="E673" s="842">
        <f ca="1">HydroRefineryCalcs!J622</f>
        <v>2.5356140755999578E-14</v>
      </c>
      <c r="F673" s="842">
        <f ca="1">D716</f>
        <v>8.3675264494798612E-16</v>
      </c>
      <c r="G673" s="842">
        <f ca="1">G716</f>
        <v>1.2678070377999791E-15</v>
      </c>
      <c r="H673" s="842">
        <f ca="1">J716</f>
        <v>1.3058412489339784E-14</v>
      </c>
      <c r="I673" s="842">
        <f ca="1">M716</f>
        <v>5.0712281511999163E-15</v>
      </c>
      <c r="J673" s="842">
        <f ca="1">P716</f>
        <v>3.9048456764239353E-15</v>
      </c>
      <c r="K673" s="842">
        <f ca="1">SUM(G673:J673)</f>
        <v>2.3302293354763614E-14</v>
      </c>
      <c r="L673" s="337">
        <f ca="1">D719</f>
        <v>1.2170947562879799E-15</v>
      </c>
      <c r="M673" s="842"/>
      <c r="N673" s="842"/>
      <c r="O673" s="842"/>
      <c r="P673" s="842"/>
      <c r="Q673" s="842"/>
      <c r="R673" s="842"/>
      <c r="S673" s="842"/>
      <c r="T673" s="842"/>
      <c r="U673" s="842"/>
      <c r="V673" s="842"/>
      <c r="W673" s="842"/>
      <c r="X673" s="842"/>
      <c r="Y673" s="842"/>
      <c r="Z673" s="842"/>
      <c r="AA673" s="2209"/>
      <c r="AB673" s="2209"/>
      <c r="AC673" s="346"/>
    </row>
    <row r="674" spans="1:29" ht="18.75" customHeight="1" x14ac:dyDescent="0.2">
      <c r="A674" s="341"/>
      <c r="B674" s="345"/>
      <c r="C674" s="442" t="s">
        <v>578</v>
      </c>
      <c r="D674" s="842" t="s">
        <v>579</v>
      </c>
      <c r="E674" s="842">
        <f ca="1">HydroRefineryCalcs!J623</f>
        <v>0</v>
      </c>
      <c r="F674" s="842">
        <f ca="1">IF(Constants!$H$236=1,O704,K691)</f>
        <v>0</v>
      </c>
      <c r="G674" s="842">
        <f ca="1">IF(Constants!$H$236=1,O705,K692)</f>
        <v>0</v>
      </c>
      <c r="H674" s="842">
        <f ca="1">IF(Constants!$H$236=1,O706,K693)</f>
        <v>0</v>
      </c>
      <c r="I674" s="842">
        <f ca="1">IF(Constants!$H$236=1,O707,K694)</f>
        <v>0</v>
      </c>
      <c r="J674" s="842">
        <f ca="1">IF(Constants!$H$236=1,O708,K695)</f>
        <v>0</v>
      </c>
      <c r="K674" s="842">
        <f ca="1">SUMPRODUCT(G673:J673,G674:J674)/K673</f>
        <v>0</v>
      </c>
      <c r="L674" s="337">
        <f ca="1">IF(Constants!$H$236=1,O709,K696)</f>
        <v>0</v>
      </c>
      <c r="M674" s="842"/>
      <c r="N674" s="842"/>
      <c r="O674" s="842"/>
      <c r="P674" s="842"/>
      <c r="Q674" s="842"/>
      <c r="R674" s="842"/>
      <c r="S674" s="842"/>
      <c r="T674" s="842"/>
      <c r="U674" s="842"/>
      <c r="V674" s="842"/>
      <c r="W674" s="842"/>
      <c r="X674" s="842"/>
      <c r="Y674" s="842"/>
      <c r="Z674" s="842"/>
      <c r="AA674" s="2209"/>
      <c r="AB674" s="2209"/>
      <c r="AC674" s="346"/>
    </row>
    <row r="675" spans="1:29" ht="18.75" customHeight="1" x14ac:dyDescent="0.2">
      <c r="A675" s="341"/>
      <c r="B675" s="345"/>
      <c r="C675" s="442" t="s">
        <v>567</v>
      </c>
      <c r="D675" s="842"/>
      <c r="E675" s="842">
        <f>HydroRefineryCalcs!J625</f>
        <v>23.994505494505489</v>
      </c>
      <c r="F675" s="842"/>
      <c r="G675" s="842">
        <f>141.5/(G676/1000)-131.5</f>
        <v>94.9</v>
      </c>
      <c r="H675" s="842">
        <f>141.5/(H676/1000)-131.5</f>
        <v>59.716216216216225</v>
      </c>
      <c r="I675" s="842">
        <f>141.5/(I676/1000)-131.5</f>
        <v>34.970588235294116</v>
      </c>
      <c r="J675" s="842">
        <f>141.5/(J676/1000)-131.5</f>
        <v>8.5990099009900973</v>
      </c>
      <c r="K675" s="842">
        <f ca="1">141.5/(K676/1000)-131.5</f>
        <v>47.679234519219449</v>
      </c>
      <c r="L675" s="337"/>
      <c r="M675" s="842"/>
      <c r="N675" s="842"/>
      <c r="O675" s="842"/>
      <c r="P675" s="842"/>
      <c r="Q675" s="842"/>
      <c r="R675" s="842"/>
      <c r="S675" s="842"/>
      <c r="T675" s="842"/>
      <c r="U675" s="842"/>
      <c r="V675" s="842"/>
      <c r="W675" s="842"/>
      <c r="X675" s="842"/>
      <c r="Y675" s="842"/>
      <c r="Z675" s="842"/>
      <c r="AA675" s="2209"/>
      <c r="AB675" s="2209"/>
      <c r="AC675" s="346"/>
    </row>
    <row r="676" spans="1:29" ht="18.75" customHeight="1" x14ac:dyDescent="0.2">
      <c r="A676" s="341"/>
      <c r="B676" s="345"/>
      <c r="C676" s="442" t="s">
        <v>580</v>
      </c>
      <c r="D676" s="842" t="s">
        <v>581</v>
      </c>
      <c r="E676" s="842">
        <f>HydroRefineryCalcs!J626</f>
        <v>910</v>
      </c>
      <c r="F676" s="842"/>
      <c r="G676" s="842">
        <f>G717</f>
        <v>625</v>
      </c>
      <c r="H676" s="842">
        <f>J717</f>
        <v>740</v>
      </c>
      <c r="I676" s="842">
        <f>M717</f>
        <v>850</v>
      </c>
      <c r="J676" s="842">
        <f>P717</f>
        <v>1010</v>
      </c>
      <c r="K676" s="842">
        <f ca="1">K673/K672</f>
        <v>789.71204659780017</v>
      </c>
      <c r="L676" s="337"/>
      <c r="M676" s="842"/>
      <c r="N676" s="842"/>
      <c r="O676" s="842"/>
      <c r="P676" s="842"/>
      <c r="Q676" s="842"/>
      <c r="R676" s="842"/>
      <c r="S676" s="842"/>
      <c r="T676" s="842"/>
      <c r="U676" s="842"/>
      <c r="V676" s="842"/>
      <c r="W676" s="842"/>
      <c r="X676" s="842"/>
      <c r="Y676" s="842"/>
      <c r="Z676" s="842"/>
      <c r="AA676" s="2209"/>
      <c r="AB676" s="2209"/>
      <c r="AC676" s="346"/>
    </row>
    <row r="677" spans="1:29" ht="18.75" customHeight="1" x14ac:dyDescent="0.2">
      <c r="A677" s="341"/>
      <c r="B677" s="345"/>
      <c r="C677" s="442" t="s">
        <v>621</v>
      </c>
      <c r="D677" s="842" t="s">
        <v>579</v>
      </c>
      <c r="E677" s="842">
        <f ca="1">HydroRefineryCalcs!J627</f>
        <v>12.5</v>
      </c>
      <c r="F677" s="842">
        <f ca="1">IF(Constants!$H$236=1,T704,P691)</f>
        <v>22.79696969696969</v>
      </c>
      <c r="G677" s="842">
        <f ca="1">IF(Constants!$H$236=1,T705,P692)</f>
        <v>16.099999999999998</v>
      </c>
      <c r="H677" s="842">
        <f ca="1">IF(Constants!$H$236=1,T706,P693)</f>
        <v>14.499999999999998</v>
      </c>
      <c r="I677" s="842">
        <f ca="1">IF(Constants!$H$236=1,T707,P694)</f>
        <v>9.7999999999999989</v>
      </c>
      <c r="J677" s="842">
        <f ca="1">IF(Constants!$H$236=1,T708,P695)</f>
        <v>8</v>
      </c>
      <c r="K677" s="842">
        <f ca="1">(G673*G677+H673*H677+I673*I677+J673*J677)/K673</f>
        <v>12.474972796517951</v>
      </c>
      <c r="L677" s="337">
        <f ca="1">IF(Constants!$H$236=1,T709,P696)</f>
        <v>5.8999999999999995</v>
      </c>
      <c r="M677" s="842"/>
      <c r="N677" s="842"/>
      <c r="O677" s="842"/>
      <c r="P677" s="842"/>
      <c r="Q677" s="842"/>
      <c r="R677" s="842"/>
      <c r="S677" s="842"/>
      <c r="T677" s="842"/>
      <c r="U677" s="842"/>
      <c r="V677" s="842"/>
      <c r="W677" s="842"/>
      <c r="X677" s="842"/>
      <c r="Y677" s="842"/>
      <c r="Z677" s="842"/>
      <c r="AA677" s="2209"/>
      <c r="AB677" s="2209"/>
      <c r="AC677" s="346"/>
    </row>
    <row r="678" spans="1:29" ht="18.75" customHeight="1" x14ac:dyDescent="0.2">
      <c r="A678" s="341"/>
      <c r="B678" s="345"/>
      <c r="C678" s="443" t="s">
        <v>544</v>
      </c>
      <c r="D678" s="334" t="s">
        <v>579</v>
      </c>
      <c r="E678" s="334">
        <f>HydroRefineryCalcs!J628</f>
        <v>0</v>
      </c>
      <c r="F678" s="334">
        <f ca="1">IF(Constants!$H$236=1,T706,L693)</f>
        <v>14.499999999999998</v>
      </c>
      <c r="G678" s="334">
        <f ca="1">IF(Constants!$H$236=1,T707,L694)</f>
        <v>9.7999999999999989</v>
      </c>
      <c r="H678" s="334">
        <f ca="1">IF(Constants!$H$236=1,T708,L695)</f>
        <v>8</v>
      </c>
      <c r="I678" s="334">
        <f ca="1">IF(Constants!$H$236=1,T709,L696)</f>
        <v>5.8999999999999995</v>
      </c>
      <c r="J678" s="334">
        <f>IF(Constants!$H$236=1,T710,L697)</f>
        <v>0</v>
      </c>
      <c r="K678" s="334" t="e">
        <f ca="1">(G674*G678+H674*H678+I674*I678+J674*J678)/K674</f>
        <v>#DIV/0!</v>
      </c>
      <c r="L678" s="338">
        <f>IF(Constants!$H$236=1,T711,N698)</f>
        <v>0</v>
      </c>
      <c r="M678" s="842"/>
      <c r="N678" s="842"/>
      <c r="O678" s="842"/>
      <c r="P678" s="842"/>
      <c r="Q678" s="842"/>
      <c r="R678" s="842"/>
      <c r="S678" s="842"/>
      <c r="T678" s="842"/>
      <c r="U678" s="842"/>
      <c r="V678" s="842"/>
      <c r="W678" s="842"/>
      <c r="X678" s="842"/>
      <c r="Y678" s="842"/>
      <c r="Z678" s="842"/>
      <c r="AA678" s="2209"/>
      <c r="AB678" s="2209"/>
      <c r="AC678" s="346"/>
    </row>
    <row r="679" spans="1:29" ht="18.75" customHeight="1" x14ac:dyDescent="0.2">
      <c r="A679" s="341"/>
      <c r="B679" s="345"/>
      <c r="C679" s="444"/>
      <c r="D679" s="842"/>
      <c r="E679" s="842"/>
      <c r="F679" s="842"/>
      <c r="G679" s="842"/>
      <c r="H679" s="842"/>
      <c r="I679" s="842"/>
      <c r="J679" s="842"/>
      <c r="K679" s="842"/>
      <c r="L679" s="842"/>
      <c r="M679" s="842"/>
      <c r="N679" s="842"/>
      <c r="O679" s="842"/>
      <c r="P679" s="842"/>
      <c r="Q679" s="842"/>
      <c r="R679" s="842"/>
      <c r="S679" s="842"/>
      <c r="T679" s="842"/>
      <c r="U679" s="842"/>
      <c r="V679" s="842"/>
      <c r="W679" s="842"/>
      <c r="X679" s="842"/>
      <c r="Y679" s="842"/>
      <c r="Z679" s="842"/>
      <c r="AA679" s="2209"/>
      <c r="AB679" s="2209"/>
      <c r="AC679" s="346"/>
    </row>
    <row r="680" spans="1:29" ht="18.75" customHeight="1" x14ac:dyDescent="0.2">
      <c r="A680" s="341"/>
      <c r="B680" s="345"/>
      <c r="C680" s="843" t="s">
        <v>308</v>
      </c>
      <c r="D680" s="842"/>
      <c r="E680" s="842"/>
      <c r="F680" s="842"/>
      <c r="G680" s="843" t="s">
        <v>241</v>
      </c>
      <c r="H680" s="842"/>
      <c r="I680" s="842"/>
      <c r="J680" s="842"/>
      <c r="K680" s="842"/>
      <c r="L680" s="842"/>
      <c r="M680" s="842"/>
      <c r="N680" s="842"/>
      <c r="O680" s="842"/>
      <c r="P680" s="842"/>
      <c r="Q680" s="842"/>
      <c r="R680" s="842"/>
      <c r="S680" s="842"/>
      <c r="T680" s="842"/>
      <c r="U680" s="842"/>
      <c r="V680" s="842"/>
      <c r="W680" s="842"/>
      <c r="X680" s="842"/>
      <c r="Y680" s="842"/>
      <c r="Z680" s="842"/>
      <c r="AA680" s="2209"/>
      <c r="AB680" s="2209"/>
      <c r="AC680" s="346"/>
    </row>
    <row r="681" spans="1:29" ht="18.75" customHeight="1" x14ac:dyDescent="0.2">
      <c r="A681" s="341"/>
      <c r="B681" s="345"/>
      <c r="C681" s="855"/>
      <c r="D681" s="351" t="s">
        <v>233</v>
      </c>
      <c r="E681" s="352" t="s">
        <v>623</v>
      </c>
      <c r="F681" s="842"/>
      <c r="G681" s="855"/>
      <c r="H681" s="351" t="s">
        <v>624</v>
      </c>
      <c r="I681" s="352" t="s">
        <v>623</v>
      </c>
      <c r="J681" s="842"/>
      <c r="K681" s="842"/>
      <c r="L681" s="842"/>
      <c r="M681" s="842"/>
      <c r="N681" s="842"/>
      <c r="O681" s="842"/>
      <c r="P681" s="842"/>
      <c r="Q681" s="842"/>
      <c r="R681" s="842"/>
      <c r="S681" s="842"/>
      <c r="T681" s="842"/>
      <c r="U681" s="842"/>
      <c r="V681" s="842"/>
      <c r="W681" s="842"/>
      <c r="X681" s="842"/>
      <c r="Y681" s="842"/>
      <c r="Z681" s="842"/>
      <c r="AA681" s="2209"/>
      <c r="AB681" s="2209"/>
      <c r="AC681" s="346"/>
    </row>
    <row r="682" spans="1:29" ht="18.75" customHeight="1" x14ac:dyDescent="0.2">
      <c r="A682" s="341"/>
      <c r="B682" s="345"/>
      <c r="C682" s="453" t="s">
        <v>451</v>
      </c>
      <c r="D682" s="410">
        <f>Constants!F233</f>
        <v>0.7</v>
      </c>
      <c r="E682" s="337" t="s">
        <v>665</v>
      </c>
      <c r="F682" s="842"/>
      <c r="G682" s="856" t="s">
        <v>590</v>
      </c>
      <c r="H682" s="842">
        <f>D718</f>
        <v>4.8</v>
      </c>
      <c r="I682" s="337" t="s">
        <v>602</v>
      </c>
      <c r="J682" s="842"/>
      <c r="K682" s="842"/>
      <c r="L682" s="842"/>
      <c r="M682" s="842"/>
      <c r="N682" s="842"/>
      <c r="O682" s="842"/>
      <c r="P682" s="842"/>
      <c r="Q682" s="842"/>
      <c r="R682" s="842"/>
      <c r="S682" s="842"/>
      <c r="T682" s="842"/>
      <c r="U682" s="842"/>
      <c r="V682" s="842"/>
      <c r="W682" s="842"/>
      <c r="X682" s="842"/>
      <c r="Y682" s="842"/>
      <c r="Z682" s="842"/>
      <c r="AA682" s="2209"/>
      <c r="AB682" s="2209"/>
      <c r="AC682" s="346"/>
    </row>
    <row r="683" spans="1:29" ht="18.75" customHeight="1" x14ac:dyDescent="0.2">
      <c r="A683" s="341"/>
      <c r="B683" s="345"/>
      <c r="C683" s="453" t="s">
        <v>451</v>
      </c>
      <c r="D683" s="842">
        <f>D682/'Energy &amp; Unit Conversions'!G80</f>
        <v>4.4028673988425489</v>
      </c>
      <c r="E683" s="337" t="s">
        <v>629</v>
      </c>
      <c r="F683" s="842"/>
      <c r="G683" s="856" t="s">
        <v>552</v>
      </c>
      <c r="H683" s="842">
        <f ca="1">D719</f>
        <v>1.2170947562879799E-15</v>
      </c>
      <c r="I683" s="337" t="s">
        <v>622</v>
      </c>
      <c r="J683" s="842"/>
      <c r="K683" s="842"/>
      <c r="L683" s="842"/>
      <c r="M683" s="842"/>
      <c r="N683" s="842"/>
      <c r="O683" s="842"/>
      <c r="P683" s="842"/>
      <c r="Q683" s="842"/>
      <c r="R683" s="842"/>
      <c r="S683" s="842"/>
      <c r="T683" s="842"/>
      <c r="U683" s="842"/>
      <c r="V683" s="842"/>
      <c r="W683" s="842"/>
      <c r="X683" s="842"/>
      <c r="Y683" s="842"/>
      <c r="Z683" s="842"/>
      <c r="AA683" s="2209"/>
      <c r="AB683" s="2209"/>
      <c r="AC683" s="346"/>
    </row>
    <row r="684" spans="1:29" ht="18.75" customHeight="1" x14ac:dyDescent="0.2">
      <c r="A684" s="341"/>
      <c r="B684" s="345"/>
      <c r="C684" s="452" t="s">
        <v>452</v>
      </c>
      <c r="D684" s="334">
        <f ca="1">D683*E672</f>
        <v>1.226810170275312E-16</v>
      </c>
      <c r="E684" s="338" t="s">
        <v>627</v>
      </c>
      <c r="F684" s="842"/>
      <c r="G684" s="856" t="s">
        <v>457</v>
      </c>
      <c r="H684" s="842">
        <f ca="1">H683*'Emission Factors'!H156</f>
        <v>3.5910758083651294E-14</v>
      </c>
      <c r="I684" s="337" t="s">
        <v>522</v>
      </c>
      <c r="J684" s="842"/>
      <c r="K684" s="842"/>
      <c r="L684" s="842"/>
      <c r="M684" s="842"/>
      <c r="N684" s="842"/>
      <c r="O684" s="842"/>
      <c r="P684" s="842"/>
      <c r="Q684" s="842"/>
      <c r="R684" s="842"/>
      <c r="S684" s="842"/>
      <c r="T684" s="842"/>
      <c r="U684" s="842"/>
      <c r="V684" s="842"/>
      <c r="W684" s="842"/>
      <c r="X684" s="842"/>
      <c r="Y684" s="842"/>
      <c r="Z684" s="842"/>
      <c r="AA684" s="2209"/>
      <c r="AB684" s="2209"/>
      <c r="AC684" s="346"/>
    </row>
    <row r="685" spans="1:29" ht="18.75" customHeight="1" x14ac:dyDescent="0.2">
      <c r="A685" s="341"/>
      <c r="B685" s="345"/>
      <c r="C685" s="453" t="s">
        <v>635</v>
      </c>
      <c r="D685" s="410">
        <f>Constants!H229</f>
        <v>107.01126379400964</v>
      </c>
      <c r="E685" s="337" t="s">
        <v>637</v>
      </c>
      <c r="F685" s="842"/>
      <c r="G685" s="857" t="s">
        <v>457</v>
      </c>
      <c r="H685" s="334">
        <f ca="1">H684*'Energy &amp; Unit Conversions'!G87</f>
        <v>4.156337741163344E-19</v>
      </c>
      <c r="I685" s="338" t="s">
        <v>632</v>
      </c>
      <c r="J685" s="842"/>
      <c r="K685" s="842"/>
      <c r="L685" s="842"/>
      <c r="M685" s="842"/>
      <c r="N685" s="842"/>
      <c r="O685" s="842"/>
      <c r="P685" s="842"/>
      <c r="Q685" s="842"/>
      <c r="R685" s="842"/>
      <c r="S685" s="842"/>
      <c r="T685" s="842"/>
      <c r="U685" s="842"/>
      <c r="V685" s="842"/>
      <c r="W685" s="842"/>
      <c r="X685" s="842"/>
      <c r="Y685" s="842"/>
      <c r="Z685" s="842"/>
      <c r="AA685" s="2209"/>
      <c r="AB685" s="2209"/>
      <c r="AC685" s="346"/>
    </row>
    <row r="686" spans="1:29" ht="18.75" customHeight="1" x14ac:dyDescent="0.2">
      <c r="A686" s="341"/>
      <c r="B686" s="345"/>
      <c r="C686" s="453" t="s">
        <v>634</v>
      </c>
      <c r="D686" s="842">
        <f>D685*'Energy &amp; Unit Conversions'!G82/'Energy &amp; Unit Conversions'!G80</f>
        <v>18.031955899292875</v>
      </c>
      <c r="E686" s="337" t="s">
        <v>636</v>
      </c>
      <c r="F686" s="842"/>
      <c r="G686" s="842"/>
      <c r="H686" s="842"/>
      <c r="I686" s="842"/>
      <c r="J686" s="842"/>
      <c r="K686" s="842"/>
      <c r="L686" s="842"/>
      <c r="M686" s="842"/>
      <c r="N686" s="842"/>
      <c r="O686" s="842"/>
      <c r="P686" s="842"/>
      <c r="Q686" s="842"/>
      <c r="R686" s="842"/>
      <c r="S686" s="842"/>
      <c r="T686" s="842"/>
      <c r="U686" s="842"/>
      <c r="V686" s="842"/>
      <c r="W686" s="842"/>
      <c r="X686" s="842"/>
      <c r="Y686" s="842"/>
      <c r="Z686" s="842"/>
      <c r="AA686" s="2209"/>
      <c r="AB686" s="2209"/>
      <c r="AC686" s="346"/>
    </row>
    <row r="687" spans="1:29" ht="18.75" customHeight="1" x14ac:dyDescent="0.2">
      <c r="A687" s="341"/>
      <c r="B687" s="345"/>
      <c r="C687" s="452" t="s">
        <v>542</v>
      </c>
      <c r="D687" s="334">
        <f ca="1">D685*E671/1000</f>
        <v>1.8754643822357902E-17</v>
      </c>
      <c r="E687" s="338" t="s">
        <v>472</v>
      </c>
      <c r="F687" s="842"/>
      <c r="G687" s="842"/>
      <c r="H687" s="842"/>
      <c r="I687" s="842"/>
      <c r="J687" s="842"/>
      <c r="K687" s="842"/>
      <c r="L687" s="842"/>
      <c r="M687" s="842"/>
      <c r="N687" s="842"/>
      <c r="O687" s="842"/>
      <c r="P687" s="842"/>
      <c r="Q687" s="842"/>
      <c r="R687" s="842"/>
      <c r="S687" s="842"/>
      <c r="T687" s="842"/>
      <c r="U687" s="842"/>
      <c r="V687" s="842"/>
      <c r="W687" s="842"/>
      <c r="X687" s="842"/>
      <c r="Y687" s="842"/>
      <c r="Z687" s="842"/>
      <c r="AA687" s="2209"/>
      <c r="AB687" s="2209"/>
      <c r="AC687" s="346"/>
    </row>
    <row r="688" spans="1:29" ht="18.75" customHeight="1" x14ac:dyDescent="0.2">
      <c r="A688" s="341"/>
      <c r="B688" s="345"/>
      <c r="C688" s="437"/>
      <c r="D688" s="842"/>
      <c r="E688" s="842"/>
      <c r="F688" s="842"/>
      <c r="G688" s="842"/>
      <c r="H688" s="842"/>
      <c r="I688" s="842"/>
      <c r="J688" s="842"/>
      <c r="K688" s="842"/>
      <c r="L688" s="842"/>
      <c r="M688" s="842"/>
      <c r="N688" s="842"/>
      <c r="O688" s="842"/>
      <c r="P688" s="842"/>
      <c r="Q688" s="842"/>
      <c r="R688" s="842"/>
      <c r="S688" s="842"/>
      <c r="T688" s="842"/>
      <c r="U688" s="842"/>
      <c r="V688" s="842"/>
      <c r="W688" s="842"/>
      <c r="X688" s="842"/>
      <c r="Y688" s="842"/>
      <c r="Z688" s="842"/>
      <c r="AA688" s="2209"/>
      <c r="AB688" s="2209"/>
      <c r="AC688" s="346"/>
    </row>
    <row r="689" spans="1:29" ht="18.75" customHeight="1" x14ac:dyDescent="0.2">
      <c r="A689" s="341"/>
      <c r="B689" s="345"/>
      <c r="C689" s="843" t="s">
        <v>594</v>
      </c>
      <c r="D689" s="842"/>
      <c r="E689" s="842"/>
      <c r="F689" s="842"/>
      <c r="G689" s="842"/>
      <c r="H689" s="842"/>
      <c r="I689" s="842"/>
      <c r="J689" s="842"/>
      <c r="K689" s="842"/>
      <c r="L689" s="842"/>
      <c r="M689" s="842"/>
      <c r="N689" s="842"/>
      <c r="O689" s="842"/>
      <c r="P689" s="842"/>
      <c r="Q689" s="842"/>
      <c r="R689" s="842"/>
      <c r="S689" s="842"/>
      <c r="T689" s="842"/>
      <c r="U689" s="842"/>
      <c r="V689" s="842"/>
      <c r="W689" s="842"/>
      <c r="X689" s="842"/>
      <c r="Y689" s="842"/>
      <c r="Z689" s="842"/>
      <c r="AA689" s="2209"/>
      <c r="AB689" s="2209"/>
      <c r="AC689" s="346"/>
    </row>
    <row r="690" spans="1:29" ht="18.75" customHeight="1" x14ac:dyDescent="0.2">
      <c r="A690" s="341"/>
      <c r="B690" s="345"/>
      <c r="C690" s="454"/>
      <c r="D690" s="351" t="s">
        <v>593</v>
      </c>
      <c r="E690" s="351" t="s">
        <v>580</v>
      </c>
      <c r="F690" s="351" t="s">
        <v>595</v>
      </c>
      <c r="G690" s="351" t="s">
        <v>600</v>
      </c>
      <c r="H690" s="351" t="s">
        <v>599</v>
      </c>
      <c r="I690" s="351" t="s">
        <v>601</v>
      </c>
      <c r="J690" s="351" t="s">
        <v>596</v>
      </c>
      <c r="K690" s="356" t="s">
        <v>892</v>
      </c>
      <c r="L690" s="356" t="s">
        <v>896</v>
      </c>
      <c r="M690" s="2161" t="s">
        <v>893</v>
      </c>
      <c r="N690" s="2161" t="s">
        <v>894</v>
      </c>
      <c r="O690" s="2161" t="s">
        <v>895</v>
      </c>
      <c r="P690" s="1897" t="s">
        <v>896</v>
      </c>
      <c r="Q690" s="368"/>
      <c r="R690" s="368"/>
      <c r="S690" s="368"/>
      <c r="T690" s="369"/>
      <c r="U690" s="842"/>
      <c r="V690" s="842"/>
      <c r="W690" s="842"/>
      <c r="X690" s="842"/>
      <c r="Y690" s="842"/>
      <c r="Z690" s="842"/>
      <c r="AA690" s="2209"/>
      <c r="AB690" s="2209"/>
      <c r="AC690" s="346"/>
    </row>
    <row r="691" spans="1:29" ht="18.75" customHeight="1" x14ac:dyDescent="0.2">
      <c r="A691" s="341"/>
      <c r="B691" s="345"/>
      <c r="C691" s="456" t="str">
        <f>'Process Correlations'!V116</f>
        <v>Fuel Gas</v>
      </c>
      <c r="D691" s="842">
        <f ca="1">('Process Correlations'!X116/'Process Correlations'!$X$123)*100</f>
        <v>5.3115236927283327</v>
      </c>
      <c r="E691" s="842" t="s">
        <v>597</v>
      </c>
      <c r="F691" s="842"/>
      <c r="G691" s="842"/>
      <c r="H691" s="842"/>
      <c r="I691" s="842"/>
      <c r="J691" s="839" t="s">
        <v>741</v>
      </c>
      <c r="K691" s="842">
        <f ca="1">$E$674*$E$673*('Process Correlations'!AA116/100)/'Process Correlations'!X116</f>
        <v>0</v>
      </c>
      <c r="L691" s="2158">
        <f ca="1">IF(CokingRefineryPFD!E37=1,(E677*100-D692*L692-D693*L693-D694*L694-D695*L695-D696*L696)/D691,22.2)</f>
        <v>6.2958524293342712</v>
      </c>
      <c r="M691" s="2158">
        <f ca="1">D691*L691/100</f>
        <v>0.33440569344330212</v>
      </c>
      <c r="N691" s="2158">
        <f ca="1">M691/$M$697*100</f>
        <v>2.6752455475464174</v>
      </c>
      <c r="O691" s="2158">
        <f ca="1">$E$673*($E$677/100)*N691/100</f>
        <v>8.4792378325560153E-17</v>
      </c>
      <c r="P691" s="2158">
        <f ca="1">O691/D716*100</f>
        <v>10.133505861918248</v>
      </c>
      <c r="Q691" s="842"/>
      <c r="R691" s="842"/>
      <c r="S691" s="842"/>
      <c r="T691" s="337"/>
      <c r="U691" s="842"/>
      <c r="V691" s="842"/>
      <c r="W691" s="842"/>
      <c r="X691" s="842"/>
      <c r="Y691" s="842"/>
      <c r="Z691" s="842"/>
      <c r="AA691" s="2209"/>
      <c r="AB691" s="2209"/>
      <c r="AC691" s="346"/>
    </row>
    <row r="692" spans="1:29" ht="18.75" customHeight="1" x14ac:dyDescent="0.2">
      <c r="A692" s="341"/>
      <c r="B692" s="345"/>
      <c r="C692" s="456" t="str">
        <f>'Process Correlations'!V117</f>
        <v>LPG (C3 &amp; C4)</v>
      </c>
      <c r="D692" s="842">
        <f ca="1">('Process Correlations'!X117/'Process Correlations'!$X$123)*100</f>
        <v>15.838155635704318</v>
      </c>
      <c r="E692" s="842">
        <f ca="1">'Process Correlations'!Z117</f>
        <v>540.90861195366892</v>
      </c>
      <c r="F692" s="842">
        <f ca="1">D692/E692</f>
        <v>2.9280649791282899E-2</v>
      </c>
      <c r="G692" s="842">
        <f ca="1">F692/$F$698*100</f>
        <v>24.322747648529088</v>
      </c>
      <c r="H692" s="842"/>
      <c r="I692" s="842"/>
      <c r="J692" s="842">
        <f ca="1">G692*$I$698</f>
        <v>26.645391310067438</v>
      </c>
      <c r="K692" s="842">
        <f ca="1">$E$674*$E$673*('Process Correlations'!AA117/100)/'Process Correlations'!X117</f>
        <v>0</v>
      </c>
      <c r="L692" s="386">
        <v>16.100000000000001</v>
      </c>
      <c r="M692" s="2158">
        <f t="shared" ref="M692:M696" ca="1" si="71">D692*L692/100</f>
        <v>2.5499430573483952</v>
      </c>
      <c r="N692" s="2158">
        <f t="shared" ref="N692:N697" ca="1" si="72">M692/$M$697*100</f>
        <v>20.399544458787165</v>
      </c>
      <c r="O692" s="2158">
        <f t="shared" ref="O692:O697" ca="1" si="73">$E$673*($E$677/100)*N692/100</f>
        <v>6.4656715081909833E-16</v>
      </c>
      <c r="P692" s="2158">
        <f ca="1">O692/$G$716*100</f>
        <v>50.998861146967911</v>
      </c>
      <c r="Q692" s="842"/>
      <c r="R692" s="842"/>
      <c r="S692" s="842"/>
      <c r="T692" s="337"/>
      <c r="U692" s="842"/>
      <c r="V692" s="842"/>
      <c r="W692" s="842"/>
      <c r="X692" s="842"/>
      <c r="Y692" s="842"/>
      <c r="Z692" s="842"/>
      <c r="AA692" s="2209"/>
      <c r="AB692" s="2209"/>
      <c r="AC692" s="346"/>
    </row>
    <row r="693" spans="1:29" ht="18.75" customHeight="1" x14ac:dyDescent="0.2">
      <c r="A693" s="341"/>
      <c r="B693" s="345"/>
      <c r="C693" s="456" t="str">
        <f>'Process Correlations'!V118</f>
        <v>Gasoline</v>
      </c>
      <c r="D693" s="842">
        <f ca="1">('Process Correlations'!X118/'Process Correlations'!$X$123)*100</f>
        <v>47.507320196267933</v>
      </c>
      <c r="E693" s="842">
        <f>'Process Correlations'!Z118</f>
        <v>746.61086593081541</v>
      </c>
      <c r="F693" s="842">
        <f ca="1">D693/E693</f>
        <v>6.3630630578942304E-2</v>
      </c>
      <c r="G693" s="842">
        <f ca="1">F693/$F$698*100</f>
        <v>52.856469419922071</v>
      </c>
      <c r="H693" s="842"/>
      <c r="I693" s="842"/>
      <c r="J693" s="842">
        <f ca="1">G693*$I$698</f>
        <v>57.903873826837504</v>
      </c>
      <c r="K693" s="842">
        <f ca="1">$E$674*$E$673*('Process Correlations'!AA118/100)/'Process Correlations'!X118</f>
        <v>0</v>
      </c>
      <c r="L693" s="386">
        <v>14.5</v>
      </c>
      <c r="M693" s="2158">
        <f t="shared" ca="1" si="71"/>
        <v>6.8885614284588508</v>
      </c>
      <c r="N693" s="2158">
        <f t="shared" ca="1" si="72"/>
        <v>55.108491427670813</v>
      </c>
      <c r="O693" s="2158">
        <f t="shared" ca="1" si="73"/>
        <v>1.7466733318635216E-15</v>
      </c>
      <c r="P693" s="2158">
        <f ca="1">O693/J716*100</f>
        <v>13.375847433900681</v>
      </c>
      <c r="Q693" s="842"/>
      <c r="R693" s="842"/>
      <c r="S693" s="842"/>
      <c r="T693" s="337"/>
      <c r="U693" s="842"/>
      <c r="V693" s="842"/>
      <c r="W693" s="842"/>
      <c r="X693" s="842"/>
      <c r="Y693" s="842"/>
      <c r="Z693" s="842"/>
      <c r="AA693" s="2209"/>
      <c r="AB693" s="2209"/>
      <c r="AC693" s="346"/>
    </row>
    <row r="694" spans="1:29" ht="18.75" customHeight="1" x14ac:dyDescent="0.2">
      <c r="A694" s="341"/>
      <c r="B694" s="345"/>
      <c r="C694" s="456" t="str">
        <f>'Process Correlations'!V121</f>
        <v>LGO</v>
      </c>
      <c r="D694" s="842">
        <f ca="1">('Process Correlations'!X121/'Process Correlations'!$X$123)*100</f>
        <v>18.643425457878038</v>
      </c>
      <c r="E694" s="842">
        <f ca="1">'Process Correlations'!Z121</f>
        <v>906.49893615879932</v>
      </c>
      <c r="F694" s="842">
        <f ca="1">D694/E694</f>
        <v>2.0566406329033029E-2</v>
      </c>
      <c r="G694" s="842">
        <f ca="1">F694/$F$698*100</f>
        <v>17.084030400414989</v>
      </c>
      <c r="H694" s="842"/>
      <c r="I694" s="842"/>
      <c r="J694" s="842">
        <f ca="1">G694*$I$698</f>
        <v>18.715429759420058</v>
      </c>
      <c r="K694" s="842">
        <f ca="1">$E$674*$E$673*('Process Correlations'!AA121/100)/'Process Correlations'!X121</f>
        <v>0</v>
      </c>
      <c r="L694" s="386">
        <v>9.8000000000000007</v>
      </c>
      <c r="M694" s="2158">
        <f t="shared" ca="1" si="71"/>
        <v>1.827055694872048</v>
      </c>
      <c r="N694" s="2158">
        <f t="shared" ca="1" si="72"/>
        <v>14.616445558976384</v>
      </c>
      <c r="O694" s="2158">
        <f t="shared" ca="1" si="73"/>
        <v>4.6327081368226267E-16</v>
      </c>
      <c r="P694" s="2158">
        <f ca="1">O694/M716*100</f>
        <v>9.1352784743602395</v>
      </c>
      <c r="Q694" s="842"/>
      <c r="R694" s="842"/>
      <c r="S694" s="842"/>
      <c r="T694" s="337"/>
      <c r="U694" s="842"/>
      <c r="V694" s="842"/>
      <c r="W694" s="842"/>
      <c r="X694" s="842"/>
      <c r="Y694" s="842"/>
      <c r="Z694" s="842"/>
      <c r="AA694" s="2209"/>
      <c r="AB694" s="2209"/>
      <c r="AC694" s="346"/>
    </row>
    <row r="695" spans="1:29" ht="18.75" customHeight="1" x14ac:dyDescent="0.2">
      <c r="A695" s="341"/>
      <c r="B695" s="345"/>
      <c r="C695" s="456" t="str">
        <f>'Process Correlations'!V120</f>
        <v>HGO</v>
      </c>
      <c r="D695" s="842">
        <f ca="1">('Process Correlations'!X120/'Process Correlations'!$X$123)*100</f>
        <v>7.1790095166448316</v>
      </c>
      <c r="E695" s="842">
        <f>'Process Correlations'!Z120</f>
        <v>1039.5139858511532</v>
      </c>
      <c r="F695" s="842">
        <f ca="1">D695/E695</f>
        <v>6.9061211434944423E-3</v>
      </c>
      <c r="G695" s="842">
        <f ca="1">F695/$F$698*100</f>
        <v>5.736752531133865</v>
      </c>
      <c r="H695" s="842"/>
      <c r="I695" s="842"/>
      <c r="J695" s="842">
        <f ca="1">G695*$I$698</f>
        <v>6.2845702405799422</v>
      </c>
      <c r="K695" s="842">
        <f ca="1">$E$674*$E$673*('Process Correlations'!AA120/100)/'Process Correlations'!X120</f>
        <v>0</v>
      </c>
      <c r="L695" s="386">
        <v>8</v>
      </c>
      <c r="M695" s="2158">
        <f t="shared" ca="1" si="71"/>
        <v>0.57432076133158649</v>
      </c>
      <c r="N695" s="2158">
        <f t="shared" ca="1" si="72"/>
        <v>4.5945660906526928</v>
      </c>
      <c r="O695" s="2158">
        <f t="shared" ca="1" si="73"/>
        <v>1.456255806341655E-16</v>
      </c>
      <c r="P695" s="2158">
        <f ca="1">O695/P716*100</f>
        <v>3.72935559306225</v>
      </c>
      <c r="Q695" s="842"/>
      <c r="R695" s="842"/>
      <c r="S695" s="842"/>
      <c r="T695" s="337"/>
      <c r="U695" s="842"/>
      <c r="V695" s="842"/>
      <c r="W695" s="842"/>
      <c r="X695" s="842"/>
      <c r="Y695" s="842"/>
      <c r="Z695" s="842"/>
      <c r="AA695" s="2209"/>
      <c r="AB695" s="2209"/>
      <c r="AC695" s="346"/>
    </row>
    <row r="696" spans="1:29" ht="18.75" customHeight="1" x14ac:dyDescent="0.2">
      <c r="A696" s="341"/>
      <c r="B696" s="345"/>
      <c r="C696" s="456" t="str">
        <f>'Process Correlations'!V122</f>
        <v>Coke</v>
      </c>
      <c r="D696" s="842">
        <f ca="1">('Process Correlations'!X122/'Process Correlations'!$X$123)*100</f>
        <v>5.5205655007765513</v>
      </c>
      <c r="E696" s="842" t="s">
        <v>597</v>
      </c>
      <c r="F696" s="842"/>
      <c r="G696" s="842"/>
      <c r="H696" s="842"/>
      <c r="I696" s="842"/>
      <c r="J696" s="842">
        <f ca="1">G696*$I$698</f>
        <v>0</v>
      </c>
      <c r="K696" s="842">
        <f ca="1">$E$674*$E$673*('Process Correlations'!AA122/100)/'Process Correlations'!X122</f>
        <v>0</v>
      </c>
      <c r="L696" s="386">
        <v>5.9</v>
      </c>
      <c r="M696" s="2158">
        <f t="shared" ca="1" si="71"/>
        <v>0.32571336454581656</v>
      </c>
      <c r="N696" s="2158">
        <f t="shared" ca="1" si="72"/>
        <v>2.605706916366533</v>
      </c>
      <c r="O696" s="2158">
        <f t="shared" ca="1" si="73"/>
        <v>8.2588339175339285E-17</v>
      </c>
      <c r="P696" s="2158">
        <f ca="1">O696/D719*100</f>
        <v>6.7856950947045123</v>
      </c>
      <c r="Q696" s="842"/>
      <c r="R696" s="842"/>
      <c r="S696" s="842"/>
      <c r="T696" s="337"/>
      <c r="U696" s="842"/>
      <c r="V696" s="842"/>
      <c r="W696" s="842"/>
      <c r="X696" s="842"/>
      <c r="Y696" s="842"/>
      <c r="Z696" s="842"/>
      <c r="AA696" s="2209"/>
      <c r="AB696" s="2209"/>
      <c r="AC696" s="346"/>
    </row>
    <row r="697" spans="1:29" ht="18.75" customHeight="1" x14ac:dyDescent="0.2">
      <c r="A697" s="341"/>
      <c r="B697" s="345"/>
      <c r="C697" s="871"/>
      <c r="D697" s="842"/>
      <c r="E697" s="842"/>
      <c r="F697" s="842"/>
      <c r="G697" s="842"/>
      <c r="H697" s="842"/>
      <c r="I697" s="842"/>
      <c r="J697" s="842"/>
      <c r="K697" s="842"/>
      <c r="L697" s="842"/>
      <c r="M697" s="2158">
        <f ca="1">SUM(M691:M696)</f>
        <v>12.499999999999998</v>
      </c>
      <c r="N697" s="2158">
        <f t="shared" ca="1" si="72"/>
        <v>100</v>
      </c>
      <c r="O697" s="2158">
        <f t="shared" ca="1" si="73"/>
        <v>3.1695175944999473E-15</v>
      </c>
      <c r="P697" s="2158"/>
      <c r="Q697" s="842"/>
      <c r="R697" s="842"/>
      <c r="S697" s="842"/>
      <c r="T697" s="337"/>
      <c r="U697" s="842"/>
      <c r="V697" s="842"/>
      <c r="W697" s="842"/>
      <c r="X697" s="842"/>
      <c r="Y697" s="842"/>
      <c r="Z697" s="842"/>
      <c r="AA697" s="2209"/>
      <c r="AB697" s="2209"/>
      <c r="AC697" s="346"/>
    </row>
    <row r="698" spans="1:29" ht="18.75" customHeight="1" x14ac:dyDescent="0.2">
      <c r="A698" s="341"/>
      <c r="B698" s="345"/>
      <c r="C698" s="443" t="s">
        <v>598</v>
      </c>
      <c r="D698" s="334">
        <f ca="1">SUM(D691:D696)</f>
        <v>100</v>
      </c>
      <c r="E698" s="334"/>
      <c r="F698" s="334">
        <f ca="1">SUM(F692:F695)</f>
        <v>0.12038380784275267</v>
      </c>
      <c r="G698" s="334">
        <f ca="1">SUM(G692:G695)</f>
        <v>100</v>
      </c>
      <c r="H698" s="334">
        <f>100/E676</f>
        <v>0.10989010989010989</v>
      </c>
      <c r="I698" s="334">
        <f ca="1">F698/H698</f>
        <v>1.0954926513690493</v>
      </c>
      <c r="J698" s="334">
        <f ca="1">SUM(J692:J695)</f>
        <v>109.54926513690495</v>
      </c>
      <c r="K698" s="334"/>
      <c r="L698" s="335"/>
      <c r="M698" s="334"/>
      <c r="N698" s="334"/>
      <c r="O698" s="334"/>
      <c r="P698" s="334"/>
      <c r="Q698" s="334"/>
      <c r="R698" s="334"/>
      <c r="S698" s="334"/>
      <c r="T698" s="338"/>
      <c r="U698" s="842"/>
      <c r="V698" s="842"/>
      <c r="W698" s="842"/>
      <c r="X698" s="842"/>
      <c r="Y698" s="842"/>
      <c r="Z698" s="842"/>
      <c r="AA698" s="2209"/>
      <c r="AB698" s="2209"/>
      <c r="AC698" s="346"/>
    </row>
    <row r="699" spans="1:29" ht="18.75" customHeight="1" x14ac:dyDescent="0.2">
      <c r="A699" s="341"/>
      <c r="B699" s="345"/>
      <c r="C699" s="444"/>
      <c r="D699" s="842"/>
      <c r="E699" s="842"/>
      <c r="F699" s="842"/>
      <c r="G699" s="842"/>
      <c r="H699" s="842"/>
      <c r="I699" s="842"/>
      <c r="J699" s="842"/>
      <c r="K699" s="842"/>
      <c r="L699" s="839"/>
      <c r="M699" s="842"/>
      <c r="N699" s="842"/>
      <c r="O699" s="842"/>
      <c r="P699" s="842"/>
      <c r="Q699" s="842"/>
      <c r="R699" s="842"/>
      <c r="S699" s="842"/>
      <c r="T699" s="842"/>
      <c r="U699" s="842"/>
      <c r="V699" s="842"/>
      <c r="W699" s="842"/>
      <c r="X699" s="842"/>
      <c r="Y699" s="842"/>
      <c r="Z699" s="842"/>
      <c r="AA699" s="2209"/>
      <c r="AB699" s="2209"/>
      <c r="AC699" s="346"/>
    </row>
    <row r="700" spans="1:29" ht="18.75" customHeight="1" x14ac:dyDescent="0.2">
      <c r="A700" s="341"/>
      <c r="B700" s="345"/>
      <c r="C700" s="843" t="s">
        <v>249</v>
      </c>
      <c r="D700" s="842"/>
      <c r="E700" s="842"/>
      <c r="F700" s="842"/>
      <c r="G700" s="842"/>
      <c r="H700" s="842"/>
      <c r="I700" s="842"/>
      <c r="J700" s="842"/>
      <c r="K700" s="842"/>
      <c r="L700" s="842"/>
      <c r="M700" s="842"/>
      <c r="N700" s="842"/>
      <c r="O700" s="842"/>
      <c r="P700" s="842"/>
      <c r="Q700" s="842"/>
      <c r="R700" s="842"/>
      <c r="S700" s="842"/>
      <c r="T700" s="842"/>
      <c r="U700" s="842"/>
      <c r="V700" s="842"/>
      <c r="W700" s="842"/>
      <c r="X700" s="842"/>
      <c r="Y700" s="842"/>
      <c r="Z700" s="842"/>
      <c r="AA700" s="2209"/>
      <c r="AB700" s="2209"/>
      <c r="AC700" s="346"/>
    </row>
    <row r="701" spans="1:29" ht="18.75" customHeight="1" x14ac:dyDescent="0.2">
      <c r="A701" s="341"/>
      <c r="B701" s="345"/>
      <c r="C701" s="870"/>
      <c r="D701" s="368"/>
      <c r="E701" s="368"/>
      <c r="F701" s="368"/>
      <c r="G701" s="368"/>
      <c r="H701" s="368"/>
      <c r="I701" s="368"/>
      <c r="J701" s="368"/>
      <c r="K701" s="368"/>
      <c r="L701" s="368"/>
      <c r="M701" s="368"/>
      <c r="N701" s="368"/>
      <c r="O701" s="368"/>
      <c r="P701" s="416"/>
      <c r="Q701" s="368" t="s">
        <v>985</v>
      </c>
      <c r="R701" s="368"/>
      <c r="S701" s="368"/>
      <c r="T701" s="369"/>
      <c r="U701" s="842"/>
      <c r="V701" s="842"/>
      <c r="W701" s="842"/>
      <c r="X701" s="842"/>
      <c r="Y701" s="842"/>
      <c r="Z701" s="842"/>
      <c r="AA701" s="2209"/>
      <c r="AB701" s="2209"/>
      <c r="AC701" s="346"/>
    </row>
    <row r="702" spans="1:29" ht="18.75" customHeight="1" x14ac:dyDescent="0.2">
      <c r="A702" s="341"/>
      <c r="B702" s="345"/>
      <c r="C702" s="459" t="s">
        <v>594</v>
      </c>
      <c r="D702" s="842"/>
      <c r="E702" s="842"/>
      <c r="F702" s="842"/>
      <c r="G702" s="842"/>
      <c r="H702" s="842"/>
      <c r="I702" s="842"/>
      <c r="J702" s="842"/>
      <c r="K702" s="842"/>
      <c r="L702" s="842"/>
      <c r="M702" s="842"/>
      <c r="N702" s="842"/>
      <c r="O702" s="842"/>
      <c r="P702" s="842"/>
      <c r="Q702" s="2155"/>
      <c r="R702" s="2155"/>
      <c r="S702" s="2155"/>
      <c r="T702" s="337"/>
      <c r="U702" s="842"/>
      <c r="V702" s="842"/>
      <c r="W702" s="842"/>
      <c r="X702" s="842"/>
      <c r="Y702" s="842"/>
      <c r="Z702" s="842"/>
      <c r="AA702" s="2209"/>
      <c r="AB702" s="2209"/>
      <c r="AC702" s="346"/>
    </row>
    <row r="703" spans="1:29" ht="18.75" customHeight="1" x14ac:dyDescent="0.2">
      <c r="A703" s="341"/>
      <c r="B703" s="345"/>
      <c r="C703" s="453"/>
      <c r="D703" s="839" t="s">
        <v>593</v>
      </c>
      <c r="E703" s="839" t="s">
        <v>580</v>
      </c>
      <c r="F703" s="839" t="s">
        <v>595</v>
      </c>
      <c r="G703" s="839" t="s">
        <v>600</v>
      </c>
      <c r="H703" s="839" t="s">
        <v>599</v>
      </c>
      <c r="I703" s="839" t="s">
        <v>601</v>
      </c>
      <c r="J703" s="839" t="s">
        <v>596</v>
      </c>
      <c r="K703" s="839" t="s">
        <v>578</v>
      </c>
      <c r="L703" s="358" t="s">
        <v>73</v>
      </c>
      <c r="M703" s="358" t="s">
        <v>61</v>
      </c>
      <c r="N703" s="358" t="s">
        <v>63</v>
      </c>
      <c r="O703" s="388" t="s">
        <v>892</v>
      </c>
      <c r="P703" s="839" t="s">
        <v>621</v>
      </c>
      <c r="Q703" s="358" t="s">
        <v>893</v>
      </c>
      <c r="R703" s="358" t="s">
        <v>894</v>
      </c>
      <c r="S703" s="358" t="s">
        <v>895</v>
      </c>
      <c r="T703" s="415" t="s">
        <v>896</v>
      </c>
      <c r="U703" s="842"/>
      <c r="V703" s="842"/>
      <c r="W703" s="842"/>
      <c r="X703" s="842"/>
      <c r="Y703" s="842"/>
      <c r="Z703" s="842"/>
      <c r="AA703" s="2209"/>
      <c r="AB703" s="2209"/>
      <c r="AC703" s="346"/>
    </row>
    <row r="704" spans="1:29" ht="18.75" customHeight="1" x14ac:dyDescent="0.2">
      <c r="A704" s="341"/>
      <c r="B704" s="345"/>
      <c r="C704" s="442" t="s">
        <v>591</v>
      </c>
      <c r="D704" s="594">
        <v>3.3</v>
      </c>
      <c r="E704" s="386" t="s">
        <v>597</v>
      </c>
      <c r="F704" s="842"/>
      <c r="G704" s="842"/>
      <c r="H704" s="842"/>
      <c r="I704" s="842"/>
      <c r="J704" s="842"/>
      <c r="K704" s="591">
        <v>5.7</v>
      </c>
      <c r="L704" s="842">
        <f t="shared" ref="L704:L709" si="74">D704*K704/100</f>
        <v>0.18809999999999999</v>
      </c>
      <c r="M704" s="842">
        <f t="shared" ref="M704:M709" si="75">L704/$L$710*100</f>
        <v>18.823176223356349</v>
      </c>
      <c r="N704" s="842">
        <f t="shared" ref="N704:N710" ca="1" si="76">$E$673*($E$674/100)*M704/100</f>
        <v>0</v>
      </c>
      <c r="O704" s="842">
        <f ca="1">N704/D716*100</f>
        <v>0</v>
      </c>
      <c r="P704" s="2158">
        <f ca="1">IF(CokingRefineryPFD!E37=1,(E677*100-D705*P705-D706*P706-D707*P707-D708*P708-D709*P709)/D704,22.2)</f>
        <v>22.796969696969693</v>
      </c>
      <c r="Q704" s="2155">
        <f ca="1">D704*P704/100</f>
        <v>0.75229999999999986</v>
      </c>
      <c r="R704" s="2155">
        <f t="shared" ref="R704:R709" ca="1" si="77">Q704/$Q$710*100</f>
        <v>6.0183999999999989</v>
      </c>
      <c r="S704" s="2155">
        <f t="shared" ref="S704:S710" ca="1" si="78">$E$673*($E$677/100)*R704/100</f>
        <v>1.9075424690738478E-16</v>
      </c>
      <c r="T704" s="337">
        <f ca="1">S704/D716*100</f>
        <v>22.79696969696969</v>
      </c>
      <c r="U704" s="842"/>
      <c r="V704" s="842"/>
      <c r="W704" s="842"/>
      <c r="X704" s="842"/>
      <c r="Y704" s="842"/>
      <c r="Z704" s="842"/>
      <c r="AA704" s="2209"/>
      <c r="AB704" s="2209"/>
      <c r="AC704" s="346"/>
    </row>
    <row r="705" spans="1:29" ht="18.75" customHeight="1" x14ac:dyDescent="0.2">
      <c r="A705" s="341"/>
      <c r="B705" s="345"/>
      <c r="C705" s="442" t="s">
        <v>491</v>
      </c>
      <c r="D705" s="594">
        <v>5</v>
      </c>
      <c r="E705" s="386">
        <v>625</v>
      </c>
      <c r="F705" s="842">
        <f>D705/E705</f>
        <v>8.0000000000000002E-3</v>
      </c>
      <c r="G705" s="842">
        <f>F705/$F$711*100</f>
        <v>6.8745335938872723</v>
      </c>
      <c r="H705" s="842"/>
      <c r="I705" s="842"/>
      <c r="J705" s="842">
        <f>$I$711*G705</f>
        <v>7.2799999999999994</v>
      </c>
      <c r="K705" s="386">
        <v>0</v>
      </c>
      <c r="L705" s="842">
        <f t="shared" si="74"/>
        <v>0</v>
      </c>
      <c r="M705" s="842">
        <f t="shared" si="75"/>
        <v>0</v>
      </c>
      <c r="N705" s="842">
        <f t="shared" ca="1" si="76"/>
        <v>0</v>
      </c>
      <c r="O705" s="842">
        <f ca="1">N705/G716*100</f>
        <v>0</v>
      </c>
      <c r="P705" s="386">
        <v>16.100000000000001</v>
      </c>
      <c r="Q705" s="2155">
        <f t="shared" ref="Q705:Q709" si="79">D705*P705/100</f>
        <v>0.80500000000000005</v>
      </c>
      <c r="R705" s="2155">
        <f t="shared" ca="1" si="77"/>
        <v>6.4399999999999995</v>
      </c>
      <c r="S705" s="2155">
        <f t="shared" ca="1" si="78"/>
        <v>2.0411693308579661E-16</v>
      </c>
      <c r="T705" s="337">
        <f ca="1">S705/G716*100</f>
        <v>16.099999999999998</v>
      </c>
      <c r="U705" s="842"/>
      <c r="V705" s="842"/>
      <c r="W705" s="842"/>
      <c r="X705" s="842"/>
      <c r="Y705" s="842"/>
      <c r="Z705" s="842"/>
      <c r="AA705" s="2209"/>
      <c r="AB705" s="2209"/>
      <c r="AC705" s="346"/>
    </row>
    <row r="706" spans="1:29" ht="18.75" customHeight="1" x14ac:dyDescent="0.2">
      <c r="A706" s="341"/>
      <c r="B706" s="345"/>
      <c r="C706" s="442" t="s">
        <v>592</v>
      </c>
      <c r="D706" s="594">
        <v>51.5</v>
      </c>
      <c r="E706" s="386">
        <v>740</v>
      </c>
      <c r="F706" s="842">
        <f>D706/E706</f>
        <v>6.9594594594594592E-2</v>
      </c>
      <c r="G706" s="842">
        <f>F706/$F$711*100</f>
        <v>59.803797311688257</v>
      </c>
      <c r="H706" s="842"/>
      <c r="I706" s="842"/>
      <c r="J706" s="842">
        <f>$I$711*G706</f>
        <v>63.331081081081066</v>
      </c>
      <c r="K706" s="386">
        <v>0.2</v>
      </c>
      <c r="L706" s="842">
        <f t="shared" si="74"/>
        <v>0.10300000000000001</v>
      </c>
      <c r="M706" s="842">
        <f t="shared" si="75"/>
        <v>10.307215050535374</v>
      </c>
      <c r="N706" s="842">
        <f t="shared" ca="1" si="76"/>
        <v>0</v>
      </c>
      <c r="O706" s="842">
        <f ca="1">N706/J716*100</f>
        <v>0</v>
      </c>
      <c r="P706" s="386">
        <v>14.5</v>
      </c>
      <c r="Q706" s="2155">
        <f t="shared" si="79"/>
        <v>7.4675000000000002</v>
      </c>
      <c r="R706" s="2155">
        <f t="shared" ca="1" si="77"/>
        <v>59.74</v>
      </c>
      <c r="S706" s="2155">
        <f t="shared" ca="1" si="78"/>
        <v>1.8934698109542685E-15</v>
      </c>
      <c r="T706" s="337">
        <f ca="1">S706/J716*100</f>
        <v>14.499999999999998</v>
      </c>
      <c r="U706" s="842"/>
      <c r="V706" s="842"/>
      <c r="W706" s="842"/>
      <c r="X706" s="842"/>
      <c r="Y706" s="842"/>
      <c r="Z706" s="842"/>
      <c r="AA706" s="2209"/>
      <c r="AB706" s="2209"/>
      <c r="AC706" s="346"/>
    </row>
    <row r="707" spans="1:29" ht="18.75" customHeight="1" x14ac:dyDescent="0.2">
      <c r="A707" s="341"/>
      <c r="B707" s="345"/>
      <c r="C707" s="442" t="s">
        <v>638</v>
      </c>
      <c r="D707" s="594">
        <v>20</v>
      </c>
      <c r="E707" s="386">
        <v>850</v>
      </c>
      <c r="F707" s="842">
        <f>D707/E707</f>
        <v>2.3529411764705882E-2</v>
      </c>
      <c r="G707" s="842">
        <f>F707/$F$711*100</f>
        <v>20.219216452609622</v>
      </c>
      <c r="H707" s="842"/>
      <c r="I707" s="842"/>
      <c r="J707" s="842">
        <f>$I$711*G707</f>
        <v>21.411764705882348</v>
      </c>
      <c r="K707" s="386">
        <v>1.1000000000000001</v>
      </c>
      <c r="L707" s="842">
        <f t="shared" si="74"/>
        <v>0.22</v>
      </c>
      <c r="M707" s="842">
        <f t="shared" si="75"/>
        <v>22.015410787551286</v>
      </c>
      <c r="N707" s="842">
        <f t="shared" ca="1" si="76"/>
        <v>0</v>
      </c>
      <c r="O707" s="842">
        <f ca="1">N707/M716*100</f>
        <v>0</v>
      </c>
      <c r="P707" s="386">
        <v>9.8000000000000007</v>
      </c>
      <c r="Q707" s="2155">
        <f t="shared" si="79"/>
        <v>1.96</v>
      </c>
      <c r="R707" s="2155">
        <f t="shared" ca="1" si="77"/>
        <v>15.68</v>
      </c>
      <c r="S707" s="2155">
        <f t="shared" ca="1" si="78"/>
        <v>4.9698035881759175E-16</v>
      </c>
      <c r="T707" s="337">
        <f ca="1">S707/M716*100</f>
        <v>9.7999999999999989</v>
      </c>
      <c r="U707" s="842"/>
      <c r="V707" s="842"/>
      <c r="W707" s="842"/>
      <c r="X707" s="842"/>
      <c r="Y707" s="842"/>
      <c r="Z707" s="842"/>
      <c r="AA707" s="2209"/>
      <c r="AB707" s="2209"/>
      <c r="AC707" s="346"/>
    </row>
    <row r="708" spans="1:29" ht="18.75" customHeight="1" x14ac:dyDescent="0.2">
      <c r="A708" s="341"/>
      <c r="B708" s="345"/>
      <c r="C708" s="442" t="s">
        <v>639</v>
      </c>
      <c r="D708" s="594">
        <v>15.4</v>
      </c>
      <c r="E708" s="386">
        <v>1010</v>
      </c>
      <c r="F708" s="842">
        <f>D708/E708</f>
        <v>1.5247524752475247E-2</v>
      </c>
      <c r="G708" s="842">
        <f>F708/$F$711*100</f>
        <v>13.10245264181485</v>
      </c>
      <c r="H708" s="842"/>
      <c r="I708" s="842"/>
      <c r="J708" s="842">
        <f>$I$711*G708</f>
        <v>13.875247524752474</v>
      </c>
      <c r="K708" s="386">
        <v>1.3</v>
      </c>
      <c r="L708" s="842">
        <f t="shared" si="74"/>
        <v>0.20019999999999999</v>
      </c>
      <c r="M708" s="842">
        <f t="shared" si="75"/>
        <v>20.034023816671667</v>
      </c>
      <c r="N708" s="842">
        <f t="shared" ca="1" si="76"/>
        <v>0</v>
      </c>
      <c r="O708" s="842">
        <f ca="1">N708/P716*100</f>
        <v>0</v>
      </c>
      <c r="P708" s="386">
        <v>8</v>
      </c>
      <c r="Q708" s="2155">
        <f t="shared" si="79"/>
        <v>1.232</v>
      </c>
      <c r="R708" s="2155">
        <f t="shared" ca="1" si="77"/>
        <v>9.8559999999999999</v>
      </c>
      <c r="S708" s="2155">
        <f t="shared" ca="1" si="78"/>
        <v>3.1238765411391481E-16</v>
      </c>
      <c r="T708" s="337">
        <f ca="1">S708/P716*100</f>
        <v>8</v>
      </c>
      <c r="U708" s="842"/>
      <c r="V708" s="842"/>
      <c r="W708" s="842"/>
      <c r="X708" s="842"/>
      <c r="Y708" s="842"/>
      <c r="Z708" s="842"/>
      <c r="AA708" s="2209"/>
      <c r="AB708" s="2209"/>
      <c r="AC708" s="346"/>
    </row>
    <row r="709" spans="1:29" ht="18.75" customHeight="1" x14ac:dyDescent="0.2">
      <c r="A709" s="341"/>
      <c r="B709" s="345"/>
      <c r="C709" s="442" t="s">
        <v>654</v>
      </c>
      <c r="D709" s="594">
        <v>4.8</v>
      </c>
      <c r="E709" s="386" t="str">
        <f>Constants!G239</f>
        <v>wt%</v>
      </c>
      <c r="F709" s="842"/>
      <c r="G709" s="842"/>
      <c r="H709" s="842"/>
      <c r="I709" s="842"/>
      <c r="J709" s="842"/>
      <c r="K709" s="386">
        <v>6</v>
      </c>
      <c r="L709" s="842">
        <f t="shared" si="74"/>
        <v>0.28799999999999998</v>
      </c>
      <c r="M709" s="842">
        <f t="shared" si="75"/>
        <v>28.820174121885316</v>
      </c>
      <c r="N709" s="842">
        <f t="shared" ca="1" si="76"/>
        <v>0</v>
      </c>
      <c r="O709" s="842">
        <f ca="1">N709/D719*100</f>
        <v>0</v>
      </c>
      <c r="P709" s="386">
        <v>5.9</v>
      </c>
      <c r="Q709" s="2155">
        <f t="shared" si="79"/>
        <v>0.28320000000000001</v>
      </c>
      <c r="R709" s="2155">
        <f t="shared" ca="1" si="77"/>
        <v>2.2656000000000001</v>
      </c>
      <c r="S709" s="2155">
        <f t="shared" ca="1" si="78"/>
        <v>7.1808590620990809E-17</v>
      </c>
      <c r="T709" s="337">
        <f ca="1">S709/D719*100</f>
        <v>5.8999999999999995</v>
      </c>
      <c r="U709" s="842"/>
      <c r="V709" s="842"/>
      <c r="W709" s="842"/>
      <c r="X709" s="842"/>
      <c r="Y709" s="842"/>
      <c r="Z709" s="842"/>
      <c r="AA709" s="2209"/>
      <c r="AB709" s="2209"/>
      <c r="AC709" s="346"/>
    </row>
    <row r="710" spans="1:29" ht="18.75" customHeight="1" x14ac:dyDescent="0.2">
      <c r="A710" s="341"/>
      <c r="B710" s="345"/>
      <c r="C710" s="453"/>
      <c r="D710" s="842"/>
      <c r="E710" s="842"/>
      <c r="F710" s="842"/>
      <c r="G710" s="842"/>
      <c r="H710" s="842"/>
      <c r="I710" s="842"/>
      <c r="J710" s="842"/>
      <c r="K710" s="842"/>
      <c r="L710" s="842">
        <f>SUM(L704:L709)</f>
        <v>0.99930000000000008</v>
      </c>
      <c r="M710" s="842">
        <f>L710/L710*100</f>
        <v>100</v>
      </c>
      <c r="N710" s="842">
        <f t="shared" ca="1" si="76"/>
        <v>0</v>
      </c>
      <c r="O710" s="842"/>
      <c r="P710" s="842"/>
      <c r="Q710" s="2155">
        <f ca="1">SUM(Q704:Q709)</f>
        <v>12.5</v>
      </c>
      <c r="R710" s="2155">
        <f ca="1">Q710/Q710*100</f>
        <v>100</v>
      </c>
      <c r="S710" s="2155">
        <f t="shared" ca="1" si="78"/>
        <v>3.1695175944999473E-15</v>
      </c>
      <c r="T710" s="337"/>
      <c r="U710" s="842"/>
      <c r="V710" s="842"/>
      <c r="W710" s="842"/>
      <c r="X710" s="842"/>
      <c r="Y710" s="842"/>
      <c r="Z710" s="842"/>
      <c r="AA710" s="2209"/>
      <c r="AB710" s="2209"/>
      <c r="AC710" s="346"/>
    </row>
    <row r="711" spans="1:29" ht="18.75" customHeight="1" x14ac:dyDescent="0.2">
      <c r="A711" s="341"/>
      <c r="B711" s="345"/>
      <c r="C711" s="443" t="s">
        <v>598</v>
      </c>
      <c r="D711" s="334">
        <f>SUM(D704:D709)</f>
        <v>100</v>
      </c>
      <c r="E711" s="334"/>
      <c r="F711" s="334">
        <f>SUM(F705:F708)</f>
        <v>0.11637153111177571</v>
      </c>
      <c r="G711" s="334">
        <f>SUM(G705:G708)</f>
        <v>100.00000000000001</v>
      </c>
      <c r="H711" s="334">
        <f>100/E676</f>
        <v>0.10989010989010989</v>
      </c>
      <c r="I711" s="334">
        <f>F711/H711</f>
        <v>1.0589809331171589</v>
      </c>
      <c r="J711" s="334">
        <f>SUM(J705:J708)</f>
        <v>105.89809331171588</v>
      </c>
      <c r="K711" s="334"/>
      <c r="L711" s="334"/>
      <c r="M711" s="334"/>
      <c r="N711" s="334"/>
      <c r="O711" s="334"/>
      <c r="P711" s="334"/>
      <c r="Q711" s="334"/>
      <c r="R711" s="335" t="s">
        <v>901</v>
      </c>
      <c r="S711" s="334"/>
      <c r="T711" s="338"/>
      <c r="U711" s="842"/>
      <c r="V711" s="842"/>
      <c r="W711" s="842"/>
      <c r="X711" s="842"/>
      <c r="Y711" s="842"/>
      <c r="Z711" s="842"/>
      <c r="AA711" s="2209"/>
      <c r="AB711" s="2209"/>
      <c r="AC711" s="346"/>
    </row>
    <row r="712" spans="1:29" ht="18.75" customHeight="1" x14ac:dyDescent="0.2">
      <c r="A712" s="341"/>
      <c r="B712" s="345"/>
      <c r="C712" s="437"/>
      <c r="D712" s="842"/>
      <c r="E712" s="842"/>
      <c r="F712" s="842"/>
      <c r="G712" s="842"/>
      <c r="H712" s="842"/>
      <c r="I712" s="842"/>
      <c r="J712" s="842"/>
      <c r="K712" s="842"/>
      <c r="L712" s="842"/>
      <c r="M712" s="842"/>
      <c r="N712" s="842"/>
      <c r="O712" s="842"/>
      <c r="P712" s="842"/>
      <c r="Q712" s="842"/>
      <c r="R712" s="842"/>
      <c r="S712" s="842"/>
      <c r="T712" s="842"/>
      <c r="U712" s="842"/>
      <c r="V712" s="842"/>
      <c r="W712" s="842"/>
      <c r="X712" s="842"/>
      <c r="Y712" s="842"/>
      <c r="Z712" s="842"/>
      <c r="AA712" s="2209"/>
      <c r="AB712" s="2209"/>
      <c r="AC712" s="346"/>
    </row>
    <row r="713" spans="1:29" ht="18.75" customHeight="1" x14ac:dyDescent="0.2">
      <c r="A713" s="341"/>
      <c r="B713" s="345"/>
      <c r="C713" s="843" t="s">
        <v>250</v>
      </c>
      <c r="D713" s="842"/>
      <c r="E713" s="842"/>
      <c r="F713" s="842"/>
      <c r="G713" s="842"/>
      <c r="H713" s="842"/>
      <c r="I713" s="842"/>
      <c r="J713" s="842"/>
      <c r="K713" s="842"/>
      <c r="L713" s="842"/>
      <c r="M713" s="842"/>
      <c r="N713" s="842"/>
      <c r="O713" s="842"/>
      <c r="P713" s="842"/>
      <c r="Q713" s="842"/>
      <c r="R713" s="842"/>
      <c r="S713" s="842"/>
      <c r="T713" s="842"/>
      <c r="U713" s="842"/>
      <c r="V713" s="842"/>
      <c r="W713" s="842"/>
      <c r="X713" s="842"/>
      <c r="Y713" s="842"/>
      <c r="Z713" s="842"/>
      <c r="AA713" s="2209"/>
      <c r="AB713" s="2209"/>
      <c r="AC713" s="346"/>
    </row>
    <row r="714" spans="1:29" ht="18.75" customHeight="1" x14ac:dyDescent="0.2">
      <c r="A714" s="341"/>
      <c r="B714" s="345"/>
      <c r="C714" s="441" t="s">
        <v>624</v>
      </c>
      <c r="D714" s="368"/>
      <c r="E714" s="351" t="s">
        <v>623</v>
      </c>
      <c r="F714" s="368"/>
      <c r="G714" s="368"/>
      <c r="H714" s="368"/>
      <c r="I714" s="368"/>
      <c r="J714" s="368"/>
      <c r="K714" s="368"/>
      <c r="L714" s="368"/>
      <c r="M714" s="368"/>
      <c r="N714" s="368"/>
      <c r="O714" s="368"/>
      <c r="P714" s="368"/>
      <c r="Q714" s="368"/>
      <c r="R714" s="368"/>
      <c r="S714" s="368"/>
      <c r="T714" s="368"/>
      <c r="U714" s="369"/>
      <c r="V714" s="842"/>
      <c r="W714" s="842"/>
      <c r="X714" s="842"/>
      <c r="Y714" s="842"/>
      <c r="Z714" s="842"/>
      <c r="AA714" s="2209"/>
      <c r="AB714" s="2209"/>
      <c r="AC714" s="346"/>
    </row>
    <row r="715" spans="1:29" ht="18.75" customHeight="1" x14ac:dyDescent="0.2">
      <c r="A715" s="341"/>
      <c r="B715" s="345"/>
      <c r="C715" s="442" t="s">
        <v>640</v>
      </c>
      <c r="D715" s="842">
        <f>IF(Constants!$H$236=1,D704,D691)</f>
        <v>3.3</v>
      </c>
      <c r="E715" s="842" t="s">
        <v>579</v>
      </c>
      <c r="F715" s="839" t="s">
        <v>641</v>
      </c>
      <c r="G715" s="842">
        <f>IF(Constants!$H$236=1,D705,D692)</f>
        <v>5</v>
      </c>
      <c r="H715" s="842" t="s">
        <v>579</v>
      </c>
      <c r="I715" s="839" t="s">
        <v>645</v>
      </c>
      <c r="J715" s="842">
        <f>IF(Constants!$H$236=1,D706,D693)</f>
        <v>51.5</v>
      </c>
      <c r="K715" s="842" t="s">
        <v>579</v>
      </c>
      <c r="L715" s="839" t="s">
        <v>649</v>
      </c>
      <c r="M715" s="842">
        <f>IF(Constants!$H$236=1,D707,D694)</f>
        <v>20</v>
      </c>
      <c r="N715" s="842" t="s">
        <v>579</v>
      </c>
      <c r="O715" s="839" t="s">
        <v>586</v>
      </c>
      <c r="P715" s="842">
        <f>IF(Constants!$H$236=1,D708,D695)</f>
        <v>15.4</v>
      </c>
      <c r="Q715" s="842" t="s">
        <v>579</v>
      </c>
      <c r="R715" s="842"/>
      <c r="S715" s="842" t="s">
        <v>556</v>
      </c>
      <c r="T715" s="842">
        <f ca="1">G716+J716+M716+P716</f>
        <v>2.3302293354763614E-14</v>
      </c>
      <c r="U715" s="337" t="s">
        <v>622</v>
      </c>
      <c r="V715" s="842"/>
      <c r="W715" s="842"/>
      <c r="X715" s="842"/>
      <c r="Y715" s="842"/>
      <c r="Z715" s="842"/>
      <c r="AA715" s="2209"/>
      <c r="AB715" s="2209"/>
      <c r="AC715" s="346"/>
    </row>
    <row r="716" spans="1:29" ht="18.75" customHeight="1" x14ac:dyDescent="0.2">
      <c r="A716" s="341"/>
      <c r="B716" s="345"/>
      <c r="C716" s="453" t="s">
        <v>550</v>
      </c>
      <c r="D716" s="842">
        <f ca="1">D715/100*E673</f>
        <v>8.3675264494798612E-16</v>
      </c>
      <c r="E716" s="842" t="s">
        <v>622</v>
      </c>
      <c r="F716" s="842" t="s">
        <v>642</v>
      </c>
      <c r="G716" s="842">
        <f ca="1">G715/100*E673</f>
        <v>1.2678070377999791E-15</v>
      </c>
      <c r="H716" s="842" t="s">
        <v>622</v>
      </c>
      <c r="I716" s="842" t="s">
        <v>646</v>
      </c>
      <c r="J716" s="842">
        <f ca="1">J715/100*E673</f>
        <v>1.3058412489339784E-14</v>
      </c>
      <c r="K716" s="842" t="s">
        <v>622</v>
      </c>
      <c r="L716" s="842" t="s">
        <v>650</v>
      </c>
      <c r="M716" s="842">
        <f ca="1">M715/100*E673</f>
        <v>5.0712281511999163E-15</v>
      </c>
      <c r="N716" s="842" t="s">
        <v>622</v>
      </c>
      <c r="O716" s="842" t="s">
        <v>587</v>
      </c>
      <c r="P716" s="842">
        <f ca="1">P715/100*E673</f>
        <v>3.9048456764239353E-15</v>
      </c>
      <c r="Q716" s="842" t="s">
        <v>622</v>
      </c>
      <c r="R716" s="842"/>
      <c r="S716" s="842" t="s">
        <v>555</v>
      </c>
      <c r="T716" s="842">
        <f ca="1">G718+J718+M718+P718</f>
        <v>2.9507329228613699E-17</v>
      </c>
      <c r="U716" s="337" t="s">
        <v>628</v>
      </c>
      <c r="V716" s="842"/>
      <c r="W716" s="842"/>
      <c r="X716" s="842"/>
      <c r="Y716" s="842"/>
      <c r="Z716" s="842"/>
      <c r="AA716" s="2209"/>
      <c r="AB716" s="2209"/>
      <c r="AC716" s="346"/>
    </row>
    <row r="717" spans="1:29" ht="18.75" customHeight="1" x14ac:dyDescent="0.2">
      <c r="A717" s="341"/>
      <c r="B717" s="345"/>
      <c r="C717" s="453"/>
      <c r="D717" s="842"/>
      <c r="E717" s="842"/>
      <c r="F717" s="842" t="s">
        <v>643</v>
      </c>
      <c r="G717" s="842">
        <f>IF(Constants!$H$236=1,E705,E692)</f>
        <v>625</v>
      </c>
      <c r="H717" s="842" t="s">
        <v>581</v>
      </c>
      <c r="I717" s="842" t="s">
        <v>647</v>
      </c>
      <c r="J717" s="842">
        <f>IF(Constants!$H$236=1,E706,E693)</f>
        <v>740</v>
      </c>
      <c r="K717" s="842" t="s">
        <v>581</v>
      </c>
      <c r="L717" s="842" t="s">
        <v>651</v>
      </c>
      <c r="M717" s="842">
        <f>IF(Constants!$H$236=1,E707,E694)</f>
        <v>850</v>
      </c>
      <c r="N717" s="842" t="s">
        <v>581</v>
      </c>
      <c r="O717" s="842" t="s">
        <v>588</v>
      </c>
      <c r="P717" s="842">
        <f>IF(Constants!$H$236=1,E708,E695)</f>
        <v>1010</v>
      </c>
      <c r="Q717" s="842" t="s">
        <v>581</v>
      </c>
      <c r="R717" s="842"/>
      <c r="S717" s="842" t="s">
        <v>555</v>
      </c>
      <c r="T717" s="842">
        <f ca="1">T716/'Energy &amp; Unit Conversions'!G80</f>
        <v>1.8559551126796731E-16</v>
      </c>
      <c r="U717" s="337" t="s">
        <v>566</v>
      </c>
      <c r="V717" s="842"/>
      <c r="W717" s="842"/>
      <c r="X717" s="842"/>
      <c r="Y717" s="842"/>
      <c r="Z717" s="842"/>
      <c r="AA717" s="2209"/>
      <c r="AB717" s="2209"/>
      <c r="AC717" s="346"/>
    </row>
    <row r="718" spans="1:29" ht="18.75" customHeight="1" x14ac:dyDescent="0.2">
      <c r="A718" s="341"/>
      <c r="B718" s="345"/>
      <c r="C718" s="442" t="s">
        <v>590</v>
      </c>
      <c r="D718" s="842">
        <f>IF(Constants!H236=1,D709,D696)</f>
        <v>4.8</v>
      </c>
      <c r="E718" s="842" t="s">
        <v>602</v>
      </c>
      <c r="F718" s="842" t="s">
        <v>644</v>
      </c>
      <c r="G718" s="842">
        <f ca="1">G716/G717</f>
        <v>2.0284912604799663E-18</v>
      </c>
      <c r="H718" s="842" t="s">
        <v>628</v>
      </c>
      <c r="I718" s="842" t="s">
        <v>648</v>
      </c>
      <c r="J718" s="842">
        <f ca="1">J716/J717</f>
        <v>1.764650336397268E-17</v>
      </c>
      <c r="K718" s="842" t="s">
        <v>628</v>
      </c>
      <c r="L718" s="842" t="s">
        <v>652</v>
      </c>
      <c r="M718" s="842">
        <f ca="1">M716/M717</f>
        <v>5.9661507661175488E-18</v>
      </c>
      <c r="N718" s="842" t="s">
        <v>628</v>
      </c>
      <c r="O718" s="842" t="s">
        <v>589</v>
      </c>
      <c r="P718" s="842">
        <f ca="1">P716/P717</f>
        <v>3.8661838380435E-18</v>
      </c>
      <c r="Q718" s="842" t="s">
        <v>628</v>
      </c>
      <c r="R718" s="842"/>
      <c r="S718" s="842" t="s">
        <v>557</v>
      </c>
      <c r="T718" s="842">
        <f ca="1">T715/T716</f>
        <v>789.71204659780017</v>
      </c>
      <c r="U718" s="337" t="s">
        <v>581</v>
      </c>
      <c r="V718" s="842"/>
      <c r="W718" s="842"/>
      <c r="X718" s="842"/>
      <c r="Y718" s="842"/>
      <c r="Z718" s="842"/>
      <c r="AA718" s="2209"/>
      <c r="AB718" s="2209"/>
      <c r="AC718" s="346"/>
    </row>
    <row r="719" spans="1:29" ht="18.75" customHeight="1" x14ac:dyDescent="0.2">
      <c r="A719" s="341"/>
      <c r="B719" s="345"/>
      <c r="C719" s="452" t="s">
        <v>552</v>
      </c>
      <c r="D719" s="334">
        <f ca="1">D718/100*E673</f>
        <v>1.2170947562879799E-15</v>
      </c>
      <c r="E719" s="334" t="s">
        <v>622</v>
      </c>
      <c r="F719" s="334" t="s">
        <v>644</v>
      </c>
      <c r="G719" s="334">
        <f ca="1">G718/'Energy &amp; Unit Conversions'!G80</f>
        <v>1.2758825770863247E-17</v>
      </c>
      <c r="H719" s="334" t="s">
        <v>566</v>
      </c>
      <c r="I719" s="334" t="s">
        <v>648</v>
      </c>
      <c r="J719" s="334">
        <f ca="1">J718/'Energy &amp; Unit Conversions'!G80</f>
        <v>1.109931633782867E-16</v>
      </c>
      <c r="K719" s="334" t="s">
        <v>566</v>
      </c>
      <c r="L719" s="334" t="s">
        <v>652</v>
      </c>
      <c r="M719" s="334">
        <f ca="1">M718/'Energy &amp; Unit Conversions'!G80</f>
        <v>3.752595814959779E-17</v>
      </c>
      <c r="N719" s="334" t="s">
        <v>566</v>
      </c>
      <c r="O719" s="334" t="s">
        <v>589</v>
      </c>
      <c r="P719" s="334">
        <f ca="1">P718/'Energy &amp; Unit Conversions'!G80</f>
        <v>2.4317563969219553E-17</v>
      </c>
      <c r="Q719" s="334" t="s">
        <v>566</v>
      </c>
      <c r="R719" s="334"/>
      <c r="S719" s="334"/>
      <c r="T719" s="334"/>
      <c r="U719" s="338"/>
      <c r="V719" s="842"/>
      <c r="W719" s="842"/>
      <c r="X719" s="842"/>
      <c r="Y719" s="842"/>
      <c r="Z719" s="842"/>
      <c r="AA719" s="2209"/>
      <c r="AB719" s="2209"/>
      <c r="AC719" s="346"/>
    </row>
    <row r="720" spans="1:29" ht="18.75" customHeight="1" x14ac:dyDescent="0.2">
      <c r="A720" s="341"/>
      <c r="B720" s="345"/>
      <c r="C720" s="437"/>
      <c r="D720" s="842"/>
      <c r="E720" s="842"/>
      <c r="F720" s="842"/>
      <c r="G720" s="842"/>
      <c r="H720" s="842"/>
      <c r="I720" s="842"/>
      <c r="J720" s="842"/>
      <c r="K720" s="842"/>
      <c r="L720" s="842"/>
      <c r="M720" s="842"/>
      <c r="N720" s="842"/>
      <c r="O720" s="842"/>
      <c r="P720" s="842"/>
      <c r="Q720" s="842"/>
      <c r="R720" s="842"/>
      <c r="S720" s="842"/>
      <c r="T720" s="842"/>
      <c r="U720" s="842"/>
      <c r="V720" s="842"/>
      <c r="W720" s="842"/>
      <c r="X720" s="842"/>
      <c r="Y720" s="842"/>
      <c r="Z720" s="842"/>
      <c r="AA720" s="2209"/>
      <c r="AB720" s="2209"/>
      <c r="AC720" s="346"/>
    </row>
    <row r="721" spans="1:29" ht="26.25" x14ac:dyDescent="0.2">
      <c r="A721" s="341"/>
      <c r="B721" s="699"/>
      <c r="C721" s="603" t="s">
        <v>1517</v>
      </c>
      <c r="D721" s="603"/>
      <c r="E721" s="603"/>
      <c r="F721" s="842"/>
      <c r="G721" s="842"/>
      <c r="H721" s="842"/>
      <c r="I721" s="842"/>
      <c r="J721" s="842"/>
      <c r="K721" s="842"/>
      <c r="L721" s="842"/>
      <c r="M721" s="842"/>
      <c r="N721" s="842"/>
      <c r="O721" s="842"/>
      <c r="P721" s="842"/>
      <c r="Q721" s="842"/>
      <c r="R721" s="842"/>
      <c r="S721" s="842"/>
      <c r="T721" s="842"/>
      <c r="U721" s="842"/>
      <c r="V721" s="842"/>
      <c r="W721" s="842"/>
      <c r="X721" s="842"/>
      <c r="Y721" s="842"/>
      <c r="Z721" s="842"/>
      <c r="AA721" s="2209"/>
      <c r="AB721" s="2209"/>
      <c r="AC721" s="346"/>
    </row>
    <row r="722" spans="1:29" ht="18.75" customHeight="1" x14ac:dyDescent="0.2">
      <c r="A722" s="341"/>
      <c r="B722" s="345"/>
      <c r="C722" s="437"/>
      <c r="D722" s="842"/>
      <c r="E722" s="426"/>
      <c r="F722" s="842"/>
      <c r="G722" s="842"/>
      <c r="H722" s="842"/>
      <c r="I722" s="842"/>
      <c r="J722" s="842"/>
      <c r="K722" s="842"/>
      <c r="L722" s="842"/>
      <c r="M722" s="842"/>
      <c r="N722" s="842"/>
      <c r="O722" s="842"/>
      <c r="P722" s="842"/>
      <c r="Q722" s="842"/>
      <c r="R722" s="842"/>
      <c r="S722" s="842"/>
      <c r="T722" s="842"/>
      <c r="U722" s="842"/>
      <c r="V722" s="842"/>
      <c r="W722" s="842"/>
      <c r="X722" s="842"/>
      <c r="Y722" s="842"/>
      <c r="Z722" s="842"/>
      <c r="AA722" s="2209"/>
      <c r="AB722" s="2209"/>
      <c r="AC722" s="346"/>
    </row>
    <row r="723" spans="1:29" ht="18.75" customHeight="1" x14ac:dyDescent="0.2">
      <c r="A723" s="341"/>
      <c r="B723" s="345"/>
      <c r="C723" s="843" t="s">
        <v>569</v>
      </c>
      <c r="D723" s="842"/>
      <c r="E723" s="839"/>
      <c r="F723" s="842"/>
      <c r="G723" s="842"/>
      <c r="H723" s="842"/>
      <c r="I723" s="842"/>
      <c r="J723" s="842"/>
      <c r="K723" s="842"/>
      <c r="L723" s="842"/>
      <c r="M723" s="842"/>
      <c r="N723" s="842"/>
      <c r="O723" s="842"/>
      <c r="P723" s="842"/>
      <c r="Q723" s="842"/>
      <c r="R723" s="842"/>
      <c r="S723" s="842"/>
      <c r="T723" s="842"/>
      <c r="U723" s="842"/>
      <c r="V723" s="842"/>
      <c r="W723" s="842"/>
      <c r="X723" s="842"/>
      <c r="Y723" s="842"/>
      <c r="Z723" s="842"/>
      <c r="AA723" s="2209"/>
      <c r="AB723" s="2209"/>
      <c r="AC723" s="346"/>
    </row>
    <row r="724" spans="1:29" ht="18.75" customHeight="1" x14ac:dyDescent="0.2">
      <c r="A724" s="341"/>
      <c r="B724" s="345"/>
      <c r="C724" s="441" t="s">
        <v>568</v>
      </c>
      <c r="D724" s="351" t="s">
        <v>623</v>
      </c>
      <c r="E724" s="356" t="str">
        <f>HydroRefineryCalcs!K670</f>
        <v>Total FCC Liquids</v>
      </c>
      <c r="F724" s="351" t="str">
        <f>HydroRefineryCalcs!F670</f>
        <v>FCC Fuel Gas</v>
      </c>
      <c r="G724" s="351" t="str">
        <f>HydroRefineryCalcs!G670</f>
        <v>FCC C4</v>
      </c>
      <c r="H724" s="351" t="str">
        <f>HydroRefineryCalcs!H670</f>
        <v>FCC Gasoline</v>
      </c>
      <c r="I724" s="351" t="str">
        <f>HydroRefineryCalcs!I670</f>
        <v>FCC LCO</v>
      </c>
      <c r="J724" s="352" t="str">
        <f>HydroRefineryCalcs!J670</f>
        <v>Slurry Oil</v>
      </c>
      <c r="K724" s="842"/>
      <c r="L724" s="842"/>
      <c r="M724" s="842"/>
      <c r="N724" s="842"/>
      <c r="O724" s="842"/>
      <c r="P724" s="842"/>
      <c r="Q724" s="842"/>
      <c r="R724" s="842"/>
      <c r="S724" s="842"/>
      <c r="T724" s="842"/>
      <c r="U724" s="842"/>
      <c r="V724" s="842"/>
      <c r="W724" s="842"/>
      <c r="X724" s="842"/>
      <c r="Y724" s="842"/>
      <c r="Z724" s="842"/>
      <c r="AA724" s="2209"/>
      <c r="AB724" s="2209"/>
      <c r="AC724" s="346"/>
    </row>
    <row r="725" spans="1:29" ht="18.75" customHeight="1" x14ac:dyDescent="0.2">
      <c r="A725" s="341"/>
      <c r="B725" s="345"/>
      <c r="C725" s="442" t="s">
        <v>582</v>
      </c>
      <c r="D725" s="842" t="s">
        <v>566</v>
      </c>
      <c r="E725" s="842">
        <f ca="1">K671</f>
        <v>1.8559551126796729E-16</v>
      </c>
      <c r="F725" s="842">
        <f>HydroRefineryCalcs!F671</f>
        <v>0</v>
      </c>
      <c r="G725" s="842">
        <f ca="1">HydroRefineryCalcs!G671</f>
        <v>1.2758825770863247E-17</v>
      </c>
      <c r="H725" s="842">
        <f ca="1">D772</f>
        <v>1.1099316337824997E-16</v>
      </c>
      <c r="I725" s="842">
        <f ca="1">D773</f>
        <v>3.7525958149627914E-17</v>
      </c>
      <c r="J725" s="337">
        <f ca="1">D774</f>
        <v>2.4317563969226157E-17</v>
      </c>
      <c r="K725" s="842"/>
      <c r="L725" s="842"/>
      <c r="M725" s="842"/>
      <c r="N725" s="842"/>
      <c r="O725" s="842"/>
      <c r="P725" s="842"/>
      <c r="Q725" s="842"/>
      <c r="R725" s="842"/>
      <c r="S725" s="842"/>
      <c r="T725" s="842"/>
      <c r="U725" s="842"/>
      <c r="V725" s="842"/>
      <c r="W725" s="842"/>
      <c r="X725" s="842"/>
      <c r="Y725" s="842"/>
      <c r="Z725" s="842"/>
      <c r="AA725" s="2209"/>
      <c r="AB725" s="2209"/>
      <c r="AC725" s="346"/>
    </row>
    <row r="726" spans="1:29" ht="18.75" customHeight="1" x14ac:dyDescent="0.2">
      <c r="A726" s="341"/>
      <c r="B726" s="345"/>
      <c r="C726" s="442" t="s">
        <v>582</v>
      </c>
      <c r="D726" s="842" t="s">
        <v>628</v>
      </c>
      <c r="E726" s="842">
        <f ca="1">K672</f>
        <v>2.9507329228613699E-17</v>
      </c>
      <c r="F726" s="842">
        <f>HydroRefineryCalcs!F672</f>
        <v>0</v>
      </c>
      <c r="G726" s="842">
        <f ca="1">HydroRefineryCalcs!G672</f>
        <v>2.0284912604799663E-18</v>
      </c>
      <c r="H726" s="842">
        <f ca="1">H725*'Energy &amp; Unit Conversions'!G80</f>
        <v>1.7646503363966841E-17</v>
      </c>
      <c r="I726" s="842">
        <f ca="1">I725*'Energy &amp; Unit Conversions'!G80</f>
        <v>5.9661507661223382E-18</v>
      </c>
      <c r="J726" s="337">
        <f ca="1">J725*'Energy &amp; Unit Conversions'!G80</f>
        <v>3.86618383804455E-18</v>
      </c>
      <c r="K726" s="842"/>
      <c r="L726" s="842"/>
      <c r="M726" s="842"/>
      <c r="N726" s="842"/>
      <c r="O726" s="842"/>
      <c r="P726" s="842"/>
      <c r="Q726" s="842"/>
      <c r="R726" s="842"/>
      <c r="S726" s="842"/>
      <c r="T726" s="842"/>
      <c r="U726" s="842"/>
      <c r="V726" s="842"/>
      <c r="W726" s="842"/>
      <c r="X726" s="842"/>
      <c r="Y726" s="842"/>
      <c r="Z726" s="842"/>
      <c r="AA726" s="2209"/>
      <c r="AB726" s="2209"/>
      <c r="AC726" s="346"/>
    </row>
    <row r="727" spans="1:29" ht="18.75" customHeight="1" x14ac:dyDescent="0.2">
      <c r="A727" s="341"/>
      <c r="B727" s="345"/>
      <c r="C727" s="442" t="s">
        <v>620</v>
      </c>
      <c r="D727" s="842" t="s">
        <v>622</v>
      </c>
      <c r="E727" s="842">
        <f ca="1">K673</f>
        <v>2.3302293354763614E-14</v>
      </c>
      <c r="F727" s="842">
        <f ca="1">HydroRefineryCalcs!F673</f>
        <v>8.3675264494798612E-16</v>
      </c>
      <c r="G727" s="842">
        <f ca="1">HydroRefineryCalcs!G673</f>
        <v>1.2678070377999791E-15</v>
      </c>
      <c r="H727" s="842">
        <f ca="1">E772</f>
        <v>1.305841248933579E-14</v>
      </c>
      <c r="I727" s="842">
        <f ca="1">E773</f>
        <v>5.0712281512033266E-15</v>
      </c>
      <c r="J727" s="337">
        <f ca="1">E774</f>
        <v>3.9048456764245182E-15</v>
      </c>
      <c r="K727" s="842"/>
      <c r="L727" s="842"/>
      <c r="M727" s="842"/>
      <c r="N727" s="842"/>
      <c r="O727" s="842"/>
      <c r="P727" s="842"/>
      <c r="Q727" s="842"/>
      <c r="R727" s="842"/>
      <c r="S727" s="842"/>
      <c r="T727" s="842"/>
      <c r="U727" s="842"/>
      <c r="V727" s="842"/>
      <c r="W727" s="842"/>
      <c r="X727" s="842"/>
      <c r="Y727" s="842"/>
      <c r="Z727" s="842"/>
      <c r="AA727" s="2209"/>
      <c r="AB727" s="2209"/>
      <c r="AC727" s="346"/>
    </row>
    <row r="728" spans="1:29" ht="18.75" customHeight="1" x14ac:dyDescent="0.2">
      <c r="A728" s="341"/>
      <c r="B728" s="345"/>
      <c r="C728" s="442" t="s">
        <v>578</v>
      </c>
      <c r="D728" s="842" t="s">
        <v>579</v>
      </c>
      <c r="E728" s="842">
        <f ca="1">K674</f>
        <v>0</v>
      </c>
      <c r="F728" s="842">
        <f ca="1">HydroRefineryCalcs!F674</f>
        <v>0</v>
      </c>
      <c r="G728" s="842">
        <f ca="1">HydroRefineryCalcs!G674</f>
        <v>0</v>
      </c>
      <c r="H728" s="842">
        <f ca="1">G772</f>
        <v>0</v>
      </c>
      <c r="I728" s="842">
        <f ca="1">G773</f>
        <v>0</v>
      </c>
      <c r="J728" s="337">
        <f ca="1">G774</f>
        <v>0</v>
      </c>
      <c r="K728" s="842"/>
      <c r="L728" s="842"/>
      <c r="M728" s="842"/>
      <c r="N728" s="842"/>
      <c r="O728" s="842"/>
      <c r="P728" s="842"/>
      <c r="Q728" s="842"/>
      <c r="R728" s="842"/>
      <c r="S728" s="842"/>
      <c r="T728" s="842"/>
      <c r="U728" s="842"/>
      <c r="V728" s="842"/>
      <c r="W728" s="842"/>
      <c r="X728" s="842"/>
      <c r="Y728" s="842"/>
      <c r="Z728" s="842"/>
      <c r="AA728" s="2209"/>
      <c r="AB728" s="2209"/>
      <c r="AC728" s="346"/>
    </row>
    <row r="729" spans="1:29" ht="18.75" customHeight="1" x14ac:dyDescent="0.2">
      <c r="A729" s="341"/>
      <c r="B729" s="345"/>
      <c r="C729" s="442" t="s">
        <v>888</v>
      </c>
      <c r="D729" s="842"/>
      <c r="E729" s="842"/>
      <c r="F729" s="842"/>
      <c r="G729" s="842"/>
      <c r="H729" s="842"/>
      <c r="I729" s="842"/>
      <c r="J729" s="337"/>
      <c r="K729" s="842"/>
      <c r="L729" s="842"/>
      <c r="M729" s="842"/>
      <c r="N729" s="842"/>
      <c r="O729" s="842"/>
      <c r="P729" s="842"/>
      <c r="Q729" s="842"/>
      <c r="R729" s="842"/>
      <c r="S729" s="842"/>
      <c r="T729" s="842"/>
      <c r="U729" s="842"/>
      <c r="V729" s="842"/>
      <c r="W729" s="842"/>
      <c r="X729" s="842"/>
      <c r="Y729" s="842"/>
      <c r="Z729" s="842"/>
      <c r="AA729" s="2209"/>
      <c r="AB729" s="2209"/>
      <c r="AC729" s="346"/>
    </row>
    <row r="730" spans="1:29" ht="18.75" customHeight="1" x14ac:dyDescent="0.2">
      <c r="A730" s="341"/>
      <c r="B730" s="345"/>
      <c r="C730" s="442" t="s">
        <v>567</v>
      </c>
      <c r="D730" s="842"/>
      <c r="E730" s="842">
        <f ca="1">K675</f>
        <v>47.679234519219449</v>
      </c>
      <c r="F730" s="842">
        <f>HydroRefineryCalcs!F675</f>
        <v>0</v>
      </c>
      <c r="G730" s="842">
        <f>HydroRefineryCalcs!G675</f>
        <v>94.9</v>
      </c>
      <c r="H730" s="842">
        <f ca="1">141.5/(H731/1000)-131.5</f>
        <v>59.716216216211393</v>
      </c>
      <c r="I730" s="842">
        <f ca="1">141.5/(I731/1000)-131.5</f>
        <v>34.97058823531583</v>
      </c>
      <c r="J730" s="337">
        <f ca="1">141.5/(J731/1000)-131.5</f>
        <v>8.5990099010072356</v>
      </c>
      <c r="K730" s="842"/>
      <c r="L730" s="842"/>
      <c r="M730" s="842"/>
      <c r="N730" s="842"/>
      <c r="O730" s="842"/>
      <c r="P730" s="842"/>
      <c r="Q730" s="842"/>
      <c r="R730" s="842"/>
      <c r="S730" s="842"/>
      <c r="T730" s="842"/>
      <c r="U730" s="842"/>
      <c r="V730" s="842"/>
      <c r="W730" s="842"/>
      <c r="X730" s="842"/>
      <c r="Y730" s="842"/>
      <c r="Z730" s="842"/>
      <c r="AA730" s="2209"/>
      <c r="AB730" s="2209"/>
      <c r="AC730" s="346"/>
    </row>
    <row r="731" spans="1:29" ht="18.75" customHeight="1" x14ac:dyDescent="0.2">
      <c r="A731" s="341"/>
      <c r="B731" s="345"/>
      <c r="C731" s="442" t="s">
        <v>580</v>
      </c>
      <c r="D731" s="842" t="s">
        <v>581</v>
      </c>
      <c r="E731" s="842">
        <f ca="1">K676</f>
        <v>789.71204659780017</v>
      </c>
      <c r="F731" s="842">
        <f>HydroRefineryCalcs!F676</f>
        <v>0</v>
      </c>
      <c r="G731" s="842">
        <f>HydroRefineryCalcs!G676</f>
        <v>625</v>
      </c>
      <c r="H731" s="842">
        <f ca="1">F772</f>
        <v>740.00000000001864</v>
      </c>
      <c r="I731" s="842">
        <f ca="1">F773</f>
        <v>849.99999999988916</v>
      </c>
      <c r="J731" s="337">
        <f ca="1">F774</f>
        <v>1009.9999999998765</v>
      </c>
      <c r="K731" s="842"/>
      <c r="L731" s="842"/>
      <c r="M731" s="842"/>
      <c r="N731" s="842"/>
      <c r="O731" s="842"/>
      <c r="P731" s="842"/>
      <c r="Q731" s="842"/>
      <c r="R731" s="842"/>
      <c r="S731" s="842"/>
      <c r="T731" s="842"/>
      <c r="U731" s="842"/>
      <c r="V731" s="842"/>
      <c r="W731" s="842"/>
      <c r="X731" s="842"/>
      <c r="Y731" s="842"/>
      <c r="Z731" s="842"/>
      <c r="AA731" s="2209"/>
      <c r="AB731" s="2209"/>
      <c r="AC731" s="346"/>
    </row>
    <row r="732" spans="1:29" ht="18.75" customHeight="1" x14ac:dyDescent="0.2">
      <c r="A732" s="341"/>
      <c r="B732" s="345"/>
      <c r="C732" s="442" t="s">
        <v>621</v>
      </c>
      <c r="D732" s="842" t="s">
        <v>579</v>
      </c>
      <c r="E732" s="842">
        <f ca="1">K677</f>
        <v>12.474972796517951</v>
      </c>
      <c r="F732" s="842">
        <f ca="1">HydroRefineryCalcs!F677</f>
        <v>22.79696969696969</v>
      </c>
      <c r="G732" s="842">
        <f ca="1">HydroRefineryCalcs!G677</f>
        <v>16.099999999999998</v>
      </c>
      <c r="H732" s="842">
        <f ca="1">H772</f>
        <v>14.499999999999085</v>
      </c>
      <c r="I732" s="842">
        <f ca="1">H773</f>
        <v>9.8000000000053582</v>
      </c>
      <c r="J732" s="337">
        <f ca="1">H774</f>
        <v>8.0000000000011688</v>
      </c>
      <c r="K732" s="842"/>
      <c r="L732" s="842"/>
      <c r="M732" s="842"/>
      <c r="N732" s="842"/>
      <c r="O732" s="842"/>
      <c r="P732" s="842"/>
      <c r="Q732" s="842"/>
      <c r="R732" s="842"/>
      <c r="S732" s="842"/>
      <c r="T732" s="842"/>
      <c r="U732" s="842"/>
      <c r="V732" s="842"/>
      <c r="W732" s="842"/>
      <c r="X732" s="842"/>
      <c r="Y732" s="842"/>
      <c r="Z732" s="842"/>
      <c r="AA732" s="2209"/>
      <c r="AB732" s="2209"/>
      <c r="AC732" s="346"/>
    </row>
    <row r="733" spans="1:29" ht="18.75" customHeight="1" x14ac:dyDescent="0.2">
      <c r="A733" s="341"/>
      <c r="B733" s="345"/>
      <c r="C733" s="443" t="s">
        <v>544</v>
      </c>
      <c r="D733" s="334" t="s">
        <v>579</v>
      </c>
      <c r="E733" s="334"/>
      <c r="F733" s="334">
        <f ca="1">HydroRefineryCalcs!F678</f>
        <v>14.499999999999998</v>
      </c>
      <c r="G733" s="334">
        <f ca="1">HydroRefineryCalcs!G678</f>
        <v>9.7999999999999989</v>
      </c>
      <c r="H733" s="334">
        <f ca="1">HydroRefineryCalcs!H678</f>
        <v>8</v>
      </c>
      <c r="I733" s="334">
        <f ca="1">HydroRefineryCalcs!I678</f>
        <v>5.8999999999999995</v>
      </c>
      <c r="J733" s="338">
        <f>HydroRefineryCalcs!J678</f>
        <v>0</v>
      </c>
      <c r="K733" s="842"/>
      <c r="L733" s="842"/>
      <c r="M733" s="842"/>
      <c r="N733" s="842"/>
      <c r="O733" s="842"/>
      <c r="P733" s="842"/>
      <c r="Q733" s="842"/>
      <c r="R733" s="842"/>
      <c r="S733" s="842"/>
      <c r="T733" s="842"/>
      <c r="U733" s="842"/>
      <c r="V733" s="842"/>
      <c r="W733" s="842"/>
      <c r="X733" s="842"/>
      <c r="Y733" s="842"/>
      <c r="Z733" s="842"/>
      <c r="AA733" s="2209"/>
      <c r="AB733" s="2209"/>
      <c r="AC733" s="346"/>
    </row>
    <row r="734" spans="1:29" ht="18.75" customHeight="1" x14ac:dyDescent="0.2">
      <c r="A734" s="341"/>
      <c r="B734" s="345"/>
      <c r="C734" s="437"/>
      <c r="D734" s="842"/>
      <c r="E734" s="842"/>
      <c r="F734" s="842"/>
      <c r="G734" s="842"/>
      <c r="H734" s="842"/>
      <c r="I734" s="842"/>
      <c r="J734" s="842"/>
      <c r="K734" s="842"/>
      <c r="L734" s="842"/>
      <c r="M734" s="842"/>
      <c r="N734" s="842"/>
      <c r="O734" s="842"/>
      <c r="P734" s="842"/>
      <c r="Q734" s="842"/>
      <c r="R734" s="842"/>
      <c r="S734" s="842"/>
      <c r="T734" s="842"/>
      <c r="U734" s="842"/>
      <c r="V734" s="842"/>
      <c r="W734" s="842"/>
      <c r="X734" s="842"/>
      <c r="Y734" s="842"/>
      <c r="Z734" s="842"/>
      <c r="AA734" s="2209"/>
      <c r="AB734" s="2209"/>
      <c r="AC734" s="346"/>
    </row>
    <row r="735" spans="1:29" ht="18.75" customHeight="1" x14ac:dyDescent="0.2">
      <c r="A735" s="341"/>
      <c r="B735" s="345"/>
      <c r="C735" s="843" t="s">
        <v>308</v>
      </c>
      <c r="D735" s="842"/>
      <c r="E735" s="842"/>
      <c r="F735" s="842"/>
      <c r="G735" s="842"/>
      <c r="H735" s="842"/>
      <c r="I735" s="842"/>
      <c r="J735" s="842"/>
      <c r="K735" s="842"/>
      <c r="L735" s="842"/>
      <c r="M735" s="842"/>
      <c r="N735" s="842"/>
      <c r="O735" s="842"/>
      <c r="P735" s="842"/>
      <c r="Q735" s="842"/>
      <c r="R735" s="842"/>
      <c r="S735" s="842"/>
      <c r="T735" s="842"/>
      <c r="U735" s="842"/>
      <c r="V735" s="842"/>
      <c r="W735" s="842"/>
      <c r="X735" s="842"/>
      <c r="Y735" s="842"/>
      <c r="Z735" s="842"/>
      <c r="AA735" s="2209"/>
      <c r="AB735" s="2209"/>
      <c r="AC735" s="346"/>
    </row>
    <row r="736" spans="1:29" ht="18.75" customHeight="1" x14ac:dyDescent="0.2">
      <c r="A736" s="341"/>
      <c r="B736" s="345"/>
      <c r="C736" s="855"/>
      <c r="D736" s="351" t="s">
        <v>233</v>
      </c>
      <c r="E736" s="352" t="s">
        <v>623</v>
      </c>
      <c r="F736" s="842"/>
      <c r="G736" s="842"/>
      <c r="H736" s="842"/>
      <c r="I736" s="842"/>
      <c r="J736" s="842"/>
      <c r="K736" s="842"/>
      <c r="L736" s="842"/>
      <c r="M736" s="842"/>
      <c r="N736" s="842"/>
      <c r="O736" s="842"/>
      <c r="P736" s="842"/>
      <c r="Q736" s="842"/>
      <c r="R736" s="842"/>
      <c r="S736" s="842"/>
      <c r="T736" s="842"/>
      <c r="U736" s="842"/>
      <c r="V736" s="842"/>
      <c r="W736" s="842"/>
      <c r="X736" s="842"/>
      <c r="Y736" s="842"/>
      <c r="Z736" s="842"/>
      <c r="AA736" s="2209"/>
      <c r="AB736" s="2209"/>
      <c r="AC736" s="346"/>
    </row>
    <row r="737" spans="1:29" ht="18.75" customHeight="1" x14ac:dyDescent="0.2">
      <c r="A737" s="341"/>
      <c r="B737" s="345"/>
      <c r="C737" s="864" t="s">
        <v>494</v>
      </c>
      <c r="D737" s="554">
        <v>180000</v>
      </c>
      <c r="E737" s="379" t="s">
        <v>611</v>
      </c>
      <c r="F737" s="842"/>
      <c r="G737" s="842"/>
      <c r="H737" s="842"/>
      <c r="I737" s="842"/>
      <c r="J737" s="842"/>
      <c r="K737" s="842"/>
      <c r="L737" s="842"/>
      <c r="M737" s="842"/>
      <c r="N737" s="842"/>
      <c r="O737" s="842"/>
      <c r="P737" s="842"/>
      <c r="Q737" s="842"/>
      <c r="R737" s="842"/>
      <c r="S737" s="842"/>
      <c r="T737" s="842"/>
      <c r="U737" s="842"/>
      <c r="V737" s="842"/>
      <c r="W737" s="842"/>
      <c r="X737" s="842"/>
      <c r="Y737" s="842"/>
      <c r="Z737" s="842"/>
      <c r="AA737" s="2209"/>
      <c r="AB737" s="2209"/>
      <c r="AC737" s="346"/>
    </row>
    <row r="738" spans="1:29" ht="18.75" customHeight="1" x14ac:dyDescent="0.2">
      <c r="A738" s="341"/>
      <c r="B738" s="345"/>
      <c r="C738" s="864" t="s">
        <v>673</v>
      </c>
      <c r="D738" s="554">
        <v>150</v>
      </c>
      <c r="E738" s="379" t="s">
        <v>630</v>
      </c>
      <c r="F738" s="842"/>
      <c r="G738" s="842"/>
      <c r="H738" s="842"/>
      <c r="I738" s="842"/>
      <c r="J738" s="842"/>
      <c r="K738" s="842"/>
      <c r="L738" s="842"/>
      <c r="M738" s="842"/>
      <c r="N738" s="842"/>
      <c r="O738" s="842"/>
      <c r="P738" s="842"/>
      <c r="Q738" s="842"/>
      <c r="R738" s="842"/>
      <c r="S738" s="842"/>
      <c r="T738" s="842"/>
      <c r="U738" s="842"/>
      <c r="V738" s="842"/>
      <c r="W738" s="842"/>
      <c r="X738" s="842"/>
      <c r="Y738" s="842"/>
      <c r="Z738" s="842"/>
      <c r="AA738" s="2209"/>
      <c r="AB738" s="2209"/>
      <c r="AC738" s="346"/>
    </row>
    <row r="739" spans="1:29" ht="18.75" customHeight="1" x14ac:dyDescent="0.2">
      <c r="A739" s="341"/>
      <c r="B739" s="345"/>
      <c r="C739" s="453" t="s">
        <v>526</v>
      </c>
      <c r="D739" s="842">
        <f ca="1">D738*H726*'Energy &amp; Unit Conversions'!G87</f>
        <v>3.0636290562442433E-20</v>
      </c>
      <c r="E739" s="337" t="s">
        <v>632</v>
      </c>
      <c r="F739" s="842"/>
      <c r="G739" s="842"/>
      <c r="H739" s="842"/>
      <c r="I739" s="842"/>
      <c r="J739" s="842"/>
      <c r="K739" s="842"/>
      <c r="L739" s="842"/>
      <c r="M739" s="842"/>
      <c r="N739" s="842"/>
      <c r="O739" s="842"/>
      <c r="P739" s="842"/>
      <c r="Q739" s="842"/>
      <c r="R739" s="842"/>
      <c r="S739" s="842"/>
      <c r="T739" s="842"/>
      <c r="U739" s="842"/>
      <c r="V739" s="842"/>
      <c r="W739" s="842"/>
      <c r="X739" s="842"/>
      <c r="Y739" s="842"/>
      <c r="Z739" s="842"/>
      <c r="AA739" s="2209"/>
      <c r="AB739" s="2209"/>
      <c r="AC739" s="346"/>
    </row>
    <row r="740" spans="1:29" ht="18.75" customHeight="1" x14ac:dyDescent="0.2">
      <c r="A740" s="341"/>
      <c r="B740" s="345"/>
      <c r="C740" s="453" t="s">
        <v>674</v>
      </c>
      <c r="D740" s="410">
        <f>Constants!H230</f>
        <v>0.97</v>
      </c>
      <c r="E740" s="337" t="s">
        <v>496</v>
      </c>
      <c r="F740" s="842"/>
      <c r="G740" s="842"/>
      <c r="H740" s="842"/>
      <c r="I740" s="842"/>
      <c r="J740" s="842"/>
      <c r="K740" s="842"/>
      <c r="L740" s="842"/>
      <c r="M740" s="842"/>
      <c r="N740" s="842"/>
      <c r="O740" s="842"/>
      <c r="P740" s="842"/>
      <c r="Q740" s="842"/>
      <c r="R740" s="842"/>
      <c r="S740" s="842"/>
      <c r="T740" s="842"/>
      <c r="U740" s="842"/>
      <c r="V740" s="842"/>
      <c r="W740" s="842"/>
      <c r="X740" s="842"/>
      <c r="Y740" s="842"/>
      <c r="Z740" s="842"/>
      <c r="AA740" s="2209"/>
      <c r="AB740" s="2209"/>
      <c r="AC740" s="346"/>
    </row>
    <row r="741" spans="1:29" ht="18.75" customHeight="1" x14ac:dyDescent="0.2">
      <c r="A741" s="341"/>
      <c r="B741" s="345"/>
      <c r="C741" s="453" t="s">
        <v>674</v>
      </c>
      <c r="D741" s="842">
        <f>D740*'Energy &amp; Unit Conversions'!G79/'Energy &amp; Unit Conversions'!G80</f>
        <v>2.7674197806994649</v>
      </c>
      <c r="E741" s="337" t="s">
        <v>581</v>
      </c>
      <c r="F741" s="842"/>
      <c r="G741" s="842"/>
      <c r="H741" s="842"/>
      <c r="I741" s="842"/>
      <c r="J741" s="842"/>
      <c r="K741" s="842"/>
      <c r="L741" s="842"/>
      <c r="M741" s="842"/>
      <c r="N741" s="842"/>
      <c r="O741" s="842"/>
      <c r="P741" s="842"/>
      <c r="Q741" s="842"/>
      <c r="R741" s="842"/>
      <c r="S741" s="842"/>
      <c r="T741" s="842"/>
      <c r="U741" s="842"/>
      <c r="V741" s="842"/>
      <c r="W741" s="842"/>
      <c r="X741" s="842"/>
      <c r="Y741" s="842"/>
      <c r="Z741" s="842"/>
      <c r="AA741" s="2209"/>
      <c r="AB741" s="2209"/>
      <c r="AC741" s="346"/>
    </row>
    <row r="742" spans="1:29" ht="18.75" customHeight="1" x14ac:dyDescent="0.2">
      <c r="A742" s="341"/>
      <c r="B742" s="345"/>
      <c r="C742" s="453" t="s">
        <v>675</v>
      </c>
      <c r="D742" s="842">
        <f ca="1">D741*E726</f>
        <v>8.1659166582877036E-17</v>
      </c>
      <c r="E742" s="337" t="s">
        <v>622</v>
      </c>
      <c r="F742" s="842"/>
      <c r="G742" s="842"/>
      <c r="H742" s="842"/>
      <c r="I742" s="842"/>
      <c r="J742" s="842"/>
      <c r="K742" s="842"/>
      <c r="L742" s="842"/>
      <c r="M742" s="842"/>
      <c r="N742" s="842"/>
      <c r="O742" s="842"/>
      <c r="P742" s="842"/>
      <c r="Q742" s="842"/>
      <c r="R742" s="842"/>
      <c r="S742" s="842"/>
      <c r="T742" s="842"/>
      <c r="U742" s="842"/>
      <c r="V742" s="842"/>
      <c r="W742" s="842"/>
      <c r="X742" s="842"/>
      <c r="Y742" s="842"/>
      <c r="Z742" s="842"/>
      <c r="AA742" s="2209"/>
      <c r="AB742" s="2209"/>
      <c r="AC742" s="346"/>
    </row>
    <row r="743" spans="1:29" ht="18.75" customHeight="1" x14ac:dyDescent="0.2">
      <c r="A743" s="341"/>
      <c r="B743" s="345"/>
      <c r="C743" s="453" t="s">
        <v>451</v>
      </c>
      <c r="D743" s="410">
        <f>Constants!H234</f>
        <v>0.45000000000000007</v>
      </c>
      <c r="E743" s="337" t="s">
        <v>665</v>
      </c>
      <c r="F743" s="842"/>
      <c r="G743" s="842"/>
      <c r="H743" s="842"/>
      <c r="I743" s="842"/>
      <c r="J743" s="842"/>
      <c r="K743" s="842"/>
      <c r="L743" s="842"/>
      <c r="M743" s="842"/>
      <c r="N743" s="842"/>
      <c r="O743" s="842"/>
      <c r="P743" s="842"/>
      <c r="Q743" s="842"/>
      <c r="R743" s="842"/>
      <c r="S743" s="842"/>
      <c r="T743" s="842"/>
      <c r="U743" s="842"/>
      <c r="V743" s="842"/>
      <c r="W743" s="842"/>
      <c r="X743" s="842"/>
      <c r="Y743" s="842"/>
      <c r="Z743" s="842"/>
      <c r="AA743" s="2209"/>
      <c r="AB743" s="2209"/>
      <c r="AC743" s="346"/>
    </row>
    <row r="744" spans="1:29" ht="18.75" customHeight="1" x14ac:dyDescent="0.2">
      <c r="A744" s="341"/>
      <c r="B744" s="345"/>
      <c r="C744" s="453" t="s">
        <v>451</v>
      </c>
      <c r="D744" s="842">
        <f>D743/'Energy &amp; Unit Conversions'!G80</f>
        <v>2.830414756398782</v>
      </c>
      <c r="E744" s="337" t="s">
        <v>629</v>
      </c>
      <c r="F744" s="842"/>
      <c r="G744" s="842"/>
      <c r="H744" s="842"/>
      <c r="I744" s="842"/>
      <c r="J744" s="842"/>
      <c r="K744" s="842"/>
      <c r="L744" s="842"/>
      <c r="M744" s="842"/>
      <c r="N744" s="842"/>
      <c r="O744" s="842"/>
      <c r="P744" s="842"/>
      <c r="Q744" s="842"/>
      <c r="R744" s="842"/>
      <c r="S744" s="842"/>
      <c r="T744" s="842"/>
      <c r="U744" s="842"/>
      <c r="V744" s="842"/>
      <c r="W744" s="842"/>
      <c r="X744" s="842"/>
      <c r="Y744" s="842"/>
      <c r="Z744" s="842"/>
      <c r="AA744" s="2209"/>
      <c r="AB744" s="2209"/>
      <c r="AC744" s="346"/>
    </row>
    <row r="745" spans="1:29" ht="18.75" customHeight="1" x14ac:dyDescent="0.2">
      <c r="A745" s="341"/>
      <c r="B745" s="345"/>
      <c r="C745" s="452" t="s">
        <v>452</v>
      </c>
      <c r="D745" s="334">
        <f ca="1">D744*E726</f>
        <v>8.3517980070585307E-17</v>
      </c>
      <c r="E745" s="338" t="s">
        <v>627</v>
      </c>
      <c r="F745" s="842"/>
      <c r="G745" s="842"/>
      <c r="H745" s="842"/>
      <c r="I745" s="842"/>
      <c r="J745" s="842"/>
      <c r="K745" s="842"/>
      <c r="L745" s="842"/>
      <c r="M745" s="842"/>
      <c r="N745" s="842"/>
      <c r="O745" s="842"/>
      <c r="P745" s="842"/>
      <c r="Q745" s="842"/>
      <c r="R745" s="842"/>
      <c r="S745" s="842"/>
      <c r="T745" s="842"/>
      <c r="U745" s="842"/>
      <c r="V745" s="842"/>
      <c r="W745" s="842"/>
      <c r="X745" s="842"/>
      <c r="Y745" s="842"/>
      <c r="Z745" s="842"/>
      <c r="AA745" s="2209"/>
      <c r="AB745" s="2209"/>
      <c r="AC745" s="346"/>
    </row>
    <row r="746" spans="1:29" ht="18.75" customHeight="1" x14ac:dyDescent="0.2">
      <c r="A746" s="341"/>
      <c r="B746" s="345"/>
      <c r="C746" s="437"/>
      <c r="D746" s="842"/>
      <c r="E746" s="842"/>
      <c r="F746" s="842"/>
      <c r="G746" s="842"/>
      <c r="H746" s="842"/>
      <c r="I746" s="842"/>
      <c r="J746" s="842"/>
      <c r="K746" s="842"/>
      <c r="L746" s="842"/>
      <c r="M746" s="842"/>
      <c r="N746" s="842"/>
      <c r="O746" s="842"/>
      <c r="P746" s="842"/>
      <c r="Q746" s="842"/>
      <c r="R746" s="842"/>
      <c r="S746" s="842"/>
      <c r="T746" s="842"/>
      <c r="U746" s="842"/>
      <c r="V746" s="842"/>
      <c r="W746" s="842"/>
      <c r="X746" s="842"/>
      <c r="Y746" s="842"/>
      <c r="Z746" s="842"/>
      <c r="AA746" s="2209"/>
      <c r="AB746" s="2209"/>
      <c r="AC746" s="346"/>
    </row>
    <row r="747" spans="1:29" ht="18.75" customHeight="1" x14ac:dyDescent="0.2">
      <c r="A747" s="341"/>
      <c r="B747" s="345"/>
      <c r="C747" s="342"/>
      <c r="D747" s="842"/>
      <c r="E747" s="842"/>
      <c r="F747" s="842"/>
      <c r="G747" s="842"/>
      <c r="H747" s="842"/>
      <c r="I747" s="842"/>
      <c r="J747" s="842"/>
      <c r="K747" s="842"/>
      <c r="L747" s="842"/>
      <c r="M747" s="842"/>
      <c r="N747" s="842"/>
      <c r="O747" s="842"/>
      <c r="P747" s="842"/>
      <c r="Q747" s="842"/>
      <c r="R747" s="842"/>
      <c r="S747" s="842"/>
      <c r="T747" s="842"/>
      <c r="U747" s="842"/>
      <c r="V747" s="842"/>
      <c r="W747" s="842"/>
      <c r="X747" s="842"/>
      <c r="Y747" s="842"/>
      <c r="Z747" s="842"/>
      <c r="AA747" s="2209"/>
      <c r="AB747" s="2209"/>
      <c r="AC747" s="346"/>
    </row>
    <row r="748" spans="1:29" ht="18.75" customHeight="1" x14ac:dyDescent="0.2">
      <c r="A748" s="341"/>
      <c r="B748" s="345"/>
      <c r="C748" s="843" t="s">
        <v>251</v>
      </c>
      <c r="D748" s="842"/>
      <c r="E748" s="842"/>
      <c r="F748" s="842"/>
      <c r="G748" s="842"/>
      <c r="H748" s="842"/>
      <c r="I748" s="842"/>
      <c r="J748" s="842"/>
      <c r="K748" s="842"/>
      <c r="L748" s="842"/>
      <c r="M748" s="842"/>
      <c r="N748" s="842"/>
      <c r="O748" s="842"/>
      <c r="P748" s="842"/>
      <c r="Q748" s="842"/>
      <c r="R748" s="842"/>
      <c r="S748" s="842"/>
      <c r="T748" s="842"/>
      <c r="U748" s="842"/>
      <c r="V748" s="842"/>
      <c r="W748" s="842"/>
      <c r="X748" s="842"/>
      <c r="Y748" s="842"/>
      <c r="Z748" s="842"/>
      <c r="AA748" s="2209"/>
      <c r="AB748" s="2209"/>
      <c r="AC748" s="346"/>
    </row>
    <row r="749" spans="1:29" ht="18.75" customHeight="1" x14ac:dyDescent="0.2">
      <c r="A749" s="341"/>
      <c r="B749" s="345"/>
      <c r="C749" s="454"/>
      <c r="D749" s="356" t="s">
        <v>1197</v>
      </c>
      <c r="E749" s="356" t="s">
        <v>1198</v>
      </c>
      <c r="F749" s="356" t="s">
        <v>1199</v>
      </c>
      <c r="G749" s="356" t="s">
        <v>663</v>
      </c>
      <c r="H749" s="357" t="s">
        <v>662</v>
      </c>
      <c r="I749" s="842"/>
      <c r="J749" s="842"/>
      <c r="K749" s="842"/>
      <c r="L749" s="842"/>
      <c r="M749" s="842"/>
      <c r="N749" s="842"/>
      <c r="O749" s="842"/>
      <c r="P749" s="842"/>
      <c r="Q749" s="842"/>
      <c r="R749" s="842"/>
      <c r="S749" s="842"/>
      <c r="T749" s="842"/>
      <c r="U749" s="842"/>
      <c r="V749" s="842"/>
      <c r="W749" s="842"/>
      <c r="X749" s="842"/>
      <c r="Y749" s="842"/>
      <c r="Z749" s="842"/>
      <c r="AA749" s="2209"/>
      <c r="AB749" s="2209"/>
      <c r="AC749" s="346"/>
    </row>
    <row r="750" spans="1:29" ht="18.75" customHeight="1" x14ac:dyDescent="0.2">
      <c r="A750" s="341"/>
      <c r="B750" s="345"/>
      <c r="C750" s="442" t="s">
        <v>482</v>
      </c>
      <c r="D750" s="842">
        <f ca="1">H671</f>
        <v>1.109931633782867E-16</v>
      </c>
      <c r="E750" s="842">
        <f ca="1">H673</f>
        <v>1.3058412489339784E-14</v>
      </c>
      <c r="F750" s="842">
        <f ca="1">E750/D750/'Energy &amp; Unit Conversions'!G80</f>
        <v>740</v>
      </c>
      <c r="G750" s="842">
        <f ca="1">H674</f>
        <v>0</v>
      </c>
      <c r="H750" s="337">
        <f ca="1">H677</f>
        <v>14.499999999999998</v>
      </c>
      <c r="I750" s="842"/>
      <c r="J750" s="842"/>
      <c r="K750" s="842"/>
      <c r="L750" s="842"/>
      <c r="M750" s="842"/>
      <c r="N750" s="842"/>
      <c r="O750" s="842"/>
      <c r="P750" s="842"/>
      <c r="Q750" s="842"/>
      <c r="R750" s="842"/>
      <c r="S750" s="842"/>
      <c r="T750" s="842"/>
      <c r="U750" s="842"/>
      <c r="V750" s="842"/>
      <c r="W750" s="842"/>
      <c r="X750" s="842"/>
      <c r="Y750" s="842"/>
      <c r="Z750" s="842"/>
      <c r="AA750" s="2209"/>
      <c r="AB750" s="2209"/>
      <c r="AC750" s="346"/>
    </row>
    <row r="751" spans="1:29" ht="18.75" customHeight="1" x14ac:dyDescent="0.2">
      <c r="A751" s="341"/>
      <c r="B751" s="345"/>
      <c r="C751" s="442" t="s">
        <v>418</v>
      </c>
      <c r="D751" s="842">
        <f ca="1">I671</f>
        <v>3.752595814959779E-17</v>
      </c>
      <c r="E751" s="842">
        <f ca="1">I673</f>
        <v>5.0712281511999163E-15</v>
      </c>
      <c r="F751" s="842">
        <f ca="1">E751/D751/'Energy &amp; Unit Conversions'!G80</f>
        <v>850</v>
      </c>
      <c r="G751" s="842">
        <f ca="1">I674</f>
        <v>0</v>
      </c>
      <c r="H751" s="337">
        <f ca="1">I677</f>
        <v>9.7999999999999989</v>
      </c>
      <c r="I751" s="842"/>
      <c r="J751" s="842"/>
      <c r="K751" s="842"/>
      <c r="L751" s="842"/>
      <c r="M751" s="842"/>
      <c r="N751" s="842"/>
      <c r="O751" s="842"/>
      <c r="P751" s="842"/>
      <c r="Q751" s="842"/>
      <c r="R751" s="842"/>
      <c r="S751" s="842"/>
      <c r="T751" s="842"/>
      <c r="U751" s="842"/>
      <c r="V751" s="842"/>
      <c r="W751" s="842"/>
      <c r="X751" s="842"/>
      <c r="Y751" s="842"/>
      <c r="Z751" s="842"/>
      <c r="AA751" s="2209"/>
      <c r="AB751" s="2209"/>
      <c r="AC751" s="346"/>
    </row>
    <row r="752" spans="1:29" ht="18.75" customHeight="1" x14ac:dyDescent="0.2">
      <c r="A752" s="341"/>
      <c r="B752" s="345"/>
      <c r="C752" s="442" t="s">
        <v>421</v>
      </c>
      <c r="D752" s="842">
        <f ca="1">J671</f>
        <v>2.4317563969219553E-17</v>
      </c>
      <c r="E752" s="842">
        <f ca="1">J673</f>
        <v>3.9048456764239353E-15</v>
      </c>
      <c r="F752" s="842">
        <f ca="1">E752/D752/'Energy &amp; Unit Conversions'!G80</f>
        <v>1010.0000000000001</v>
      </c>
      <c r="G752" s="842">
        <f ca="1">J674</f>
        <v>0</v>
      </c>
      <c r="H752" s="337">
        <f ca="1">J677</f>
        <v>8</v>
      </c>
      <c r="I752" s="842"/>
      <c r="J752" s="842"/>
      <c r="K752" s="842"/>
      <c r="L752" s="842"/>
      <c r="M752" s="842"/>
      <c r="N752" s="842"/>
      <c r="O752" s="842"/>
      <c r="P752" s="842"/>
      <c r="Q752" s="842"/>
      <c r="R752" s="842"/>
      <c r="S752" s="842"/>
      <c r="T752" s="842"/>
      <c r="U752" s="842"/>
      <c r="V752" s="842"/>
      <c r="W752" s="842"/>
      <c r="X752" s="842"/>
      <c r="Y752" s="842"/>
      <c r="Z752" s="842"/>
      <c r="AA752" s="2209"/>
      <c r="AB752" s="2209"/>
      <c r="AC752" s="346"/>
    </row>
    <row r="753" spans="1:29" ht="18.75" customHeight="1" x14ac:dyDescent="0.2">
      <c r="A753" s="341"/>
      <c r="B753" s="345"/>
      <c r="C753" s="452" t="s">
        <v>1200</v>
      </c>
      <c r="D753" s="334">
        <f ca="1">SUM(D750:D752)</f>
        <v>1.7283668549710405E-16</v>
      </c>
      <c r="E753" s="334">
        <f ca="1">SUM(E750:E752)</f>
        <v>2.2034486316963635E-14</v>
      </c>
      <c r="F753" s="334"/>
      <c r="G753" s="334"/>
      <c r="H753" s="338"/>
      <c r="I753" s="842"/>
      <c r="J753" s="842"/>
      <c r="K753" s="842"/>
      <c r="L753" s="842"/>
      <c r="M753" s="842"/>
      <c r="N753" s="842"/>
      <c r="O753" s="842"/>
      <c r="P753" s="842"/>
      <c r="Q753" s="842"/>
      <c r="R753" s="842"/>
      <c r="S753" s="842"/>
      <c r="T753" s="842"/>
      <c r="U753" s="842"/>
      <c r="V753" s="842"/>
      <c r="W753" s="842"/>
      <c r="X753" s="842"/>
      <c r="Y753" s="842"/>
      <c r="Z753" s="842"/>
      <c r="AA753" s="2209"/>
      <c r="AB753" s="2209"/>
      <c r="AC753" s="346"/>
    </row>
    <row r="754" spans="1:29" ht="18.75" customHeight="1" x14ac:dyDescent="0.2">
      <c r="A754" s="341"/>
      <c r="B754" s="345"/>
      <c r="C754" s="437"/>
      <c r="D754" s="842"/>
      <c r="E754" s="842"/>
      <c r="F754" s="842"/>
      <c r="G754" s="842"/>
      <c r="H754" s="842"/>
      <c r="I754" s="842"/>
      <c r="J754" s="842"/>
      <c r="K754" s="842"/>
      <c r="L754" s="842"/>
      <c r="M754" s="842"/>
      <c r="N754" s="842"/>
      <c r="O754" s="842"/>
      <c r="P754" s="842"/>
      <c r="Q754" s="842"/>
      <c r="R754" s="842"/>
      <c r="S754" s="842"/>
      <c r="T754" s="842"/>
      <c r="U754" s="842"/>
      <c r="V754" s="842"/>
      <c r="W754" s="842"/>
      <c r="X754" s="842"/>
      <c r="Y754" s="842"/>
      <c r="Z754" s="842"/>
      <c r="AA754" s="2209"/>
      <c r="AB754" s="2209"/>
      <c r="AC754" s="346"/>
    </row>
    <row r="755" spans="1:29" ht="18.75" customHeight="1" x14ac:dyDescent="0.2">
      <c r="A755" s="341"/>
      <c r="B755" s="345"/>
      <c r="C755" s="342"/>
      <c r="D755" s="842"/>
      <c r="E755" s="842"/>
      <c r="F755" s="842"/>
      <c r="G755" s="842"/>
      <c r="H755" s="842"/>
      <c r="I755" s="842"/>
      <c r="J755" s="842"/>
      <c r="K755" s="842"/>
      <c r="L755" s="842"/>
      <c r="M755" s="842"/>
      <c r="N755" s="842"/>
      <c r="O755" s="842"/>
      <c r="P755" s="842"/>
      <c r="Q755" s="842"/>
      <c r="R755" s="842"/>
      <c r="S755" s="842"/>
      <c r="T755" s="842"/>
      <c r="U755" s="842"/>
      <c r="V755" s="842"/>
      <c r="W755" s="842"/>
      <c r="X755" s="842"/>
      <c r="Y755" s="842"/>
      <c r="Z755" s="842"/>
      <c r="AA755" s="2209"/>
      <c r="AB755" s="2209"/>
      <c r="AC755" s="346"/>
    </row>
    <row r="756" spans="1:29" ht="18.75" customHeight="1" x14ac:dyDescent="0.2">
      <c r="A756" s="341"/>
      <c r="B756" s="345"/>
      <c r="C756" s="843" t="s">
        <v>460</v>
      </c>
      <c r="D756" s="842"/>
      <c r="E756" s="842"/>
      <c r="F756" s="842"/>
      <c r="G756" s="842"/>
      <c r="H756" s="842"/>
      <c r="I756" s="842"/>
      <c r="J756" s="842"/>
      <c r="K756" s="842"/>
      <c r="L756" s="842"/>
      <c r="M756" s="842"/>
      <c r="N756" s="842"/>
      <c r="O756" s="842"/>
      <c r="P756" s="842"/>
      <c r="Q756" s="842"/>
      <c r="R756" s="842"/>
      <c r="S756" s="842"/>
      <c r="T756" s="842"/>
      <c r="U756" s="842"/>
      <c r="V756" s="842"/>
      <c r="W756" s="842"/>
      <c r="X756" s="842"/>
      <c r="Y756" s="842"/>
      <c r="Z756" s="842"/>
      <c r="AA756" s="2209"/>
      <c r="AB756" s="2209"/>
      <c r="AC756" s="346"/>
    </row>
    <row r="757" spans="1:29" ht="18.75" customHeight="1" x14ac:dyDescent="0.2">
      <c r="A757" s="341"/>
      <c r="B757" s="345"/>
      <c r="C757" s="454"/>
      <c r="D757" s="368"/>
      <c r="E757" s="368"/>
      <c r="F757" s="368"/>
      <c r="G757" s="372" t="s">
        <v>292</v>
      </c>
      <c r="H757" s="372" t="s">
        <v>293</v>
      </c>
      <c r="I757" s="356" t="s">
        <v>294</v>
      </c>
      <c r="J757" s="373" t="s">
        <v>663</v>
      </c>
      <c r="K757" s="374" t="s">
        <v>662</v>
      </c>
      <c r="L757" s="842"/>
      <c r="M757" s="842"/>
      <c r="N757" s="842"/>
      <c r="O757" s="842"/>
      <c r="P757" s="842"/>
      <c r="Q757" s="842"/>
      <c r="R757" s="842"/>
      <c r="S757" s="842"/>
      <c r="T757" s="842"/>
      <c r="U757" s="842"/>
      <c r="V757" s="842"/>
      <c r="W757" s="842"/>
      <c r="X757" s="842"/>
      <c r="Y757" s="842"/>
      <c r="Z757" s="842"/>
      <c r="AA757" s="2209"/>
      <c r="AB757" s="2209"/>
      <c r="AC757" s="346"/>
    </row>
    <row r="758" spans="1:29" ht="18.75" customHeight="1" x14ac:dyDescent="0.2">
      <c r="A758" s="341"/>
      <c r="B758" s="345"/>
      <c r="C758" s="442" t="s">
        <v>482</v>
      </c>
      <c r="D758" s="842">
        <f>HydroRefineryControls!C27</f>
        <v>1E-10</v>
      </c>
      <c r="E758" s="842" t="s">
        <v>1194</v>
      </c>
      <c r="F758" s="839" t="s">
        <v>419</v>
      </c>
      <c r="G758" s="842">
        <f ca="1">D758/100*D750+D759/100*D751</f>
        <v>1.4851912152788448E-28</v>
      </c>
      <c r="H758" s="842">
        <f ca="1">D758/100*E750+D759/100*E751</f>
        <v>1.8129640640539699E-26</v>
      </c>
      <c r="I758" s="842">
        <f ca="1">H758/G758/'Energy &amp; Unit Conversions'!G80</f>
        <v>767.79342723004686</v>
      </c>
      <c r="J758" s="842">
        <f ca="1">(D758/100*E750*G750+D759/100*E751*G751)/H758</f>
        <v>0</v>
      </c>
      <c r="K758" s="337">
        <f ca="1">(D758/100*E750*H750+D759/100*E751*H751)/H758</f>
        <v>13.185314685314683</v>
      </c>
      <c r="L758" s="839"/>
      <c r="M758" s="839"/>
      <c r="N758" s="839"/>
      <c r="O758" s="839"/>
      <c r="P758" s="842"/>
      <c r="Q758" s="842"/>
      <c r="R758" s="842"/>
      <c r="S758" s="842"/>
      <c r="T758" s="842"/>
      <c r="U758" s="842"/>
      <c r="V758" s="842"/>
      <c r="W758" s="842"/>
      <c r="X758" s="842"/>
      <c r="Y758" s="842"/>
      <c r="Z758" s="842"/>
      <c r="AA758" s="2209"/>
      <c r="AB758" s="2209"/>
      <c r="AC758" s="346"/>
    </row>
    <row r="759" spans="1:29" ht="18.75" customHeight="1" x14ac:dyDescent="0.2">
      <c r="A759" s="341"/>
      <c r="B759" s="345"/>
      <c r="C759" s="442" t="s">
        <v>418</v>
      </c>
      <c r="D759" s="842">
        <f>HydroRefineryControls!C28</f>
        <v>1E-10</v>
      </c>
      <c r="E759" s="842" t="s">
        <v>1194</v>
      </c>
      <c r="F759" s="839" t="s">
        <v>422</v>
      </c>
      <c r="G759" s="842">
        <f ca="1">D759/100*D751+D760/100*D752</f>
        <v>6.1843522118817343E-29</v>
      </c>
      <c r="H759" s="842">
        <f ca="1">D759/100*E751+D760/100*E752</f>
        <v>8.9760738276238519E-27</v>
      </c>
      <c r="I759" s="842">
        <f ca="1">H759/G759/'Energy &amp; Unit Conversions'!G80</f>
        <v>912.91378792430169</v>
      </c>
      <c r="J759" s="842">
        <f ca="1">(D759/100*E751*G751+D760/100*E752*G752)/H759</f>
        <v>0</v>
      </c>
      <c r="K759" s="337">
        <f ca="1">(D759/100*E751*H751+D760/100*E752*H752)/H759</f>
        <v>9.0169491525423719</v>
      </c>
      <c r="L759" s="842"/>
      <c r="M759" s="842"/>
      <c r="N759" s="842"/>
      <c r="O759" s="842"/>
      <c r="P759" s="842"/>
      <c r="Q759" s="842"/>
      <c r="R759" s="842"/>
      <c r="S759" s="842"/>
      <c r="T759" s="842"/>
      <c r="U759" s="842"/>
      <c r="V759" s="842"/>
      <c r="W759" s="842"/>
      <c r="X759" s="842"/>
      <c r="Y759" s="842"/>
      <c r="Z759" s="842"/>
      <c r="AA759" s="2209"/>
      <c r="AB759" s="2209"/>
      <c r="AC759" s="346"/>
    </row>
    <row r="760" spans="1:29" ht="18.75" customHeight="1" x14ac:dyDescent="0.2">
      <c r="A760" s="341"/>
      <c r="B760" s="345"/>
      <c r="C760" s="443" t="s">
        <v>421</v>
      </c>
      <c r="D760" s="335">
        <f>HydroRefineryControls!C29</f>
        <v>1E-10</v>
      </c>
      <c r="E760" s="334" t="s">
        <v>1194</v>
      </c>
      <c r="F760" s="335"/>
      <c r="G760" s="334">
        <f ca="1">SUM(G758:G758)</f>
        <v>1.4851912152788448E-28</v>
      </c>
      <c r="H760" s="334"/>
      <c r="I760" s="334"/>
      <c r="J760" s="334"/>
      <c r="K760" s="338"/>
      <c r="L760" s="842"/>
      <c r="M760" s="842"/>
      <c r="N760" s="842"/>
      <c r="O760" s="842"/>
      <c r="P760" s="842"/>
      <c r="Q760" s="842"/>
      <c r="R760" s="842"/>
      <c r="S760" s="842"/>
      <c r="T760" s="842"/>
      <c r="U760" s="842"/>
      <c r="V760" s="842"/>
      <c r="W760" s="842"/>
      <c r="X760" s="842"/>
      <c r="Y760" s="842"/>
      <c r="Z760" s="842"/>
      <c r="AA760" s="2209"/>
      <c r="AB760" s="2209"/>
      <c r="AC760" s="346"/>
    </row>
    <row r="761" spans="1:29" ht="18.75" customHeight="1" x14ac:dyDescent="0.2">
      <c r="A761" s="341"/>
      <c r="B761" s="345"/>
      <c r="C761" s="437"/>
      <c r="D761" s="842"/>
      <c r="E761" s="842"/>
      <c r="F761" s="842"/>
      <c r="G761" s="842"/>
      <c r="H761" s="842"/>
      <c r="I761" s="842"/>
      <c r="J761" s="842"/>
      <c r="K761" s="842"/>
      <c r="L761" s="842"/>
      <c r="M761" s="842"/>
      <c r="N761" s="842"/>
      <c r="O761" s="842"/>
      <c r="P761" s="842"/>
      <c r="Q761" s="842"/>
      <c r="R761" s="842"/>
      <c r="S761" s="842"/>
      <c r="T761" s="842"/>
      <c r="U761" s="842"/>
      <c r="V761" s="842"/>
      <c r="W761" s="842"/>
      <c r="X761" s="842"/>
      <c r="Y761" s="842"/>
      <c r="Z761" s="842"/>
      <c r="AA761" s="2209"/>
      <c r="AB761" s="2209"/>
      <c r="AC761" s="346"/>
    </row>
    <row r="762" spans="1:29" ht="18.75" customHeight="1" x14ac:dyDescent="0.2">
      <c r="A762" s="341"/>
      <c r="B762" s="345"/>
      <c r="C762" s="843" t="s">
        <v>296</v>
      </c>
      <c r="D762" s="842"/>
      <c r="E762" s="842"/>
      <c r="F762" s="839"/>
      <c r="G762" s="842"/>
      <c r="H762" s="842"/>
      <c r="I762" s="842"/>
      <c r="J762" s="842"/>
      <c r="K762" s="842"/>
      <c r="L762" s="842"/>
      <c r="M762" s="842"/>
      <c r="N762" s="842"/>
      <c r="O762" s="842"/>
      <c r="P762" s="842"/>
      <c r="Q762" s="842"/>
      <c r="R762" s="842"/>
      <c r="S762" s="842"/>
      <c r="T762" s="842"/>
      <c r="U762" s="842"/>
      <c r="V762" s="842"/>
      <c r="W762" s="842"/>
      <c r="X762" s="842"/>
      <c r="Y762" s="842"/>
      <c r="Z762" s="842"/>
      <c r="AA762" s="2209"/>
      <c r="AB762" s="2209"/>
      <c r="AC762" s="346"/>
    </row>
    <row r="763" spans="1:29" ht="18.75" customHeight="1" x14ac:dyDescent="0.2">
      <c r="A763" s="341"/>
      <c r="B763" s="345"/>
      <c r="C763" s="445" t="s">
        <v>1208</v>
      </c>
      <c r="D763" s="368" t="s">
        <v>1209</v>
      </c>
      <c r="E763" s="368" t="s">
        <v>1210</v>
      </c>
      <c r="F763" s="356" t="s">
        <v>1211</v>
      </c>
      <c r="G763" s="368" t="s">
        <v>1212</v>
      </c>
      <c r="H763" s="368" t="s">
        <v>1213</v>
      </c>
      <c r="I763" s="356" t="s">
        <v>1214</v>
      </c>
      <c r="J763" s="368" t="s">
        <v>1215</v>
      </c>
      <c r="K763" s="369" t="s">
        <v>1216</v>
      </c>
      <c r="L763" s="842"/>
      <c r="M763" s="842"/>
      <c r="N763" s="842"/>
      <c r="O763" s="842"/>
      <c r="P763" s="842"/>
      <c r="Q763" s="842"/>
      <c r="R763" s="842"/>
      <c r="S763" s="842"/>
      <c r="T763" s="842"/>
      <c r="U763" s="842"/>
      <c r="V763" s="842"/>
      <c r="W763" s="842"/>
      <c r="X763" s="842"/>
      <c r="Y763" s="842"/>
      <c r="Z763" s="842"/>
      <c r="AA763" s="2209"/>
      <c r="AB763" s="2209"/>
      <c r="AC763" s="346"/>
    </row>
    <row r="764" spans="1:29" ht="18.75" customHeight="1" x14ac:dyDescent="0.2">
      <c r="A764" s="341"/>
      <c r="B764" s="345"/>
      <c r="C764" s="453">
        <f ca="1">D758/100*D750</f>
        <v>1.1099316337828669E-28</v>
      </c>
      <c r="D764" s="842">
        <f>HydroRefineryControls!C30</f>
        <v>50</v>
      </c>
      <c r="E764" s="842">
        <f>100-D764</f>
        <v>50</v>
      </c>
      <c r="F764" s="842">
        <f ca="1">D750-D758/100*D750</f>
        <v>1.109931633781757E-16</v>
      </c>
      <c r="G764" s="842">
        <f ca="1">D764/100*G758</f>
        <v>7.4259560763942242E-29</v>
      </c>
      <c r="H764" s="842">
        <f ca="1">G758-G764</f>
        <v>7.4259560763942242E-29</v>
      </c>
      <c r="I764" s="842">
        <f ca="1">E750-D758/100*E750</f>
        <v>1.3058412489326725E-14</v>
      </c>
      <c r="J764" s="842">
        <f ca="1">D764/100*H758</f>
        <v>9.0648203202698495E-27</v>
      </c>
      <c r="K764" s="337">
        <f ca="1">H758-J764</f>
        <v>9.0648203202698495E-27</v>
      </c>
      <c r="L764" s="842"/>
      <c r="M764" s="842"/>
      <c r="N764" s="842"/>
      <c r="O764" s="842"/>
      <c r="P764" s="842"/>
      <c r="Q764" s="842"/>
      <c r="R764" s="842"/>
      <c r="S764" s="842"/>
      <c r="T764" s="842"/>
      <c r="U764" s="842"/>
      <c r="V764" s="842"/>
      <c r="W764" s="842"/>
      <c r="X764" s="842"/>
      <c r="Y764" s="842"/>
      <c r="Z764" s="842"/>
      <c r="AA764" s="2209"/>
      <c r="AB764" s="2209"/>
      <c r="AC764" s="346"/>
    </row>
    <row r="765" spans="1:29" ht="18.75" customHeight="1" x14ac:dyDescent="0.2">
      <c r="A765" s="341"/>
      <c r="B765" s="345"/>
      <c r="C765" s="453">
        <f ca="1">2*D759/100*D751</f>
        <v>7.5051916299195578E-29</v>
      </c>
      <c r="D765" s="842">
        <f>HydroRefineryControls!C31</f>
        <v>50</v>
      </c>
      <c r="E765" s="842">
        <f>100-D765</f>
        <v>50</v>
      </c>
      <c r="F765" s="842">
        <f ca="1">D751-2*D759/100*D751</f>
        <v>3.7525958149522737E-17</v>
      </c>
      <c r="G765" s="842">
        <f ca="1">D765/100*G759</f>
        <v>3.0921761059408671E-29</v>
      </c>
      <c r="H765" s="842">
        <f ca="1">G759-G765</f>
        <v>3.0921761059408671E-29</v>
      </c>
      <c r="I765" s="842">
        <f ca="1">E751-2*D759/100*E751</f>
        <v>5.0712281511897739E-15</v>
      </c>
      <c r="J765" s="842">
        <f ca="1">D765/100*H759</f>
        <v>4.488036913811926E-27</v>
      </c>
      <c r="K765" s="337">
        <f ca="1">H759-J765</f>
        <v>4.488036913811926E-27</v>
      </c>
      <c r="L765" s="842"/>
      <c r="M765" s="842"/>
      <c r="N765" s="842"/>
      <c r="O765" s="842"/>
      <c r="P765" s="842"/>
      <c r="Q765" s="842"/>
      <c r="R765" s="842"/>
      <c r="S765" s="842"/>
      <c r="T765" s="842"/>
      <c r="U765" s="842"/>
      <c r="V765" s="842"/>
      <c r="W765" s="842"/>
      <c r="X765" s="842"/>
      <c r="Y765" s="842"/>
      <c r="Z765" s="842"/>
      <c r="AA765" s="2209"/>
      <c r="AB765" s="2209"/>
      <c r="AC765" s="346"/>
    </row>
    <row r="766" spans="1:29" ht="18.75" customHeight="1" x14ac:dyDescent="0.2">
      <c r="A766" s="341"/>
      <c r="B766" s="345"/>
      <c r="C766" s="452">
        <f ca="1">D760/100*D752</f>
        <v>2.4317563969219554E-29</v>
      </c>
      <c r="D766" s="334"/>
      <c r="E766" s="334"/>
      <c r="F766" s="334">
        <f ca="1">D752-D760/100*D752</f>
        <v>2.4317563969195234E-17</v>
      </c>
      <c r="G766" s="334"/>
      <c r="H766" s="334"/>
      <c r="I766" s="334">
        <f ca="1">E752-D760/100*E752</f>
        <v>3.9048456764200304E-15</v>
      </c>
      <c r="J766" s="334"/>
      <c r="K766" s="338"/>
      <c r="L766" s="842"/>
      <c r="M766" s="842"/>
      <c r="N766" s="842"/>
      <c r="O766" s="842"/>
      <c r="P766" s="842"/>
      <c r="Q766" s="842"/>
      <c r="R766" s="842"/>
      <c r="S766" s="842"/>
      <c r="T766" s="842"/>
      <c r="U766" s="842"/>
      <c r="V766" s="842"/>
      <c r="W766" s="842"/>
      <c r="X766" s="842"/>
      <c r="Y766" s="842"/>
      <c r="Z766" s="842"/>
      <c r="AA766" s="2209"/>
      <c r="AB766" s="2209"/>
      <c r="AC766" s="346"/>
    </row>
    <row r="767" spans="1:29" ht="18.75" customHeight="1" x14ac:dyDescent="0.2">
      <c r="A767" s="341"/>
      <c r="B767" s="345"/>
      <c r="C767" s="437">
        <f ca="1">SUM(C764:C765)</f>
        <v>1.8604507967748227E-28</v>
      </c>
      <c r="D767" s="842"/>
      <c r="E767" s="842"/>
      <c r="F767" s="842">
        <f ca="1">SUM(F764:F765)</f>
        <v>1.4851912152769845E-16</v>
      </c>
      <c r="G767" s="842"/>
      <c r="H767" s="842"/>
      <c r="I767" s="842"/>
      <c r="J767" s="842"/>
      <c r="K767" s="842"/>
      <c r="L767" s="842"/>
      <c r="M767" s="842"/>
      <c r="N767" s="842"/>
      <c r="O767" s="842"/>
      <c r="P767" s="842"/>
      <c r="Q767" s="842"/>
      <c r="R767" s="842"/>
      <c r="S767" s="842"/>
      <c r="T767" s="842"/>
      <c r="U767" s="842"/>
      <c r="V767" s="842"/>
      <c r="W767" s="842"/>
      <c r="X767" s="842"/>
      <c r="Y767" s="842"/>
      <c r="Z767" s="842"/>
      <c r="AA767" s="2209"/>
      <c r="AB767" s="2209"/>
      <c r="AC767" s="346"/>
    </row>
    <row r="768" spans="1:29" ht="18.75" customHeight="1" x14ac:dyDescent="0.2">
      <c r="A768" s="341"/>
      <c r="B768" s="345"/>
      <c r="C768" s="437"/>
      <c r="D768" s="842"/>
      <c r="E768" s="842"/>
      <c r="F768" s="842"/>
      <c r="G768" s="842"/>
      <c r="H768" s="842"/>
      <c r="I768" s="842"/>
      <c r="J768" s="842"/>
      <c r="K768" s="842"/>
      <c r="L768" s="842"/>
      <c r="M768" s="842"/>
      <c r="N768" s="842"/>
      <c r="O768" s="842"/>
      <c r="P768" s="842"/>
      <c r="Q768" s="842"/>
      <c r="R768" s="842"/>
      <c r="S768" s="842"/>
      <c r="T768" s="842"/>
      <c r="U768" s="842"/>
      <c r="V768" s="842"/>
      <c r="W768" s="842"/>
      <c r="X768" s="842"/>
      <c r="Y768" s="842"/>
      <c r="Z768" s="842"/>
      <c r="AA768" s="2209"/>
      <c r="AB768" s="2209"/>
      <c r="AC768" s="346"/>
    </row>
    <row r="769" spans="1:29" ht="18.75" customHeight="1" x14ac:dyDescent="0.2">
      <c r="A769" s="341"/>
      <c r="B769" s="345"/>
      <c r="C769" s="843" t="s">
        <v>252</v>
      </c>
      <c r="D769" s="843"/>
      <c r="E769" s="842"/>
      <c r="F769" s="842"/>
      <c r="G769" s="842"/>
      <c r="H769" s="842"/>
      <c r="I769" s="842"/>
      <c r="J769" s="1521"/>
      <c r="K769" s="842"/>
      <c r="L769" s="842"/>
      <c r="M769" s="842"/>
      <c r="N769" s="842"/>
      <c r="O769" s="1521"/>
      <c r="P769" s="1521"/>
      <c r="Q769" s="842"/>
      <c r="R769" s="842"/>
      <c r="S769" s="842"/>
      <c r="T769" s="842"/>
      <c r="U769" s="842"/>
      <c r="V769" s="842"/>
      <c r="W769" s="842"/>
      <c r="X769" s="842"/>
      <c r="Y769" s="842"/>
      <c r="Z769" s="842"/>
      <c r="AA769" s="2209"/>
      <c r="AB769" s="2209"/>
      <c r="AC769" s="346"/>
    </row>
    <row r="770" spans="1:29" ht="18.75" customHeight="1" x14ac:dyDescent="0.2">
      <c r="A770" s="341"/>
      <c r="B770" s="345"/>
      <c r="C770" s="454"/>
      <c r="D770" s="356" t="s">
        <v>1197</v>
      </c>
      <c r="E770" s="356" t="s">
        <v>1198</v>
      </c>
      <c r="F770" s="356" t="s">
        <v>1199</v>
      </c>
      <c r="G770" s="356" t="s">
        <v>663</v>
      </c>
      <c r="H770" s="356" t="s">
        <v>662</v>
      </c>
      <c r="I770" s="1522" t="s">
        <v>567</v>
      </c>
      <c r="J770" s="184"/>
      <c r="K770" s="584" t="s">
        <v>464</v>
      </c>
      <c r="L770" s="427" t="s">
        <v>463</v>
      </c>
      <c r="M770" s="427" t="s">
        <v>461</v>
      </c>
      <c r="N770" s="428" t="s">
        <v>462</v>
      </c>
      <c r="O770" s="184"/>
      <c r="P770" s="184"/>
      <c r="Q770" s="842"/>
      <c r="R770" s="842"/>
      <c r="S770" s="842"/>
      <c r="T770" s="842"/>
      <c r="U770" s="842"/>
      <c r="V770" s="842"/>
      <c r="W770" s="842"/>
      <c r="X770" s="842"/>
      <c r="Y770" s="842"/>
      <c r="Z770" s="842"/>
      <c r="AA770" s="2209"/>
      <c r="AB770" s="2209"/>
      <c r="AC770" s="346"/>
    </row>
    <row r="771" spans="1:29" ht="18.75" customHeight="1" x14ac:dyDescent="0.2">
      <c r="A771" s="341"/>
      <c r="B771" s="345"/>
      <c r="C771" s="442"/>
      <c r="D771" s="1521"/>
      <c r="E771" s="1521"/>
      <c r="F771" s="1521"/>
      <c r="G771" s="1521"/>
      <c r="H771" s="1521"/>
      <c r="I771" s="337"/>
      <c r="J771" s="184"/>
      <c r="K771" s="578"/>
      <c r="L771" s="842"/>
      <c r="M771" s="842"/>
      <c r="N771" s="429"/>
      <c r="O771" s="184"/>
      <c r="P771" s="184"/>
      <c r="Q771" s="842"/>
      <c r="R771" s="842"/>
      <c r="S771" s="842"/>
      <c r="T771" s="842"/>
      <c r="U771" s="842"/>
      <c r="V771" s="842"/>
      <c r="W771" s="842"/>
      <c r="X771" s="842"/>
      <c r="Y771" s="842"/>
      <c r="Z771" s="842"/>
      <c r="AA771" s="2209"/>
      <c r="AB771" s="2209"/>
      <c r="AC771" s="346"/>
    </row>
    <row r="772" spans="1:29" ht="18.75" customHeight="1" x14ac:dyDescent="0.2">
      <c r="A772" s="341"/>
      <c r="B772" s="345"/>
      <c r="C772" s="442" t="s">
        <v>420</v>
      </c>
      <c r="D772" s="1521">
        <f ca="1">F764+G764</f>
        <v>1.1099316337824997E-16</v>
      </c>
      <c r="E772" s="1521">
        <f ca="1">I764+J764</f>
        <v>1.305841248933579E-14</v>
      </c>
      <c r="F772" s="1521">
        <f ca="1">E772/D772/'Energy &amp; Unit Conversions'!G80</f>
        <v>740.00000000001864</v>
      </c>
      <c r="G772" s="1521">
        <f ca="1">(I764*G750+J764*G751)/E772</f>
        <v>0</v>
      </c>
      <c r="H772" s="1521">
        <f ca="1">(I764*H750+J764*K758)/E772</f>
        <v>14.499999999999085</v>
      </c>
      <c r="I772" s="337">
        <f ca="1">141.5/(F772/1000)-131.5</f>
        <v>59.716216216211393</v>
      </c>
      <c r="J772" s="184"/>
      <c r="K772" s="578">
        <f ca="1">(H750-H772)^2*1000000</f>
        <v>8.3365558286308174E-19</v>
      </c>
      <c r="L772" s="842">
        <f ca="1">(G750-G772)^2*1000000</f>
        <v>0</v>
      </c>
      <c r="M772" s="842">
        <f ca="1">(E750-E772)^2/1000000</f>
        <v>1.5945757268953054E-59</v>
      </c>
      <c r="N772" s="429">
        <f ca="1">SUM(K772:K773)+SUM(L772:L773)+SUM(M772:M773)</f>
        <v>2.9555415343356115E-17</v>
      </c>
      <c r="O772" s="184"/>
      <c r="P772" s="184"/>
      <c r="Q772" s="842"/>
      <c r="R772" s="842"/>
      <c r="S772" s="842"/>
      <c r="T772" s="842"/>
      <c r="U772" s="842"/>
      <c r="V772" s="842"/>
      <c r="W772" s="842"/>
      <c r="X772" s="842"/>
      <c r="Y772" s="842"/>
      <c r="Z772" s="842"/>
      <c r="AA772" s="2209"/>
      <c r="AB772" s="2209"/>
      <c r="AC772" s="346"/>
    </row>
    <row r="773" spans="1:29" ht="18.75" customHeight="1" x14ac:dyDescent="0.2">
      <c r="A773" s="341"/>
      <c r="B773" s="345"/>
      <c r="C773" s="442" t="s">
        <v>423</v>
      </c>
      <c r="D773" s="1521">
        <f ca="1">F765+H764+G765</f>
        <v>3.7525958149627914E-17</v>
      </c>
      <c r="E773" s="1521">
        <f ca="1">I765+K764+J765</f>
        <v>5.0712281512033266E-15</v>
      </c>
      <c r="F773" s="1521">
        <f ca="1">E773/D773/'Energy &amp; Unit Conversions'!G80</f>
        <v>849.99999999988916</v>
      </c>
      <c r="G773" s="1521">
        <f ca="1">(I765*G751+K764*J758+J765*J759)/E773</f>
        <v>0</v>
      </c>
      <c r="H773" s="1521">
        <f ca="1">(I765*H751+K764*K758+J765*K759)/E773</f>
        <v>9.8000000000053582</v>
      </c>
      <c r="I773" s="337">
        <f ca="1">141.5/(F773/1000)-131.5</f>
        <v>34.97058823531583</v>
      </c>
      <c r="J773" s="184"/>
      <c r="K773" s="587">
        <f ca="1">(H751-H773)^2*1000000</f>
        <v>2.8721759760493033E-17</v>
      </c>
      <c r="L773" s="841">
        <f ca="1">(G751-G773)^2*1000000</f>
        <v>0</v>
      </c>
      <c r="M773" s="841">
        <f ca="1">(E751-E773)^2/1000000</f>
        <v>1.1629775688469543E-59</v>
      </c>
      <c r="N773" s="430"/>
      <c r="O773" s="184"/>
      <c r="P773" s="184"/>
      <c r="Q773" s="842"/>
      <c r="R773" s="842"/>
      <c r="S773" s="842"/>
      <c r="T773" s="842"/>
      <c r="U773" s="842"/>
      <c r="V773" s="842"/>
      <c r="W773" s="842"/>
      <c r="X773" s="842"/>
      <c r="Y773" s="842"/>
      <c r="Z773" s="842"/>
      <c r="AA773" s="2209"/>
      <c r="AB773" s="2209"/>
      <c r="AC773" s="346"/>
    </row>
    <row r="774" spans="1:29" ht="18.75" customHeight="1" x14ac:dyDescent="0.2">
      <c r="A774" s="341"/>
      <c r="B774" s="345"/>
      <c r="C774" s="442" t="s">
        <v>424</v>
      </c>
      <c r="D774" s="1521">
        <f ca="1">F766+H765</f>
        <v>2.4317563969226157E-17</v>
      </c>
      <c r="E774" s="1521">
        <f ca="1">I766+K765</f>
        <v>3.9048456764245182E-15</v>
      </c>
      <c r="F774" s="1521">
        <f ca="1">E774/D774/'Energy &amp; Unit Conversions'!G80</f>
        <v>1009.9999999998765</v>
      </c>
      <c r="G774" s="1521">
        <f ca="1">(I766*G752+K765*J759)/E774</f>
        <v>0</v>
      </c>
      <c r="H774" s="1521">
        <f ca="1">(I766*H752+K765*K759)/E774</f>
        <v>8.0000000000011688</v>
      </c>
      <c r="I774" s="337"/>
      <c r="J774" s="184"/>
      <c r="K774" s="184"/>
      <c r="L774" s="842"/>
      <c r="M774" s="842"/>
      <c r="N774" s="842"/>
      <c r="O774" s="1521"/>
      <c r="P774" s="1521"/>
      <c r="Q774" s="842"/>
      <c r="R774" s="842"/>
      <c r="S774" s="842"/>
      <c r="T774" s="842"/>
      <c r="U774" s="842"/>
      <c r="V774" s="842"/>
      <c r="W774" s="842"/>
      <c r="X774" s="842"/>
      <c r="Y774" s="842"/>
      <c r="Z774" s="842"/>
      <c r="AA774" s="2209"/>
      <c r="AB774" s="2209"/>
      <c r="AC774" s="346"/>
    </row>
    <row r="775" spans="1:29" ht="18.75" customHeight="1" x14ac:dyDescent="0.2">
      <c r="A775" s="341"/>
      <c r="B775" s="345"/>
      <c r="C775" s="452"/>
      <c r="D775" s="334">
        <f ca="1">SUM(D772:D774)</f>
        <v>1.7283668549710405E-16</v>
      </c>
      <c r="E775" s="334">
        <f ca="1">SUM(E772:E774)</f>
        <v>2.2034486316963635E-14</v>
      </c>
      <c r="F775" s="334"/>
      <c r="G775" s="334"/>
      <c r="H775" s="334"/>
      <c r="I775" s="338"/>
      <c r="J775" s="184"/>
      <c r="L775" s="842"/>
      <c r="M775" s="842"/>
      <c r="N775" s="842"/>
      <c r="O775" s="842"/>
      <c r="P775" s="842"/>
      <c r="Q775" s="842"/>
      <c r="R775" s="842"/>
      <c r="S775" s="842"/>
      <c r="T775" s="842"/>
      <c r="U775" s="842"/>
      <c r="V775" s="842"/>
      <c r="W775" s="842"/>
      <c r="X775" s="842"/>
      <c r="Y775" s="842"/>
      <c r="Z775" s="842"/>
      <c r="AA775" s="2209"/>
      <c r="AB775" s="2209"/>
      <c r="AC775" s="346"/>
    </row>
    <row r="776" spans="1:29" ht="18.75" customHeight="1" x14ac:dyDescent="0.2">
      <c r="A776" s="341"/>
      <c r="B776" s="345"/>
      <c r="C776" s="437"/>
      <c r="D776" s="842"/>
      <c r="E776" s="842"/>
      <c r="F776" s="842"/>
      <c r="G776" s="842"/>
      <c r="H776" s="842"/>
      <c r="I776" s="842"/>
      <c r="J776" s="1521"/>
      <c r="K776" s="842"/>
      <c r="L776" s="842"/>
      <c r="M776" s="842"/>
      <c r="N776" s="842"/>
      <c r="O776" s="842"/>
      <c r="P776" s="842"/>
      <c r="Q776" s="842"/>
      <c r="R776" s="842"/>
      <c r="S776" s="842"/>
      <c r="T776" s="842"/>
      <c r="U776" s="842"/>
      <c r="V776" s="842"/>
      <c r="W776" s="842"/>
      <c r="X776" s="842"/>
      <c r="Y776" s="842"/>
      <c r="Z776" s="842"/>
      <c r="AA776" s="2209"/>
      <c r="AB776" s="2209"/>
      <c r="AC776" s="346"/>
    </row>
    <row r="777" spans="1:29" ht="26.25" x14ac:dyDescent="0.2">
      <c r="A777" s="341"/>
      <c r="B777" s="699"/>
      <c r="C777" s="603" t="s">
        <v>538</v>
      </c>
      <c r="D777" s="842"/>
      <c r="E777" s="842"/>
      <c r="F777" s="842"/>
      <c r="G777" s="842"/>
      <c r="H777" s="842"/>
      <c r="I777" s="842"/>
      <c r="J777" s="1521"/>
      <c r="K777" s="842"/>
      <c r="L777" s="842"/>
      <c r="M777" s="842"/>
      <c r="N777" s="842"/>
      <c r="O777" s="842"/>
      <c r="P777" s="842"/>
      <c r="Q777" s="842"/>
      <c r="R777" s="842"/>
      <c r="S777" s="842"/>
      <c r="T777" s="842"/>
      <c r="U777" s="842"/>
      <c r="V777" s="842"/>
      <c r="W777" s="842"/>
      <c r="X777" s="842"/>
      <c r="Y777" s="842"/>
      <c r="Z777" s="842"/>
      <c r="AA777" s="2209"/>
      <c r="AB777" s="2209"/>
      <c r="AC777" s="346"/>
    </row>
    <row r="778" spans="1:29" ht="18.75" customHeight="1" x14ac:dyDescent="0.2">
      <c r="A778" s="341"/>
      <c r="B778" s="345"/>
      <c r="C778" s="437"/>
      <c r="D778" s="842"/>
      <c r="E778" s="426"/>
      <c r="F778" s="842"/>
      <c r="G778" s="426"/>
      <c r="H778" s="842"/>
      <c r="I778" s="842"/>
      <c r="J778" s="842"/>
      <c r="K778" s="842"/>
      <c r="L778" s="842"/>
      <c r="M778" s="842"/>
      <c r="N778" s="842"/>
      <c r="O778" s="842"/>
      <c r="P778" s="842"/>
      <c r="Q778" s="842"/>
      <c r="R778" s="842"/>
      <c r="S778" s="842"/>
      <c r="T778" s="842"/>
      <c r="U778" s="842"/>
      <c r="V778" s="842"/>
      <c r="W778" s="842"/>
      <c r="X778" s="842"/>
      <c r="Y778" s="842"/>
      <c r="Z778" s="842"/>
      <c r="AA778" s="2209"/>
      <c r="AB778" s="2209"/>
      <c r="AC778" s="346"/>
    </row>
    <row r="779" spans="1:29" ht="18.75" customHeight="1" x14ac:dyDescent="0.2">
      <c r="A779" s="341"/>
      <c r="B779" s="345"/>
      <c r="C779" s="843" t="s">
        <v>569</v>
      </c>
      <c r="D779" s="842"/>
      <c r="E779" s="2456"/>
      <c r="F779" s="2456"/>
      <c r="G779" s="839"/>
      <c r="H779" s="842"/>
      <c r="I779" s="842"/>
      <c r="J779" s="842"/>
      <c r="K779" s="842"/>
      <c r="L779" s="842"/>
      <c r="M779" s="842"/>
      <c r="N779" s="842"/>
      <c r="O779" s="842"/>
      <c r="P779" s="842"/>
      <c r="Q779" s="842"/>
      <c r="R779" s="842"/>
      <c r="S779" s="842"/>
      <c r="T779" s="842"/>
      <c r="U779" s="842"/>
      <c r="V779" s="842"/>
      <c r="W779" s="842"/>
      <c r="X779" s="842"/>
      <c r="Y779" s="842"/>
      <c r="Z779" s="842"/>
      <c r="AA779" s="2209"/>
      <c r="AB779" s="2209"/>
      <c r="AC779" s="346"/>
    </row>
    <row r="780" spans="1:29" ht="18.75" customHeight="1" x14ac:dyDescent="0.2">
      <c r="A780" s="341"/>
      <c r="B780" s="345"/>
      <c r="C780" s="441" t="s">
        <v>568</v>
      </c>
      <c r="D780" s="351" t="s">
        <v>623</v>
      </c>
      <c r="E780" s="351" t="str">
        <f>HydroRefineryCalcs!G724</f>
        <v>FCC C4</v>
      </c>
      <c r="F780" s="357" t="s">
        <v>610</v>
      </c>
      <c r="G780" s="842"/>
      <c r="H780" s="842"/>
      <c r="I780" s="839"/>
      <c r="J780" s="842"/>
      <c r="K780" s="842"/>
      <c r="L780" s="842"/>
      <c r="M780" s="842"/>
      <c r="N780" s="842"/>
      <c r="O780" s="842"/>
      <c r="P780" s="842"/>
      <c r="Q780" s="842"/>
      <c r="R780" s="842"/>
      <c r="S780" s="842"/>
      <c r="T780" s="842"/>
      <c r="U780" s="842"/>
      <c r="V780" s="842"/>
      <c r="W780" s="842"/>
      <c r="X780" s="842"/>
      <c r="Y780" s="842"/>
      <c r="Z780" s="842"/>
      <c r="AA780" s="2209"/>
      <c r="AB780" s="2209"/>
      <c r="AC780" s="346"/>
    </row>
    <row r="781" spans="1:29" ht="18.75" customHeight="1" x14ac:dyDescent="0.2">
      <c r="A781" s="341"/>
      <c r="B781" s="345"/>
      <c r="C781" s="442" t="s">
        <v>582</v>
      </c>
      <c r="D781" s="842" t="s">
        <v>566</v>
      </c>
      <c r="E781" s="842">
        <f ca="1">HydroRefineryCalcs!G725</f>
        <v>1.2758825770863247E-17</v>
      </c>
      <c r="F781" s="337">
        <f ca="1">F782/'Energy &amp; Unit Conversions'!G80</f>
        <v>1.1506877498974791E-17</v>
      </c>
      <c r="G781" s="842"/>
      <c r="H781" s="842"/>
      <c r="I781" s="842"/>
      <c r="J781" s="842"/>
      <c r="K781" s="842"/>
      <c r="L781" s="842"/>
      <c r="M781" s="842"/>
      <c r="N781" s="842"/>
      <c r="O781" s="842"/>
      <c r="P781" s="842"/>
      <c r="Q781" s="842"/>
      <c r="R781" s="842"/>
      <c r="S781" s="842"/>
      <c r="T781" s="842"/>
      <c r="U781" s="842"/>
      <c r="V781" s="842"/>
      <c r="W781" s="842"/>
      <c r="X781" s="842"/>
      <c r="Y781" s="842"/>
      <c r="Z781" s="842"/>
      <c r="AA781" s="2209"/>
      <c r="AB781" s="2209"/>
      <c r="AC781" s="346"/>
    </row>
    <row r="782" spans="1:29" ht="18.75" customHeight="1" x14ac:dyDescent="0.2">
      <c r="A782" s="341"/>
      <c r="B782" s="345"/>
      <c r="C782" s="442" t="s">
        <v>582</v>
      </c>
      <c r="D782" s="842" t="s">
        <v>628</v>
      </c>
      <c r="E782" s="842">
        <f ca="1">HydroRefineryCalcs!G726</f>
        <v>2.0284912604799663E-18</v>
      </c>
      <c r="F782" s="337">
        <f ca="1">F783/F787</f>
        <v>1.8294473849927548E-18</v>
      </c>
      <c r="G782" s="842"/>
      <c r="H782" s="842"/>
      <c r="I782" s="842"/>
      <c r="J782" s="842"/>
      <c r="K782" s="842"/>
      <c r="L782" s="842"/>
      <c r="M782" s="842"/>
      <c r="N782" s="842"/>
      <c r="O782" s="842"/>
      <c r="P782" s="842"/>
      <c r="Q782" s="842"/>
      <c r="R782" s="842"/>
      <c r="S782" s="842"/>
      <c r="T782" s="842"/>
      <c r="U782" s="842"/>
      <c r="V782" s="842"/>
      <c r="W782" s="842"/>
      <c r="X782" s="842"/>
      <c r="Y782" s="842"/>
      <c r="Z782" s="842"/>
      <c r="AA782" s="2209"/>
      <c r="AB782" s="2209"/>
      <c r="AC782" s="346"/>
    </row>
    <row r="783" spans="1:29" ht="18.75" customHeight="1" x14ac:dyDescent="0.2">
      <c r="A783" s="341"/>
      <c r="B783" s="345"/>
      <c r="C783" s="442" t="s">
        <v>620</v>
      </c>
      <c r="D783" s="842" t="s">
        <v>622</v>
      </c>
      <c r="E783" s="842">
        <f ca="1">HydroRefineryCalcs!G727</f>
        <v>1.2678070377999791E-15</v>
      </c>
      <c r="F783" s="337">
        <f ca="1">E783</f>
        <v>1.2678070377999791E-15</v>
      </c>
      <c r="G783" s="842"/>
      <c r="H783" s="842"/>
      <c r="I783" s="842"/>
      <c r="J783" s="842"/>
      <c r="K783" s="842"/>
      <c r="L783" s="842"/>
      <c r="M783" s="842"/>
      <c r="N783" s="842"/>
      <c r="O783" s="842"/>
      <c r="P783" s="842"/>
      <c r="Q783" s="842"/>
      <c r="R783" s="842"/>
      <c r="S783" s="842"/>
      <c r="T783" s="842"/>
      <c r="U783" s="842"/>
      <c r="V783" s="842"/>
      <c r="W783" s="842"/>
      <c r="X783" s="842"/>
      <c r="Y783" s="842"/>
      <c r="Z783" s="842"/>
      <c r="AA783" s="2209"/>
      <c r="AB783" s="2209"/>
      <c r="AC783" s="346"/>
    </row>
    <row r="784" spans="1:29" ht="18.75" customHeight="1" x14ac:dyDescent="0.2">
      <c r="A784" s="341"/>
      <c r="B784" s="345"/>
      <c r="C784" s="442" t="s">
        <v>578</v>
      </c>
      <c r="D784" s="842" t="s">
        <v>579</v>
      </c>
      <c r="E784" s="842">
        <f ca="1">HydroRefineryCalcs!G728</f>
        <v>0</v>
      </c>
      <c r="F784" s="337">
        <f ca="1">E784</f>
        <v>0</v>
      </c>
      <c r="G784" s="842"/>
      <c r="H784" s="842"/>
      <c r="I784" s="842"/>
      <c r="J784" s="842"/>
      <c r="K784" s="842"/>
      <c r="L784" s="842"/>
      <c r="M784" s="842"/>
      <c r="N784" s="842"/>
      <c r="O784" s="842"/>
      <c r="P784" s="842"/>
      <c r="Q784" s="842"/>
      <c r="R784" s="842"/>
      <c r="S784" s="842"/>
      <c r="T784" s="842"/>
      <c r="U784" s="842"/>
      <c r="V784" s="842"/>
      <c r="W784" s="842"/>
      <c r="X784" s="842"/>
      <c r="Y784" s="842"/>
      <c r="Z784" s="842"/>
      <c r="AA784" s="2209"/>
      <c r="AB784" s="2209"/>
      <c r="AC784" s="346"/>
    </row>
    <row r="785" spans="1:29" ht="18.75" customHeight="1" x14ac:dyDescent="0.2">
      <c r="A785" s="341"/>
      <c r="B785" s="345"/>
      <c r="C785" s="442" t="s">
        <v>943</v>
      </c>
      <c r="D785" s="842" t="s">
        <v>944</v>
      </c>
      <c r="E785" s="842">
        <f>HydroRefineryCalcs!G729</f>
        <v>0</v>
      </c>
      <c r="F785" s="337">
        <f>E785</f>
        <v>0</v>
      </c>
      <c r="G785" s="842"/>
      <c r="H785" s="842"/>
      <c r="I785" s="842"/>
      <c r="J785" s="842"/>
      <c r="K785" s="842"/>
      <c r="L785" s="842"/>
      <c r="M785" s="842"/>
      <c r="N785" s="842"/>
      <c r="O785" s="842"/>
      <c r="P785" s="842"/>
      <c r="Q785" s="842"/>
      <c r="R785" s="842"/>
      <c r="S785" s="842"/>
      <c r="T785" s="842"/>
      <c r="U785" s="842"/>
      <c r="V785" s="842"/>
      <c r="W785" s="842"/>
      <c r="X785" s="842"/>
      <c r="Y785" s="842"/>
      <c r="Z785" s="842"/>
      <c r="AA785" s="2209"/>
      <c r="AB785" s="2209"/>
      <c r="AC785" s="346"/>
    </row>
    <row r="786" spans="1:29" ht="18.75" customHeight="1" x14ac:dyDescent="0.2">
      <c r="A786" s="341"/>
      <c r="B786" s="345"/>
      <c r="C786" s="442" t="s">
        <v>567</v>
      </c>
      <c r="D786" s="842"/>
      <c r="E786" s="842">
        <f>HydroRefineryCalcs!G730</f>
        <v>94.9</v>
      </c>
      <c r="F786" s="337">
        <f>141.5/(F787/1000)-131.5</f>
        <v>72.684704184704202</v>
      </c>
      <c r="G786" s="842"/>
      <c r="H786" s="842"/>
      <c r="I786" s="842"/>
      <c r="J786" s="842"/>
      <c r="K786" s="842"/>
      <c r="L786" s="842"/>
      <c r="M786" s="842"/>
      <c r="N786" s="842"/>
      <c r="O786" s="842"/>
      <c r="P786" s="842"/>
      <c r="Q786" s="842"/>
      <c r="R786" s="842"/>
      <c r="S786" s="842"/>
      <c r="T786" s="842"/>
      <c r="U786" s="842"/>
      <c r="V786" s="842"/>
      <c r="W786" s="842"/>
      <c r="X786" s="842"/>
      <c r="Y786" s="842"/>
      <c r="Z786" s="842"/>
      <c r="AA786" s="2209"/>
      <c r="AB786" s="2209"/>
      <c r="AC786" s="346"/>
    </row>
    <row r="787" spans="1:29" ht="18.75" customHeight="1" x14ac:dyDescent="0.2">
      <c r="A787" s="341"/>
      <c r="B787" s="345"/>
      <c r="C787" s="442" t="s">
        <v>580</v>
      </c>
      <c r="D787" s="842" t="s">
        <v>581</v>
      </c>
      <c r="E787" s="842">
        <f>HydroRefineryCalcs!G731</f>
        <v>625</v>
      </c>
      <c r="F787" s="337">
        <v>693</v>
      </c>
      <c r="G787" s="842"/>
      <c r="H787" s="842"/>
      <c r="I787" s="842"/>
      <c r="J787" s="842"/>
      <c r="K787" s="842"/>
      <c r="L787" s="842"/>
      <c r="M787" s="842"/>
      <c r="N787" s="842"/>
      <c r="O787" s="842"/>
      <c r="P787" s="842"/>
      <c r="Q787" s="842"/>
      <c r="R787" s="842"/>
      <c r="S787" s="842"/>
      <c r="T787" s="842"/>
      <c r="U787" s="842"/>
      <c r="V787" s="842"/>
      <c r="W787" s="842"/>
      <c r="X787" s="842"/>
      <c r="Y787" s="842"/>
      <c r="Z787" s="842"/>
      <c r="AA787" s="2209"/>
      <c r="AB787" s="2209"/>
      <c r="AC787" s="346"/>
    </row>
    <row r="788" spans="1:29" ht="18.75" customHeight="1" x14ac:dyDescent="0.2">
      <c r="A788" s="341"/>
      <c r="B788" s="345"/>
      <c r="C788" s="442" t="s">
        <v>621</v>
      </c>
      <c r="D788" s="842" t="s">
        <v>579</v>
      </c>
      <c r="E788" s="842">
        <f ca="1">HydroRefineryCalcs!G732</f>
        <v>16.099999999999998</v>
      </c>
      <c r="F788" s="337">
        <f ca="1">E788</f>
        <v>16.099999999999998</v>
      </c>
      <c r="G788" s="842"/>
      <c r="H788" s="842"/>
      <c r="I788" s="842"/>
      <c r="J788" s="842"/>
      <c r="K788" s="842"/>
      <c r="L788" s="842"/>
      <c r="M788" s="842"/>
      <c r="N788" s="842"/>
      <c r="O788" s="842"/>
      <c r="P788" s="842"/>
      <c r="Q788" s="842"/>
      <c r="R788" s="842"/>
      <c r="S788" s="842"/>
      <c r="T788" s="842"/>
      <c r="U788" s="842"/>
      <c r="V788" s="842"/>
      <c r="W788" s="842"/>
      <c r="X788" s="842"/>
      <c r="Y788" s="842"/>
      <c r="Z788" s="842"/>
      <c r="AA788" s="2209"/>
      <c r="AB788" s="2209"/>
      <c r="AC788" s="346"/>
    </row>
    <row r="789" spans="1:29" ht="18.75" customHeight="1" x14ac:dyDescent="0.2">
      <c r="A789" s="341"/>
      <c r="B789" s="345"/>
      <c r="C789" s="443" t="s">
        <v>544</v>
      </c>
      <c r="D789" s="334" t="s">
        <v>579</v>
      </c>
      <c r="E789" s="334">
        <f ca="1">HydroRefineryCalcs!G733</f>
        <v>9.7999999999999989</v>
      </c>
      <c r="F789" s="338">
        <v>0</v>
      </c>
      <c r="G789" s="842"/>
      <c r="H789" s="842"/>
      <c r="I789" s="842"/>
      <c r="J789" s="842"/>
      <c r="K789" s="842"/>
      <c r="L789" s="842"/>
      <c r="M789" s="842"/>
      <c r="N789" s="842"/>
      <c r="O789" s="842"/>
      <c r="P789" s="842"/>
      <c r="Q789" s="842"/>
      <c r="R789" s="842"/>
      <c r="S789" s="842"/>
      <c r="T789" s="842"/>
      <c r="U789" s="842"/>
      <c r="V789" s="842"/>
      <c r="W789" s="842"/>
      <c r="X789" s="842"/>
      <c r="Y789" s="842"/>
      <c r="Z789" s="842"/>
      <c r="AA789" s="2209"/>
      <c r="AB789" s="2209"/>
      <c r="AC789" s="346"/>
    </row>
    <row r="790" spans="1:29" ht="18.75" customHeight="1" x14ac:dyDescent="0.2">
      <c r="A790" s="341"/>
      <c r="B790" s="345"/>
      <c r="C790" s="437"/>
      <c r="D790" s="842"/>
      <c r="E790" s="842"/>
      <c r="F790" s="842"/>
      <c r="G790" s="842"/>
      <c r="H790" s="842"/>
      <c r="I790" s="842"/>
      <c r="J790" s="842"/>
      <c r="K790" s="842"/>
      <c r="L790" s="842"/>
      <c r="M790" s="842"/>
      <c r="N790" s="842"/>
      <c r="O790" s="842"/>
      <c r="P790" s="842"/>
      <c r="Q790" s="842"/>
      <c r="R790" s="842"/>
      <c r="S790" s="842"/>
      <c r="T790" s="842"/>
      <c r="U790" s="842"/>
      <c r="V790" s="842"/>
      <c r="W790" s="842"/>
      <c r="X790" s="842"/>
      <c r="Y790" s="842"/>
      <c r="Z790" s="842"/>
      <c r="AA790" s="2209"/>
      <c r="AB790" s="2209"/>
      <c r="AC790" s="346"/>
    </row>
    <row r="791" spans="1:29" ht="18.75" customHeight="1" x14ac:dyDescent="0.2">
      <c r="A791" s="341"/>
      <c r="B791" s="345"/>
      <c r="C791" s="843" t="s">
        <v>308</v>
      </c>
      <c r="D791" s="842"/>
      <c r="E791" s="842"/>
      <c r="F791" s="842"/>
      <c r="G791" s="842"/>
      <c r="H791" s="842"/>
      <c r="I791" s="842"/>
      <c r="J791" s="842"/>
      <c r="K791" s="842"/>
      <c r="L791" s="842"/>
      <c r="M791" s="842"/>
      <c r="N791" s="842"/>
      <c r="O791" s="842"/>
      <c r="P791" s="842"/>
      <c r="Q791" s="842"/>
      <c r="R791" s="842"/>
      <c r="S791" s="842"/>
      <c r="T791" s="842"/>
      <c r="U791" s="842"/>
      <c r="V791" s="842"/>
      <c r="W791" s="842"/>
      <c r="X791" s="842"/>
      <c r="Y791" s="842"/>
      <c r="Z791" s="842"/>
      <c r="AA791" s="2209"/>
      <c r="AB791" s="2209"/>
      <c r="AC791" s="346"/>
    </row>
    <row r="792" spans="1:29" ht="18.75" customHeight="1" x14ac:dyDescent="0.2">
      <c r="A792" s="341"/>
      <c r="B792" s="345"/>
      <c r="C792" s="855"/>
      <c r="D792" s="351" t="s">
        <v>624</v>
      </c>
      <c r="E792" s="352" t="s">
        <v>623</v>
      </c>
      <c r="F792" s="842"/>
      <c r="G792" s="842"/>
      <c r="H792" s="842"/>
      <c r="I792" s="842"/>
      <c r="J792" s="842"/>
      <c r="K792" s="842"/>
      <c r="L792" s="842"/>
      <c r="M792" s="842"/>
      <c r="N792" s="842"/>
      <c r="O792" s="842"/>
      <c r="P792" s="842"/>
      <c r="Q792" s="842"/>
      <c r="R792" s="842"/>
      <c r="S792" s="842"/>
      <c r="T792" s="842"/>
      <c r="U792" s="842"/>
      <c r="V792" s="842"/>
      <c r="W792" s="842"/>
      <c r="X792" s="842"/>
      <c r="Y792" s="842"/>
      <c r="Z792" s="842"/>
      <c r="AA792" s="2209"/>
      <c r="AB792" s="2209"/>
      <c r="AC792" s="346"/>
    </row>
    <row r="793" spans="1:29" ht="18.75" customHeight="1" x14ac:dyDescent="0.2">
      <c r="A793" s="341"/>
      <c r="B793" s="345"/>
      <c r="C793" s="453" t="s">
        <v>474</v>
      </c>
      <c r="D793" s="410">
        <f>Constants!H247</f>
        <v>179</v>
      </c>
      <c r="E793" s="337" t="s">
        <v>496</v>
      </c>
      <c r="F793" s="842"/>
      <c r="G793" s="842"/>
      <c r="H793" s="842"/>
      <c r="I793" s="842"/>
      <c r="J793" s="842"/>
      <c r="K793" s="842"/>
      <c r="L793" s="842"/>
      <c r="M793" s="842"/>
      <c r="N793" s="842"/>
      <c r="O793" s="842"/>
      <c r="P793" s="842"/>
      <c r="Q793" s="842"/>
      <c r="R793" s="842"/>
      <c r="S793" s="842"/>
      <c r="T793" s="842"/>
      <c r="U793" s="842"/>
      <c r="V793" s="842"/>
      <c r="W793" s="842"/>
      <c r="X793" s="842"/>
      <c r="Y793" s="842"/>
      <c r="Z793" s="842"/>
      <c r="AA793" s="2209"/>
      <c r="AB793" s="2209"/>
      <c r="AC793" s="346"/>
    </row>
    <row r="794" spans="1:29" ht="18.75" customHeight="1" x14ac:dyDescent="0.2">
      <c r="A794" s="341"/>
      <c r="B794" s="345"/>
      <c r="C794" s="453" t="s">
        <v>635</v>
      </c>
      <c r="D794" s="842">
        <f>D793*'Energy &amp; Unit Conversions'!G79</f>
        <v>81.193034230000009</v>
      </c>
      <c r="E794" s="337" t="s">
        <v>991</v>
      </c>
      <c r="F794" s="842"/>
      <c r="G794" s="842"/>
      <c r="H794" s="842"/>
      <c r="I794" s="842"/>
      <c r="J794" s="842"/>
      <c r="K794" s="842"/>
      <c r="L794" s="842"/>
      <c r="M794" s="842"/>
      <c r="N794" s="842"/>
      <c r="O794" s="842"/>
      <c r="P794" s="842"/>
      <c r="Q794" s="842"/>
      <c r="R794" s="842"/>
      <c r="S794" s="842"/>
      <c r="T794" s="842"/>
      <c r="U794" s="842"/>
      <c r="V794" s="842"/>
      <c r="W794" s="842"/>
      <c r="X794" s="842"/>
      <c r="Y794" s="842"/>
      <c r="Z794" s="842"/>
      <c r="AA794" s="2209"/>
      <c r="AB794" s="2209"/>
      <c r="AC794" s="346"/>
    </row>
    <row r="795" spans="1:29" ht="18.75" customHeight="1" x14ac:dyDescent="0.2">
      <c r="A795" s="341"/>
      <c r="B795" s="345"/>
      <c r="C795" s="453" t="s">
        <v>542</v>
      </c>
      <c r="D795" s="842">
        <f ca="1">D794*F781</f>
        <v>9.3427829865467718E-16</v>
      </c>
      <c r="E795" s="337" t="s">
        <v>622</v>
      </c>
      <c r="F795" s="842"/>
      <c r="G795" s="842"/>
      <c r="H795" s="842"/>
      <c r="I795" s="842"/>
      <c r="J795" s="842"/>
      <c r="K795" s="842"/>
      <c r="L795" s="842"/>
      <c r="M795" s="842"/>
      <c r="N795" s="842"/>
      <c r="O795" s="842"/>
      <c r="P795" s="842"/>
      <c r="Q795" s="842"/>
      <c r="R795" s="842"/>
      <c r="S795" s="842"/>
      <c r="T795" s="842"/>
      <c r="U795" s="842"/>
      <c r="V795" s="842"/>
      <c r="W795" s="842"/>
      <c r="X795" s="842"/>
      <c r="Y795" s="842"/>
      <c r="Z795" s="842"/>
      <c r="AA795" s="2209"/>
      <c r="AB795" s="2209"/>
      <c r="AC795" s="346"/>
    </row>
    <row r="796" spans="1:29" ht="18.75" customHeight="1" x14ac:dyDescent="0.2">
      <c r="A796" s="341"/>
      <c r="B796" s="345"/>
      <c r="C796" s="453" t="s">
        <v>451</v>
      </c>
      <c r="D796" s="410">
        <f>Constants!H245</f>
        <v>4.12</v>
      </c>
      <c r="E796" s="337" t="s">
        <v>665</v>
      </c>
      <c r="F796" s="842"/>
      <c r="G796" s="842"/>
      <c r="H796" s="842"/>
      <c r="I796" s="842"/>
      <c r="J796" s="842"/>
      <c r="K796" s="842"/>
      <c r="L796" s="842"/>
      <c r="M796" s="842"/>
      <c r="N796" s="842"/>
      <c r="O796" s="842"/>
      <c r="P796" s="842"/>
      <c r="Q796" s="842"/>
      <c r="R796" s="842"/>
      <c r="S796" s="842"/>
      <c r="T796" s="842"/>
      <c r="U796" s="842"/>
      <c r="V796" s="842"/>
      <c r="W796" s="842"/>
      <c r="X796" s="842"/>
      <c r="Y796" s="842"/>
      <c r="Z796" s="842"/>
      <c r="AA796" s="2209"/>
      <c r="AB796" s="2209"/>
      <c r="AC796" s="346"/>
    </row>
    <row r="797" spans="1:29" ht="18.75" customHeight="1" x14ac:dyDescent="0.2">
      <c r="A797" s="341"/>
      <c r="B797" s="345"/>
      <c r="C797" s="453" t="s">
        <v>451</v>
      </c>
      <c r="D797" s="842">
        <f>D796/'Energy &amp; Unit Conversions'!G80</f>
        <v>25.914019547473291</v>
      </c>
      <c r="E797" s="337" t="s">
        <v>629</v>
      </c>
      <c r="F797" s="842"/>
      <c r="G797" s="842"/>
      <c r="H797" s="842"/>
      <c r="I797" s="842"/>
      <c r="J797" s="842"/>
      <c r="K797" s="842"/>
      <c r="L797" s="842"/>
      <c r="M797" s="842"/>
      <c r="N797" s="842"/>
      <c r="O797" s="842"/>
      <c r="P797" s="842"/>
      <c r="Q797" s="842"/>
      <c r="R797" s="842"/>
      <c r="S797" s="842"/>
      <c r="T797" s="842"/>
      <c r="U797" s="842"/>
      <c r="V797" s="842"/>
      <c r="W797" s="842"/>
      <c r="X797" s="842"/>
      <c r="Y797" s="842"/>
      <c r="Z797" s="842"/>
      <c r="AA797" s="2209"/>
      <c r="AB797" s="2209"/>
      <c r="AC797" s="346"/>
    </row>
    <row r="798" spans="1:29" ht="18.75" customHeight="1" x14ac:dyDescent="0.2">
      <c r="A798" s="341"/>
      <c r="B798" s="345"/>
      <c r="C798" s="452" t="s">
        <v>452</v>
      </c>
      <c r="D798" s="334">
        <f ca="1">D797*E782</f>
        <v>5.2566362175956585E-17</v>
      </c>
      <c r="E798" s="338" t="s">
        <v>627</v>
      </c>
      <c r="F798" s="842"/>
      <c r="G798" s="842"/>
      <c r="H798" s="842"/>
      <c r="I798" s="842"/>
      <c r="J798" s="842"/>
      <c r="K798" s="842"/>
      <c r="L798" s="842"/>
      <c r="M798" s="842"/>
      <c r="N798" s="842"/>
      <c r="O798" s="842"/>
      <c r="P798" s="842"/>
      <c r="Q798" s="842"/>
      <c r="R798" s="842"/>
      <c r="S798" s="842"/>
      <c r="T798" s="842"/>
      <c r="U798" s="842"/>
      <c r="V798" s="842"/>
      <c r="W798" s="842"/>
      <c r="X798" s="842"/>
      <c r="Y798" s="842"/>
      <c r="Z798" s="842"/>
      <c r="AA798" s="2209"/>
      <c r="AB798" s="2209"/>
      <c r="AC798" s="346"/>
    </row>
    <row r="799" spans="1:29" ht="18.75" customHeight="1" x14ac:dyDescent="0.2">
      <c r="A799" s="341"/>
      <c r="B799" s="345"/>
      <c r="C799" s="437"/>
      <c r="D799" s="842"/>
      <c r="E799" s="842"/>
      <c r="F799" s="842"/>
      <c r="G799" s="842"/>
      <c r="H799" s="842"/>
      <c r="I799" s="842"/>
      <c r="J799" s="842"/>
      <c r="K799" s="842"/>
      <c r="L799" s="842"/>
      <c r="M799" s="842"/>
      <c r="N799" s="842"/>
      <c r="O799" s="842"/>
      <c r="P799" s="842"/>
      <c r="Q799" s="842"/>
      <c r="R799" s="842"/>
      <c r="S799" s="842"/>
      <c r="T799" s="842"/>
      <c r="U799" s="842"/>
      <c r="V799" s="842"/>
      <c r="W799" s="842"/>
      <c r="X799" s="842"/>
      <c r="Y799" s="842"/>
      <c r="Z799" s="842"/>
      <c r="AA799" s="2209"/>
      <c r="AB799" s="2209"/>
      <c r="AC799" s="346"/>
    </row>
    <row r="800" spans="1:29" ht="26.25" x14ac:dyDescent="0.2">
      <c r="A800" s="341"/>
      <c r="B800" s="699"/>
      <c r="C800" s="603" t="s">
        <v>1462</v>
      </c>
      <c r="D800" s="603"/>
      <c r="E800" s="842"/>
      <c r="F800" s="842"/>
      <c r="G800" s="842"/>
      <c r="H800" s="842"/>
      <c r="I800" s="842"/>
      <c r="J800" s="842"/>
      <c r="K800" s="842"/>
      <c r="L800" s="842"/>
      <c r="M800" s="842"/>
      <c r="N800" s="842"/>
      <c r="O800" s="842"/>
      <c r="P800" s="842"/>
      <c r="Q800" s="842"/>
      <c r="R800" s="842"/>
      <c r="S800" s="842"/>
      <c r="T800" s="842"/>
      <c r="U800" s="842"/>
      <c r="V800" s="842"/>
      <c r="W800" s="842"/>
      <c r="X800" s="842"/>
      <c r="Y800" s="842"/>
      <c r="Z800" s="842"/>
      <c r="AA800" s="2209"/>
      <c r="AB800" s="2209"/>
      <c r="AC800" s="346"/>
    </row>
    <row r="801" spans="1:29" ht="18.75" customHeight="1" x14ac:dyDescent="0.2">
      <c r="A801" s="341"/>
      <c r="B801" s="345"/>
      <c r="C801" s="444"/>
      <c r="D801" s="842"/>
      <c r="E801" s="426"/>
      <c r="F801" s="842"/>
      <c r="G801" s="842"/>
      <c r="H801" s="842"/>
      <c r="I801" s="842"/>
      <c r="J801" s="842"/>
      <c r="K801" s="842"/>
      <c r="L801" s="842"/>
      <c r="M801" s="842"/>
      <c r="N801" s="842"/>
      <c r="O801" s="842"/>
      <c r="P801" s="842"/>
      <c r="Q801" s="842"/>
      <c r="R801" s="842"/>
      <c r="S801" s="842"/>
      <c r="T801" s="842"/>
      <c r="U801" s="842"/>
      <c r="V801" s="842"/>
      <c r="W801" s="842"/>
      <c r="X801" s="842"/>
      <c r="Y801" s="842"/>
      <c r="Z801" s="842"/>
      <c r="AA801" s="2209"/>
      <c r="AB801" s="2209"/>
      <c r="AC801" s="346"/>
    </row>
    <row r="802" spans="1:29" ht="18.75" customHeight="1" x14ac:dyDescent="0.2">
      <c r="A802" s="341"/>
      <c r="B802" s="345"/>
      <c r="C802" s="843" t="s">
        <v>569</v>
      </c>
      <c r="D802" s="842"/>
      <c r="E802" s="842"/>
      <c r="F802" s="842"/>
      <c r="G802" s="842"/>
      <c r="H802" s="842"/>
      <c r="I802" s="842"/>
      <c r="J802" s="842"/>
      <c r="K802" s="842"/>
      <c r="L802" s="842"/>
      <c r="M802" s="842"/>
      <c r="N802" s="842"/>
      <c r="O802" s="842"/>
      <c r="P802" s="842"/>
      <c r="Q802" s="842"/>
      <c r="R802" s="842"/>
      <c r="S802" s="842"/>
      <c r="T802" s="842"/>
      <c r="U802" s="842"/>
      <c r="V802" s="842"/>
      <c r="W802" s="842"/>
      <c r="X802" s="842"/>
      <c r="Y802" s="842"/>
      <c r="Z802" s="842"/>
      <c r="AA802" s="2209"/>
      <c r="AB802" s="2209"/>
      <c r="AC802" s="346"/>
    </row>
    <row r="803" spans="1:29" ht="18.75" customHeight="1" x14ac:dyDescent="0.2">
      <c r="A803" s="341"/>
      <c r="B803" s="345"/>
      <c r="C803" s="441" t="s">
        <v>568</v>
      </c>
      <c r="D803" s="351" t="s">
        <v>623</v>
      </c>
      <c r="E803" s="351" t="s">
        <v>570</v>
      </c>
      <c r="F803" s="352" t="s">
        <v>432</v>
      </c>
      <c r="G803" s="842"/>
      <c r="H803" s="842"/>
      <c r="I803" s="842"/>
      <c r="J803" s="842"/>
      <c r="K803" s="842"/>
      <c r="L803" s="842"/>
      <c r="M803" s="842"/>
      <c r="N803" s="842"/>
      <c r="O803" s="842"/>
      <c r="P803" s="842"/>
      <c r="Q803" s="842"/>
      <c r="R803" s="842"/>
      <c r="S803" s="842"/>
      <c r="T803" s="842"/>
      <c r="U803" s="842"/>
      <c r="V803" s="842"/>
      <c r="W803" s="842"/>
      <c r="X803" s="842"/>
      <c r="Y803" s="842"/>
      <c r="Z803" s="842"/>
      <c r="AA803" s="2209"/>
      <c r="AB803" s="2209"/>
      <c r="AC803" s="346"/>
    </row>
    <row r="804" spans="1:29" ht="18.75" customHeight="1" x14ac:dyDescent="0.2">
      <c r="A804" s="341"/>
      <c r="B804" s="345"/>
      <c r="C804" s="442" t="str">
        <f t="shared" ref="C804:D812" si="80">C515</f>
        <v>Vol Flow</v>
      </c>
      <c r="D804" s="842" t="str">
        <f ca="1">D515</f>
        <v>bpd</v>
      </c>
      <c r="E804" s="842">
        <f ca="1">HydroRefineryCalcs!I515</f>
        <v>1E-14</v>
      </c>
      <c r="F804" s="337">
        <f t="shared" ref="F804:F812" ca="1" si="81">E804</f>
        <v>1E-14</v>
      </c>
      <c r="G804" s="842"/>
      <c r="H804" s="842"/>
      <c r="I804" s="842"/>
      <c r="J804" s="842"/>
      <c r="K804" s="842"/>
      <c r="L804" s="842"/>
      <c r="M804" s="842"/>
      <c r="N804" s="842"/>
      <c r="O804" s="842"/>
      <c r="P804" s="842"/>
      <c r="Q804" s="842"/>
      <c r="R804" s="842"/>
      <c r="S804" s="842"/>
      <c r="T804" s="842"/>
      <c r="U804" s="842"/>
      <c r="V804" s="842"/>
      <c r="W804" s="842"/>
      <c r="X804" s="842"/>
      <c r="Y804" s="842"/>
      <c r="Z804" s="842"/>
      <c r="AA804" s="2209"/>
      <c r="AB804" s="2209"/>
      <c r="AC804" s="346"/>
    </row>
    <row r="805" spans="1:29" ht="18.75" customHeight="1" x14ac:dyDescent="0.2">
      <c r="A805" s="341"/>
      <c r="B805" s="345"/>
      <c r="C805" s="442" t="str">
        <f t="shared" si="80"/>
        <v>Vol Flow</v>
      </c>
      <c r="D805" s="842" t="str">
        <f ca="1">D516</f>
        <v>m^3/d</v>
      </c>
      <c r="E805" s="842">
        <f ca="1">HydroRefineryCalcs!I516</f>
        <v>1.589873E-15</v>
      </c>
      <c r="F805" s="337">
        <f t="shared" ca="1" si="81"/>
        <v>1.589873E-15</v>
      </c>
      <c r="G805" s="842"/>
      <c r="H805" s="842"/>
      <c r="I805" s="842"/>
      <c r="J805" s="842"/>
      <c r="K805" s="842"/>
      <c r="L805" s="842"/>
      <c r="M805" s="842"/>
      <c r="N805" s="842"/>
      <c r="O805" s="842"/>
      <c r="P805" s="842"/>
      <c r="Q805" s="842"/>
      <c r="R805" s="842"/>
      <c r="S805" s="842"/>
      <c r="T805" s="842"/>
      <c r="U805" s="842"/>
      <c r="V805" s="842"/>
      <c r="W805" s="842"/>
      <c r="X805" s="842"/>
      <c r="Y805" s="842"/>
      <c r="Z805" s="842"/>
      <c r="AA805" s="2209"/>
      <c r="AB805" s="2209"/>
      <c r="AC805" s="346"/>
    </row>
    <row r="806" spans="1:29" ht="18.75" customHeight="1" x14ac:dyDescent="0.2">
      <c r="A806" s="341"/>
      <c r="B806" s="345"/>
      <c r="C806" s="442" t="str">
        <f t="shared" si="80"/>
        <v>Mass Flow</v>
      </c>
      <c r="D806" s="842" t="str">
        <f t="shared" si="80"/>
        <v>kg/d</v>
      </c>
      <c r="E806" s="842">
        <f ca="1">HydroRefineryCalcs!I517</f>
        <v>1E-14</v>
      </c>
      <c r="F806" s="337">
        <f t="shared" ca="1" si="81"/>
        <v>1E-14</v>
      </c>
      <c r="G806" s="842"/>
      <c r="H806" s="842"/>
      <c r="I806" s="842"/>
      <c r="J806" s="842"/>
      <c r="K806" s="842"/>
      <c r="L806" s="842"/>
      <c r="M806" s="842"/>
      <c r="N806" s="842"/>
      <c r="O806" s="842"/>
      <c r="P806" s="842"/>
      <c r="Q806" s="842"/>
      <c r="R806" s="842"/>
      <c r="S806" s="842"/>
      <c r="T806" s="842"/>
      <c r="U806" s="842"/>
      <c r="V806" s="842"/>
      <c r="W806" s="842"/>
      <c r="X806" s="842"/>
      <c r="Y806" s="842"/>
      <c r="Z806" s="842"/>
      <c r="AA806" s="2209"/>
      <c r="AB806" s="2209"/>
      <c r="AC806" s="346"/>
    </row>
    <row r="807" spans="1:29" ht="18.75" customHeight="1" x14ac:dyDescent="0.2">
      <c r="A807" s="341"/>
      <c r="B807" s="345"/>
      <c r="C807" s="442" t="str">
        <f t="shared" si="80"/>
        <v xml:space="preserve">Sulphur </v>
      </c>
      <c r="D807" s="842" t="str">
        <f t="shared" ref="D807:D812" ca="1" si="82">D518</f>
        <v>wt%</v>
      </c>
      <c r="E807" s="842">
        <f ca="1">HydroRefineryCalcs!I518</f>
        <v>0</v>
      </c>
      <c r="F807" s="337">
        <f t="shared" ca="1" si="81"/>
        <v>0</v>
      </c>
      <c r="G807" s="842"/>
      <c r="H807" s="842"/>
      <c r="I807" s="842"/>
      <c r="J807" s="842"/>
      <c r="K807" s="842"/>
      <c r="L807" s="842"/>
      <c r="M807" s="842"/>
      <c r="N807" s="842"/>
      <c r="O807" s="842"/>
      <c r="P807" s="842"/>
      <c r="Q807" s="842"/>
      <c r="R807" s="842"/>
      <c r="S807" s="842"/>
      <c r="T807" s="842"/>
      <c r="U807" s="842"/>
      <c r="V807" s="842"/>
      <c r="W807" s="842"/>
      <c r="X807" s="842"/>
      <c r="Y807" s="842"/>
      <c r="Z807" s="842"/>
      <c r="AA807" s="2209"/>
      <c r="AB807" s="2209"/>
      <c r="AC807" s="346"/>
    </row>
    <row r="808" spans="1:29" ht="18.75" customHeight="1" x14ac:dyDescent="0.2">
      <c r="A808" s="341"/>
      <c r="B808" s="345"/>
      <c r="C808" s="442" t="str">
        <f t="shared" si="80"/>
        <v xml:space="preserve">Nitrogen </v>
      </c>
      <c r="D808" s="842" t="str">
        <f t="shared" ca="1" si="82"/>
        <v>mass ppm</v>
      </c>
      <c r="E808" s="842">
        <f ca="1">HydroRefineryCalcs!I519</f>
        <v>0</v>
      </c>
      <c r="F808" s="337">
        <f t="shared" ca="1" si="81"/>
        <v>0</v>
      </c>
      <c r="G808" s="842"/>
      <c r="H808" s="842"/>
      <c r="I808" s="842"/>
      <c r="J808" s="842"/>
      <c r="K808" s="842"/>
      <c r="L808" s="842"/>
      <c r="M808" s="842"/>
      <c r="N808" s="842"/>
      <c r="O808" s="842"/>
      <c r="P808" s="842"/>
      <c r="Q808" s="842"/>
      <c r="R808" s="842"/>
      <c r="S808" s="842"/>
      <c r="T808" s="842"/>
      <c r="U808" s="842"/>
      <c r="V808" s="842"/>
      <c r="W808" s="842"/>
      <c r="X808" s="842"/>
      <c r="Y808" s="842"/>
      <c r="Z808" s="842"/>
      <c r="AA808" s="2209"/>
      <c r="AB808" s="2209"/>
      <c r="AC808" s="346"/>
    </row>
    <row r="809" spans="1:29" ht="18.75" customHeight="1" x14ac:dyDescent="0.2">
      <c r="A809" s="341"/>
      <c r="B809" s="345"/>
      <c r="C809" s="442" t="str">
        <f t="shared" si="80"/>
        <v xml:space="preserve">API gravity </v>
      </c>
      <c r="D809" s="842" t="str">
        <f t="shared" ca="1" si="82"/>
        <v>oAPI</v>
      </c>
      <c r="E809" s="842">
        <f ca="1">HydroRefineryCalcs!I520</f>
        <v>0</v>
      </c>
      <c r="F809" s="337">
        <f t="shared" ca="1" si="81"/>
        <v>0</v>
      </c>
      <c r="G809" s="842"/>
      <c r="H809" s="842"/>
      <c r="I809" s="842"/>
      <c r="J809" s="842"/>
      <c r="K809" s="842"/>
      <c r="L809" s="842"/>
      <c r="M809" s="842"/>
      <c r="N809" s="842"/>
      <c r="O809" s="842"/>
      <c r="P809" s="842"/>
      <c r="Q809" s="842"/>
      <c r="R809" s="842"/>
      <c r="S809" s="842"/>
      <c r="T809" s="842"/>
      <c r="U809" s="842"/>
      <c r="V809" s="842"/>
      <c r="W809" s="842"/>
      <c r="X809" s="842"/>
      <c r="Y809" s="842"/>
      <c r="Z809" s="842"/>
      <c r="AA809" s="2209"/>
      <c r="AB809" s="2209"/>
      <c r="AC809" s="346"/>
    </row>
    <row r="810" spans="1:29" ht="18.75" customHeight="1" x14ac:dyDescent="0.2">
      <c r="A810" s="341"/>
      <c r="B810" s="345"/>
      <c r="C810" s="442" t="str">
        <f t="shared" si="80"/>
        <v>Density</v>
      </c>
      <c r="D810" s="842" t="str">
        <f t="shared" ca="1" si="82"/>
        <v>kg/m^3</v>
      </c>
      <c r="E810" s="842">
        <f ca="1">HydroRefineryCalcs!I521</f>
        <v>0</v>
      </c>
      <c r="F810" s="337">
        <f t="shared" ca="1" si="81"/>
        <v>0</v>
      </c>
      <c r="G810" s="842"/>
      <c r="H810" s="842"/>
      <c r="I810" s="842"/>
      <c r="J810" s="842"/>
      <c r="K810" s="842"/>
      <c r="L810" s="842"/>
      <c r="M810" s="842"/>
      <c r="N810" s="842"/>
      <c r="O810" s="842"/>
      <c r="P810" s="842"/>
      <c r="Q810" s="842"/>
      <c r="R810" s="842"/>
      <c r="S810" s="842"/>
      <c r="T810" s="842"/>
      <c r="U810" s="842"/>
      <c r="V810" s="842"/>
      <c r="W810" s="842"/>
      <c r="X810" s="842"/>
      <c r="Y810" s="842"/>
      <c r="Z810" s="842"/>
      <c r="AA810" s="2209"/>
      <c r="AB810" s="2209"/>
      <c r="AC810" s="346"/>
    </row>
    <row r="811" spans="1:29" ht="18.75" customHeight="1" x14ac:dyDescent="0.2">
      <c r="A811" s="341"/>
      <c r="B811" s="345"/>
      <c r="C811" s="442" t="str">
        <f t="shared" si="80"/>
        <v>Hydrogen</v>
      </c>
      <c r="D811" s="842" t="str">
        <f t="shared" ca="1" si="82"/>
        <v>wt%</v>
      </c>
      <c r="E811" s="842">
        <f ca="1">HydroRefineryCalcs!I522</f>
        <v>0</v>
      </c>
      <c r="F811" s="337">
        <f t="shared" ca="1" si="81"/>
        <v>0</v>
      </c>
      <c r="G811" s="842"/>
      <c r="H811" s="842"/>
      <c r="I811" s="842"/>
      <c r="J811" s="842"/>
      <c r="K811" s="842"/>
      <c r="L811" s="842"/>
      <c r="M811" s="842"/>
      <c r="N811" s="842"/>
      <c r="O811" s="842"/>
      <c r="P811" s="842"/>
      <c r="Q811" s="842"/>
      <c r="R811" s="842"/>
      <c r="S811" s="842"/>
      <c r="T811" s="842"/>
      <c r="U811" s="842"/>
      <c r="V811" s="842"/>
      <c r="W811" s="842"/>
      <c r="X811" s="842"/>
      <c r="Y811" s="842"/>
      <c r="Z811" s="842"/>
      <c r="AA811" s="2209"/>
      <c r="AB811" s="2209"/>
      <c r="AC811" s="346"/>
    </row>
    <row r="812" spans="1:29" ht="18.75" customHeight="1" x14ac:dyDescent="0.2">
      <c r="A812" s="341"/>
      <c r="B812" s="345"/>
      <c r="C812" s="443" t="str">
        <f t="shared" si="80"/>
        <v>MCR</v>
      </c>
      <c r="D812" s="334" t="str">
        <f t="shared" ca="1" si="82"/>
        <v>wt%</v>
      </c>
      <c r="E812" s="334">
        <f ca="1">HydroRefineryCalcs!I523</f>
        <v>10.823381666475589</v>
      </c>
      <c r="F812" s="338">
        <f t="shared" ca="1" si="81"/>
        <v>10.823381666475589</v>
      </c>
      <c r="G812" s="842"/>
      <c r="H812" s="842"/>
      <c r="I812" s="842"/>
      <c r="J812" s="842"/>
      <c r="K812" s="842"/>
      <c r="L812" s="842"/>
      <c r="M812" s="842"/>
      <c r="N812" s="842"/>
      <c r="O812" s="842"/>
      <c r="P812" s="842"/>
      <c r="Q812" s="842"/>
      <c r="R812" s="842"/>
      <c r="S812" s="842"/>
      <c r="T812" s="842"/>
      <c r="U812" s="842"/>
      <c r="V812" s="842"/>
      <c r="W812" s="842"/>
      <c r="X812" s="842"/>
      <c r="Y812" s="842"/>
      <c r="Z812" s="842"/>
      <c r="AA812" s="2209"/>
      <c r="AB812" s="2209"/>
      <c r="AC812" s="346"/>
    </row>
    <row r="813" spans="1:29" ht="18.75" customHeight="1" x14ac:dyDescent="0.2">
      <c r="A813" s="341"/>
      <c r="B813" s="345"/>
      <c r="C813" s="437"/>
      <c r="D813" s="842"/>
      <c r="E813" s="842"/>
      <c r="F813" s="842"/>
      <c r="G813" s="842"/>
      <c r="H813" s="842"/>
      <c r="I813" s="842"/>
      <c r="J813" s="842"/>
      <c r="K813" s="842"/>
      <c r="L813" s="842"/>
      <c r="M813" s="842"/>
      <c r="N813" s="842"/>
      <c r="O813" s="842"/>
      <c r="P813" s="842"/>
      <c r="Q813" s="842"/>
      <c r="R813" s="842"/>
      <c r="S813" s="842"/>
      <c r="T813" s="842"/>
      <c r="U813" s="842"/>
      <c r="V813" s="842"/>
      <c r="W813" s="842"/>
      <c r="X813" s="842"/>
      <c r="Y813" s="842"/>
      <c r="Z813" s="842"/>
      <c r="AA813" s="2209"/>
      <c r="AB813" s="2209"/>
      <c r="AC813" s="346"/>
    </row>
    <row r="814" spans="1:29" ht="18.75" customHeight="1" x14ac:dyDescent="0.2">
      <c r="A814" s="341"/>
      <c r="B814" s="345"/>
      <c r="C814" s="843" t="s">
        <v>308</v>
      </c>
      <c r="D814" s="842"/>
      <c r="E814" s="842"/>
      <c r="F814" s="842"/>
      <c r="G814" s="842"/>
      <c r="H814" s="842"/>
      <c r="I814" s="842"/>
      <c r="J814" s="842"/>
      <c r="K814" s="842"/>
      <c r="L814" s="842"/>
      <c r="M814" s="842"/>
      <c r="N814" s="842"/>
      <c r="O814" s="842"/>
      <c r="P814" s="842"/>
      <c r="Q814" s="842"/>
      <c r="R814" s="842"/>
      <c r="S814" s="842"/>
      <c r="T814" s="842"/>
      <c r="U814" s="842"/>
      <c r="V814" s="842"/>
      <c r="W814" s="842"/>
      <c r="X814" s="842"/>
      <c r="Y814" s="842"/>
      <c r="Z814" s="842"/>
      <c r="AA814" s="2209"/>
      <c r="AB814" s="2209"/>
      <c r="AC814" s="346"/>
    </row>
    <row r="815" spans="1:29" ht="18.75" customHeight="1" x14ac:dyDescent="0.2">
      <c r="A815" s="341"/>
      <c r="B815" s="345"/>
      <c r="C815" s="855"/>
      <c r="D815" s="351" t="s">
        <v>624</v>
      </c>
      <c r="E815" s="352" t="s">
        <v>623</v>
      </c>
      <c r="F815" s="842"/>
      <c r="G815" s="842"/>
      <c r="H815" s="842"/>
      <c r="I815" s="842"/>
      <c r="J815" s="842"/>
      <c r="K815" s="842"/>
      <c r="L815" s="842"/>
      <c r="M815" s="842"/>
      <c r="N815" s="842"/>
      <c r="O815" s="842"/>
      <c r="P815" s="842"/>
      <c r="Q815" s="842"/>
      <c r="R815" s="842"/>
      <c r="S815" s="842"/>
      <c r="T815" s="842"/>
      <c r="U815" s="842"/>
      <c r="V815" s="842"/>
      <c r="W815" s="842"/>
      <c r="X815" s="842"/>
      <c r="Y815" s="842"/>
      <c r="Z815" s="842"/>
      <c r="AA815" s="2209"/>
      <c r="AB815" s="2209"/>
      <c r="AC815" s="346"/>
    </row>
    <row r="816" spans="1:29" ht="18.75" customHeight="1" x14ac:dyDescent="0.2">
      <c r="A816" s="341"/>
      <c r="B816" s="345"/>
      <c r="C816" s="453" t="s">
        <v>635</v>
      </c>
      <c r="D816" s="410">
        <f>Constants!H270</f>
        <v>45</v>
      </c>
      <c r="E816" s="337" t="s">
        <v>637</v>
      </c>
      <c r="F816" s="842"/>
      <c r="G816" s="437" t="s">
        <v>433</v>
      </c>
      <c r="H816" s="842"/>
      <c r="I816" s="842"/>
      <c r="J816" s="842"/>
      <c r="K816" s="842"/>
      <c r="L816" s="842"/>
      <c r="M816" s="842"/>
      <c r="N816" s="842"/>
      <c r="O816" s="842"/>
      <c r="P816" s="842"/>
      <c r="Q816" s="842"/>
      <c r="R816" s="842"/>
      <c r="S816" s="842"/>
      <c r="T816" s="842"/>
      <c r="U816" s="842"/>
      <c r="V816" s="842"/>
      <c r="W816" s="842"/>
      <c r="X816" s="842"/>
      <c r="Y816" s="842"/>
      <c r="Z816" s="842"/>
      <c r="AA816" s="2209"/>
      <c r="AB816" s="2209"/>
      <c r="AC816" s="346"/>
    </row>
    <row r="817" spans="1:29" ht="18.75" customHeight="1" x14ac:dyDescent="0.2">
      <c r="A817" s="341"/>
      <c r="B817" s="345"/>
      <c r="C817" s="453" t="s">
        <v>634</v>
      </c>
      <c r="D817" s="842">
        <f>D816*'Energy &amp; Unit Conversions'!G82/'Energy &amp; Unit Conversions'!G80</f>
        <v>7.5827346271711136</v>
      </c>
      <c r="E817" s="337" t="s">
        <v>636</v>
      </c>
      <c r="F817" s="842"/>
      <c r="G817" s="842"/>
      <c r="H817" s="842"/>
      <c r="I817" s="842"/>
      <c r="J817" s="842"/>
      <c r="K817" s="842"/>
      <c r="L817" s="842"/>
      <c r="M817" s="842"/>
      <c r="N817" s="842"/>
      <c r="O817" s="842"/>
      <c r="P817" s="842"/>
      <c r="Q817" s="842"/>
      <c r="R817" s="842"/>
      <c r="S817" s="842"/>
      <c r="T817" s="842"/>
      <c r="U817" s="842"/>
      <c r="V817" s="842"/>
      <c r="W817" s="842"/>
      <c r="X817" s="842"/>
      <c r="Y817" s="842"/>
      <c r="Z817" s="842"/>
      <c r="AA817" s="2209"/>
      <c r="AB817" s="2209"/>
      <c r="AC817" s="346"/>
    </row>
    <row r="818" spans="1:29" ht="18.75" customHeight="1" x14ac:dyDescent="0.2">
      <c r="A818" s="341"/>
      <c r="B818" s="345"/>
      <c r="C818" s="453" t="s">
        <v>542</v>
      </c>
      <c r="D818" s="842">
        <f ca="1">D816*E804/1000</f>
        <v>4.5000000000000002E-16</v>
      </c>
      <c r="E818" s="337" t="s">
        <v>472</v>
      </c>
      <c r="F818" s="842"/>
      <c r="G818" s="842"/>
      <c r="H818" s="842"/>
      <c r="I818" s="842"/>
      <c r="J818" s="842"/>
      <c r="K818" s="842"/>
      <c r="L818" s="842"/>
      <c r="M818" s="842"/>
      <c r="N818" s="842"/>
      <c r="O818" s="842"/>
      <c r="P818" s="842"/>
      <c r="Q818" s="842"/>
      <c r="R818" s="842"/>
      <c r="S818" s="842"/>
      <c r="T818" s="842"/>
      <c r="U818" s="842"/>
      <c r="V818" s="842"/>
      <c r="W818" s="842"/>
      <c r="X818" s="842"/>
      <c r="Y818" s="842"/>
      <c r="Z818" s="842"/>
      <c r="AA818" s="2209"/>
      <c r="AB818" s="2209"/>
      <c r="AC818" s="346"/>
    </row>
    <row r="819" spans="1:29" ht="18.75" customHeight="1" x14ac:dyDescent="0.2">
      <c r="A819" s="341"/>
      <c r="B819" s="345"/>
      <c r="C819" s="453" t="s">
        <v>542</v>
      </c>
      <c r="D819" s="842">
        <f ca="1">D817*E805</f>
        <v>1.2055585049904419E-14</v>
      </c>
      <c r="E819" s="337" t="s">
        <v>628</v>
      </c>
      <c r="F819" s="842"/>
      <c r="G819" s="842"/>
      <c r="H819" s="842"/>
      <c r="I819" s="842"/>
      <c r="J819" s="842"/>
      <c r="K819" s="842"/>
      <c r="L819" s="842"/>
      <c r="M819" s="842"/>
      <c r="N819" s="842"/>
      <c r="O819" s="842"/>
      <c r="P819" s="842"/>
      <c r="Q819" s="842"/>
      <c r="R819" s="842"/>
      <c r="S819" s="842"/>
      <c r="T819" s="842"/>
      <c r="U819" s="842"/>
      <c r="V819" s="842"/>
      <c r="W819" s="842"/>
      <c r="X819" s="842"/>
      <c r="Y819" s="842"/>
      <c r="Z819" s="842"/>
      <c r="AA819" s="2209"/>
      <c r="AB819" s="2209"/>
      <c r="AC819" s="346"/>
    </row>
    <row r="820" spans="1:29" ht="18.75" customHeight="1" x14ac:dyDescent="0.2">
      <c r="A820" s="341"/>
      <c r="B820" s="345"/>
      <c r="C820" s="452" t="s">
        <v>631</v>
      </c>
      <c r="D820" s="334">
        <f ca="1">D819*'Energy &amp; Unit Conversions'!P25*'Energy &amp; Unit Conversions'!G87</f>
        <v>5.1104433366257784E-18</v>
      </c>
      <c r="E820" s="338" t="s">
        <v>632</v>
      </c>
      <c r="F820" s="842"/>
      <c r="G820" s="842"/>
      <c r="H820" s="842"/>
      <c r="I820" s="842"/>
      <c r="J820" s="842"/>
      <c r="K820" s="842"/>
      <c r="L820" s="842"/>
      <c r="M820" s="842"/>
      <c r="N820" s="842"/>
      <c r="O820" s="842"/>
      <c r="P820" s="842"/>
      <c r="Q820" s="842"/>
      <c r="R820" s="842"/>
      <c r="S820" s="842"/>
      <c r="T820" s="842"/>
      <c r="U820" s="842"/>
      <c r="V820" s="842"/>
      <c r="W820" s="842"/>
      <c r="X820" s="842"/>
      <c r="Y820" s="842"/>
      <c r="Z820" s="842"/>
      <c r="AA820" s="2209"/>
      <c r="AB820" s="2209"/>
      <c r="AC820" s="346"/>
    </row>
    <row r="821" spans="1:29" ht="18.75" customHeight="1" x14ac:dyDescent="0.2">
      <c r="A821" s="341"/>
      <c r="B821" s="345"/>
      <c r="C821" s="437"/>
      <c r="D821" s="842"/>
      <c r="E821" s="842"/>
      <c r="F821" s="842"/>
      <c r="G821" s="842"/>
      <c r="H821" s="842"/>
      <c r="I821" s="842"/>
      <c r="J821" s="842"/>
      <c r="K821" s="842"/>
      <c r="L821" s="842"/>
      <c r="M821" s="842"/>
      <c r="N821" s="842"/>
      <c r="O821" s="842"/>
      <c r="P821" s="842"/>
      <c r="Q821" s="842"/>
      <c r="R821" s="842"/>
      <c r="S821" s="842"/>
      <c r="T821" s="842"/>
      <c r="U821" s="842"/>
      <c r="V821" s="842"/>
      <c r="W821" s="842"/>
      <c r="X821" s="842"/>
      <c r="Y821" s="842"/>
      <c r="Z821" s="842"/>
      <c r="AA821" s="2209"/>
      <c r="AB821" s="2209"/>
      <c r="AC821" s="346"/>
    </row>
    <row r="822" spans="1:29" ht="26.25" x14ac:dyDescent="0.2">
      <c r="A822" s="341"/>
      <c r="B822" s="699"/>
      <c r="C822" s="603" t="s">
        <v>1463</v>
      </c>
      <c r="D822" s="842"/>
      <c r="E822" s="842"/>
      <c r="F822" s="842"/>
      <c r="G822" s="842"/>
      <c r="H822" s="842"/>
      <c r="I822" s="842"/>
      <c r="J822" s="842"/>
      <c r="K822" s="842"/>
      <c r="L822" s="842"/>
      <c r="M822" s="842"/>
      <c r="N822" s="842"/>
      <c r="O822" s="842"/>
      <c r="P822" s="842"/>
      <c r="Q822" s="842"/>
      <c r="R822" s="842"/>
      <c r="S822" s="842"/>
      <c r="T822" s="842"/>
      <c r="U822" s="842"/>
      <c r="V822" s="842"/>
      <c r="W822" s="842"/>
      <c r="X822" s="842"/>
      <c r="Y822" s="842"/>
      <c r="Z822" s="842"/>
      <c r="AA822" s="2209"/>
      <c r="AB822" s="2209"/>
      <c r="AC822" s="346"/>
    </row>
    <row r="823" spans="1:29" ht="18.75" customHeight="1" x14ac:dyDescent="0.2">
      <c r="A823" s="341"/>
      <c r="B823" s="345"/>
      <c r="C823" s="437"/>
      <c r="D823" s="842"/>
      <c r="E823" s="842"/>
      <c r="F823" s="842"/>
      <c r="G823" s="842"/>
      <c r="H823" s="842"/>
      <c r="I823" s="842"/>
      <c r="J823" s="842"/>
      <c r="K823" s="842"/>
      <c r="L823" s="842"/>
      <c r="M823" s="842"/>
      <c r="N823" s="842"/>
      <c r="O823" s="842"/>
      <c r="P823" s="842"/>
      <c r="Q823" s="842"/>
      <c r="R823" s="842"/>
      <c r="S823" s="842"/>
      <c r="T823" s="842"/>
      <c r="U823" s="842"/>
      <c r="V823" s="842"/>
      <c r="W823" s="842"/>
      <c r="X823" s="842"/>
      <c r="Y823" s="842"/>
      <c r="Z823" s="842"/>
      <c r="AA823" s="2209"/>
      <c r="AB823" s="2209"/>
      <c r="AC823" s="346"/>
    </row>
    <row r="824" spans="1:29" ht="18.75" customHeight="1" x14ac:dyDescent="0.2">
      <c r="A824" s="341"/>
      <c r="B824" s="345"/>
      <c r="C824" s="843" t="s">
        <v>569</v>
      </c>
      <c r="D824" s="842"/>
      <c r="E824" s="426"/>
      <c r="F824" s="842"/>
      <c r="G824" s="842"/>
      <c r="H824" s="842"/>
      <c r="I824" s="842"/>
      <c r="J824" s="842"/>
      <c r="K824" s="842"/>
      <c r="L824" s="842"/>
      <c r="M824" s="842"/>
      <c r="N824" s="842"/>
      <c r="O824" s="842"/>
      <c r="P824" s="842"/>
      <c r="Q824" s="842"/>
      <c r="R824" s="842"/>
      <c r="S824" s="842"/>
      <c r="T824" s="842"/>
      <c r="U824" s="842"/>
      <c r="V824" s="842"/>
      <c r="W824" s="842"/>
      <c r="X824" s="842"/>
      <c r="Y824" s="842"/>
      <c r="Z824" s="842"/>
      <c r="AA824" s="2209"/>
      <c r="AB824" s="2209"/>
      <c r="AC824" s="346"/>
    </row>
    <row r="825" spans="1:29" ht="18.75" customHeight="1" x14ac:dyDescent="0.2">
      <c r="A825" s="341"/>
      <c r="B825" s="345"/>
      <c r="C825" s="441" t="s">
        <v>568</v>
      </c>
      <c r="D825" s="351" t="s">
        <v>623</v>
      </c>
      <c r="E825" s="351" t="s">
        <v>570</v>
      </c>
      <c r="F825" s="351" t="s">
        <v>906</v>
      </c>
      <c r="G825" s="351" t="s">
        <v>371</v>
      </c>
      <c r="H825" s="351" t="s">
        <v>1464</v>
      </c>
      <c r="I825" s="351" t="s">
        <v>1465</v>
      </c>
      <c r="J825" s="351" t="s">
        <v>1466</v>
      </c>
      <c r="K825" s="357" t="s">
        <v>434</v>
      </c>
      <c r="L825" s="839"/>
      <c r="M825" s="839"/>
      <c r="N825" s="839"/>
      <c r="O825" s="839"/>
      <c r="P825" s="839"/>
      <c r="Q825" s="839"/>
      <c r="R825" s="842"/>
      <c r="S825" s="842"/>
      <c r="T825" s="842"/>
      <c r="U825" s="842"/>
      <c r="V825" s="842"/>
      <c r="W825" s="842"/>
      <c r="X825" s="842"/>
      <c r="Y825" s="842"/>
      <c r="Z825" s="842"/>
      <c r="AA825" s="2209"/>
      <c r="AB825" s="2209"/>
      <c r="AC825" s="346"/>
    </row>
    <row r="826" spans="1:29" ht="18.75" customHeight="1" x14ac:dyDescent="0.2">
      <c r="A826" s="341"/>
      <c r="B826" s="345"/>
      <c r="C826" s="442" t="str">
        <f t="shared" ref="C826:D834" si="83">C804</f>
        <v>Vol Flow</v>
      </c>
      <c r="D826" s="842" t="str">
        <f ca="1">D804</f>
        <v>bpd</v>
      </c>
      <c r="E826" s="842">
        <f t="shared" ref="E826:E834" ca="1" si="84">F804</f>
        <v>1E-14</v>
      </c>
      <c r="F826" s="842">
        <f ca="1">F827/'Energy &amp; Unit Conversions'!G80</f>
        <v>6.5271473276813377E-17</v>
      </c>
      <c r="G826" s="842"/>
      <c r="H826" s="842">
        <f ca="1">H827/'Energy &amp; Unit Conversions'!G80</f>
        <v>1.0504210321326036E-17</v>
      </c>
      <c r="I826" s="842">
        <f ca="1">I827/'Energy &amp; Unit Conversions'!G80</f>
        <v>2.3907256979390112E-17</v>
      </c>
      <c r="J826" s="842">
        <f ca="1">J827/'Energy &amp; Unit Conversions'!G80</f>
        <v>1.6431560039005402E-17</v>
      </c>
      <c r="K826" s="337">
        <f ca="1">K827/'Energy &amp; Unit Conversions'!G80</f>
        <v>1.442844593709182E-17</v>
      </c>
      <c r="L826" s="842"/>
      <c r="M826" s="842"/>
      <c r="N826" s="842"/>
      <c r="O826" s="842"/>
      <c r="P826" s="842"/>
      <c r="Q826" s="842"/>
      <c r="R826" s="842"/>
      <c r="S826" s="842"/>
      <c r="T826" s="842"/>
      <c r="U826" s="842"/>
      <c r="V826" s="842"/>
      <c r="W826" s="842"/>
      <c r="X826" s="842"/>
      <c r="Y826" s="842"/>
      <c r="Z826" s="842"/>
      <c r="AA826" s="2209"/>
      <c r="AB826" s="2209"/>
      <c r="AC826" s="346"/>
    </row>
    <row r="827" spans="1:29" ht="18.75" customHeight="1" x14ac:dyDescent="0.2">
      <c r="A827" s="341"/>
      <c r="B827" s="345"/>
      <c r="C827" s="442" t="str">
        <f t="shared" si="83"/>
        <v>Vol Flow</v>
      </c>
      <c r="D827" s="842" t="str">
        <f ca="1">D805</f>
        <v>m^3/d</v>
      </c>
      <c r="E827" s="842">
        <f t="shared" ca="1" si="84"/>
        <v>1.589873E-15</v>
      </c>
      <c r="F827" s="842">
        <f ca="1">F828/D900</f>
        <v>1.0377335303302712E-17</v>
      </c>
      <c r="G827" s="842"/>
      <c r="H827" s="842">
        <f ca="1">H828/H832</f>
        <v>1.6700360376197588E-18</v>
      </c>
      <c r="I827" s="842">
        <f ca="1">I828/I832</f>
        <v>3.8009502375593893E-18</v>
      </c>
      <c r="J827" s="842">
        <f ca="1">J828/J832</f>
        <v>2.6124093653893637E-18</v>
      </c>
      <c r="K827" s="337">
        <f ca="1">K828/K832</f>
        <v>2.2939396627341983E-18</v>
      </c>
      <c r="L827" s="842"/>
      <c r="M827" s="842"/>
      <c r="N827" s="842"/>
      <c r="O827" s="842"/>
      <c r="P827" s="842"/>
      <c r="Q827" s="842"/>
      <c r="R827" s="842"/>
      <c r="S827" s="842"/>
      <c r="T827" s="842"/>
      <c r="U827" s="842"/>
      <c r="V827" s="842"/>
      <c r="W827" s="842"/>
      <c r="X827" s="842"/>
      <c r="Y827" s="842"/>
      <c r="Z827" s="842"/>
      <c r="AA827" s="2209"/>
      <c r="AB827" s="2209"/>
      <c r="AC827" s="346"/>
    </row>
    <row r="828" spans="1:29" ht="18.75" customHeight="1" x14ac:dyDescent="0.2">
      <c r="A828" s="341"/>
      <c r="B828" s="345"/>
      <c r="C828" s="442" t="str">
        <f t="shared" si="83"/>
        <v>Mass Flow</v>
      </c>
      <c r="D828" s="842" t="str">
        <f t="shared" si="83"/>
        <v>kg/d</v>
      </c>
      <c r="E828" s="842">
        <f t="shared" ca="1" si="84"/>
        <v>1E-14</v>
      </c>
      <c r="F828" s="842">
        <f ca="1">D873+D878-D879</f>
        <v>9.499999999999999E-15</v>
      </c>
      <c r="G828" s="842">
        <f ca="1">H838</f>
        <v>8.7633800156215396E-16</v>
      </c>
      <c r="H828" s="842">
        <f ca="1">D886/100*F828</f>
        <v>1.225806451612903E-15</v>
      </c>
      <c r="I828" s="842">
        <f ca="1">D887/100*F828</f>
        <v>3.2688172043010746E-15</v>
      </c>
      <c r="J828" s="842">
        <f ca="1">D888/100*F828</f>
        <v>2.5026881720430105E-15</v>
      </c>
      <c r="K828" s="337">
        <f ca="1">D889/100*F828</f>
        <v>2.5026881720430105E-15</v>
      </c>
      <c r="L828" s="842"/>
      <c r="M828" s="842"/>
      <c r="N828" s="842"/>
      <c r="O828" s="842"/>
      <c r="P828" s="842"/>
      <c r="Q828" s="842"/>
      <c r="R828" s="842"/>
      <c r="S828" s="842"/>
      <c r="T828" s="842"/>
      <c r="U828" s="842"/>
      <c r="V828" s="842"/>
      <c r="W828" s="842"/>
      <c r="X828" s="842"/>
      <c r="Y828" s="842"/>
      <c r="Z828" s="842"/>
      <c r="AA828" s="2209"/>
      <c r="AB828" s="2209"/>
      <c r="AC828" s="346"/>
    </row>
    <row r="829" spans="1:29" ht="18.75" customHeight="1" x14ac:dyDescent="0.2">
      <c r="A829" s="341"/>
      <c r="B829" s="345"/>
      <c r="C829" s="442" t="str">
        <f t="shared" si="83"/>
        <v xml:space="preserve">Sulphur </v>
      </c>
      <c r="D829" s="842" t="str">
        <f t="shared" ref="D829:D834" ca="1" si="85">D807</f>
        <v>wt%</v>
      </c>
      <c r="E829" s="842">
        <f t="shared" ca="1" si="84"/>
        <v>0</v>
      </c>
      <c r="F829" s="842">
        <f ca="1">G901</f>
        <v>0</v>
      </c>
      <c r="G829" s="842">
        <f ca="1">H840</f>
        <v>0</v>
      </c>
      <c r="H829" s="842">
        <f ca="1">G896/H828*100</f>
        <v>0</v>
      </c>
      <c r="I829" s="842">
        <f ca="1">G897/I828*100</f>
        <v>0</v>
      </c>
      <c r="J829" s="842">
        <f ca="1">G898/J828*100</f>
        <v>0</v>
      </c>
      <c r="K829" s="337">
        <f ca="1">G899/K828*100</f>
        <v>0</v>
      </c>
      <c r="L829" s="842"/>
      <c r="M829" s="842"/>
      <c r="N829" s="842"/>
      <c r="O829" s="842"/>
      <c r="P829" s="842"/>
      <c r="Q829" s="842"/>
      <c r="R829" s="842"/>
      <c r="S829" s="842"/>
      <c r="T829" s="842"/>
      <c r="U829" s="842"/>
      <c r="V829" s="842"/>
      <c r="W829" s="842"/>
      <c r="X829" s="842"/>
      <c r="Y829" s="842"/>
      <c r="Z829" s="842"/>
      <c r="AA829" s="2209"/>
      <c r="AB829" s="2209"/>
      <c r="AC829" s="346"/>
    </row>
    <row r="830" spans="1:29" ht="18.75" customHeight="1" x14ac:dyDescent="0.2">
      <c r="A830" s="341"/>
      <c r="B830" s="345"/>
      <c r="C830" s="442" t="str">
        <f t="shared" si="83"/>
        <v xml:space="preserve">Nitrogen </v>
      </c>
      <c r="D830" s="842" t="str">
        <f t="shared" ca="1" si="85"/>
        <v>mass ppm</v>
      </c>
      <c r="E830" s="842">
        <f t="shared" ca="1" si="84"/>
        <v>0</v>
      </c>
      <c r="F830" s="592">
        <v>0</v>
      </c>
      <c r="G830" s="842"/>
      <c r="H830" s="842"/>
      <c r="I830" s="842"/>
      <c r="J830" s="842"/>
      <c r="K830" s="337"/>
      <c r="L830" s="842"/>
      <c r="M830" s="842"/>
      <c r="N830" s="842"/>
      <c r="O830" s="842"/>
      <c r="P830" s="842"/>
      <c r="Q830" s="842"/>
      <c r="R830" s="842"/>
      <c r="S830" s="842"/>
      <c r="T830" s="842"/>
      <c r="U830" s="842"/>
      <c r="V830" s="842"/>
      <c r="W830" s="842"/>
      <c r="X830" s="842"/>
      <c r="Y830" s="842"/>
      <c r="Z830" s="842"/>
      <c r="AA830" s="2209"/>
      <c r="AB830" s="2209"/>
      <c r="AC830" s="346"/>
    </row>
    <row r="831" spans="1:29" ht="18.75" customHeight="1" x14ac:dyDescent="0.2">
      <c r="A831" s="341"/>
      <c r="B831" s="345"/>
      <c r="C831" s="442" t="str">
        <f t="shared" si="83"/>
        <v xml:space="preserve">API gravity </v>
      </c>
      <c r="D831" s="842" t="str">
        <f t="shared" ca="1" si="85"/>
        <v>oAPI</v>
      </c>
      <c r="E831" s="842">
        <f t="shared" ca="1" si="84"/>
        <v>0</v>
      </c>
      <c r="F831" s="842">
        <f>141.5/(F832/1000)-131.5</f>
        <v>23.067678464982521</v>
      </c>
      <c r="G831" s="842"/>
      <c r="H831" s="842">
        <f>141.5/(H832/1000)-131.5</f>
        <v>61.279291553133532</v>
      </c>
      <c r="I831" s="842">
        <f>141.5/(I832/1000)-131.5</f>
        <v>33.034883720930225</v>
      </c>
      <c r="J831" s="842">
        <f>141.5/(J832/1000)-131.5</f>
        <v>16.203549060542798</v>
      </c>
      <c r="K831" s="337">
        <f>141.5/(K832/1000)-131.5</f>
        <v>-1.8024747937671748</v>
      </c>
      <c r="L831" s="842"/>
      <c r="M831" s="842"/>
      <c r="N831" s="842"/>
      <c r="O831" s="842"/>
      <c r="P831" s="842"/>
      <c r="Q831" s="842"/>
      <c r="R831" s="842"/>
      <c r="S831" s="842"/>
      <c r="T831" s="842"/>
      <c r="U831" s="842"/>
      <c r="V831" s="842"/>
      <c r="W831" s="842"/>
      <c r="X831" s="842"/>
      <c r="Y831" s="842"/>
      <c r="Z831" s="842"/>
      <c r="AA831" s="2209"/>
      <c r="AB831" s="2209"/>
      <c r="AC831" s="346"/>
    </row>
    <row r="832" spans="1:29" ht="18.75" customHeight="1" x14ac:dyDescent="0.2">
      <c r="A832" s="341"/>
      <c r="B832" s="345"/>
      <c r="C832" s="442" t="str">
        <f t="shared" si="83"/>
        <v>Density</v>
      </c>
      <c r="D832" s="842" t="str">
        <f t="shared" ca="1" si="85"/>
        <v>kg/m^3</v>
      </c>
      <c r="E832" s="842">
        <f t="shared" ca="1" si="84"/>
        <v>0</v>
      </c>
      <c r="F832" s="842">
        <f>D900</f>
        <v>915.4565909590018</v>
      </c>
      <c r="G832" s="842"/>
      <c r="H832" s="842">
        <f>E886</f>
        <v>734</v>
      </c>
      <c r="I832" s="842">
        <f>E887</f>
        <v>860</v>
      </c>
      <c r="J832" s="842">
        <f>E888</f>
        <v>958</v>
      </c>
      <c r="K832" s="337">
        <f>E889</f>
        <v>1091</v>
      </c>
      <c r="L832" s="842"/>
      <c r="M832" s="842"/>
      <c r="N832" s="842"/>
      <c r="O832" s="842"/>
      <c r="P832" s="842"/>
      <c r="Q832" s="842"/>
      <c r="R832" s="842"/>
      <c r="S832" s="842"/>
      <c r="T832" s="842"/>
      <c r="U832" s="842"/>
      <c r="V832" s="842"/>
      <c r="W832" s="842"/>
      <c r="X832" s="842"/>
      <c r="Y832" s="842"/>
      <c r="Z832" s="842"/>
      <c r="AA832" s="2209"/>
      <c r="AB832" s="2209"/>
      <c r="AC832" s="346"/>
    </row>
    <row r="833" spans="1:29" ht="18.75" customHeight="1" x14ac:dyDescent="0.2">
      <c r="A833" s="341"/>
      <c r="B833" s="345"/>
      <c r="C833" s="442" t="str">
        <f t="shared" si="83"/>
        <v>Hydrogen</v>
      </c>
      <c r="D833" s="842" t="str">
        <f t="shared" ca="1" si="85"/>
        <v>wt%</v>
      </c>
      <c r="E833" s="842">
        <f t="shared" ca="1" si="84"/>
        <v>0</v>
      </c>
      <c r="F833" s="842">
        <f ca="1">J901</f>
        <v>1.9999999999999993</v>
      </c>
      <c r="G833" s="842">
        <f ca="1">H839</f>
        <v>21.263257011562786</v>
      </c>
      <c r="H833" s="842">
        <f ca="1">J896/H828*100</f>
        <v>2.5451437824222616</v>
      </c>
      <c r="I833" s="842">
        <f ca="1">J897/I828*100</f>
        <v>2.3443581516687155</v>
      </c>
      <c r="J833" s="842">
        <f ca="1">J898/J828*100</f>
        <v>2.0747848511199729</v>
      </c>
      <c r="K833" s="337">
        <f ca="1">J899/K828*100</f>
        <v>1.2084320369426369</v>
      </c>
      <c r="L833" s="842"/>
      <c r="M833" s="842"/>
      <c r="N833" s="842"/>
      <c r="O833" s="842"/>
      <c r="P833" s="842"/>
      <c r="Q833" s="842"/>
      <c r="R833" s="842"/>
      <c r="S833" s="842"/>
      <c r="T833" s="842"/>
      <c r="U833" s="842"/>
      <c r="V833" s="842"/>
      <c r="W833" s="842"/>
      <c r="X833" s="842"/>
      <c r="Y833" s="842"/>
      <c r="Z833" s="842"/>
      <c r="AA833" s="2209"/>
      <c r="AB833" s="2209"/>
      <c r="AC833" s="346"/>
    </row>
    <row r="834" spans="1:29" ht="18.75" customHeight="1" x14ac:dyDescent="0.2">
      <c r="A834" s="341"/>
      <c r="B834" s="345"/>
      <c r="C834" s="443" t="str">
        <f t="shared" si="83"/>
        <v>MCR</v>
      </c>
      <c r="D834" s="334" t="str">
        <f t="shared" ca="1" si="85"/>
        <v>wt%</v>
      </c>
      <c r="E834" s="334">
        <f t="shared" ca="1" si="84"/>
        <v>10.823381666475589</v>
      </c>
      <c r="F834" s="867">
        <v>0</v>
      </c>
      <c r="G834" s="867">
        <v>0</v>
      </c>
      <c r="H834" s="867">
        <v>0</v>
      </c>
      <c r="I834" s="867">
        <v>0</v>
      </c>
      <c r="J834" s="867">
        <v>0</v>
      </c>
      <c r="K834" s="868">
        <v>0</v>
      </c>
      <c r="L834" s="842"/>
      <c r="M834" s="842"/>
      <c r="N834" s="842"/>
      <c r="O834" s="842"/>
      <c r="P834" s="842"/>
      <c r="Q834" s="842"/>
      <c r="R834" s="842"/>
      <c r="S834" s="842"/>
      <c r="T834" s="842"/>
      <c r="U834" s="842"/>
      <c r="V834" s="842"/>
      <c r="W834" s="842"/>
      <c r="X834" s="842"/>
      <c r="Y834" s="842"/>
      <c r="Z834" s="842"/>
      <c r="AA834" s="2209"/>
      <c r="AB834" s="2209"/>
      <c r="AC834" s="346"/>
    </row>
    <row r="835" spans="1:29" ht="18.75" customHeight="1" x14ac:dyDescent="0.2">
      <c r="A835" s="341"/>
      <c r="B835" s="345"/>
      <c r="C835" s="444"/>
      <c r="D835" s="842"/>
      <c r="E835" s="842"/>
      <c r="F835" s="842"/>
      <c r="G835" s="842"/>
      <c r="H835" s="842"/>
      <c r="I835" s="842"/>
      <c r="J835" s="842"/>
      <c r="K835" s="842"/>
      <c r="L835" s="842"/>
      <c r="M835" s="842"/>
      <c r="N835" s="842"/>
      <c r="O835" s="842"/>
      <c r="P835" s="842"/>
      <c r="Q835" s="842"/>
      <c r="R835" s="842"/>
      <c r="S835" s="842"/>
      <c r="T835" s="842"/>
      <c r="U835" s="842"/>
      <c r="V835" s="842"/>
      <c r="W835" s="842"/>
      <c r="X835" s="842"/>
      <c r="Y835" s="842"/>
      <c r="Z835" s="842"/>
      <c r="AA835" s="2209"/>
      <c r="AB835" s="2209"/>
      <c r="AC835" s="346"/>
    </row>
    <row r="836" spans="1:29" ht="18.75" customHeight="1" x14ac:dyDescent="0.2">
      <c r="A836" s="341"/>
      <c r="B836" s="345"/>
      <c r="C836" s="843" t="s">
        <v>308</v>
      </c>
      <c r="D836" s="842"/>
      <c r="E836" s="842"/>
      <c r="F836" s="842"/>
      <c r="G836" s="843" t="s">
        <v>241</v>
      </c>
      <c r="H836" s="842"/>
      <c r="I836" s="842"/>
      <c r="J836" s="842"/>
      <c r="K836" s="842"/>
      <c r="L836" s="842"/>
      <c r="M836" s="842"/>
      <c r="N836" s="842"/>
      <c r="O836" s="842"/>
      <c r="P836" s="842"/>
      <c r="Q836" s="842"/>
      <c r="R836" s="842"/>
      <c r="S836" s="842"/>
      <c r="T836" s="842"/>
      <c r="U836" s="842"/>
      <c r="V836" s="842"/>
      <c r="W836" s="842"/>
      <c r="X836" s="842"/>
      <c r="Y836" s="842"/>
      <c r="Z836" s="842"/>
      <c r="AA836" s="2209"/>
      <c r="AB836" s="2209"/>
      <c r="AC836" s="346"/>
    </row>
    <row r="837" spans="1:29" ht="18.75" customHeight="1" x14ac:dyDescent="0.2">
      <c r="A837" s="341"/>
      <c r="B837" s="345"/>
      <c r="C837" s="855"/>
      <c r="D837" s="351" t="s">
        <v>233</v>
      </c>
      <c r="E837" s="352" t="s">
        <v>623</v>
      </c>
      <c r="F837" s="842"/>
      <c r="G837" s="855"/>
      <c r="H837" s="351" t="s">
        <v>624</v>
      </c>
      <c r="I837" s="352" t="s">
        <v>623</v>
      </c>
      <c r="J837" s="842"/>
      <c r="K837" s="842"/>
      <c r="L837" s="842"/>
      <c r="M837" s="842"/>
      <c r="N837" s="842"/>
      <c r="O837" s="842"/>
      <c r="P837" s="842"/>
      <c r="Q837" s="842"/>
      <c r="R837" s="842"/>
      <c r="S837" s="842"/>
      <c r="T837" s="842"/>
      <c r="U837" s="842"/>
      <c r="V837" s="842"/>
      <c r="W837" s="842"/>
      <c r="X837" s="842"/>
      <c r="Y837" s="842"/>
      <c r="Z837" s="842"/>
      <c r="AA837" s="2209"/>
      <c r="AB837" s="2209"/>
      <c r="AC837" s="346"/>
    </row>
    <row r="838" spans="1:29" ht="18.75" customHeight="1" x14ac:dyDescent="0.2">
      <c r="A838" s="341"/>
      <c r="B838" s="345"/>
      <c r="C838" s="879" t="s">
        <v>1780</v>
      </c>
      <c r="D838" s="878">
        <f ca="1">D864+D868+D869+D878+D880+D871</f>
        <v>3.7633800156215387E-16</v>
      </c>
      <c r="E838" s="880" t="s">
        <v>622</v>
      </c>
      <c r="F838" s="842"/>
      <c r="G838" s="856" t="s">
        <v>363</v>
      </c>
      <c r="H838" s="842">
        <f ca="1">D860+D861+D867+D881</f>
        <v>8.7633800156215396E-16</v>
      </c>
      <c r="I838" s="337" t="s">
        <v>622</v>
      </c>
      <c r="J838" s="842"/>
      <c r="K838" s="842"/>
      <c r="L838" s="842"/>
      <c r="M838" s="842"/>
      <c r="N838" s="842"/>
      <c r="O838" s="842"/>
      <c r="P838" s="842"/>
      <c r="Q838" s="842"/>
      <c r="R838" s="842"/>
      <c r="S838" s="842"/>
      <c r="T838" s="842"/>
      <c r="U838" s="842"/>
      <c r="V838" s="842"/>
      <c r="W838" s="842"/>
      <c r="X838" s="842"/>
      <c r="Y838" s="842"/>
      <c r="Z838" s="842"/>
      <c r="AA838" s="2209"/>
      <c r="AB838" s="2209"/>
      <c r="AC838" s="346"/>
    </row>
    <row r="839" spans="1:29" ht="18.75" customHeight="1" x14ac:dyDescent="0.2">
      <c r="A839" s="341"/>
      <c r="B839" s="345"/>
      <c r="C839" s="454" t="s">
        <v>635</v>
      </c>
      <c r="D839" s="854">
        <f>Constants!H270</f>
        <v>45</v>
      </c>
      <c r="E839" s="369" t="s">
        <v>637</v>
      </c>
      <c r="F839" s="842"/>
      <c r="G839" s="856" t="s">
        <v>377</v>
      </c>
      <c r="H839" s="842">
        <f ca="1">(D857+D864+D868+D880)/H838*100</f>
        <v>21.263257011562786</v>
      </c>
      <c r="I839" s="337" t="s">
        <v>579</v>
      </c>
      <c r="J839" s="842"/>
      <c r="K839" s="842"/>
      <c r="L839" s="842"/>
      <c r="M839" s="842"/>
      <c r="N839" s="842"/>
      <c r="O839" s="842"/>
      <c r="P839" s="842"/>
      <c r="Q839" s="842"/>
      <c r="R839" s="842"/>
      <c r="S839" s="842"/>
      <c r="T839" s="842"/>
      <c r="U839" s="842"/>
      <c r="V839" s="842"/>
      <c r="W839" s="842"/>
      <c r="X839" s="842"/>
      <c r="Y839" s="842"/>
      <c r="Z839" s="842"/>
      <c r="AA839" s="2209"/>
      <c r="AB839" s="2209"/>
      <c r="AC839" s="346"/>
    </row>
    <row r="840" spans="1:29" ht="18.75" customHeight="1" x14ac:dyDescent="0.2">
      <c r="A840" s="341"/>
      <c r="B840" s="345"/>
      <c r="C840" s="453" t="s">
        <v>634</v>
      </c>
      <c r="D840" s="842">
        <f>D839*'Energy &amp; Unit Conversions'!G82/'Energy &amp; Unit Conversions'!G80</f>
        <v>7.5827346271711136</v>
      </c>
      <c r="E840" s="337" t="s">
        <v>636</v>
      </c>
      <c r="F840" s="842"/>
      <c r="G840" s="856" t="s">
        <v>378</v>
      </c>
      <c r="H840" s="842">
        <f ca="1">(D858+D866)/H838*100</f>
        <v>0</v>
      </c>
      <c r="I840" s="337" t="s">
        <v>579</v>
      </c>
      <c r="J840" s="842"/>
      <c r="K840" s="842"/>
      <c r="L840" s="842"/>
      <c r="M840" s="842"/>
      <c r="N840" s="842"/>
      <c r="O840" s="842"/>
      <c r="P840" s="842"/>
      <c r="Q840" s="842"/>
      <c r="R840" s="842"/>
      <c r="S840" s="842"/>
      <c r="T840" s="842"/>
      <c r="U840" s="842"/>
      <c r="V840" s="842"/>
      <c r="W840" s="842"/>
      <c r="X840" s="842"/>
      <c r="Y840" s="842"/>
      <c r="Z840" s="842"/>
      <c r="AA840" s="2209"/>
      <c r="AB840" s="2209"/>
      <c r="AC840" s="346"/>
    </row>
    <row r="841" spans="1:29" ht="18.75" customHeight="1" x14ac:dyDescent="0.2">
      <c r="A841" s="341"/>
      <c r="B841" s="345"/>
      <c r="C841" s="453" t="s">
        <v>542</v>
      </c>
      <c r="D841" s="842">
        <f ca="1">D839*J826/1000</f>
        <v>7.3942020175524306E-19</v>
      </c>
      <c r="E841" s="337" t="s">
        <v>472</v>
      </c>
      <c r="F841" s="842"/>
      <c r="G841" s="857" t="s">
        <v>379</v>
      </c>
      <c r="H841" s="334">
        <f ca="1">H838/(E828+D838)*100</f>
        <v>8.4455421694071795</v>
      </c>
      <c r="I841" s="338" t="s">
        <v>579</v>
      </c>
      <c r="J841" s="842"/>
      <c r="K841" s="842"/>
      <c r="L841" s="842"/>
      <c r="M841" s="842"/>
      <c r="N841" s="842"/>
      <c r="O841" s="842"/>
      <c r="P841" s="842"/>
      <c r="Q841" s="842"/>
      <c r="R841" s="842"/>
      <c r="S841" s="842"/>
      <c r="T841" s="842"/>
      <c r="U841" s="842"/>
      <c r="V841" s="842"/>
      <c r="W841" s="842"/>
      <c r="X841" s="842"/>
      <c r="Y841" s="842"/>
      <c r="Z841" s="842"/>
      <c r="AA841" s="2209"/>
      <c r="AB841" s="2209"/>
      <c r="AC841" s="346"/>
    </row>
    <row r="842" spans="1:29" ht="18.75" customHeight="1" x14ac:dyDescent="0.2">
      <c r="A842" s="341"/>
      <c r="B842" s="345"/>
      <c r="C842" s="453" t="s">
        <v>542</v>
      </c>
      <c r="D842" s="842">
        <f ca="1">D840*J827</f>
        <v>1.9809206955284041E-17</v>
      </c>
      <c r="E842" s="337" t="s">
        <v>628</v>
      </c>
      <c r="F842" s="842"/>
      <c r="G842" s="842"/>
      <c r="H842" s="842"/>
      <c r="I842" s="842"/>
      <c r="J842" s="842"/>
      <c r="K842" s="842"/>
      <c r="L842" s="842"/>
      <c r="M842" s="842"/>
      <c r="N842" s="842"/>
      <c r="O842" s="842"/>
      <c r="P842" s="842"/>
      <c r="Q842" s="842"/>
      <c r="R842" s="842"/>
      <c r="S842" s="842"/>
      <c r="T842" s="842"/>
      <c r="U842" s="842"/>
      <c r="V842" s="842"/>
      <c r="W842" s="842"/>
      <c r="X842" s="842"/>
      <c r="Y842" s="842"/>
      <c r="Z842" s="842"/>
      <c r="AA842" s="2209"/>
      <c r="AB842" s="2209"/>
      <c r="AC842" s="346"/>
    </row>
    <row r="843" spans="1:29" ht="18.75" customHeight="1" x14ac:dyDescent="0.2">
      <c r="A843" s="341"/>
      <c r="B843" s="345"/>
      <c r="C843" s="452" t="s">
        <v>631</v>
      </c>
      <c r="D843" s="334">
        <f ca="1">D842*'Energy &amp; Unit Conversions'!P25*'Energy &amp; Unit Conversions'!G87</f>
        <v>8.3972556511701582E-21</v>
      </c>
      <c r="E843" s="338" t="s">
        <v>632</v>
      </c>
      <c r="F843" s="842"/>
      <c r="G843" s="842"/>
      <c r="H843" s="842"/>
      <c r="I843" s="842"/>
      <c r="J843" s="842"/>
      <c r="K843" s="842"/>
      <c r="L843" s="842"/>
      <c r="M843" s="842"/>
      <c r="N843" s="842"/>
      <c r="O843" s="842"/>
      <c r="P843" s="842"/>
      <c r="Q843" s="842"/>
      <c r="R843" s="842"/>
      <c r="S843" s="842"/>
      <c r="T843" s="842"/>
      <c r="U843" s="842"/>
      <c r="V843" s="842"/>
      <c r="W843" s="842"/>
      <c r="X843" s="842"/>
      <c r="Y843" s="842"/>
      <c r="Z843" s="842"/>
      <c r="AA843" s="2209"/>
      <c r="AB843" s="2209"/>
      <c r="AC843" s="346"/>
    </row>
    <row r="844" spans="1:29" ht="18.75" customHeight="1" x14ac:dyDescent="0.2">
      <c r="A844" s="341"/>
      <c r="B844" s="345"/>
      <c r="C844" s="453" t="s">
        <v>451</v>
      </c>
      <c r="D844" s="410">
        <f>Constants!H276</f>
        <v>2</v>
      </c>
      <c r="E844" s="337" t="s">
        <v>665</v>
      </c>
      <c r="F844" s="842"/>
      <c r="G844" s="842"/>
      <c r="H844" s="842"/>
      <c r="I844" s="842"/>
      <c r="J844" s="842"/>
      <c r="K844" s="842"/>
      <c r="L844" s="842"/>
      <c r="M844" s="842"/>
      <c r="N844" s="842"/>
      <c r="O844" s="842"/>
      <c r="P844" s="842"/>
      <c r="Q844" s="842"/>
      <c r="R844" s="842"/>
      <c r="S844" s="842"/>
      <c r="T844" s="842"/>
      <c r="U844" s="842"/>
      <c r="V844" s="842"/>
      <c r="W844" s="842"/>
      <c r="X844" s="842"/>
      <c r="Y844" s="842"/>
      <c r="Z844" s="842"/>
      <c r="AA844" s="2209"/>
      <c r="AB844" s="2209"/>
      <c r="AC844" s="346"/>
    </row>
    <row r="845" spans="1:29" ht="18.75" customHeight="1" x14ac:dyDescent="0.2">
      <c r="A845" s="341"/>
      <c r="B845" s="345"/>
      <c r="C845" s="453" t="s">
        <v>451</v>
      </c>
      <c r="D845" s="842">
        <f>D844/'Energy &amp; Unit Conversions'!G80</f>
        <v>12.57962113955014</v>
      </c>
      <c r="E845" s="337" t="s">
        <v>629</v>
      </c>
      <c r="F845" s="842"/>
      <c r="G845" s="842"/>
      <c r="H845" s="842"/>
      <c r="I845" s="842"/>
      <c r="J845" s="842"/>
      <c r="K845" s="842"/>
      <c r="L845" s="842"/>
      <c r="M845" s="842"/>
      <c r="N845" s="842"/>
      <c r="O845" s="842"/>
      <c r="P845" s="842"/>
      <c r="Q845" s="842"/>
      <c r="R845" s="842"/>
      <c r="S845" s="842"/>
      <c r="T845" s="842"/>
      <c r="U845" s="842"/>
      <c r="V845" s="842"/>
      <c r="W845" s="842"/>
      <c r="X845" s="842"/>
      <c r="Y845" s="842"/>
      <c r="Z845" s="842"/>
      <c r="AA845" s="2209"/>
      <c r="AB845" s="2209"/>
      <c r="AC845" s="346"/>
    </row>
    <row r="846" spans="1:29" ht="18.75" customHeight="1" x14ac:dyDescent="0.2">
      <c r="A846" s="341"/>
      <c r="B846" s="345"/>
      <c r="C846" s="452" t="s">
        <v>452</v>
      </c>
      <c r="D846" s="334">
        <f ca="1">D845*I826</f>
        <v>3.0074423528659347E-16</v>
      </c>
      <c r="E846" s="338" t="s">
        <v>627</v>
      </c>
      <c r="F846" s="842"/>
      <c r="G846" s="842"/>
      <c r="H846" s="842"/>
      <c r="I846" s="842"/>
      <c r="J846" s="842"/>
      <c r="K846" s="842"/>
      <c r="L846" s="842"/>
      <c r="M846" s="842"/>
      <c r="N846" s="842"/>
      <c r="O846" s="842"/>
      <c r="P846" s="842"/>
      <c r="Q846" s="842"/>
      <c r="R846" s="842"/>
      <c r="S846" s="842"/>
      <c r="T846" s="842"/>
      <c r="U846" s="842"/>
      <c r="V846" s="842"/>
      <c r="W846" s="842"/>
      <c r="X846" s="842"/>
      <c r="Y846" s="842"/>
      <c r="Z846" s="842"/>
      <c r="AA846" s="2209"/>
      <c r="AB846" s="2209"/>
      <c r="AC846" s="346"/>
    </row>
    <row r="847" spans="1:29" ht="18.75" customHeight="1" x14ac:dyDescent="0.2">
      <c r="A847" s="341"/>
      <c r="B847" s="345"/>
      <c r="C847" s="437"/>
      <c r="D847" s="842"/>
      <c r="E847" s="842"/>
      <c r="F847" s="842"/>
      <c r="G847" s="842"/>
      <c r="H847" s="842"/>
      <c r="I847" s="842"/>
      <c r="J847" s="842"/>
      <c r="K847" s="842"/>
      <c r="L847" s="842"/>
      <c r="M847" s="842"/>
      <c r="N847" s="842"/>
      <c r="O847" s="842"/>
      <c r="P847" s="842"/>
      <c r="Q847" s="842"/>
      <c r="R847" s="842"/>
      <c r="S847" s="842"/>
      <c r="T847" s="842"/>
      <c r="U847" s="842"/>
      <c r="V847" s="842"/>
      <c r="W847" s="842"/>
      <c r="X847" s="842"/>
      <c r="Y847" s="842"/>
      <c r="Z847" s="842"/>
      <c r="AA847" s="2209"/>
      <c r="AB847" s="2209"/>
      <c r="AC847" s="346"/>
    </row>
    <row r="848" spans="1:29" ht="18.75" customHeight="1" x14ac:dyDescent="0.2">
      <c r="A848" s="341"/>
      <c r="B848" s="345"/>
      <c r="C848" s="843" t="s">
        <v>387</v>
      </c>
      <c r="D848" s="839"/>
      <c r="E848" s="839"/>
      <c r="F848" s="842"/>
      <c r="G848" s="842"/>
      <c r="H848" s="842"/>
      <c r="I848" s="842"/>
      <c r="J848" s="842"/>
      <c r="K848" s="842"/>
      <c r="L848" s="842"/>
      <c r="M848" s="842"/>
      <c r="N848" s="842"/>
      <c r="O848" s="842"/>
      <c r="P848" s="842"/>
      <c r="Q848" s="842"/>
      <c r="R848" s="842"/>
      <c r="S848" s="842"/>
      <c r="T848" s="842"/>
      <c r="U848" s="842"/>
      <c r="V848" s="842"/>
      <c r="W848" s="842"/>
      <c r="X848" s="842"/>
      <c r="Y848" s="842"/>
      <c r="Z848" s="842"/>
      <c r="AA848" s="2209"/>
      <c r="AB848" s="2209"/>
      <c r="AC848" s="346"/>
    </row>
    <row r="849" spans="1:29" ht="18.75" customHeight="1" x14ac:dyDescent="0.2">
      <c r="A849" s="341"/>
      <c r="B849" s="345"/>
      <c r="C849" s="454" t="s">
        <v>1389</v>
      </c>
      <c r="D849" s="862">
        <f>Constants!H281</f>
        <v>40</v>
      </c>
      <c r="E849" s="369" t="s">
        <v>579</v>
      </c>
      <c r="F849" s="842"/>
      <c r="G849" s="842"/>
      <c r="H849" s="842"/>
      <c r="I849" s="842"/>
      <c r="J849" s="842"/>
      <c r="K849" s="842"/>
      <c r="L849" s="842"/>
      <c r="M849" s="842"/>
      <c r="N849" s="842"/>
      <c r="O849" s="842"/>
      <c r="P849" s="842"/>
      <c r="Q849" s="842"/>
      <c r="R849" s="842"/>
      <c r="S849" s="842"/>
      <c r="T849" s="842"/>
      <c r="U849" s="842"/>
      <c r="V849" s="842"/>
      <c r="W849" s="842"/>
      <c r="X849" s="842"/>
      <c r="Y849" s="842"/>
      <c r="Z849" s="842"/>
      <c r="AA849" s="2209"/>
      <c r="AB849" s="2209"/>
      <c r="AC849" s="346"/>
    </row>
    <row r="850" spans="1:29" ht="18.75" customHeight="1" x14ac:dyDescent="0.2">
      <c r="A850" s="341"/>
      <c r="B850" s="345"/>
      <c r="C850" s="453" t="s">
        <v>64</v>
      </c>
      <c r="D850" s="842">
        <f ca="1">+E828*(E829/100)</f>
        <v>0</v>
      </c>
      <c r="E850" s="337" t="s">
        <v>59</v>
      </c>
      <c r="F850" s="842"/>
      <c r="G850" s="842"/>
      <c r="H850" s="842"/>
      <c r="I850" s="842"/>
      <c r="J850" s="842"/>
      <c r="K850" s="842"/>
      <c r="L850" s="842"/>
      <c r="M850" s="842"/>
      <c r="N850" s="842"/>
      <c r="O850" s="842"/>
      <c r="P850" s="842"/>
      <c r="Q850" s="842"/>
      <c r="R850" s="842"/>
      <c r="S850" s="842"/>
      <c r="T850" s="842"/>
      <c r="U850" s="842"/>
      <c r="V850" s="842"/>
      <c r="W850" s="842"/>
      <c r="X850" s="842"/>
      <c r="Y850" s="842"/>
      <c r="Z850" s="842"/>
      <c r="AA850" s="2209"/>
      <c r="AB850" s="2209"/>
      <c r="AC850" s="346"/>
    </row>
    <row r="851" spans="1:29" ht="18.75" customHeight="1" x14ac:dyDescent="0.2">
      <c r="A851" s="341"/>
      <c r="B851" s="345"/>
      <c r="C851" s="453" t="s">
        <v>58</v>
      </c>
      <c r="D851" s="842">
        <f ca="1">D850*(D849/100)</f>
        <v>0</v>
      </c>
      <c r="E851" s="337" t="s">
        <v>59</v>
      </c>
      <c r="F851" s="842"/>
      <c r="G851" s="842"/>
      <c r="H851" s="842"/>
      <c r="I851" s="842"/>
      <c r="J851" s="842"/>
      <c r="K851" s="842"/>
      <c r="L851" s="842"/>
      <c r="M851" s="842"/>
      <c r="N851" s="842"/>
      <c r="O851" s="842"/>
      <c r="P851" s="842"/>
      <c r="Q851" s="842"/>
      <c r="R851" s="842"/>
      <c r="S851" s="842"/>
      <c r="T851" s="842"/>
      <c r="U851" s="842"/>
      <c r="V851" s="842"/>
      <c r="W851" s="842"/>
      <c r="X851" s="842"/>
      <c r="Y851" s="842"/>
      <c r="Z851" s="842"/>
      <c r="AA851" s="2209"/>
      <c r="AB851" s="2209"/>
      <c r="AC851" s="346"/>
    </row>
    <row r="852" spans="1:29" ht="18.75" customHeight="1" x14ac:dyDescent="0.2">
      <c r="A852" s="341"/>
      <c r="B852" s="345"/>
      <c r="C852" s="453" t="s">
        <v>729</v>
      </c>
      <c r="D852" s="842">
        <f ca="1">D850-D851</f>
        <v>0</v>
      </c>
      <c r="E852" s="337" t="s">
        <v>59</v>
      </c>
      <c r="F852" s="842"/>
      <c r="G852" s="842"/>
      <c r="H852" s="842"/>
      <c r="I852" s="842"/>
      <c r="J852" s="842"/>
      <c r="K852" s="842"/>
      <c r="L852" s="842"/>
      <c r="M852" s="842"/>
      <c r="N852" s="842"/>
      <c r="O852" s="842"/>
      <c r="P852" s="842"/>
      <c r="Q852" s="842"/>
      <c r="R852" s="842"/>
      <c r="S852" s="842"/>
      <c r="T852" s="842"/>
      <c r="U852" s="842"/>
      <c r="V852" s="842"/>
      <c r="W852" s="842"/>
      <c r="X852" s="842"/>
      <c r="Y852" s="842"/>
      <c r="Z852" s="842"/>
      <c r="AA852" s="2209"/>
      <c r="AB852" s="2209"/>
      <c r="AC852" s="346"/>
    </row>
    <row r="853" spans="1:29" ht="18.75" customHeight="1" x14ac:dyDescent="0.2">
      <c r="A853" s="341"/>
      <c r="B853" s="345"/>
      <c r="C853" s="453" t="s">
        <v>60</v>
      </c>
      <c r="D853" s="842">
        <f ca="1">D850-D852</f>
        <v>0</v>
      </c>
      <c r="E853" s="337" t="s">
        <v>59</v>
      </c>
      <c r="F853" s="842"/>
      <c r="G853" s="842"/>
      <c r="H853" s="842"/>
      <c r="I853" s="842"/>
      <c r="J853" s="842"/>
      <c r="K853" s="842"/>
      <c r="L853" s="842"/>
      <c r="M853" s="842"/>
      <c r="N853" s="842"/>
      <c r="O853" s="842"/>
      <c r="P853" s="842"/>
      <c r="Q853" s="842"/>
      <c r="R853" s="842"/>
      <c r="S853" s="842"/>
      <c r="T853" s="842"/>
      <c r="U853" s="842"/>
      <c r="V853" s="842"/>
      <c r="W853" s="842"/>
      <c r="X853" s="842"/>
      <c r="Y853" s="842"/>
      <c r="Z853" s="842"/>
      <c r="AA853" s="2209"/>
      <c r="AB853" s="2209"/>
      <c r="AC853" s="346"/>
    </row>
    <row r="854" spans="1:29" ht="18.75" customHeight="1" x14ac:dyDescent="0.2">
      <c r="A854" s="341"/>
      <c r="B854" s="345"/>
      <c r="C854" s="453" t="s">
        <v>343</v>
      </c>
      <c r="D854" s="592">
        <f>Constants!H282</f>
        <v>5</v>
      </c>
      <c r="E854" s="337" t="s">
        <v>579</v>
      </c>
      <c r="F854" s="842"/>
      <c r="G854" s="842"/>
      <c r="H854" s="842"/>
      <c r="I854" s="842"/>
      <c r="J854" s="842"/>
      <c r="K854" s="842"/>
      <c r="L854" s="842"/>
      <c r="M854" s="842"/>
      <c r="N854" s="842"/>
      <c r="O854" s="842"/>
      <c r="P854" s="842"/>
      <c r="Q854" s="842"/>
      <c r="R854" s="842"/>
      <c r="S854" s="842"/>
      <c r="T854" s="842"/>
      <c r="U854" s="842"/>
      <c r="V854" s="842"/>
      <c r="W854" s="842"/>
      <c r="X854" s="842"/>
      <c r="Y854" s="842"/>
      <c r="Z854" s="842"/>
      <c r="AA854" s="2209"/>
      <c r="AB854" s="2209"/>
      <c r="AC854" s="346"/>
    </row>
    <row r="855" spans="1:29" ht="18.75" customHeight="1" x14ac:dyDescent="0.2">
      <c r="A855" s="341"/>
      <c r="B855" s="345"/>
      <c r="C855" s="453" t="s">
        <v>346</v>
      </c>
      <c r="D855" s="592">
        <f>Constants!N395</f>
        <v>21.263257011562782</v>
      </c>
      <c r="E855" s="337" t="s">
        <v>579</v>
      </c>
      <c r="F855" s="842"/>
      <c r="G855" s="842"/>
      <c r="H855" s="842"/>
      <c r="I855" s="842"/>
      <c r="J855" s="842"/>
      <c r="K855" s="842"/>
      <c r="L855" s="842"/>
      <c r="M855" s="842"/>
      <c r="N855" s="842"/>
      <c r="O855" s="842"/>
      <c r="P855" s="842"/>
      <c r="Q855" s="842"/>
      <c r="R855" s="842"/>
      <c r="S855" s="842"/>
      <c r="T855" s="842"/>
      <c r="U855" s="842"/>
      <c r="V855" s="842"/>
      <c r="W855" s="842"/>
      <c r="X855" s="842"/>
      <c r="Y855" s="842"/>
      <c r="Z855" s="842"/>
      <c r="AA855" s="2209"/>
      <c r="AB855" s="2209"/>
      <c r="AC855" s="346"/>
    </row>
    <row r="856" spans="1:29" ht="18.75" customHeight="1" x14ac:dyDescent="0.2">
      <c r="A856" s="341"/>
      <c r="B856" s="345"/>
      <c r="C856" s="453" t="s">
        <v>343</v>
      </c>
      <c r="D856" s="842">
        <f ca="1">D854/100*E828</f>
        <v>5.0000000000000004E-16</v>
      </c>
      <c r="E856" s="337" t="s">
        <v>622</v>
      </c>
      <c r="F856" s="842"/>
      <c r="G856" s="842"/>
      <c r="H856" s="842"/>
      <c r="I856" s="842"/>
      <c r="J856" s="842"/>
      <c r="K856" s="842"/>
      <c r="L856" s="842"/>
      <c r="M856" s="842"/>
      <c r="N856" s="842"/>
      <c r="O856" s="842"/>
      <c r="P856" s="842"/>
      <c r="Q856" s="842"/>
      <c r="R856" s="842"/>
      <c r="S856" s="842"/>
      <c r="T856" s="842"/>
      <c r="U856" s="842"/>
      <c r="V856" s="842"/>
      <c r="W856" s="842"/>
      <c r="X856" s="842"/>
      <c r="Y856" s="842"/>
      <c r="Z856" s="842"/>
      <c r="AA856" s="2209"/>
      <c r="AB856" s="2209"/>
      <c r="AC856" s="346"/>
    </row>
    <row r="857" spans="1:29" ht="18.75" customHeight="1" x14ac:dyDescent="0.2">
      <c r="A857" s="341"/>
      <c r="B857" s="345"/>
      <c r="C857" s="453" t="s">
        <v>345</v>
      </c>
      <c r="D857" s="842">
        <f ca="1">D856*E833/100</f>
        <v>0</v>
      </c>
      <c r="E857" s="337" t="s">
        <v>622</v>
      </c>
      <c r="F857" s="842"/>
      <c r="G857" s="842"/>
      <c r="H857" s="842"/>
      <c r="I857" s="842"/>
      <c r="J857" s="842"/>
      <c r="K857" s="842"/>
      <c r="L857" s="842"/>
      <c r="M857" s="842"/>
      <c r="N857" s="842"/>
      <c r="O857" s="842"/>
      <c r="P857" s="842"/>
      <c r="Q857" s="842"/>
      <c r="R857" s="842"/>
      <c r="S857" s="842"/>
      <c r="T857" s="842"/>
      <c r="U857" s="842"/>
      <c r="V857" s="842"/>
      <c r="W857" s="842"/>
      <c r="X857" s="842"/>
      <c r="Y857" s="842"/>
      <c r="Z857" s="842"/>
      <c r="AA857" s="2209"/>
      <c r="AB857" s="2209"/>
      <c r="AC857" s="346"/>
    </row>
    <row r="858" spans="1:29" ht="18.75" customHeight="1" x14ac:dyDescent="0.2">
      <c r="A858" s="341"/>
      <c r="B858" s="345"/>
      <c r="C858" s="453" t="s">
        <v>344</v>
      </c>
      <c r="D858" s="842">
        <f ca="1">D856*E829/100</f>
        <v>0</v>
      </c>
      <c r="E858" s="337" t="s">
        <v>622</v>
      </c>
      <c r="F858" s="842"/>
      <c r="G858" s="842"/>
      <c r="H858" s="842"/>
      <c r="I858" s="842"/>
      <c r="J858" s="842"/>
      <c r="K858" s="842"/>
      <c r="L858" s="842"/>
      <c r="M858" s="842"/>
      <c r="N858" s="842"/>
      <c r="O858" s="842"/>
      <c r="P858" s="842"/>
      <c r="Q858" s="842"/>
      <c r="R858" s="842"/>
      <c r="S858" s="842"/>
      <c r="T858" s="842"/>
      <c r="U858" s="842"/>
      <c r="V858" s="842"/>
      <c r="W858" s="842"/>
      <c r="X858" s="842"/>
      <c r="Y858" s="842"/>
      <c r="Z858" s="842"/>
      <c r="AA858" s="2209"/>
      <c r="AB858" s="2209"/>
      <c r="AC858" s="346"/>
    </row>
    <row r="859" spans="1:29" ht="18.75" customHeight="1" x14ac:dyDescent="0.2">
      <c r="A859" s="341"/>
      <c r="B859" s="345"/>
      <c r="C859" s="453" t="s">
        <v>347</v>
      </c>
      <c r="D859" s="842">
        <f ca="1">D856-D857-D858</f>
        <v>5.0000000000000004E-16</v>
      </c>
      <c r="E859" s="337" t="s">
        <v>622</v>
      </c>
      <c r="F859" s="842"/>
      <c r="G859" s="842"/>
      <c r="H859" s="842"/>
      <c r="I859" s="842"/>
      <c r="J859" s="842"/>
      <c r="K859" s="842"/>
      <c r="L859" s="842"/>
      <c r="M859" s="842"/>
      <c r="N859" s="842"/>
      <c r="O859" s="842"/>
      <c r="P859" s="842"/>
      <c r="Q859" s="842"/>
      <c r="R859" s="842"/>
      <c r="S859" s="842"/>
      <c r="T859" s="842"/>
      <c r="U859" s="842"/>
      <c r="V859" s="842"/>
      <c r="W859" s="842"/>
      <c r="X859" s="842"/>
      <c r="Y859" s="842"/>
      <c r="Z859" s="842"/>
      <c r="AA859" s="2209"/>
      <c r="AB859" s="2209"/>
      <c r="AC859" s="346"/>
    </row>
    <row r="860" spans="1:29" ht="18.75" customHeight="1" x14ac:dyDescent="0.2">
      <c r="A860" s="341"/>
      <c r="B860" s="345"/>
      <c r="C860" s="453" t="s">
        <v>349</v>
      </c>
      <c r="D860" s="842">
        <f ca="1">D858*(34/32)</f>
        <v>0</v>
      </c>
      <c r="E860" s="337" t="s">
        <v>622</v>
      </c>
      <c r="F860" s="842"/>
      <c r="G860" s="842"/>
      <c r="H860" s="842"/>
      <c r="I860" s="842"/>
      <c r="J860" s="842"/>
      <c r="K860" s="842"/>
      <c r="L860" s="842"/>
      <c r="M860" s="842"/>
      <c r="N860" s="842"/>
      <c r="O860" s="842"/>
      <c r="P860" s="842"/>
      <c r="Q860" s="842"/>
      <c r="R860" s="842"/>
      <c r="S860" s="842"/>
      <c r="T860" s="842"/>
      <c r="U860" s="842"/>
      <c r="V860" s="842"/>
      <c r="W860" s="842"/>
      <c r="X860" s="842"/>
      <c r="Y860" s="842"/>
      <c r="Z860" s="842"/>
      <c r="AA860" s="2209"/>
      <c r="AB860" s="2209"/>
      <c r="AC860" s="346"/>
    </row>
    <row r="861" spans="1:29" ht="18.75" customHeight="1" x14ac:dyDescent="0.2">
      <c r="A861" s="341"/>
      <c r="B861" s="345"/>
      <c r="C861" s="453" t="s">
        <v>348</v>
      </c>
      <c r="D861" s="842">
        <f ca="1">D859/(100-D855)*100</f>
        <v>6.3502753736387972E-16</v>
      </c>
      <c r="E861" s="337" t="s">
        <v>622</v>
      </c>
      <c r="F861" s="842"/>
      <c r="G861" s="842"/>
      <c r="H861" s="842"/>
      <c r="I861" s="842"/>
      <c r="J861" s="842"/>
      <c r="K861" s="842"/>
      <c r="L861" s="842"/>
      <c r="M861" s="842"/>
      <c r="N861" s="842"/>
      <c r="O861" s="842"/>
      <c r="P861" s="842"/>
      <c r="Q861" s="842"/>
      <c r="R861" s="842"/>
      <c r="S861" s="842"/>
      <c r="T861" s="842"/>
      <c r="U861" s="842"/>
      <c r="V861" s="842"/>
      <c r="W861" s="842"/>
      <c r="X861" s="842"/>
      <c r="Y861" s="842"/>
      <c r="Z861" s="842"/>
      <c r="AA861" s="2209"/>
      <c r="AB861" s="2209"/>
      <c r="AC861" s="346"/>
    </row>
    <row r="862" spans="1:29" ht="18.75" customHeight="1" x14ac:dyDescent="0.2">
      <c r="A862" s="341"/>
      <c r="B862" s="345"/>
      <c r="C862" s="453" t="s">
        <v>65</v>
      </c>
      <c r="D862" s="842">
        <f ca="1">2/32*D858</f>
        <v>0</v>
      </c>
      <c r="E862" s="337" t="s">
        <v>622</v>
      </c>
      <c r="F862" s="842"/>
      <c r="G862" s="842"/>
      <c r="H862" s="842"/>
      <c r="I862" s="842"/>
      <c r="J862" s="842"/>
      <c r="K862" s="842"/>
      <c r="L862" s="842"/>
      <c r="M862" s="842"/>
      <c r="N862" s="842"/>
      <c r="O862" s="842"/>
      <c r="P862" s="842"/>
      <c r="Q862" s="842"/>
      <c r="R862" s="842"/>
      <c r="S862" s="842"/>
      <c r="T862" s="842"/>
      <c r="U862" s="842"/>
      <c r="V862" s="842"/>
      <c r="W862" s="842"/>
      <c r="X862" s="842"/>
      <c r="Y862" s="842"/>
      <c r="Z862" s="842"/>
      <c r="AA862" s="2209"/>
      <c r="AB862" s="2209"/>
      <c r="AC862" s="346"/>
    </row>
    <row r="863" spans="1:29" ht="18.75" customHeight="1" x14ac:dyDescent="0.2">
      <c r="A863" s="341"/>
      <c r="B863" s="345"/>
      <c r="C863" s="453" t="s">
        <v>66</v>
      </c>
      <c r="D863" s="842">
        <f ca="1">D861*(D855/100)</f>
        <v>1.3502753736387963E-16</v>
      </c>
      <c r="E863" s="337" t="s">
        <v>622</v>
      </c>
      <c r="F863" s="842"/>
      <c r="G863" s="842"/>
      <c r="H863" s="842"/>
      <c r="I863" s="842"/>
      <c r="J863" s="842"/>
      <c r="K863" s="842"/>
      <c r="L863" s="842"/>
      <c r="M863" s="842"/>
      <c r="N863" s="842"/>
      <c r="O863" s="842"/>
      <c r="P863" s="842"/>
      <c r="Q863" s="842"/>
      <c r="R863" s="842"/>
      <c r="S863" s="842"/>
      <c r="T863" s="842"/>
      <c r="U863" s="842"/>
      <c r="V863" s="842"/>
      <c r="W863" s="842"/>
      <c r="X863" s="842"/>
      <c r="Y863" s="842"/>
      <c r="Z863" s="842"/>
      <c r="AA863" s="2209"/>
      <c r="AB863" s="2209"/>
      <c r="AC863" s="346"/>
    </row>
    <row r="864" spans="1:29" ht="18.75" customHeight="1" x14ac:dyDescent="0.2">
      <c r="A864" s="341"/>
      <c r="B864" s="345"/>
      <c r="C864" s="453" t="s">
        <v>750</v>
      </c>
      <c r="D864" s="842">
        <f ca="1">(D862+D863)-D857</f>
        <v>1.3502753736387963E-16</v>
      </c>
      <c r="E864" s="337" t="s">
        <v>622</v>
      </c>
      <c r="F864" s="842"/>
      <c r="G864" s="842"/>
      <c r="H864" s="842"/>
      <c r="I864" s="842"/>
      <c r="J864" s="842"/>
      <c r="K864" s="842"/>
      <c r="L864" s="842"/>
      <c r="M864" s="842"/>
      <c r="N864" s="842"/>
      <c r="O864" s="842"/>
      <c r="P864" s="842"/>
      <c r="Q864" s="842"/>
      <c r="R864" s="842"/>
      <c r="S864" s="842"/>
      <c r="T864" s="842"/>
      <c r="U864" s="842"/>
      <c r="V864" s="842"/>
      <c r="W864" s="842"/>
      <c r="X864" s="842"/>
      <c r="Y864" s="842"/>
      <c r="Z864" s="842"/>
      <c r="AA864" s="2209"/>
      <c r="AB864" s="2209"/>
      <c r="AC864" s="346"/>
    </row>
    <row r="865" spans="1:29" ht="18.75" customHeight="1" x14ac:dyDescent="0.2">
      <c r="A865" s="341"/>
      <c r="B865" s="345"/>
      <c r="C865" s="453" t="s">
        <v>1394</v>
      </c>
      <c r="D865" s="842">
        <f ca="1">E828*(1-D854/100)</f>
        <v>9.499999999999999E-15</v>
      </c>
      <c r="E865" s="337" t="s">
        <v>622</v>
      </c>
      <c r="F865" s="842"/>
      <c r="G865" s="842"/>
      <c r="H865" s="842"/>
      <c r="I865" s="842"/>
      <c r="J865" s="842"/>
      <c r="K865" s="842"/>
      <c r="L865" s="842"/>
      <c r="M865" s="842"/>
      <c r="N865" s="842"/>
      <c r="O865" s="842"/>
      <c r="P865" s="842"/>
      <c r="Q865" s="842"/>
      <c r="R865" s="842"/>
      <c r="S865" s="842"/>
      <c r="T865" s="842"/>
      <c r="U865" s="842"/>
      <c r="V865" s="842"/>
      <c r="W865" s="842"/>
      <c r="X865" s="842"/>
      <c r="Y865" s="842"/>
      <c r="Z865" s="842"/>
      <c r="AA865" s="2209"/>
      <c r="AB865" s="2209"/>
      <c r="AC865" s="346"/>
    </row>
    <row r="866" spans="1:29" ht="18.75" customHeight="1" x14ac:dyDescent="0.2">
      <c r="A866" s="341"/>
      <c r="B866" s="345"/>
      <c r="C866" s="453" t="s">
        <v>376</v>
      </c>
      <c r="D866" s="842">
        <f ca="1">D853-D858</f>
        <v>0</v>
      </c>
      <c r="E866" s="337" t="s">
        <v>622</v>
      </c>
      <c r="F866" s="842"/>
      <c r="G866" s="842"/>
      <c r="H866" s="842"/>
      <c r="I866" s="842"/>
      <c r="J866" s="842"/>
      <c r="K866" s="842"/>
      <c r="L866" s="842"/>
      <c r="M866" s="842"/>
      <c r="N866" s="842"/>
      <c r="O866" s="842"/>
      <c r="P866" s="842"/>
      <c r="Q866" s="842"/>
      <c r="R866" s="842"/>
      <c r="S866" s="842"/>
      <c r="T866" s="842"/>
      <c r="U866" s="842"/>
      <c r="V866" s="842"/>
      <c r="W866" s="842"/>
      <c r="X866" s="842"/>
      <c r="Y866" s="842"/>
      <c r="Z866" s="842"/>
      <c r="AA866" s="2209"/>
      <c r="AB866" s="2209"/>
      <c r="AC866" s="346"/>
    </row>
    <row r="867" spans="1:29" ht="18.75" customHeight="1" x14ac:dyDescent="0.2">
      <c r="A867" s="341"/>
      <c r="B867" s="345"/>
      <c r="C867" s="453" t="s">
        <v>349</v>
      </c>
      <c r="D867" s="842">
        <f ca="1">D866*(34/32)</f>
        <v>0</v>
      </c>
      <c r="E867" s="337" t="s">
        <v>622</v>
      </c>
      <c r="F867" s="842"/>
      <c r="G867" s="842"/>
      <c r="H867" s="842"/>
      <c r="I867" s="842"/>
      <c r="J867" s="842"/>
      <c r="K867" s="842"/>
      <c r="L867" s="842"/>
      <c r="M867" s="842"/>
      <c r="N867" s="842"/>
      <c r="O867" s="842"/>
      <c r="P867" s="842"/>
      <c r="Q867" s="842"/>
      <c r="R867" s="842"/>
      <c r="S867" s="842"/>
      <c r="T867" s="842"/>
      <c r="U867" s="842"/>
      <c r="V867" s="842"/>
      <c r="W867" s="842"/>
      <c r="X867" s="842"/>
      <c r="Y867" s="842"/>
      <c r="Z867" s="842"/>
      <c r="AA867" s="2209"/>
      <c r="AB867" s="2209"/>
      <c r="AC867" s="346"/>
    </row>
    <row r="868" spans="1:29" ht="18.75" customHeight="1" x14ac:dyDescent="0.2">
      <c r="A868" s="341"/>
      <c r="B868" s="345"/>
      <c r="C868" s="453" t="s">
        <v>68</v>
      </c>
      <c r="D868" s="842">
        <f ca="1">2/32*D866</f>
        <v>0</v>
      </c>
      <c r="E868" s="337" t="s">
        <v>622</v>
      </c>
      <c r="F868" s="842"/>
      <c r="G868" s="842"/>
      <c r="H868" s="842"/>
      <c r="I868" s="842"/>
      <c r="J868" s="842"/>
      <c r="K868" s="842"/>
      <c r="L868" s="842"/>
      <c r="M868" s="842"/>
      <c r="N868" s="842"/>
      <c r="O868" s="842"/>
      <c r="P868" s="842"/>
      <c r="Q868" s="842"/>
      <c r="R868" s="842"/>
      <c r="S868" s="842"/>
      <c r="T868" s="842"/>
      <c r="U868" s="842"/>
      <c r="V868" s="842"/>
      <c r="W868" s="842"/>
      <c r="X868" s="842"/>
      <c r="Y868" s="842"/>
      <c r="Z868" s="842"/>
      <c r="AA868" s="2209"/>
      <c r="AB868" s="2209"/>
      <c r="AC868" s="346"/>
    </row>
    <row r="869" spans="1:29" ht="18.75" customHeight="1" x14ac:dyDescent="0.2">
      <c r="A869" s="341"/>
      <c r="B869" s="345"/>
      <c r="C869" s="453" t="s">
        <v>1395</v>
      </c>
      <c r="D869" s="842">
        <f ca="1">D868</f>
        <v>0</v>
      </c>
      <c r="E869" s="337" t="s">
        <v>622</v>
      </c>
      <c r="F869" s="842"/>
      <c r="G869" s="842"/>
      <c r="H869" s="842"/>
      <c r="I869" s="842"/>
      <c r="J869" s="842"/>
      <c r="K869" s="842"/>
      <c r="L869" s="842"/>
      <c r="M869" s="842"/>
      <c r="N869" s="842"/>
      <c r="O869" s="842"/>
      <c r="P869" s="842"/>
      <c r="Q869" s="842"/>
      <c r="R869" s="842"/>
      <c r="S869" s="842"/>
      <c r="T869" s="842"/>
      <c r="U869" s="842"/>
      <c r="V869" s="842"/>
      <c r="W869" s="842"/>
      <c r="X869" s="842"/>
      <c r="Y869" s="842"/>
      <c r="Z869" s="842"/>
      <c r="AA869" s="2209"/>
      <c r="AB869" s="2209"/>
      <c r="AC869" s="346"/>
    </row>
    <row r="870" spans="1:29" ht="18.75" customHeight="1" x14ac:dyDescent="0.2">
      <c r="A870" s="341"/>
      <c r="B870" s="345"/>
      <c r="C870" s="453" t="s">
        <v>1393</v>
      </c>
      <c r="D870" s="842" t="e">
        <f ca="1">(D869+D868)*'Energy &amp; Unit Conversions'!$E$93/'Energy &amp; Unit Conversions'!$E$26*'Energy &amp; Unit Conversions'!$G$82/E827/(E829-F829)</f>
        <v>#DIV/0!</v>
      </c>
      <c r="E870" s="337" t="s">
        <v>904</v>
      </c>
      <c r="F870" s="842"/>
      <c r="G870" s="842"/>
      <c r="H870" s="842"/>
      <c r="I870" s="842"/>
      <c r="J870" s="842"/>
      <c r="K870" s="842"/>
      <c r="L870" s="842"/>
      <c r="M870" s="842"/>
      <c r="N870" s="842"/>
      <c r="O870" s="842"/>
      <c r="P870" s="842"/>
      <c r="Q870" s="842"/>
      <c r="R870" s="842"/>
      <c r="S870" s="842"/>
      <c r="T870" s="842"/>
      <c r="U870" s="842"/>
      <c r="V870" s="842"/>
      <c r="W870" s="842"/>
      <c r="X870" s="842"/>
      <c r="Y870" s="842"/>
      <c r="Z870" s="842"/>
      <c r="AA870" s="2209"/>
      <c r="AB870" s="2209"/>
      <c r="AC870" s="346"/>
    </row>
    <row r="871" spans="1:29" ht="18.75" customHeight="1" x14ac:dyDescent="0.2">
      <c r="A871" s="341"/>
      <c r="B871" s="345"/>
      <c r="C871" s="453" t="s">
        <v>905</v>
      </c>
      <c r="D871" s="842">
        <f ca="1">D872*E827*(E830-F830)/10000/'Energy &amp; Unit Conversions'!$G$82*'Energy &amp; Unit Conversions'!$E$26/'Energy &amp; Unit Conversions'!$E$93</f>
        <v>0</v>
      </c>
      <c r="E871" s="337" t="s">
        <v>622</v>
      </c>
      <c r="F871" s="842"/>
      <c r="G871" s="842"/>
      <c r="H871" s="842"/>
      <c r="I871" s="842"/>
      <c r="J871" s="842"/>
      <c r="K871" s="842"/>
      <c r="L871" s="842"/>
      <c r="M871" s="842"/>
      <c r="N871" s="842"/>
      <c r="O871" s="842"/>
      <c r="P871" s="842"/>
      <c r="Q871" s="842"/>
      <c r="R871" s="842"/>
      <c r="S871" s="842"/>
      <c r="T871" s="842"/>
      <c r="U871" s="842"/>
      <c r="V871" s="842"/>
      <c r="W871" s="842"/>
      <c r="X871" s="842"/>
      <c r="Y871" s="842"/>
      <c r="Z871" s="842"/>
      <c r="AA871" s="2209"/>
      <c r="AB871" s="2209"/>
      <c r="AC871" s="346"/>
    </row>
    <row r="872" spans="1:29" ht="18.75" customHeight="1" x14ac:dyDescent="0.2">
      <c r="A872" s="341"/>
      <c r="B872" s="345"/>
      <c r="C872" s="453" t="s">
        <v>905</v>
      </c>
      <c r="D872" s="410">
        <v>59</v>
      </c>
      <c r="E872" s="337" t="s">
        <v>904</v>
      </c>
      <c r="F872" s="842"/>
      <c r="G872" s="842"/>
      <c r="H872" s="842"/>
      <c r="I872" s="842"/>
      <c r="J872" s="842"/>
      <c r="K872" s="842"/>
      <c r="L872" s="842"/>
      <c r="M872" s="842"/>
      <c r="N872" s="842"/>
      <c r="O872" s="842"/>
      <c r="P872" s="842"/>
      <c r="Q872" s="842"/>
      <c r="R872" s="842"/>
      <c r="S872" s="842"/>
      <c r="T872" s="842"/>
      <c r="U872" s="842"/>
      <c r="V872" s="842"/>
      <c r="W872" s="842"/>
      <c r="X872" s="842"/>
      <c r="Y872" s="842"/>
      <c r="Z872" s="842"/>
      <c r="AA872" s="2209"/>
      <c r="AB872" s="2209"/>
      <c r="AC872" s="346"/>
    </row>
    <row r="873" spans="1:29" ht="18.75" customHeight="1" x14ac:dyDescent="0.2">
      <c r="A873" s="341"/>
      <c r="B873" s="345"/>
      <c r="C873" s="453" t="s">
        <v>1397</v>
      </c>
      <c r="D873" s="842">
        <f ca="1">D865-D866+D869</f>
        <v>9.499999999999999E-15</v>
      </c>
      <c r="E873" s="337" t="s">
        <v>622</v>
      </c>
      <c r="F873" s="842"/>
      <c r="G873" s="842"/>
      <c r="H873" s="842"/>
      <c r="I873" s="842"/>
      <c r="J873" s="842"/>
      <c r="K873" s="842"/>
      <c r="L873" s="842"/>
      <c r="M873" s="842"/>
      <c r="N873" s="842"/>
      <c r="O873" s="842"/>
      <c r="P873" s="842"/>
      <c r="Q873" s="842"/>
      <c r="R873" s="842"/>
      <c r="S873" s="842"/>
      <c r="T873" s="842"/>
      <c r="U873" s="842"/>
      <c r="V873" s="842"/>
      <c r="W873" s="842"/>
      <c r="X873" s="842"/>
      <c r="Y873" s="842"/>
      <c r="Z873" s="842"/>
      <c r="AA873" s="2209"/>
      <c r="AB873" s="2209"/>
      <c r="AC873" s="346"/>
    </row>
    <row r="874" spans="1:29" ht="18.75" customHeight="1" x14ac:dyDescent="0.2">
      <c r="A874" s="341"/>
      <c r="B874" s="345"/>
      <c r="C874" s="453" t="s">
        <v>1391</v>
      </c>
      <c r="D874" s="842">
        <f ca="1">E828*(E833/100)-D857</f>
        <v>0</v>
      </c>
      <c r="E874" s="337" t="s">
        <v>622</v>
      </c>
      <c r="F874" s="842"/>
      <c r="G874" s="842"/>
      <c r="H874" s="842"/>
      <c r="I874" s="842"/>
      <c r="J874" s="842"/>
      <c r="K874" s="842"/>
      <c r="L874" s="842"/>
      <c r="M874" s="842"/>
      <c r="N874" s="842"/>
      <c r="O874" s="842"/>
      <c r="P874" s="842"/>
      <c r="Q874" s="842"/>
      <c r="R874" s="842"/>
      <c r="S874" s="842"/>
      <c r="T874" s="842"/>
      <c r="U874" s="842"/>
      <c r="V874" s="842"/>
      <c r="W874" s="842"/>
      <c r="X874" s="842"/>
      <c r="Y874" s="842"/>
      <c r="Z874" s="842"/>
      <c r="AA874" s="2209"/>
      <c r="AB874" s="2209"/>
      <c r="AC874" s="346"/>
    </row>
    <row r="875" spans="1:29" ht="18.75" customHeight="1" x14ac:dyDescent="0.2">
      <c r="A875" s="341"/>
      <c r="B875" s="345"/>
      <c r="C875" s="453" t="s">
        <v>1398</v>
      </c>
      <c r="D875" s="842">
        <f ca="1">(D869+D874)/D873*100</f>
        <v>0</v>
      </c>
      <c r="E875" s="337" t="s">
        <v>579</v>
      </c>
      <c r="F875" s="842"/>
      <c r="G875" s="842"/>
      <c r="H875" s="842"/>
      <c r="I875" s="842"/>
      <c r="J875" s="842"/>
      <c r="K875" s="842"/>
      <c r="L875" s="842"/>
      <c r="M875" s="842"/>
      <c r="N875" s="842"/>
      <c r="O875" s="842"/>
      <c r="P875" s="842"/>
      <c r="Q875" s="842"/>
      <c r="R875" s="842"/>
      <c r="S875" s="842"/>
      <c r="T875" s="842"/>
      <c r="U875" s="842"/>
      <c r="V875" s="842"/>
      <c r="W875" s="842"/>
      <c r="X875" s="842"/>
      <c r="Y875" s="842"/>
      <c r="Z875" s="842"/>
      <c r="AA875" s="2209"/>
      <c r="AB875" s="2209"/>
      <c r="AC875" s="346"/>
    </row>
    <row r="876" spans="1:29" ht="18.75" customHeight="1" x14ac:dyDescent="0.2">
      <c r="A876" s="341"/>
      <c r="B876" s="345"/>
      <c r="C876" s="453" t="s">
        <v>71</v>
      </c>
      <c r="D876" s="410">
        <v>2</v>
      </c>
      <c r="E876" s="337" t="s">
        <v>579</v>
      </c>
      <c r="F876" s="842"/>
      <c r="G876" s="842"/>
      <c r="H876" s="842"/>
      <c r="I876" s="842"/>
      <c r="J876" s="842"/>
      <c r="K876" s="842"/>
      <c r="L876" s="842"/>
      <c r="M876" s="842"/>
      <c r="N876" s="842"/>
      <c r="O876" s="842"/>
      <c r="P876" s="842"/>
      <c r="Q876" s="842"/>
      <c r="R876" s="842"/>
      <c r="S876" s="842"/>
      <c r="T876" s="842"/>
      <c r="U876" s="842"/>
      <c r="V876" s="842"/>
      <c r="W876" s="842"/>
      <c r="X876" s="842"/>
      <c r="Y876" s="842"/>
      <c r="Z876" s="842"/>
      <c r="AA876" s="2209"/>
      <c r="AB876" s="2209"/>
      <c r="AC876" s="346"/>
    </row>
    <row r="877" spans="1:29" ht="18.75" customHeight="1" x14ac:dyDescent="0.2">
      <c r="A877" s="341"/>
      <c r="B877" s="345"/>
      <c r="C877" s="453" t="s">
        <v>767</v>
      </c>
      <c r="D877" s="842">
        <f ca="1">E833+D876</f>
        <v>2</v>
      </c>
      <c r="E877" s="337" t="s">
        <v>579</v>
      </c>
      <c r="F877" s="842"/>
      <c r="G877" s="842"/>
      <c r="H877" s="842"/>
      <c r="I877" s="842"/>
      <c r="J877" s="842"/>
      <c r="K877" s="842"/>
      <c r="L877" s="842"/>
      <c r="M877" s="842"/>
      <c r="N877" s="842"/>
      <c r="O877" s="842"/>
      <c r="P877" s="842"/>
      <c r="Q877" s="842"/>
      <c r="R877" s="842"/>
      <c r="S877" s="842"/>
      <c r="T877" s="842"/>
      <c r="U877" s="842"/>
      <c r="V877" s="842"/>
      <c r="W877" s="842"/>
      <c r="X877" s="842"/>
      <c r="Y877" s="842"/>
      <c r="Z877" s="842"/>
      <c r="AA877" s="2209"/>
      <c r="AB877" s="2209"/>
      <c r="AC877" s="346"/>
    </row>
    <row r="878" spans="1:29" ht="18.75" customHeight="1" x14ac:dyDescent="0.2">
      <c r="A878" s="341"/>
      <c r="B878" s="345"/>
      <c r="C878" s="453" t="s">
        <v>768</v>
      </c>
      <c r="D878" s="842">
        <f ca="1">D873*(D877-D875)/100</f>
        <v>1.8999999999999998E-16</v>
      </c>
      <c r="E878" s="337" t="s">
        <v>622</v>
      </c>
      <c r="F878" s="842"/>
      <c r="G878" s="842"/>
      <c r="H878" s="842"/>
      <c r="I878" s="842"/>
      <c r="J878" s="842"/>
      <c r="K878" s="842"/>
      <c r="L878" s="842"/>
      <c r="M878" s="842"/>
      <c r="N878" s="842"/>
      <c r="O878" s="842"/>
      <c r="P878" s="842"/>
      <c r="Q878" s="842"/>
      <c r="R878" s="842"/>
      <c r="S878" s="842"/>
      <c r="T878" s="842"/>
      <c r="U878" s="842"/>
      <c r="V878" s="842"/>
      <c r="W878" s="842"/>
      <c r="X878" s="842"/>
      <c r="Y878" s="842"/>
      <c r="Z878" s="842"/>
      <c r="AA878" s="2209"/>
      <c r="AB878" s="2209"/>
      <c r="AC878" s="346"/>
    </row>
    <row r="879" spans="1:29" ht="18.75" customHeight="1" x14ac:dyDescent="0.2">
      <c r="A879" s="341"/>
      <c r="B879" s="345"/>
      <c r="C879" s="453" t="s">
        <v>382</v>
      </c>
      <c r="D879" s="842">
        <f ca="1">D878</f>
        <v>1.8999999999999998E-16</v>
      </c>
      <c r="E879" s="337" t="s">
        <v>622</v>
      </c>
      <c r="F879" s="842"/>
      <c r="G879" s="842"/>
      <c r="H879" s="842"/>
      <c r="I879" s="842"/>
      <c r="J879" s="842"/>
      <c r="K879" s="842"/>
      <c r="L879" s="842"/>
      <c r="M879" s="842"/>
      <c r="N879" s="842"/>
      <c r="O879" s="842"/>
      <c r="P879" s="842"/>
      <c r="Q879" s="842"/>
      <c r="R879" s="842"/>
      <c r="S879" s="842"/>
      <c r="T879" s="842"/>
      <c r="U879" s="842"/>
      <c r="V879" s="842"/>
      <c r="W879" s="842"/>
      <c r="X879" s="842"/>
      <c r="Y879" s="842"/>
      <c r="Z879" s="842"/>
      <c r="AA879" s="2209"/>
      <c r="AB879" s="2209"/>
      <c r="AC879" s="346"/>
    </row>
    <row r="880" spans="1:29" ht="18.75" customHeight="1" x14ac:dyDescent="0.2">
      <c r="A880" s="341"/>
      <c r="B880" s="345"/>
      <c r="C880" s="453" t="s">
        <v>383</v>
      </c>
      <c r="D880" s="842">
        <f ca="1">D881*(D855/100)</f>
        <v>5.1310464198274245E-17</v>
      </c>
      <c r="E880" s="337" t="s">
        <v>622</v>
      </c>
      <c r="F880" s="842"/>
      <c r="G880" s="842"/>
      <c r="H880" s="842"/>
      <c r="I880" s="842"/>
      <c r="J880" s="842"/>
      <c r="K880" s="842"/>
      <c r="L880" s="842"/>
      <c r="M880" s="842"/>
      <c r="N880" s="842"/>
      <c r="O880" s="842"/>
      <c r="P880" s="842"/>
      <c r="Q880" s="842"/>
      <c r="R880" s="842"/>
      <c r="S880" s="842"/>
      <c r="T880" s="842"/>
      <c r="U880" s="842"/>
      <c r="V880" s="842"/>
      <c r="W880" s="842"/>
      <c r="X880" s="842"/>
      <c r="Y880" s="842"/>
      <c r="Z880" s="842"/>
      <c r="AA880" s="2209"/>
      <c r="AB880" s="2209"/>
      <c r="AC880" s="346"/>
    </row>
    <row r="881" spans="1:29" ht="18.75" customHeight="1" x14ac:dyDescent="0.2">
      <c r="A881" s="341"/>
      <c r="B881" s="345"/>
      <c r="C881" s="452" t="s">
        <v>385</v>
      </c>
      <c r="D881" s="334">
        <f ca="1">D879/(1-D855/100)</f>
        <v>2.4131046419827424E-16</v>
      </c>
      <c r="E881" s="338" t="s">
        <v>622</v>
      </c>
      <c r="F881" s="842"/>
      <c r="G881" s="842"/>
      <c r="H881" s="842"/>
      <c r="I881" s="842"/>
      <c r="J881" s="842"/>
      <c r="K881" s="842"/>
      <c r="L881" s="842"/>
      <c r="M881" s="842"/>
      <c r="N881" s="842"/>
      <c r="O881" s="842"/>
      <c r="P881" s="842"/>
      <c r="Q881" s="842"/>
      <c r="R881" s="842"/>
      <c r="S881" s="842"/>
      <c r="T881" s="842"/>
      <c r="U881" s="842"/>
      <c r="V881" s="842"/>
      <c r="W881" s="842"/>
      <c r="X881" s="842"/>
      <c r="Y881" s="842"/>
      <c r="Z881" s="842"/>
      <c r="AA881" s="2209"/>
      <c r="AB881" s="2209"/>
      <c r="AC881" s="346"/>
    </row>
    <row r="882" spans="1:29" ht="18.75" customHeight="1" x14ac:dyDescent="0.2">
      <c r="A882" s="341"/>
      <c r="B882" s="345"/>
      <c r="C882" s="437"/>
      <c r="D882" s="842"/>
      <c r="E882" s="842"/>
      <c r="F882" s="842"/>
      <c r="G882" s="842"/>
      <c r="H882" s="842"/>
      <c r="I882" s="842"/>
      <c r="J882" s="842"/>
      <c r="K882" s="842"/>
      <c r="L882" s="842"/>
      <c r="M882" s="842"/>
      <c r="N882" s="842"/>
      <c r="O882" s="842"/>
      <c r="P882" s="842"/>
      <c r="Q882" s="842"/>
      <c r="R882" s="842"/>
      <c r="S882" s="842"/>
      <c r="T882" s="842"/>
      <c r="U882" s="842"/>
      <c r="V882" s="842"/>
      <c r="W882" s="842"/>
      <c r="X882" s="842"/>
      <c r="Y882" s="842"/>
      <c r="Z882" s="842"/>
      <c r="AA882" s="2209"/>
      <c r="AB882" s="2209"/>
      <c r="AC882" s="346"/>
    </row>
    <row r="883" spans="1:29" ht="18.75" customHeight="1" x14ac:dyDescent="0.2">
      <c r="A883" s="341"/>
      <c r="B883" s="345"/>
      <c r="C883" s="843" t="s">
        <v>1467</v>
      </c>
      <c r="D883" s="843"/>
      <c r="E883" s="843"/>
      <c r="F883" s="842"/>
      <c r="G883" s="842"/>
      <c r="H883" s="842"/>
      <c r="I883" s="842"/>
      <c r="J883" s="842"/>
      <c r="K883" s="842"/>
      <c r="L883" s="842"/>
      <c r="M883" s="842"/>
      <c r="N883" s="842"/>
      <c r="O883" s="842"/>
      <c r="P883" s="842"/>
      <c r="Q883" s="842"/>
      <c r="R883" s="842"/>
      <c r="S883" s="842"/>
      <c r="T883" s="842"/>
      <c r="U883" s="842"/>
      <c r="V883" s="842"/>
      <c r="W883" s="842"/>
      <c r="X883" s="842"/>
      <c r="Y883" s="842"/>
      <c r="Z883" s="842"/>
      <c r="AA883" s="2209"/>
      <c r="AB883" s="2209"/>
      <c r="AC883" s="346"/>
    </row>
    <row r="884" spans="1:29" ht="18.75" customHeight="1" x14ac:dyDescent="0.2">
      <c r="A884" s="341"/>
      <c r="B884" s="345"/>
      <c r="C884" s="445"/>
      <c r="D884" s="356" t="s">
        <v>661</v>
      </c>
      <c r="E884" s="356" t="s">
        <v>441</v>
      </c>
      <c r="F884" s="356" t="s">
        <v>62</v>
      </c>
      <c r="G884" s="357" t="s">
        <v>662</v>
      </c>
      <c r="H884" s="358"/>
      <c r="I884" s="358"/>
      <c r="J884" s="358"/>
      <c r="K884" s="358"/>
      <c r="L884" s="358"/>
      <c r="M884" s="358"/>
      <c r="N884" s="358"/>
      <c r="O884" s="358"/>
      <c r="P884" s="358"/>
      <c r="Q884" s="358"/>
      <c r="R884" s="358"/>
      <c r="S884" s="358"/>
      <c r="T884" s="358"/>
      <c r="U884" s="358"/>
      <c r="V884" s="358"/>
      <c r="W884" s="358"/>
      <c r="X884" s="358"/>
      <c r="Y884" s="358"/>
      <c r="Z884" s="358"/>
      <c r="AA884" s="358"/>
      <c r="AB884" s="358"/>
      <c r="AC884" s="395"/>
    </row>
    <row r="885" spans="1:29" ht="18.75" customHeight="1" x14ac:dyDescent="0.2">
      <c r="A885" s="341"/>
      <c r="B885" s="345"/>
      <c r="C885" s="459" t="s">
        <v>440</v>
      </c>
      <c r="D885" s="842"/>
      <c r="E885" s="842"/>
      <c r="F885" s="842">
        <f ca="1">H840</f>
        <v>0</v>
      </c>
      <c r="G885" s="337">
        <f ca="1">H839</f>
        <v>21.263257011562786</v>
      </c>
      <c r="H885" s="842"/>
      <c r="I885" s="842"/>
      <c r="J885" s="842"/>
      <c r="K885" s="842"/>
      <c r="L885" s="842"/>
      <c r="M885" s="842"/>
      <c r="N885" s="842"/>
      <c r="O885" s="842"/>
      <c r="P885" s="842"/>
      <c r="Q885" s="842"/>
      <c r="R885" s="842"/>
      <c r="S885" s="842"/>
      <c r="T885" s="842"/>
      <c r="U885" s="842"/>
      <c r="V885" s="842"/>
      <c r="W885" s="842"/>
      <c r="X885" s="842"/>
      <c r="Y885" s="842"/>
      <c r="Z885" s="842"/>
      <c r="AA885" s="2209"/>
      <c r="AB885" s="2209"/>
      <c r="AC885" s="346"/>
    </row>
    <row r="886" spans="1:29" ht="18.75" customHeight="1" x14ac:dyDescent="0.2">
      <c r="A886" s="341"/>
      <c r="B886" s="345"/>
      <c r="C886" s="459" t="s">
        <v>572</v>
      </c>
      <c r="D886" s="386">
        <v>12.903225806451612</v>
      </c>
      <c r="E886" s="386">
        <v>734</v>
      </c>
      <c r="F886" s="386">
        <v>0.69</v>
      </c>
      <c r="G886" s="861">
        <v>13.69</v>
      </c>
      <c r="H886" s="842"/>
      <c r="I886" s="842"/>
      <c r="J886" s="842"/>
      <c r="K886" s="842"/>
      <c r="L886" s="842"/>
      <c r="M886" s="842"/>
      <c r="N886" s="842"/>
      <c r="O886" s="842"/>
      <c r="P886" s="842"/>
      <c r="Q886" s="842"/>
      <c r="R886" s="842"/>
      <c r="S886" s="842"/>
      <c r="T886" s="842"/>
      <c r="U886" s="842"/>
      <c r="V886" s="842"/>
      <c r="W886" s="842"/>
      <c r="X886" s="842"/>
      <c r="Y886" s="842"/>
      <c r="Z886" s="842"/>
      <c r="AA886" s="2209"/>
      <c r="AB886" s="2209"/>
      <c r="AC886" s="346"/>
    </row>
    <row r="887" spans="1:29" ht="18.75" customHeight="1" x14ac:dyDescent="0.2">
      <c r="A887" s="341"/>
      <c r="B887" s="345"/>
      <c r="C887" s="459" t="s">
        <v>573</v>
      </c>
      <c r="D887" s="386">
        <v>34.408602150537632</v>
      </c>
      <c r="E887" s="386">
        <v>860</v>
      </c>
      <c r="F887" s="386">
        <v>1.7</v>
      </c>
      <c r="G887" s="861">
        <v>12.61</v>
      </c>
      <c r="H887" s="842"/>
      <c r="I887" s="842"/>
      <c r="J887" s="842"/>
      <c r="K887" s="842"/>
      <c r="L887" s="842"/>
      <c r="M887" s="842"/>
      <c r="N887" s="842"/>
      <c r="O887" s="842"/>
      <c r="P887" s="842"/>
      <c r="Q887" s="842"/>
      <c r="R887" s="842"/>
      <c r="S887" s="842"/>
      <c r="T887" s="842"/>
      <c r="U887" s="842"/>
      <c r="V887" s="842"/>
      <c r="W887" s="842"/>
      <c r="X887" s="842"/>
      <c r="Y887" s="842"/>
      <c r="Z887" s="842"/>
      <c r="AA887" s="2209"/>
      <c r="AB887" s="2209"/>
      <c r="AC887" s="346"/>
    </row>
    <row r="888" spans="1:29" ht="18.75" customHeight="1" x14ac:dyDescent="0.2">
      <c r="A888" s="341"/>
      <c r="B888" s="345"/>
      <c r="C888" s="442" t="s">
        <v>435</v>
      </c>
      <c r="D888" s="386">
        <v>26.344086021505372</v>
      </c>
      <c r="E888" s="386">
        <v>958</v>
      </c>
      <c r="F888" s="386">
        <v>2.12</v>
      </c>
      <c r="G888" s="861">
        <v>11.16</v>
      </c>
      <c r="H888" s="842"/>
      <c r="I888" s="842"/>
      <c r="J888" s="842"/>
      <c r="K888" s="842"/>
      <c r="L888" s="842"/>
      <c r="M888" s="842"/>
      <c r="N888" s="842"/>
      <c r="O888" s="842"/>
      <c r="P888" s="842"/>
      <c r="Q888" s="842"/>
      <c r="R888" s="842"/>
      <c r="S888" s="842"/>
      <c r="T888" s="842"/>
      <c r="U888" s="842"/>
      <c r="V888" s="842"/>
      <c r="W888" s="842"/>
      <c r="X888" s="842"/>
      <c r="Y888" s="842"/>
      <c r="Z888" s="842"/>
      <c r="AA888" s="2209"/>
      <c r="AB888" s="2209"/>
      <c r="AC888" s="346"/>
    </row>
    <row r="889" spans="1:29" ht="18.75" customHeight="1" x14ac:dyDescent="0.2">
      <c r="A889" s="341"/>
      <c r="B889" s="345"/>
      <c r="C889" s="442" t="s">
        <v>436</v>
      </c>
      <c r="D889" s="386">
        <v>26.344086021505372</v>
      </c>
      <c r="E889" s="386">
        <v>1091</v>
      </c>
      <c r="F889" s="386">
        <v>3.5</v>
      </c>
      <c r="G889" s="861">
        <v>6.5</v>
      </c>
      <c r="H889" s="842"/>
      <c r="I889" s="842"/>
      <c r="J889" s="842"/>
      <c r="K889" s="842"/>
      <c r="L889" s="842"/>
      <c r="M889" s="842"/>
      <c r="N889" s="842"/>
      <c r="O889" s="842"/>
      <c r="P889" s="842"/>
      <c r="Q889" s="842"/>
      <c r="R889" s="842"/>
      <c r="S889" s="842"/>
      <c r="T889" s="842"/>
      <c r="U889" s="842"/>
      <c r="V889" s="842"/>
      <c r="W889" s="842"/>
      <c r="X889" s="842"/>
      <c r="Y889" s="842"/>
      <c r="Z889" s="842"/>
      <c r="AA889" s="2209"/>
      <c r="AB889" s="2209"/>
      <c r="AC889" s="346"/>
    </row>
    <row r="890" spans="1:29" ht="18.75" customHeight="1" x14ac:dyDescent="0.2">
      <c r="A890" s="341"/>
      <c r="B890" s="345"/>
      <c r="C890" s="442" t="s">
        <v>437</v>
      </c>
      <c r="D890" s="593">
        <f>SUM(D886:D889)</f>
        <v>100</v>
      </c>
      <c r="E890" s="386">
        <f>(D886/E886+D887/E887+D888/E888+D889/E889)</f>
        <v>0.10923510845581802</v>
      </c>
      <c r="F890" s="842"/>
      <c r="G890" s="337" t="s">
        <v>667</v>
      </c>
      <c r="H890" s="842"/>
      <c r="I890" s="842"/>
      <c r="J890" s="842"/>
      <c r="K890" s="842"/>
      <c r="L890" s="842"/>
      <c r="M890" s="842"/>
      <c r="N890" s="842"/>
      <c r="O890" s="842"/>
      <c r="P890" s="842"/>
      <c r="Q890" s="842"/>
      <c r="R890" s="842"/>
      <c r="S890" s="842"/>
      <c r="T890" s="842"/>
      <c r="U890" s="842"/>
      <c r="V890" s="842"/>
      <c r="W890" s="842"/>
      <c r="X890" s="842"/>
      <c r="Y890" s="842"/>
      <c r="Z890" s="842"/>
      <c r="AA890" s="2209"/>
      <c r="AB890" s="2209"/>
      <c r="AC890" s="346"/>
    </row>
    <row r="891" spans="1:29" ht="18.75" customHeight="1" x14ac:dyDescent="0.2">
      <c r="A891" s="341"/>
      <c r="B891" s="345"/>
      <c r="C891" s="443" t="s">
        <v>438</v>
      </c>
      <c r="D891" s="334"/>
      <c r="E891" s="334"/>
      <c r="F891" s="334"/>
      <c r="G891" s="338"/>
      <c r="H891" s="842"/>
      <c r="I891" s="842"/>
      <c r="J891" s="842"/>
      <c r="K891" s="842"/>
      <c r="L891" s="842"/>
      <c r="M891" s="842"/>
      <c r="N891" s="842"/>
      <c r="O891" s="842"/>
      <c r="P891" s="842"/>
      <c r="Q891" s="842"/>
      <c r="R891" s="842"/>
      <c r="S891" s="842"/>
      <c r="T891" s="842"/>
      <c r="U891" s="842"/>
      <c r="V891" s="842"/>
      <c r="W891" s="842"/>
      <c r="X891" s="842"/>
      <c r="Y891" s="842"/>
      <c r="Z891" s="842"/>
      <c r="AA891" s="2209"/>
      <c r="AB891" s="2209"/>
      <c r="AC891" s="346"/>
    </row>
    <row r="892" spans="1:29" ht="18.75" customHeight="1" x14ac:dyDescent="0.2">
      <c r="A892" s="341"/>
      <c r="B892" s="345"/>
      <c r="C892" s="444"/>
      <c r="D892" s="842"/>
      <c r="E892" s="842"/>
      <c r="F892" s="842"/>
      <c r="G892" s="842"/>
      <c r="H892" s="842"/>
      <c r="I892" s="842"/>
      <c r="J892" s="842"/>
      <c r="K892" s="842"/>
      <c r="L892" s="842"/>
      <c r="M892" s="842"/>
      <c r="N892" s="842"/>
      <c r="O892" s="842"/>
      <c r="P892" s="842"/>
      <c r="Q892" s="842"/>
      <c r="R892" s="842"/>
      <c r="S892" s="842"/>
      <c r="T892" s="842"/>
      <c r="U892" s="842"/>
      <c r="V892" s="842"/>
      <c r="W892" s="842"/>
      <c r="X892" s="842"/>
      <c r="Y892" s="842"/>
      <c r="Z892" s="842"/>
      <c r="AA892" s="2209"/>
      <c r="AB892" s="2209"/>
      <c r="AC892" s="346"/>
    </row>
    <row r="893" spans="1:29" ht="18.75" customHeight="1" x14ac:dyDescent="0.2">
      <c r="A893" s="341"/>
      <c r="B893" s="345"/>
      <c r="C893" s="843" t="s">
        <v>72</v>
      </c>
      <c r="D893" s="842"/>
      <c r="E893" s="842"/>
      <c r="F893" s="842"/>
      <c r="G893" s="842"/>
      <c r="H893" s="842"/>
      <c r="I893" s="842"/>
      <c r="J893" s="842"/>
      <c r="K893" s="842"/>
      <c r="L893" s="842"/>
      <c r="M893" s="842"/>
      <c r="N893" s="842"/>
      <c r="O893" s="842"/>
      <c r="P893" s="842"/>
      <c r="Q893" s="842"/>
      <c r="R893" s="842"/>
      <c r="S893" s="842"/>
      <c r="T893" s="842"/>
      <c r="U893" s="842"/>
      <c r="V893" s="842"/>
      <c r="W893" s="842"/>
      <c r="X893" s="842"/>
      <c r="Y893" s="842"/>
      <c r="Z893" s="842"/>
      <c r="AA893" s="2209"/>
      <c r="AB893" s="2209"/>
      <c r="AC893" s="346"/>
    </row>
    <row r="894" spans="1:29" ht="18.75" customHeight="1" x14ac:dyDescent="0.2">
      <c r="A894" s="341"/>
      <c r="B894" s="345"/>
      <c r="C894" s="1526" t="s">
        <v>442</v>
      </c>
      <c r="D894" s="356" t="s">
        <v>666</v>
      </c>
      <c r="E894" s="356" t="s">
        <v>73</v>
      </c>
      <c r="F894" s="356" t="s">
        <v>61</v>
      </c>
      <c r="G894" s="356" t="s">
        <v>63</v>
      </c>
      <c r="H894" s="356" t="s">
        <v>74</v>
      </c>
      <c r="I894" s="356" t="s">
        <v>69</v>
      </c>
      <c r="J894" s="357" t="s">
        <v>70</v>
      </c>
      <c r="K894" s="1527"/>
      <c r="L894" s="842"/>
      <c r="M894" s="842"/>
      <c r="N894" s="842"/>
      <c r="O894" s="842"/>
      <c r="P894" s="842"/>
      <c r="Q894" s="842"/>
      <c r="R894" s="842"/>
      <c r="S894" s="842"/>
      <c r="T894" s="842"/>
      <c r="U894" s="842"/>
      <c r="V894" s="842"/>
      <c r="W894" s="842"/>
      <c r="X894" s="842"/>
      <c r="Y894" s="842"/>
      <c r="Z894" s="842"/>
      <c r="AA894" s="2209"/>
      <c r="AB894" s="2209"/>
      <c r="AC894" s="346"/>
    </row>
    <row r="895" spans="1:29" ht="18.75" customHeight="1" x14ac:dyDescent="0.2">
      <c r="A895" s="341"/>
      <c r="B895" s="345"/>
      <c r="C895" s="856"/>
      <c r="D895" s="1521"/>
      <c r="E895" s="1521"/>
      <c r="F895" s="1521"/>
      <c r="G895" s="1521"/>
      <c r="H895" s="1521">
        <f ca="1">D885*G885</f>
        <v>0</v>
      </c>
      <c r="I895" s="1521"/>
      <c r="J895" s="337"/>
      <c r="K895" s="1527"/>
      <c r="L895" s="842"/>
      <c r="M895" s="842"/>
      <c r="N895" s="842"/>
      <c r="O895" s="842"/>
      <c r="P895" s="842"/>
      <c r="Q895" s="842"/>
      <c r="R895" s="842"/>
      <c r="S895" s="842"/>
      <c r="T895" s="842"/>
      <c r="U895" s="842"/>
      <c r="V895" s="842"/>
      <c r="W895" s="842"/>
      <c r="X895" s="842"/>
      <c r="Y895" s="842"/>
      <c r="Z895" s="842"/>
      <c r="AA895" s="2209"/>
      <c r="AB895" s="2209"/>
      <c r="AC895" s="346"/>
    </row>
    <row r="896" spans="1:29" ht="18.75" customHeight="1" x14ac:dyDescent="0.2">
      <c r="A896" s="341"/>
      <c r="B896" s="345"/>
      <c r="C896" s="856">
        <f>(D886/E886)/$E$890*100</f>
        <v>16.09311050292699</v>
      </c>
      <c r="D896" s="1521">
        <f>C896*E886</f>
        <v>11812.343109148411</v>
      </c>
      <c r="E896" s="1521">
        <f>D886*F886/100</f>
        <v>8.9032258064516118E-2</v>
      </c>
      <c r="F896" s="1521">
        <f>E896/$E$900*100</f>
        <v>4.1323551429854772</v>
      </c>
      <c r="G896" s="1521">
        <f ca="1">$D$852*(F896/100)</f>
        <v>0</v>
      </c>
      <c r="H896" s="1521">
        <f>D886*G886</f>
        <v>176.64516129032256</v>
      </c>
      <c r="I896" s="1521">
        <f>H896/SUM($H$896:$H$899)*100</f>
        <v>16.420282467240398</v>
      </c>
      <c r="J896" s="337">
        <f ca="1">($D$869+$D$874+$D$878)*I896/100</f>
        <v>3.1198536687756751E-17</v>
      </c>
      <c r="K896" s="1527"/>
      <c r="L896" s="842"/>
      <c r="M896" s="842"/>
      <c r="N896" s="842"/>
      <c r="O896" s="842"/>
      <c r="P896" s="842"/>
      <c r="Q896" s="842"/>
      <c r="R896" s="842"/>
      <c r="S896" s="842"/>
      <c r="T896" s="842"/>
      <c r="U896" s="842"/>
      <c r="V896" s="842"/>
      <c r="W896" s="842"/>
      <c r="X896" s="842"/>
      <c r="Y896" s="842"/>
      <c r="Z896" s="842"/>
      <c r="AA896" s="2209"/>
      <c r="AB896" s="2209"/>
      <c r="AC896" s="346"/>
    </row>
    <row r="897" spans="1:29" ht="18.75" customHeight="1" x14ac:dyDescent="0.2">
      <c r="A897" s="341"/>
      <c r="B897" s="345"/>
      <c r="C897" s="856">
        <f>(D887/E887)/$E$890*100</f>
        <v>36.627420493483442</v>
      </c>
      <c r="D897" s="1521">
        <f>C897*E887</f>
        <v>31499.58162439576</v>
      </c>
      <c r="E897" s="1521">
        <f>D887*F887/100</f>
        <v>0.5849462365591398</v>
      </c>
      <c r="F897" s="1521">
        <f>E897/$E$900*100</f>
        <v>27.149772920097821</v>
      </c>
      <c r="G897" s="1521">
        <f ca="1">$D$852*(F897/100)</f>
        <v>0</v>
      </c>
      <c r="H897" s="1521">
        <f>D887*G887</f>
        <v>433.8924731182795</v>
      </c>
      <c r="I897" s="1521">
        <f>H897/SUM($H$896:$H$899)*100</f>
        <v>40.333043469569297</v>
      </c>
      <c r="J897" s="337">
        <f ca="1">($D$869+$D$874+$D$878)*I897/100</f>
        <v>7.6632782592181655E-17</v>
      </c>
      <c r="K897" s="1527"/>
      <c r="L897" s="842"/>
      <c r="M897" s="842"/>
      <c r="N897" s="842"/>
      <c r="O897" s="842"/>
      <c r="P897" s="842"/>
      <c r="Q897" s="842"/>
      <c r="R897" s="842"/>
      <c r="S897" s="842"/>
      <c r="T897" s="842"/>
      <c r="U897" s="842"/>
      <c r="V897" s="842"/>
      <c r="W897" s="842"/>
      <c r="X897" s="842"/>
      <c r="Y897" s="842"/>
      <c r="Z897" s="842"/>
      <c r="AA897" s="2209"/>
      <c r="AB897" s="2209"/>
      <c r="AC897" s="346"/>
    </row>
    <row r="898" spans="1:29" ht="18.75" customHeight="1" x14ac:dyDescent="0.2">
      <c r="A898" s="341"/>
      <c r="B898" s="345"/>
      <c r="C898" s="856">
        <f>(D888/E888)/$E$890*100</f>
        <v>25.174182861354904</v>
      </c>
      <c r="D898" s="1521">
        <f>C898*E888</f>
        <v>24116.867181177997</v>
      </c>
      <c r="E898" s="1521">
        <f>D888*F888/100</f>
        <v>0.55849462365591396</v>
      </c>
      <c r="F898" s="1521">
        <f>E898/$E$900*100</f>
        <v>25.922044218196337</v>
      </c>
      <c r="G898" s="1521">
        <f ca="1">$D$852*(F898/100)</f>
        <v>0</v>
      </c>
      <c r="H898" s="1521">
        <f>D888*G888</f>
        <v>293.99999999999994</v>
      </c>
      <c r="I898" s="1521">
        <f>H898/SUM($H$896:$H$899)*100</f>
        <v>27.329155297010399</v>
      </c>
      <c r="J898" s="337">
        <f ca="1">($D$869+$D$874+$D$878)*I898/100</f>
        <v>5.1925395064319747E-17</v>
      </c>
      <c r="K898" s="1527"/>
      <c r="L898" s="842"/>
      <c r="M898" s="842"/>
      <c r="N898" s="842"/>
      <c r="O898" s="842"/>
      <c r="P898" s="842"/>
      <c r="Q898" s="842"/>
      <c r="R898" s="842"/>
      <c r="S898" s="842"/>
      <c r="T898" s="842"/>
      <c r="U898" s="842"/>
      <c r="V898" s="842"/>
      <c r="W898" s="842"/>
      <c r="X898" s="842"/>
      <c r="Y898" s="842"/>
      <c r="Z898" s="842"/>
      <c r="AA898" s="2209"/>
      <c r="AB898" s="2209"/>
      <c r="AC898" s="346"/>
    </row>
    <row r="899" spans="1:29" ht="18.75" customHeight="1" x14ac:dyDescent="0.2">
      <c r="A899" s="341"/>
      <c r="B899" s="345"/>
      <c r="C899" s="856">
        <f>(D889/E889)/$E$890*100</f>
        <v>22.10528614223465</v>
      </c>
      <c r="D899" s="1521">
        <f>C899*E889</f>
        <v>24116.867181178004</v>
      </c>
      <c r="E899" s="1521">
        <f>D889*F889/100</f>
        <v>0.92204301075268802</v>
      </c>
      <c r="F899" s="1521">
        <f>E899/$E$900*100</f>
        <v>42.795827718720361</v>
      </c>
      <c r="G899" s="1521">
        <f ca="1">$D$852*(F899/100)</f>
        <v>0</v>
      </c>
      <c r="H899" s="1521">
        <f>D889*G889</f>
        <v>171.23655913978493</v>
      </c>
      <c r="I899" s="1521">
        <f>H899/SUM($H$896:$H$899)*100</f>
        <v>15.917518766179894</v>
      </c>
      <c r="J899" s="337">
        <f ca="1">($D$869+$D$874+$D$878)*I899/100</f>
        <v>3.0243285655741798E-17</v>
      </c>
      <c r="K899" s="1527"/>
      <c r="L899" s="842"/>
      <c r="M899" s="842"/>
      <c r="N899" s="842"/>
      <c r="O899" s="842"/>
      <c r="P899" s="842"/>
      <c r="Q899" s="842"/>
      <c r="R899" s="842"/>
      <c r="S899" s="842"/>
      <c r="T899" s="842"/>
      <c r="U899" s="842"/>
      <c r="V899" s="842"/>
      <c r="W899" s="842"/>
      <c r="X899" s="842"/>
      <c r="Y899" s="842"/>
      <c r="Z899" s="842"/>
      <c r="AA899" s="2209"/>
      <c r="AB899" s="2209"/>
      <c r="AC899" s="346"/>
    </row>
    <row r="900" spans="1:29" ht="18.75" customHeight="1" x14ac:dyDescent="0.2">
      <c r="A900" s="341"/>
      <c r="B900" s="345"/>
      <c r="C900" s="355" t="s">
        <v>439</v>
      </c>
      <c r="D900" s="1521">
        <f>D890/E890</f>
        <v>915.4565909590018</v>
      </c>
      <c r="E900" s="1521">
        <f>SUM(E896:E899)</f>
        <v>2.1545161290322579</v>
      </c>
      <c r="F900" s="1521">
        <f>SUM(F896:F899)</f>
        <v>100</v>
      </c>
      <c r="G900" s="1521"/>
      <c r="H900" s="1521">
        <f>SUM(H896:H899)/D890</f>
        <v>10.757741935483871</v>
      </c>
      <c r="I900" s="1521">
        <f>SUM(I896:I899)</f>
        <v>99.999999999999986</v>
      </c>
      <c r="J900" s="337">
        <f ca="1">SUM(J896:J899)</f>
        <v>1.8999999999999993E-16</v>
      </c>
      <c r="K900" s="1527"/>
      <c r="L900" s="842"/>
      <c r="M900" s="842"/>
      <c r="N900" s="842"/>
      <c r="O900" s="842"/>
      <c r="P900" s="842"/>
      <c r="Q900" s="842"/>
      <c r="R900" s="842"/>
      <c r="S900" s="842"/>
      <c r="T900" s="842"/>
      <c r="U900" s="842"/>
      <c r="V900" s="842"/>
      <c r="W900" s="842"/>
      <c r="X900" s="842"/>
      <c r="Y900" s="842"/>
      <c r="Z900" s="842"/>
      <c r="AA900" s="2209"/>
      <c r="AB900" s="2209"/>
      <c r="AC900" s="346"/>
    </row>
    <row r="901" spans="1:29" ht="18.75" customHeight="1" x14ac:dyDescent="0.2">
      <c r="A901" s="341"/>
      <c r="B901" s="345"/>
      <c r="C901" s="857"/>
      <c r="D901" s="334"/>
      <c r="E901" s="334"/>
      <c r="F901" s="335" t="s">
        <v>668</v>
      </c>
      <c r="G901" s="334">
        <f ca="1">SUM(G896:G899)/F828*100</f>
        <v>0</v>
      </c>
      <c r="H901" s="334"/>
      <c r="I901" s="335" t="s">
        <v>667</v>
      </c>
      <c r="J901" s="338">
        <f ca="1">J900/(D873+D878-D879)*100</f>
        <v>1.9999999999999993</v>
      </c>
      <c r="K901" s="1527"/>
      <c r="L901" s="842"/>
      <c r="M901" s="842"/>
      <c r="N901" s="842"/>
      <c r="O901" s="842"/>
      <c r="P901" s="842"/>
      <c r="Q901" s="842"/>
      <c r="R901" s="842"/>
      <c r="S901" s="842"/>
      <c r="T901" s="842"/>
      <c r="U901" s="842"/>
      <c r="V901" s="842"/>
      <c r="W901" s="842"/>
      <c r="X901" s="842"/>
      <c r="Y901" s="842"/>
      <c r="Z901" s="842"/>
      <c r="AA901" s="2209"/>
      <c r="AB901" s="2209"/>
      <c r="AC901" s="346"/>
    </row>
    <row r="902" spans="1:29" ht="18.75" customHeight="1" x14ac:dyDescent="0.2">
      <c r="A902" s="341"/>
      <c r="B902" s="345"/>
      <c r="C902" s="437"/>
      <c r="D902" s="842"/>
      <c r="E902" s="842"/>
      <c r="F902" s="842"/>
      <c r="G902" s="842"/>
      <c r="H902" s="842"/>
      <c r="I902" s="842"/>
      <c r="J902" s="842"/>
      <c r="K902" s="380"/>
      <c r="L902" s="842"/>
      <c r="M902" s="842"/>
      <c r="N902" s="842"/>
      <c r="O902" s="842"/>
      <c r="P902" s="842"/>
      <c r="Q902" s="842"/>
      <c r="R902" s="842"/>
      <c r="S902" s="842"/>
      <c r="T902" s="842"/>
      <c r="U902" s="842"/>
      <c r="V902" s="842"/>
      <c r="W902" s="842"/>
      <c r="X902" s="842"/>
      <c r="Y902" s="842"/>
      <c r="Z902" s="842"/>
      <c r="AA902" s="2209"/>
      <c r="AB902" s="2209"/>
      <c r="AC902" s="346"/>
    </row>
    <row r="903" spans="1:29" ht="26.25" x14ac:dyDescent="0.2">
      <c r="A903" s="341"/>
      <c r="B903" s="699"/>
      <c r="C903" s="603" t="s">
        <v>1468</v>
      </c>
      <c r="D903" s="603"/>
      <c r="E903" s="842"/>
      <c r="F903" s="842"/>
      <c r="G903" s="842"/>
      <c r="H903" s="842"/>
      <c r="I903" s="842"/>
      <c r="J903" s="842"/>
      <c r="K903" s="842"/>
      <c r="L903" s="842"/>
      <c r="M903" s="842"/>
      <c r="N903" s="842"/>
      <c r="O903" s="842"/>
      <c r="P903" s="842"/>
      <c r="Q903" s="842"/>
      <c r="R903" s="842"/>
      <c r="S903" s="842"/>
      <c r="T903" s="842"/>
      <c r="U903" s="842"/>
      <c r="V903" s="842"/>
      <c r="W903" s="842"/>
      <c r="X903" s="842"/>
      <c r="Y903" s="842"/>
      <c r="Z903" s="842"/>
      <c r="AA903" s="2209"/>
      <c r="AB903" s="2209"/>
      <c r="AC903" s="346"/>
    </row>
    <row r="904" spans="1:29" ht="18.75" customHeight="1" x14ac:dyDescent="0.2">
      <c r="A904" s="341"/>
      <c r="B904" s="345"/>
      <c r="C904" s="437"/>
      <c r="D904" s="842"/>
      <c r="E904" s="842"/>
      <c r="F904" s="842"/>
      <c r="G904" s="842"/>
      <c r="H904" s="842"/>
      <c r="I904" s="842"/>
      <c r="J904" s="842"/>
      <c r="K904" s="842"/>
      <c r="L904" s="842"/>
      <c r="M904" s="842"/>
      <c r="N904" s="842"/>
      <c r="O904" s="842"/>
      <c r="P904" s="842"/>
      <c r="Q904" s="842"/>
      <c r="R904" s="842"/>
      <c r="S904" s="842"/>
      <c r="T904" s="842"/>
      <c r="U904" s="842"/>
      <c r="V904" s="842"/>
      <c r="W904" s="842"/>
      <c r="X904" s="842"/>
      <c r="Y904" s="842"/>
      <c r="Z904" s="842"/>
      <c r="AA904" s="2209"/>
      <c r="AB904" s="2209"/>
      <c r="AC904" s="346"/>
    </row>
    <row r="905" spans="1:29" ht="18.75" customHeight="1" x14ac:dyDescent="0.2">
      <c r="A905" s="341"/>
      <c r="B905" s="345"/>
      <c r="C905" s="843" t="s">
        <v>569</v>
      </c>
      <c r="D905" s="842"/>
      <c r="E905" s="426"/>
      <c r="F905" s="842"/>
      <c r="G905" s="842"/>
      <c r="H905" s="842"/>
      <c r="I905" s="842"/>
      <c r="J905" s="842"/>
      <c r="K905" s="842"/>
      <c r="L905" s="842"/>
      <c r="M905" s="842"/>
      <c r="N905" s="842"/>
      <c r="O905" s="842"/>
      <c r="P905" s="842"/>
      <c r="Q905" s="842"/>
      <c r="R905" s="842"/>
      <c r="S905" s="842"/>
      <c r="T905" s="842"/>
      <c r="U905" s="842"/>
      <c r="V905" s="842"/>
      <c r="W905" s="842"/>
      <c r="X905" s="842"/>
      <c r="Y905" s="842"/>
      <c r="Z905" s="842"/>
      <c r="AA905" s="2209"/>
      <c r="AB905" s="2209"/>
      <c r="AC905" s="346"/>
    </row>
    <row r="906" spans="1:29" ht="18.75" customHeight="1" x14ac:dyDescent="0.2">
      <c r="A906" s="341"/>
      <c r="B906" s="345"/>
      <c r="C906" s="441" t="s">
        <v>568</v>
      </c>
      <c r="D906" s="351" t="s">
        <v>623</v>
      </c>
      <c r="E906" s="356" t="str">
        <f t="shared" ref="E906:E913" si="86">F825</f>
        <v>RHC  Liquids Product</v>
      </c>
      <c r="F906" s="351" t="s">
        <v>1464</v>
      </c>
      <c r="G906" s="351" t="s">
        <v>1465</v>
      </c>
      <c r="H906" s="351" t="s">
        <v>1469</v>
      </c>
      <c r="I906" s="352" t="s">
        <v>1470</v>
      </c>
      <c r="J906" s="842"/>
      <c r="K906" s="842"/>
      <c r="L906" s="842"/>
      <c r="M906" s="842"/>
      <c r="N906" s="842"/>
      <c r="O906" s="842"/>
      <c r="P906" s="842"/>
      <c r="Q906" s="842"/>
      <c r="R906" s="842"/>
      <c r="S906" s="842"/>
      <c r="T906" s="842"/>
      <c r="U906" s="842"/>
      <c r="V906" s="842"/>
      <c r="W906" s="842"/>
      <c r="X906" s="842"/>
      <c r="Y906" s="842"/>
      <c r="Z906" s="842"/>
      <c r="AA906" s="2209"/>
      <c r="AB906" s="2209"/>
      <c r="AC906" s="346"/>
    </row>
    <row r="907" spans="1:29" ht="18.75" customHeight="1" x14ac:dyDescent="0.2">
      <c r="A907" s="341"/>
      <c r="B907" s="345"/>
      <c r="C907" s="442" t="str">
        <f t="shared" ref="C907:D915" si="87">C826</f>
        <v>Vol Flow</v>
      </c>
      <c r="D907" s="842" t="str">
        <f ca="1">D826</f>
        <v>bpd</v>
      </c>
      <c r="E907" s="358">
        <f ca="1">F826</f>
        <v>6.5271473276813377E-17</v>
      </c>
      <c r="F907" s="842">
        <f ca="1">D954</f>
        <v>1.0504210321332737E-17</v>
      </c>
      <c r="G907" s="842">
        <f ca="1">D955</f>
        <v>2.3907256979379672E-17</v>
      </c>
      <c r="H907" s="842">
        <f ca="1">D956</f>
        <v>1.643156003900914E-17</v>
      </c>
      <c r="I907" s="337">
        <f ca="1">K826</f>
        <v>1.442844593709182E-17</v>
      </c>
      <c r="J907" s="842"/>
      <c r="K907" s="842"/>
      <c r="L907" s="842"/>
      <c r="M907" s="842"/>
      <c r="N907" s="842"/>
      <c r="O907" s="842"/>
      <c r="P907" s="842"/>
      <c r="Q907" s="842"/>
      <c r="R907" s="842"/>
      <c r="S907" s="842"/>
      <c r="T907" s="842"/>
      <c r="U907" s="842"/>
      <c r="V907" s="842"/>
      <c r="W907" s="842"/>
      <c r="X907" s="842"/>
      <c r="Y907" s="842"/>
      <c r="Z907" s="842"/>
      <c r="AA907" s="2209"/>
      <c r="AB907" s="2209"/>
      <c r="AC907" s="346"/>
    </row>
    <row r="908" spans="1:29" ht="18.75" customHeight="1" x14ac:dyDescent="0.2">
      <c r="A908" s="341"/>
      <c r="B908" s="345"/>
      <c r="C908" s="442" t="str">
        <f t="shared" si="87"/>
        <v>Vol Flow</v>
      </c>
      <c r="D908" s="842" t="str">
        <f ca="1">D827</f>
        <v>m^3/d</v>
      </c>
      <c r="E908" s="358">
        <f ca="1">F827</f>
        <v>1.0377335303302712E-17</v>
      </c>
      <c r="F908" s="842">
        <f ca="1">F907*'Energy &amp; Unit Conversions'!G80</f>
        <v>1.6700360376208241E-18</v>
      </c>
      <c r="G908" s="842">
        <f ca="1">G907*'Energy &amp; Unit Conversions'!G80</f>
        <v>3.8009502375577299E-18</v>
      </c>
      <c r="H908" s="842">
        <f ca="1">H907*'Energy &amp; Unit Conversions'!G80</f>
        <v>2.6124093653899577E-18</v>
      </c>
      <c r="I908" s="337">
        <f ca="1">K827</f>
        <v>2.2939396627341983E-18</v>
      </c>
      <c r="J908" s="842"/>
      <c r="K908" s="842"/>
      <c r="L908" s="842"/>
      <c r="M908" s="842"/>
      <c r="N908" s="842"/>
      <c r="O908" s="842"/>
      <c r="P908" s="842"/>
      <c r="Q908" s="842"/>
      <c r="R908" s="842"/>
      <c r="S908" s="842"/>
      <c r="T908" s="842"/>
      <c r="U908" s="842"/>
      <c r="V908" s="842"/>
      <c r="W908" s="842"/>
      <c r="X908" s="842"/>
      <c r="Y908" s="842"/>
      <c r="Z908" s="842"/>
      <c r="AA908" s="2209"/>
      <c r="AB908" s="2209"/>
      <c r="AC908" s="346"/>
    </row>
    <row r="909" spans="1:29" ht="18.75" customHeight="1" x14ac:dyDescent="0.2">
      <c r="A909" s="341"/>
      <c r="B909" s="345"/>
      <c r="C909" s="442" t="str">
        <f t="shared" si="87"/>
        <v>Mass Flow</v>
      </c>
      <c r="D909" s="842" t="str">
        <f t="shared" si="87"/>
        <v>kg/d</v>
      </c>
      <c r="E909" s="358">
        <f ca="1">F828</f>
        <v>9.499999999999999E-15</v>
      </c>
      <c r="F909" s="842">
        <f ca="1">E954</f>
        <v>1.2258064516139244E-15</v>
      </c>
      <c r="G909" s="842">
        <f ca="1">E955</f>
        <v>3.26881720429967E-15</v>
      </c>
      <c r="H909" s="842">
        <f ca="1">E956</f>
        <v>2.5026881720433935E-15</v>
      </c>
      <c r="I909" s="337">
        <f ca="1">K828</f>
        <v>2.5026881720430105E-15</v>
      </c>
      <c r="J909" s="842"/>
      <c r="K909" s="842"/>
      <c r="L909" s="842"/>
      <c r="M909" s="842"/>
      <c r="N909" s="842"/>
      <c r="O909" s="842"/>
      <c r="P909" s="842"/>
      <c r="Q909" s="842"/>
      <c r="R909" s="842"/>
      <c r="S909" s="842"/>
      <c r="T909" s="842"/>
      <c r="U909" s="842"/>
      <c r="V909" s="842"/>
      <c r="W909" s="842"/>
      <c r="X909" s="842"/>
      <c r="Y909" s="842"/>
      <c r="Z909" s="842"/>
      <c r="AA909" s="2209"/>
      <c r="AB909" s="2209"/>
      <c r="AC909" s="346"/>
    </row>
    <row r="910" spans="1:29" ht="18.75" customHeight="1" x14ac:dyDescent="0.2">
      <c r="A910" s="341"/>
      <c r="B910" s="345"/>
      <c r="C910" s="442" t="str">
        <f t="shared" si="87"/>
        <v xml:space="preserve">Sulphur </v>
      </c>
      <c r="D910" s="842" t="str">
        <f t="shared" ref="D910:D915" ca="1" si="88">D829</f>
        <v>wt%</v>
      </c>
      <c r="E910" s="358">
        <f ca="1">F829</f>
        <v>0</v>
      </c>
      <c r="F910" s="842">
        <f ca="1">G954</f>
        <v>0</v>
      </c>
      <c r="G910" s="842">
        <f ca="1">G955</f>
        <v>0</v>
      </c>
      <c r="H910" s="842">
        <f ca="1">G956</f>
        <v>0</v>
      </c>
      <c r="I910" s="337">
        <f ca="1">K829</f>
        <v>0</v>
      </c>
      <c r="J910" s="842"/>
      <c r="K910" s="842"/>
      <c r="L910" s="842"/>
      <c r="M910" s="842"/>
      <c r="N910" s="842"/>
      <c r="O910" s="842"/>
      <c r="P910" s="842"/>
      <c r="Q910" s="842"/>
      <c r="R910" s="842"/>
      <c r="S910" s="842"/>
      <c r="T910" s="842"/>
      <c r="U910" s="842"/>
      <c r="V910" s="842"/>
      <c r="W910" s="842"/>
      <c r="X910" s="842"/>
      <c r="Y910" s="842"/>
      <c r="Z910" s="842"/>
      <c r="AA910" s="2209"/>
      <c r="AB910" s="2209"/>
      <c r="AC910" s="346"/>
    </row>
    <row r="911" spans="1:29" ht="18.75" customHeight="1" x14ac:dyDescent="0.2">
      <c r="A911" s="341"/>
      <c r="B911" s="345"/>
      <c r="C911" s="442" t="str">
        <f t="shared" si="87"/>
        <v xml:space="preserve">Nitrogen </v>
      </c>
      <c r="D911" s="842" t="str">
        <f t="shared" ca="1" si="88"/>
        <v>mass ppm</v>
      </c>
      <c r="E911" s="358">
        <f t="shared" si="86"/>
        <v>0</v>
      </c>
      <c r="F911" s="842"/>
      <c r="G911" s="842"/>
      <c r="H911" s="842"/>
      <c r="I911" s="337"/>
      <c r="J911" s="842"/>
      <c r="K911" s="842"/>
      <c r="L911" s="842"/>
      <c r="M911" s="842"/>
      <c r="N911" s="842"/>
      <c r="O911" s="842"/>
      <c r="P911" s="842"/>
      <c r="Q911" s="842"/>
      <c r="R911" s="842"/>
      <c r="S911" s="842"/>
      <c r="T911" s="842"/>
      <c r="U911" s="842"/>
      <c r="V911" s="842"/>
      <c r="W911" s="842"/>
      <c r="X911" s="842"/>
      <c r="Y911" s="842"/>
      <c r="Z911" s="842"/>
      <c r="AA911" s="2209"/>
      <c r="AB911" s="2209"/>
      <c r="AC911" s="346"/>
    </row>
    <row r="912" spans="1:29" ht="18.75" customHeight="1" x14ac:dyDescent="0.2">
      <c r="A912" s="341"/>
      <c r="B912" s="345"/>
      <c r="C912" s="442" t="str">
        <f t="shared" si="87"/>
        <v xml:space="preserve">API gravity </v>
      </c>
      <c r="D912" s="842" t="str">
        <f t="shared" ca="1" si="88"/>
        <v>oAPI</v>
      </c>
      <c r="E912" s="358">
        <f t="shared" si="86"/>
        <v>23.067678464982521</v>
      </c>
      <c r="F912" s="842">
        <f ca="1">141.5/(F913/1000)-131.5</f>
        <v>61.279291553095874</v>
      </c>
      <c r="G912" s="842">
        <f ca="1">141.5/(G913/1000)-131.5</f>
        <v>33.034883720929088</v>
      </c>
      <c r="H912" s="842">
        <f ca="1">141.5/(H913/1000)-131.5</f>
        <v>16.203549060553797</v>
      </c>
      <c r="I912" s="337">
        <f>K831</f>
        <v>-1.8024747937671748</v>
      </c>
      <c r="J912" s="842"/>
      <c r="K912" s="842"/>
      <c r="L912" s="842"/>
      <c r="M912" s="842"/>
      <c r="N912" s="842"/>
      <c r="O912" s="842"/>
      <c r="P912" s="842"/>
      <c r="Q912" s="842"/>
      <c r="R912" s="842"/>
      <c r="S912" s="842"/>
      <c r="T912" s="842"/>
      <c r="U912" s="842"/>
      <c r="V912" s="842"/>
      <c r="W912" s="842"/>
      <c r="X912" s="842"/>
      <c r="Y912" s="842"/>
      <c r="Z912" s="842"/>
      <c r="AA912" s="2209"/>
      <c r="AB912" s="2209"/>
      <c r="AC912" s="346"/>
    </row>
    <row r="913" spans="1:29" ht="18.75" customHeight="1" x14ac:dyDescent="0.2">
      <c r="A913" s="341"/>
      <c r="B913" s="345"/>
      <c r="C913" s="442" t="str">
        <f t="shared" si="87"/>
        <v>Density</v>
      </c>
      <c r="D913" s="842" t="str">
        <f t="shared" ca="1" si="88"/>
        <v>kg/m^3</v>
      </c>
      <c r="E913" s="358">
        <f t="shared" si="86"/>
        <v>915.4565909590018</v>
      </c>
      <c r="F913" s="842">
        <f ca="1">F909/F908</f>
        <v>734.00000000014336</v>
      </c>
      <c r="G913" s="842">
        <f ca="1">F955</f>
        <v>860.00000000000603</v>
      </c>
      <c r="H913" s="842">
        <f ca="1">F956</f>
        <v>957.99999999992872</v>
      </c>
      <c r="I913" s="337">
        <f>K832</f>
        <v>1091</v>
      </c>
      <c r="J913" s="842"/>
      <c r="K913" s="842"/>
      <c r="L913" s="842"/>
      <c r="M913" s="842"/>
      <c r="N913" s="842"/>
      <c r="O913" s="842"/>
      <c r="P913" s="842"/>
      <c r="Q913" s="842"/>
      <c r="R913" s="842"/>
      <c r="S913" s="842"/>
      <c r="T913" s="842"/>
      <c r="U913" s="842"/>
      <c r="V913" s="842"/>
      <c r="W913" s="842"/>
      <c r="X913" s="842"/>
      <c r="Y913" s="842"/>
      <c r="Z913" s="842"/>
      <c r="AA913" s="2209"/>
      <c r="AB913" s="2209"/>
      <c r="AC913" s="346"/>
    </row>
    <row r="914" spans="1:29" ht="18.75" customHeight="1" x14ac:dyDescent="0.2">
      <c r="A914" s="341"/>
      <c r="B914" s="345"/>
      <c r="C914" s="442" t="str">
        <f t="shared" si="87"/>
        <v>Hydrogen</v>
      </c>
      <c r="D914" s="842" t="str">
        <f t="shared" ca="1" si="88"/>
        <v>wt%</v>
      </c>
      <c r="E914" s="358">
        <f ca="1">F833</f>
        <v>1.9999999999999993</v>
      </c>
      <c r="F914" s="842">
        <f ca="1">H954</f>
        <v>13.689999999998561</v>
      </c>
      <c r="G914" s="842">
        <f ca="1">H955</f>
        <v>12.609999999999648</v>
      </c>
      <c r="H914" s="842">
        <f ca="1">H956</f>
        <v>11.160000000000947</v>
      </c>
      <c r="I914" s="337">
        <f ca="1">K833</f>
        <v>1.2084320369426369</v>
      </c>
      <c r="J914" s="842"/>
      <c r="K914" s="842"/>
      <c r="L914" s="842"/>
      <c r="M914" s="842"/>
      <c r="N914" s="842"/>
      <c r="O914" s="842"/>
      <c r="P914" s="842"/>
      <c r="Q914" s="842"/>
      <c r="R914" s="842"/>
      <c r="S914" s="842"/>
      <c r="T914" s="842"/>
      <c r="U914" s="842"/>
      <c r="V914" s="842"/>
      <c r="W914" s="842"/>
      <c r="X914" s="842"/>
      <c r="Y914" s="842"/>
      <c r="Z914" s="842"/>
      <c r="AA914" s="2209"/>
      <c r="AB914" s="2209"/>
      <c r="AC914" s="346"/>
    </row>
    <row r="915" spans="1:29" ht="18.75" customHeight="1" x14ac:dyDescent="0.2">
      <c r="A915" s="341"/>
      <c r="B915" s="345"/>
      <c r="C915" s="443" t="str">
        <f t="shared" si="87"/>
        <v>MCR</v>
      </c>
      <c r="D915" s="334" t="str">
        <f t="shared" ca="1" si="88"/>
        <v>wt%</v>
      </c>
      <c r="E915" s="334">
        <f>G834</f>
        <v>0</v>
      </c>
      <c r="F915" s="334">
        <f>HydroRefineryCalcs!L834</f>
        <v>0</v>
      </c>
      <c r="G915" s="334">
        <f>I834</f>
        <v>0</v>
      </c>
      <c r="H915" s="334">
        <f>J834</f>
        <v>0</v>
      </c>
      <c r="I915" s="338">
        <f>K834</f>
        <v>0</v>
      </c>
      <c r="J915" s="842"/>
      <c r="K915" s="842"/>
      <c r="L915" s="842"/>
      <c r="M915" s="842"/>
      <c r="N915" s="842"/>
      <c r="O915" s="842"/>
      <c r="P915" s="842"/>
      <c r="Q915" s="842"/>
      <c r="R915" s="842"/>
      <c r="S915" s="842"/>
      <c r="T915" s="842"/>
      <c r="U915" s="842"/>
      <c r="V915" s="842"/>
      <c r="W915" s="842"/>
      <c r="X915" s="842"/>
      <c r="Y915" s="842"/>
      <c r="Z915" s="842"/>
      <c r="AA915" s="2209"/>
      <c r="AB915" s="2209"/>
      <c r="AC915" s="346"/>
    </row>
    <row r="916" spans="1:29" ht="18.75" customHeight="1" x14ac:dyDescent="0.2">
      <c r="A916" s="341"/>
      <c r="B916" s="345"/>
      <c r="C916" s="437"/>
      <c r="D916" s="842"/>
      <c r="E916" s="842"/>
      <c r="F916" s="842"/>
      <c r="G916" s="842"/>
      <c r="H916" s="842"/>
      <c r="I916" s="842"/>
      <c r="J916" s="842"/>
      <c r="K916" s="842"/>
      <c r="L916" s="842"/>
      <c r="M916" s="842"/>
      <c r="N916" s="842"/>
      <c r="O916" s="842"/>
      <c r="P916" s="842"/>
      <c r="Q916" s="842"/>
      <c r="R916" s="842"/>
      <c r="S916" s="842"/>
      <c r="T916" s="842"/>
      <c r="U916" s="842"/>
      <c r="V916" s="842"/>
      <c r="W916" s="842"/>
      <c r="X916" s="842"/>
      <c r="Y916" s="842"/>
      <c r="Z916" s="842"/>
      <c r="AA916" s="2209"/>
      <c r="AB916" s="2209"/>
      <c r="AC916" s="346"/>
    </row>
    <row r="917" spans="1:29" ht="18.75" customHeight="1" x14ac:dyDescent="0.2">
      <c r="A917" s="341"/>
      <c r="B917" s="345"/>
      <c r="C917" s="843" t="s">
        <v>308</v>
      </c>
      <c r="D917" s="842"/>
      <c r="E917" s="842"/>
      <c r="F917" s="842"/>
      <c r="G917" s="842"/>
      <c r="H917" s="842"/>
      <c r="I917" s="842"/>
      <c r="J917" s="842"/>
      <c r="K917" s="842"/>
      <c r="L917" s="842"/>
      <c r="M917" s="842"/>
      <c r="N917" s="842"/>
      <c r="O917" s="842"/>
      <c r="P917" s="842"/>
      <c r="Q917" s="842"/>
      <c r="R917" s="842"/>
      <c r="S917" s="842"/>
      <c r="T917" s="842"/>
      <c r="U917" s="842"/>
      <c r="V917" s="842"/>
      <c r="W917" s="842"/>
      <c r="X917" s="842"/>
      <c r="Y917" s="842"/>
      <c r="Z917" s="842"/>
      <c r="AA917" s="2209"/>
      <c r="AB917" s="2209"/>
      <c r="AC917" s="346"/>
    </row>
    <row r="918" spans="1:29" ht="18.75" customHeight="1" x14ac:dyDescent="0.2">
      <c r="A918" s="341"/>
      <c r="B918" s="345"/>
      <c r="C918" s="855"/>
      <c r="D918" s="351" t="s">
        <v>233</v>
      </c>
      <c r="E918" s="352" t="s">
        <v>623</v>
      </c>
      <c r="F918" s="842"/>
      <c r="G918" s="839"/>
      <c r="H918" s="839"/>
      <c r="I918" s="839"/>
      <c r="J918" s="842"/>
      <c r="K918" s="842"/>
      <c r="L918" s="842"/>
      <c r="M918" s="842"/>
      <c r="N918" s="842"/>
      <c r="O918" s="842"/>
      <c r="P918" s="842"/>
      <c r="Q918" s="842"/>
      <c r="R918" s="842"/>
      <c r="S918" s="842"/>
      <c r="T918" s="842"/>
      <c r="U918" s="842"/>
      <c r="V918" s="842"/>
      <c r="W918" s="842"/>
      <c r="X918" s="842"/>
      <c r="Y918" s="842"/>
      <c r="Z918" s="842"/>
      <c r="AA918" s="2209"/>
      <c r="AB918" s="2209"/>
      <c r="AC918" s="346"/>
    </row>
    <row r="919" spans="1:29" ht="18.75" customHeight="1" x14ac:dyDescent="0.2">
      <c r="A919" s="341"/>
      <c r="B919" s="345"/>
      <c r="C919" s="453" t="s">
        <v>494</v>
      </c>
      <c r="D919" s="410">
        <v>180000</v>
      </c>
      <c r="E919" s="337" t="s">
        <v>611</v>
      </c>
      <c r="F919" s="842"/>
      <c r="G919" s="842"/>
      <c r="H919" s="842"/>
      <c r="I919" s="842"/>
      <c r="J919" s="842"/>
      <c r="K919" s="842"/>
      <c r="L919" s="842"/>
      <c r="M919" s="842"/>
      <c r="N919" s="842"/>
      <c r="O919" s="842"/>
      <c r="P919" s="842"/>
      <c r="Q919" s="842"/>
      <c r="R919" s="842"/>
      <c r="S919" s="842"/>
      <c r="T919" s="842"/>
      <c r="U919" s="842"/>
      <c r="V919" s="842"/>
      <c r="W919" s="842"/>
      <c r="X919" s="842"/>
      <c r="Y919" s="842"/>
      <c r="Z919" s="842"/>
      <c r="AA919" s="2209"/>
      <c r="AB919" s="2209"/>
      <c r="AC919" s="346"/>
    </row>
    <row r="920" spans="1:29" ht="18.75" customHeight="1" x14ac:dyDescent="0.2">
      <c r="A920" s="341"/>
      <c r="B920" s="345"/>
      <c r="C920" s="453" t="s">
        <v>925</v>
      </c>
      <c r="D920" s="410">
        <f>Constants!H273</f>
        <v>45</v>
      </c>
      <c r="E920" s="337" t="s">
        <v>637</v>
      </c>
      <c r="F920" s="842"/>
      <c r="G920" s="361"/>
      <c r="H920" s="842"/>
      <c r="I920" s="842"/>
      <c r="J920" s="842"/>
      <c r="K920" s="842"/>
      <c r="L920" s="842"/>
      <c r="M920" s="842"/>
      <c r="N920" s="842"/>
      <c r="O920" s="842"/>
      <c r="P920" s="842"/>
      <c r="Q920" s="842"/>
      <c r="R920" s="842"/>
      <c r="S920" s="842"/>
      <c r="T920" s="842"/>
      <c r="U920" s="842"/>
      <c r="V920" s="842"/>
      <c r="W920" s="842"/>
      <c r="X920" s="842"/>
      <c r="Y920" s="842"/>
      <c r="Z920" s="842"/>
      <c r="AA920" s="2209"/>
      <c r="AB920" s="2209"/>
      <c r="AC920" s="346"/>
    </row>
    <row r="921" spans="1:29" ht="18.75" customHeight="1" x14ac:dyDescent="0.2">
      <c r="A921" s="341"/>
      <c r="B921" s="345"/>
      <c r="C921" s="453" t="s">
        <v>360</v>
      </c>
      <c r="D921" s="842">
        <f ca="1">D920*('Energy &amp; Unit Conversions'!P25*'Energy &amp; Unit Conversions'!G82/G908*E907)</f>
        <v>758.23451804000297</v>
      </c>
      <c r="E921" s="337" t="s">
        <v>630</v>
      </c>
      <c r="F921" s="842"/>
      <c r="G921" s="361"/>
      <c r="H921" s="842"/>
      <c r="I921" s="842"/>
      <c r="J921" s="842"/>
      <c r="K921" s="842"/>
      <c r="L921" s="842"/>
      <c r="M921" s="842"/>
      <c r="N921" s="842"/>
      <c r="O921" s="842"/>
      <c r="P921" s="842"/>
      <c r="Q921" s="842"/>
      <c r="R921" s="842"/>
      <c r="S921" s="842"/>
      <c r="T921" s="842"/>
      <c r="U921" s="842"/>
      <c r="V921" s="842"/>
      <c r="W921" s="842"/>
      <c r="X921" s="842"/>
      <c r="Y921" s="842"/>
      <c r="Z921" s="842"/>
      <c r="AA921" s="2209"/>
      <c r="AB921" s="2209"/>
      <c r="AC921" s="346"/>
    </row>
    <row r="922" spans="1:29" ht="18.75" customHeight="1" x14ac:dyDescent="0.2">
      <c r="A922" s="341"/>
      <c r="B922" s="345"/>
      <c r="C922" s="453" t="s">
        <v>361</v>
      </c>
      <c r="D922" s="842">
        <f ca="1">D921*G908*'Energy &amp; Unit Conversions'!G87</f>
        <v>3.3356616567923842E-20</v>
      </c>
      <c r="E922" s="337" t="s">
        <v>632</v>
      </c>
      <c r="F922" s="842"/>
      <c r="G922" s="842"/>
      <c r="H922" s="842"/>
      <c r="I922" s="842"/>
      <c r="J922" s="842"/>
      <c r="K922" s="842"/>
      <c r="L922" s="842"/>
      <c r="M922" s="842"/>
      <c r="N922" s="842"/>
      <c r="O922" s="842"/>
      <c r="P922" s="842"/>
      <c r="Q922" s="842"/>
      <c r="R922" s="842"/>
      <c r="S922" s="842"/>
      <c r="T922" s="842"/>
      <c r="U922" s="842"/>
      <c r="V922" s="842"/>
      <c r="W922" s="842"/>
      <c r="X922" s="842"/>
      <c r="Y922" s="842"/>
      <c r="Z922" s="842"/>
      <c r="AA922" s="2209"/>
      <c r="AB922" s="2209"/>
      <c r="AC922" s="346"/>
    </row>
    <row r="923" spans="1:29" ht="18.75" customHeight="1" x14ac:dyDescent="0.2">
      <c r="A923" s="341"/>
      <c r="B923" s="345"/>
      <c r="C923" s="453" t="s">
        <v>927</v>
      </c>
      <c r="D923" s="842">
        <f ca="1">D920*E907/1000</f>
        <v>2.9372162974566019E-18</v>
      </c>
      <c r="E923" s="337" t="s">
        <v>928</v>
      </c>
      <c r="F923" s="842"/>
      <c r="G923" s="842"/>
      <c r="H923" s="842"/>
      <c r="I923" s="842"/>
      <c r="J923" s="842"/>
      <c r="K923" s="842"/>
      <c r="L923" s="842"/>
      <c r="M923" s="842"/>
      <c r="N923" s="842"/>
      <c r="O923" s="842"/>
      <c r="P923" s="842"/>
      <c r="Q923" s="842"/>
      <c r="R923" s="842"/>
      <c r="S923" s="842"/>
      <c r="T923" s="842"/>
      <c r="U923" s="842"/>
      <c r="V923" s="842"/>
      <c r="W923" s="842"/>
      <c r="X923" s="842"/>
      <c r="Y923" s="842"/>
      <c r="Z923" s="842"/>
      <c r="AA923" s="2209"/>
      <c r="AB923" s="2209"/>
      <c r="AC923" s="346"/>
    </row>
    <row r="924" spans="1:29" ht="18.75" customHeight="1" x14ac:dyDescent="0.2">
      <c r="A924" s="341"/>
      <c r="B924" s="345"/>
      <c r="C924" s="454" t="s">
        <v>1471</v>
      </c>
      <c r="D924" s="854">
        <f>Constants!H278</f>
        <v>5</v>
      </c>
      <c r="E924" s="369" t="s">
        <v>496</v>
      </c>
      <c r="F924" s="842"/>
      <c r="G924" s="842"/>
      <c r="H924" s="842"/>
      <c r="I924" s="842"/>
      <c r="J924" s="842"/>
      <c r="K924" s="842"/>
      <c r="L924" s="842"/>
      <c r="M924" s="842"/>
      <c r="N924" s="842"/>
      <c r="O924" s="842"/>
      <c r="P924" s="842"/>
      <c r="Q924" s="842"/>
      <c r="R924" s="842"/>
      <c r="S924" s="842"/>
      <c r="T924" s="842"/>
      <c r="U924" s="842"/>
      <c r="V924" s="842"/>
      <c r="W924" s="842"/>
      <c r="X924" s="842"/>
      <c r="Y924" s="842"/>
      <c r="Z924" s="842"/>
      <c r="AA924" s="2209"/>
      <c r="AB924" s="2209"/>
      <c r="AC924" s="346"/>
    </row>
    <row r="925" spans="1:29" ht="18.75" customHeight="1" x14ac:dyDescent="0.2">
      <c r="A925" s="341"/>
      <c r="B925" s="345"/>
      <c r="C925" s="453" t="s">
        <v>1471</v>
      </c>
      <c r="D925" s="842">
        <f>D924*'Energy &amp; Unit Conversions'!G79/'Energy &amp; Unit Conversions'!G80</f>
        <v>14.265050415976624</v>
      </c>
      <c r="E925" s="337" t="s">
        <v>581</v>
      </c>
      <c r="F925" s="842"/>
      <c r="G925" s="842"/>
      <c r="H925" s="842"/>
      <c r="I925" s="842"/>
      <c r="J925" s="842"/>
      <c r="K925" s="842"/>
      <c r="L925" s="842"/>
      <c r="M925" s="842"/>
      <c r="N925" s="842"/>
      <c r="O925" s="842"/>
      <c r="P925" s="842"/>
      <c r="Q925" s="842"/>
      <c r="R925" s="842"/>
      <c r="S925" s="842"/>
      <c r="T925" s="842"/>
      <c r="U925" s="842"/>
      <c r="V925" s="842"/>
      <c r="W925" s="842"/>
      <c r="X925" s="842"/>
      <c r="Y925" s="842"/>
      <c r="Z925" s="842"/>
      <c r="AA925" s="2209"/>
      <c r="AB925" s="2209"/>
      <c r="AC925" s="346"/>
    </row>
    <row r="926" spans="1:29" ht="18.75" customHeight="1" x14ac:dyDescent="0.2">
      <c r="A926" s="341"/>
      <c r="B926" s="345"/>
      <c r="C926" s="452" t="s">
        <v>1472</v>
      </c>
      <c r="D926" s="334">
        <f ca="1">D925*H908</f>
        <v>3.7266151304457246E-17</v>
      </c>
      <c r="E926" s="338" t="s">
        <v>622</v>
      </c>
      <c r="F926" s="842"/>
      <c r="G926" s="842"/>
      <c r="H926" s="842"/>
      <c r="I926" s="842"/>
      <c r="J926" s="842"/>
      <c r="K926" s="842"/>
      <c r="L926" s="842"/>
      <c r="M926" s="842"/>
      <c r="N926" s="842"/>
      <c r="O926" s="842"/>
      <c r="P926" s="842"/>
      <c r="Q926" s="842"/>
      <c r="R926" s="842"/>
      <c r="S926" s="842"/>
      <c r="T926" s="842"/>
      <c r="U926" s="842"/>
      <c r="V926" s="842"/>
      <c r="W926" s="842"/>
      <c r="X926" s="842"/>
      <c r="Y926" s="842"/>
      <c r="Z926" s="842"/>
      <c r="AA926" s="2209"/>
      <c r="AB926" s="2209"/>
      <c r="AC926" s="346"/>
    </row>
    <row r="927" spans="1:29" ht="18.75" customHeight="1" x14ac:dyDescent="0.2">
      <c r="A927" s="341"/>
      <c r="B927" s="345"/>
      <c r="C927" s="453" t="s">
        <v>451</v>
      </c>
      <c r="D927" s="410">
        <f>Constants!H279</f>
        <v>0.5</v>
      </c>
      <c r="E927" s="337" t="s">
        <v>665</v>
      </c>
      <c r="F927" s="842"/>
      <c r="G927" s="842"/>
      <c r="H927" s="842"/>
      <c r="I927" s="842"/>
      <c r="J927" s="842"/>
      <c r="K927" s="842"/>
      <c r="L927" s="842"/>
      <c r="M927" s="842"/>
      <c r="N927" s="842"/>
      <c r="O927" s="842"/>
      <c r="P927" s="842"/>
      <c r="Q927" s="842"/>
      <c r="R927" s="842"/>
      <c r="S927" s="842"/>
      <c r="T927" s="842"/>
      <c r="U927" s="842"/>
      <c r="V927" s="842"/>
      <c r="W927" s="842"/>
      <c r="X927" s="842"/>
      <c r="Y927" s="842"/>
      <c r="Z927" s="842"/>
      <c r="AA927" s="2209"/>
      <c r="AB927" s="2209"/>
      <c r="AC927" s="346"/>
    </row>
    <row r="928" spans="1:29" ht="18.75" customHeight="1" x14ac:dyDescent="0.2">
      <c r="A928" s="341"/>
      <c r="B928" s="345"/>
      <c r="C928" s="453" t="s">
        <v>451</v>
      </c>
      <c r="D928" s="842">
        <f>D927/'Energy &amp; Unit Conversions'!G80</f>
        <v>3.144905284887535</v>
      </c>
      <c r="E928" s="337" t="s">
        <v>629</v>
      </c>
      <c r="F928" s="842"/>
      <c r="G928" s="842"/>
      <c r="H928" s="842"/>
      <c r="I928" s="842"/>
      <c r="J928" s="842"/>
      <c r="K928" s="842"/>
      <c r="L928" s="842"/>
      <c r="M928" s="842"/>
      <c r="N928" s="842"/>
      <c r="O928" s="842"/>
      <c r="P928" s="842"/>
      <c r="Q928" s="842"/>
      <c r="R928" s="842"/>
      <c r="S928" s="842"/>
      <c r="T928" s="842"/>
      <c r="U928" s="842"/>
      <c r="V928" s="842"/>
      <c r="W928" s="842"/>
      <c r="X928" s="842"/>
      <c r="Y928" s="842"/>
      <c r="Z928" s="842"/>
      <c r="AA928" s="2209"/>
      <c r="AB928" s="2209"/>
      <c r="AC928" s="346"/>
    </row>
    <row r="929" spans="1:29" ht="18.75" customHeight="1" x14ac:dyDescent="0.2">
      <c r="A929" s="341"/>
      <c r="B929" s="345"/>
      <c r="C929" s="452" t="s">
        <v>452</v>
      </c>
      <c r="D929" s="334">
        <f ca="1">E908*D928</f>
        <v>3.2635736638406688E-17</v>
      </c>
      <c r="E929" s="338" t="s">
        <v>627</v>
      </c>
      <c r="F929" s="842"/>
      <c r="G929" s="842"/>
      <c r="H929" s="842"/>
      <c r="I929" s="842"/>
      <c r="J929" s="842"/>
      <c r="K929" s="842"/>
      <c r="L929" s="842"/>
      <c r="M929" s="842"/>
      <c r="N929" s="842"/>
      <c r="O929" s="842"/>
      <c r="P929" s="842"/>
      <c r="Q929" s="842"/>
      <c r="R929" s="842"/>
      <c r="S929" s="842"/>
      <c r="T929" s="842"/>
      <c r="U929" s="842"/>
      <c r="V929" s="842"/>
      <c r="W929" s="842"/>
      <c r="X929" s="842"/>
      <c r="Y929" s="842"/>
      <c r="Z929" s="842"/>
      <c r="AA929" s="2209"/>
      <c r="AB929" s="2209"/>
      <c r="AC929" s="346"/>
    </row>
    <row r="930" spans="1:29" ht="18.75" customHeight="1" x14ac:dyDescent="0.2">
      <c r="A930" s="341"/>
      <c r="B930" s="345"/>
      <c r="C930" s="437"/>
      <c r="D930" s="842"/>
      <c r="E930" s="842"/>
      <c r="F930" s="842"/>
      <c r="G930" s="842"/>
      <c r="H930" s="842"/>
      <c r="I930" s="842"/>
      <c r="J930" s="842"/>
      <c r="K930" s="842"/>
      <c r="L930" s="842"/>
      <c r="M930" s="842"/>
      <c r="N930" s="842"/>
      <c r="O930" s="842"/>
      <c r="P930" s="842"/>
      <c r="Q930" s="842"/>
      <c r="R930" s="842"/>
      <c r="S930" s="842"/>
      <c r="T930" s="842"/>
      <c r="U930" s="842"/>
      <c r="V930" s="842"/>
      <c r="W930" s="842"/>
      <c r="X930" s="842"/>
      <c r="Y930" s="842"/>
      <c r="Z930" s="842"/>
      <c r="AA930" s="2209"/>
      <c r="AB930" s="2209"/>
      <c r="AC930" s="346"/>
    </row>
    <row r="931" spans="1:29" ht="18.75" customHeight="1" x14ac:dyDescent="0.2">
      <c r="A931" s="341"/>
      <c r="B931" s="345"/>
      <c r="C931" s="843" t="s">
        <v>572</v>
      </c>
      <c r="D931" s="842"/>
      <c r="E931" s="842"/>
      <c r="F931" s="842"/>
      <c r="G931" s="842"/>
      <c r="H931" s="842"/>
      <c r="I931" s="842"/>
      <c r="J931" s="842"/>
      <c r="K931" s="842"/>
      <c r="L931" s="842"/>
      <c r="M931" s="842"/>
      <c r="N931" s="842"/>
      <c r="O931" s="842"/>
      <c r="P931" s="842"/>
      <c r="Q931" s="842"/>
      <c r="R931" s="842"/>
      <c r="S931" s="842"/>
      <c r="T931" s="842"/>
      <c r="U931" s="842"/>
      <c r="V931" s="842"/>
      <c r="W931" s="842"/>
      <c r="X931" s="842"/>
      <c r="Y931" s="842"/>
      <c r="Z931" s="842"/>
      <c r="AA931" s="2209"/>
      <c r="AB931" s="2209"/>
      <c r="AC931" s="346"/>
    </row>
    <row r="932" spans="1:29" ht="18.75" customHeight="1" x14ac:dyDescent="0.2">
      <c r="A932" s="341"/>
      <c r="B932" s="345"/>
      <c r="C932" s="454"/>
      <c r="D932" s="356" t="s">
        <v>1197</v>
      </c>
      <c r="E932" s="356" t="s">
        <v>1199</v>
      </c>
      <c r="F932" s="356" t="s">
        <v>1198</v>
      </c>
      <c r="G932" s="356" t="s">
        <v>663</v>
      </c>
      <c r="H932" s="357" t="s">
        <v>662</v>
      </c>
      <c r="I932" s="842"/>
      <c r="J932" s="842"/>
      <c r="K932" s="842"/>
      <c r="L932" s="842"/>
      <c r="M932" s="842"/>
      <c r="N932" s="842"/>
      <c r="O932" s="842"/>
      <c r="P932" s="842"/>
      <c r="Q932" s="842"/>
      <c r="R932" s="842"/>
      <c r="S932" s="842"/>
      <c r="T932" s="842"/>
      <c r="U932" s="842"/>
      <c r="V932" s="842"/>
      <c r="W932" s="842"/>
      <c r="X932" s="842"/>
      <c r="Y932" s="842"/>
      <c r="Z932" s="842"/>
      <c r="AA932" s="2209"/>
      <c r="AB932" s="2209"/>
      <c r="AC932" s="346"/>
    </row>
    <row r="933" spans="1:29" ht="18.75" customHeight="1" x14ac:dyDescent="0.2">
      <c r="A933" s="341"/>
      <c r="B933" s="345"/>
      <c r="C933" s="442" t="s">
        <v>572</v>
      </c>
      <c r="D933" s="842">
        <f ca="1">H826</f>
        <v>1.0504210321326036E-17</v>
      </c>
      <c r="E933" s="842">
        <f>H832</f>
        <v>734</v>
      </c>
      <c r="F933" s="842">
        <f ca="1">H828</f>
        <v>1.225806451612903E-15</v>
      </c>
      <c r="G933" s="842">
        <f ca="1">H829</f>
        <v>0</v>
      </c>
      <c r="H933" s="337">
        <f>G886</f>
        <v>13.69</v>
      </c>
      <c r="I933" s="842"/>
      <c r="J933" s="842"/>
      <c r="K933" s="842"/>
      <c r="L933" s="842"/>
      <c r="M933" s="842"/>
      <c r="N933" s="842"/>
      <c r="O933" s="842"/>
      <c r="P933" s="842"/>
      <c r="Q933" s="842"/>
      <c r="R933" s="842"/>
      <c r="S933" s="842"/>
      <c r="T933" s="842"/>
      <c r="U933" s="842"/>
      <c r="V933" s="842"/>
      <c r="W933" s="842"/>
      <c r="X933" s="842"/>
      <c r="Y933" s="842"/>
      <c r="Z933" s="842"/>
      <c r="AA933" s="2209"/>
      <c r="AB933" s="2209"/>
      <c r="AC933" s="346"/>
    </row>
    <row r="934" spans="1:29" ht="18.75" customHeight="1" x14ac:dyDescent="0.2">
      <c r="A934" s="341"/>
      <c r="B934" s="345"/>
      <c r="C934" s="442" t="s">
        <v>573</v>
      </c>
      <c r="D934" s="842">
        <f ca="1">I826</f>
        <v>2.3907256979390112E-17</v>
      </c>
      <c r="E934" s="842">
        <f>I832</f>
        <v>860</v>
      </c>
      <c r="F934" s="842">
        <f ca="1">I828</f>
        <v>3.2688172043010746E-15</v>
      </c>
      <c r="G934" s="842">
        <f ca="1">I829</f>
        <v>0</v>
      </c>
      <c r="H934" s="337">
        <f>G887</f>
        <v>12.61</v>
      </c>
      <c r="I934" s="842"/>
      <c r="J934" s="842"/>
      <c r="K934" s="842"/>
      <c r="L934" s="842"/>
      <c r="M934" s="842"/>
      <c r="N934" s="842"/>
      <c r="O934" s="842"/>
      <c r="P934" s="842"/>
      <c r="Q934" s="842"/>
      <c r="R934" s="842"/>
      <c r="S934" s="842"/>
      <c r="T934" s="842"/>
      <c r="U934" s="842"/>
      <c r="V934" s="842"/>
      <c r="W934" s="842"/>
      <c r="X934" s="842"/>
      <c r="Y934" s="842"/>
      <c r="Z934" s="842"/>
      <c r="AA934" s="2209"/>
      <c r="AB934" s="2209"/>
      <c r="AC934" s="346"/>
    </row>
    <row r="935" spans="1:29" ht="18.75" customHeight="1" x14ac:dyDescent="0.2">
      <c r="A935" s="341"/>
      <c r="B935" s="345"/>
      <c r="C935" s="442" t="s">
        <v>435</v>
      </c>
      <c r="D935" s="842">
        <f ca="1">J826</f>
        <v>1.6431560039005402E-17</v>
      </c>
      <c r="E935" s="842">
        <f>J832</f>
        <v>958</v>
      </c>
      <c r="F935" s="842">
        <f ca="1">J828</f>
        <v>2.5026881720430105E-15</v>
      </c>
      <c r="G935" s="842">
        <f ca="1">J829</f>
        <v>0</v>
      </c>
      <c r="H935" s="337">
        <f>G888</f>
        <v>11.16</v>
      </c>
      <c r="I935" s="842"/>
      <c r="J935" s="842"/>
      <c r="K935" s="842"/>
      <c r="L935" s="839"/>
      <c r="M935" s="839"/>
      <c r="N935" s="839"/>
      <c r="O935" s="839"/>
      <c r="P935" s="842"/>
      <c r="Q935" s="842"/>
      <c r="R935" s="842"/>
      <c r="S935" s="842"/>
      <c r="T935" s="842"/>
      <c r="U935" s="842"/>
      <c r="V935" s="842"/>
      <c r="W935" s="842"/>
      <c r="X935" s="842"/>
      <c r="Y935" s="842"/>
      <c r="Z935" s="842"/>
      <c r="AA935" s="2209"/>
      <c r="AB935" s="2209"/>
      <c r="AC935" s="346"/>
    </row>
    <row r="936" spans="1:29" ht="18.75" customHeight="1" x14ac:dyDescent="0.2">
      <c r="A936" s="341"/>
      <c r="B936" s="345"/>
      <c r="C936" s="452" t="s">
        <v>1200</v>
      </c>
      <c r="D936" s="334">
        <f ca="1">SUM(D933:D935)</f>
        <v>5.0843027339721547E-17</v>
      </c>
      <c r="E936" s="334"/>
      <c r="F936" s="334">
        <f ca="1">SUM(F933:F935)</f>
        <v>6.9973118279569873E-15</v>
      </c>
      <c r="G936" s="334"/>
      <c r="H936" s="338"/>
      <c r="I936" s="842"/>
      <c r="J936" s="842"/>
      <c r="K936" s="842"/>
      <c r="L936" s="842"/>
      <c r="M936" s="842"/>
      <c r="N936" s="842"/>
      <c r="O936" s="842"/>
      <c r="P936" s="842"/>
      <c r="Q936" s="842"/>
      <c r="R936" s="842"/>
      <c r="S936" s="842"/>
      <c r="T936" s="842"/>
      <c r="U936" s="842"/>
      <c r="V936" s="842"/>
      <c r="W936" s="842"/>
      <c r="X936" s="842"/>
      <c r="Y936" s="842"/>
      <c r="Z936" s="842"/>
      <c r="AA936" s="2209"/>
      <c r="AB936" s="2209"/>
      <c r="AC936" s="346"/>
    </row>
    <row r="937" spans="1:29" ht="18.75" customHeight="1" x14ac:dyDescent="0.2">
      <c r="A937" s="341"/>
      <c r="B937" s="345"/>
      <c r="C937" s="437"/>
      <c r="D937" s="842"/>
      <c r="E937" s="842"/>
      <c r="F937" s="842"/>
      <c r="G937" s="842"/>
      <c r="H937" s="842"/>
      <c r="I937" s="842"/>
      <c r="J937" s="842"/>
      <c r="K937" s="842"/>
      <c r="L937" s="842"/>
      <c r="M937" s="842"/>
      <c r="N937" s="842"/>
      <c r="O937" s="842"/>
      <c r="P937" s="842"/>
      <c r="Q937" s="842"/>
      <c r="R937" s="842"/>
      <c r="S937" s="842"/>
      <c r="T937" s="842"/>
      <c r="U937" s="842"/>
      <c r="V937" s="842"/>
      <c r="W937" s="842"/>
      <c r="X937" s="842"/>
      <c r="Y937" s="842"/>
      <c r="Z937" s="842"/>
      <c r="AA937" s="2209"/>
      <c r="AB937" s="2209"/>
      <c r="AC937" s="346"/>
    </row>
    <row r="938" spans="1:29" ht="18.75" customHeight="1" x14ac:dyDescent="0.2">
      <c r="A938" s="341"/>
      <c r="B938" s="345"/>
      <c r="C938" s="843" t="s">
        <v>460</v>
      </c>
      <c r="D938" s="842"/>
      <c r="E938" s="842"/>
      <c r="F938" s="842"/>
      <c r="G938" s="842"/>
      <c r="H938" s="842"/>
      <c r="I938" s="842"/>
      <c r="J938" s="842"/>
      <c r="K938" s="842"/>
      <c r="L938" s="842"/>
      <c r="M938" s="842"/>
      <c r="N938" s="842"/>
      <c r="O938" s="842"/>
      <c r="P938" s="842"/>
      <c r="Q938" s="842"/>
      <c r="R938" s="842"/>
      <c r="S938" s="842"/>
      <c r="T938" s="842"/>
      <c r="U938" s="842"/>
      <c r="V938" s="842"/>
      <c r="W938" s="842"/>
      <c r="X938" s="842"/>
      <c r="Y938" s="842"/>
      <c r="Z938" s="842"/>
      <c r="AA938" s="2209"/>
      <c r="AB938" s="2209"/>
      <c r="AC938" s="346"/>
    </row>
    <row r="939" spans="1:29" ht="18.75" customHeight="1" x14ac:dyDescent="0.2">
      <c r="A939" s="341"/>
      <c r="B939" s="345"/>
      <c r="C939" s="454" t="s">
        <v>75</v>
      </c>
      <c r="D939" s="368"/>
      <c r="E939" s="368"/>
      <c r="F939" s="368"/>
      <c r="G939" s="368"/>
      <c r="H939" s="368"/>
      <c r="I939" s="368"/>
      <c r="J939" s="368"/>
      <c r="K939" s="369"/>
      <c r="L939" s="842"/>
      <c r="M939" s="842"/>
      <c r="N939" s="842"/>
      <c r="O939" s="842"/>
      <c r="P939" s="842"/>
      <c r="Q939" s="842"/>
      <c r="R939" s="842"/>
      <c r="S939" s="842"/>
      <c r="T939" s="842"/>
      <c r="U939" s="842"/>
      <c r="V939" s="842"/>
      <c r="W939" s="842"/>
      <c r="X939" s="842"/>
      <c r="Y939" s="842"/>
      <c r="Z939" s="842"/>
      <c r="AA939" s="2209"/>
      <c r="AB939" s="2209"/>
      <c r="AC939" s="346"/>
    </row>
    <row r="940" spans="1:29" ht="18.75" customHeight="1" x14ac:dyDescent="0.2">
      <c r="A940" s="341"/>
      <c r="B940" s="345"/>
      <c r="C940" s="453"/>
      <c r="D940" s="842"/>
      <c r="E940" s="842"/>
      <c r="F940" s="842"/>
      <c r="G940" s="875" t="s">
        <v>292</v>
      </c>
      <c r="H940" s="875" t="s">
        <v>293</v>
      </c>
      <c r="I940" s="388" t="s">
        <v>294</v>
      </c>
      <c r="J940" s="876" t="s">
        <v>663</v>
      </c>
      <c r="K940" s="877" t="s">
        <v>662</v>
      </c>
      <c r="L940" s="842"/>
      <c r="M940" s="842"/>
      <c r="N940" s="842"/>
      <c r="O940" s="842"/>
      <c r="P940" s="842"/>
      <c r="Q940" s="842"/>
      <c r="R940" s="842"/>
      <c r="S940" s="842"/>
      <c r="T940" s="842"/>
      <c r="U940" s="842"/>
      <c r="V940" s="842"/>
      <c r="W940" s="842"/>
      <c r="X940" s="842"/>
      <c r="Y940" s="842"/>
      <c r="Z940" s="842"/>
      <c r="AA940" s="2209"/>
      <c r="AB940" s="2209"/>
      <c r="AC940" s="346"/>
    </row>
    <row r="941" spans="1:29" ht="18.75" customHeight="1" x14ac:dyDescent="0.2">
      <c r="A941" s="341"/>
      <c r="B941" s="345"/>
      <c r="C941" s="453" t="s">
        <v>572</v>
      </c>
      <c r="D941" s="842">
        <f ca="1">IF(OR(HydroRefineryConfig=3,HydroRefineryConfig=9),HydroRefineryControls!C22,HydroRefineryControls!C36)</f>
        <v>1E-10</v>
      </c>
      <c r="E941" s="842" t="s">
        <v>1194</v>
      </c>
      <c r="F941" s="839" t="s">
        <v>443</v>
      </c>
      <c r="G941" s="842">
        <f ca="1">D941/100*D933+D942/100*D934</f>
        <v>3.4411467300716146E-29</v>
      </c>
      <c r="H941" s="842">
        <f ca="1">D941/100*F933+D942/100*F934</f>
        <v>4.4946236559139776E-27</v>
      </c>
      <c r="I941" s="842">
        <f ca="1">H941/G941/'Energy &amp; Unit Conversions'!G80</f>
        <v>821.53809749171785</v>
      </c>
      <c r="J941" s="842">
        <f ca="1">(D941/100*F933*G933+D942/100*F934*G934)/H941</f>
        <v>0</v>
      </c>
      <c r="K941" s="337">
        <f ca="1">(D941/100*F933*H933+D942/100*F934*H934)/H941</f>
        <v>12.904545454545454</v>
      </c>
      <c r="L941" s="842"/>
      <c r="M941" s="842"/>
      <c r="N941" s="842"/>
      <c r="O941" s="842"/>
      <c r="P941" s="842"/>
      <c r="Q941" s="842"/>
      <c r="R941" s="842"/>
      <c r="S941" s="842"/>
      <c r="T941" s="842"/>
      <c r="U941" s="842"/>
      <c r="V941" s="842"/>
      <c r="W941" s="842"/>
      <c r="X941" s="842"/>
      <c r="Y941" s="842"/>
      <c r="Z941" s="842"/>
      <c r="AA941" s="2209"/>
      <c r="AB941" s="2209"/>
      <c r="AC941" s="346"/>
    </row>
    <row r="942" spans="1:29" ht="18.75" customHeight="1" x14ac:dyDescent="0.2">
      <c r="A942" s="341"/>
      <c r="B942" s="345"/>
      <c r="C942" s="453" t="s">
        <v>573</v>
      </c>
      <c r="D942" s="842">
        <f ca="1">IF(OR(HydroRefineryConfig=3,HydroRefineryConfig=9),HydroRefineryControls!C23,HydroRefineryControls!C37)</f>
        <v>1E-10</v>
      </c>
      <c r="E942" s="842" t="s">
        <v>1194</v>
      </c>
      <c r="F942" s="839" t="s">
        <v>444</v>
      </c>
      <c r="G942" s="842">
        <f ca="1">D942/100*D934+D943/100*D935</f>
        <v>4.0338817018395513E-29</v>
      </c>
      <c r="H942" s="842">
        <f ca="1">D942/100*F934+D943/100*F935</f>
        <v>5.7715053763440854E-27</v>
      </c>
      <c r="I942" s="842">
        <f ca="1">H942/G942/'Energy &amp; Unit Conversions'!G80</f>
        <v>899.91918957584198</v>
      </c>
      <c r="J942" s="842">
        <f ca="1">(D942/100*F934*G934+D943/100*F935*G935)/H942</f>
        <v>0</v>
      </c>
      <c r="K942" s="337">
        <f ca="1">(D942/100*F934*H934+D943/100*F935*H935)/H942</f>
        <v>11.981238938053096</v>
      </c>
      <c r="L942" s="842"/>
      <c r="M942" s="842"/>
      <c r="N942" s="842"/>
      <c r="O942" s="842"/>
      <c r="P942" s="842"/>
      <c r="Q942" s="842"/>
      <c r="R942" s="842"/>
      <c r="S942" s="842"/>
      <c r="T942" s="842"/>
      <c r="U942" s="842"/>
      <c r="V942" s="842"/>
      <c r="W942" s="842"/>
      <c r="X942" s="842"/>
      <c r="Y942" s="842"/>
      <c r="Z942" s="842"/>
      <c r="AA942" s="2209"/>
      <c r="AB942" s="2209"/>
      <c r="AC942" s="346"/>
    </row>
    <row r="943" spans="1:29" ht="18.75" customHeight="1" x14ac:dyDescent="0.2">
      <c r="A943" s="341"/>
      <c r="B943" s="345"/>
      <c r="C943" s="452" t="s">
        <v>435</v>
      </c>
      <c r="D943" s="334">
        <f ca="1">IF(OR(HydroRefineryConfig=3,HydroRefineryConfig=9),HydroRefineryControls!C24,HydroRefineryControls!C38)</f>
        <v>1E-10</v>
      </c>
      <c r="E943" s="334" t="s">
        <v>1194</v>
      </c>
      <c r="F943" s="335"/>
      <c r="G943" s="334">
        <f ca="1">SUM(G941:G942)</f>
        <v>7.4750284319111659E-29</v>
      </c>
      <c r="H943" s="334"/>
      <c r="I943" s="334"/>
      <c r="J943" s="334"/>
      <c r="K943" s="338"/>
      <c r="L943" s="842"/>
      <c r="M943" s="842"/>
      <c r="N943" s="842"/>
      <c r="O943" s="842"/>
      <c r="P943" s="842"/>
      <c r="Q943" s="842"/>
      <c r="R943" s="842"/>
      <c r="S943" s="842"/>
      <c r="T943" s="842"/>
      <c r="U943" s="842"/>
      <c r="V943" s="842"/>
      <c r="W943" s="842"/>
      <c r="X943" s="842"/>
      <c r="Y943" s="842"/>
      <c r="Z943" s="842"/>
      <c r="AA943" s="2209"/>
      <c r="AB943" s="2209"/>
      <c r="AC943" s="346"/>
    </row>
    <row r="944" spans="1:29" ht="18.75" customHeight="1" x14ac:dyDescent="0.2">
      <c r="A944" s="341"/>
      <c r="B944" s="345"/>
      <c r="C944" s="437"/>
      <c r="D944" s="842"/>
      <c r="E944" s="842"/>
      <c r="F944" s="842"/>
      <c r="G944" s="842"/>
      <c r="H944" s="842"/>
      <c r="I944" s="842"/>
      <c r="J944" s="842"/>
      <c r="K944" s="842"/>
      <c r="L944" s="842"/>
      <c r="M944" s="842"/>
      <c r="N944" s="842"/>
      <c r="O944" s="842"/>
      <c r="P944" s="842"/>
      <c r="Q944" s="842"/>
      <c r="R944" s="842"/>
      <c r="S944" s="842"/>
      <c r="T944" s="842"/>
      <c r="U944" s="842"/>
      <c r="V944" s="842"/>
      <c r="W944" s="842"/>
      <c r="X944" s="842"/>
      <c r="Y944" s="842"/>
      <c r="Z944" s="842"/>
      <c r="AA944" s="2209"/>
      <c r="AB944" s="2209"/>
      <c r="AC944" s="346"/>
    </row>
    <row r="945" spans="1:29" ht="18.75" customHeight="1" x14ac:dyDescent="0.2">
      <c r="A945" s="341"/>
      <c r="B945" s="345"/>
      <c r="C945" s="843" t="s">
        <v>296</v>
      </c>
      <c r="D945" s="842"/>
      <c r="E945" s="842"/>
      <c r="F945" s="842"/>
      <c r="G945" s="842"/>
      <c r="H945" s="842"/>
      <c r="I945" s="842"/>
      <c r="J945" s="842"/>
      <c r="K945" s="842"/>
      <c r="L945" s="842"/>
      <c r="M945" s="842"/>
      <c r="N945" s="842"/>
      <c r="O945" s="842"/>
      <c r="P945" s="842"/>
      <c r="Q945" s="842"/>
      <c r="R945" s="842"/>
      <c r="S945" s="842"/>
      <c r="T945" s="842"/>
      <c r="U945" s="842"/>
      <c r="V945" s="842"/>
      <c r="W945" s="842"/>
      <c r="X945" s="842"/>
      <c r="Y945" s="842"/>
      <c r="Z945" s="842"/>
      <c r="AA945" s="2209"/>
      <c r="AB945" s="2209"/>
      <c r="AC945" s="346"/>
    </row>
    <row r="946" spans="1:29" ht="18.75" customHeight="1" x14ac:dyDescent="0.2">
      <c r="A946" s="341"/>
      <c r="B946" s="345"/>
      <c r="C946" s="445" t="s">
        <v>1208</v>
      </c>
      <c r="D946" s="368" t="s">
        <v>1209</v>
      </c>
      <c r="E946" s="368" t="s">
        <v>1210</v>
      </c>
      <c r="F946" s="356" t="s">
        <v>1211</v>
      </c>
      <c r="G946" s="368" t="s">
        <v>1212</v>
      </c>
      <c r="H946" s="368" t="s">
        <v>1213</v>
      </c>
      <c r="I946" s="356" t="s">
        <v>1214</v>
      </c>
      <c r="J946" s="368" t="s">
        <v>1215</v>
      </c>
      <c r="K946" s="369" t="s">
        <v>1216</v>
      </c>
      <c r="L946" s="842"/>
      <c r="M946" s="842"/>
      <c r="N946" s="842"/>
      <c r="O946" s="842"/>
      <c r="P946" s="842"/>
      <c r="Q946" s="842"/>
      <c r="R946" s="842"/>
      <c r="S946" s="842"/>
      <c r="T946" s="842"/>
      <c r="U946" s="842"/>
      <c r="V946" s="842"/>
      <c r="W946" s="842"/>
      <c r="X946" s="842"/>
      <c r="Y946" s="842"/>
      <c r="Z946" s="842"/>
      <c r="AA946" s="2209"/>
      <c r="AB946" s="2209"/>
      <c r="AC946" s="346"/>
    </row>
    <row r="947" spans="1:29" ht="18.75" customHeight="1" x14ac:dyDescent="0.2">
      <c r="A947" s="341"/>
      <c r="B947" s="345"/>
      <c r="C947" s="453">
        <f ca="1">D941/100*D933</f>
        <v>1.0504210321326036E-29</v>
      </c>
      <c r="D947" s="842">
        <f>HydroRefineryControls!C25</f>
        <v>50</v>
      </c>
      <c r="E947" s="842">
        <f>100-D947</f>
        <v>50</v>
      </c>
      <c r="F947" s="842">
        <f ca="1">D933-D941/100*D933</f>
        <v>1.0504210321315531E-17</v>
      </c>
      <c r="G947" s="842">
        <f ca="1">D947/100*G941</f>
        <v>1.7205733650358073E-29</v>
      </c>
      <c r="H947" s="842">
        <f ca="1">G941-G947</f>
        <v>1.7205733650358073E-29</v>
      </c>
      <c r="I947" s="842">
        <f ca="1">F933-D941/100*F933</f>
        <v>1.2258064516116771E-15</v>
      </c>
      <c r="J947" s="842">
        <f ca="1">D947/100*H941</f>
        <v>2.2473118279569888E-27</v>
      </c>
      <c r="K947" s="337">
        <f ca="1">H941-J947</f>
        <v>2.2473118279569888E-27</v>
      </c>
      <c r="L947" s="842"/>
      <c r="M947" s="842"/>
      <c r="N947" s="842"/>
      <c r="O947" s="842"/>
      <c r="P947" s="842"/>
      <c r="Q947" s="842"/>
      <c r="R947" s="842"/>
      <c r="S947" s="842"/>
      <c r="T947" s="842"/>
      <c r="U947" s="842"/>
      <c r="V947" s="842"/>
      <c r="W947" s="842"/>
      <c r="X947" s="842"/>
      <c r="Y947" s="842"/>
      <c r="Z947" s="842"/>
      <c r="AA947" s="2209"/>
      <c r="AB947" s="2209"/>
      <c r="AC947" s="346"/>
    </row>
    <row r="948" spans="1:29" ht="18.75" customHeight="1" x14ac:dyDescent="0.2">
      <c r="A948" s="341"/>
      <c r="B948" s="345"/>
      <c r="C948" s="453">
        <f ca="1">2*D942/100*D934</f>
        <v>4.7814513958780222E-29</v>
      </c>
      <c r="D948" s="842">
        <f>HydroRefineryControls!C26</f>
        <v>50</v>
      </c>
      <c r="E948" s="842">
        <f>100-D948</f>
        <v>50</v>
      </c>
      <c r="F948" s="842">
        <f ca="1">D934-2*D942/100*D934</f>
        <v>2.3907256979342297E-17</v>
      </c>
      <c r="G948" s="842">
        <f ca="1">D948/100*G942</f>
        <v>2.0169408509197757E-29</v>
      </c>
      <c r="H948" s="842">
        <f ca="1">G942-G948</f>
        <v>2.0169408509197757E-29</v>
      </c>
      <c r="I948" s="842">
        <f ca="1">F934-2*D942/100*F934</f>
        <v>3.2688172042945369E-15</v>
      </c>
      <c r="J948" s="842">
        <f ca="1">D948/100*H942</f>
        <v>2.8857526881720427E-27</v>
      </c>
      <c r="K948" s="337">
        <f ca="1">H942-J948</f>
        <v>2.8857526881720427E-27</v>
      </c>
      <c r="L948" s="842"/>
      <c r="M948" s="842"/>
      <c r="N948" s="842"/>
      <c r="O948" s="842"/>
      <c r="P948" s="842"/>
      <c r="Q948" s="842"/>
      <c r="R948" s="842"/>
      <c r="S948" s="842"/>
      <c r="T948" s="842"/>
      <c r="U948" s="842"/>
      <c r="V948" s="842"/>
      <c r="W948" s="842"/>
      <c r="X948" s="842"/>
      <c r="Y948" s="842"/>
      <c r="Z948" s="842"/>
      <c r="AA948" s="2209"/>
      <c r="AB948" s="2209"/>
      <c r="AC948" s="346"/>
    </row>
    <row r="949" spans="1:29" ht="18.75" customHeight="1" x14ac:dyDescent="0.2">
      <c r="A949" s="341"/>
      <c r="B949" s="345"/>
      <c r="C949" s="453">
        <f ca="1">D943/100*D935</f>
        <v>1.6431560039005402E-29</v>
      </c>
      <c r="D949" s="842"/>
      <c r="E949" s="842"/>
      <c r="F949" s="842">
        <f ca="1">D935-D943/100*D935</f>
        <v>1.6431560038988972E-17</v>
      </c>
      <c r="G949" s="842"/>
      <c r="H949" s="842"/>
      <c r="I949" s="842">
        <f ca="1">F935-D943/100*F935</f>
        <v>2.5026881720405078E-15</v>
      </c>
      <c r="J949" s="842"/>
      <c r="K949" s="337"/>
      <c r="L949" s="842"/>
      <c r="M949" s="842"/>
      <c r="N949" s="842"/>
      <c r="O949" s="842"/>
      <c r="P949" s="842"/>
      <c r="Q949" s="842"/>
      <c r="R949" s="842"/>
      <c r="S949" s="842"/>
      <c r="T949" s="842"/>
      <c r="U949" s="842"/>
      <c r="V949" s="842"/>
      <c r="W949" s="842"/>
      <c r="X949" s="842"/>
      <c r="Y949" s="842"/>
      <c r="Z949" s="842"/>
      <c r="AA949" s="2209"/>
      <c r="AB949" s="2209"/>
      <c r="AC949" s="346"/>
    </row>
    <row r="950" spans="1:29" ht="18.75" customHeight="1" x14ac:dyDescent="0.2">
      <c r="A950" s="341"/>
      <c r="B950" s="345"/>
      <c r="C950" s="452">
        <f ca="1">SUM(C947:C949)</f>
        <v>7.475028431911167E-29</v>
      </c>
      <c r="D950" s="334"/>
      <c r="E950" s="334"/>
      <c r="F950" s="334">
        <f ca="1">SUM(F947:F949)</f>
        <v>5.0843027339646803E-17</v>
      </c>
      <c r="G950" s="334"/>
      <c r="H950" s="334"/>
      <c r="I950" s="334"/>
      <c r="J950" s="334"/>
      <c r="K950" s="338"/>
      <c r="L950" s="842"/>
      <c r="M950" s="842"/>
      <c r="N950" s="842"/>
      <c r="O950" s="842"/>
      <c r="P950" s="842"/>
      <c r="Q950" s="842"/>
      <c r="R950" s="842"/>
      <c r="S950" s="842"/>
      <c r="T950" s="842"/>
      <c r="U950" s="842"/>
      <c r="V950" s="842"/>
      <c r="W950" s="842"/>
      <c r="X950" s="842"/>
      <c r="Y950" s="842"/>
      <c r="Z950" s="842"/>
      <c r="AA950" s="2209"/>
      <c r="AB950" s="2209"/>
      <c r="AC950" s="346"/>
    </row>
    <row r="951" spans="1:29" ht="18.75" customHeight="1" x14ac:dyDescent="0.2">
      <c r="A951" s="341"/>
      <c r="B951" s="345"/>
      <c r="C951" s="437"/>
      <c r="D951" s="842"/>
      <c r="E951" s="842"/>
      <c r="F951" s="842"/>
      <c r="G951" s="842"/>
      <c r="H951" s="842"/>
      <c r="I951" s="842"/>
      <c r="J951" s="842"/>
      <c r="K951" s="842"/>
      <c r="L951" s="842"/>
      <c r="M951" s="842"/>
      <c r="N951" s="842"/>
      <c r="O951" s="842"/>
      <c r="P951" s="842"/>
      <c r="Q951" s="842"/>
      <c r="R951" s="842"/>
      <c r="S951" s="842"/>
      <c r="T951" s="842"/>
      <c r="U951" s="842"/>
      <c r="V951" s="842"/>
      <c r="W951" s="842"/>
      <c r="X951" s="842"/>
      <c r="Y951" s="842"/>
      <c r="Z951" s="842"/>
      <c r="AA951" s="2209"/>
      <c r="AB951" s="2209"/>
      <c r="AC951" s="346"/>
    </row>
    <row r="952" spans="1:29" ht="18.75" customHeight="1" x14ac:dyDescent="0.2">
      <c r="A952" s="341"/>
      <c r="B952" s="345"/>
      <c r="C952" s="843" t="s">
        <v>76</v>
      </c>
      <c r="D952" s="843"/>
      <c r="E952" s="843"/>
      <c r="F952" s="842"/>
      <c r="G952" s="842"/>
      <c r="H952" s="842"/>
      <c r="I952" s="842"/>
      <c r="J952" s="1521"/>
      <c r="K952" s="1521"/>
      <c r="L952" s="1521"/>
      <c r="M952" s="842"/>
      <c r="N952" s="842"/>
      <c r="O952" s="1521"/>
      <c r="P952" s="1521"/>
      <c r="Q952" s="842"/>
      <c r="R952" s="842"/>
      <c r="S952" s="842"/>
      <c r="T952" s="842"/>
      <c r="U952" s="842"/>
      <c r="V952" s="842"/>
      <c r="W952" s="842"/>
      <c r="X952" s="842"/>
      <c r="Y952" s="842"/>
      <c r="Z952" s="842"/>
      <c r="AA952" s="2209"/>
      <c r="AB952" s="2209"/>
      <c r="AC952" s="346"/>
    </row>
    <row r="953" spans="1:29" ht="18.75" customHeight="1" x14ac:dyDescent="0.2">
      <c r="A953" s="341"/>
      <c r="B953" s="345"/>
      <c r="C953" s="454"/>
      <c r="D953" s="372" t="s">
        <v>292</v>
      </c>
      <c r="E953" s="372" t="s">
        <v>293</v>
      </c>
      <c r="F953" s="356" t="s">
        <v>294</v>
      </c>
      <c r="G953" s="373" t="s">
        <v>663</v>
      </c>
      <c r="H953" s="373" t="s">
        <v>662</v>
      </c>
      <c r="I953" s="1522" t="s">
        <v>567</v>
      </c>
      <c r="J953" s="184"/>
      <c r="K953" s="722" t="s">
        <v>464</v>
      </c>
      <c r="L953" s="495" t="s">
        <v>463</v>
      </c>
      <c r="M953" s="495" t="s">
        <v>461</v>
      </c>
      <c r="N953" s="496" t="s">
        <v>462</v>
      </c>
      <c r="O953" s="184"/>
      <c r="P953" s="184"/>
      <c r="Q953" s="842"/>
      <c r="R953" s="842"/>
      <c r="S953" s="842"/>
      <c r="T953" s="842"/>
      <c r="U953" s="842"/>
      <c r="V953" s="842"/>
      <c r="W953" s="842"/>
      <c r="X953" s="842"/>
      <c r="Y953" s="842"/>
      <c r="Z953" s="842"/>
      <c r="AA953" s="2209"/>
      <c r="AB953" s="2209"/>
      <c r="AC953" s="346"/>
    </row>
    <row r="954" spans="1:29" ht="18.75" customHeight="1" x14ac:dyDescent="0.2">
      <c r="A954" s="341"/>
      <c r="B954" s="345"/>
      <c r="C954" s="442" t="s">
        <v>445</v>
      </c>
      <c r="D954" s="1521">
        <f ca="1">F947+G947</f>
        <v>1.0504210321332737E-17</v>
      </c>
      <c r="E954" s="1521">
        <f ca="1">I947+J947</f>
        <v>1.2258064516139244E-15</v>
      </c>
      <c r="F954" s="1521">
        <f ca="1">E954/D954/'Energy &amp; Unit Conversions'!G80</f>
        <v>734.00000000014336</v>
      </c>
      <c r="G954" s="1521">
        <f ca="1">(I947*G933+J947*J941)/E954</f>
        <v>0</v>
      </c>
      <c r="H954" s="1521">
        <f ca="1">(I947*H933+J947*K941)/E954</f>
        <v>13.689999999998561</v>
      </c>
      <c r="I954" s="337">
        <f ca="1">141.5/(F954/1000)-131.5</f>
        <v>61.279291553095874</v>
      </c>
      <c r="J954" s="184"/>
      <c r="K954" s="578">
        <f ca="1">(H933-H954)^2*1000000</f>
        <v>2.0702865596620234E-18</v>
      </c>
      <c r="L954" s="842">
        <f ca="1">(G933-G954)^2*1000000</f>
        <v>0</v>
      </c>
      <c r="M954" s="842">
        <f ca="1">(F933-E954)^2/1000000</f>
        <v>1.043212318290112E-60</v>
      </c>
      <c r="N954" s="429">
        <f ca="1">SUM(K954:K955)+SUM(L954:L955)+SUM(M954:M955)</f>
        <v>2.1939925713751616E-18</v>
      </c>
      <c r="O954" s="184"/>
      <c r="P954" s="184"/>
      <c r="Q954" s="842"/>
      <c r="R954" s="842"/>
      <c r="S954" s="842"/>
      <c r="T954" s="842"/>
      <c r="U954" s="842"/>
      <c r="V954" s="842"/>
      <c r="W954" s="842"/>
      <c r="X954" s="842"/>
      <c r="Y954" s="842"/>
      <c r="Z954" s="842"/>
      <c r="AA954" s="2209"/>
      <c r="AB954" s="2209"/>
      <c r="AC954" s="346"/>
    </row>
    <row r="955" spans="1:29" ht="18.75" customHeight="1" x14ac:dyDescent="0.2">
      <c r="A955" s="341"/>
      <c r="B955" s="345"/>
      <c r="C955" s="442" t="s">
        <v>446</v>
      </c>
      <c r="D955" s="1521">
        <f ca="1">F948+H947+G948</f>
        <v>2.3907256979379672E-17</v>
      </c>
      <c r="E955" s="1521">
        <f ca="1">I948+K947+J948</f>
        <v>3.26881720429967E-15</v>
      </c>
      <c r="F955" s="1521">
        <f ca="1">E955/D955/'Energy &amp; Unit Conversions'!G80</f>
        <v>860.00000000000603</v>
      </c>
      <c r="G955" s="1521">
        <f ca="1">(I948*G934+K947*J941+J948*J942)/E955</f>
        <v>0</v>
      </c>
      <c r="H955" s="1521">
        <f ca="1">(I948*H934+K947*K941+J948*K942)/E955</f>
        <v>12.609999999999648</v>
      </c>
      <c r="I955" s="337">
        <f ca="1">141.5/(F955/1000)-131.5</f>
        <v>33.034883720929088</v>
      </c>
      <c r="J955" s="184"/>
      <c r="K955" s="587">
        <f ca="1">(H934-H955)^2*1000000</f>
        <v>1.2370601171313819E-19</v>
      </c>
      <c r="L955" s="841">
        <f ca="1">(G934-G955)^2*1000000</f>
        <v>0</v>
      </c>
      <c r="M955" s="841">
        <f ca="1">(F934-E955)^2/1000000</f>
        <v>1.9728080129323654E-60</v>
      </c>
      <c r="N955" s="430"/>
      <c r="O955" s="184"/>
      <c r="P955" s="184"/>
      <c r="Q955" s="842"/>
      <c r="R955" s="842"/>
      <c r="S955" s="842"/>
      <c r="T955" s="842"/>
      <c r="U955" s="842"/>
      <c r="V955" s="842"/>
      <c r="W955" s="842"/>
      <c r="X955" s="842"/>
      <c r="Y955" s="842"/>
      <c r="Z955" s="842"/>
      <c r="AA955" s="2209"/>
      <c r="AB955" s="2209"/>
      <c r="AC955" s="346"/>
    </row>
    <row r="956" spans="1:29" ht="18.75" customHeight="1" x14ac:dyDescent="0.2">
      <c r="A956" s="341"/>
      <c r="B956" s="345"/>
      <c r="C956" s="442" t="s">
        <v>351</v>
      </c>
      <c r="D956" s="1521">
        <f ca="1">F949+H948</f>
        <v>1.643156003900914E-17</v>
      </c>
      <c r="E956" s="1521">
        <f ca="1">I949+K948</f>
        <v>2.5026881720433935E-15</v>
      </c>
      <c r="F956" s="1521">
        <f ca="1">E956/D956/'Energy &amp; Unit Conversions'!G80</f>
        <v>957.99999999992872</v>
      </c>
      <c r="G956" s="1521">
        <f ca="1">(I949*G935+K948*J942)/E956</f>
        <v>0</v>
      </c>
      <c r="H956" s="1521">
        <f ca="1">(I949*H935+K948*K942)/E956</f>
        <v>11.160000000000947</v>
      </c>
      <c r="I956" s="337">
        <f ca="1">141.5/(F956/1000)-131.5</f>
        <v>16.203549060553797</v>
      </c>
      <c r="J956" s="184"/>
      <c r="K956" s="184"/>
      <c r="L956" s="1521"/>
      <c r="M956" s="842"/>
      <c r="N956" s="842"/>
      <c r="O956" s="842"/>
      <c r="P956" s="842"/>
      <c r="Q956" s="842"/>
      <c r="R956" s="842"/>
      <c r="S956" s="842"/>
      <c r="T956" s="842"/>
      <c r="U956" s="842"/>
      <c r="V956" s="842"/>
      <c r="W956" s="842"/>
      <c r="X956" s="842"/>
      <c r="Y956" s="842"/>
      <c r="Z956" s="842"/>
      <c r="AA956" s="2209"/>
      <c r="AB956" s="2209"/>
      <c r="AC956" s="346"/>
    </row>
    <row r="957" spans="1:29" ht="18.75" customHeight="1" x14ac:dyDescent="0.2">
      <c r="A957" s="341"/>
      <c r="B957" s="345"/>
      <c r="C957" s="452"/>
      <c r="D957" s="334">
        <f ca="1">SUM(D954:D956)</f>
        <v>5.0843027339721547E-17</v>
      </c>
      <c r="E957" s="334">
        <f ca="1">SUM(E954:E956)</f>
        <v>6.9973118279569881E-15</v>
      </c>
      <c r="F957" s="334"/>
      <c r="G957" s="334"/>
      <c r="H957" s="334"/>
      <c r="I957" s="338"/>
      <c r="J957" s="184"/>
      <c r="K957" s="184"/>
      <c r="L957" s="1521"/>
      <c r="M957" s="842"/>
      <c r="N957" s="842"/>
      <c r="O957" s="842"/>
      <c r="P957" s="842"/>
      <c r="Q957" s="842"/>
      <c r="R957" s="842"/>
      <c r="S957" s="842"/>
      <c r="T957" s="842"/>
      <c r="U957" s="842"/>
      <c r="V957" s="842"/>
      <c r="W957" s="842"/>
      <c r="X957" s="842"/>
      <c r="Y957" s="842"/>
      <c r="Z957" s="842"/>
      <c r="AA957" s="2209"/>
      <c r="AB957" s="2209"/>
      <c r="AC957" s="346"/>
    </row>
    <row r="958" spans="1:29" ht="18.75" customHeight="1" x14ac:dyDescent="0.2">
      <c r="A958" s="341"/>
      <c r="B958" s="345"/>
      <c r="C958" s="437"/>
      <c r="D958" s="842"/>
      <c r="E958" s="842"/>
      <c r="F958" s="842"/>
      <c r="G958" s="842"/>
      <c r="H958" s="842"/>
      <c r="I958" s="842"/>
      <c r="J958" s="1521"/>
      <c r="K958" s="1521"/>
      <c r="L958" s="1521"/>
      <c r="M958" s="842"/>
      <c r="N958" s="842"/>
      <c r="O958" s="842"/>
      <c r="P958" s="842"/>
      <c r="Q958" s="842"/>
      <c r="R958" s="842"/>
      <c r="S958" s="842"/>
      <c r="T958" s="842"/>
      <c r="U958" s="842"/>
      <c r="V958" s="842"/>
      <c r="W958" s="842"/>
      <c r="X958" s="842"/>
      <c r="Y958" s="842"/>
      <c r="Z958" s="842"/>
      <c r="AA958" s="2209"/>
      <c r="AB958" s="2209"/>
      <c r="AC958" s="346"/>
    </row>
    <row r="959" spans="1:29" ht="18.75" customHeight="1" x14ac:dyDescent="0.2">
      <c r="A959" s="341"/>
      <c r="B959" s="345"/>
      <c r="C959" s="843" t="s">
        <v>354</v>
      </c>
      <c r="D959" s="842"/>
      <c r="E959" s="842"/>
      <c r="F959" s="842"/>
      <c r="G959" s="842"/>
      <c r="H959" s="842"/>
      <c r="I959" s="842"/>
      <c r="J959" s="842"/>
      <c r="K959" s="842"/>
      <c r="L959" s="842"/>
      <c r="M959" s="842"/>
      <c r="N959" s="842"/>
      <c r="O959" s="842"/>
      <c r="P959" s="842"/>
      <c r="Q959" s="842"/>
      <c r="R959" s="842"/>
      <c r="S959" s="842"/>
      <c r="T959" s="842"/>
      <c r="U959" s="842"/>
      <c r="V959" s="842"/>
      <c r="W959" s="842"/>
      <c r="X959" s="842"/>
      <c r="Y959" s="842"/>
      <c r="Z959" s="842"/>
      <c r="AA959" s="2209"/>
      <c r="AB959" s="2209"/>
      <c r="AC959" s="346"/>
    </row>
    <row r="960" spans="1:29" ht="18.75" customHeight="1" x14ac:dyDescent="0.2">
      <c r="A960" s="341"/>
      <c r="B960" s="345"/>
      <c r="C960" s="441" t="s">
        <v>624</v>
      </c>
      <c r="D960" s="368"/>
      <c r="E960" s="368"/>
      <c r="F960" s="368"/>
      <c r="G960" s="368"/>
      <c r="H960" s="369"/>
      <c r="I960" s="842"/>
      <c r="J960" s="842"/>
      <c r="K960" s="842"/>
      <c r="L960" s="842"/>
      <c r="M960" s="842"/>
      <c r="N960" s="842"/>
      <c r="O960" s="842"/>
      <c r="P960" s="842"/>
      <c r="Q960" s="842"/>
      <c r="R960" s="842"/>
      <c r="S960" s="842"/>
      <c r="T960" s="842"/>
      <c r="U960" s="842"/>
      <c r="V960" s="842"/>
      <c r="W960" s="842"/>
      <c r="X960" s="842"/>
      <c r="Y960" s="842"/>
      <c r="Z960" s="842"/>
      <c r="AA960" s="2209"/>
      <c r="AB960" s="2209"/>
      <c r="AC960" s="346"/>
    </row>
    <row r="961" spans="1:29" ht="18.75" customHeight="1" x14ac:dyDescent="0.2">
      <c r="A961" s="341"/>
      <c r="B961" s="345"/>
      <c r="C961" s="453" t="s">
        <v>357</v>
      </c>
      <c r="D961" s="842">
        <f ca="1">IF(OR(HydroRefineryConfig=3,HydroRefineryConfig=9),HydroRefineryControls!C35,HydroRefineryControls!C42)</f>
        <v>1E-10</v>
      </c>
      <c r="E961" s="842" t="s">
        <v>633</v>
      </c>
      <c r="F961" s="842"/>
      <c r="G961" s="842"/>
      <c r="H961" s="337"/>
      <c r="I961" s="842"/>
      <c r="J961" s="842"/>
      <c r="K961" s="842"/>
      <c r="L961" s="842"/>
      <c r="M961" s="842"/>
      <c r="N961" s="842"/>
      <c r="O961" s="842"/>
      <c r="P961" s="842"/>
      <c r="Q961" s="842"/>
      <c r="R961" s="842"/>
      <c r="S961" s="842"/>
      <c r="T961" s="842"/>
      <c r="U961" s="842"/>
      <c r="V961" s="842"/>
      <c r="W961" s="842"/>
      <c r="X961" s="842"/>
      <c r="Y961" s="842"/>
      <c r="Z961" s="842"/>
      <c r="AA961" s="2209"/>
      <c r="AB961" s="2209"/>
      <c r="AC961" s="346"/>
    </row>
    <row r="962" spans="1:29" ht="18.75" customHeight="1" x14ac:dyDescent="0.2">
      <c r="A962" s="341"/>
      <c r="B962" s="345"/>
      <c r="C962" s="453" t="s">
        <v>358</v>
      </c>
      <c r="D962" s="842">
        <f ca="1">100-D961</f>
        <v>99.999999999899998</v>
      </c>
      <c r="E962" s="842" t="s">
        <v>633</v>
      </c>
      <c r="F962" s="842"/>
      <c r="G962" s="842"/>
      <c r="H962" s="337"/>
      <c r="I962" s="842"/>
      <c r="J962" s="842"/>
      <c r="K962" s="842"/>
      <c r="L962" s="842"/>
      <c r="M962" s="842"/>
      <c r="N962" s="842"/>
      <c r="O962" s="842"/>
      <c r="P962" s="842"/>
      <c r="Q962" s="842"/>
      <c r="R962" s="842"/>
      <c r="S962" s="842"/>
      <c r="T962" s="842"/>
      <c r="U962" s="842"/>
      <c r="V962" s="842"/>
      <c r="W962" s="842"/>
      <c r="X962" s="842"/>
      <c r="Y962" s="842"/>
      <c r="Z962" s="842"/>
      <c r="AA962" s="2209"/>
      <c r="AB962" s="2209"/>
      <c r="AC962" s="346"/>
    </row>
    <row r="963" spans="1:29" ht="18.75" customHeight="1" x14ac:dyDescent="0.2">
      <c r="A963" s="341"/>
      <c r="B963" s="345"/>
      <c r="C963" s="453"/>
      <c r="D963" s="842"/>
      <c r="E963" s="842"/>
      <c r="F963" s="842"/>
      <c r="G963" s="842"/>
      <c r="H963" s="337"/>
      <c r="I963" s="842"/>
      <c r="J963" s="842"/>
      <c r="K963" s="842"/>
      <c r="L963" s="842"/>
      <c r="M963" s="842"/>
      <c r="N963" s="842"/>
      <c r="O963" s="842"/>
      <c r="P963" s="842"/>
      <c r="Q963" s="842"/>
      <c r="R963" s="842"/>
      <c r="S963" s="842"/>
      <c r="T963" s="842"/>
      <c r="U963" s="842"/>
      <c r="V963" s="842"/>
      <c r="W963" s="842"/>
      <c r="X963" s="842"/>
      <c r="Y963" s="842"/>
      <c r="Z963" s="842"/>
      <c r="AA963" s="2209"/>
      <c r="AB963" s="2209"/>
      <c r="AC963" s="346"/>
    </row>
    <row r="964" spans="1:29" ht="18.75" customHeight="1" x14ac:dyDescent="0.2">
      <c r="A964" s="341"/>
      <c r="B964" s="345"/>
      <c r="C964" s="442" t="s">
        <v>568</v>
      </c>
      <c r="D964" s="839" t="s">
        <v>623</v>
      </c>
      <c r="E964" s="839" t="str">
        <f t="shared" ref="E964:E973" si="89">H906</f>
        <v>Residue HC Gas Oil</v>
      </c>
      <c r="F964" s="388" t="s">
        <v>355</v>
      </c>
      <c r="G964" s="839" t="s">
        <v>356</v>
      </c>
      <c r="H964" s="337"/>
      <c r="I964" s="842"/>
      <c r="J964" s="842"/>
      <c r="K964" s="842"/>
      <c r="L964" s="842"/>
      <c r="M964" s="842"/>
      <c r="N964" s="842"/>
      <c r="O964" s="842"/>
      <c r="P964" s="842"/>
      <c r="Q964" s="842"/>
      <c r="R964" s="842"/>
      <c r="S964" s="842"/>
      <c r="T964" s="842"/>
      <c r="U964" s="842"/>
      <c r="V964" s="842"/>
      <c r="W964" s="842"/>
      <c r="X964" s="842"/>
      <c r="Y964" s="842"/>
      <c r="Z964" s="842"/>
      <c r="AA964" s="2209"/>
      <c r="AB964" s="2209"/>
      <c r="AC964" s="346"/>
    </row>
    <row r="965" spans="1:29" ht="18.75" customHeight="1" x14ac:dyDescent="0.2">
      <c r="A965" s="341"/>
      <c r="B965" s="345"/>
      <c r="C965" s="442" t="s">
        <v>582</v>
      </c>
      <c r="D965" s="842" t="s">
        <v>566</v>
      </c>
      <c r="E965" s="842">
        <f ca="1">H907</f>
        <v>1.643156003900914E-17</v>
      </c>
      <c r="F965" s="842">
        <f ca="1">D961*E965/100</f>
        <v>1.6431560039009141E-29</v>
      </c>
      <c r="G965" s="842">
        <f ca="1">D962*E965/100</f>
        <v>1.643156003899271E-17</v>
      </c>
      <c r="H965" s="337"/>
      <c r="I965" s="842"/>
      <c r="J965" s="842"/>
      <c r="K965" s="842"/>
      <c r="L965" s="842"/>
      <c r="M965" s="842"/>
      <c r="N965" s="842"/>
      <c r="O965" s="842"/>
      <c r="P965" s="842"/>
      <c r="Q965" s="842"/>
      <c r="R965" s="842"/>
      <c r="S965" s="842"/>
      <c r="T965" s="842"/>
      <c r="U965" s="842"/>
      <c r="V965" s="842"/>
      <c r="W965" s="842"/>
      <c r="X965" s="842"/>
      <c r="Y965" s="842"/>
      <c r="Z965" s="842"/>
      <c r="AA965" s="2209"/>
      <c r="AB965" s="2209"/>
      <c r="AC965" s="346"/>
    </row>
    <row r="966" spans="1:29" ht="18.75" customHeight="1" x14ac:dyDescent="0.2">
      <c r="A966" s="341"/>
      <c r="B966" s="345"/>
      <c r="C966" s="442" t="s">
        <v>582</v>
      </c>
      <c r="D966" s="842" t="s">
        <v>628</v>
      </c>
      <c r="E966" s="842">
        <f ca="1">H908</f>
        <v>2.6124093653899577E-18</v>
      </c>
      <c r="F966" s="842">
        <f ca="1">F965*'Energy &amp; Unit Conversions'!G80</f>
        <v>2.612409365389958E-30</v>
      </c>
      <c r="G966" s="842">
        <f ca="1">G965*'Energy &amp; Unit Conversions'!G80</f>
        <v>2.6124093653873458E-18</v>
      </c>
      <c r="H966" s="337"/>
      <c r="I966" s="842"/>
      <c r="J966" s="842"/>
      <c r="K966" s="842"/>
      <c r="L966" s="842"/>
      <c r="M966" s="842"/>
      <c r="N966" s="842"/>
      <c r="O966" s="842"/>
      <c r="P966" s="842"/>
      <c r="Q966" s="842"/>
      <c r="R966" s="842"/>
      <c r="S966" s="842"/>
      <c r="T966" s="842"/>
      <c r="U966" s="842"/>
      <c r="V966" s="842"/>
      <c r="W966" s="842"/>
      <c r="X966" s="842"/>
      <c r="Y966" s="842"/>
      <c r="Z966" s="842"/>
      <c r="AA966" s="2209"/>
      <c r="AB966" s="2209"/>
      <c r="AC966" s="346"/>
    </row>
    <row r="967" spans="1:29" ht="18.75" customHeight="1" x14ac:dyDescent="0.2">
      <c r="A967" s="341"/>
      <c r="B967" s="345"/>
      <c r="C967" s="442" t="s">
        <v>620</v>
      </c>
      <c r="D967" s="842" t="s">
        <v>622</v>
      </c>
      <c r="E967" s="842">
        <f ca="1">H909</f>
        <v>2.5026881720433935E-15</v>
      </c>
      <c r="F967" s="842">
        <f ca="1">D961/100*E967</f>
        <v>2.5026881720433934E-27</v>
      </c>
      <c r="G967" s="842">
        <f ca="1">D962/100*E967</f>
        <v>2.5026881720408908E-15</v>
      </c>
      <c r="H967" s="337"/>
      <c r="I967" s="842"/>
      <c r="J967" s="842"/>
      <c r="K967" s="842"/>
      <c r="L967" s="842"/>
      <c r="M967" s="842"/>
      <c r="N967" s="842"/>
      <c r="O967" s="842"/>
      <c r="P967" s="842"/>
      <c r="Q967" s="842"/>
      <c r="R967" s="842"/>
      <c r="S967" s="842"/>
      <c r="T967" s="842"/>
      <c r="U967" s="842"/>
      <c r="V967" s="842"/>
      <c r="W967" s="842"/>
      <c r="X967" s="842"/>
      <c r="Y967" s="842"/>
      <c r="Z967" s="842"/>
      <c r="AA967" s="2209"/>
      <c r="AB967" s="2209"/>
      <c r="AC967" s="346"/>
    </row>
    <row r="968" spans="1:29" ht="18.75" customHeight="1" x14ac:dyDescent="0.2">
      <c r="A968" s="341"/>
      <c r="B968" s="345"/>
      <c r="C968" s="442" t="s">
        <v>578</v>
      </c>
      <c r="D968" s="842" t="s">
        <v>579</v>
      </c>
      <c r="E968" s="842">
        <f ca="1">H910</f>
        <v>0</v>
      </c>
      <c r="F968" s="842">
        <f ca="1">E968</f>
        <v>0</v>
      </c>
      <c r="G968" s="842">
        <f ca="1">E968</f>
        <v>0</v>
      </c>
      <c r="H968" s="337"/>
      <c r="I968" s="842"/>
      <c r="J968" s="842"/>
      <c r="K968" s="842"/>
      <c r="L968" s="842"/>
      <c r="M968" s="842"/>
      <c r="N968" s="842"/>
      <c r="O968" s="842"/>
      <c r="P968" s="842"/>
      <c r="Q968" s="842"/>
      <c r="R968" s="842"/>
      <c r="S968" s="842"/>
      <c r="T968" s="842"/>
      <c r="U968" s="842"/>
      <c r="V968" s="842"/>
      <c r="W968" s="842"/>
      <c r="X968" s="842"/>
      <c r="Y968" s="842"/>
      <c r="Z968" s="842"/>
      <c r="AA968" s="2209"/>
      <c r="AB968" s="2209"/>
      <c r="AC968" s="346"/>
    </row>
    <row r="969" spans="1:29" ht="18.75" customHeight="1" x14ac:dyDescent="0.2">
      <c r="A969" s="341"/>
      <c r="B969" s="345"/>
      <c r="C969" s="442" t="s">
        <v>888</v>
      </c>
      <c r="D969" s="842" t="s">
        <v>908</v>
      </c>
      <c r="E969" s="842">
        <f t="shared" si="89"/>
        <v>0</v>
      </c>
      <c r="F969" s="842">
        <f>E969</f>
        <v>0</v>
      </c>
      <c r="G969" s="842">
        <f t="shared" ref="G969:G973" si="90">E969</f>
        <v>0</v>
      </c>
      <c r="H969" s="337"/>
      <c r="I969" s="842"/>
      <c r="J969" s="842"/>
      <c r="K969" s="842"/>
      <c r="L969" s="842"/>
      <c r="M969" s="842"/>
      <c r="N969" s="842"/>
      <c r="O969" s="842"/>
      <c r="P969" s="842"/>
      <c r="Q969" s="842"/>
      <c r="R969" s="842"/>
      <c r="S969" s="842"/>
      <c r="T969" s="842"/>
      <c r="U969" s="842"/>
      <c r="V969" s="842"/>
      <c r="W969" s="842"/>
      <c r="X969" s="842"/>
      <c r="Y969" s="842"/>
      <c r="Z969" s="842"/>
      <c r="AA969" s="2209"/>
      <c r="AB969" s="2209"/>
      <c r="AC969" s="346"/>
    </row>
    <row r="970" spans="1:29" ht="18.75" customHeight="1" x14ac:dyDescent="0.2">
      <c r="A970" s="341"/>
      <c r="B970" s="345"/>
      <c r="C970" s="442" t="s">
        <v>567</v>
      </c>
      <c r="D970" s="842"/>
      <c r="E970" s="842">
        <f ca="1">H912</f>
        <v>16.203549060553797</v>
      </c>
      <c r="F970" s="842">
        <f ca="1">E970</f>
        <v>16.203549060553797</v>
      </c>
      <c r="G970" s="842">
        <f ca="1">E970</f>
        <v>16.203549060553797</v>
      </c>
      <c r="H970" s="337"/>
      <c r="I970" s="842"/>
      <c r="J970" s="842"/>
      <c r="K970" s="842"/>
      <c r="L970" s="842"/>
      <c r="M970" s="842"/>
      <c r="N970" s="842"/>
      <c r="O970" s="842"/>
      <c r="P970" s="842"/>
      <c r="Q970" s="842"/>
      <c r="R970" s="842"/>
      <c r="S970" s="842"/>
      <c r="T970" s="842"/>
      <c r="U970" s="842"/>
      <c r="V970" s="842"/>
      <c r="W970" s="842"/>
      <c r="X970" s="842"/>
      <c r="Y970" s="842"/>
      <c r="Z970" s="842"/>
      <c r="AA970" s="2209"/>
      <c r="AB970" s="2209"/>
      <c r="AC970" s="346"/>
    </row>
    <row r="971" spans="1:29" ht="18.75" customHeight="1" x14ac:dyDescent="0.2">
      <c r="A971" s="341"/>
      <c r="B971" s="345"/>
      <c r="C971" s="442" t="s">
        <v>580</v>
      </c>
      <c r="D971" s="842" t="s">
        <v>581</v>
      </c>
      <c r="E971" s="842">
        <f ca="1">H913</f>
        <v>957.99999999992872</v>
      </c>
      <c r="F971" s="842">
        <f ca="1">E971</f>
        <v>957.99999999992872</v>
      </c>
      <c r="G971" s="842">
        <f ca="1">E971</f>
        <v>957.99999999992872</v>
      </c>
      <c r="H971" s="337"/>
      <c r="I971" s="842"/>
      <c r="J971" s="842"/>
      <c r="K971" s="842"/>
      <c r="L971" s="842"/>
      <c r="M971" s="842"/>
      <c r="N971" s="842"/>
      <c r="O971" s="842"/>
      <c r="P971" s="842"/>
      <c r="Q971" s="842"/>
      <c r="R971" s="842"/>
      <c r="S971" s="842"/>
      <c r="T971" s="842"/>
      <c r="U971" s="842"/>
      <c r="V971" s="842"/>
      <c r="W971" s="842"/>
      <c r="X971" s="842"/>
      <c r="Y971" s="842"/>
      <c r="Z971" s="842"/>
      <c r="AA971" s="2209"/>
      <c r="AB971" s="2209"/>
      <c r="AC971" s="346"/>
    </row>
    <row r="972" spans="1:29" ht="18.75" customHeight="1" x14ac:dyDescent="0.2">
      <c r="A972" s="341"/>
      <c r="B972" s="345"/>
      <c r="C972" s="442" t="s">
        <v>621</v>
      </c>
      <c r="D972" s="842" t="s">
        <v>579</v>
      </c>
      <c r="E972" s="842">
        <f ca="1">H914</f>
        <v>11.160000000000947</v>
      </c>
      <c r="F972" s="842">
        <f ca="1">E972</f>
        <v>11.160000000000947</v>
      </c>
      <c r="G972" s="842">
        <f ca="1">E972</f>
        <v>11.160000000000947</v>
      </c>
      <c r="H972" s="337"/>
      <c r="I972" s="842"/>
      <c r="J972" s="842"/>
      <c r="K972" s="842"/>
      <c r="L972" s="842"/>
      <c r="M972" s="842"/>
      <c r="N972" s="842"/>
      <c r="O972" s="842"/>
      <c r="P972" s="842"/>
      <c r="Q972" s="842"/>
      <c r="R972" s="842"/>
      <c r="S972" s="842"/>
      <c r="T972" s="842"/>
      <c r="U972" s="842"/>
      <c r="V972" s="842"/>
      <c r="W972" s="842"/>
      <c r="X972" s="842"/>
      <c r="Y972" s="842"/>
      <c r="Z972" s="842"/>
      <c r="AA972" s="2209"/>
      <c r="AB972" s="2209"/>
      <c r="AC972" s="346"/>
    </row>
    <row r="973" spans="1:29" ht="18.75" customHeight="1" x14ac:dyDescent="0.2">
      <c r="A973" s="341"/>
      <c r="B973" s="345"/>
      <c r="C973" s="443" t="s">
        <v>544</v>
      </c>
      <c r="D973" s="334" t="s">
        <v>579</v>
      </c>
      <c r="E973" s="334">
        <f t="shared" si="89"/>
        <v>0</v>
      </c>
      <c r="F973" s="334"/>
      <c r="G973" s="334">
        <f t="shared" si="90"/>
        <v>0</v>
      </c>
      <c r="H973" s="338"/>
      <c r="I973" s="842"/>
      <c r="J973" s="842"/>
      <c r="K973" s="842"/>
      <c r="L973" s="842"/>
      <c r="M973" s="842"/>
      <c r="N973" s="842"/>
      <c r="O973" s="842"/>
      <c r="P973" s="842"/>
      <c r="Q973" s="842"/>
      <c r="R973" s="842"/>
      <c r="S973" s="842"/>
      <c r="T973" s="842"/>
      <c r="U973" s="842"/>
      <c r="V973" s="842"/>
      <c r="W973" s="842"/>
      <c r="X973" s="842"/>
      <c r="Y973" s="842"/>
      <c r="Z973" s="842"/>
      <c r="AA973" s="2209"/>
      <c r="AB973" s="2209"/>
      <c r="AC973" s="346"/>
    </row>
    <row r="974" spans="1:29" ht="18.75" customHeight="1" x14ac:dyDescent="0.2">
      <c r="A974" s="341"/>
      <c r="B974" s="345"/>
      <c r="C974" s="437"/>
      <c r="D974" s="842"/>
      <c r="E974" s="842"/>
      <c r="F974" s="842"/>
      <c r="G974" s="842"/>
      <c r="H974" s="842"/>
      <c r="I974" s="842"/>
      <c r="J974" s="842"/>
      <c r="K974" s="842"/>
      <c r="L974" s="842"/>
      <c r="M974" s="842"/>
      <c r="N974" s="842"/>
      <c r="O974" s="842"/>
      <c r="P974" s="842"/>
      <c r="Q974" s="842"/>
      <c r="R974" s="842"/>
      <c r="S974" s="842"/>
      <c r="T974" s="842"/>
      <c r="U974" s="842"/>
      <c r="V974" s="842"/>
      <c r="W974" s="842"/>
      <c r="X974" s="842"/>
      <c r="Y974" s="842"/>
      <c r="Z974" s="842"/>
      <c r="AA974" s="2209"/>
      <c r="AB974" s="2209"/>
      <c r="AC974" s="346"/>
    </row>
    <row r="975" spans="1:29" ht="26.25" x14ac:dyDescent="0.2">
      <c r="A975" s="341"/>
      <c r="B975" s="699"/>
      <c r="C975" s="603" t="s">
        <v>1374</v>
      </c>
      <c r="D975" s="842"/>
      <c r="E975" s="842"/>
      <c r="F975" s="842"/>
      <c r="G975" s="842"/>
      <c r="H975" s="842"/>
      <c r="I975" s="842"/>
      <c r="J975" s="842"/>
      <c r="K975" s="842"/>
      <c r="L975" s="842"/>
      <c r="M975" s="842"/>
      <c r="N975" s="842"/>
      <c r="O975" s="842"/>
      <c r="P975" s="842"/>
      <c r="Q975" s="842"/>
      <c r="R975" s="842"/>
      <c r="S975" s="842"/>
      <c r="T975" s="842"/>
      <c r="U975" s="842"/>
      <c r="V975" s="842"/>
      <c r="W975" s="842"/>
      <c r="X975" s="842"/>
      <c r="Y975" s="842"/>
      <c r="Z975" s="842"/>
      <c r="AA975" s="2209"/>
      <c r="AB975" s="2209"/>
      <c r="AC975" s="346"/>
    </row>
    <row r="976" spans="1:29" ht="18.75" customHeight="1" x14ac:dyDescent="0.2">
      <c r="A976" s="341"/>
      <c r="B976" s="345"/>
      <c r="C976" s="437"/>
      <c r="D976" s="842"/>
      <c r="E976" s="426"/>
      <c r="F976" s="842"/>
      <c r="G976" s="842"/>
      <c r="H976" s="842"/>
      <c r="I976" s="842"/>
      <c r="J976" s="842"/>
      <c r="K976" s="842"/>
      <c r="L976" s="842"/>
      <c r="M976" s="842"/>
      <c r="N976" s="842"/>
      <c r="O976" s="842"/>
      <c r="P976" s="842"/>
      <c r="Q976" s="842"/>
      <c r="R976" s="842"/>
      <c r="S976" s="842"/>
      <c r="T976" s="842"/>
      <c r="U976" s="842"/>
      <c r="V976" s="842"/>
      <c r="W976" s="842"/>
      <c r="X976" s="842"/>
      <c r="Y976" s="842"/>
      <c r="Z976" s="842"/>
      <c r="AA976" s="2209"/>
      <c r="AB976" s="2209"/>
      <c r="AC976" s="346"/>
    </row>
    <row r="977" spans="1:29" ht="18.75" customHeight="1" x14ac:dyDescent="0.2">
      <c r="A977" s="341"/>
      <c r="B977" s="345"/>
      <c r="C977" s="843" t="s">
        <v>569</v>
      </c>
      <c r="D977" s="842"/>
      <c r="E977" s="839"/>
      <c r="F977" s="842"/>
      <c r="G977" s="842"/>
      <c r="H977" s="842"/>
      <c r="I977" s="842"/>
      <c r="J977" s="842"/>
      <c r="K977" s="842"/>
      <c r="L977" s="842"/>
      <c r="M977" s="842"/>
      <c r="N977" s="842"/>
      <c r="O977" s="842"/>
      <c r="P977" s="842"/>
      <c r="Q977" s="842"/>
      <c r="R977" s="842"/>
      <c r="S977" s="842"/>
      <c r="T977" s="842"/>
      <c r="U977" s="842"/>
      <c r="V977" s="842"/>
      <c r="W977" s="842"/>
      <c r="X977" s="842"/>
      <c r="Y977" s="842"/>
      <c r="Z977" s="842"/>
      <c r="AA977" s="2209"/>
      <c r="AB977" s="2209"/>
      <c r="AC977" s="346"/>
    </row>
    <row r="978" spans="1:29" ht="18.75" customHeight="1" x14ac:dyDescent="0.2">
      <c r="A978" s="341"/>
      <c r="B978" s="345"/>
      <c r="C978" s="441" t="s">
        <v>568</v>
      </c>
      <c r="D978" s="351" t="s">
        <v>623</v>
      </c>
      <c r="E978" s="351" t="str">
        <f t="shared" ref="E978:E987" si="91">F906</f>
        <v>Residue HC Naphtha</v>
      </c>
      <c r="F978" s="356" t="s">
        <v>606</v>
      </c>
      <c r="G978" s="352" t="s">
        <v>372</v>
      </c>
      <c r="H978" s="842"/>
      <c r="I978" s="842"/>
      <c r="J978" s="842"/>
      <c r="K978" s="842"/>
      <c r="L978" s="842"/>
      <c r="M978" s="842"/>
      <c r="N978" s="842"/>
      <c r="O978" s="842"/>
      <c r="P978" s="842"/>
      <c r="Q978" s="842"/>
      <c r="R978" s="842"/>
      <c r="S978" s="842"/>
      <c r="T978" s="842"/>
      <c r="U978" s="842"/>
      <c r="V978" s="842"/>
      <c r="W978" s="842"/>
      <c r="X978" s="842"/>
      <c r="Y978" s="842"/>
      <c r="Z978" s="842"/>
      <c r="AA978" s="2209"/>
      <c r="AB978" s="2209"/>
      <c r="AC978" s="346"/>
    </row>
    <row r="979" spans="1:29" ht="18.75" customHeight="1" x14ac:dyDescent="0.2">
      <c r="A979" s="341"/>
      <c r="B979" s="345"/>
      <c r="C979" s="442" t="str">
        <f t="shared" ref="C979:D987" si="92">C907</f>
        <v>Vol Flow</v>
      </c>
      <c r="D979" s="842" t="str">
        <f ca="1">D907</f>
        <v>bpd</v>
      </c>
      <c r="E979" s="842">
        <f ca="1">F907</f>
        <v>1.0504210321332737E-17</v>
      </c>
      <c r="F979" s="842">
        <f ca="1">F980/'Energy &amp; Unit Conversions'!G80</f>
        <v>1.0943045066169453E-17</v>
      </c>
      <c r="G979" s="337"/>
      <c r="H979" s="842"/>
      <c r="I979" s="842"/>
      <c r="J979" s="842"/>
      <c r="K979" s="842"/>
      <c r="L979" s="842"/>
      <c r="M979" s="842"/>
      <c r="N979" s="842"/>
      <c r="O979" s="842"/>
      <c r="P979" s="842"/>
      <c r="Q979" s="842"/>
      <c r="R979" s="842"/>
      <c r="S979" s="842"/>
      <c r="T979" s="842"/>
      <c r="U979" s="842"/>
      <c r="V979" s="842"/>
      <c r="W979" s="842"/>
      <c r="X979" s="842"/>
      <c r="Y979" s="842"/>
      <c r="Z979" s="842"/>
      <c r="AA979" s="2209"/>
      <c r="AB979" s="2209"/>
      <c r="AC979" s="346"/>
    </row>
    <row r="980" spans="1:29" ht="18.75" customHeight="1" x14ac:dyDescent="0.2">
      <c r="A980" s="341"/>
      <c r="B980" s="345"/>
      <c r="C980" s="442" t="str">
        <f t="shared" si="92"/>
        <v>Vol Flow</v>
      </c>
      <c r="D980" s="842" t="str">
        <f ca="1">D908</f>
        <v>m^3/d</v>
      </c>
      <c r="E980" s="842">
        <f ca="1">F908</f>
        <v>1.6700360376208241E-18</v>
      </c>
      <c r="F980" s="842">
        <f ca="1">F981/F985</f>
        <v>1.7398051888486026E-18</v>
      </c>
      <c r="G980" s="337"/>
      <c r="H980" s="842"/>
      <c r="I980" s="842"/>
      <c r="J980" s="842"/>
      <c r="K980" s="842"/>
      <c r="L980" s="842"/>
      <c r="M980" s="842"/>
      <c r="N980" s="842"/>
      <c r="O980" s="842"/>
      <c r="P980" s="842"/>
      <c r="Q980" s="842"/>
      <c r="R980" s="842"/>
      <c r="S980" s="842"/>
      <c r="T980" s="842"/>
      <c r="U980" s="842"/>
      <c r="V980" s="842"/>
      <c r="W980" s="842"/>
      <c r="X980" s="842"/>
      <c r="Y980" s="842"/>
      <c r="Z980" s="842"/>
      <c r="AA980" s="2209"/>
      <c r="AB980" s="2209"/>
      <c r="AC980" s="346"/>
    </row>
    <row r="981" spans="1:29" ht="18.75" customHeight="1" x14ac:dyDescent="0.2">
      <c r="A981" s="341"/>
      <c r="B981" s="345"/>
      <c r="C981" s="442" t="str">
        <f t="shared" si="92"/>
        <v>Mass Flow</v>
      </c>
      <c r="D981" s="842" t="str">
        <f t="shared" si="92"/>
        <v>kg/d</v>
      </c>
      <c r="E981" s="842">
        <f ca="1">F909</f>
        <v>1.2258064516139244E-15</v>
      </c>
      <c r="F981" s="842">
        <f ca="1">D998</f>
        <v>1.2526597359709939E-15</v>
      </c>
      <c r="G981" s="337">
        <f ca="1">H991</f>
        <v>2.4516129032278489E-18</v>
      </c>
      <c r="H981" s="842"/>
      <c r="I981" s="842"/>
      <c r="J981" s="842"/>
      <c r="K981" s="842"/>
      <c r="L981" s="842"/>
      <c r="M981" s="842"/>
      <c r="N981" s="842"/>
      <c r="O981" s="842"/>
      <c r="P981" s="842"/>
      <c r="Q981" s="842"/>
      <c r="R981" s="842"/>
      <c r="S981" s="842"/>
      <c r="T981" s="842"/>
      <c r="U981" s="842"/>
      <c r="V981" s="842"/>
      <c r="W981" s="842"/>
      <c r="X981" s="842"/>
      <c r="Y981" s="842"/>
      <c r="Z981" s="842"/>
      <c r="AA981" s="2209"/>
      <c r="AB981" s="2209"/>
      <c r="AC981" s="346"/>
    </row>
    <row r="982" spans="1:29" ht="18.75" customHeight="1" x14ac:dyDescent="0.2">
      <c r="A982" s="341"/>
      <c r="B982" s="345"/>
      <c r="C982" s="442" t="str">
        <f t="shared" si="92"/>
        <v xml:space="preserve">Sulphur </v>
      </c>
      <c r="D982" s="842" t="str">
        <f t="shared" ref="D982:D987" ca="1" si="93">D910</f>
        <v>wt%</v>
      </c>
      <c r="E982" s="842">
        <f ca="1">F910</f>
        <v>0</v>
      </c>
      <c r="F982" s="882">
        <v>0</v>
      </c>
      <c r="G982" s="337">
        <f ca="1">H993</f>
        <v>0</v>
      </c>
      <c r="H982" s="842"/>
      <c r="I982" s="842"/>
      <c r="J982" s="842"/>
      <c r="K982" s="842"/>
      <c r="L982" s="842"/>
      <c r="M982" s="842"/>
      <c r="N982" s="842"/>
      <c r="O982" s="842"/>
      <c r="P982" s="842"/>
      <c r="Q982" s="842"/>
      <c r="R982" s="842"/>
      <c r="S982" s="842"/>
      <c r="T982" s="842"/>
      <c r="U982" s="842"/>
      <c r="V982" s="842"/>
      <c r="W982" s="842"/>
      <c r="X982" s="842"/>
      <c r="Y982" s="842"/>
      <c r="Z982" s="842"/>
      <c r="AA982" s="2209"/>
      <c r="AB982" s="2209"/>
      <c r="AC982" s="346"/>
    </row>
    <row r="983" spans="1:29" ht="18.75" customHeight="1" x14ac:dyDescent="0.2">
      <c r="A983" s="341"/>
      <c r="B983" s="345"/>
      <c r="C983" s="442" t="str">
        <f t="shared" si="92"/>
        <v xml:space="preserve">Nitrogen </v>
      </c>
      <c r="D983" s="842" t="str">
        <f t="shared" ca="1" si="93"/>
        <v>mass ppm</v>
      </c>
      <c r="E983" s="842">
        <f t="shared" si="91"/>
        <v>0</v>
      </c>
      <c r="F983" s="882">
        <v>0</v>
      </c>
      <c r="G983" s="337"/>
      <c r="H983" s="842"/>
      <c r="I983" s="842"/>
      <c r="J983" s="842"/>
      <c r="K983" s="842"/>
      <c r="L983" s="842"/>
      <c r="M983" s="842"/>
      <c r="N983" s="842"/>
      <c r="O983" s="842"/>
      <c r="P983" s="842"/>
      <c r="Q983" s="842"/>
      <c r="R983" s="842"/>
      <c r="S983" s="842"/>
      <c r="T983" s="842"/>
      <c r="U983" s="842"/>
      <c r="V983" s="842"/>
      <c r="W983" s="842"/>
      <c r="X983" s="842"/>
      <c r="Y983" s="842"/>
      <c r="Z983" s="842"/>
      <c r="AA983" s="2209"/>
      <c r="AB983" s="2209"/>
      <c r="AC983" s="346"/>
    </row>
    <row r="984" spans="1:29" ht="18.75" customHeight="1" x14ac:dyDescent="0.2">
      <c r="A984" s="341"/>
      <c r="B984" s="345"/>
      <c r="C984" s="442" t="str">
        <f t="shared" si="92"/>
        <v xml:space="preserve">API gravity </v>
      </c>
      <c r="D984" s="842" t="str">
        <f t="shared" ca="1" si="93"/>
        <v>oAPI</v>
      </c>
      <c r="E984" s="842">
        <f ca="1">F912</f>
        <v>61.279291553095874</v>
      </c>
      <c r="F984" s="842">
        <f>141.5/(F985/1000)-131.5</f>
        <v>65.027777777777771</v>
      </c>
      <c r="G984" s="337"/>
      <c r="H984" s="842"/>
      <c r="I984" s="842"/>
      <c r="J984" s="842"/>
      <c r="K984" s="842"/>
      <c r="L984" s="842"/>
      <c r="M984" s="842"/>
      <c r="N984" s="842"/>
      <c r="O984" s="842"/>
      <c r="P984" s="842"/>
      <c r="Q984" s="842"/>
      <c r="R984" s="842"/>
      <c r="S984" s="842"/>
      <c r="T984" s="842"/>
      <c r="U984" s="842"/>
      <c r="V984" s="842"/>
      <c r="W984" s="842"/>
      <c r="X984" s="842"/>
      <c r="Y984" s="842"/>
      <c r="Z984" s="842"/>
      <c r="AA984" s="2209"/>
      <c r="AB984" s="2209"/>
      <c r="AC984" s="346"/>
    </row>
    <row r="985" spans="1:29" ht="18.75" customHeight="1" x14ac:dyDescent="0.2">
      <c r="A985" s="341"/>
      <c r="B985" s="345"/>
      <c r="C985" s="442" t="str">
        <f t="shared" si="92"/>
        <v>Density</v>
      </c>
      <c r="D985" s="842" t="str">
        <f t="shared" ca="1" si="93"/>
        <v>kg/m^3</v>
      </c>
      <c r="E985" s="842">
        <f ca="1">F913</f>
        <v>734.00000000014336</v>
      </c>
      <c r="F985" s="842">
        <v>720</v>
      </c>
      <c r="G985" s="337"/>
      <c r="H985" s="842"/>
      <c r="I985" s="842"/>
      <c r="J985" s="842"/>
      <c r="K985" s="842"/>
      <c r="L985" s="842"/>
      <c r="M985" s="842"/>
      <c r="N985" s="842"/>
      <c r="O985" s="842"/>
      <c r="P985" s="842"/>
      <c r="Q985" s="842"/>
      <c r="R985" s="842"/>
      <c r="S985" s="842"/>
      <c r="T985" s="842"/>
      <c r="U985" s="842"/>
      <c r="V985" s="842"/>
      <c r="W985" s="842"/>
      <c r="X985" s="842"/>
      <c r="Y985" s="842"/>
      <c r="Z985" s="842"/>
      <c r="AA985" s="2209"/>
      <c r="AB985" s="2209"/>
      <c r="AC985" s="346"/>
    </row>
    <row r="986" spans="1:29" ht="18.75" customHeight="1" x14ac:dyDescent="0.2">
      <c r="A986" s="341"/>
      <c r="B986" s="345"/>
      <c r="C986" s="442" t="str">
        <f t="shared" si="92"/>
        <v>Hydrogen</v>
      </c>
      <c r="D986" s="842" t="str">
        <f t="shared" ca="1" si="93"/>
        <v>wt%</v>
      </c>
      <c r="E986" s="842">
        <f ca="1">F914</f>
        <v>13.689999999998561</v>
      </c>
      <c r="F986" s="386">
        <f ca="1">IF(E986&lt;15.7,15.7,(E981*E986/100+D992+D993+D995+D1002-H991*H992/100)/(E981-E981*(E983-F983)/1000000+D992+D993+D995+D1002-H991)*100)</f>
        <v>15.7</v>
      </c>
      <c r="G986" s="337">
        <f ca="1">H992</f>
        <v>18.364315923905643</v>
      </c>
      <c r="H986" s="842"/>
      <c r="I986" s="842"/>
      <c r="J986" s="842"/>
      <c r="K986" s="842"/>
      <c r="L986" s="842"/>
      <c r="M986" s="842"/>
      <c r="N986" s="842"/>
      <c r="O986" s="842"/>
      <c r="P986" s="842"/>
      <c r="Q986" s="842"/>
      <c r="R986" s="842"/>
      <c r="S986" s="842"/>
      <c r="T986" s="842"/>
      <c r="U986" s="842"/>
      <c r="V986" s="842"/>
      <c r="W986" s="842"/>
      <c r="X986" s="842"/>
      <c r="Y986" s="842"/>
      <c r="Z986" s="842"/>
      <c r="AA986" s="2209"/>
      <c r="AB986" s="2209"/>
      <c r="AC986" s="346"/>
    </row>
    <row r="987" spans="1:29" ht="18.75" customHeight="1" x14ac:dyDescent="0.2">
      <c r="A987" s="341"/>
      <c r="B987" s="345"/>
      <c r="C987" s="443" t="str">
        <f t="shared" si="92"/>
        <v>MCR</v>
      </c>
      <c r="D987" s="334" t="str">
        <f t="shared" ca="1" si="93"/>
        <v>wt%</v>
      </c>
      <c r="E987" s="334">
        <f t="shared" si="91"/>
        <v>0</v>
      </c>
      <c r="F987" s="334">
        <f ca="1">CokingRefineryCalcs!G563</f>
        <v>0.27398518285937168</v>
      </c>
      <c r="G987" s="338"/>
      <c r="H987" s="842"/>
      <c r="I987" s="842"/>
      <c r="J987" s="842"/>
      <c r="K987" s="842"/>
      <c r="L987" s="842"/>
      <c r="M987" s="842"/>
      <c r="N987" s="842"/>
      <c r="O987" s="842"/>
      <c r="P987" s="842"/>
      <c r="Q987" s="842"/>
      <c r="R987" s="842"/>
      <c r="S987" s="842"/>
      <c r="T987" s="842"/>
      <c r="U987" s="842"/>
      <c r="V987" s="842"/>
      <c r="W987" s="842"/>
      <c r="X987" s="842"/>
      <c r="Y987" s="842"/>
      <c r="Z987" s="842"/>
      <c r="AA987" s="2209"/>
      <c r="AB987" s="2209"/>
      <c r="AC987" s="346"/>
    </row>
    <row r="988" spans="1:29" ht="18.75" customHeight="1" x14ac:dyDescent="0.2">
      <c r="A988" s="341"/>
      <c r="B988" s="345"/>
      <c r="C988" s="437"/>
      <c r="D988" s="842"/>
      <c r="E988" s="842"/>
      <c r="F988" s="842"/>
      <c r="G988" s="842"/>
      <c r="H988" s="842"/>
      <c r="I988" s="842"/>
      <c r="J988" s="842"/>
      <c r="K988" s="842"/>
      <c r="L988" s="842"/>
      <c r="M988" s="842"/>
      <c r="N988" s="842"/>
      <c r="O988" s="842"/>
      <c r="P988" s="842"/>
      <c r="Q988" s="842"/>
      <c r="R988" s="842"/>
      <c r="S988" s="842"/>
      <c r="T988" s="842"/>
      <c r="U988" s="842"/>
      <c r="V988" s="842"/>
      <c r="W988" s="842"/>
      <c r="X988" s="842"/>
      <c r="Y988" s="842"/>
      <c r="Z988" s="842"/>
      <c r="AA988" s="2209"/>
      <c r="AB988" s="2209"/>
      <c r="AC988" s="346"/>
    </row>
    <row r="989" spans="1:29" ht="18.75" customHeight="1" x14ac:dyDescent="0.2">
      <c r="A989" s="341"/>
      <c r="B989" s="345"/>
      <c r="C989" s="843" t="s">
        <v>308</v>
      </c>
      <c r="D989" s="842"/>
      <c r="E989" s="842"/>
      <c r="F989" s="842"/>
      <c r="G989" s="843" t="s">
        <v>241</v>
      </c>
      <c r="H989" s="842"/>
      <c r="I989" s="842"/>
      <c r="J989" s="842"/>
      <c r="K989" s="842"/>
      <c r="L989" s="842"/>
      <c r="M989" s="842"/>
      <c r="N989" s="842"/>
      <c r="O989" s="842"/>
      <c r="P989" s="842"/>
      <c r="Q989" s="842"/>
      <c r="R989" s="842"/>
      <c r="S989" s="842"/>
      <c r="T989" s="842"/>
      <c r="U989" s="842"/>
      <c r="V989" s="842"/>
      <c r="W989" s="842"/>
      <c r="X989" s="842"/>
      <c r="Y989" s="842"/>
      <c r="Z989" s="842"/>
      <c r="AA989" s="2209"/>
      <c r="AB989" s="2209"/>
      <c r="AC989" s="346"/>
    </row>
    <row r="990" spans="1:29" ht="18.75" customHeight="1" x14ac:dyDescent="0.2">
      <c r="A990" s="341"/>
      <c r="B990" s="345"/>
      <c r="C990" s="855"/>
      <c r="D990" s="351" t="s">
        <v>233</v>
      </c>
      <c r="E990" s="352" t="s">
        <v>623</v>
      </c>
      <c r="F990" s="842"/>
      <c r="G990" s="855"/>
      <c r="H990" s="351" t="s">
        <v>624</v>
      </c>
      <c r="I990" s="352" t="s">
        <v>623</v>
      </c>
      <c r="J990" s="842"/>
      <c r="K990" s="842"/>
      <c r="L990" s="842"/>
      <c r="M990" s="842"/>
      <c r="N990" s="842"/>
      <c r="O990" s="842"/>
      <c r="P990" s="842"/>
      <c r="Q990" s="842"/>
      <c r="R990" s="842"/>
      <c r="S990" s="842"/>
      <c r="T990" s="842"/>
      <c r="U990" s="842"/>
      <c r="V990" s="842"/>
      <c r="W990" s="842"/>
      <c r="X990" s="842"/>
      <c r="Y990" s="842"/>
      <c r="Z990" s="842"/>
      <c r="AA990" s="2209"/>
      <c r="AB990" s="2209"/>
      <c r="AC990" s="346"/>
    </row>
    <row r="991" spans="1:29" ht="18.75" customHeight="1" x14ac:dyDescent="0.2">
      <c r="A991" s="341"/>
      <c r="B991" s="345"/>
      <c r="C991" s="453" t="s">
        <v>376</v>
      </c>
      <c r="D991" s="842">
        <f ca="1">E981*(E982-F982)/100</f>
        <v>0</v>
      </c>
      <c r="E991" s="337" t="s">
        <v>622</v>
      </c>
      <c r="F991" s="842"/>
      <c r="G991" s="856" t="s">
        <v>363</v>
      </c>
      <c r="H991" s="842">
        <f ca="1">D1004+D1005</f>
        <v>2.4516129032278489E-18</v>
      </c>
      <c r="I991" s="337" t="s">
        <v>622</v>
      </c>
      <c r="J991" s="842"/>
      <c r="K991" s="842"/>
      <c r="L991" s="842"/>
      <c r="M991" s="842"/>
      <c r="N991" s="842"/>
      <c r="O991" s="842"/>
      <c r="P991" s="842"/>
      <c r="Q991" s="842"/>
      <c r="R991" s="842"/>
      <c r="S991" s="842"/>
      <c r="T991" s="842"/>
      <c r="U991" s="842"/>
      <c r="V991" s="842"/>
      <c r="W991" s="842"/>
      <c r="X991" s="842"/>
      <c r="Y991" s="842"/>
      <c r="Z991" s="842"/>
      <c r="AA991" s="2209"/>
      <c r="AB991" s="2209"/>
      <c r="AC991" s="346"/>
    </row>
    <row r="992" spans="1:29" ht="18.75" customHeight="1" x14ac:dyDescent="0.2">
      <c r="A992" s="341"/>
      <c r="B992" s="345"/>
      <c r="C992" s="453" t="s">
        <v>380</v>
      </c>
      <c r="D992" s="842">
        <f ca="1">2/32*D991</f>
        <v>0</v>
      </c>
      <c r="E992" s="337" t="s">
        <v>622</v>
      </c>
      <c r="F992" s="842"/>
      <c r="G992" s="856" t="s">
        <v>377</v>
      </c>
      <c r="H992" s="842">
        <f ca="1">(D1003/100*D1004+2/34*D1005)/H991*100</f>
        <v>18.364315923905643</v>
      </c>
      <c r="I992" s="337" t="s">
        <v>579</v>
      </c>
      <c r="J992" s="842"/>
      <c r="K992" s="842"/>
      <c r="L992" s="842"/>
      <c r="M992" s="842"/>
      <c r="N992" s="842"/>
      <c r="O992" s="842"/>
      <c r="P992" s="842"/>
      <c r="Q992" s="842"/>
      <c r="R992" s="842"/>
      <c r="S992" s="842"/>
      <c r="T992" s="842"/>
      <c r="U992" s="842"/>
      <c r="V992" s="842"/>
      <c r="W992" s="842"/>
      <c r="X992" s="842"/>
      <c r="Y992" s="842"/>
      <c r="Z992" s="842"/>
      <c r="AA992" s="2209"/>
      <c r="AB992" s="2209"/>
      <c r="AC992" s="346"/>
    </row>
    <row r="993" spans="1:29" ht="18.75" customHeight="1" x14ac:dyDescent="0.2">
      <c r="A993" s="341"/>
      <c r="B993" s="345"/>
      <c r="C993" s="453" t="s">
        <v>381</v>
      </c>
      <c r="D993" s="842">
        <f ca="1">D992</f>
        <v>0</v>
      </c>
      <c r="E993" s="337" t="s">
        <v>622</v>
      </c>
      <c r="F993" s="842"/>
      <c r="G993" s="856" t="s">
        <v>378</v>
      </c>
      <c r="H993" s="842">
        <f ca="1">32/34*D1005/H991*100</f>
        <v>0</v>
      </c>
      <c r="I993" s="337" t="s">
        <v>579</v>
      </c>
      <c r="J993" s="842"/>
      <c r="K993" s="842"/>
      <c r="L993" s="842"/>
      <c r="M993" s="842"/>
      <c r="N993" s="842"/>
      <c r="O993" s="842"/>
      <c r="P993" s="842"/>
      <c r="Q993" s="842"/>
      <c r="R993" s="842"/>
      <c r="S993" s="842"/>
      <c r="T993" s="842"/>
      <c r="U993" s="842"/>
      <c r="V993" s="842"/>
      <c r="W993" s="842"/>
      <c r="X993" s="842"/>
      <c r="Y993" s="842"/>
      <c r="Z993" s="842"/>
      <c r="AA993" s="2209"/>
      <c r="AB993" s="2209"/>
      <c r="AC993" s="346"/>
    </row>
    <row r="994" spans="1:29" ht="18.75" customHeight="1" x14ac:dyDescent="0.2">
      <c r="A994" s="341"/>
      <c r="B994" s="345"/>
      <c r="C994" s="453" t="s">
        <v>1393</v>
      </c>
      <c r="D994" s="842" t="e">
        <f ca="1">(D992+D993)*'Energy &amp; Unit Conversions'!E93/'Energy &amp; Unit Conversions'!E26*'Energy &amp; Unit Conversions'!G82/E980/(E982-F982)</f>
        <v>#DIV/0!</v>
      </c>
      <c r="E994" s="337" t="s">
        <v>904</v>
      </c>
      <c r="F994" s="842"/>
      <c r="G994" s="856" t="s">
        <v>379</v>
      </c>
      <c r="H994" s="842">
        <f ca="1">H991/(D1006+E981)*100</f>
        <v>0.2</v>
      </c>
      <c r="I994" s="337" t="s">
        <v>579</v>
      </c>
      <c r="J994" s="842"/>
      <c r="K994" s="842"/>
      <c r="L994" s="842"/>
      <c r="M994" s="842"/>
      <c r="N994" s="842"/>
      <c r="O994" s="842"/>
      <c r="P994" s="842"/>
      <c r="Q994" s="842"/>
      <c r="R994" s="842"/>
      <c r="S994" s="842"/>
      <c r="T994" s="842"/>
      <c r="U994" s="842"/>
      <c r="V994" s="842"/>
      <c r="W994" s="842"/>
      <c r="X994" s="842"/>
      <c r="Y994" s="842"/>
      <c r="Z994" s="842"/>
      <c r="AA994" s="2209"/>
      <c r="AB994" s="2209"/>
      <c r="AC994" s="346"/>
    </row>
    <row r="995" spans="1:29" ht="18.75" customHeight="1" x14ac:dyDescent="0.2">
      <c r="A995" s="341"/>
      <c r="B995" s="345"/>
      <c r="C995" s="453" t="s">
        <v>905</v>
      </c>
      <c r="D995" s="842">
        <f ca="1">D996*E980*(E982-F982)/10000/'Energy &amp; Unit Conversions'!G82*'Energy &amp; Unit Conversions'!E26/'Energy &amp; Unit Conversions'!E93</f>
        <v>0</v>
      </c>
      <c r="E995" s="337" t="s">
        <v>622</v>
      </c>
      <c r="F995" s="842"/>
      <c r="G995" s="865" t="s">
        <v>1092</v>
      </c>
      <c r="H995" s="976">
        <v>2E-3</v>
      </c>
      <c r="I995" s="866" t="s">
        <v>1091</v>
      </c>
      <c r="J995" s="842"/>
      <c r="K995" s="842"/>
      <c r="L995" s="842"/>
      <c r="M995" s="842"/>
      <c r="N995" s="842"/>
      <c r="O995" s="842"/>
      <c r="P995" s="842"/>
      <c r="Q995" s="842"/>
      <c r="R995" s="842"/>
      <c r="S995" s="842"/>
      <c r="T995" s="842"/>
      <c r="U995" s="842"/>
      <c r="V995" s="842"/>
      <c r="W995" s="842"/>
      <c r="X995" s="842"/>
      <c r="Y995" s="842"/>
      <c r="Z995" s="842"/>
      <c r="AA995" s="2209"/>
      <c r="AB995" s="2209"/>
      <c r="AC995" s="346"/>
    </row>
    <row r="996" spans="1:29" ht="18.75" customHeight="1" x14ac:dyDescent="0.2">
      <c r="A996" s="341"/>
      <c r="B996" s="345"/>
      <c r="C996" s="453" t="s">
        <v>905</v>
      </c>
      <c r="D996" s="410">
        <v>59</v>
      </c>
      <c r="E996" s="337" t="s">
        <v>904</v>
      </c>
      <c r="F996" s="842"/>
      <c r="G996" s="842"/>
      <c r="H996" s="842"/>
      <c r="I996" s="842"/>
      <c r="J996" s="842"/>
      <c r="K996" s="842"/>
      <c r="L996" s="842"/>
      <c r="M996" s="842"/>
      <c r="N996" s="842"/>
      <c r="O996" s="842"/>
      <c r="P996" s="842"/>
      <c r="Q996" s="842"/>
      <c r="R996" s="842"/>
      <c r="S996" s="842"/>
      <c r="T996" s="842"/>
      <c r="U996" s="842"/>
      <c r="V996" s="842"/>
      <c r="W996" s="842"/>
      <c r="X996" s="842"/>
      <c r="Y996" s="842"/>
      <c r="Z996" s="842"/>
      <c r="AA996" s="2209"/>
      <c r="AB996" s="2209"/>
      <c r="AC996" s="346"/>
    </row>
    <row r="997" spans="1:29" ht="18.75" customHeight="1" x14ac:dyDescent="0.2">
      <c r="A997" s="341"/>
      <c r="B997" s="345"/>
      <c r="C997" s="453" t="s">
        <v>1316</v>
      </c>
      <c r="D997" s="842">
        <f ca="1">E986/100*E981</f>
        <v>1.6781290322592862E-16</v>
      </c>
      <c r="E997" s="337" t="s">
        <v>622</v>
      </c>
      <c r="F997" s="842"/>
      <c r="G997" s="842"/>
      <c r="H997" s="842"/>
      <c r="I997" s="842"/>
      <c r="J997" s="842"/>
      <c r="K997" s="842"/>
      <c r="L997" s="842"/>
      <c r="M997" s="842"/>
      <c r="N997" s="842"/>
      <c r="O997" s="842"/>
      <c r="P997" s="842"/>
      <c r="Q997" s="842"/>
      <c r="R997" s="842"/>
      <c r="S997" s="842"/>
      <c r="T997" s="842"/>
      <c r="U997" s="842"/>
      <c r="V997" s="842"/>
      <c r="W997" s="842"/>
      <c r="X997" s="842"/>
      <c r="Y997" s="842"/>
      <c r="Z997" s="842"/>
      <c r="AA997" s="2209"/>
      <c r="AB997" s="2209"/>
      <c r="AC997" s="346"/>
    </row>
    <row r="998" spans="1:29" ht="18.75" customHeight="1" x14ac:dyDescent="0.2">
      <c r="A998" s="341"/>
      <c r="B998" s="345"/>
      <c r="C998" s="453" t="s">
        <v>1741</v>
      </c>
      <c r="D998" s="842">
        <f ca="1">D999/(1-F986/100-(F982/100))</f>
        <v>1.2526597359709939E-15</v>
      </c>
      <c r="E998" s="337" t="s">
        <v>622</v>
      </c>
      <c r="F998" s="842"/>
      <c r="G998" s="842"/>
      <c r="H998" s="842"/>
      <c r="I998" s="842"/>
      <c r="J998" s="842"/>
      <c r="K998" s="842"/>
      <c r="L998" s="842"/>
      <c r="M998" s="842"/>
      <c r="N998" s="842"/>
      <c r="O998" s="842"/>
      <c r="P998" s="842"/>
      <c r="Q998" s="842"/>
      <c r="R998" s="842"/>
      <c r="S998" s="842"/>
      <c r="T998" s="842"/>
      <c r="U998" s="842"/>
      <c r="V998" s="842"/>
      <c r="W998" s="842"/>
      <c r="X998" s="842"/>
      <c r="Y998" s="842"/>
      <c r="Z998" s="842"/>
      <c r="AA998" s="2209"/>
      <c r="AB998" s="2209"/>
      <c r="AC998" s="346"/>
    </row>
    <row r="999" spans="1:29" ht="18.75" customHeight="1" x14ac:dyDescent="0.2">
      <c r="A999" s="341"/>
      <c r="B999" s="345"/>
      <c r="C999" s="453" t="s">
        <v>1317</v>
      </c>
      <c r="D999" s="842">
        <f ca="1">((E981*(1-E986/100-E982/100-E983/1000000))-D1001)</f>
        <v>1.0559921574235478E-15</v>
      </c>
      <c r="E999" s="337" t="s">
        <v>579</v>
      </c>
      <c r="F999" s="842"/>
      <c r="G999" s="842"/>
      <c r="H999" s="842"/>
      <c r="I999" s="842"/>
      <c r="J999" s="842"/>
      <c r="K999" s="842"/>
      <c r="L999" s="842"/>
      <c r="M999" s="842"/>
      <c r="N999" s="842"/>
      <c r="O999" s="842"/>
      <c r="P999" s="842"/>
      <c r="Q999" s="842"/>
      <c r="R999" s="842"/>
      <c r="S999" s="842"/>
      <c r="T999" s="842"/>
      <c r="U999" s="842"/>
      <c r="V999" s="842"/>
      <c r="W999" s="842"/>
      <c r="X999" s="842"/>
      <c r="Y999" s="842"/>
      <c r="Z999" s="842"/>
      <c r="AA999" s="2209"/>
      <c r="AB999" s="2209"/>
      <c r="AC999" s="346"/>
    </row>
    <row r="1000" spans="1:29" ht="18.75" customHeight="1" x14ac:dyDescent="0.2">
      <c r="A1000" s="341"/>
      <c r="B1000" s="345"/>
      <c r="C1000" s="453" t="s">
        <v>1779</v>
      </c>
      <c r="D1000" s="842">
        <f ca="1">D998*F986/100-D992-D995-D997</f>
        <v>2.8854675321517407E-17</v>
      </c>
      <c r="E1000" s="337" t="s">
        <v>622</v>
      </c>
      <c r="F1000" s="842"/>
      <c r="G1000" s="842"/>
      <c r="H1000" s="842"/>
      <c r="I1000" s="842"/>
      <c r="J1000" s="842"/>
      <c r="K1000" s="842"/>
      <c r="L1000" s="842"/>
      <c r="M1000" s="842"/>
      <c r="N1000" s="842"/>
      <c r="O1000" s="842"/>
      <c r="P1000" s="842"/>
      <c r="Q1000" s="842"/>
      <c r="R1000" s="842"/>
      <c r="S1000" s="842"/>
      <c r="T1000" s="842"/>
      <c r="U1000" s="842"/>
      <c r="V1000" s="842"/>
      <c r="W1000" s="842"/>
      <c r="X1000" s="842"/>
      <c r="Y1000" s="842"/>
      <c r="Z1000" s="842"/>
      <c r="AA1000" s="2209"/>
      <c r="AB1000" s="2209"/>
      <c r="AC1000" s="346"/>
    </row>
    <row r="1001" spans="1:29" ht="18.75" customHeight="1" x14ac:dyDescent="0.2">
      <c r="A1001" s="341"/>
      <c r="B1001" s="345"/>
      <c r="C1001" s="453" t="s">
        <v>1318</v>
      </c>
      <c r="D1001" s="842">
        <f ca="1">D1004*(1-D1003/100)</f>
        <v>2.0013909644478518E-18</v>
      </c>
      <c r="E1001" s="337" t="s">
        <v>622</v>
      </c>
      <c r="F1001" s="842"/>
      <c r="G1001" s="842"/>
      <c r="H1001" s="842"/>
      <c r="I1001" s="842"/>
      <c r="J1001" s="842"/>
      <c r="K1001" s="842"/>
      <c r="L1001" s="842"/>
      <c r="M1001" s="842"/>
      <c r="N1001" s="842"/>
      <c r="O1001" s="842"/>
      <c r="P1001" s="842"/>
      <c r="Q1001" s="842"/>
      <c r="R1001" s="842"/>
      <c r="S1001" s="842"/>
      <c r="T1001" s="842"/>
      <c r="U1001" s="842"/>
      <c r="V1001" s="842"/>
      <c r="W1001" s="842"/>
      <c r="X1001" s="842"/>
      <c r="Y1001" s="842"/>
      <c r="Z1001" s="842"/>
      <c r="AA1001" s="2209"/>
      <c r="AB1001" s="2209"/>
      <c r="AC1001" s="346"/>
    </row>
    <row r="1002" spans="1:29" ht="18.75" customHeight="1" x14ac:dyDescent="0.2">
      <c r="A1002" s="341"/>
      <c r="B1002" s="345"/>
      <c r="C1002" s="452" t="s">
        <v>1319</v>
      </c>
      <c r="D1002" s="334">
        <f ca="1">D1004*(D1003/100)</f>
        <v>4.5022193877999731E-19</v>
      </c>
      <c r="E1002" s="338" t="s">
        <v>622</v>
      </c>
      <c r="F1002" s="842"/>
      <c r="G1002" s="842"/>
      <c r="H1002" s="842"/>
      <c r="I1002" s="842"/>
      <c r="J1002" s="842"/>
      <c r="K1002" s="842"/>
      <c r="L1002" s="842"/>
      <c r="M1002" s="842"/>
      <c r="N1002" s="842"/>
      <c r="O1002" s="842"/>
      <c r="P1002" s="842"/>
      <c r="Q1002" s="842"/>
      <c r="R1002" s="842"/>
      <c r="S1002" s="842"/>
      <c r="T1002" s="842"/>
      <c r="U1002" s="842"/>
      <c r="V1002" s="842"/>
      <c r="W1002" s="842"/>
      <c r="X1002" s="842"/>
      <c r="Y1002" s="842"/>
      <c r="Z1002" s="842"/>
      <c r="AA1002" s="2209"/>
      <c r="AB1002" s="2209"/>
      <c r="AC1002" s="346"/>
    </row>
    <row r="1003" spans="1:29" ht="18.75" customHeight="1" x14ac:dyDescent="0.2">
      <c r="A1003" s="341"/>
      <c r="B1003" s="345"/>
      <c r="C1003" s="454" t="s">
        <v>375</v>
      </c>
      <c r="D1003" s="854">
        <f>Constants!N396</f>
        <v>18.364315923905643</v>
      </c>
      <c r="E1003" s="369" t="s">
        <v>579</v>
      </c>
      <c r="F1003" s="842"/>
      <c r="G1003" s="842"/>
      <c r="H1003" s="842"/>
      <c r="I1003" s="842"/>
      <c r="J1003" s="842"/>
      <c r="K1003" s="842"/>
      <c r="L1003" s="842"/>
      <c r="M1003" s="842"/>
      <c r="N1003" s="842"/>
      <c r="O1003" s="842"/>
      <c r="P1003" s="842"/>
      <c r="Q1003" s="842"/>
      <c r="R1003" s="842"/>
      <c r="S1003" s="842"/>
      <c r="T1003" s="842"/>
      <c r="U1003" s="842"/>
      <c r="V1003" s="842"/>
      <c r="W1003" s="842"/>
      <c r="X1003" s="842"/>
      <c r="Y1003" s="842"/>
      <c r="Z1003" s="842"/>
      <c r="AA1003" s="2209"/>
      <c r="AB1003" s="2209"/>
      <c r="AC1003" s="346"/>
    </row>
    <row r="1004" spans="1:29" ht="18.75" customHeight="1" x14ac:dyDescent="0.2">
      <c r="A1004" s="341"/>
      <c r="B1004" s="345"/>
      <c r="C1004" s="453" t="s">
        <v>385</v>
      </c>
      <c r="D1004" s="426">
        <f ca="1">E981*H995</f>
        <v>2.4516129032278489E-18</v>
      </c>
      <c r="E1004" s="337" t="s">
        <v>622</v>
      </c>
      <c r="F1004" s="842"/>
      <c r="G1004" s="842"/>
      <c r="H1004" s="842"/>
      <c r="I1004" s="842"/>
      <c r="J1004" s="842"/>
      <c r="K1004" s="842"/>
      <c r="L1004" s="842"/>
      <c r="M1004" s="842"/>
      <c r="N1004" s="842"/>
      <c r="O1004" s="842"/>
      <c r="P1004" s="842"/>
      <c r="Q1004" s="842"/>
      <c r="R1004" s="842"/>
      <c r="S1004" s="842"/>
      <c r="T1004" s="842"/>
      <c r="U1004" s="842"/>
      <c r="V1004" s="842"/>
      <c r="W1004" s="842"/>
      <c r="X1004" s="842"/>
      <c r="Y1004" s="842"/>
      <c r="Z1004" s="842"/>
      <c r="AA1004" s="2209"/>
      <c r="AB1004" s="2209"/>
      <c r="AC1004" s="346"/>
    </row>
    <row r="1005" spans="1:29" ht="18.75" customHeight="1" x14ac:dyDescent="0.2">
      <c r="A1005" s="341"/>
      <c r="B1005" s="345"/>
      <c r="C1005" s="453" t="s">
        <v>384</v>
      </c>
      <c r="D1005" s="842">
        <f ca="1">D991+D993</f>
        <v>0</v>
      </c>
      <c r="E1005" s="337" t="s">
        <v>622</v>
      </c>
      <c r="F1005" s="842"/>
      <c r="G1005" s="842"/>
      <c r="H1005" s="842"/>
      <c r="I1005" s="842"/>
      <c r="J1005" s="842"/>
      <c r="K1005" s="842"/>
      <c r="L1005" s="842"/>
      <c r="M1005" s="842"/>
      <c r="N1005" s="842"/>
      <c r="O1005" s="842"/>
      <c r="P1005" s="842"/>
      <c r="Q1005" s="842"/>
      <c r="R1005" s="842"/>
      <c r="S1005" s="842"/>
      <c r="T1005" s="842"/>
      <c r="U1005" s="842"/>
      <c r="V1005" s="842"/>
      <c r="W1005" s="842"/>
      <c r="X1005" s="842"/>
      <c r="Y1005" s="842"/>
      <c r="Z1005" s="842"/>
      <c r="AA1005" s="2209"/>
      <c r="AB1005" s="2209"/>
      <c r="AC1005" s="346"/>
    </row>
    <row r="1006" spans="1:29" ht="18.75" customHeight="1" x14ac:dyDescent="0.2">
      <c r="A1006" s="341"/>
      <c r="B1006" s="345"/>
      <c r="C1006" s="452" t="s">
        <v>1780</v>
      </c>
      <c r="D1006" s="978">
        <f ca="1">IF(OR(HydroRefineryConfig=0,HydroRefineryConfig=1,HydroRefineryConfig=2,HydroRefineryConfig=3),0, D992+D993+D1000+D1002)</f>
        <v>0</v>
      </c>
      <c r="E1006" s="338" t="s">
        <v>622</v>
      </c>
      <c r="F1006" s="842"/>
      <c r="G1006" s="842"/>
      <c r="H1006" s="842"/>
      <c r="I1006" s="842"/>
      <c r="J1006" s="842"/>
      <c r="K1006" s="842"/>
      <c r="L1006" s="842"/>
      <c r="M1006" s="842"/>
      <c r="N1006" s="842"/>
      <c r="O1006" s="842"/>
      <c r="P1006" s="842"/>
      <c r="Q1006" s="842"/>
      <c r="R1006" s="842"/>
      <c r="S1006" s="842"/>
      <c r="T1006" s="842"/>
      <c r="U1006" s="842"/>
      <c r="V1006" s="842"/>
      <c r="W1006" s="842"/>
      <c r="X1006" s="842"/>
      <c r="Y1006" s="842"/>
      <c r="Z1006" s="842"/>
      <c r="AA1006" s="2209"/>
      <c r="AB1006" s="2209"/>
      <c r="AC1006" s="346"/>
    </row>
    <row r="1007" spans="1:29" ht="18.75" customHeight="1" x14ac:dyDescent="0.2">
      <c r="A1007" s="341"/>
      <c r="B1007" s="345"/>
      <c r="C1007" s="454" t="s">
        <v>635</v>
      </c>
      <c r="D1007" s="854">
        <f ca="1">Constants!H173</f>
        <v>107.01126379400964</v>
      </c>
      <c r="E1007" s="369" t="s">
        <v>637</v>
      </c>
      <c r="F1007" s="842"/>
      <c r="G1007" s="842"/>
      <c r="H1007" s="842"/>
      <c r="I1007" s="842"/>
      <c r="J1007" s="842"/>
      <c r="K1007" s="842"/>
      <c r="L1007" s="842"/>
      <c r="M1007" s="842"/>
      <c r="N1007" s="842"/>
      <c r="O1007" s="842"/>
      <c r="P1007" s="842"/>
      <c r="Q1007" s="842"/>
      <c r="R1007" s="842"/>
      <c r="S1007" s="842"/>
      <c r="T1007" s="842"/>
      <c r="U1007" s="842"/>
      <c r="V1007" s="842"/>
      <c r="W1007" s="842"/>
      <c r="X1007" s="842"/>
      <c r="Y1007" s="842"/>
      <c r="Z1007" s="842"/>
      <c r="AA1007" s="2209"/>
      <c r="AB1007" s="2209"/>
      <c r="AC1007" s="346"/>
    </row>
    <row r="1008" spans="1:29" ht="18.75" customHeight="1" x14ac:dyDescent="0.2">
      <c r="A1008" s="341"/>
      <c r="B1008" s="345"/>
      <c r="C1008" s="453" t="s">
        <v>634</v>
      </c>
      <c r="D1008" s="842">
        <f ca="1">D1007*'Energy &amp; Unit Conversions'!G82/'Energy &amp; Unit Conversions'!G80</f>
        <v>18.031955899292875</v>
      </c>
      <c r="E1008" s="337" t="s">
        <v>636</v>
      </c>
      <c r="F1008" s="842"/>
      <c r="G1008" s="842"/>
      <c r="H1008" s="842"/>
      <c r="I1008" s="842"/>
      <c r="J1008" s="842"/>
      <c r="K1008" s="842"/>
      <c r="L1008" s="842"/>
      <c r="M1008" s="842"/>
      <c r="N1008" s="842"/>
      <c r="O1008" s="842"/>
      <c r="P1008" s="842"/>
      <c r="Q1008" s="842"/>
      <c r="R1008" s="842"/>
      <c r="S1008" s="842"/>
      <c r="T1008" s="842"/>
      <c r="U1008" s="842"/>
      <c r="V1008" s="842"/>
      <c r="W1008" s="842"/>
      <c r="X1008" s="842"/>
      <c r="Y1008" s="842"/>
      <c r="Z1008" s="842"/>
      <c r="AA1008" s="2209"/>
      <c r="AB1008" s="2209"/>
      <c r="AC1008" s="346"/>
    </row>
    <row r="1009" spans="1:29" ht="18.75" customHeight="1" x14ac:dyDescent="0.2">
      <c r="A1009" s="341"/>
      <c r="B1009" s="345"/>
      <c r="C1009" s="453" t="s">
        <v>542</v>
      </c>
      <c r="D1009" s="842">
        <f ca="1">D1007*E979/1000</f>
        <v>1.1240688216438961E-18</v>
      </c>
      <c r="E1009" s="337" t="s">
        <v>472</v>
      </c>
      <c r="F1009" s="842"/>
      <c r="G1009" s="842"/>
      <c r="H1009" s="842"/>
      <c r="I1009" s="842"/>
      <c r="J1009" s="842"/>
      <c r="K1009" s="842"/>
      <c r="L1009" s="842"/>
      <c r="M1009" s="842"/>
      <c r="N1009" s="842"/>
      <c r="O1009" s="842"/>
      <c r="P1009" s="842"/>
      <c r="Q1009" s="842"/>
      <c r="R1009" s="842"/>
      <c r="S1009" s="842"/>
      <c r="T1009" s="842"/>
      <c r="U1009" s="842"/>
      <c r="V1009" s="842"/>
      <c r="W1009" s="842"/>
      <c r="X1009" s="842"/>
      <c r="Y1009" s="842"/>
      <c r="Z1009" s="842"/>
      <c r="AA1009" s="2209"/>
      <c r="AB1009" s="2209"/>
      <c r="AC1009" s="346"/>
    </row>
    <row r="1010" spans="1:29" ht="18.75" customHeight="1" x14ac:dyDescent="0.2">
      <c r="A1010" s="341"/>
      <c r="B1010" s="345"/>
      <c r="C1010" s="453" t="s">
        <v>542</v>
      </c>
      <c r="D1010" s="842">
        <f ca="1">D1008*E980</f>
        <v>3.0114016180608518E-17</v>
      </c>
      <c r="E1010" s="337" t="s">
        <v>628</v>
      </c>
      <c r="F1010" s="842"/>
      <c r="G1010" s="842"/>
      <c r="H1010" s="842"/>
      <c r="I1010" s="842"/>
      <c r="J1010" s="842"/>
      <c r="K1010" s="842"/>
      <c r="L1010" s="842"/>
      <c r="M1010" s="842"/>
      <c r="N1010" s="842"/>
      <c r="O1010" s="842"/>
      <c r="P1010" s="842"/>
      <c r="Q1010" s="842"/>
      <c r="R1010" s="842"/>
      <c r="S1010" s="842"/>
      <c r="T1010" s="842"/>
      <c r="U1010" s="842"/>
      <c r="V1010" s="842"/>
      <c r="W1010" s="842"/>
      <c r="X1010" s="842"/>
      <c r="Y1010" s="842"/>
      <c r="Z1010" s="842"/>
      <c r="AA1010" s="2209"/>
      <c r="AB1010" s="2209"/>
      <c r="AC1010" s="346"/>
    </row>
    <row r="1011" spans="1:29" ht="18.75" customHeight="1" x14ac:dyDescent="0.2">
      <c r="A1011" s="341"/>
      <c r="B1011" s="345"/>
      <c r="C1011" s="452" t="s">
        <v>631</v>
      </c>
      <c r="D1011" s="334">
        <f ca="1">D1010*'Energy &amp; Unit Conversions'!P25*'Energy &amp; Unit Conversions'!G87</f>
        <v>1.2765533376619646E-20</v>
      </c>
      <c r="E1011" s="338" t="s">
        <v>632</v>
      </c>
      <c r="F1011" s="842"/>
      <c r="G1011" s="842"/>
      <c r="H1011" s="842"/>
      <c r="I1011" s="842"/>
      <c r="J1011" s="842"/>
      <c r="K1011" s="842"/>
      <c r="L1011" s="842"/>
      <c r="M1011" s="842"/>
      <c r="N1011" s="842"/>
      <c r="O1011" s="842"/>
      <c r="P1011" s="842"/>
      <c r="Q1011" s="842"/>
      <c r="R1011" s="842"/>
      <c r="S1011" s="842"/>
      <c r="T1011" s="842"/>
      <c r="U1011" s="842"/>
      <c r="V1011" s="842"/>
      <c r="W1011" s="842"/>
      <c r="X1011" s="842"/>
      <c r="Y1011" s="842"/>
      <c r="Z1011" s="842"/>
      <c r="AA1011" s="2209"/>
      <c r="AB1011" s="2209"/>
      <c r="AC1011" s="346"/>
    </row>
    <row r="1012" spans="1:29" ht="18.75" customHeight="1" x14ac:dyDescent="0.2">
      <c r="A1012" s="341"/>
      <c r="B1012" s="345"/>
      <c r="C1012" s="453" t="s">
        <v>451</v>
      </c>
      <c r="D1012" s="410">
        <f ca="1">Constants!H174</f>
        <v>2</v>
      </c>
      <c r="E1012" s="337" t="s">
        <v>665</v>
      </c>
      <c r="F1012" s="842"/>
      <c r="G1012" s="842"/>
      <c r="H1012" s="842"/>
      <c r="I1012" s="842"/>
      <c r="J1012" s="842"/>
      <c r="K1012" s="842"/>
      <c r="L1012" s="842"/>
      <c r="M1012" s="842"/>
      <c r="N1012" s="842"/>
      <c r="O1012" s="842"/>
      <c r="P1012" s="842"/>
      <c r="Q1012" s="842"/>
      <c r="R1012" s="842"/>
      <c r="S1012" s="842"/>
      <c r="T1012" s="842"/>
      <c r="U1012" s="842"/>
      <c r="V1012" s="842"/>
      <c r="W1012" s="842"/>
      <c r="X1012" s="842"/>
      <c r="Y1012" s="842"/>
      <c r="Z1012" s="842"/>
      <c r="AA1012" s="2209"/>
      <c r="AB1012" s="2209"/>
      <c r="AC1012" s="346"/>
    </row>
    <row r="1013" spans="1:29" ht="18.75" customHeight="1" x14ac:dyDescent="0.2">
      <c r="A1013" s="341"/>
      <c r="B1013" s="345"/>
      <c r="C1013" s="453" t="s">
        <v>451</v>
      </c>
      <c r="D1013" s="842">
        <f ca="1">D1012/'Energy &amp; Unit Conversions'!G80</f>
        <v>12.57962113955014</v>
      </c>
      <c r="E1013" s="337" t="s">
        <v>629</v>
      </c>
      <c r="F1013" s="842"/>
      <c r="G1013" s="842"/>
      <c r="H1013" s="842"/>
      <c r="I1013" s="842"/>
      <c r="J1013" s="842"/>
      <c r="K1013" s="842"/>
      <c r="L1013" s="842"/>
      <c r="M1013" s="842"/>
      <c r="N1013" s="842"/>
      <c r="O1013" s="842"/>
      <c r="P1013" s="842"/>
      <c r="Q1013" s="842"/>
      <c r="R1013" s="842"/>
      <c r="S1013" s="842"/>
      <c r="T1013" s="842"/>
      <c r="U1013" s="842"/>
      <c r="V1013" s="842"/>
      <c r="W1013" s="842"/>
      <c r="X1013" s="842"/>
      <c r="Y1013" s="842"/>
      <c r="Z1013" s="842"/>
      <c r="AA1013" s="2209"/>
      <c r="AB1013" s="2209"/>
      <c r="AC1013" s="346"/>
    </row>
    <row r="1014" spans="1:29" ht="18.75" customHeight="1" x14ac:dyDescent="0.2">
      <c r="A1014" s="341"/>
      <c r="B1014" s="345"/>
      <c r="C1014" s="453" t="s">
        <v>452</v>
      </c>
      <c r="D1014" s="842">
        <f ca="1">E980*D1013</f>
        <v>2.100842064266547E-17</v>
      </c>
      <c r="E1014" s="337" t="s">
        <v>627</v>
      </c>
      <c r="F1014" s="842"/>
      <c r="G1014" s="842"/>
      <c r="H1014" s="842"/>
      <c r="I1014" s="842"/>
      <c r="J1014" s="842"/>
      <c r="K1014" s="842"/>
      <c r="L1014" s="842"/>
      <c r="M1014" s="842"/>
      <c r="N1014" s="842"/>
      <c r="O1014" s="842"/>
      <c r="P1014" s="842"/>
      <c r="Q1014" s="842"/>
      <c r="R1014" s="842"/>
      <c r="S1014" s="842"/>
      <c r="T1014" s="842"/>
      <c r="U1014" s="842"/>
      <c r="V1014" s="842"/>
      <c r="W1014" s="842"/>
      <c r="X1014" s="842"/>
      <c r="Y1014" s="842"/>
      <c r="Z1014" s="842"/>
      <c r="AA1014" s="2209"/>
      <c r="AB1014" s="2209"/>
      <c r="AC1014" s="346"/>
    </row>
    <row r="1015" spans="1:29" ht="18.75" customHeight="1" x14ac:dyDescent="0.2">
      <c r="A1015" s="341"/>
      <c r="B1015" s="345"/>
      <c r="C1015" s="454" t="s">
        <v>485</v>
      </c>
      <c r="D1015" s="854">
        <f ca="1">Constants!H176</f>
        <v>6</v>
      </c>
      <c r="E1015" s="369" t="s">
        <v>496</v>
      </c>
      <c r="F1015" s="842"/>
      <c r="G1015" s="842"/>
      <c r="H1015" s="842"/>
      <c r="I1015" s="842"/>
      <c r="J1015" s="842"/>
      <c r="K1015" s="842"/>
      <c r="L1015" s="842"/>
      <c r="M1015" s="842"/>
      <c r="N1015" s="842"/>
      <c r="O1015" s="842"/>
      <c r="P1015" s="842"/>
      <c r="Q1015" s="842"/>
      <c r="R1015" s="842"/>
      <c r="S1015" s="842"/>
      <c r="T1015" s="842"/>
      <c r="U1015" s="842"/>
      <c r="V1015" s="842"/>
      <c r="W1015" s="842"/>
      <c r="X1015" s="842"/>
      <c r="Y1015" s="842"/>
      <c r="Z1015" s="842"/>
      <c r="AA1015" s="2209"/>
      <c r="AB1015" s="2209"/>
      <c r="AC1015" s="346"/>
    </row>
    <row r="1016" spans="1:29" ht="18.75" customHeight="1" x14ac:dyDescent="0.2">
      <c r="A1016" s="341"/>
      <c r="B1016" s="345"/>
      <c r="C1016" s="453" t="s">
        <v>485</v>
      </c>
      <c r="D1016" s="842">
        <f ca="1">D1015*'Energy &amp; Unit Conversions'!G79/'Energy &amp; Unit Conversions'!G80</f>
        <v>17.11806049917195</v>
      </c>
      <c r="E1016" s="337" t="s">
        <v>581</v>
      </c>
      <c r="F1016" s="842"/>
      <c r="G1016" s="842"/>
      <c r="H1016" s="842"/>
      <c r="I1016" s="842"/>
      <c r="J1016" s="842"/>
      <c r="K1016" s="842"/>
      <c r="L1016" s="842"/>
      <c r="M1016" s="842"/>
      <c r="N1016" s="842"/>
      <c r="O1016" s="842"/>
      <c r="P1016" s="842"/>
      <c r="Q1016" s="842"/>
      <c r="R1016" s="842"/>
      <c r="S1016" s="842"/>
      <c r="T1016" s="842"/>
      <c r="U1016" s="842"/>
      <c r="V1016" s="842"/>
      <c r="W1016" s="842"/>
      <c r="X1016" s="842"/>
      <c r="Y1016" s="842"/>
      <c r="Z1016" s="842"/>
      <c r="AA1016" s="2209"/>
      <c r="AB1016" s="2209"/>
      <c r="AC1016" s="346"/>
    </row>
    <row r="1017" spans="1:29" ht="18.75" customHeight="1" x14ac:dyDescent="0.2">
      <c r="A1017" s="341"/>
      <c r="B1017" s="345"/>
      <c r="C1017" s="452" t="s">
        <v>485</v>
      </c>
      <c r="D1017" s="334">
        <f ca="1">D1016*E980</f>
        <v>2.8587777927790671E-17</v>
      </c>
      <c r="E1017" s="338" t="s">
        <v>622</v>
      </c>
      <c r="F1017" s="842"/>
      <c r="G1017" s="842"/>
      <c r="H1017" s="842"/>
      <c r="I1017" s="842"/>
      <c r="J1017" s="842"/>
      <c r="K1017" s="842"/>
      <c r="L1017" s="842"/>
      <c r="M1017" s="842"/>
      <c r="N1017" s="842"/>
      <c r="O1017" s="842"/>
      <c r="P1017" s="842"/>
      <c r="Q1017" s="842"/>
      <c r="R1017" s="842"/>
      <c r="S1017" s="842"/>
      <c r="T1017" s="842"/>
      <c r="U1017" s="842"/>
      <c r="V1017" s="842"/>
      <c r="W1017" s="842"/>
      <c r="X1017" s="842"/>
      <c r="Y1017" s="842"/>
      <c r="Z1017" s="842"/>
      <c r="AA1017" s="2209"/>
      <c r="AB1017" s="2209"/>
      <c r="AC1017" s="346"/>
    </row>
    <row r="1018" spans="1:29" ht="18.75" customHeight="1" x14ac:dyDescent="0.2">
      <c r="A1018" s="341"/>
      <c r="B1018" s="345"/>
      <c r="C1018" s="437"/>
      <c r="D1018" s="842"/>
      <c r="E1018" s="842"/>
      <c r="F1018" s="842"/>
      <c r="G1018" s="842"/>
      <c r="H1018" s="842"/>
      <c r="I1018" s="842"/>
      <c r="J1018" s="842"/>
      <c r="K1018" s="842"/>
      <c r="L1018" s="842"/>
      <c r="M1018" s="842"/>
      <c r="N1018" s="842"/>
      <c r="O1018" s="842"/>
      <c r="P1018" s="842"/>
      <c r="Q1018" s="842"/>
      <c r="R1018" s="842"/>
      <c r="S1018" s="842"/>
      <c r="T1018" s="842"/>
      <c r="U1018" s="842"/>
      <c r="V1018" s="842"/>
      <c r="W1018" s="842"/>
      <c r="X1018" s="842"/>
      <c r="Y1018" s="842"/>
      <c r="Z1018" s="842"/>
      <c r="AA1018" s="2209"/>
      <c r="AB1018" s="2209"/>
      <c r="AC1018" s="346"/>
    </row>
    <row r="1019" spans="1:29" ht="26.25" x14ac:dyDescent="0.2">
      <c r="A1019" s="341"/>
      <c r="B1019" s="699"/>
      <c r="C1019" s="603" t="s">
        <v>449</v>
      </c>
      <c r="D1019" s="842"/>
      <c r="E1019" s="842"/>
      <c r="F1019" s="842"/>
      <c r="G1019" s="842"/>
      <c r="H1019" s="842"/>
      <c r="I1019" s="842"/>
      <c r="J1019" s="842"/>
      <c r="K1019" s="842"/>
      <c r="L1019" s="842"/>
      <c r="M1019" s="842"/>
      <c r="N1019" s="842"/>
      <c r="O1019" s="842"/>
      <c r="P1019" s="842"/>
      <c r="Q1019" s="842"/>
      <c r="R1019" s="842"/>
      <c r="S1019" s="842"/>
      <c r="T1019" s="842"/>
      <c r="U1019" s="842"/>
      <c r="V1019" s="842"/>
      <c r="W1019" s="842"/>
      <c r="X1019" s="842"/>
      <c r="Y1019" s="842"/>
      <c r="Z1019" s="842"/>
      <c r="AA1019" s="2209"/>
      <c r="AB1019" s="2209"/>
      <c r="AC1019" s="346"/>
    </row>
    <row r="1020" spans="1:29" ht="18.75" customHeight="1" x14ac:dyDescent="0.2">
      <c r="A1020" s="341"/>
      <c r="B1020" s="345"/>
      <c r="C1020" s="437"/>
      <c r="D1020" s="842"/>
      <c r="E1020" s="426"/>
      <c r="F1020" s="842"/>
      <c r="G1020" s="842"/>
      <c r="H1020" s="842"/>
      <c r="I1020" s="842"/>
      <c r="J1020" s="842"/>
      <c r="K1020" s="842"/>
      <c r="L1020" s="842"/>
      <c r="M1020" s="842"/>
      <c r="N1020" s="842"/>
      <c r="O1020" s="842"/>
      <c r="P1020" s="842"/>
      <c r="Q1020" s="842"/>
      <c r="R1020" s="842"/>
      <c r="S1020" s="842"/>
      <c r="T1020" s="842"/>
      <c r="U1020" s="842"/>
      <c r="V1020" s="842"/>
      <c r="W1020" s="842"/>
      <c r="X1020" s="842"/>
      <c r="Y1020" s="842"/>
      <c r="Z1020" s="842"/>
      <c r="AA1020" s="2209"/>
      <c r="AB1020" s="2209"/>
      <c r="AC1020" s="346"/>
    </row>
    <row r="1021" spans="1:29" ht="18.75" customHeight="1" x14ac:dyDescent="0.2">
      <c r="A1021" s="341"/>
      <c r="B1021" s="345"/>
      <c r="C1021" s="843" t="s">
        <v>569</v>
      </c>
      <c r="D1021" s="842"/>
      <c r="E1021" s="839"/>
      <c r="F1021" s="842"/>
      <c r="G1021" s="842"/>
      <c r="H1021" s="842"/>
      <c r="I1021" s="842"/>
      <c r="J1021" s="842"/>
      <c r="K1021" s="842"/>
      <c r="L1021" s="842"/>
      <c r="M1021" s="842"/>
      <c r="N1021" s="842"/>
      <c r="O1021" s="842"/>
      <c r="P1021" s="842"/>
      <c r="Q1021" s="842"/>
      <c r="R1021" s="842"/>
      <c r="S1021" s="842"/>
      <c r="T1021" s="842"/>
      <c r="U1021" s="842"/>
      <c r="V1021" s="842"/>
      <c r="W1021" s="842"/>
      <c r="X1021" s="842"/>
      <c r="Y1021" s="842"/>
      <c r="Z1021" s="842"/>
      <c r="AA1021" s="2209"/>
      <c r="AB1021" s="2209"/>
      <c r="AC1021" s="346"/>
    </row>
    <row r="1022" spans="1:29" ht="18.75" customHeight="1" x14ac:dyDescent="0.2">
      <c r="A1022" s="341"/>
      <c r="B1022" s="345"/>
      <c r="C1022" s="441" t="s">
        <v>568</v>
      </c>
      <c r="D1022" s="351" t="s">
        <v>623</v>
      </c>
      <c r="E1022" s="351" t="str">
        <f>HydroRefineryCalcs!F161</f>
        <v>iC5</v>
      </c>
      <c r="F1022" s="351" t="str">
        <f>HydroRefineryCalcs!F187</f>
        <v>Reformate</v>
      </c>
      <c r="G1022" s="356" t="str">
        <f>F978</f>
        <v>HT Naphtha Product</v>
      </c>
      <c r="H1022" s="356" t="s">
        <v>482</v>
      </c>
      <c r="I1022" s="351" t="str">
        <f>HydroRefineryCalcs!F444</f>
        <v xml:space="preserve">HC Gasoline </v>
      </c>
      <c r="J1022" s="351" t="str">
        <f>HydroRefineryCalcs!F780</f>
        <v>Alkylate</v>
      </c>
      <c r="K1022" s="357" t="s">
        <v>519</v>
      </c>
      <c r="L1022" s="842"/>
      <c r="M1022" s="842"/>
      <c r="N1022" s="842"/>
      <c r="O1022" s="842"/>
      <c r="P1022" s="842"/>
      <c r="Q1022" s="842"/>
      <c r="R1022" s="842"/>
      <c r="S1022" s="842"/>
      <c r="T1022" s="842"/>
      <c r="U1022" s="842"/>
      <c r="V1022" s="842"/>
      <c r="W1022" s="842"/>
      <c r="X1022" s="842"/>
      <c r="Y1022" s="842"/>
      <c r="Z1022" s="842"/>
      <c r="AA1022" s="2209"/>
      <c r="AB1022" s="2209"/>
      <c r="AC1022" s="346"/>
    </row>
    <row r="1023" spans="1:29" ht="18.75" customHeight="1" x14ac:dyDescent="0.2">
      <c r="A1023" s="341"/>
      <c r="B1023" s="345"/>
      <c r="C1023" s="442" t="s">
        <v>582</v>
      </c>
      <c r="D1023" s="842" t="s">
        <v>566</v>
      </c>
      <c r="E1023" s="842">
        <f ca="1">HydroRefineryCalcs!F162</f>
        <v>8512.9513277591104</v>
      </c>
      <c r="F1023" s="842">
        <f ca="1">HydroRefineryCalcs!F188</f>
        <v>15693.336005246892</v>
      </c>
      <c r="G1023" s="358">
        <f ca="1">IF(reformerFeedstockActive=1,F979,0)</f>
        <v>1.0943045066169453E-17</v>
      </c>
      <c r="H1023" s="842">
        <f ca="1">H725</f>
        <v>1.1099316337824997E-16</v>
      </c>
      <c r="I1023" s="842">
        <f ca="1">HydroRefineryCalcs!F445</f>
        <v>6.6574384792262908E-9</v>
      </c>
      <c r="J1023" s="842">
        <f ca="1">HydroRefineryCalcs!F781</f>
        <v>1.1506877498974791E-17</v>
      </c>
      <c r="K1023" s="337">
        <f ca="1">SUM(E1023:J1023)</f>
        <v>24206.28733301266</v>
      </c>
      <c r="L1023" s="842"/>
      <c r="M1023" s="842"/>
      <c r="N1023" s="842"/>
      <c r="O1023" s="842"/>
      <c r="P1023" s="842"/>
      <c r="Q1023" s="842"/>
      <c r="R1023" s="842"/>
      <c r="S1023" s="842"/>
      <c r="T1023" s="842"/>
      <c r="U1023" s="842"/>
      <c r="V1023" s="842"/>
      <c r="W1023" s="842"/>
      <c r="X1023" s="842"/>
      <c r="Y1023" s="842"/>
      <c r="Z1023" s="842"/>
      <c r="AA1023" s="2209"/>
      <c r="AB1023" s="2209"/>
      <c r="AC1023" s="346"/>
    </row>
    <row r="1024" spans="1:29" ht="18.75" customHeight="1" x14ac:dyDescent="0.2">
      <c r="A1024" s="341"/>
      <c r="B1024" s="345"/>
      <c r="C1024" s="442" t="s">
        <v>582</v>
      </c>
      <c r="D1024" s="842" t="s">
        <v>628</v>
      </c>
      <c r="E1024" s="842">
        <f ca="1">HydroRefineryCalcs!F163</f>
        <v>1353.4511466318361</v>
      </c>
      <c r="F1024" s="842">
        <f ca="1">HydroRefineryCalcs!F189</f>
        <v>2495.0411194669891</v>
      </c>
      <c r="G1024" s="358">
        <f ca="1">IF(reformerFeedstockActive=1,F980,0)</f>
        <v>1.7398051888486026E-18</v>
      </c>
      <c r="H1024" s="842">
        <f ca="1">H726</f>
        <v>1.7646503363966841E-17</v>
      </c>
      <c r="I1024" s="842">
        <f ca="1">HydroRefineryCalcs!F446</f>
        <v>1.0584481687282941E-9</v>
      </c>
      <c r="J1024" s="842">
        <f ca="1">HydroRefineryCalcs!F782</f>
        <v>1.8294473849927548E-18</v>
      </c>
      <c r="K1024" s="337">
        <f ca="1">SUM(E1024:J1024)</f>
        <v>3848.4922660998836</v>
      </c>
      <c r="L1024" s="842"/>
      <c r="M1024" s="842"/>
      <c r="N1024" s="842"/>
      <c r="O1024" s="842"/>
      <c r="P1024" s="842"/>
      <c r="Q1024" s="842"/>
      <c r="R1024" s="842"/>
      <c r="S1024" s="842"/>
      <c r="T1024" s="842"/>
      <c r="U1024" s="842"/>
      <c r="V1024" s="842"/>
      <c r="W1024" s="842"/>
      <c r="X1024" s="842"/>
      <c r="Y1024" s="842"/>
      <c r="Z1024" s="842"/>
      <c r="AA1024" s="2209"/>
      <c r="AB1024" s="2209"/>
      <c r="AC1024" s="346"/>
    </row>
    <row r="1025" spans="1:29" ht="18.75" customHeight="1" x14ac:dyDescent="0.2">
      <c r="A1025" s="341"/>
      <c r="B1025" s="345"/>
      <c r="C1025" s="442" t="s">
        <v>620</v>
      </c>
      <c r="D1025" s="842" t="s">
        <v>622</v>
      </c>
      <c r="E1025" s="842">
        <f ca="1">HydroRefineryCalcs!F164</f>
        <v>845906.96664489759</v>
      </c>
      <c r="F1025" s="842">
        <f ca="1">HydroRefineryCalcs!F190</f>
        <v>1921181.6619895815</v>
      </c>
      <c r="G1025" s="358">
        <f ca="1">IF(reformerFeedstockActive=1,F981,0)</f>
        <v>1.2526597359709939E-15</v>
      </c>
      <c r="H1025" s="842">
        <f ca="1">H727</f>
        <v>1.305841248933579E-14</v>
      </c>
      <c r="I1025" s="842">
        <f ca="1">HydroRefineryCalcs!F447</f>
        <v>7.6620347850055368E-7</v>
      </c>
      <c r="J1025" s="842">
        <f ca="1">HydroRefineryCalcs!F783</f>
        <v>1.2678070377999791E-15</v>
      </c>
      <c r="K1025" s="337">
        <f ca="1">SUM(E1025:J1025)</f>
        <v>2767088.6286352449</v>
      </c>
      <c r="L1025" s="842"/>
      <c r="M1025" s="842"/>
      <c r="N1025" s="842"/>
      <c r="O1025" s="842"/>
      <c r="P1025" s="842"/>
      <c r="Q1025" s="842"/>
      <c r="R1025" s="842"/>
      <c r="S1025" s="842"/>
      <c r="T1025" s="842"/>
      <c r="U1025" s="842"/>
      <c r="V1025" s="842"/>
      <c r="W1025" s="842"/>
      <c r="X1025" s="842"/>
      <c r="Y1025" s="842"/>
      <c r="Z1025" s="842"/>
      <c r="AA1025" s="2209"/>
      <c r="AB1025" s="2209"/>
      <c r="AC1025" s="346"/>
    </row>
    <row r="1026" spans="1:29" ht="18.75" customHeight="1" x14ac:dyDescent="0.2">
      <c r="A1026" s="341"/>
      <c r="B1026" s="345"/>
      <c r="C1026" s="442" t="s">
        <v>578</v>
      </c>
      <c r="D1026" s="842" t="s">
        <v>579</v>
      </c>
      <c r="E1026" s="842">
        <f>HydroRefineryCalcs!F165</f>
        <v>0</v>
      </c>
      <c r="F1026" s="842">
        <f>HydroRefineryCalcs!F191</f>
        <v>0</v>
      </c>
      <c r="G1026" s="358">
        <f t="shared" ref="G1026:G1029" si="94">IF(reformerFeedstockActive=1,F982,0)</f>
        <v>0</v>
      </c>
      <c r="H1026" s="842">
        <f ca="1">H728</f>
        <v>0</v>
      </c>
      <c r="I1026" s="842">
        <f ca="1">HydroRefineryCalcs!F448</f>
        <v>0</v>
      </c>
      <c r="J1026" s="842">
        <f ca="1">HydroRefineryCalcs!F784</f>
        <v>0</v>
      </c>
      <c r="K1026" s="337">
        <f ca="1">(E1026*E1025+F1026*F1025+G1026*G1025+H1026*H1025+I1026*I1025+J1026*J1025)/K1025</f>
        <v>0</v>
      </c>
      <c r="L1026" s="842"/>
      <c r="M1026" s="842"/>
      <c r="N1026" s="842"/>
      <c r="O1026" s="842"/>
      <c r="P1026" s="842"/>
      <c r="Q1026" s="842"/>
      <c r="R1026" s="842"/>
      <c r="S1026" s="842"/>
      <c r="T1026" s="842"/>
      <c r="U1026" s="842"/>
      <c r="V1026" s="842"/>
      <c r="W1026" s="842"/>
      <c r="X1026" s="842"/>
      <c r="Y1026" s="842"/>
      <c r="Z1026" s="842"/>
      <c r="AA1026" s="2209"/>
      <c r="AB1026" s="2209"/>
      <c r="AC1026" s="346"/>
    </row>
    <row r="1027" spans="1:29" ht="18.75" customHeight="1" x14ac:dyDescent="0.2">
      <c r="A1027" s="341"/>
      <c r="B1027" s="345"/>
      <c r="C1027" s="442" t="s">
        <v>943</v>
      </c>
      <c r="D1027" s="842"/>
      <c r="E1027" s="842"/>
      <c r="F1027" s="842"/>
      <c r="G1027" s="358">
        <f t="shared" si="94"/>
        <v>0</v>
      </c>
      <c r="H1027" s="842">
        <f t="shared" ref="H1027" si="95">H729</f>
        <v>0</v>
      </c>
      <c r="I1027" s="842"/>
      <c r="J1027" s="842"/>
      <c r="K1027" s="337"/>
      <c r="L1027" s="842"/>
      <c r="M1027" s="842"/>
      <c r="N1027" s="842"/>
      <c r="O1027" s="842"/>
      <c r="P1027" s="842"/>
      <c r="Q1027" s="842"/>
      <c r="R1027" s="842"/>
      <c r="S1027" s="842"/>
      <c r="T1027" s="842"/>
      <c r="U1027" s="842"/>
      <c r="V1027" s="842"/>
      <c r="W1027" s="842"/>
      <c r="X1027" s="842"/>
      <c r="Y1027" s="842"/>
      <c r="Z1027" s="842"/>
      <c r="AA1027" s="2209"/>
      <c r="AB1027" s="2209"/>
      <c r="AC1027" s="346"/>
    </row>
    <row r="1028" spans="1:29" ht="18.75" customHeight="1" x14ac:dyDescent="0.2">
      <c r="A1028" s="341"/>
      <c r="B1028" s="345"/>
      <c r="C1028" s="442" t="s">
        <v>567</v>
      </c>
      <c r="D1028" s="842"/>
      <c r="E1028" s="842">
        <f>HydroRefineryCalcs!F166</f>
        <v>94.9</v>
      </c>
      <c r="F1028" s="842">
        <f>HydroRefineryCalcs!F192</f>
        <v>52.266233766233768</v>
      </c>
      <c r="G1028" s="358">
        <f t="shared" si="94"/>
        <v>65.027777777777771</v>
      </c>
      <c r="H1028" s="842">
        <f ca="1">H730</f>
        <v>59.716216216211393</v>
      </c>
      <c r="I1028" s="842">
        <f ca="1">HydroRefineryCalcs!F450</f>
        <v>63.970811706769609</v>
      </c>
      <c r="J1028" s="842">
        <f>HydroRefineryCalcs!F786</f>
        <v>72.684704184704202</v>
      </c>
      <c r="K1028" s="337">
        <f ca="1">141.5/(K1029/1000)-131.5</f>
        <v>65.299498945473488</v>
      </c>
      <c r="L1028" s="842"/>
      <c r="M1028" s="842"/>
      <c r="N1028" s="842"/>
      <c r="O1028" s="842"/>
      <c r="P1028" s="842"/>
      <c r="Q1028" s="842"/>
      <c r="R1028" s="842"/>
      <c r="S1028" s="842"/>
      <c r="T1028" s="842"/>
      <c r="U1028" s="842"/>
      <c r="V1028" s="842"/>
      <c r="W1028" s="842"/>
      <c r="X1028" s="842"/>
      <c r="Y1028" s="842"/>
      <c r="Z1028" s="842"/>
      <c r="AA1028" s="2209"/>
      <c r="AB1028" s="2209"/>
      <c r="AC1028" s="346"/>
    </row>
    <row r="1029" spans="1:29" ht="18.75" customHeight="1" x14ac:dyDescent="0.2">
      <c r="A1029" s="341"/>
      <c r="B1029" s="345"/>
      <c r="C1029" s="442" t="s">
        <v>580</v>
      </c>
      <c r="D1029" s="842" t="s">
        <v>581</v>
      </c>
      <c r="E1029" s="842">
        <f>HydroRefineryCalcs!F167</f>
        <v>625</v>
      </c>
      <c r="F1029" s="842">
        <f>HydroRefineryCalcs!F193</f>
        <v>770</v>
      </c>
      <c r="G1029" s="358">
        <f t="shared" si="94"/>
        <v>720</v>
      </c>
      <c r="H1029" s="842">
        <f ca="1">H731</f>
        <v>740.00000000001864</v>
      </c>
      <c r="I1029" s="842">
        <f ca="1">HydroRefineryCalcs!F451</f>
        <v>723.89324403209366</v>
      </c>
      <c r="J1029" s="842">
        <f>HydroRefineryCalcs!F787</f>
        <v>693</v>
      </c>
      <c r="K1029" s="337">
        <f ca="1">K1025/K1024</f>
        <v>719.0058956359685</v>
      </c>
      <c r="L1029" s="842"/>
      <c r="M1029" s="842"/>
      <c r="N1029" s="842"/>
      <c r="O1029" s="842"/>
      <c r="P1029" s="842"/>
      <c r="Q1029" s="842"/>
      <c r="R1029" s="842"/>
      <c r="S1029" s="842"/>
      <c r="T1029" s="842"/>
      <c r="U1029" s="842"/>
      <c r="V1029" s="842"/>
      <c r="W1029" s="842"/>
      <c r="X1029" s="842"/>
      <c r="Y1029" s="842"/>
      <c r="Z1029" s="842"/>
      <c r="AA1029" s="2209"/>
      <c r="AB1029" s="2209"/>
      <c r="AC1029" s="346"/>
    </row>
    <row r="1030" spans="1:29" ht="18.75" customHeight="1" x14ac:dyDescent="0.2">
      <c r="A1030" s="341"/>
      <c r="B1030" s="345"/>
      <c r="C1030" s="442" t="s">
        <v>621</v>
      </c>
      <c r="D1030" s="842" t="s">
        <v>579</v>
      </c>
      <c r="E1030" s="842">
        <f ca="1">HydroRefineryCalcs!F168</f>
        <v>16.7</v>
      </c>
      <c r="F1030" s="842">
        <f>HydroRefineryCalcs!F194</f>
        <v>12.3</v>
      </c>
      <c r="G1030" s="358">
        <f ca="1">IF(reformerFeedstockActive=1,F986,0)</f>
        <v>15.7</v>
      </c>
      <c r="H1030" s="842">
        <f ca="1">H732</f>
        <v>14.499999999999085</v>
      </c>
      <c r="I1030" s="842">
        <f ca="1">HydroRefineryCalcs!F452</f>
        <v>14.666871318973451</v>
      </c>
      <c r="J1030" s="842">
        <f ca="1">HydroRefineryCalcs!F788</f>
        <v>16.099999999999998</v>
      </c>
      <c r="K1030" s="337">
        <f ca="1">(E1030*E1025+F1030*F1025+G1030*G1025+H1030*H1025+I1030*I1025+J1025*J1030)/K1025</f>
        <v>13.645092677813897</v>
      </c>
      <c r="L1030" s="842"/>
      <c r="M1030" s="842"/>
      <c r="N1030" s="842"/>
      <c r="O1030" s="842"/>
      <c r="P1030" s="842"/>
      <c r="Q1030" s="842"/>
      <c r="R1030" s="842"/>
      <c r="S1030" s="842"/>
      <c r="T1030" s="842"/>
      <c r="U1030" s="842"/>
      <c r="V1030" s="842"/>
      <c r="W1030" s="842"/>
      <c r="X1030" s="842"/>
      <c r="Y1030" s="842"/>
      <c r="Z1030" s="842"/>
      <c r="AA1030" s="2209"/>
      <c r="AB1030" s="2209"/>
      <c r="AC1030" s="346"/>
    </row>
    <row r="1031" spans="1:29" ht="18.75" customHeight="1" x14ac:dyDescent="0.2">
      <c r="A1031" s="341"/>
      <c r="B1031" s="345"/>
      <c r="C1031" s="443" t="s">
        <v>544</v>
      </c>
      <c r="D1031" s="334" t="s">
        <v>579</v>
      </c>
      <c r="E1031" s="334" t="str">
        <f ca="1">HydroRefineryCalcs!F169</f>
        <v/>
      </c>
      <c r="F1031" s="334">
        <f>HydroRefineryCalcs!F195</f>
        <v>0</v>
      </c>
      <c r="G1031" s="397"/>
      <c r="H1031" s="334"/>
      <c r="I1031" s="334"/>
      <c r="J1031" s="334"/>
      <c r="K1031" s="338"/>
      <c r="L1031" s="842"/>
      <c r="M1031" s="842"/>
      <c r="N1031" s="842"/>
      <c r="O1031" s="842"/>
      <c r="P1031" s="842"/>
      <c r="Q1031" s="842"/>
      <c r="R1031" s="842"/>
      <c r="S1031" s="842"/>
      <c r="T1031" s="842"/>
      <c r="U1031" s="842"/>
      <c r="V1031" s="842"/>
      <c r="W1031" s="842"/>
      <c r="X1031" s="842"/>
      <c r="Y1031" s="842"/>
      <c r="Z1031" s="842"/>
      <c r="AA1031" s="2209"/>
      <c r="AB1031" s="2209"/>
      <c r="AC1031" s="346"/>
    </row>
    <row r="1032" spans="1:29" ht="18.75" customHeight="1" x14ac:dyDescent="0.2">
      <c r="A1032" s="341"/>
      <c r="B1032" s="345"/>
      <c r="C1032" s="444"/>
      <c r="D1032" s="842"/>
      <c r="E1032" s="842"/>
      <c r="F1032" s="842"/>
      <c r="G1032" s="358"/>
      <c r="H1032" s="842"/>
      <c r="I1032" s="842"/>
      <c r="J1032" s="842"/>
      <c r="K1032" s="842"/>
      <c r="L1032" s="842"/>
      <c r="M1032" s="842"/>
      <c r="N1032" s="842"/>
      <c r="O1032" s="842"/>
      <c r="P1032" s="842"/>
      <c r="Q1032" s="842"/>
      <c r="R1032" s="842"/>
      <c r="S1032" s="842"/>
      <c r="T1032" s="842"/>
      <c r="U1032" s="842"/>
      <c r="V1032" s="842"/>
      <c r="W1032" s="842"/>
      <c r="X1032" s="842"/>
      <c r="Y1032" s="842"/>
      <c r="Z1032" s="842"/>
      <c r="AA1032" s="2209"/>
      <c r="AB1032" s="2209"/>
      <c r="AC1032" s="346"/>
    </row>
    <row r="1033" spans="1:29" ht="26.25" x14ac:dyDescent="0.2">
      <c r="A1033" s="341"/>
      <c r="B1033" s="699"/>
      <c r="C1033" s="603" t="s">
        <v>157</v>
      </c>
      <c r="D1033" s="603"/>
      <c r="E1033" s="603"/>
      <c r="F1033" s="603"/>
      <c r="G1033" s="842"/>
      <c r="H1033" s="842"/>
      <c r="I1033" s="842"/>
      <c r="J1033" s="842"/>
      <c r="K1033" s="842"/>
      <c r="L1033" s="842"/>
      <c r="M1033" s="842"/>
      <c r="N1033" s="842"/>
      <c r="O1033" s="842"/>
      <c r="P1033" s="842"/>
      <c r="Q1033" s="842"/>
      <c r="R1033" s="842"/>
      <c r="S1033" s="842"/>
      <c r="T1033" s="842"/>
      <c r="U1033" s="842"/>
      <c r="V1033" s="842"/>
      <c r="W1033" s="842"/>
      <c r="X1033" s="842"/>
      <c r="Y1033" s="842"/>
      <c r="Z1033" s="842"/>
      <c r="AA1033" s="2209"/>
      <c r="AB1033" s="2209"/>
      <c r="AC1033" s="346"/>
    </row>
    <row r="1034" spans="1:29" ht="18.75" customHeight="1" x14ac:dyDescent="0.2">
      <c r="A1034" s="341"/>
      <c r="B1034" s="345"/>
      <c r="C1034" s="444"/>
      <c r="D1034" s="842"/>
      <c r="E1034" s="842"/>
      <c r="F1034" s="842"/>
      <c r="G1034" s="842"/>
      <c r="H1034" s="842"/>
      <c r="I1034" s="842"/>
      <c r="J1034" s="842"/>
      <c r="K1034" s="842"/>
      <c r="L1034" s="842"/>
      <c r="M1034" s="842"/>
      <c r="N1034" s="842"/>
      <c r="O1034" s="842"/>
      <c r="P1034" s="842"/>
      <c r="Q1034" s="842"/>
      <c r="R1034" s="842"/>
      <c r="S1034" s="842"/>
      <c r="T1034" s="842"/>
      <c r="U1034" s="842"/>
      <c r="V1034" s="842"/>
      <c r="W1034" s="842"/>
      <c r="X1034" s="842"/>
      <c r="Y1034" s="842"/>
      <c r="Z1034" s="842"/>
      <c r="AA1034" s="2209"/>
      <c r="AB1034" s="2209"/>
      <c r="AC1034" s="346"/>
    </row>
    <row r="1035" spans="1:29" ht="18.75" customHeight="1" thickBot="1" x14ac:dyDescent="0.25">
      <c r="A1035" s="341"/>
      <c r="B1035" s="345"/>
      <c r="C1035" s="437"/>
      <c r="D1035" s="842"/>
      <c r="E1035" s="842"/>
      <c r="F1035" s="842"/>
      <c r="G1035" s="842"/>
      <c r="H1035" s="842"/>
      <c r="I1035" s="842"/>
      <c r="J1035" s="2472" t="s">
        <v>984</v>
      </c>
      <c r="K1035" s="2472"/>
      <c r="L1035" s="2472"/>
      <c r="M1035" s="2472"/>
      <c r="N1035" s="842"/>
      <c r="O1035" s="842"/>
      <c r="P1035" s="2469" t="s">
        <v>152</v>
      </c>
      <c r="Q1035" s="2470"/>
      <c r="R1035" s="2470"/>
      <c r="S1035" s="2470"/>
      <c r="T1035" s="842"/>
      <c r="U1035" s="842"/>
      <c r="V1035" s="842"/>
      <c r="W1035" s="842"/>
      <c r="X1035" s="842"/>
      <c r="Y1035" s="842"/>
      <c r="Z1035" s="842"/>
      <c r="AA1035" s="2209"/>
      <c r="AB1035" s="2209"/>
      <c r="AC1035" s="346"/>
    </row>
    <row r="1036" spans="1:29" ht="18.75" customHeight="1" thickBot="1" x14ac:dyDescent="0.25">
      <c r="A1036" s="341"/>
      <c r="B1036" s="345"/>
      <c r="C1036" s="454"/>
      <c r="D1036" s="368"/>
      <c r="E1036" s="368"/>
      <c r="F1036" s="368"/>
      <c r="G1036" s="368"/>
      <c r="H1036" s="368"/>
      <c r="I1036" s="368"/>
      <c r="J1036" s="368" t="s">
        <v>239</v>
      </c>
      <c r="K1036" s="368" t="s">
        <v>1009</v>
      </c>
      <c r="L1036" s="2473" t="s">
        <v>158</v>
      </c>
      <c r="M1036" s="2474"/>
      <c r="N1036" s="2450" t="s">
        <v>1075</v>
      </c>
      <c r="O1036" s="2450"/>
      <c r="P1036" s="860" t="s">
        <v>143</v>
      </c>
      <c r="Q1036" s="368" t="s">
        <v>142</v>
      </c>
      <c r="R1036" s="351" t="s">
        <v>156</v>
      </c>
      <c r="S1036" s="351" t="s">
        <v>155</v>
      </c>
      <c r="T1036" s="369" t="s">
        <v>431</v>
      </c>
      <c r="U1036" s="842"/>
      <c r="V1036" s="842"/>
      <c r="W1036" s="842"/>
      <c r="X1036" s="842"/>
      <c r="Y1036" s="842"/>
      <c r="Z1036" s="842"/>
      <c r="AA1036" s="2209"/>
      <c r="AB1036" s="2209"/>
      <c r="AC1036" s="346"/>
    </row>
    <row r="1037" spans="1:29" ht="18.75" customHeight="1" x14ac:dyDescent="0.2">
      <c r="A1037" s="341"/>
      <c r="B1037" s="345"/>
      <c r="C1037" s="453"/>
      <c r="D1037" s="842"/>
      <c r="E1037" s="839" t="s">
        <v>223</v>
      </c>
      <c r="F1037" s="839" t="s">
        <v>662</v>
      </c>
      <c r="G1037" s="839" t="s">
        <v>1015</v>
      </c>
      <c r="H1037" s="839" t="s">
        <v>663</v>
      </c>
      <c r="I1037" s="839" t="s">
        <v>146</v>
      </c>
      <c r="J1037" s="842" t="s">
        <v>147</v>
      </c>
      <c r="K1037" s="842" t="s">
        <v>146</v>
      </c>
      <c r="L1037" s="839" t="s">
        <v>622</v>
      </c>
      <c r="M1037" s="840" t="s">
        <v>1015</v>
      </c>
      <c r="N1037" s="965" t="s">
        <v>1076</v>
      </c>
      <c r="O1037" s="965" t="s">
        <v>1077</v>
      </c>
      <c r="P1037" s="856"/>
      <c r="Q1037" s="842"/>
      <c r="R1037" s="842" t="s">
        <v>622</v>
      </c>
      <c r="S1037" s="839" t="s">
        <v>146</v>
      </c>
      <c r="T1037" s="337"/>
      <c r="U1037" s="721"/>
      <c r="V1037" s="842"/>
      <c r="W1037" s="842"/>
      <c r="X1037" s="842"/>
      <c r="Y1037" s="842"/>
      <c r="Z1037" s="842"/>
      <c r="AA1037" s="2209"/>
      <c r="AB1037" s="2209"/>
      <c r="AC1037" s="346"/>
    </row>
    <row r="1038" spans="1:29" ht="18.75" customHeight="1" x14ac:dyDescent="0.2">
      <c r="A1038" s="341"/>
      <c r="B1038" s="345"/>
      <c r="C1038" s="453" t="s">
        <v>364</v>
      </c>
      <c r="D1038" s="842" t="s">
        <v>622</v>
      </c>
      <c r="E1038" s="842">
        <f ca="1">J119</f>
        <v>4314.1135318237602</v>
      </c>
      <c r="F1038" s="842">
        <f ca="1">IF(E1038&lt;=0.0000001,0,J124)</f>
        <v>18.364315923905643</v>
      </c>
      <c r="G1038" s="842">
        <f t="shared" ref="G1038:G1047" ca="1" si="96">IF(E1038&lt;=0.0000001,0,100-F1038-H1038)</f>
        <v>81.63568407609435</v>
      </c>
      <c r="H1038" s="842">
        <f ca="1">J120</f>
        <v>0</v>
      </c>
      <c r="I1038" s="842">
        <f t="shared" ref="I1038:I1047" ca="1" si="97">E1038*H1038/100</f>
        <v>0</v>
      </c>
      <c r="J1038" s="842">
        <f t="shared" ref="J1038:J1047" ca="1" si="98">34/32*I1038</f>
        <v>0</v>
      </c>
      <c r="K1038" s="842">
        <f t="shared" ref="K1038:K1047" ca="1" si="99">J1038*($H$1069/100)*32/34</f>
        <v>0</v>
      </c>
      <c r="L1038" s="842">
        <f t="shared" ref="L1038:L1047" ca="1" si="100">E1038-J1038</f>
        <v>4314.1135318237602</v>
      </c>
      <c r="M1038" s="337">
        <f t="shared" ref="M1038:M1047" ca="1" si="101">IF(OR(G1038=0,L1038=0),0,E1038*G1038/L1038)</f>
        <v>81.63568407609435</v>
      </c>
      <c r="N1038" s="1532">
        <f t="shared" ref="N1038:N1047" ca="1" si="102">L1038*M1038/100</f>
        <v>3521.856093523681</v>
      </c>
      <c r="O1038" s="1532">
        <f t="shared" ref="O1038:O1047" ca="1" si="103">+N1038*(44/12)</f>
        <v>12913.472342920164</v>
      </c>
      <c r="P1038" s="856">
        <f t="shared" ref="P1038:P1047" ca="1" si="104">J1038-K1038</f>
        <v>0</v>
      </c>
      <c r="Q1038" s="842">
        <f t="shared" ref="Q1038:Q1047" ca="1" si="105">P1038*$H$1071</f>
        <v>0</v>
      </c>
      <c r="R1038" s="842">
        <f t="shared" ref="R1038:R1047" ca="1" si="106">P1038*$H$1072</f>
        <v>0</v>
      </c>
      <c r="S1038" s="842">
        <f t="shared" ref="S1038:S1047" ca="1" si="107">Q1038+K1038</f>
        <v>0</v>
      </c>
      <c r="T1038" s="859">
        <f t="shared" ref="T1038:T1047" ca="1" si="108">S1038/$S$1049</f>
        <v>0</v>
      </c>
      <c r="U1038" s="842"/>
      <c r="V1038" s="2467" t="s">
        <v>1525</v>
      </c>
      <c r="W1038" s="2468"/>
      <c r="X1038" s="2468"/>
      <c r="Y1038" s="2468"/>
      <c r="Z1038" s="842"/>
      <c r="AA1038" s="2209"/>
      <c r="AB1038" s="2209"/>
      <c r="AC1038" s="346"/>
    </row>
    <row r="1039" spans="1:29" ht="18.75" customHeight="1" x14ac:dyDescent="0.2">
      <c r="A1039" s="341"/>
      <c r="B1039" s="345"/>
      <c r="C1039" s="453" t="s">
        <v>365</v>
      </c>
      <c r="D1039" s="842" t="s">
        <v>622</v>
      </c>
      <c r="E1039" s="842">
        <f ca="1">H249</f>
        <v>9696.9447453418234</v>
      </c>
      <c r="F1039" s="842">
        <f ca="1">IF(E1039&lt;=0.0000001,0,H254)</f>
        <v>15.052106605583376</v>
      </c>
      <c r="G1039" s="842">
        <f t="shared" ca="1" si="96"/>
        <v>60.853455976822062</v>
      </c>
      <c r="H1039" s="842">
        <f ca="1">H250</f>
        <v>24.094437417594566</v>
      </c>
      <c r="I1039" s="842">
        <f t="shared" ca="1" si="97"/>
        <v>2336.4242830851103</v>
      </c>
      <c r="J1039" s="842">
        <f t="shared" ca="1" si="98"/>
        <v>2482.4508007779295</v>
      </c>
      <c r="K1039" s="842">
        <f t="shared" ca="1" si="99"/>
        <v>1980.8205071995565</v>
      </c>
      <c r="L1039" s="842">
        <f t="shared" ca="1" si="100"/>
        <v>7214.4939445638938</v>
      </c>
      <c r="M1039" s="337">
        <f t="shared" ca="1" si="101"/>
        <v>81.792653054337677</v>
      </c>
      <c r="N1039" s="842">
        <f t="shared" ca="1" si="102"/>
        <v>5900.9260017033466</v>
      </c>
      <c r="O1039" s="842">
        <f t="shared" ca="1" si="103"/>
        <v>21636.728672912272</v>
      </c>
      <c r="P1039" s="856">
        <f t="shared" ca="1" si="104"/>
        <v>501.63029357837308</v>
      </c>
      <c r="Q1039" s="842">
        <f t="shared" ca="1" si="105"/>
        <v>23.225482592678674</v>
      </c>
      <c r="R1039" s="842">
        <f t="shared" ca="1" si="106"/>
        <v>502.583391136172</v>
      </c>
      <c r="S1039" s="842">
        <f t="shared" ca="1" si="107"/>
        <v>2004.0459897922351</v>
      </c>
      <c r="T1039" s="859">
        <f t="shared" ca="1" si="108"/>
        <v>0.46800299888260211</v>
      </c>
      <c r="U1039" s="842"/>
      <c r="V1039" s="2467"/>
      <c r="W1039" s="2468"/>
      <c r="X1039" s="2468"/>
      <c r="Y1039" s="2468"/>
      <c r="Z1039" s="842"/>
      <c r="AA1039" s="2209"/>
      <c r="AB1039" s="2209"/>
      <c r="AC1039" s="346"/>
    </row>
    <row r="1040" spans="1:29" ht="18.75" customHeight="1" x14ac:dyDescent="0.2">
      <c r="A1040" s="341"/>
      <c r="B1040" s="345"/>
      <c r="C1040" s="453" t="s">
        <v>366</v>
      </c>
      <c r="D1040" s="842" t="s">
        <v>622</v>
      </c>
      <c r="E1040" s="842">
        <f ca="1">L313</f>
        <v>6337.361175245027</v>
      </c>
      <c r="F1040" s="842">
        <f ca="1">IF(E1040&lt;=0.0000001,0,L318)</f>
        <v>12.71927929715414</v>
      </c>
      <c r="G1040" s="842">
        <f t="shared" ca="1" si="96"/>
        <v>45.372058208629277</v>
      </c>
      <c r="H1040" s="842">
        <f ca="1">L314</f>
        <v>41.908662494216578</v>
      </c>
      <c r="I1040" s="842">
        <f t="shared" ca="1" si="97"/>
        <v>2655.9033059729554</v>
      </c>
      <c r="J1040" s="842">
        <f t="shared" ca="1" si="98"/>
        <v>2821.8972625962651</v>
      </c>
      <c r="K1040" s="842">
        <f t="shared" ca="1" si="99"/>
        <v>2251.6748228038718</v>
      </c>
      <c r="L1040" s="842">
        <f t="shared" ca="1" si="100"/>
        <v>3515.4639126487618</v>
      </c>
      <c r="M1040" s="337">
        <f t="shared" ca="1" si="101"/>
        <v>81.792653054337663</v>
      </c>
      <c r="N1040" s="842">
        <f t="shared" ca="1" si="102"/>
        <v>2875.3912013232457</v>
      </c>
      <c r="O1040" s="842">
        <f t="shared" ca="1" si="103"/>
        <v>10543.101071518568</v>
      </c>
      <c r="P1040" s="856">
        <f t="shared" ca="1" si="104"/>
        <v>570.22243979239329</v>
      </c>
      <c r="Q1040" s="842">
        <f t="shared" ca="1" si="105"/>
        <v>26.401298962387809</v>
      </c>
      <c r="R1040" s="842">
        <f t="shared" ca="1" si="106"/>
        <v>571.30586242799882</v>
      </c>
      <c r="S1040" s="842">
        <f t="shared" ca="1" si="107"/>
        <v>2278.0761217662598</v>
      </c>
      <c r="T1040" s="859">
        <f t="shared" ca="1" si="108"/>
        <v>0.53199700111671977</v>
      </c>
      <c r="U1040" s="842"/>
      <c r="V1040" s="2467"/>
      <c r="W1040" s="2468"/>
      <c r="X1040" s="2468"/>
      <c r="Y1040" s="2468"/>
      <c r="Z1040" s="842"/>
      <c r="AA1040" s="2209"/>
      <c r="AB1040" s="2209"/>
      <c r="AC1040" s="346"/>
    </row>
    <row r="1041" spans="1:29" ht="18.75" customHeight="1" x14ac:dyDescent="0.2">
      <c r="A1041" s="341"/>
      <c r="B1041" s="345"/>
      <c r="C1041" s="453" t="s">
        <v>488</v>
      </c>
      <c r="D1041" s="842" t="s">
        <v>622</v>
      </c>
      <c r="E1041" s="842">
        <f ca="1">H372</f>
        <v>4.01525055866854E-8</v>
      </c>
      <c r="F1041" s="842">
        <f ca="1">IF(E1041&lt;=0.0000001,0,H366)</f>
        <v>0</v>
      </c>
      <c r="G1041" s="842">
        <f t="shared" ca="1" si="96"/>
        <v>0</v>
      </c>
      <c r="H1041" s="842">
        <f ca="1">H374</f>
        <v>8.4313001253205329</v>
      </c>
      <c r="I1041" s="842">
        <f t="shared" ca="1" si="97"/>
        <v>3.3853782538495398E-9</v>
      </c>
      <c r="J1041" s="842">
        <f t="shared" ca="1" si="98"/>
        <v>3.5969643947151362E-9</v>
      </c>
      <c r="K1041" s="842">
        <f t="shared" ca="1" si="99"/>
        <v>2.8701236836136401E-9</v>
      </c>
      <c r="L1041" s="842">
        <f t="shared" ca="1" si="100"/>
        <v>3.6555541191970266E-8</v>
      </c>
      <c r="M1041" s="337">
        <f t="shared" ca="1" si="101"/>
        <v>0</v>
      </c>
      <c r="N1041" s="842">
        <f t="shared" ca="1" si="102"/>
        <v>0</v>
      </c>
      <c r="O1041" s="842">
        <f t="shared" ca="1" si="103"/>
        <v>0</v>
      </c>
      <c r="P1041" s="856">
        <f t="shared" ca="1" si="104"/>
        <v>7.2684071110149604E-10</v>
      </c>
      <c r="Q1041" s="842">
        <f t="shared" ca="1" si="105"/>
        <v>3.365272492399927E-11</v>
      </c>
      <c r="R1041" s="842">
        <f t="shared" ca="1" si="106"/>
        <v>7.2822170845258885E-10</v>
      </c>
      <c r="S1041" s="842">
        <f t="shared" ca="1" si="107"/>
        <v>2.9037764085376394E-9</v>
      </c>
      <c r="T1041" s="859">
        <f t="shared" ca="1" si="108"/>
        <v>6.7811620801230009E-13</v>
      </c>
      <c r="U1041" s="842"/>
      <c r="V1041" s="341"/>
      <c r="W1041" s="341"/>
      <c r="X1041" s="341"/>
      <c r="Y1041" s="341"/>
      <c r="Z1041" s="842"/>
      <c r="AA1041" s="2209"/>
      <c r="AB1041" s="2209"/>
      <c r="AC1041" s="346"/>
    </row>
    <row r="1042" spans="1:29" ht="18.75" customHeight="1" x14ac:dyDescent="0.2">
      <c r="A1042" s="341"/>
      <c r="B1042" s="345"/>
      <c r="C1042" s="453" t="s">
        <v>1473</v>
      </c>
      <c r="D1042" s="842" t="s">
        <v>622</v>
      </c>
      <c r="E1042" s="842">
        <f ca="1">G828</f>
        <v>8.7633800156215396E-16</v>
      </c>
      <c r="F1042" s="842">
        <f ca="1">IF(E1042&lt;=0.0000001,0,G833)</f>
        <v>0</v>
      </c>
      <c r="G1042" s="842">
        <f t="shared" ca="1" si="96"/>
        <v>0</v>
      </c>
      <c r="H1042" s="842">
        <f ca="1">G829</f>
        <v>0</v>
      </c>
      <c r="I1042" s="842">
        <f t="shared" ca="1" si="97"/>
        <v>0</v>
      </c>
      <c r="J1042" s="842">
        <f t="shared" ca="1" si="98"/>
        <v>0</v>
      </c>
      <c r="K1042" s="842">
        <f t="shared" ca="1" si="99"/>
        <v>0</v>
      </c>
      <c r="L1042" s="842">
        <f t="shared" ca="1" si="100"/>
        <v>8.7633800156215396E-16</v>
      </c>
      <c r="M1042" s="337">
        <f t="shared" ca="1" si="101"/>
        <v>0</v>
      </c>
      <c r="N1042" s="842">
        <f t="shared" ca="1" si="102"/>
        <v>0</v>
      </c>
      <c r="O1042" s="842">
        <f t="shared" ca="1" si="103"/>
        <v>0</v>
      </c>
      <c r="P1042" s="856">
        <f t="shared" ca="1" si="104"/>
        <v>0</v>
      </c>
      <c r="Q1042" s="842">
        <f t="shared" ca="1" si="105"/>
        <v>0</v>
      </c>
      <c r="R1042" s="842">
        <f t="shared" ca="1" si="106"/>
        <v>0</v>
      </c>
      <c r="S1042" s="842">
        <f t="shared" ca="1" si="107"/>
        <v>0</v>
      </c>
      <c r="T1042" s="859">
        <f t="shared" ca="1" si="108"/>
        <v>0</v>
      </c>
      <c r="U1042" s="842"/>
      <c r="V1042" s="341"/>
      <c r="W1042" s="341"/>
      <c r="X1042" s="341"/>
      <c r="Y1042" s="341"/>
      <c r="Z1042" s="842"/>
      <c r="AA1042" s="2209"/>
      <c r="AB1042" s="2209"/>
      <c r="AC1042" s="346"/>
    </row>
    <row r="1043" spans="1:29" ht="18.75" customHeight="1" x14ac:dyDescent="0.2">
      <c r="A1043" s="341"/>
      <c r="B1043" s="345"/>
      <c r="C1043" s="453" t="s">
        <v>350</v>
      </c>
      <c r="D1043" s="842" t="s">
        <v>622</v>
      </c>
      <c r="E1043" s="842">
        <f ca="1">G981</f>
        <v>2.4516129032278489E-18</v>
      </c>
      <c r="F1043" s="842">
        <f ca="1">IF(E1043&lt;=0.0000001,0,G986)</f>
        <v>0</v>
      </c>
      <c r="G1043" s="842">
        <f t="shared" ca="1" si="96"/>
        <v>0</v>
      </c>
      <c r="H1043" s="842">
        <f ca="1">G982</f>
        <v>0</v>
      </c>
      <c r="I1043" s="842">
        <f t="shared" ca="1" si="97"/>
        <v>0</v>
      </c>
      <c r="J1043" s="842">
        <f t="shared" ca="1" si="98"/>
        <v>0</v>
      </c>
      <c r="K1043" s="842">
        <f t="shared" ca="1" si="99"/>
        <v>0</v>
      </c>
      <c r="L1043" s="842">
        <f t="shared" ca="1" si="100"/>
        <v>2.4516129032278489E-18</v>
      </c>
      <c r="M1043" s="337">
        <f t="shared" ca="1" si="101"/>
        <v>0</v>
      </c>
      <c r="N1043" s="842">
        <f t="shared" ca="1" si="102"/>
        <v>0</v>
      </c>
      <c r="O1043" s="842">
        <f t="shared" ca="1" si="103"/>
        <v>0</v>
      </c>
      <c r="P1043" s="856">
        <f t="shared" ca="1" si="104"/>
        <v>0</v>
      </c>
      <c r="Q1043" s="842">
        <f t="shared" ca="1" si="105"/>
        <v>0</v>
      </c>
      <c r="R1043" s="842">
        <f t="shared" ca="1" si="106"/>
        <v>0</v>
      </c>
      <c r="S1043" s="842">
        <f t="shared" ca="1" si="107"/>
        <v>0</v>
      </c>
      <c r="T1043" s="859">
        <f t="shared" ca="1" si="108"/>
        <v>0</v>
      </c>
      <c r="U1043" s="842"/>
      <c r="V1043" s="341"/>
      <c r="W1043" s="341"/>
      <c r="X1043" s="341"/>
      <c r="Y1043" s="341"/>
      <c r="Z1043" s="842"/>
      <c r="AA1043" s="2209"/>
      <c r="AB1043" s="2209"/>
      <c r="AC1043" s="346"/>
    </row>
    <row r="1044" spans="1:29" ht="18.75" customHeight="1" x14ac:dyDescent="0.2">
      <c r="A1044" s="341"/>
      <c r="B1044" s="345"/>
      <c r="C1044" s="453" t="s">
        <v>368</v>
      </c>
      <c r="D1044" s="842" t="s">
        <v>622</v>
      </c>
      <c r="E1044" s="842">
        <f ca="1">K622</f>
        <v>4.5005376344041782E-17</v>
      </c>
      <c r="F1044" s="842">
        <f ca="1">IF(E1044&lt;=0.0000001,0,K627)</f>
        <v>0</v>
      </c>
      <c r="G1044" s="842">
        <f t="shared" ca="1" si="96"/>
        <v>0</v>
      </c>
      <c r="H1044" s="842">
        <f ca="1">K623</f>
        <v>0</v>
      </c>
      <c r="I1044" s="842">
        <f t="shared" ca="1" si="97"/>
        <v>0</v>
      </c>
      <c r="J1044" s="842">
        <f t="shared" ca="1" si="98"/>
        <v>0</v>
      </c>
      <c r="K1044" s="842">
        <f t="shared" ca="1" si="99"/>
        <v>0</v>
      </c>
      <c r="L1044" s="842">
        <f t="shared" ca="1" si="100"/>
        <v>4.5005376344041782E-17</v>
      </c>
      <c r="M1044" s="337">
        <f t="shared" ca="1" si="101"/>
        <v>0</v>
      </c>
      <c r="N1044" s="842">
        <f t="shared" ca="1" si="102"/>
        <v>0</v>
      </c>
      <c r="O1044" s="842">
        <f t="shared" ca="1" si="103"/>
        <v>0</v>
      </c>
      <c r="P1044" s="856">
        <f t="shared" ca="1" si="104"/>
        <v>0</v>
      </c>
      <c r="Q1044" s="1532">
        <f t="shared" ca="1" si="105"/>
        <v>0</v>
      </c>
      <c r="R1044" s="1532">
        <f t="shared" ca="1" si="106"/>
        <v>0</v>
      </c>
      <c r="S1044" s="1532">
        <f t="shared" ca="1" si="107"/>
        <v>0</v>
      </c>
      <c r="T1044" s="859">
        <f t="shared" ca="1" si="108"/>
        <v>0</v>
      </c>
      <c r="U1044" s="842"/>
      <c r="V1044" s="2467" t="s">
        <v>1524</v>
      </c>
      <c r="W1044" s="2468"/>
      <c r="X1044" s="2468"/>
      <c r="Y1044" s="2468"/>
      <c r="Z1044" s="842"/>
      <c r="AA1044" s="2209"/>
      <c r="AB1044" s="2209"/>
      <c r="AC1044" s="346"/>
    </row>
    <row r="1045" spans="1:29" ht="18.75" customHeight="1" x14ac:dyDescent="0.2">
      <c r="A1045" s="341"/>
      <c r="B1045" s="345"/>
      <c r="C1045" s="453" t="s">
        <v>373</v>
      </c>
      <c r="D1045" s="842" t="s">
        <v>622</v>
      </c>
      <c r="E1045" s="842">
        <f ca="1">F673</f>
        <v>8.3675264494798612E-16</v>
      </c>
      <c r="F1045" s="842">
        <f ca="1">IF(E1045&lt;=0.0000001,0,F677)</f>
        <v>0</v>
      </c>
      <c r="G1045" s="842">
        <f t="shared" ca="1" si="96"/>
        <v>0</v>
      </c>
      <c r="H1045" s="842">
        <f ca="1">F674</f>
        <v>0</v>
      </c>
      <c r="I1045" s="842">
        <f t="shared" ca="1" si="97"/>
        <v>0</v>
      </c>
      <c r="J1045" s="842">
        <f t="shared" ca="1" si="98"/>
        <v>0</v>
      </c>
      <c r="K1045" s="842">
        <f t="shared" ca="1" si="99"/>
        <v>0</v>
      </c>
      <c r="L1045" s="842">
        <f t="shared" ca="1" si="100"/>
        <v>8.3675264494798612E-16</v>
      </c>
      <c r="M1045" s="337">
        <f t="shared" ca="1" si="101"/>
        <v>0</v>
      </c>
      <c r="N1045" s="842">
        <f t="shared" ca="1" si="102"/>
        <v>0</v>
      </c>
      <c r="O1045" s="842">
        <f t="shared" ca="1" si="103"/>
        <v>0</v>
      </c>
      <c r="P1045" s="856">
        <f t="shared" ca="1" si="104"/>
        <v>0</v>
      </c>
      <c r="Q1045" s="842">
        <f t="shared" ca="1" si="105"/>
        <v>0</v>
      </c>
      <c r="R1045" s="842">
        <f t="shared" ca="1" si="106"/>
        <v>0</v>
      </c>
      <c r="S1045" s="842">
        <f t="shared" ca="1" si="107"/>
        <v>0</v>
      </c>
      <c r="T1045" s="859">
        <f t="shared" ca="1" si="108"/>
        <v>0</v>
      </c>
      <c r="U1045" s="842"/>
      <c r="V1045" s="2467"/>
      <c r="W1045" s="2468"/>
      <c r="X1045" s="2468"/>
      <c r="Y1045" s="2468"/>
      <c r="Z1045" s="842"/>
      <c r="AA1045" s="2209"/>
      <c r="AB1045" s="2209"/>
      <c r="AC1045" s="346"/>
    </row>
    <row r="1046" spans="1:29" ht="18.75" customHeight="1" x14ac:dyDescent="0.2">
      <c r="A1046" s="341"/>
      <c r="B1046" s="345"/>
      <c r="C1046" s="453" t="s">
        <v>369</v>
      </c>
      <c r="D1046" s="842" t="s">
        <v>622</v>
      </c>
      <c r="E1046" s="842">
        <f ca="1">H190</f>
        <v>219014.26865078407</v>
      </c>
      <c r="F1046" s="842">
        <f ca="1">IF(E1046&lt;=0.0000001,0,H194)</f>
        <v>19.299794001723541</v>
      </c>
      <c r="G1046" s="842">
        <f t="shared" ca="1" si="96"/>
        <v>80.700205998276459</v>
      </c>
      <c r="H1046" s="842">
        <f>H191</f>
        <v>0</v>
      </c>
      <c r="I1046" s="842">
        <f t="shared" ca="1" si="97"/>
        <v>0</v>
      </c>
      <c r="J1046" s="842">
        <f t="shared" ca="1" si="98"/>
        <v>0</v>
      </c>
      <c r="K1046" s="842">
        <f t="shared" ca="1" si="99"/>
        <v>0</v>
      </c>
      <c r="L1046" s="842">
        <f t="shared" ca="1" si="100"/>
        <v>219014.26865078407</v>
      </c>
      <c r="M1046" s="337">
        <f t="shared" ca="1" si="101"/>
        <v>80.700205998276473</v>
      </c>
      <c r="N1046" s="842">
        <f t="shared" ca="1" si="102"/>
        <v>176744.96596680139</v>
      </c>
      <c r="O1046" s="842">
        <f t="shared" ca="1" si="103"/>
        <v>648064.8752116051</v>
      </c>
      <c r="P1046" s="856">
        <f t="shared" ca="1" si="104"/>
        <v>0</v>
      </c>
      <c r="Q1046" s="842">
        <f t="shared" ca="1" si="105"/>
        <v>0</v>
      </c>
      <c r="R1046" s="842">
        <f t="shared" ca="1" si="106"/>
        <v>0</v>
      </c>
      <c r="S1046" s="842">
        <f t="shared" ca="1" si="107"/>
        <v>0</v>
      </c>
      <c r="T1046" s="859">
        <f t="shared" ca="1" si="108"/>
        <v>0</v>
      </c>
      <c r="U1046" s="842"/>
      <c r="V1046" s="2467"/>
      <c r="W1046" s="2468"/>
      <c r="X1046" s="2468"/>
      <c r="Y1046" s="2468"/>
      <c r="Z1046" s="842"/>
      <c r="AA1046" s="2209"/>
      <c r="AB1046" s="2209"/>
      <c r="AC1046" s="346"/>
    </row>
    <row r="1047" spans="1:29" ht="18.75" customHeight="1" x14ac:dyDescent="0.2">
      <c r="A1047" s="341"/>
      <c r="B1047" s="345"/>
      <c r="C1047" s="453" t="s">
        <v>370</v>
      </c>
      <c r="D1047" s="842" t="s">
        <v>622</v>
      </c>
      <c r="E1047" s="842">
        <f ca="1">G164</f>
        <v>8544.5148145949242</v>
      </c>
      <c r="F1047" s="842">
        <f ca="1">IF(E1047&lt;=0.0000001,0,G168)</f>
        <v>17.507418662350211</v>
      </c>
      <c r="G1047" s="842">
        <f t="shared" ca="1" si="96"/>
        <v>82.492581337649796</v>
      </c>
      <c r="H1047" s="842">
        <f ca="1">G165</f>
        <v>0</v>
      </c>
      <c r="I1047" s="842">
        <f t="shared" ca="1" si="97"/>
        <v>0</v>
      </c>
      <c r="J1047" s="842">
        <f t="shared" ca="1" si="98"/>
        <v>0</v>
      </c>
      <c r="K1047" s="842">
        <f t="shared" ca="1" si="99"/>
        <v>0</v>
      </c>
      <c r="L1047" s="842">
        <f t="shared" ca="1" si="100"/>
        <v>8544.5148145949242</v>
      </c>
      <c r="M1047" s="337">
        <f t="shared" ca="1" si="101"/>
        <v>82.492581337649796</v>
      </c>
      <c r="N1047" s="842">
        <f t="shared" ca="1" si="102"/>
        <v>7048.5908333372545</v>
      </c>
      <c r="O1047" s="842">
        <f t="shared" ca="1" si="103"/>
        <v>25844.833055569932</v>
      </c>
      <c r="P1047" s="856">
        <f t="shared" ca="1" si="104"/>
        <v>0</v>
      </c>
      <c r="Q1047" s="842">
        <f t="shared" ca="1" si="105"/>
        <v>0</v>
      </c>
      <c r="R1047" s="842">
        <f t="shared" ca="1" si="106"/>
        <v>0</v>
      </c>
      <c r="S1047" s="842">
        <f t="shared" ca="1" si="107"/>
        <v>0</v>
      </c>
      <c r="T1047" s="859">
        <f t="shared" ca="1" si="108"/>
        <v>0</v>
      </c>
      <c r="U1047" s="842"/>
      <c r="V1047" s="2467"/>
      <c r="W1047" s="2468"/>
      <c r="X1047" s="2468"/>
      <c r="Y1047" s="2468"/>
      <c r="Z1047" s="842"/>
      <c r="AA1047" s="2209"/>
      <c r="AB1047" s="2209"/>
      <c r="AC1047" s="346"/>
    </row>
    <row r="1048" spans="1:29" ht="18.75" customHeight="1" x14ac:dyDescent="0.2">
      <c r="A1048" s="341"/>
      <c r="B1048" s="345"/>
      <c r="C1048" s="453"/>
      <c r="D1048" s="842"/>
      <c r="E1048" s="842"/>
      <c r="F1048" s="842"/>
      <c r="G1048" s="842"/>
      <c r="H1048" s="842"/>
      <c r="I1048" s="842"/>
      <c r="J1048" s="842"/>
      <c r="K1048" s="842"/>
      <c r="L1048" s="842"/>
      <c r="M1048" s="840" t="s">
        <v>1074</v>
      </c>
      <c r="N1048" s="842"/>
      <c r="O1048" s="842"/>
      <c r="P1048" s="856"/>
      <c r="Q1048" s="842"/>
      <c r="R1048" s="842"/>
      <c r="S1048" s="842"/>
      <c r="T1048" s="337"/>
      <c r="U1048" s="842"/>
      <c r="V1048" s="2467"/>
      <c r="W1048" s="2468"/>
      <c r="X1048" s="2468"/>
      <c r="Y1048" s="2468"/>
      <c r="Z1048" s="842"/>
      <c r="AA1048" s="2209"/>
      <c r="AB1048" s="2209"/>
      <c r="AC1048" s="346"/>
    </row>
    <row r="1049" spans="1:29" ht="18.75" customHeight="1" thickBot="1" x14ac:dyDescent="0.25">
      <c r="A1049" s="341"/>
      <c r="B1049" s="345"/>
      <c r="C1049" s="453" t="s">
        <v>598</v>
      </c>
      <c r="D1049" s="842" t="s">
        <v>622</v>
      </c>
      <c r="E1049" s="842">
        <f ca="1">SUM(E1038:E1047)</f>
        <v>247907.20291782977</v>
      </c>
      <c r="F1049" s="842"/>
      <c r="G1049" s="842"/>
      <c r="H1049" s="842">
        <f ca="1">SUM(H1038:H1047)</f>
        <v>74.434400037131681</v>
      </c>
      <c r="I1049" s="842">
        <f ca="1">SUM(I1038:I1047)</f>
        <v>4992.3275890614514</v>
      </c>
      <c r="J1049" s="842">
        <f ca="1">SUM(J1038:J1047)</f>
        <v>5304.3480633777917</v>
      </c>
      <c r="K1049" s="842">
        <f ca="1">SUM(K1038:K1047)</f>
        <v>4232.4953300062989</v>
      </c>
      <c r="L1049" s="842">
        <f ca="1">SUM(L1038:L1047)</f>
        <v>242602.85485445199</v>
      </c>
      <c r="M1049" s="337">
        <f ca="1">AVERAGE(M1038:M1047)</f>
        <v>40.84137775206959</v>
      </c>
      <c r="N1049" s="842">
        <f ca="1">SUM(N1038:N1047)</f>
        <v>196091.7300966889</v>
      </c>
      <c r="O1049" s="842">
        <f ca="1">+N1049*(44/12)</f>
        <v>719003.01035452599</v>
      </c>
      <c r="P1049" s="857">
        <f ca="1">SUM(P1038:P1047)</f>
        <v>1071.8527333714933</v>
      </c>
      <c r="Q1049" s="334">
        <f ca="1">SUM(Q1038:Q1047)</f>
        <v>49.626781555100138</v>
      </c>
      <c r="R1049" s="334">
        <f ca="1">SUM(R1038:R1047)</f>
        <v>1073.889253564899</v>
      </c>
      <c r="S1049" s="334">
        <f ca="1">SUM(S1038:S1047)</f>
        <v>4282.1221115613989</v>
      </c>
      <c r="T1049" s="885">
        <f ca="1">SUM(T1038:T1047)</f>
        <v>1</v>
      </c>
      <c r="U1049" s="842"/>
      <c r="V1049" s="2467"/>
      <c r="W1049" s="2468"/>
      <c r="X1049" s="2468"/>
      <c r="Y1049" s="2468"/>
      <c r="Z1049" s="842"/>
      <c r="AA1049" s="2209"/>
      <c r="AB1049" s="2209"/>
      <c r="AC1049" s="346"/>
    </row>
    <row r="1050" spans="1:29" ht="18.75" customHeight="1" thickBot="1" x14ac:dyDescent="0.25">
      <c r="A1050" s="341"/>
      <c r="B1050" s="345"/>
      <c r="C1050" s="442" t="s">
        <v>582</v>
      </c>
      <c r="D1050" s="842" t="s">
        <v>566</v>
      </c>
      <c r="E1050" s="842"/>
      <c r="F1050" s="842"/>
      <c r="G1050" s="842"/>
      <c r="H1050" s="842"/>
      <c r="I1050" s="842"/>
      <c r="J1050" s="842"/>
      <c r="K1050" s="842"/>
      <c r="L1050" s="842">
        <f ca="1">L1051/'Energy &amp; Unit Conversions'!G80</f>
        <v>1317360.2949244024</v>
      </c>
      <c r="M1050" s="337">
        <f ca="1">AVERAGE(M1039:M1041,M1044:M1047)</f>
        <v>46.68258477780023</v>
      </c>
      <c r="N1050" s="421" t="s">
        <v>1078</v>
      </c>
      <c r="O1050" s="422">
        <f ca="1">O1049/L1049</f>
        <v>2.9637038310447221</v>
      </c>
      <c r="P1050" s="842"/>
      <c r="Q1050" s="842"/>
      <c r="R1050" s="842"/>
      <c r="S1050" s="842"/>
      <c r="T1050" s="842"/>
      <c r="U1050" s="842"/>
      <c r="V1050" s="341"/>
      <c r="W1050" s="341"/>
      <c r="X1050" s="341"/>
      <c r="Y1050" s="341"/>
      <c r="Z1050" s="842"/>
      <c r="AA1050" s="2209"/>
      <c r="AB1050" s="2209"/>
      <c r="AC1050" s="346"/>
    </row>
    <row r="1051" spans="1:29" ht="18.75" customHeight="1" thickBot="1" x14ac:dyDescent="0.25">
      <c r="A1051" s="341"/>
      <c r="B1051" s="345"/>
      <c r="C1051" s="443" t="s">
        <v>582</v>
      </c>
      <c r="D1051" s="334" t="s">
        <v>628</v>
      </c>
      <c r="E1051" s="334"/>
      <c r="F1051" s="334"/>
      <c r="G1051" s="334"/>
      <c r="H1051" s="334"/>
      <c r="I1051" s="334"/>
      <c r="J1051" s="334"/>
      <c r="K1051" s="334"/>
      <c r="L1051" s="334">
        <f ca="1">L1049*'Energy &amp; Unit Conversions'!E93/'Energy &amp; Unit Conversions'!E27*'Energy &amp; Unit Conversions'!G81</f>
        <v>209443.55641723445</v>
      </c>
      <c r="M1051" s="338"/>
      <c r="N1051" s="421" t="s">
        <v>1089</v>
      </c>
      <c r="O1051" s="423">
        <f ca="1">N1049/L1049</f>
        <v>0.80828286301219687</v>
      </c>
      <c r="P1051" s="842"/>
      <c r="Q1051" s="842"/>
      <c r="R1051" s="842"/>
      <c r="S1051" s="842"/>
      <c r="T1051" s="842"/>
      <c r="U1051" s="842"/>
      <c r="V1051" s="842"/>
      <c r="W1051" s="842"/>
      <c r="X1051" s="842"/>
      <c r="Y1051" s="842"/>
      <c r="Z1051" s="842"/>
      <c r="AA1051" s="2209"/>
      <c r="AB1051" s="2209"/>
      <c r="AC1051" s="346"/>
    </row>
    <row r="1052" spans="1:29" ht="18.75" customHeight="1" x14ac:dyDescent="0.2">
      <c r="A1052" s="341"/>
      <c r="B1052" s="345"/>
      <c r="C1052" s="444"/>
      <c r="D1052" s="842"/>
      <c r="E1052" s="842"/>
      <c r="F1052" s="842"/>
      <c r="G1052" s="842"/>
      <c r="H1052" s="842"/>
      <c r="I1052" s="842"/>
      <c r="J1052" s="842"/>
      <c r="K1052" s="842"/>
      <c r="L1052" s="842"/>
      <c r="M1052" s="842"/>
      <c r="N1052" s="842"/>
      <c r="O1052" s="842"/>
      <c r="P1052" s="842"/>
      <c r="Q1052" s="842"/>
      <c r="R1052" s="842"/>
      <c r="S1052" s="842"/>
      <c r="T1052" s="842"/>
      <c r="U1052" s="842"/>
      <c r="V1052" s="842"/>
      <c r="W1052" s="842"/>
      <c r="X1052" s="842"/>
      <c r="Y1052" s="842"/>
      <c r="Z1052" s="842"/>
      <c r="AA1052" s="2209"/>
      <c r="AB1052" s="2209"/>
      <c r="AC1052" s="346"/>
    </row>
    <row r="1053" spans="1:29" ht="18.75" customHeight="1" x14ac:dyDescent="0.2">
      <c r="A1053" s="341"/>
      <c r="B1053" s="345"/>
      <c r="C1053" s="444" t="s">
        <v>992</v>
      </c>
      <c r="D1053" s="842"/>
      <c r="E1053" s="842"/>
      <c r="F1053" s="842"/>
      <c r="G1053" s="842"/>
      <c r="H1053" s="842"/>
      <c r="I1053" s="842"/>
      <c r="J1053" s="842"/>
      <c r="K1053" s="842"/>
      <c r="L1053" s="842"/>
      <c r="M1053" s="842"/>
      <c r="N1053" s="842"/>
      <c r="O1053" s="842"/>
      <c r="P1053" s="842"/>
      <c r="Q1053" s="842"/>
      <c r="R1053" s="842"/>
      <c r="S1053" s="842"/>
      <c r="T1053" s="842"/>
      <c r="U1053" s="842"/>
      <c r="V1053" s="341"/>
      <c r="W1053" s="341"/>
      <c r="X1053" s="341"/>
      <c r="Y1053" s="341"/>
      <c r="Z1053" s="842"/>
      <c r="AA1053" s="2209"/>
      <c r="AB1053" s="2209"/>
      <c r="AC1053" s="346"/>
    </row>
    <row r="1054" spans="1:29" ht="18.75" customHeight="1" x14ac:dyDescent="0.2">
      <c r="A1054" s="341"/>
      <c r="B1054" s="345"/>
      <c r="C1054" s="444" t="s">
        <v>993</v>
      </c>
      <c r="D1054" s="842"/>
      <c r="E1054" s="842"/>
      <c r="F1054" s="842"/>
      <c r="G1054" s="842"/>
      <c r="H1054" s="842"/>
      <c r="I1054" s="842"/>
      <c r="J1054" s="842"/>
      <c r="K1054" s="842"/>
      <c r="L1054" s="842"/>
      <c r="M1054" s="842"/>
      <c r="N1054" s="842"/>
      <c r="O1054" s="842"/>
      <c r="P1054" s="842"/>
      <c r="Q1054" s="842"/>
      <c r="R1054" s="842"/>
      <c r="S1054" s="842"/>
      <c r="T1054" s="842"/>
      <c r="U1054" s="842"/>
      <c r="V1054" s="341"/>
      <c r="W1054" s="341"/>
      <c r="X1054" s="341"/>
      <c r="Y1054" s="341"/>
      <c r="Z1054" s="842"/>
      <c r="AA1054" s="2209"/>
      <c r="AB1054" s="2209"/>
      <c r="AC1054" s="346"/>
    </row>
    <row r="1055" spans="1:29" ht="18.75" customHeight="1" x14ac:dyDescent="0.2">
      <c r="A1055" s="341"/>
      <c r="B1055" s="345"/>
      <c r="C1055" s="444"/>
      <c r="D1055" s="842"/>
      <c r="E1055" s="842"/>
      <c r="F1055" s="842"/>
      <c r="G1055" s="842"/>
      <c r="H1055" s="842"/>
      <c r="I1055" s="842"/>
      <c r="J1055" s="842"/>
      <c r="K1055" s="842"/>
      <c r="L1055" s="842"/>
      <c r="M1055" s="842"/>
      <c r="N1055" s="842"/>
      <c r="O1055" s="842"/>
      <c r="P1055" s="842"/>
      <c r="Q1055" s="842"/>
      <c r="R1055" s="842"/>
      <c r="S1055" s="842"/>
      <c r="T1055" s="842"/>
      <c r="U1055" s="842"/>
      <c r="V1055" s="341"/>
      <c r="W1055" s="341"/>
      <c r="X1055" s="341"/>
      <c r="Y1055" s="341"/>
      <c r="Z1055" s="842"/>
      <c r="AA1055" s="2209"/>
      <c r="AB1055" s="2209"/>
      <c r="AC1055" s="346"/>
    </row>
    <row r="1056" spans="1:29" ht="18.75" customHeight="1" x14ac:dyDescent="0.2">
      <c r="A1056" s="341"/>
      <c r="B1056" s="345"/>
      <c r="C1056" s="454" t="s">
        <v>994</v>
      </c>
      <c r="D1056" s="368">
        <f ca="1">J1049/34.08</f>
        <v>155.64401594418405</v>
      </c>
      <c r="E1056" s="369"/>
      <c r="F1056" s="842"/>
      <c r="G1056" s="842"/>
      <c r="H1056" s="842"/>
      <c r="I1056" s="842"/>
      <c r="J1056" s="842"/>
      <c r="K1056" s="842"/>
      <c r="L1056" s="842"/>
      <c r="M1056" s="842"/>
      <c r="N1056" s="842"/>
      <c r="O1056" s="842"/>
      <c r="P1056" s="842"/>
      <c r="Q1056" s="842"/>
      <c r="R1056" s="842"/>
      <c r="S1056" s="842"/>
      <c r="T1056" s="842"/>
      <c r="U1056" s="842"/>
      <c r="V1056" s="341"/>
      <c r="W1056" s="341"/>
      <c r="X1056" s="341"/>
      <c r="Y1056" s="341"/>
      <c r="Z1056" s="842"/>
      <c r="AA1056" s="2209"/>
      <c r="AB1056" s="2209"/>
      <c r="AC1056" s="346"/>
    </row>
    <row r="1057" spans="1:29" ht="18.75" customHeight="1" x14ac:dyDescent="0.2">
      <c r="A1057" s="341"/>
      <c r="B1057" s="345"/>
      <c r="C1057" s="453" t="s">
        <v>995</v>
      </c>
      <c r="D1057" s="386">
        <v>1</v>
      </c>
      <c r="E1057" s="337"/>
      <c r="F1057" s="842"/>
      <c r="G1057" s="842"/>
      <c r="H1057" s="842"/>
      <c r="I1057" s="842"/>
      <c r="J1057" s="842"/>
      <c r="K1057" s="842"/>
      <c r="L1057" s="842"/>
      <c r="M1057" s="842"/>
      <c r="N1057" s="842"/>
      <c r="O1057" s="842"/>
      <c r="P1057" s="842"/>
      <c r="Q1057" s="842"/>
      <c r="R1057" s="842"/>
      <c r="S1057" s="842"/>
      <c r="T1057" s="842"/>
      <c r="U1057" s="842"/>
      <c r="V1057" s="341"/>
      <c r="W1057" s="341"/>
      <c r="X1057" s="341"/>
      <c r="Y1057" s="341"/>
      <c r="Z1057" s="842"/>
      <c r="AA1057" s="2209"/>
      <c r="AB1057" s="2209"/>
      <c r="AC1057" s="346"/>
    </row>
    <row r="1058" spans="1:29" ht="18.75" customHeight="1" x14ac:dyDescent="0.2">
      <c r="A1058" s="341"/>
      <c r="B1058" s="345"/>
      <c r="C1058" s="442" t="s">
        <v>996</v>
      </c>
      <c r="D1058" s="842">
        <v>3</v>
      </c>
      <c r="E1058" s="337" t="s">
        <v>997</v>
      </c>
      <c r="F1058" s="842"/>
      <c r="G1058" s="842"/>
      <c r="H1058" s="842"/>
      <c r="I1058" s="842"/>
      <c r="J1058" s="842"/>
      <c r="K1058" s="842"/>
      <c r="L1058" s="842"/>
      <c r="M1058" s="842"/>
      <c r="N1058" s="842"/>
      <c r="O1058" s="842"/>
      <c r="P1058" s="842"/>
      <c r="Q1058" s="842"/>
      <c r="R1058" s="842"/>
      <c r="S1058" s="842"/>
      <c r="T1058" s="842"/>
      <c r="U1058" s="842"/>
      <c r="V1058" s="341"/>
      <c r="W1058" s="341"/>
      <c r="X1058" s="341"/>
      <c r="Y1058" s="341"/>
      <c r="Z1058" s="842"/>
      <c r="AA1058" s="2209"/>
      <c r="AB1058" s="2209"/>
      <c r="AC1058" s="346"/>
    </row>
    <row r="1059" spans="1:29" ht="18.75" customHeight="1" x14ac:dyDescent="0.2">
      <c r="A1059" s="341"/>
      <c r="B1059" s="345"/>
      <c r="C1059" s="442" t="s">
        <v>998</v>
      </c>
      <c r="D1059" s="842">
        <f ca="1">D1056*D1057*D1058</f>
        <v>466.93204783255214</v>
      </c>
      <c r="E1059" s="337" t="s">
        <v>999</v>
      </c>
      <c r="F1059" s="842"/>
      <c r="G1059" s="842"/>
      <c r="H1059" s="842"/>
      <c r="I1059" s="842"/>
      <c r="J1059" s="842"/>
      <c r="K1059" s="842"/>
      <c r="L1059" s="842"/>
      <c r="M1059" s="842"/>
      <c r="N1059" s="842"/>
      <c r="O1059" s="842"/>
      <c r="P1059" s="842"/>
      <c r="Q1059" s="842"/>
      <c r="R1059" s="842"/>
      <c r="S1059" s="842"/>
      <c r="T1059" s="842"/>
      <c r="U1059" s="842"/>
      <c r="V1059" s="842"/>
      <c r="W1059" s="842"/>
      <c r="X1059" s="842"/>
      <c r="Y1059" s="842"/>
      <c r="Z1059" s="842"/>
      <c r="AA1059" s="2209"/>
      <c r="AB1059" s="2209"/>
      <c r="AC1059" s="346"/>
    </row>
    <row r="1060" spans="1:29" ht="18.75" customHeight="1" x14ac:dyDescent="0.2">
      <c r="A1060" s="341"/>
      <c r="B1060" s="345"/>
      <c r="C1060" s="453" t="s">
        <v>1000</v>
      </c>
      <c r="D1060" s="386">
        <v>0.2</v>
      </c>
      <c r="E1060" s="337" t="s">
        <v>1001</v>
      </c>
      <c r="F1060" s="842"/>
      <c r="G1060" s="842"/>
      <c r="H1060" s="842"/>
      <c r="I1060" s="842"/>
      <c r="J1060" s="842"/>
      <c r="K1060" s="842"/>
      <c r="L1060" s="842"/>
      <c r="M1060" s="842"/>
      <c r="N1060" s="842"/>
      <c r="O1060" s="842"/>
      <c r="P1060" s="842"/>
      <c r="Q1060" s="842"/>
      <c r="R1060" s="842"/>
      <c r="S1060" s="842"/>
      <c r="T1060" s="842"/>
      <c r="U1060" s="842"/>
      <c r="V1060" s="842"/>
      <c r="W1060" s="842"/>
      <c r="X1060" s="842"/>
      <c r="Y1060" s="842"/>
      <c r="Z1060" s="842"/>
      <c r="AA1060" s="2209"/>
      <c r="AB1060" s="2209"/>
      <c r="AC1060" s="346"/>
    </row>
    <row r="1061" spans="1:29" ht="18.75" customHeight="1" x14ac:dyDescent="0.2">
      <c r="A1061" s="341"/>
      <c r="B1061" s="345"/>
      <c r="C1061" s="453" t="s">
        <v>1000</v>
      </c>
      <c r="D1061" s="842">
        <f ca="1">D1059*61.1/D1060</f>
        <v>142647.74061284467</v>
      </c>
      <c r="E1061" s="337" t="s">
        <v>622</v>
      </c>
      <c r="F1061" s="842"/>
      <c r="G1061" s="842"/>
      <c r="H1061" s="842"/>
      <c r="I1061" s="842"/>
      <c r="J1061" s="842"/>
      <c r="K1061" s="842"/>
      <c r="L1061" s="842"/>
      <c r="M1061" s="842"/>
      <c r="N1061" s="842"/>
      <c r="O1061" s="842"/>
      <c r="P1061" s="842"/>
      <c r="Q1061" s="842"/>
      <c r="R1061" s="842"/>
      <c r="S1061" s="842"/>
      <c r="T1061" s="842"/>
      <c r="U1061" s="842"/>
      <c r="V1061" s="842"/>
      <c r="W1061" s="842"/>
      <c r="X1061" s="842"/>
      <c r="Y1061" s="842"/>
      <c r="Z1061" s="842"/>
      <c r="AA1061" s="2209"/>
      <c r="AB1061" s="2209"/>
      <c r="AC1061" s="346"/>
    </row>
    <row r="1062" spans="1:29" ht="18.75" customHeight="1" x14ac:dyDescent="0.2">
      <c r="A1062" s="341"/>
      <c r="B1062" s="345"/>
      <c r="C1062" s="453" t="s">
        <v>1003</v>
      </c>
      <c r="D1062" s="842">
        <f>8.45*'Energy &amp; Unit Conversions'!G79/'Energy &amp; Unit Conversions'!G83</f>
        <v>1012.5332530514512</v>
      </c>
      <c r="E1062" s="337" t="s">
        <v>835</v>
      </c>
      <c r="F1062" s="842"/>
      <c r="G1062" s="842"/>
      <c r="H1062" s="842"/>
      <c r="I1062" s="842"/>
      <c r="J1062" s="842"/>
      <c r="K1062" s="842"/>
      <c r="L1062" s="842"/>
      <c r="M1062" s="842"/>
      <c r="N1062" s="842"/>
      <c r="O1062" s="842"/>
      <c r="P1062" s="842"/>
      <c r="Q1062" s="842"/>
      <c r="R1062" s="842"/>
      <c r="S1062" s="842"/>
      <c r="T1062" s="842"/>
      <c r="U1062" s="842"/>
      <c r="V1062" s="842"/>
      <c r="W1062" s="842"/>
      <c r="X1062" s="842"/>
      <c r="Y1062" s="842"/>
      <c r="Z1062" s="842"/>
      <c r="AA1062" s="2209"/>
      <c r="AB1062" s="2209"/>
      <c r="AC1062" s="346"/>
    </row>
    <row r="1063" spans="1:29" ht="18.75" customHeight="1" x14ac:dyDescent="0.2">
      <c r="A1063" s="341"/>
      <c r="B1063" s="345"/>
      <c r="C1063" s="453" t="s">
        <v>1004</v>
      </c>
      <c r="D1063" s="842">
        <f>'Energy &amp; Unit Conversions'!E52</f>
        <v>998.2</v>
      </c>
      <c r="E1063" s="337" t="s">
        <v>835</v>
      </c>
      <c r="F1063" s="842"/>
      <c r="G1063" s="842"/>
      <c r="H1063" s="842"/>
      <c r="I1063" s="842"/>
      <c r="J1063" s="842"/>
      <c r="K1063" s="842"/>
      <c r="L1063" s="842"/>
      <c r="M1063" s="842"/>
      <c r="N1063" s="842"/>
      <c r="O1063" s="842"/>
      <c r="P1063" s="842"/>
      <c r="Q1063" s="842"/>
      <c r="R1063" s="842"/>
      <c r="S1063" s="842"/>
      <c r="T1063" s="842"/>
      <c r="U1063" s="842"/>
      <c r="V1063" s="842"/>
      <c r="W1063" s="842"/>
      <c r="X1063" s="842"/>
      <c r="Y1063" s="842"/>
      <c r="Z1063" s="842"/>
      <c r="AA1063" s="2209"/>
      <c r="AB1063" s="2209"/>
      <c r="AC1063" s="346"/>
    </row>
    <row r="1064" spans="1:29" ht="18.75" customHeight="1" x14ac:dyDescent="0.2">
      <c r="A1064" s="341"/>
      <c r="B1064" s="345"/>
      <c r="C1064" s="452" t="s">
        <v>1002</v>
      </c>
      <c r="D1064" s="334">
        <f ca="1">D1061*((D1060/D1062)+(1-D1060)/D1063)</f>
        <v>142.50038174134042</v>
      </c>
      <c r="E1064" s="338" t="s">
        <v>1005</v>
      </c>
      <c r="F1064" s="842"/>
      <c r="G1064" s="842"/>
      <c r="H1064" s="842"/>
      <c r="I1064" s="842"/>
      <c r="J1064" s="842"/>
      <c r="K1064" s="842"/>
      <c r="L1064" s="842"/>
      <c r="M1064" s="842"/>
      <c r="N1064" s="842"/>
      <c r="O1064" s="842"/>
      <c r="P1064" s="842"/>
      <c r="Q1064" s="842"/>
      <c r="R1064" s="842"/>
      <c r="S1064" s="842"/>
      <c r="T1064" s="842"/>
      <c r="U1064" s="842"/>
      <c r="V1064" s="842"/>
      <c r="W1064" s="842"/>
      <c r="X1064" s="842"/>
      <c r="Y1064" s="842"/>
      <c r="Z1064" s="842"/>
      <c r="AA1064" s="2209"/>
      <c r="AB1064" s="2209"/>
      <c r="AC1064" s="346"/>
    </row>
    <row r="1065" spans="1:29" ht="18.75" customHeight="1" x14ac:dyDescent="0.2">
      <c r="A1065" s="341"/>
      <c r="B1065" s="345"/>
      <c r="C1065" s="437"/>
      <c r="D1065" s="842"/>
      <c r="E1065" s="842"/>
      <c r="F1065" s="842"/>
      <c r="G1065" s="842"/>
      <c r="H1065" s="842"/>
      <c r="I1065" s="842"/>
      <c r="J1065" s="842"/>
      <c r="K1065" s="842"/>
      <c r="L1065" s="842"/>
      <c r="M1065" s="842"/>
      <c r="N1065" s="842"/>
      <c r="O1065" s="842"/>
      <c r="P1065" s="842"/>
      <c r="Q1065" s="842"/>
      <c r="R1065" s="842"/>
      <c r="S1065" s="842"/>
      <c r="T1065" s="842"/>
      <c r="U1065" s="842"/>
      <c r="V1065" s="842"/>
      <c r="W1065" s="842"/>
      <c r="X1065" s="842"/>
      <c r="Y1065" s="842"/>
      <c r="Z1065" s="842"/>
      <c r="AA1065" s="2209"/>
      <c r="AB1065" s="2209"/>
      <c r="AC1065" s="346"/>
    </row>
    <row r="1066" spans="1:29" ht="18.75" customHeight="1" x14ac:dyDescent="0.2">
      <c r="A1066" s="341"/>
      <c r="B1066" s="345"/>
      <c r="C1066" s="843" t="s">
        <v>308</v>
      </c>
      <c r="D1066" s="842"/>
      <c r="E1066" s="842"/>
      <c r="F1066" s="842"/>
      <c r="G1066" s="842"/>
      <c r="H1066" s="842"/>
      <c r="I1066" s="842"/>
      <c r="J1066" s="842"/>
      <c r="K1066" s="842"/>
      <c r="L1066" s="842"/>
      <c r="M1066" s="842"/>
      <c r="N1066" s="842"/>
      <c r="O1066" s="842"/>
      <c r="P1066" s="842"/>
      <c r="Q1066" s="842"/>
      <c r="R1066" s="842"/>
      <c r="S1066" s="842"/>
      <c r="T1066" s="842"/>
      <c r="U1066" s="842"/>
      <c r="V1066" s="842"/>
      <c r="W1066" s="842"/>
      <c r="X1066" s="842"/>
      <c r="Y1066" s="842"/>
      <c r="Z1066" s="842"/>
      <c r="AA1066" s="2209"/>
      <c r="AB1066" s="2209"/>
      <c r="AC1066" s="346"/>
    </row>
    <row r="1067" spans="1:29" ht="18.75" customHeight="1" x14ac:dyDescent="0.2">
      <c r="A1067" s="341"/>
      <c r="B1067" s="345"/>
      <c r="C1067" s="855"/>
      <c r="D1067" s="351" t="s">
        <v>624</v>
      </c>
      <c r="E1067" s="352" t="s">
        <v>623</v>
      </c>
      <c r="F1067" s="842"/>
      <c r="G1067" s="842"/>
      <c r="H1067" s="842"/>
      <c r="I1067" s="842"/>
      <c r="J1067" s="842"/>
      <c r="K1067" s="842"/>
      <c r="L1067" s="842"/>
      <c r="M1067" s="842"/>
      <c r="N1067" s="842"/>
      <c r="O1067" s="842"/>
      <c r="P1067" s="842"/>
      <c r="Q1067" s="842"/>
      <c r="R1067" s="842"/>
      <c r="S1067" s="842"/>
      <c r="T1067" s="842"/>
      <c r="U1067" s="842"/>
      <c r="V1067" s="842"/>
      <c r="W1067" s="842"/>
      <c r="X1067" s="842"/>
      <c r="Y1067" s="842"/>
      <c r="Z1067" s="842"/>
      <c r="AA1067" s="2209"/>
      <c r="AB1067" s="2209"/>
      <c r="AC1067" s="346"/>
    </row>
    <row r="1068" spans="1:29" ht="18.75" customHeight="1" x14ac:dyDescent="0.2">
      <c r="A1068" s="341"/>
      <c r="B1068" s="345"/>
      <c r="C1068" s="453" t="str">
        <f>J1035</f>
        <v>Amine Treatment (Acid Gas Removal)</v>
      </c>
      <c r="D1068" s="839"/>
      <c r="E1068" s="840"/>
      <c r="F1068" s="842"/>
      <c r="G1068" s="843" t="s">
        <v>140</v>
      </c>
      <c r="H1068" s="842"/>
      <c r="I1068" s="842"/>
      <c r="J1068" s="842"/>
      <c r="K1068" s="842"/>
      <c r="L1068" s="842"/>
      <c r="M1068" s="842"/>
      <c r="N1068" s="842"/>
      <c r="O1068" s="842"/>
      <c r="P1068" s="842"/>
      <c r="Q1068" s="842"/>
      <c r="R1068" s="842"/>
      <c r="S1068" s="842"/>
      <c r="T1068" s="842"/>
      <c r="U1068" s="842"/>
      <c r="V1068" s="842"/>
      <c r="W1068" s="842"/>
      <c r="X1068" s="842"/>
      <c r="Y1068" s="842"/>
      <c r="Z1068" s="842"/>
      <c r="AA1068" s="2209"/>
      <c r="AB1068" s="2209"/>
      <c r="AC1068" s="346"/>
    </row>
    <row r="1069" spans="1:29" ht="18.75" customHeight="1" x14ac:dyDescent="0.2">
      <c r="A1069" s="341"/>
      <c r="B1069" s="345"/>
      <c r="C1069" s="453" t="s">
        <v>451</v>
      </c>
      <c r="D1069" s="410">
        <v>2.64</v>
      </c>
      <c r="E1069" s="337" t="s">
        <v>1006</v>
      </c>
      <c r="F1069" s="842"/>
      <c r="G1069" s="454" t="s">
        <v>148</v>
      </c>
      <c r="H1069" s="862">
        <v>84.78</v>
      </c>
      <c r="I1069" s="369" t="s">
        <v>141</v>
      </c>
      <c r="J1069" s="842"/>
      <c r="K1069" s="842" t="s">
        <v>235</v>
      </c>
      <c r="L1069" s="842"/>
      <c r="M1069" s="842"/>
      <c r="N1069" s="842"/>
      <c r="O1069" s="842"/>
      <c r="P1069" s="842"/>
      <c r="Q1069" s="842"/>
      <c r="R1069" s="842"/>
      <c r="S1069" s="842"/>
      <c r="T1069" s="842"/>
      <c r="U1069" s="842"/>
      <c r="V1069" s="842"/>
      <c r="W1069" s="842"/>
      <c r="X1069" s="842"/>
      <c r="Y1069" s="842"/>
      <c r="Z1069" s="842"/>
      <c r="AA1069" s="2209"/>
      <c r="AB1069" s="2209"/>
      <c r="AC1069" s="346"/>
    </row>
    <row r="1070" spans="1:29" ht="18.75" customHeight="1" x14ac:dyDescent="0.2">
      <c r="A1070" s="341"/>
      <c r="B1070" s="345"/>
      <c r="C1070" s="453" t="s">
        <v>452</v>
      </c>
      <c r="D1070" s="842">
        <f ca="1">D1069*D1064</f>
        <v>376.20100779713874</v>
      </c>
      <c r="E1070" s="337" t="s">
        <v>627</v>
      </c>
      <c r="F1070" s="842"/>
      <c r="G1070" s="453" t="s">
        <v>149</v>
      </c>
      <c r="H1070" s="842">
        <f>H1071+H1072</f>
        <v>1.0482</v>
      </c>
      <c r="I1070" s="337" t="s">
        <v>151</v>
      </c>
      <c r="J1070" s="842"/>
      <c r="K1070" s="842" t="s">
        <v>236</v>
      </c>
      <c r="L1070" s="842"/>
      <c r="M1070" s="842"/>
      <c r="N1070" s="842"/>
      <c r="O1070" s="842"/>
      <c r="P1070" s="842"/>
      <c r="Q1070" s="842"/>
      <c r="R1070" s="842"/>
      <c r="S1070" s="842"/>
      <c r="T1070" s="842"/>
      <c r="U1070" s="842"/>
      <c r="V1070" s="842"/>
      <c r="W1070" s="842"/>
      <c r="X1070" s="842"/>
      <c r="Y1070" s="842"/>
      <c r="Z1070" s="842"/>
      <c r="AA1070" s="2209"/>
      <c r="AB1070" s="2209"/>
      <c r="AC1070" s="346"/>
    </row>
    <row r="1071" spans="1:29" ht="18.75" customHeight="1" x14ac:dyDescent="0.2">
      <c r="A1071" s="341"/>
      <c r="B1071" s="345"/>
      <c r="C1071" s="453" t="s">
        <v>176</v>
      </c>
      <c r="D1071" s="410">
        <v>280</v>
      </c>
      <c r="E1071" s="337" t="s">
        <v>1007</v>
      </c>
      <c r="F1071" s="842"/>
      <c r="G1071" s="453" t="s">
        <v>142</v>
      </c>
      <c r="H1071" s="386">
        <v>4.6300000000000001E-2</v>
      </c>
      <c r="I1071" s="337"/>
      <c r="J1071" s="842"/>
      <c r="K1071" s="842" t="str">
        <f>K1069</f>
        <v>Ammonia Scrubbing</v>
      </c>
      <c r="L1071" s="842"/>
      <c r="M1071" s="842"/>
      <c r="N1071" s="842"/>
      <c r="O1071" s="842"/>
      <c r="P1071" s="842"/>
      <c r="Q1071" s="842"/>
      <c r="R1071" s="842"/>
      <c r="S1071" s="842"/>
      <c r="T1071" s="842"/>
      <c r="U1071" s="842"/>
      <c r="V1071" s="842"/>
      <c r="W1071" s="842"/>
      <c r="X1071" s="842"/>
      <c r="Y1071" s="842"/>
      <c r="Z1071" s="842"/>
      <c r="AA1071" s="2209"/>
      <c r="AB1071" s="2209"/>
      <c r="AC1071" s="346"/>
    </row>
    <row r="1072" spans="1:29" ht="18.75" customHeight="1" x14ac:dyDescent="0.2">
      <c r="A1072" s="341"/>
      <c r="B1072" s="345"/>
      <c r="C1072" s="452" t="s">
        <v>542</v>
      </c>
      <c r="D1072" s="334">
        <f ca="1">D1071*D1064</f>
        <v>39900.106887575319</v>
      </c>
      <c r="E1072" s="338" t="s">
        <v>522</v>
      </c>
      <c r="F1072" s="842"/>
      <c r="G1072" s="453" t="s">
        <v>150</v>
      </c>
      <c r="H1072" s="386">
        <v>1.0019</v>
      </c>
      <c r="I1072" s="337"/>
      <c r="J1072" s="842"/>
      <c r="K1072" s="842"/>
      <c r="L1072" s="842"/>
      <c r="M1072" s="842"/>
      <c r="N1072" s="842"/>
      <c r="O1072" s="842"/>
      <c r="P1072" s="842"/>
      <c r="Q1072" s="842"/>
      <c r="R1072" s="842"/>
      <c r="S1072" s="842"/>
      <c r="T1072" s="842"/>
      <c r="U1072" s="842"/>
      <c r="V1072" s="842"/>
      <c r="W1072" s="842"/>
      <c r="X1072" s="842"/>
      <c r="Y1072" s="842"/>
      <c r="Z1072" s="842"/>
      <c r="AA1072" s="2209"/>
      <c r="AB1072" s="2209"/>
      <c r="AC1072" s="346"/>
    </row>
    <row r="1073" spans="1:29" ht="18.75" customHeight="1" x14ac:dyDescent="0.2">
      <c r="A1073" s="341"/>
      <c r="B1073" s="345"/>
      <c r="C1073" s="437"/>
      <c r="D1073" s="842"/>
      <c r="E1073" s="842"/>
      <c r="F1073" s="842"/>
      <c r="G1073" s="453"/>
      <c r="H1073" s="842"/>
      <c r="I1073" s="337"/>
      <c r="J1073" s="842"/>
      <c r="K1073" s="842"/>
      <c r="L1073" s="842"/>
      <c r="M1073" s="842"/>
      <c r="N1073" s="842"/>
      <c r="O1073" s="842"/>
      <c r="P1073" s="842"/>
      <c r="Q1073" s="842"/>
      <c r="R1073" s="842"/>
      <c r="S1073" s="842"/>
      <c r="T1073" s="842"/>
      <c r="U1073" s="842"/>
      <c r="V1073" s="842"/>
      <c r="W1073" s="842"/>
      <c r="X1073" s="842"/>
      <c r="Y1073" s="842"/>
      <c r="Z1073" s="842"/>
      <c r="AA1073" s="2209"/>
      <c r="AB1073" s="2209"/>
      <c r="AC1073" s="346"/>
    </row>
    <row r="1074" spans="1:29" ht="18.75" customHeight="1" x14ac:dyDescent="0.2">
      <c r="A1074" s="341"/>
      <c r="B1074" s="345"/>
      <c r="C1074" s="843" t="str">
        <f>K1036</f>
        <v>Claus Sulfur recovery</v>
      </c>
      <c r="D1074" s="842"/>
      <c r="E1074" s="842"/>
      <c r="F1074" s="842"/>
      <c r="G1074" s="453" t="s">
        <v>144</v>
      </c>
      <c r="H1074" s="842">
        <v>1500</v>
      </c>
      <c r="I1074" s="337" t="s">
        <v>238</v>
      </c>
      <c r="J1074" s="842"/>
      <c r="K1074" s="842"/>
      <c r="L1074" s="842"/>
      <c r="M1074" s="842"/>
      <c r="N1074" s="842"/>
      <c r="O1074" s="842"/>
      <c r="P1074" s="842"/>
      <c r="Q1074" s="842"/>
      <c r="R1074" s="842"/>
      <c r="S1074" s="842"/>
      <c r="T1074" s="842"/>
      <c r="U1074" s="842"/>
      <c r="V1074" s="842"/>
      <c r="W1074" s="842"/>
      <c r="X1074" s="842"/>
      <c r="Y1074" s="842"/>
      <c r="Z1074" s="842"/>
      <c r="AA1074" s="2209"/>
      <c r="AB1074" s="2209"/>
      <c r="AC1074" s="346"/>
    </row>
    <row r="1075" spans="1:29" ht="18.75" customHeight="1" x14ac:dyDescent="0.2">
      <c r="A1075" s="341"/>
      <c r="B1075" s="345"/>
      <c r="C1075" s="454" t="s">
        <v>634</v>
      </c>
      <c r="D1075" s="854">
        <v>0</v>
      </c>
      <c r="E1075" s="369" t="s">
        <v>1010</v>
      </c>
      <c r="F1075" s="842"/>
      <c r="G1075" s="453" t="s">
        <v>235</v>
      </c>
      <c r="H1075" s="842"/>
      <c r="I1075" s="337"/>
      <c r="J1075" s="842"/>
      <c r="K1075" s="842"/>
      <c r="L1075" s="842"/>
      <c r="M1075" s="842"/>
      <c r="N1075" s="842"/>
      <c r="O1075" s="842"/>
      <c r="P1075" s="842"/>
      <c r="Q1075" s="842"/>
      <c r="R1075" s="842"/>
      <c r="S1075" s="842"/>
      <c r="T1075" s="842"/>
      <c r="U1075" s="842"/>
      <c r="V1075" s="842"/>
      <c r="W1075" s="842"/>
      <c r="X1075" s="842"/>
      <c r="Y1075" s="842"/>
      <c r="Z1075" s="842"/>
      <c r="AA1075" s="2209"/>
      <c r="AB1075" s="2209"/>
      <c r="AC1075" s="346"/>
    </row>
    <row r="1076" spans="1:29" ht="18.75" customHeight="1" x14ac:dyDescent="0.2">
      <c r="A1076" s="341"/>
      <c r="B1076" s="345"/>
      <c r="C1076" s="453" t="s">
        <v>542</v>
      </c>
      <c r="D1076" s="842">
        <f ca="1">D1075*K1049/'Energy &amp; Unit Conversions'!E93</f>
        <v>0</v>
      </c>
      <c r="E1076" s="337" t="s">
        <v>145</v>
      </c>
      <c r="F1076" s="842"/>
      <c r="G1076" s="452" t="s">
        <v>237</v>
      </c>
      <c r="H1076" s="858">
        <v>150</v>
      </c>
      <c r="I1076" s="338" t="s">
        <v>238</v>
      </c>
      <c r="J1076" s="842"/>
      <c r="K1076" s="842"/>
      <c r="L1076" s="842"/>
      <c r="M1076" s="842"/>
      <c r="N1076" s="842"/>
      <c r="O1076" s="842"/>
      <c r="P1076" s="842"/>
      <c r="Q1076" s="842"/>
      <c r="R1076" s="842"/>
      <c r="S1076" s="842"/>
      <c r="T1076" s="842"/>
      <c r="U1076" s="842"/>
      <c r="V1076" s="842"/>
      <c r="W1076" s="842"/>
      <c r="X1076" s="842"/>
      <c r="Y1076" s="842"/>
      <c r="Z1076" s="842"/>
      <c r="AA1076" s="2209"/>
      <c r="AB1076" s="2209"/>
      <c r="AC1076" s="346"/>
    </row>
    <row r="1077" spans="1:29" ht="18.75" customHeight="1" x14ac:dyDescent="0.2">
      <c r="A1077" s="341"/>
      <c r="B1077" s="345"/>
      <c r="C1077" s="454" t="s">
        <v>451</v>
      </c>
      <c r="D1077" s="854">
        <v>98</v>
      </c>
      <c r="E1077" s="369" t="s">
        <v>1011</v>
      </c>
      <c r="F1077" s="842"/>
      <c r="G1077" s="842"/>
      <c r="H1077" s="842"/>
      <c r="I1077" s="842"/>
      <c r="J1077" s="842"/>
      <c r="K1077" s="842"/>
      <c r="L1077" s="842"/>
      <c r="M1077" s="842"/>
      <c r="N1077" s="842"/>
      <c r="O1077" s="842"/>
      <c r="P1077" s="842"/>
      <c r="Q1077" s="842"/>
      <c r="R1077" s="842"/>
      <c r="S1077" s="842"/>
      <c r="T1077" s="842"/>
      <c r="U1077" s="842"/>
      <c r="V1077" s="842"/>
      <c r="W1077" s="842"/>
      <c r="X1077" s="842"/>
      <c r="Y1077" s="842"/>
      <c r="Z1077" s="842"/>
      <c r="AA1077" s="2209"/>
      <c r="AB1077" s="2209"/>
      <c r="AC1077" s="346"/>
    </row>
    <row r="1078" spans="1:29" ht="18.75" customHeight="1" x14ac:dyDescent="0.2">
      <c r="A1078" s="341"/>
      <c r="B1078" s="345"/>
      <c r="C1078" s="452" t="s">
        <v>452</v>
      </c>
      <c r="D1078" s="334">
        <f ca="1">D1077*K1049/'Energy &amp; Unit Conversions'!E93</f>
        <v>414.78454234061729</v>
      </c>
      <c r="E1078" s="338" t="s">
        <v>627</v>
      </c>
      <c r="F1078" s="842"/>
      <c r="G1078" s="842"/>
      <c r="H1078" s="842"/>
      <c r="I1078" s="842"/>
      <c r="J1078" s="842"/>
      <c r="K1078" s="842"/>
      <c r="L1078" s="842"/>
      <c r="M1078" s="842"/>
      <c r="N1078" s="842"/>
      <c r="O1078" s="842"/>
      <c r="P1078" s="842"/>
      <c r="Q1078" s="842"/>
      <c r="R1078" s="842"/>
      <c r="S1078" s="842"/>
      <c r="T1078" s="842"/>
      <c r="U1078" s="842"/>
      <c r="V1078" s="842"/>
      <c r="W1078" s="842"/>
      <c r="X1078" s="842"/>
      <c r="Y1078" s="842"/>
      <c r="Z1078" s="842"/>
      <c r="AA1078" s="2209"/>
      <c r="AB1078" s="2209"/>
      <c r="AC1078" s="346"/>
    </row>
    <row r="1079" spans="1:29" ht="18.75" customHeight="1" x14ac:dyDescent="0.2">
      <c r="A1079" s="341"/>
      <c r="B1079" s="345"/>
      <c r="C1079" s="453" t="s">
        <v>154</v>
      </c>
      <c r="D1079" s="410">
        <v>-2900</v>
      </c>
      <c r="E1079" s="337" t="s">
        <v>1012</v>
      </c>
      <c r="F1079" s="842"/>
      <c r="G1079" s="842"/>
      <c r="H1079" s="842"/>
      <c r="I1079" s="842"/>
      <c r="J1079" s="842"/>
      <c r="K1079" s="842"/>
      <c r="L1079" s="842"/>
      <c r="M1079" s="842"/>
      <c r="N1079" s="842"/>
      <c r="O1079" s="842"/>
      <c r="P1079" s="842"/>
      <c r="Q1079" s="842"/>
      <c r="R1079" s="842"/>
      <c r="S1079" s="842"/>
      <c r="T1079" s="842"/>
      <c r="U1079" s="842"/>
      <c r="V1079" s="842"/>
      <c r="W1079" s="842"/>
      <c r="X1079" s="842"/>
      <c r="Y1079" s="842"/>
      <c r="Z1079" s="842"/>
      <c r="AA1079" s="2209"/>
      <c r="AB1079" s="2209"/>
      <c r="AC1079" s="346"/>
    </row>
    <row r="1080" spans="1:29" ht="18.75" customHeight="1" x14ac:dyDescent="0.2">
      <c r="A1080" s="341"/>
      <c r="B1080" s="345"/>
      <c r="C1080" s="453" t="s">
        <v>1013</v>
      </c>
      <c r="D1080" s="410">
        <f>1200*'Energy &amp; Unit Conversions'!G84/'Energy &amp; Unit Conversions'!G79/'Energy &amp; Unit Conversions'!E94*'Energy &amp; Unit Conversions'!E93</f>
        <v>2791.2</v>
      </c>
      <c r="E1080" s="337" t="s">
        <v>1014</v>
      </c>
      <c r="F1080" s="842"/>
      <c r="G1080" s="842"/>
      <c r="H1080" s="842"/>
      <c r="I1080" s="842"/>
      <c r="J1080" s="842"/>
      <c r="K1080" s="842"/>
      <c r="L1080" s="842"/>
      <c r="M1080" s="842"/>
      <c r="N1080" s="842"/>
      <c r="O1080" s="842"/>
      <c r="P1080" s="842"/>
      <c r="Q1080" s="842"/>
      <c r="R1080" s="842"/>
      <c r="S1080" s="842"/>
      <c r="T1080" s="842"/>
      <c r="U1080" s="842"/>
      <c r="V1080" s="842"/>
      <c r="W1080" s="842"/>
      <c r="X1080" s="842"/>
      <c r="Y1080" s="842"/>
      <c r="Z1080" s="842"/>
      <c r="AA1080" s="2209"/>
      <c r="AB1080" s="2209"/>
      <c r="AC1080" s="346"/>
    </row>
    <row r="1081" spans="1:29" ht="18.75" customHeight="1" x14ac:dyDescent="0.2">
      <c r="A1081" s="341"/>
      <c r="B1081" s="345"/>
      <c r="C1081" s="452" t="s">
        <v>139</v>
      </c>
      <c r="D1081" s="334">
        <f ca="1">D1079*K1049/'Energy &amp; Unit Conversions'!E93/'Energy &amp; Unit Conversions'!E93*D1080</f>
        <v>-34259.848798829385</v>
      </c>
      <c r="E1081" s="338" t="s">
        <v>522</v>
      </c>
      <c r="F1081" s="842"/>
      <c r="G1081" s="842"/>
      <c r="H1081" s="842"/>
      <c r="I1081" s="842"/>
      <c r="J1081" s="842"/>
      <c r="K1081" s="842"/>
      <c r="L1081" s="842"/>
      <c r="M1081" s="842"/>
      <c r="N1081" s="842"/>
      <c r="O1081" s="842"/>
      <c r="P1081" s="842"/>
      <c r="Q1081" s="842"/>
      <c r="R1081" s="842"/>
      <c r="S1081" s="842"/>
      <c r="T1081" s="842"/>
      <c r="U1081" s="842"/>
      <c r="V1081" s="842"/>
      <c r="W1081" s="842"/>
      <c r="X1081" s="842"/>
      <c r="Y1081" s="842"/>
      <c r="Z1081" s="842"/>
      <c r="AA1081" s="2209"/>
      <c r="AB1081" s="2209"/>
      <c r="AC1081" s="346"/>
    </row>
    <row r="1082" spans="1:29" ht="18.75" customHeight="1" x14ac:dyDescent="0.2">
      <c r="A1082" s="341"/>
      <c r="B1082" s="345"/>
      <c r="C1082" s="437"/>
      <c r="D1082" s="842"/>
      <c r="E1082" s="842"/>
      <c r="F1082" s="842"/>
      <c r="G1082" s="596"/>
      <c r="H1082" s="596"/>
      <c r="I1082" s="597"/>
      <c r="J1082" s="842"/>
      <c r="K1082" s="842"/>
      <c r="L1082" s="842"/>
      <c r="M1082" s="842"/>
      <c r="N1082" s="842"/>
      <c r="O1082" s="842"/>
      <c r="P1082" s="842"/>
      <c r="Q1082" s="842"/>
      <c r="R1082" s="842"/>
      <c r="S1082" s="842"/>
      <c r="T1082" s="842"/>
      <c r="U1082" s="842"/>
      <c r="V1082" s="842"/>
      <c r="W1082" s="842"/>
      <c r="X1082" s="842"/>
      <c r="Y1082" s="842"/>
      <c r="Z1082" s="842"/>
      <c r="AA1082" s="2209"/>
      <c r="AB1082" s="2209"/>
      <c r="AC1082" s="346"/>
    </row>
    <row r="1083" spans="1:29" ht="18.75" customHeight="1" x14ac:dyDescent="0.2">
      <c r="A1083" s="341"/>
      <c r="B1083" s="345"/>
      <c r="C1083" s="843" t="str">
        <f>P1035</f>
        <v xml:space="preserve">Claus Tail Gas Treatment </v>
      </c>
      <c r="D1083" s="842"/>
      <c r="E1083" s="842"/>
      <c r="F1083" s="842"/>
      <c r="G1083" s="596"/>
      <c r="H1083" s="596"/>
      <c r="I1083" s="597"/>
      <c r="J1083" s="842"/>
      <c r="K1083" s="842"/>
      <c r="L1083" s="842"/>
      <c r="M1083" s="842"/>
      <c r="N1083" s="842"/>
      <c r="O1083" s="842"/>
      <c r="P1083" s="842"/>
      <c r="Q1083" s="842"/>
      <c r="R1083" s="842"/>
      <c r="S1083" s="842"/>
      <c r="T1083" s="842"/>
      <c r="U1083" s="842"/>
      <c r="V1083" s="842"/>
      <c r="W1083" s="842"/>
      <c r="X1083" s="842"/>
      <c r="Y1083" s="842"/>
      <c r="Z1083" s="842"/>
      <c r="AA1083" s="2209"/>
      <c r="AB1083" s="2209"/>
      <c r="AC1083" s="346"/>
    </row>
    <row r="1084" spans="1:29" ht="18.75" customHeight="1" x14ac:dyDescent="0.2">
      <c r="A1084" s="341"/>
      <c r="B1084" s="345"/>
      <c r="C1084" s="454" t="s">
        <v>451</v>
      </c>
      <c r="D1084" s="854">
        <v>463</v>
      </c>
      <c r="E1084" s="369" t="s">
        <v>153</v>
      </c>
      <c r="F1084" s="842"/>
      <c r="G1084" s="596"/>
      <c r="H1084" s="596"/>
      <c r="I1084" s="597"/>
      <c r="J1084" s="842"/>
      <c r="K1084" s="842"/>
      <c r="L1084" s="842"/>
      <c r="M1084" s="842"/>
      <c r="N1084" s="842"/>
      <c r="O1084" s="842"/>
      <c r="P1084" s="842"/>
      <c r="Q1084" s="842"/>
      <c r="R1084" s="842"/>
      <c r="S1084" s="842"/>
      <c r="T1084" s="842"/>
      <c r="U1084" s="842"/>
      <c r="V1084" s="842"/>
      <c r="W1084" s="842"/>
      <c r="X1084" s="842"/>
      <c r="Y1084" s="842"/>
      <c r="Z1084" s="842"/>
      <c r="AA1084" s="2209"/>
      <c r="AB1084" s="2209"/>
      <c r="AC1084" s="346"/>
    </row>
    <row r="1085" spans="1:29" ht="18.75" customHeight="1" x14ac:dyDescent="0.2">
      <c r="A1085" s="341"/>
      <c r="B1085" s="345"/>
      <c r="C1085" s="452" t="s">
        <v>452</v>
      </c>
      <c r="D1085" s="334">
        <f ca="1">D1084*Q1049/'Energy &amp; Unit Conversions'!E95</f>
        <v>22.97719986001136</v>
      </c>
      <c r="E1085" s="338" t="s">
        <v>627</v>
      </c>
      <c r="F1085" s="842"/>
      <c r="G1085" s="596"/>
      <c r="H1085" s="596"/>
      <c r="I1085" s="597"/>
      <c r="J1085" s="842"/>
      <c r="K1085" s="842"/>
      <c r="L1085" s="842"/>
      <c r="M1085" s="842"/>
      <c r="N1085" s="842"/>
      <c r="O1085" s="842"/>
      <c r="P1085" s="842"/>
      <c r="Q1085" s="842"/>
      <c r="R1085" s="842"/>
      <c r="S1085" s="842"/>
      <c r="T1085" s="842"/>
      <c r="U1085" s="842"/>
      <c r="V1085" s="842"/>
      <c r="W1085" s="842"/>
      <c r="X1085" s="842"/>
      <c r="Y1085" s="842"/>
      <c r="Z1085" s="842"/>
      <c r="AA1085" s="2209"/>
      <c r="AB1085" s="2209"/>
      <c r="AC1085" s="346"/>
    </row>
    <row r="1086" spans="1:29" ht="18.75" customHeight="1" x14ac:dyDescent="0.2">
      <c r="A1086" s="341"/>
      <c r="B1086" s="345"/>
      <c r="C1086" s="437"/>
      <c r="D1086" s="842"/>
      <c r="E1086" s="842"/>
      <c r="F1086" s="842"/>
      <c r="G1086" s="596"/>
      <c r="H1086" s="596"/>
      <c r="I1086" s="596"/>
      <c r="J1086" s="842"/>
      <c r="K1086" s="842"/>
      <c r="L1086" s="842"/>
      <c r="M1086" s="842"/>
      <c r="N1086" s="842"/>
      <c r="O1086" s="842"/>
      <c r="P1086" s="842"/>
      <c r="Q1086" s="842"/>
      <c r="R1086" s="842"/>
      <c r="S1086" s="842"/>
      <c r="T1086" s="842"/>
      <c r="U1086" s="842"/>
      <c r="V1086" s="842"/>
      <c r="W1086" s="842"/>
      <c r="X1086" s="842"/>
      <c r="Y1086" s="842"/>
      <c r="Z1086" s="842"/>
      <c r="AA1086" s="2209"/>
      <c r="AB1086" s="2209"/>
      <c r="AC1086" s="346"/>
    </row>
    <row r="1087" spans="1:29" ht="41.1" customHeight="1" x14ac:dyDescent="0.2">
      <c r="A1087" s="341"/>
      <c r="B1087" s="424"/>
      <c r="C1087" s="472" t="s">
        <v>181</v>
      </c>
      <c r="D1087" s="425"/>
      <c r="E1087" s="425"/>
      <c r="F1087" s="425"/>
      <c r="G1087" s="425"/>
      <c r="H1087" s="425"/>
      <c r="I1087" s="425"/>
      <c r="J1087" s="425"/>
      <c r="K1087" s="425"/>
      <c r="L1087" s="425"/>
      <c r="M1087" s="425"/>
      <c r="N1087" s="425"/>
      <c r="O1087" s="425"/>
      <c r="P1087" s="425"/>
      <c r="Q1087" s="425"/>
      <c r="R1087" s="425"/>
      <c r="S1087" s="425"/>
      <c r="T1087" s="425"/>
      <c r="U1087" s="425"/>
      <c r="V1087" s="425"/>
      <c r="W1087" s="425"/>
      <c r="X1087" s="598"/>
      <c r="Y1087" s="598"/>
      <c r="Z1087" s="598"/>
      <c r="AA1087" s="598"/>
      <c r="AB1087" s="598"/>
      <c r="AC1087" s="599"/>
    </row>
    <row r="1088" spans="1:29" ht="18.75" customHeight="1" x14ac:dyDescent="0.2">
      <c r="A1088" s="341"/>
      <c r="B1088" s="345"/>
      <c r="C1088" s="437"/>
      <c r="D1088" s="842"/>
      <c r="E1088" s="842"/>
      <c r="F1088" s="842"/>
      <c r="G1088" s="842"/>
      <c r="H1088" s="842"/>
      <c r="I1088" s="842"/>
      <c r="J1088" s="842"/>
      <c r="K1088" s="842"/>
      <c r="L1088" s="842"/>
      <c r="M1088" s="842"/>
      <c r="N1088" s="842"/>
      <c r="O1088" s="842"/>
      <c r="P1088" s="842"/>
      <c r="Q1088" s="842"/>
      <c r="R1088" s="842"/>
      <c r="S1088" s="842"/>
      <c r="T1088" s="842"/>
      <c r="U1088" s="842"/>
      <c r="V1088" s="842"/>
      <c r="W1088" s="842"/>
      <c r="X1088" s="842"/>
      <c r="Y1088" s="842"/>
      <c r="Z1088" s="842"/>
      <c r="AA1088" s="2209"/>
      <c r="AB1088" s="2209"/>
      <c r="AC1088" s="346"/>
    </row>
    <row r="1089" spans="1:29" ht="26.25" x14ac:dyDescent="0.2">
      <c r="A1089" s="341"/>
      <c r="B1089" s="699"/>
      <c r="C1089" s="603" t="s">
        <v>221</v>
      </c>
      <c r="D1089" s="842"/>
      <c r="E1089" s="842"/>
      <c r="F1089" s="842"/>
      <c r="G1089" s="842"/>
      <c r="H1089" s="842"/>
      <c r="I1089" s="842"/>
      <c r="J1089" s="842"/>
      <c r="K1089" s="842"/>
      <c r="L1089" s="842"/>
      <c r="M1089" s="842"/>
      <c r="N1089" s="842"/>
      <c r="O1089" s="842"/>
      <c r="P1089" s="842"/>
      <c r="Q1089" s="842"/>
      <c r="R1089" s="842"/>
      <c r="S1089" s="842"/>
      <c r="T1089" s="842"/>
      <c r="U1089" s="842"/>
      <c r="V1089" s="842"/>
      <c r="W1089" s="842"/>
      <c r="X1089" s="842"/>
      <c r="Y1089" s="842"/>
      <c r="Z1089" s="842"/>
      <c r="AA1089" s="2209"/>
      <c r="AB1089" s="2209"/>
      <c r="AC1089" s="346"/>
    </row>
    <row r="1090" spans="1:29" ht="18.75" customHeight="1" x14ac:dyDescent="0.2">
      <c r="A1090" s="341"/>
      <c r="B1090" s="345"/>
      <c r="C1090" s="437"/>
      <c r="D1090" s="842"/>
      <c r="E1090" s="842"/>
      <c r="F1090" s="842"/>
      <c r="G1090" s="842"/>
      <c r="H1090" s="842"/>
      <c r="I1090" s="842"/>
      <c r="J1090" s="842"/>
      <c r="K1090" s="842"/>
      <c r="L1090" s="842"/>
      <c r="M1090" s="842"/>
      <c r="N1090" s="842"/>
      <c r="O1090" s="842"/>
      <c r="P1090" s="842"/>
      <c r="Q1090" s="842"/>
      <c r="R1090" s="842"/>
      <c r="S1090" s="842"/>
      <c r="T1090" s="842"/>
      <c r="U1090" s="842"/>
      <c r="V1090" s="842"/>
      <c r="W1090" s="842"/>
      <c r="X1090" s="842"/>
      <c r="Y1090" s="842"/>
      <c r="Z1090" s="842"/>
      <c r="AA1090" s="2209"/>
      <c r="AB1090" s="2209"/>
      <c r="AC1090" s="346"/>
    </row>
    <row r="1091" spans="1:29" ht="18.75" customHeight="1" x14ac:dyDescent="0.2">
      <c r="A1091" s="341"/>
      <c r="B1091" s="345"/>
      <c r="C1091" s="873" t="str">
        <f>CokingRefineryCalcs!C1030</f>
        <v xml:space="preserve">Heat content of Boiler Steam: </v>
      </c>
      <c r="D1091" s="979">
        <f>CokingRefineryCalcs!D1030</f>
        <v>3.2554803388442721</v>
      </c>
      <c r="E1091" s="866" t="s">
        <v>447</v>
      </c>
      <c r="F1091" s="842"/>
      <c r="G1091" s="842"/>
      <c r="H1091" s="842"/>
      <c r="I1091" s="842"/>
      <c r="J1091" s="842"/>
      <c r="K1091" s="842"/>
      <c r="L1091" s="842"/>
      <c r="M1091" s="842"/>
      <c r="N1091" s="842"/>
      <c r="O1091" s="842"/>
      <c r="P1091" s="842"/>
      <c r="Q1091" s="842"/>
      <c r="R1091" s="842"/>
      <c r="S1091" s="842"/>
      <c r="T1091" s="842"/>
      <c r="U1091" s="842"/>
      <c r="V1091" s="842"/>
      <c r="W1091" s="842"/>
      <c r="X1091" s="842"/>
      <c r="Y1091" s="842"/>
      <c r="Z1091" s="842"/>
      <c r="AA1091" s="2209"/>
      <c r="AB1091" s="2209"/>
      <c r="AC1091" s="346"/>
    </row>
    <row r="1092" spans="1:29" ht="18.75" customHeight="1" x14ac:dyDescent="0.2">
      <c r="A1092" s="341"/>
      <c r="B1092" s="345"/>
      <c r="C1092" s="444"/>
      <c r="D1092" s="842"/>
      <c r="E1092" s="842"/>
      <c r="F1092" s="842"/>
      <c r="G1092" s="842"/>
      <c r="H1092" s="842"/>
      <c r="I1092" s="842"/>
      <c r="J1092" s="842"/>
      <c r="K1092" s="842"/>
      <c r="L1092" s="842"/>
      <c r="M1092" s="842"/>
      <c r="N1092" s="842"/>
      <c r="O1092" s="842"/>
      <c r="P1092" s="842"/>
      <c r="Q1092" s="842"/>
      <c r="R1092" s="842"/>
      <c r="S1092" s="842"/>
      <c r="T1092" s="842"/>
      <c r="U1092" s="842"/>
      <c r="V1092" s="842"/>
      <c r="W1092" s="842"/>
      <c r="X1092" s="842"/>
      <c r="Y1092" s="842"/>
      <c r="Z1092" s="842"/>
      <c r="AA1092" s="2209"/>
      <c r="AB1092" s="2209"/>
      <c r="AC1092" s="346"/>
    </row>
    <row r="1093" spans="1:29" ht="18.75" customHeight="1" x14ac:dyDescent="0.2">
      <c r="A1093" s="341"/>
      <c r="B1093" s="345"/>
      <c r="C1093" s="843" t="s">
        <v>308</v>
      </c>
      <c r="D1093" s="842"/>
      <c r="E1093" s="842"/>
      <c r="F1093" s="842"/>
      <c r="G1093" s="842"/>
      <c r="H1093" s="842"/>
      <c r="I1093" s="842"/>
      <c r="J1093" s="842"/>
      <c r="K1093" s="842"/>
      <c r="L1093" s="842"/>
      <c r="M1093" s="842"/>
      <c r="N1093" s="842"/>
      <c r="O1093" s="842"/>
      <c r="P1093" s="842"/>
      <c r="Q1093" s="842"/>
      <c r="R1093" s="842"/>
      <c r="S1093" s="842"/>
      <c r="T1093" s="842"/>
      <c r="U1093" s="842"/>
      <c r="V1093" s="842"/>
      <c r="W1093" s="842"/>
      <c r="X1093" s="842"/>
      <c r="Y1093" s="842"/>
      <c r="Z1093" s="842"/>
      <c r="AA1093" s="2209"/>
      <c r="AB1093" s="2209"/>
      <c r="AC1093" s="346"/>
    </row>
    <row r="1094" spans="1:29" ht="18.75" customHeight="1" x14ac:dyDescent="0.2">
      <c r="A1094" s="341"/>
      <c r="B1094" s="345"/>
      <c r="C1094" s="855"/>
      <c r="D1094" s="974" t="s">
        <v>624</v>
      </c>
      <c r="E1094" s="975" t="s">
        <v>623</v>
      </c>
      <c r="F1094" s="842"/>
      <c r="G1094" s="842"/>
      <c r="H1094" s="842"/>
      <c r="I1094" s="842"/>
      <c r="J1094" s="842"/>
      <c r="K1094" s="842"/>
      <c r="L1094" s="842"/>
      <c r="M1094" s="842"/>
      <c r="N1094" s="842"/>
      <c r="O1094" s="842"/>
      <c r="P1094" s="842"/>
      <c r="Q1094" s="842"/>
      <c r="R1094" s="842"/>
      <c r="S1094" s="842"/>
      <c r="T1094" s="842"/>
      <c r="U1094" s="842"/>
      <c r="V1094" s="842"/>
      <c r="W1094" s="842"/>
      <c r="X1094" s="842"/>
      <c r="Y1094" s="842"/>
      <c r="Z1094" s="842"/>
      <c r="AA1094" s="2209"/>
      <c r="AB1094" s="2209"/>
      <c r="AC1094" s="346"/>
    </row>
    <row r="1095" spans="1:29" ht="18.75" customHeight="1" x14ac:dyDescent="0.2">
      <c r="A1095" s="341"/>
      <c r="B1095" s="345"/>
      <c r="C1095" s="453" t="s">
        <v>154</v>
      </c>
      <c r="D1095" s="410">
        <f>CokingRefineryCalcs!D1034</f>
        <v>0.17599999999999999</v>
      </c>
      <c r="E1095" s="337" t="s">
        <v>195</v>
      </c>
      <c r="F1095" s="842"/>
      <c r="G1095" s="842"/>
      <c r="H1095" s="842"/>
      <c r="I1095" s="842"/>
      <c r="J1095" s="842"/>
      <c r="K1095" s="842"/>
      <c r="L1095" s="842"/>
      <c r="M1095" s="842"/>
      <c r="N1095" s="842"/>
      <c r="O1095" s="842"/>
      <c r="P1095" s="842"/>
      <c r="Q1095" s="842"/>
      <c r="R1095" s="842"/>
      <c r="S1095" s="842"/>
      <c r="T1095" s="842"/>
      <c r="U1095" s="842"/>
      <c r="V1095" s="842"/>
      <c r="W1095" s="842"/>
      <c r="X1095" s="842"/>
      <c r="Y1095" s="842"/>
      <c r="Z1095" s="842"/>
      <c r="AA1095" s="2209"/>
      <c r="AB1095" s="2209"/>
      <c r="AC1095" s="346"/>
    </row>
    <row r="1096" spans="1:29" ht="18.75" customHeight="1" x14ac:dyDescent="0.2">
      <c r="A1096" s="341"/>
      <c r="B1096" s="345"/>
      <c r="C1096" s="453" t="s">
        <v>193</v>
      </c>
      <c r="D1096" s="973">
        <f>CokingRefineryCalcs!D1035</f>
        <v>0.18568983006111997</v>
      </c>
      <c r="E1096" s="337" t="s">
        <v>196</v>
      </c>
      <c r="F1096" s="842"/>
      <c r="G1096" s="842"/>
      <c r="H1096" s="842"/>
      <c r="I1096" s="842"/>
      <c r="J1096" s="842"/>
      <c r="K1096" s="842"/>
      <c r="L1096" s="842"/>
      <c r="M1096" s="842"/>
      <c r="N1096" s="842"/>
      <c r="O1096" s="842"/>
      <c r="P1096" s="842"/>
      <c r="Q1096" s="842"/>
      <c r="R1096" s="842"/>
      <c r="S1096" s="842"/>
      <c r="T1096" s="842"/>
      <c r="U1096" s="842"/>
      <c r="V1096" s="842"/>
      <c r="W1096" s="842"/>
      <c r="X1096" s="842"/>
      <c r="Y1096" s="842"/>
      <c r="Z1096" s="842"/>
      <c r="AA1096" s="2209"/>
      <c r="AB1096" s="2209"/>
      <c r="AC1096" s="346"/>
    </row>
    <row r="1097" spans="1:29" ht="18.75" customHeight="1" x14ac:dyDescent="0.2">
      <c r="A1097" s="341"/>
      <c r="B1097" s="345"/>
      <c r="C1097" s="452" t="s">
        <v>139</v>
      </c>
      <c r="D1097" s="334">
        <f>CokingRefineryCalcs!D1036</f>
        <v>5.7039149598133256E-2</v>
      </c>
      <c r="E1097" s="338" t="s">
        <v>194</v>
      </c>
      <c r="F1097" s="842"/>
      <c r="G1097" s="842"/>
      <c r="H1097" s="842"/>
      <c r="I1097" s="842"/>
      <c r="J1097" s="842"/>
      <c r="K1097" s="842"/>
      <c r="L1097" s="842"/>
      <c r="M1097" s="842"/>
      <c r="N1097" s="842"/>
      <c r="O1097" s="842"/>
      <c r="P1097" s="842"/>
      <c r="Q1097" s="842"/>
      <c r="R1097" s="842"/>
      <c r="S1097" s="842"/>
      <c r="T1097" s="842"/>
      <c r="U1097" s="842"/>
      <c r="V1097" s="842"/>
      <c r="W1097" s="842"/>
      <c r="X1097" s="842"/>
      <c r="Y1097" s="842"/>
      <c r="Z1097" s="842"/>
      <c r="AA1097" s="2209"/>
      <c r="AB1097" s="2209"/>
      <c r="AC1097" s="346"/>
    </row>
    <row r="1098" spans="1:29" ht="18.75" customHeight="1" x14ac:dyDescent="0.2">
      <c r="A1098" s="341"/>
      <c r="B1098" s="345"/>
      <c r="C1098" s="453" t="s">
        <v>635</v>
      </c>
      <c r="D1098" s="410">
        <f>CokingRefineryCalcs!D1037</f>
        <v>3.319</v>
      </c>
      <c r="E1098" s="337" t="s">
        <v>198</v>
      </c>
      <c r="F1098" s="842"/>
      <c r="G1098" s="842"/>
      <c r="H1098" s="842"/>
      <c r="I1098" s="842"/>
      <c r="J1098" s="842"/>
      <c r="K1098" s="842"/>
      <c r="L1098" s="842"/>
      <c r="M1098" s="842"/>
      <c r="N1098" s="842"/>
      <c r="O1098" s="842"/>
      <c r="P1098" s="842"/>
      <c r="Q1098" s="842"/>
      <c r="R1098" s="842"/>
      <c r="S1098" s="842"/>
      <c r="T1098" s="842"/>
      <c r="U1098" s="842"/>
      <c r="V1098" s="842"/>
      <c r="W1098" s="842"/>
      <c r="X1098" s="842"/>
      <c r="Y1098" s="842"/>
      <c r="Z1098" s="842"/>
      <c r="AA1098" s="2209"/>
      <c r="AB1098" s="2209"/>
      <c r="AC1098" s="346"/>
    </row>
    <row r="1099" spans="1:29" ht="18.75" customHeight="1" x14ac:dyDescent="0.2">
      <c r="A1099" s="341"/>
      <c r="B1099" s="345"/>
      <c r="C1099" s="453" t="s">
        <v>634</v>
      </c>
      <c r="D1099" s="973">
        <f>CokingRefineryCalcs!D1038</f>
        <v>3.50173037484578</v>
      </c>
      <c r="E1099" s="337" t="s">
        <v>199</v>
      </c>
      <c r="F1099" s="842"/>
      <c r="G1099" s="842"/>
      <c r="H1099" s="842"/>
      <c r="I1099" s="842"/>
      <c r="J1099" s="842"/>
      <c r="K1099" s="842"/>
      <c r="L1099" s="842"/>
      <c r="M1099" s="842"/>
      <c r="N1099" s="842"/>
      <c r="O1099" s="842"/>
      <c r="P1099" s="842"/>
      <c r="Q1099" s="842"/>
      <c r="R1099" s="842"/>
      <c r="S1099" s="842"/>
      <c r="T1099" s="842"/>
      <c r="U1099" s="842"/>
      <c r="V1099" s="842"/>
      <c r="W1099" s="842"/>
      <c r="X1099" s="842"/>
      <c r="Y1099" s="842"/>
      <c r="Z1099" s="842"/>
      <c r="AA1099" s="2209"/>
      <c r="AB1099" s="2209"/>
      <c r="AC1099" s="346"/>
    </row>
    <row r="1100" spans="1:29" ht="18.75" customHeight="1" x14ac:dyDescent="0.2">
      <c r="A1100" s="341"/>
      <c r="B1100" s="345"/>
      <c r="C1100" s="452" t="s">
        <v>634</v>
      </c>
      <c r="D1100" s="334">
        <f>CokingRefineryCalcs!D1039</f>
        <v>1.0756416904329789</v>
      </c>
      <c r="E1100" s="338" t="s">
        <v>200</v>
      </c>
      <c r="F1100" s="842"/>
      <c r="G1100" s="842"/>
      <c r="H1100" s="842"/>
      <c r="I1100" s="842"/>
      <c r="J1100" s="842"/>
      <c r="K1100" s="842"/>
      <c r="L1100" s="842"/>
      <c r="M1100" s="842"/>
      <c r="N1100" s="842"/>
      <c r="O1100" s="842"/>
      <c r="P1100" s="842"/>
      <c r="Q1100" s="842"/>
      <c r="R1100" s="842"/>
      <c r="S1100" s="842"/>
      <c r="T1100" s="842"/>
      <c r="U1100" s="842"/>
      <c r="V1100" s="842"/>
      <c r="W1100" s="842"/>
      <c r="X1100" s="842"/>
      <c r="Y1100" s="842"/>
      <c r="Z1100" s="842"/>
      <c r="AA1100" s="2209"/>
      <c r="AB1100" s="2209"/>
      <c r="AC1100" s="346"/>
    </row>
    <row r="1101" spans="1:29" ht="18.75" customHeight="1" x14ac:dyDescent="0.2">
      <c r="A1101" s="341"/>
      <c r="B1101" s="345"/>
      <c r="C1101" s="454" t="s">
        <v>451</v>
      </c>
      <c r="D1101" s="854">
        <f>CokingRefineryCalcs!D1040</f>
        <v>4.8479999999999999</v>
      </c>
      <c r="E1101" s="369" t="s">
        <v>182</v>
      </c>
      <c r="F1101" s="842"/>
      <c r="G1101" s="842"/>
      <c r="H1101" s="842"/>
      <c r="I1101" s="842"/>
      <c r="J1101" s="842"/>
      <c r="K1101" s="842"/>
      <c r="L1101" s="842"/>
      <c r="M1101" s="842"/>
      <c r="N1101" s="842"/>
      <c r="O1101" s="842"/>
      <c r="P1101" s="842"/>
      <c r="Q1101" s="842"/>
      <c r="R1101" s="842"/>
      <c r="S1101" s="842"/>
      <c r="T1101" s="842"/>
      <c r="U1101" s="842"/>
      <c r="V1101" s="842"/>
      <c r="W1101" s="842"/>
      <c r="X1101" s="842"/>
      <c r="Y1101" s="842"/>
      <c r="Z1101" s="842"/>
      <c r="AA1101" s="2209"/>
      <c r="AB1101" s="2209"/>
      <c r="AC1101" s="346"/>
    </row>
    <row r="1102" spans="1:29" ht="18.75" customHeight="1" x14ac:dyDescent="0.2">
      <c r="A1102" s="341"/>
      <c r="B1102" s="345"/>
      <c r="C1102" s="453" t="s">
        <v>451</v>
      </c>
      <c r="D1102" s="973">
        <f>CokingRefineryCalcs!D1041</f>
        <v>1.7452800000000001E-2</v>
      </c>
      <c r="E1102" s="337" t="s">
        <v>101</v>
      </c>
      <c r="F1102" s="842"/>
      <c r="G1102" s="842"/>
      <c r="H1102" s="842"/>
      <c r="I1102" s="842"/>
      <c r="J1102" s="842"/>
      <c r="K1102" s="842"/>
      <c r="L1102" s="842"/>
      <c r="M1102" s="842"/>
      <c r="N1102" s="842"/>
      <c r="O1102" s="842"/>
      <c r="P1102" s="842"/>
      <c r="Q1102" s="842"/>
      <c r="R1102" s="842"/>
      <c r="S1102" s="842"/>
      <c r="T1102" s="842"/>
      <c r="U1102" s="842"/>
      <c r="V1102" s="842"/>
      <c r="W1102" s="842"/>
      <c r="X1102" s="842"/>
      <c r="Y1102" s="842"/>
      <c r="Z1102" s="842"/>
      <c r="AA1102" s="2209"/>
      <c r="AB1102" s="2209"/>
      <c r="AC1102" s="346"/>
    </row>
    <row r="1103" spans="1:29" ht="18.75" customHeight="1" x14ac:dyDescent="0.2">
      <c r="A1103" s="341"/>
      <c r="B1103" s="345"/>
      <c r="C1103" s="452" t="s">
        <v>451</v>
      </c>
      <c r="D1103" s="334">
        <f>CokingRefineryCalcs!D1042</f>
        <v>5.3610521899806396E-3</v>
      </c>
      <c r="E1103" s="338" t="s">
        <v>100</v>
      </c>
      <c r="F1103" s="842"/>
      <c r="G1103" s="842"/>
      <c r="H1103" s="842"/>
      <c r="I1103" s="842"/>
      <c r="J1103" s="842"/>
      <c r="K1103" s="842"/>
      <c r="L1103" s="842"/>
      <c r="M1103" s="842"/>
      <c r="N1103" s="842"/>
      <c r="O1103" s="842"/>
      <c r="P1103" s="842"/>
      <c r="Q1103" s="842"/>
      <c r="R1103" s="842"/>
      <c r="S1103" s="842"/>
      <c r="T1103" s="842"/>
      <c r="U1103" s="842"/>
      <c r="V1103" s="842"/>
      <c r="W1103" s="842"/>
      <c r="X1103" s="842"/>
      <c r="Y1103" s="842"/>
      <c r="Z1103" s="842"/>
      <c r="AA1103" s="2209"/>
      <c r="AB1103" s="2209"/>
      <c r="AC1103" s="346"/>
    </row>
    <row r="1104" spans="1:29" ht="18.75" customHeight="1" x14ac:dyDescent="0.2">
      <c r="A1104" s="341"/>
      <c r="B1104" s="345"/>
      <c r="C1104" s="437"/>
      <c r="D1104" s="842"/>
      <c r="E1104" s="842"/>
      <c r="F1104" s="842"/>
      <c r="G1104" s="842"/>
      <c r="H1104" s="842"/>
      <c r="I1104" s="842"/>
      <c r="J1104" s="842"/>
      <c r="K1104" s="842"/>
      <c r="L1104" s="842"/>
      <c r="M1104" s="842"/>
      <c r="N1104" s="842"/>
      <c r="O1104" s="842"/>
      <c r="P1104" s="842"/>
      <c r="Q1104" s="842"/>
      <c r="R1104" s="842"/>
      <c r="S1104" s="842"/>
      <c r="T1104" s="842"/>
      <c r="U1104" s="842"/>
      <c r="V1104" s="842"/>
      <c r="W1104" s="842"/>
      <c r="X1104" s="842"/>
      <c r="Y1104" s="842"/>
      <c r="Z1104" s="842"/>
      <c r="AA1104" s="2209"/>
      <c r="AB1104" s="2209"/>
      <c r="AC1104" s="346"/>
    </row>
    <row r="1105" spans="1:29" ht="26.25" x14ac:dyDescent="0.2">
      <c r="A1105" s="341"/>
      <c r="B1105" s="699"/>
      <c r="C1105" s="603" t="s">
        <v>450</v>
      </c>
      <c r="D1105" s="603"/>
      <c r="E1105" s="842"/>
      <c r="F1105" s="842"/>
      <c r="G1105" s="842"/>
      <c r="H1105" s="842"/>
      <c r="I1105" s="842"/>
      <c r="J1105" s="842"/>
      <c r="K1105" s="842"/>
      <c r="L1105" s="842"/>
      <c r="M1105" s="842"/>
      <c r="N1105" s="842"/>
      <c r="O1105" s="842"/>
      <c r="P1105" s="842"/>
      <c r="Q1105" s="842"/>
      <c r="R1105" s="842"/>
      <c r="S1105" s="842"/>
      <c r="T1105" s="842"/>
      <c r="U1105" s="842"/>
      <c r="V1105" s="842"/>
      <c r="W1105" s="842"/>
      <c r="X1105" s="842"/>
      <c r="Y1105" s="842"/>
      <c r="Z1105" s="842"/>
      <c r="AA1105" s="2209"/>
      <c r="AB1105" s="2209"/>
      <c r="AC1105" s="346"/>
    </row>
    <row r="1106" spans="1:29" ht="19.5" customHeight="1" x14ac:dyDescent="0.2">
      <c r="A1106" s="341"/>
      <c r="B1106" s="345"/>
      <c r="C1106" s="444"/>
      <c r="D1106" s="839"/>
      <c r="E1106" s="842"/>
      <c r="F1106" s="842"/>
      <c r="G1106" s="842"/>
      <c r="H1106" s="842"/>
      <c r="I1106" s="842"/>
      <c r="J1106" s="842"/>
      <c r="K1106" s="842"/>
      <c r="L1106" s="842"/>
      <c r="M1106" s="842"/>
      <c r="N1106" s="842"/>
      <c r="O1106" s="842"/>
      <c r="P1106" s="842"/>
      <c r="Q1106" s="842"/>
      <c r="R1106" s="842"/>
      <c r="S1106" s="842"/>
      <c r="T1106" s="842"/>
      <c r="U1106" s="842"/>
      <c r="V1106" s="842"/>
      <c r="W1106" s="842"/>
      <c r="X1106" s="842"/>
      <c r="Y1106" s="842"/>
      <c r="Z1106" s="842"/>
      <c r="AA1106" s="2209"/>
      <c r="AB1106" s="2209"/>
      <c r="AC1106" s="346"/>
    </row>
    <row r="1107" spans="1:29" ht="18.75" customHeight="1" x14ac:dyDescent="0.2">
      <c r="A1107" s="341"/>
      <c r="B1107" s="345"/>
      <c r="C1107" s="843" t="s">
        <v>387</v>
      </c>
      <c r="D1107" s="839"/>
      <c r="E1107" s="842"/>
      <c r="F1107" s="842"/>
      <c r="G1107" s="842"/>
      <c r="H1107" s="842"/>
      <c r="I1107" s="842"/>
      <c r="J1107" s="842"/>
      <c r="K1107" s="842"/>
      <c r="L1107" s="842"/>
      <c r="M1107" s="842"/>
      <c r="N1107" s="842"/>
      <c r="O1107" s="842"/>
      <c r="P1107" s="842"/>
      <c r="Q1107" s="842"/>
      <c r="R1107" s="842"/>
      <c r="S1107" s="842"/>
      <c r="T1107" s="842"/>
      <c r="U1107" s="842"/>
      <c r="V1107" s="842"/>
      <c r="W1107" s="842"/>
      <c r="X1107" s="842"/>
      <c r="Y1107" s="842"/>
      <c r="Z1107" s="842"/>
      <c r="AA1107" s="2209"/>
      <c r="AB1107" s="2209"/>
      <c r="AC1107" s="346"/>
    </row>
    <row r="1108" spans="1:29" ht="18.75" customHeight="1" x14ac:dyDescent="0.2">
      <c r="A1108" s="341"/>
      <c r="B1108" s="345"/>
      <c r="C1108" s="855"/>
      <c r="D1108" s="974" t="s">
        <v>623</v>
      </c>
      <c r="E1108" s="369"/>
      <c r="F1108" s="842"/>
      <c r="G1108" s="358"/>
      <c r="H1108" s="842"/>
      <c r="I1108" s="842"/>
      <c r="J1108" s="842"/>
      <c r="K1108" s="842"/>
      <c r="L1108" s="842"/>
      <c r="M1108" s="842"/>
      <c r="N1108" s="842"/>
      <c r="O1108" s="842"/>
      <c r="P1108" s="842"/>
      <c r="Q1108" s="842"/>
      <c r="R1108" s="842"/>
      <c r="S1108" s="842"/>
      <c r="T1108" s="842"/>
      <c r="U1108" s="842"/>
      <c r="V1108" s="842"/>
      <c r="W1108" s="842"/>
      <c r="X1108" s="842"/>
      <c r="Y1108" s="842"/>
      <c r="Z1108" s="842"/>
      <c r="AA1108" s="2209"/>
      <c r="AB1108" s="2209"/>
      <c r="AC1108" s="346"/>
    </row>
    <row r="1109" spans="1:29" ht="18.75" customHeight="1" x14ac:dyDescent="0.2">
      <c r="A1109" s="341"/>
      <c r="B1109" s="345"/>
      <c r="C1109" s="453" t="str">
        <f>C113</f>
        <v>Naphtha Hydrotreater</v>
      </c>
      <c r="D1109" s="973" t="s">
        <v>622</v>
      </c>
      <c r="E1109" s="337">
        <f ca="1">D145</f>
        <v>38192.291566084677</v>
      </c>
      <c r="F1109" s="842"/>
      <c r="G1109" s="358"/>
      <c r="H1109" s="842"/>
      <c r="I1109" s="842"/>
      <c r="J1109" s="842"/>
      <c r="K1109" s="842"/>
      <c r="L1109" s="842"/>
      <c r="M1109" s="842"/>
      <c r="N1109" s="842"/>
      <c r="O1109" s="842"/>
      <c r="P1109" s="842"/>
      <c r="Q1109" s="842"/>
      <c r="R1109" s="842"/>
      <c r="S1109" s="842"/>
      <c r="T1109" s="842"/>
      <c r="U1109" s="842"/>
      <c r="V1109" s="842"/>
      <c r="W1109" s="842"/>
      <c r="X1109" s="842"/>
      <c r="Y1109" s="842"/>
      <c r="Z1109" s="842"/>
      <c r="AA1109" s="2209"/>
      <c r="AB1109" s="2209"/>
      <c r="AC1109" s="346"/>
    </row>
    <row r="1110" spans="1:29" ht="18.75" customHeight="1" x14ac:dyDescent="0.2">
      <c r="A1110" s="341"/>
      <c r="B1110" s="345"/>
      <c r="C1110" s="453" t="str">
        <f>C243</f>
        <v>Kero Hydrotreater</v>
      </c>
      <c r="D1110" s="973" t="s">
        <v>622</v>
      </c>
      <c r="E1110" s="337">
        <f ca="1">D274</f>
        <v>15218.271221719793</v>
      </c>
      <c r="F1110" s="842"/>
      <c r="G1110" s="358"/>
      <c r="H1110" s="842"/>
      <c r="I1110" s="842"/>
      <c r="J1110" s="842"/>
      <c r="K1110" s="842"/>
      <c r="L1110" s="842"/>
      <c r="M1110" s="842"/>
      <c r="N1110" s="842"/>
      <c r="O1110" s="842"/>
      <c r="P1110" s="842"/>
      <c r="Q1110" s="842"/>
      <c r="R1110" s="842"/>
      <c r="S1110" s="842"/>
      <c r="T1110" s="842"/>
      <c r="U1110" s="842"/>
      <c r="V1110" s="842"/>
      <c r="W1110" s="842"/>
      <c r="X1110" s="842"/>
      <c r="Y1110" s="842"/>
      <c r="Z1110" s="842"/>
      <c r="AA1110" s="2209"/>
      <c r="AB1110" s="2209"/>
      <c r="AC1110" s="346"/>
    </row>
    <row r="1111" spans="1:29" ht="18.75" customHeight="1" x14ac:dyDescent="0.2">
      <c r="A1111" s="341"/>
      <c r="B1111" s="345"/>
      <c r="C1111" s="453" t="str">
        <f>C307</f>
        <v>Diesel Hydrotreater and Blending</v>
      </c>
      <c r="D1111" s="973" t="s">
        <v>622</v>
      </c>
      <c r="E1111" s="337">
        <f ca="1">D342</f>
        <v>8123.1889161639019</v>
      </c>
      <c r="F1111" s="842"/>
      <c r="G1111" s="358"/>
      <c r="H1111" s="842"/>
      <c r="I1111" s="842"/>
      <c r="J1111" s="842"/>
      <c r="K1111" s="842"/>
      <c r="L1111" s="842"/>
      <c r="M1111" s="842"/>
      <c r="N1111" s="842"/>
      <c r="O1111" s="842"/>
      <c r="P1111" s="842"/>
      <c r="Q1111" s="842"/>
      <c r="R1111" s="842"/>
      <c r="S1111" s="842"/>
      <c r="T1111" s="842"/>
      <c r="U1111" s="842"/>
      <c r="V1111" s="842"/>
      <c r="W1111" s="842"/>
      <c r="X1111" s="842"/>
      <c r="Y1111" s="842"/>
      <c r="Z1111" s="842"/>
      <c r="AA1111" s="2209"/>
      <c r="AB1111" s="2209"/>
      <c r="AC1111" s="346"/>
    </row>
    <row r="1112" spans="1:29" ht="18.75" customHeight="1" x14ac:dyDescent="0.2">
      <c r="A1112" s="341"/>
      <c r="B1112" s="345"/>
      <c r="C1112" s="453" t="str">
        <f>C355</f>
        <v>Gas Oil Hydrocracker</v>
      </c>
      <c r="D1112" s="973" t="s">
        <v>622</v>
      </c>
      <c r="E1112" s="337">
        <f ca="1">D372</f>
        <v>4.0741184345877698E-8</v>
      </c>
      <c r="F1112" s="842"/>
      <c r="G1112" s="358"/>
      <c r="H1112" s="842"/>
      <c r="I1112" s="842"/>
      <c r="J1112" s="842"/>
      <c r="K1112" s="842"/>
      <c r="L1112" s="842"/>
      <c r="M1112" s="842"/>
      <c r="N1112" s="842"/>
      <c r="O1112" s="842"/>
      <c r="P1112" s="842"/>
      <c r="Q1112" s="842"/>
      <c r="R1112" s="842"/>
      <c r="S1112" s="842"/>
      <c r="T1112" s="842"/>
      <c r="U1112" s="842"/>
      <c r="V1112" s="842"/>
      <c r="W1112" s="842"/>
      <c r="X1112" s="842"/>
      <c r="Y1112" s="842"/>
      <c r="Z1112" s="842"/>
      <c r="AA1112" s="2209"/>
      <c r="AB1112" s="2209"/>
      <c r="AC1112" s="346"/>
    </row>
    <row r="1113" spans="1:29" ht="18.75" customHeight="1" x14ac:dyDescent="0.2">
      <c r="A1113" s="341"/>
      <c r="B1113" s="345"/>
      <c r="C1113" s="453" t="str">
        <f>C975</f>
        <v>HC Naphtha Hydrotreater</v>
      </c>
      <c r="D1113" s="973" t="s">
        <v>622</v>
      </c>
      <c r="E1113" s="337">
        <f ca="1">D1006</f>
        <v>0</v>
      </c>
      <c r="F1113" s="842"/>
      <c r="G1113" s="358"/>
      <c r="H1113" s="842"/>
      <c r="I1113" s="842"/>
      <c r="J1113" s="842"/>
      <c r="K1113" s="842"/>
      <c r="L1113" s="842"/>
      <c r="M1113" s="842"/>
      <c r="N1113" s="842"/>
      <c r="O1113" s="842"/>
      <c r="P1113" s="842"/>
      <c r="Q1113" s="842"/>
      <c r="R1113" s="842"/>
      <c r="S1113" s="842"/>
      <c r="T1113" s="842"/>
      <c r="U1113" s="842"/>
      <c r="V1113" s="842"/>
      <c r="W1113" s="842"/>
      <c r="X1113" s="842"/>
      <c r="Y1113" s="842"/>
      <c r="Z1113" s="842"/>
      <c r="AA1113" s="2209"/>
      <c r="AB1113" s="2209"/>
      <c r="AC1113" s="346"/>
    </row>
    <row r="1114" spans="1:29" ht="18.75" customHeight="1" x14ac:dyDescent="0.2">
      <c r="A1114" s="341"/>
      <c r="B1114" s="345"/>
      <c r="C1114" s="453" t="str">
        <f>C616</f>
        <v>Fluid Catalytic Cracking Feed Hydrotreater</v>
      </c>
      <c r="D1114" s="973" t="s">
        <v>622</v>
      </c>
      <c r="E1114" s="337">
        <f ca="1">D632</f>
        <v>0</v>
      </c>
      <c r="F1114" s="842"/>
      <c r="G1114" s="358"/>
      <c r="H1114" s="842"/>
      <c r="I1114" s="842"/>
      <c r="J1114" s="842"/>
      <c r="K1114" s="842"/>
      <c r="L1114" s="842"/>
      <c r="M1114" s="842"/>
      <c r="N1114" s="842"/>
      <c r="O1114" s="842"/>
      <c r="P1114" s="842"/>
      <c r="Q1114" s="842"/>
      <c r="R1114" s="842"/>
      <c r="S1114" s="842"/>
      <c r="T1114" s="842"/>
      <c r="U1114" s="842"/>
      <c r="V1114" s="842"/>
      <c r="W1114" s="842"/>
      <c r="X1114" s="842"/>
      <c r="Y1114" s="842"/>
      <c r="Z1114" s="842"/>
      <c r="AA1114" s="2209"/>
      <c r="AB1114" s="2209"/>
      <c r="AC1114" s="346"/>
    </row>
    <row r="1115" spans="1:29" ht="18.75" customHeight="1" x14ac:dyDescent="0.2">
      <c r="A1115" s="341"/>
      <c r="B1115" s="345"/>
      <c r="C1115" s="453" t="s">
        <v>1474</v>
      </c>
      <c r="D1115" s="973" t="s">
        <v>622</v>
      </c>
      <c r="E1115" s="337">
        <f ca="1">D838</f>
        <v>3.7633800156215387E-16</v>
      </c>
      <c r="F1115" s="842"/>
      <c r="G1115" s="358"/>
      <c r="H1115" s="842"/>
      <c r="I1115" s="842"/>
      <c r="J1115" s="842"/>
      <c r="K1115" s="842"/>
      <c r="L1115" s="842"/>
      <c r="M1115" s="842"/>
      <c r="N1115" s="842"/>
      <c r="O1115" s="842"/>
      <c r="P1115" s="842"/>
      <c r="Q1115" s="842"/>
      <c r="R1115" s="842"/>
      <c r="S1115" s="842"/>
      <c r="T1115" s="842"/>
      <c r="U1115" s="842"/>
      <c r="V1115" s="842"/>
      <c r="W1115" s="842"/>
      <c r="X1115" s="842"/>
      <c r="Y1115" s="842"/>
      <c r="Z1115" s="842"/>
      <c r="AA1115" s="2209"/>
      <c r="AB1115" s="2209"/>
      <c r="AC1115" s="346"/>
    </row>
    <row r="1116" spans="1:29" ht="18.75" customHeight="1" x14ac:dyDescent="0.2">
      <c r="A1116" s="341"/>
      <c r="B1116" s="345"/>
      <c r="C1116" s="453" t="s">
        <v>172</v>
      </c>
      <c r="D1116" s="973" t="s">
        <v>622</v>
      </c>
      <c r="E1116" s="337">
        <f ca="1">D174</f>
        <v>11845.956751652135</v>
      </c>
      <c r="F1116" s="842"/>
      <c r="G1116" s="842"/>
      <c r="H1116" s="842"/>
      <c r="I1116" s="842"/>
      <c r="J1116" s="842"/>
      <c r="K1116" s="842"/>
      <c r="L1116" s="842"/>
      <c r="M1116" s="842"/>
      <c r="N1116" s="842"/>
      <c r="O1116" s="842"/>
      <c r="P1116" s="842"/>
      <c r="Q1116" s="842"/>
      <c r="R1116" s="842"/>
      <c r="S1116" s="842"/>
      <c r="T1116" s="842"/>
      <c r="U1116" s="842"/>
      <c r="V1116" s="842"/>
      <c r="W1116" s="842"/>
      <c r="X1116" s="842"/>
      <c r="Y1116" s="842"/>
      <c r="Z1116" s="842"/>
      <c r="AA1116" s="2209"/>
      <c r="AB1116" s="2209"/>
      <c r="AC1116" s="346"/>
    </row>
    <row r="1117" spans="1:29" ht="18.75" customHeight="1" x14ac:dyDescent="0.2">
      <c r="A1117" s="341"/>
      <c r="B1117" s="345"/>
      <c r="C1117" s="453"/>
      <c r="D1117" s="973"/>
      <c r="E1117" s="337"/>
      <c r="F1117" s="842"/>
      <c r="G1117" s="358"/>
      <c r="H1117" s="842"/>
      <c r="I1117" s="842"/>
      <c r="J1117" s="842"/>
      <c r="K1117" s="842"/>
      <c r="L1117" s="842"/>
      <c r="M1117" s="842"/>
      <c r="N1117" s="842"/>
      <c r="O1117" s="842"/>
      <c r="P1117" s="842"/>
      <c r="Q1117" s="842"/>
      <c r="R1117" s="842"/>
      <c r="S1117" s="842"/>
      <c r="T1117" s="842"/>
      <c r="U1117" s="842"/>
      <c r="V1117" s="842"/>
      <c r="W1117" s="842"/>
      <c r="X1117" s="842"/>
      <c r="Y1117" s="842"/>
      <c r="Z1117" s="842"/>
      <c r="AA1117" s="2209"/>
      <c r="AB1117" s="2209"/>
      <c r="AC1117" s="346"/>
    </row>
    <row r="1118" spans="1:29" ht="18.75" customHeight="1" x14ac:dyDescent="0.2">
      <c r="A1118" s="341"/>
      <c r="B1118" s="345"/>
      <c r="C1118" s="453" t="s">
        <v>393</v>
      </c>
      <c r="D1118" s="973" t="s">
        <v>622</v>
      </c>
      <c r="E1118" s="337">
        <f ca="1">SUM(E1109:E1116)</f>
        <v>73379.708455661254</v>
      </c>
      <c r="F1118" s="842"/>
      <c r="G1118" s="358"/>
      <c r="H1118" s="842"/>
      <c r="I1118" s="842"/>
      <c r="J1118" s="842"/>
      <c r="K1118" s="842"/>
      <c r="L1118" s="842"/>
      <c r="M1118" s="842"/>
      <c r="N1118" s="842"/>
      <c r="O1118" s="842"/>
      <c r="P1118" s="842"/>
      <c r="Q1118" s="842"/>
      <c r="R1118" s="842"/>
      <c r="S1118" s="842"/>
      <c r="T1118" s="842"/>
      <c r="U1118" s="842"/>
      <c r="V1118" s="842"/>
      <c r="W1118" s="842"/>
      <c r="X1118" s="842"/>
      <c r="Y1118" s="842"/>
      <c r="Z1118" s="842"/>
      <c r="AA1118" s="2209"/>
      <c r="AB1118" s="2209"/>
      <c r="AC1118" s="346"/>
    </row>
    <row r="1119" spans="1:29" ht="18.75" customHeight="1" x14ac:dyDescent="0.2">
      <c r="A1119" s="341"/>
      <c r="B1119" s="345"/>
      <c r="C1119" s="453" t="s">
        <v>257</v>
      </c>
      <c r="D1119" s="973" t="s">
        <v>622</v>
      </c>
      <c r="E1119" s="980">
        <f>Constants!H320</f>
        <v>0.05</v>
      </c>
      <c r="F1119" s="842"/>
      <c r="G1119" s="358"/>
      <c r="H1119" s="842"/>
      <c r="I1119" s="842"/>
      <c r="J1119" s="842"/>
      <c r="K1119" s="842"/>
      <c r="L1119" s="842"/>
      <c r="M1119" s="842"/>
      <c r="N1119" s="842"/>
      <c r="O1119" s="842"/>
      <c r="P1119" s="842"/>
      <c r="Q1119" s="842"/>
      <c r="R1119" s="842"/>
      <c r="S1119" s="842"/>
      <c r="T1119" s="842"/>
      <c r="U1119" s="842"/>
      <c r="V1119" s="842"/>
      <c r="W1119" s="842"/>
      <c r="X1119" s="842"/>
      <c r="Y1119" s="842"/>
      <c r="Z1119" s="842"/>
      <c r="AA1119" s="2209"/>
      <c r="AB1119" s="2209"/>
      <c r="AC1119" s="346"/>
    </row>
    <row r="1120" spans="1:29" ht="18.75" customHeight="1" x14ac:dyDescent="0.2">
      <c r="A1120" s="341"/>
      <c r="B1120" s="345"/>
      <c r="C1120" s="453" t="s">
        <v>598</v>
      </c>
      <c r="D1120" s="973" t="s">
        <v>622</v>
      </c>
      <c r="E1120" s="337">
        <f ca="1">E1118*(1+E1119)</f>
        <v>77048.693878444319</v>
      </c>
      <c r="F1120" s="842"/>
      <c r="G1120" s="358"/>
      <c r="H1120" s="842"/>
      <c r="I1120" s="842"/>
      <c r="J1120" s="842"/>
      <c r="K1120" s="842"/>
      <c r="L1120" s="842"/>
      <c r="M1120" s="842"/>
      <c r="N1120" s="842"/>
      <c r="O1120" s="842"/>
      <c r="P1120" s="842"/>
      <c r="Q1120" s="842"/>
      <c r="R1120" s="842"/>
      <c r="S1120" s="842"/>
      <c r="T1120" s="842"/>
      <c r="U1120" s="842"/>
      <c r="V1120" s="842"/>
      <c r="W1120" s="842"/>
      <c r="X1120" s="842"/>
      <c r="Y1120" s="842"/>
      <c r="Z1120" s="842"/>
      <c r="AA1120" s="2209"/>
      <c r="AB1120" s="2209"/>
      <c r="AC1120" s="346"/>
    </row>
    <row r="1121" spans="1:29" ht="18.75" customHeight="1" x14ac:dyDescent="0.2">
      <c r="A1121" s="341"/>
      <c r="B1121" s="345"/>
      <c r="C1121" s="453" t="s">
        <v>390</v>
      </c>
      <c r="D1121" s="973" t="s">
        <v>622</v>
      </c>
      <c r="E1121" s="337">
        <f ca="1">H201</f>
        <v>49946.755867475033</v>
      </c>
      <c r="F1121" s="842"/>
      <c r="G1121" s="358"/>
      <c r="H1121" s="842"/>
      <c r="I1121" s="842"/>
      <c r="J1121" s="842"/>
      <c r="K1121" s="842"/>
      <c r="L1121" s="842"/>
      <c r="M1121" s="842"/>
      <c r="N1121" s="842"/>
      <c r="O1121" s="842"/>
      <c r="P1121" s="842"/>
      <c r="Q1121" s="842"/>
      <c r="R1121" s="842"/>
      <c r="S1121" s="842"/>
      <c r="T1121" s="842"/>
      <c r="U1121" s="842"/>
      <c r="V1121" s="842"/>
      <c r="W1121" s="842"/>
      <c r="X1121" s="842"/>
      <c r="Y1121" s="842"/>
      <c r="Z1121" s="842"/>
      <c r="AA1121" s="2209"/>
      <c r="AB1121" s="2209"/>
      <c r="AC1121" s="346"/>
    </row>
    <row r="1122" spans="1:29" ht="18.75" customHeight="1" x14ac:dyDescent="0.2">
      <c r="A1122" s="341"/>
      <c r="B1122" s="345"/>
      <c r="C1122" s="453" t="s">
        <v>388</v>
      </c>
      <c r="D1122" s="973" t="s">
        <v>622</v>
      </c>
      <c r="E1122" s="337">
        <f ca="1">E1120-E1121</f>
        <v>27101.938010969287</v>
      </c>
      <c r="F1122" s="842"/>
      <c r="G1122" s="358"/>
      <c r="H1122" s="842"/>
      <c r="I1122" s="842"/>
      <c r="J1122" s="842"/>
      <c r="K1122" s="842"/>
      <c r="L1122" s="842"/>
      <c r="M1122" s="842"/>
      <c r="N1122" s="842"/>
      <c r="O1122" s="842"/>
      <c r="P1122" s="842"/>
      <c r="Q1122" s="842"/>
      <c r="R1122" s="842"/>
      <c r="S1122" s="842"/>
      <c r="T1122" s="842"/>
      <c r="U1122" s="842"/>
      <c r="V1122" s="842"/>
      <c r="W1122" s="842"/>
      <c r="X1122" s="842"/>
      <c r="Y1122" s="842"/>
      <c r="Z1122" s="842"/>
      <c r="AA1122" s="2209"/>
      <c r="AB1122" s="2209"/>
      <c r="AC1122" s="346"/>
    </row>
    <row r="1123" spans="1:29" ht="18.75" customHeight="1" x14ac:dyDescent="0.2">
      <c r="A1123" s="341"/>
      <c r="B1123" s="345"/>
      <c r="C1123" s="453" t="s">
        <v>388</v>
      </c>
      <c r="D1123" s="973" t="s">
        <v>389</v>
      </c>
      <c r="E1123" s="337">
        <f ca="1">E1122*'Energy &amp; Unit Conversions'!E93/'Energy &amp; Unit Conversions'!E26</f>
        <v>11254483.219969984</v>
      </c>
      <c r="F1123" s="842"/>
      <c r="G1123" s="358"/>
      <c r="H1123" s="842"/>
      <c r="I1123" s="842"/>
      <c r="J1123" s="842"/>
      <c r="K1123" s="842"/>
      <c r="L1123" s="842"/>
      <c r="M1123" s="842"/>
      <c r="N1123" s="842"/>
      <c r="O1123" s="842"/>
      <c r="P1123" s="842"/>
      <c r="Q1123" s="842"/>
      <c r="R1123" s="842"/>
      <c r="S1123" s="842"/>
      <c r="T1123" s="842"/>
      <c r="U1123" s="842"/>
      <c r="V1123" s="842"/>
      <c r="W1123" s="842"/>
      <c r="X1123" s="842"/>
      <c r="Y1123" s="842"/>
      <c r="Z1123" s="842"/>
      <c r="AA1123" s="2209"/>
      <c r="AB1123" s="2209"/>
      <c r="AC1123" s="346"/>
    </row>
    <row r="1124" spans="1:29" ht="18.75" customHeight="1" x14ac:dyDescent="0.2">
      <c r="A1124" s="341"/>
      <c r="B1124" s="345"/>
      <c r="C1124" s="443" t="s">
        <v>458</v>
      </c>
      <c r="D1124" s="334" t="s">
        <v>511</v>
      </c>
      <c r="E1124" s="338">
        <f ca="1">E1123</f>
        <v>11254483.219969984</v>
      </c>
      <c r="F1124" s="842"/>
      <c r="G1124" s="358"/>
      <c r="H1124" s="842"/>
      <c r="I1124" s="842"/>
      <c r="J1124" s="842"/>
      <c r="K1124" s="842"/>
      <c r="L1124" s="842"/>
      <c r="M1124" s="842"/>
      <c r="N1124" s="842"/>
      <c r="O1124" s="842"/>
      <c r="P1124" s="842"/>
      <c r="Q1124" s="842"/>
      <c r="R1124" s="842"/>
      <c r="S1124" s="842"/>
      <c r="T1124" s="842"/>
      <c r="U1124" s="842"/>
      <c r="V1124" s="842"/>
      <c r="W1124" s="842"/>
      <c r="X1124" s="842"/>
      <c r="Y1124" s="842"/>
      <c r="Z1124" s="842"/>
      <c r="AA1124" s="2209"/>
      <c r="AB1124" s="2209"/>
      <c r="AC1124" s="346"/>
    </row>
    <row r="1125" spans="1:29" ht="18.75" customHeight="1" x14ac:dyDescent="0.2">
      <c r="A1125" s="341"/>
      <c r="B1125" s="345"/>
      <c r="C1125" s="444"/>
      <c r="D1125" s="842"/>
      <c r="E1125" s="842"/>
      <c r="F1125" s="842"/>
      <c r="G1125" s="358"/>
      <c r="H1125" s="842"/>
      <c r="I1125" s="842"/>
      <c r="J1125" s="842"/>
      <c r="K1125" s="842"/>
      <c r="L1125" s="842"/>
      <c r="M1125" s="842"/>
      <c r="N1125" s="842"/>
      <c r="O1125" s="842"/>
      <c r="P1125" s="842"/>
      <c r="Q1125" s="842"/>
      <c r="R1125" s="842"/>
      <c r="S1125" s="842"/>
      <c r="T1125" s="842"/>
      <c r="U1125" s="842"/>
      <c r="V1125" s="842"/>
      <c r="W1125" s="842"/>
      <c r="X1125" s="842"/>
      <c r="Y1125" s="842"/>
      <c r="Z1125" s="842"/>
      <c r="AA1125" s="2209"/>
      <c r="AB1125" s="2209"/>
      <c r="AC1125" s="346"/>
    </row>
    <row r="1126" spans="1:29" ht="18.75" customHeight="1" x14ac:dyDescent="0.2">
      <c r="A1126" s="341"/>
      <c r="B1126" s="345"/>
      <c r="C1126" s="843" t="s">
        <v>308</v>
      </c>
      <c r="D1126" s="842"/>
      <c r="E1126" s="842"/>
      <c r="F1126" s="842"/>
      <c r="G1126" s="842"/>
      <c r="H1126" s="842"/>
      <c r="I1126" s="842"/>
      <c r="J1126" s="842"/>
      <c r="K1126" s="842"/>
      <c r="L1126" s="842"/>
      <c r="M1126" s="842"/>
      <c r="N1126" s="842"/>
      <c r="O1126" s="842"/>
      <c r="P1126" s="842"/>
      <c r="Q1126" s="842"/>
      <c r="R1126" s="842"/>
      <c r="S1126" s="842"/>
      <c r="T1126" s="842"/>
      <c r="U1126" s="842"/>
      <c r="V1126" s="842"/>
      <c r="W1126" s="842"/>
      <c r="X1126" s="842"/>
      <c r="Y1126" s="842"/>
      <c r="Z1126" s="842"/>
      <c r="AA1126" s="2209"/>
      <c r="AB1126" s="2209"/>
      <c r="AC1126" s="346"/>
    </row>
    <row r="1127" spans="1:29" ht="18.75" customHeight="1" x14ac:dyDescent="0.2">
      <c r="A1127" s="341"/>
      <c r="B1127" s="345"/>
      <c r="C1127" s="855"/>
      <c r="D1127" s="351" t="s">
        <v>624</v>
      </c>
      <c r="E1127" s="352" t="s">
        <v>623</v>
      </c>
      <c r="F1127" s="842"/>
      <c r="G1127" s="842"/>
      <c r="H1127" s="842"/>
      <c r="I1127" s="842"/>
      <c r="J1127" s="842"/>
      <c r="K1127" s="842"/>
      <c r="L1127" s="842"/>
      <c r="M1127" s="842"/>
      <c r="N1127" s="842"/>
      <c r="O1127" s="842"/>
      <c r="P1127" s="842"/>
      <c r="Q1127" s="842"/>
      <c r="R1127" s="842"/>
      <c r="S1127" s="842"/>
      <c r="T1127" s="842"/>
      <c r="U1127" s="842"/>
      <c r="V1127" s="842"/>
      <c r="W1127" s="842"/>
      <c r="X1127" s="842"/>
      <c r="Y1127" s="842"/>
      <c r="Z1127" s="842"/>
      <c r="AA1127" s="2209"/>
      <c r="AB1127" s="2209"/>
      <c r="AC1127" s="346"/>
    </row>
    <row r="1128" spans="1:29" ht="18.75" customHeight="1" x14ac:dyDescent="0.2">
      <c r="A1128" s="341"/>
      <c r="B1128" s="345"/>
      <c r="C1128" s="453" t="s">
        <v>1977</v>
      </c>
      <c r="D1128" s="410">
        <f>Constants!H314</f>
        <v>0.22828692834321099</v>
      </c>
      <c r="E1128" s="337" t="s">
        <v>459</v>
      </c>
      <c r="F1128" s="842"/>
      <c r="G1128" s="842"/>
      <c r="H1128" s="842"/>
      <c r="I1128" s="842"/>
      <c r="J1128" s="842"/>
      <c r="K1128" s="842"/>
      <c r="L1128" s="842"/>
      <c r="M1128" s="842"/>
      <c r="N1128" s="842"/>
      <c r="O1128" s="842"/>
      <c r="P1128" s="842"/>
      <c r="Q1128" s="842"/>
      <c r="R1128" s="842"/>
      <c r="S1128" s="842"/>
      <c r="T1128" s="842"/>
      <c r="U1128" s="842"/>
      <c r="V1128" s="842"/>
      <c r="W1128" s="842"/>
      <c r="X1128" s="842"/>
      <c r="Y1128" s="842"/>
      <c r="Z1128" s="842"/>
      <c r="AA1128" s="2209"/>
      <c r="AB1128" s="2209"/>
      <c r="AC1128" s="346"/>
    </row>
    <row r="1129" spans="1:29" ht="18.75" customHeight="1" x14ac:dyDescent="0.2">
      <c r="A1129" s="341"/>
      <c r="B1129" s="345"/>
      <c r="C1129" s="453" t="s">
        <v>1978</v>
      </c>
      <c r="D1129" s="842">
        <f ca="1">IF(E1124&lt;0,0,E1124*D1128)</f>
        <v>2569251.4043771583</v>
      </c>
      <c r="E1129" s="337" t="s">
        <v>511</v>
      </c>
      <c r="F1129" s="842"/>
      <c r="G1129" s="842"/>
      <c r="H1129" s="842"/>
      <c r="I1129" s="842"/>
      <c r="J1129" s="842"/>
      <c r="K1129" s="842"/>
      <c r="L1129" s="842"/>
      <c r="M1129" s="842"/>
      <c r="N1129" s="842"/>
      <c r="O1129" s="842"/>
      <c r="P1129" s="842"/>
      <c r="Q1129" s="842"/>
      <c r="R1129" s="842"/>
      <c r="S1129" s="842"/>
      <c r="T1129" s="842"/>
      <c r="U1129" s="842"/>
      <c r="V1129" s="842"/>
      <c r="W1129" s="842"/>
      <c r="X1129" s="842"/>
      <c r="Y1129" s="842"/>
      <c r="Z1129" s="842"/>
      <c r="AA1129" s="2209"/>
      <c r="AB1129" s="2209"/>
      <c r="AC1129" s="346"/>
    </row>
    <row r="1130" spans="1:29" ht="18.75" customHeight="1" x14ac:dyDescent="0.2">
      <c r="A1130" s="341"/>
      <c r="B1130" s="345"/>
      <c r="C1130" s="453" t="s">
        <v>1978</v>
      </c>
      <c r="D1130" s="842">
        <f ca="1">D1129/1000</f>
        <v>2569.2514043771585</v>
      </c>
      <c r="E1130" s="337" t="s">
        <v>585</v>
      </c>
      <c r="F1130" s="842"/>
      <c r="G1130" s="842"/>
      <c r="H1130" s="842"/>
      <c r="I1130" s="842"/>
      <c r="J1130" s="842"/>
      <c r="K1130" s="842"/>
      <c r="L1130" s="842"/>
      <c r="M1130" s="842"/>
      <c r="N1130" s="842"/>
      <c r="O1130" s="842"/>
      <c r="P1130" s="842"/>
      <c r="Q1130" s="842"/>
      <c r="R1130" s="842"/>
      <c r="S1130" s="842"/>
      <c r="T1130" s="842"/>
      <c r="U1130" s="842"/>
      <c r="V1130" s="842"/>
      <c r="W1130" s="842"/>
      <c r="X1130" s="842"/>
      <c r="Y1130" s="842"/>
      <c r="Z1130" s="842"/>
      <c r="AA1130" s="2209"/>
      <c r="AB1130" s="2209"/>
      <c r="AC1130" s="346"/>
    </row>
    <row r="1131" spans="1:29" ht="18.75" customHeight="1" x14ac:dyDescent="0.2">
      <c r="A1131" s="341"/>
      <c r="B1131" s="345"/>
      <c r="C1131" s="452" t="s">
        <v>1978</v>
      </c>
      <c r="D1131" s="334">
        <f ca="1">D1129/1000000</f>
        <v>2.5692514043771584</v>
      </c>
      <c r="E1131" s="338" t="s">
        <v>484</v>
      </c>
      <c r="F1131" s="842"/>
      <c r="G1131" s="842"/>
      <c r="H1131" s="842"/>
      <c r="I1131" s="842"/>
      <c r="J1131" s="842"/>
      <c r="K1131" s="842"/>
      <c r="L1131" s="842"/>
      <c r="M1131" s="842"/>
      <c r="N1131" s="842"/>
      <c r="O1131" s="842"/>
      <c r="P1131" s="842"/>
      <c r="Q1131" s="842"/>
      <c r="R1131" s="842"/>
      <c r="S1131" s="842"/>
      <c r="T1131" s="842"/>
      <c r="U1131" s="842"/>
      <c r="V1131" s="842"/>
      <c r="W1131" s="842"/>
      <c r="X1131" s="842"/>
      <c r="Y1131" s="842"/>
      <c r="Z1131" s="842"/>
      <c r="AA1131" s="2209"/>
      <c r="AB1131" s="2209"/>
      <c r="AC1131" s="346"/>
    </row>
    <row r="1132" spans="1:29" ht="18.75" customHeight="1" x14ac:dyDescent="0.2">
      <c r="A1132" s="341"/>
      <c r="B1132" s="345"/>
      <c r="C1132" s="454" t="s">
        <v>1979</v>
      </c>
      <c r="D1132" s="854">
        <f>Constants!H315</f>
        <v>0.25769398568870638</v>
      </c>
      <c r="E1132" s="369" t="s">
        <v>459</v>
      </c>
      <c r="F1132" s="842"/>
      <c r="G1132" s="842"/>
      <c r="H1132" s="842"/>
      <c r="I1132" s="842"/>
      <c r="J1132" s="842"/>
      <c r="K1132" s="842"/>
      <c r="L1132" s="842"/>
      <c r="M1132" s="842"/>
      <c r="N1132" s="842"/>
      <c r="O1132" s="842"/>
      <c r="P1132" s="842"/>
      <c r="Q1132" s="842"/>
      <c r="R1132" s="842"/>
      <c r="S1132" s="842"/>
      <c r="T1132" s="842"/>
      <c r="U1132" s="842"/>
      <c r="V1132" s="842"/>
      <c r="W1132" s="842"/>
      <c r="X1132" s="842"/>
      <c r="Y1132" s="842"/>
      <c r="Z1132" s="842"/>
      <c r="AA1132" s="2209"/>
      <c r="AB1132" s="2209"/>
      <c r="AC1132" s="346"/>
    </row>
    <row r="1133" spans="1:29" ht="18.75" customHeight="1" x14ac:dyDescent="0.2">
      <c r="A1133" s="341"/>
      <c r="B1133" s="345"/>
      <c r="C1133" s="453" t="s">
        <v>1980</v>
      </c>
      <c r="D1133" s="842">
        <f ca="1">IF(E1124&lt;0,0,E1124*D1132)</f>
        <v>2900212.6378207314</v>
      </c>
      <c r="E1133" s="337" t="s">
        <v>511</v>
      </c>
      <c r="F1133" s="842"/>
      <c r="G1133" s="842"/>
      <c r="H1133" s="842"/>
      <c r="I1133" s="842"/>
      <c r="J1133" s="842"/>
      <c r="K1133" s="842"/>
      <c r="L1133" s="842"/>
      <c r="M1133" s="842"/>
      <c r="N1133" s="842"/>
      <c r="O1133" s="842"/>
      <c r="P1133" s="842"/>
      <c r="Q1133" s="842"/>
      <c r="R1133" s="842"/>
      <c r="S1133" s="842"/>
      <c r="T1133" s="842"/>
      <c r="U1133" s="842"/>
      <c r="V1133" s="842"/>
      <c r="W1133" s="842"/>
      <c r="X1133" s="842"/>
      <c r="Y1133" s="842"/>
      <c r="Z1133" s="842"/>
      <c r="AA1133" s="2209"/>
      <c r="AB1133" s="2209"/>
      <c r="AC1133" s="346"/>
    </row>
    <row r="1134" spans="1:29" ht="18.75" customHeight="1" x14ac:dyDescent="0.2">
      <c r="A1134" s="341"/>
      <c r="B1134" s="345"/>
      <c r="C1134" s="453" t="s">
        <v>1980</v>
      </c>
      <c r="D1134" s="842">
        <f ca="1">D1133/1000</f>
        <v>2900.2126378207313</v>
      </c>
      <c r="E1134" s="337" t="s">
        <v>585</v>
      </c>
      <c r="F1134" s="842"/>
      <c r="G1134" s="842"/>
      <c r="H1134" s="842"/>
      <c r="I1134" s="842"/>
      <c r="J1134" s="842"/>
      <c r="K1134" s="842"/>
      <c r="L1134" s="842"/>
      <c r="M1134" s="842"/>
      <c r="N1134" s="842"/>
      <c r="O1134" s="842"/>
      <c r="P1134" s="842"/>
      <c r="Q1134" s="842"/>
      <c r="R1134" s="842"/>
      <c r="S1134" s="842"/>
      <c r="T1134" s="842"/>
      <c r="U1134" s="842"/>
      <c r="V1134" s="842"/>
      <c r="W1134" s="842"/>
      <c r="X1134" s="842"/>
      <c r="Y1134" s="842"/>
      <c r="Z1134" s="842"/>
      <c r="AA1134" s="2209"/>
      <c r="AB1134" s="2209"/>
      <c r="AC1134" s="346"/>
    </row>
    <row r="1135" spans="1:29" ht="18.75" customHeight="1" x14ac:dyDescent="0.2">
      <c r="A1135" s="341"/>
      <c r="B1135" s="345"/>
      <c r="C1135" s="453" t="s">
        <v>1980</v>
      </c>
      <c r="D1135" s="842">
        <f ca="1">D1133/1000000</f>
        <v>2.9002126378207316</v>
      </c>
      <c r="E1135" s="337" t="s">
        <v>484</v>
      </c>
      <c r="F1135" s="842"/>
      <c r="G1135" s="842"/>
      <c r="H1135" s="842"/>
      <c r="I1135" s="842"/>
      <c r="J1135" s="842"/>
      <c r="K1135" s="842"/>
      <c r="L1135" s="842"/>
      <c r="M1135" s="842"/>
      <c r="N1135" s="842"/>
      <c r="O1135" s="842"/>
      <c r="P1135" s="842"/>
      <c r="Q1135" s="842"/>
      <c r="R1135" s="842"/>
      <c r="S1135" s="842"/>
      <c r="T1135" s="842"/>
      <c r="U1135" s="842"/>
      <c r="V1135" s="842"/>
      <c r="W1135" s="842"/>
      <c r="X1135" s="842"/>
      <c r="Y1135" s="842"/>
      <c r="Z1135" s="842"/>
      <c r="AA1135" s="2209"/>
      <c r="AB1135" s="2209"/>
      <c r="AC1135" s="346"/>
    </row>
    <row r="1136" spans="1:29" ht="18.75" customHeight="1" x14ac:dyDescent="0.2">
      <c r="A1136" s="341"/>
      <c r="B1136" s="345"/>
      <c r="C1136" s="453" t="s">
        <v>1981</v>
      </c>
      <c r="D1136" s="842">
        <f ca="1">D1129+D1133</f>
        <v>5469464.0421978896</v>
      </c>
      <c r="E1136" s="337" t="s">
        <v>511</v>
      </c>
      <c r="F1136" s="842"/>
      <c r="G1136" s="842"/>
      <c r="H1136" s="842"/>
      <c r="I1136" s="842"/>
      <c r="J1136" s="842"/>
      <c r="K1136" s="842"/>
      <c r="L1136" s="842"/>
      <c r="M1136" s="842"/>
      <c r="N1136" s="842"/>
      <c r="O1136" s="842"/>
      <c r="P1136" s="842"/>
      <c r="Q1136" s="842"/>
      <c r="R1136" s="842"/>
      <c r="S1136" s="842"/>
      <c r="T1136" s="842"/>
      <c r="U1136" s="842"/>
      <c r="V1136" s="842"/>
      <c r="W1136" s="842"/>
      <c r="X1136" s="842"/>
      <c r="Y1136" s="842"/>
      <c r="Z1136" s="842"/>
      <c r="AA1136" s="2209"/>
      <c r="AB1136" s="2209"/>
      <c r="AC1136" s="346"/>
    </row>
    <row r="1137" spans="1:29" ht="18.75" customHeight="1" x14ac:dyDescent="0.2">
      <c r="A1137" s="341"/>
      <c r="B1137" s="345"/>
      <c r="C1137" s="453" t="s">
        <v>1981</v>
      </c>
      <c r="D1137" s="842">
        <f ca="1">D1130+D1134</f>
        <v>5469.4640421978893</v>
      </c>
      <c r="E1137" s="337" t="s">
        <v>585</v>
      </c>
      <c r="F1137" s="842"/>
      <c r="G1137" s="842"/>
      <c r="H1137" s="842"/>
      <c r="I1137" s="842"/>
      <c r="J1137" s="842"/>
      <c r="K1137" s="842"/>
      <c r="L1137" s="842"/>
      <c r="M1137" s="842"/>
      <c r="N1137" s="842"/>
      <c r="O1137" s="842"/>
      <c r="P1137" s="842"/>
      <c r="Q1137" s="842"/>
      <c r="R1137" s="842"/>
      <c r="S1137" s="842"/>
      <c r="T1137" s="842"/>
      <c r="U1137" s="842"/>
      <c r="V1137" s="842"/>
      <c r="W1137" s="842"/>
      <c r="X1137" s="842"/>
      <c r="Y1137" s="842"/>
      <c r="Z1137" s="842"/>
      <c r="AA1137" s="2209"/>
      <c r="AB1137" s="2209"/>
      <c r="AC1137" s="346"/>
    </row>
    <row r="1138" spans="1:29" ht="18.75" customHeight="1" x14ac:dyDescent="0.2">
      <c r="A1138" s="341"/>
      <c r="B1138" s="345"/>
      <c r="C1138" s="452" t="s">
        <v>1981</v>
      </c>
      <c r="D1138" s="334">
        <f ca="1">D1131+D1135</f>
        <v>5.46946404219789</v>
      </c>
      <c r="E1138" s="338" t="s">
        <v>484</v>
      </c>
      <c r="F1138" s="842"/>
      <c r="G1138" s="842"/>
      <c r="H1138" s="842"/>
      <c r="I1138" s="842"/>
      <c r="J1138" s="842"/>
      <c r="K1138" s="842"/>
      <c r="L1138" s="842"/>
      <c r="M1138" s="842"/>
      <c r="N1138" s="842"/>
      <c r="O1138" s="842"/>
      <c r="P1138" s="842"/>
      <c r="Q1138" s="842"/>
      <c r="R1138" s="842"/>
      <c r="S1138" s="842"/>
      <c r="T1138" s="842"/>
      <c r="U1138" s="842"/>
      <c r="V1138" s="842"/>
      <c r="W1138" s="842"/>
      <c r="X1138" s="842"/>
      <c r="Y1138" s="842"/>
      <c r="Z1138" s="842"/>
      <c r="AA1138" s="2209"/>
      <c r="AB1138" s="2209"/>
      <c r="AC1138" s="346"/>
    </row>
    <row r="1139" spans="1:29" ht="18.75" customHeight="1" x14ac:dyDescent="0.2">
      <c r="A1139" s="341"/>
      <c r="B1139" s="345"/>
      <c r="C1139" s="454" t="s">
        <v>760</v>
      </c>
      <c r="D1139" s="854">
        <f>Constants!H317</f>
        <v>0</v>
      </c>
      <c r="E1139" s="369" t="s">
        <v>483</v>
      </c>
      <c r="F1139" s="842"/>
      <c r="G1139" s="842"/>
      <c r="H1139" s="842"/>
      <c r="I1139" s="842"/>
      <c r="J1139" s="842"/>
      <c r="K1139" s="842"/>
      <c r="L1139" s="842"/>
      <c r="M1139" s="842"/>
      <c r="N1139" s="842"/>
      <c r="O1139" s="842"/>
      <c r="P1139" s="842"/>
      <c r="Q1139" s="842"/>
      <c r="R1139" s="842"/>
      <c r="S1139" s="842"/>
      <c r="T1139" s="842"/>
      <c r="U1139" s="842"/>
      <c r="V1139" s="842"/>
      <c r="W1139" s="842"/>
      <c r="X1139" s="842"/>
      <c r="Y1139" s="842"/>
      <c r="Z1139" s="842"/>
      <c r="AA1139" s="2209"/>
      <c r="AB1139" s="2209"/>
      <c r="AC1139" s="346"/>
    </row>
    <row r="1140" spans="1:29" ht="18.75" customHeight="1" x14ac:dyDescent="0.2">
      <c r="A1140" s="341"/>
      <c r="B1140" s="345"/>
      <c r="C1140" s="453" t="s">
        <v>584</v>
      </c>
      <c r="D1140" s="842">
        <f ca="1">IF(E1124&lt;0,0,D1139*E1124)</f>
        <v>0</v>
      </c>
      <c r="E1140" s="337" t="s">
        <v>622</v>
      </c>
      <c r="F1140" s="842"/>
      <c r="G1140" s="842"/>
      <c r="H1140" s="842"/>
      <c r="I1140" s="842"/>
      <c r="J1140" s="842"/>
      <c r="K1140" s="842"/>
      <c r="L1140" s="842"/>
      <c r="M1140" s="842"/>
      <c r="N1140" s="842"/>
      <c r="O1140" s="842"/>
      <c r="P1140" s="842"/>
      <c r="Q1140" s="842"/>
      <c r="R1140" s="842"/>
      <c r="S1140" s="842"/>
      <c r="T1140" s="842"/>
      <c r="U1140" s="842"/>
      <c r="V1140" s="842"/>
      <c r="W1140" s="842"/>
      <c r="X1140" s="842"/>
      <c r="Y1140" s="842"/>
      <c r="Z1140" s="842"/>
      <c r="AA1140" s="2209"/>
      <c r="AB1140" s="2209"/>
      <c r="AC1140" s="346"/>
    </row>
    <row r="1141" spans="1:29" ht="18.75" customHeight="1" x14ac:dyDescent="0.2">
      <c r="A1141" s="341"/>
      <c r="B1141" s="345"/>
      <c r="C1141" s="452" t="s">
        <v>584</v>
      </c>
      <c r="D1141" s="334">
        <f ca="1">D1140/1000</f>
        <v>0</v>
      </c>
      <c r="E1141" s="338" t="s">
        <v>583</v>
      </c>
      <c r="F1141" s="842"/>
      <c r="G1141" s="842"/>
      <c r="H1141" s="842"/>
      <c r="I1141" s="842"/>
      <c r="J1141" s="842"/>
      <c r="K1141" s="842"/>
      <c r="L1141" s="842"/>
      <c r="M1141" s="842"/>
      <c r="N1141" s="842"/>
      <c r="O1141" s="842"/>
      <c r="P1141" s="842"/>
      <c r="Q1141" s="842"/>
      <c r="R1141" s="842"/>
      <c r="S1141" s="842"/>
      <c r="T1141" s="842"/>
      <c r="U1141" s="842"/>
      <c r="V1141" s="842"/>
      <c r="W1141" s="842"/>
      <c r="X1141" s="842"/>
      <c r="Y1141" s="842"/>
      <c r="Z1141" s="842"/>
      <c r="AA1141" s="2209"/>
      <c r="AB1141" s="2209"/>
      <c r="AC1141" s="346"/>
    </row>
    <row r="1142" spans="1:29" ht="18.75" customHeight="1" x14ac:dyDescent="0.2">
      <c r="A1142" s="341"/>
      <c r="B1142" s="345"/>
      <c r="C1142" s="453" t="s">
        <v>451</v>
      </c>
      <c r="D1142" s="410">
        <f>Constants!H316</f>
        <v>7.946734975578663E-4</v>
      </c>
      <c r="E1142" s="337" t="s">
        <v>728</v>
      </c>
      <c r="F1142" s="842"/>
      <c r="G1142" s="842"/>
      <c r="H1142" s="842"/>
      <c r="I1142" s="842"/>
      <c r="J1142" s="842"/>
      <c r="K1142" s="842"/>
      <c r="L1142" s="842"/>
      <c r="M1142" s="842"/>
      <c r="N1142" s="842"/>
      <c r="O1142" s="842"/>
      <c r="P1142" s="842"/>
      <c r="Q1142" s="842"/>
      <c r="R1142" s="842"/>
      <c r="S1142" s="842"/>
      <c r="T1142" s="842"/>
      <c r="U1142" s="842"/>
      <c r="V1142" s="842"/>
      <c r="W1142" s="842"/>
      <c r="X1142" s="842"/>
      <c r="Y1142" s="842"/>
      <c r="Z1142" s="842"/>
      <c r="AA1142" s="2209"/>
      <c r="AB1142" s="2209"/>
      <c r="AC1142" s="346"/>
    </row>
    <row r="1143" spans="1:29" ht="18.75" customHeight="1" x14ac:dyDescent="0.2">
      <c r="A1143" s="341"/>
      <c r="B1143" s="345"/>
      <c r="C1143" s="453" t="s">
        <v>763</v>
      </c>
      <c r="D1143" s="842">
        <f ca="1">IF(E1124&lt;0,0,D1142*E1124)</f>
        <v>8943.6395436198636</v>
      </c>
      <c r="E1143" s="337" t="s">
        <v>627</v>
      </c>
      <c r="F1143" s="842"/>
      <c r="G1143" s="842"/>
      <c r="H1143" s="842"/>
      <c r="I1143" s="842"/>
      <c r="J1143" s="842"/>
      <c r="K1143" s="842"/>
      <c r="L1143" s="842"/>
      <c r="M1143" s="842"/>
      <c r="N1143" s="842"/>
      <c r="O1143" s="842"/>
      <c r="P1143" s="842"/>
      <c r="Q1143" s="842"/>
      <c r="R1143" s="842"/>
      <c r="S1143" s="842"/>
      <c r="T1143" s="842"/>
      <c r="U1143" s="842"/>
      <c r="V1143" s="842"/>
      <c r="W1143" s="842"/>
      <c r="X1143" s="842"/>
      <c r="Y1143" s="842"/>
      <c r="Z1143" s="842"/>
      <c r="AA1143" s="2209"/>
      <c r="AB1143" s="2209"/>
      <c r="AC1143" s="346"/>
    </row>
    <row r="1144" spans="1:29" ht="18.75" customHeight="1" x14ac:dyDescent="0.2">
      <c r="A1144" s="341"/>
      <c r="B1144" s="345"/>
      <c r="C1144" s="452"/>
      <c r="D1144" s="334"/>
      <c r="E1144" s="338"/>
      <c r="F1144" s="842"/>
      <c r="G1144" s="842"/>
      <c r="H1144" s="842"/>
      <c r="I1144" s="842"/>
      <c r="J1144" s="842"/>
      <c r="K1144" s="842"/>
      <c r="L1144" s="842"/>
      <c r="M1144" s="842"/>
      <c r="N1144" s="842"/>
      <c r="O1144" s="842"/>
      <c r="P1144" s="842"/>
      <c r="Q1144" s="842"/>
      <c r="R1144" s="842"/>
      <c r="S1144" s="842"/>
      <c r="T1144" s="842"/>
      <c r="U1144" s="842"/>
      <c r="V1144" s="842"/>
      <c r="W1144" s="842"/>
      <c r="X1144" s="842"/>
      <c r="Y1144" s="842"/>
      <c r="Z1144" s="842"/>
      <c r="AA1144" s="2209"/>
      <c r="AB1144" s="2209"/>
      <c r="AC1144" s="346"/>
    </row>
    <row r="1145" spans="1:29" ht="18.75" customHeight="1" x14ac:dyDescent="0.2">
      <c r="A1145" s="341"/>
      <c r="B1145" s="345"/>
      <c r="C1145" s="437"/>
      <c r="D1145" s="842"/>
      <c r="E1145" s="842"/>
      <c r="F1145" s="842"/>
      <c r="G1145" s="842"/>
      <c r="H1145" s="842"/>
      <c r="I1145" s="842"/>
      <c r="J1145" s="842"/>
      <c r="K1145" s="842"/>
      <c r="L1145" s="842"/>
      <c r="M1145" s="842"/>
      <c r="N1145" s="842"/>
      <c r="O1145" s="842"/>
      <c r="P1145" s="842"/>
      <c r="Q1145" s="842"/>
      <c r="R1145" s="842"/>
      <c r="S1145" s="842"/>
      <c r="T1145" s="842"/>
      <c r="U1145" s="842"/>
      <c r="V1145" s="842"/>
      <c r="W1145" s="842"/>
      <c r="X1145" s="842"/>
      <c r="Y1145" s="842"/>
      <c r="Z1145" s="842"/>
      <c r="AA1145" s="2209"/>
      <c r="AB1145" s="2209"/>
      <c r="AC1145" s="346"/>
    </row>
    <row r="1146" spans="1:29" ht="18.75" customHeight="1" x14ac:dyDescent="0.2">
      <c r="A1146" s="341"/>
      <c r="B1146" s="345"/>
      <c r="C1146" s="886" t="s">
        <v>96</v>
      </c>
      <c r="D1146" s="887">
        <f ca="1">E1122*'Energy &amp; Unit Conversions'!$Q$26</f>
        <v>3443491.4329384449</v>
      </c>
      <c r="E1146" s="888" t="s">
        <v>92</v>
      </c>
      <c r="F1146" s="842"/>
      <c r="G1146" s="842"/>
      <c r="H1146" s="842"/>
      <c r="I1146" s="842"/>
      <c r="J1146" s="842"/>
      <c r="K1146" s="842"/>
      <c r="L1146" s="842"/>
      <c r="M1146" s="842"/>
      <c r="N1146" s="842"/>
      <c r="O1146" s="842"/>
      <c r="P1146" s="842"/>
      <c r="Q1146" s="842"/>
      <c r="R1146" s="842"/>
      <c r="S1146" s="842"/>
      <c r="T1146" s="842"/>
      <c r="U1146" s="842"/>
      <c r="V1146" s="842"/>
      <c r="W1146" s="842"/>
      <c r="X1146" s="842"/>
      <c r="Y1146" s="842"/>
      <c r="Z1146" s="842"/>
      <c r="AA1146" s="2209"/>
      <c r="AB1146" s="2209"/>
      <c r="AC1146" s="346"/>
    </row>
    <row r="1147" spans="1:29" ht="18.75" customHeight="1" x14ac:dyDescent="0.2">
      <c r="A1147" s="341"/>
      <c r="B1147" s="345"/>
      <c r="C1147" s="604"/>
      <c r="D1147" s="842"/>
      <c r="E1147" s="600"/>
      <c r="F1147" s="842"/>
      <c r="G1147" s="842"/>
      <c r="H1147" s="842"/>
      <c r="I1147" s="842"/>
      <c r="J1147" s="842"/>
      <c r="K1147" s="842"/>
      <c r="L1147" s="842"/>
      <c r="M1147" s="842"/>
      <c r="N1147" s="842"/>
      <c r="O1147" s="842"/>
      <c r="P1147" s="842"/>
      <c r="Q1147" s="842"/>
      <c r="R1147" s="842"/>
      <c r="S1147" s="842"/>
      <c r="T1147" s="842"/>
      <c r="U1147" s="842"/>
      <c r="V1147" s="842"/>
      <c r="W1147" s="842"/>
      <c r="X1147" s="842"/>
      <c r="Y1147" s="842"/>
      <c r="Z1147" s="842"/>
      <c r="AA1147" s="2209"/>
      <c r="AB1147" s="2209"/>
      <c r="AC1147" s="346"/>
    </row>
    <row r="1148" spans="1:29" ht="18.75" customHeight="1" x14ac:dyDescent="0.2">
      <c r="A1148" s="341"/>
      <c r="B1148" s="345"/>
      <c r="C1148" s="843" t="s">
        <v>95</v>
      </c>
      <c r="D1148" s="842"/>
      <c r="E1148" s="601"/>
      <c r="F1148" s="842"/>
      <c r="G1148" s="842"/>
      <c r="H1148" s="842"/>
      <c r="I1148" s="842"/>
      <c r="J1148" s="842"/>
      <c r="K1148" s="842"/>
      <c r="L1148" s="842"/>
      <c r="M1148" s="842"/>
      <c r="N1148" s="842"/>
      <c r="O1148" s="842"/>
      <c r="P1148" s="842"/>
      <c r="Q1148" s="842"/>
      <c r="R1148" s="842"/>
      <c r="S1148" s="842"/>
      <c r="T1148" s="842"/>
      <c r="U1148" s="842"/>
      <c r="V1148" s="842"/>
      <c r="W1148" s="842"/>
      <c r="X1148" s="842"/>
      <c r="Y1148" s="842"/>
      <c r="Z1148" s="842"/>
      <c r="AA1148" s="2209"/>
      <c r="AB1148" s="2209"/>
      <c r="AC1148" s="346"/>
    </row>
    <row r="1149" spans="1:29" ht="18.75" customHeight="1" x14ac:dyDescent="0.2">
      <c r="A1149" s="341"/>
      <c r="B1149" s="345"/>
      <c r="C1149" s="454" t="str">
        <f>C1129</f>
        <v xml:space="preserve">NG Feedstock </v>
      </c>
      <c r="D1149" s="368">
        <f>D1128*'Energy &amp; Unit Conversions'!$P$25/'Energy &amp; Unit Conversions'!$P$26</f>
        <v>0.77381396745302222</v>
      </c>
      <c r="E1149" s="369" t="s">
        <v>93</v>
      </c>
      <c r="F1149" s="842"/>
      <c r="G1149" s="842"/>
      <c r="H1149" s="842"/>
      <c r="I1149" s="842"/>
      <c r="J1149" s="842"/>
      <c r="K1149" s="842"/>
      <c r="L1149" s="842"/>
      <c r="M1149" s="842"/>
      <c r="N1149" s="842"/>
      <c r="O1149" s="842"/>
      <c r="P1149" s="842"/>
      <c r="Q1149" s="842"/>
      <c r="R1149" s="842"/>
      <c r="S1149" s="842"/>
      <c r="T1149" s="842"/>
      <c r="U1149" s="842"/>
      <c r="V1149" s="842"/>
      <c r="W1149" s="842"/>
      <c r="X1149" s="842"/>
      <c r="Y1149" s="842"/>
      <c r="Z1149" s="842"/>
      <c r="AA1149" s="2209"/>
      <c r="AB1149" s="2209"/>
      <c r="AC1149" s="346"/>
    </row>
    <row r="1150" spans="1:29" ht="18.75" customHeight="1" x14ac:dyDescent="0.2">
      <c r="A1150" s="341"/>
      <c r="B1150" s="345"/>
      <c r="C1150" s="453" t="str">
        <f>C1133</f>
        <v>NG for heating</v>
      </c>
      <c r="D1150" s="842">
        <f>D1132*'Energy &amp; Unit Conversions'!$P$25/'Energy &amp; Unit Conversions'!$P$26</f>
        <v>0.87349375148964958</v>
      </c>
      <c r="E1150" s="337" t="s">
        <v>93</v>
      </c>
      <c r="F1150" s="842"/>
      <c r="G1150" s="842"/>
      <c r="H1150" s="842"/>
      <c r="I1150" s="842"/>
      <c r="J1150" s="842"/>
      <c r="K1150" s="842"/>
      <c r="L1150" s="842"/>
      <c r="M1150" s="842"/>
      <c r="N1150" s="842"/>
      <c r="O1150" s="842"/>
      <c r="P1150" s="842"/>
      <c r="Q1150" s="842"/>
      <c r="R1150" s="842"/>
      <c r="S1150" s="842"/>
      <c r="T1150" s="842"/>
      <c r="U1150" s="842"/>
      <c r="V1150" s="842"/>
      <c r="W1150" s="842"/>
      <c r="X1150" s="842"/>
      <c r="Y1150" s="842"/>
      <c r="Z1150" s="842"/>
      <c r="AA1150" s="2209"/>
      <c r="AB1150" s="2209"/>
      <c r="AC1150" s="346"/>
    </row>
    <row r="1151" spans="1:29" ht="18.75" customHeight="1" x14ac:dyDescent="0.2">
      <c r="A1151" s="341"/>
      <c r="B1151" s="345"/>
      <c r="C1151" s="453" t="s">
        <v>485</v>
      </c>
      <c r="D1151" s="842">
        <f>D1139*(1/D1097)*'Energy &amp; Unit Conversions'!E70/('Energy &amp; Unit Conversions'!$G$82*'Energy &amp; Unit Conversions'!$P$26)</f>
        <v>0</v>
      </c>
      <c r="E1151" s="337" t="s">
        <v>94</v>
      </c>
      <c r="F1151" s="842"/>
      <c r="G1151" s="842"/>
      <c r="H1151" s="842"/>
      <c r="I1151" s="842"/>
      <c r="J1151" s="842"/>
      <c r="K1151" s="842"/>
      <c r="L1151" s="842"/>
      <c r="M1151" s="842"/>
      <c r="N1151" s="842"/>
      <c r="O1151" s="842"/>
      <c r="P1151" s="842"/>
      <c r="Q1151" s="842"/>
      <c r="R1151" s="842"/>
      <c r="S1151" s="842"/>
      <c r="T1151" s="842"/>
      <c r="U1151" s="842"/>
      <c r="V1151" s="842"/>
      <c r="W1151" s="842"/>
      <c r="X1151" s="842"/>
      <c r="Y1151" s="842"/>
      <c r="Z1151" s="842"/>
      <c r="AA1151" s="2209"/>
      <c r="AB1151" s="2209"/>
      <c r="AC1151" s="346"/>
    </row>
    <row r="1152" spans="1:29" ht="18.75" customHeight="1" x14ac:dyDescent="0.2">
      <c r="A1152" s="341"/>
      <c r="B1152" s="345"/>
      <c r="C1152" s="453" t="s">
        <v>97</v>
      </c>
      <c r="D1152" s="842">
        <f>D1151*D1100</f>
        <v>0</v>
      </c>
      <c r="E1152" s="337" t="s">
        <v>93</v>
      </c>
      <c r="F1152" s="842"/>
      <c r="G1152" s="842"/>
      <c r="H1152" s="842"/>
      <c r="I1152" s="842"/>
      <c r="J1152" s="842"/>
      <c r="K1152" s="842"/>
      <c r="L1152" s="842"/>
      <c r="M1152" s="842"/>
      <c r="N1152" s="842"/>
      <c r="O1152" s="842"/>
      <c r="P1152" s="842"/>
      <c r="Q1152" s="842"/>
      <c r="R1152" s="842"/>
      <c r="S1152" s="842"/>
      <c r="T1152" s="842"/>
      <c r="U1152" s="842"/>
      <c r="V1152" s="842"/>
      <c r="W1152" s="842"/>
      <c r="X1152" s="842"/>
      <c r="Y1152" s="842"/>
      <c r="Z1152" s="842"/>
      <c r="AA1152" s="2209"/>
      <c r="AB1152" s="2209"/>
      <c r="AC1152" s="346"/>
    </row>
    <row r="1153" spans="1:32" ht="18.75" customHeight="1" x14ac:dyDescent="0.2">
      <c r="A1153" s="341"/>
      <c r="B1153" s="345"/>
      <c r="C1153" s="453" t="s">
        <v>98</v>
      </c>
      <c r="D1153" s="842">
        <f>D1151*D1103</f>
        <v>0</v>
      </c>
      <c r="E1153" s="337" t="s">
        <v>99</v>
      </c>
      <c r="F1153" s="842"/>
      <c r="G1153" s="842"/>
      <c r="H1153" s="842"/>
      <c r="I1153" s="842"/>
      <c r="J1153" s="842"/>
      <c r="K1153" s="842"/>
      <c r="L1153" s="842"/>
      <c r="M1153" s="842"/>
      <c r="N1153" s="842"/>
      <c r="O1153" s="842"/>
      <c r="P1153" s="842"/>
      <c r="Q1153" s="842"/>
      <c r="R1153" s="842"/>
      <c r="S1153" s="842"/>
      <c r="T1153" s="842"/>
      <c r="U1153" s="842"/>
      <c r="V1153" s="842"/>
      <c r="W1153" s="842"/>
      <c r="X1153" s="842"/>
      <c r="Y1153" s="842"/>
      <c r="Z1153" s="842"/>
      <c r="AA1153" s="2209"/>
      <c r="AB1153" s="2209"/>
      <c r="AC1153" s="346"/>
    </row>
    <row r="1154" spans="1:32" ht="18.75" customHeight="1" x14ac:dyDescent="0.2">
      <c r="A1154" s="341"/>
      <c r="B1154" s="345"/>
      <c r="C1154" s="452" t="s">
        <v>133</v>
      </c>
      <c r="D1154" s="334">
        <f>D1142*'Energy &amp; Unit Conversions'!$G$88/('Energy &amp; Unit Conversions'!$G$82*'Energy &amp; Unit Conversions'!$P$26)</f>
        <v>9.8829578739971814E-3</v>
      </c>
      <c r="E1154" s="338" t="s">
        <v>99</v>
      </c>
      <c r="F1154" s="842"/>
      <c r="G1154" s="842"/>
      <c r="H1154" s="842"/>
      <c r="I1154" s="842"/>
      <c r="J1154" s="842"/>
      <c r="K1154" s="842"/>
      <c r="L1154" s="842"/>
      <c r="M1154" s="842"/>
      <c r="N1154" s="842"/>
      <c r="O1154" s="842"/>
      <c r="P1154" s="842"/>
      <c r="Q1154" s="842"/>
      <c r="R1154" s="842"/>
      <c r="S1154" s="842"/>
      <c r="T1154" s="842"/>
      <c r="U1154" s="842"/>
      <c r="V1154" s="842"/>
      <c r="W1154" s="842"/>
      <c r="X1154" s="842"/>
      <c r="Y1154" s="842"/>
      <c r="Z1154" s="842"/>
      <c r="AA1154" s="2209"/>
      <c r="AB1154" s="2209"/>
      <c r="AC1154" s="346"/>
    </row>
    <row r="1155" spans="1:32" ht="18.75" customHeight="1" x14ac:dyDescent="0.2">
      <c r="A1155" s="341"/>
      <c r="B1155" s="345"/>
      <c r="C1155" s="437" t="s">
        <v>918</v>
      </c>
      <c r="D1155" s="842"/>
      <c r="E1155" s="842"/>
      <c r="F1155" s="842"/>
      <c r="G1155" s="842"/>
      <c r="H1155" s="842"/>
      <c r="I1155" s="842"/>
      <c r="J1155" s="842"/>
      <c r="K1155" s="842"/>
      <c r="L1155" s="842"/>
      <c r="M1155" s="842"/>
      <c r="N1155" s="842"/>
      <c r="O1155" s="842"/>
      <c r="P1155" s="842"/>
      <c r="Q1155" s="842"/>
      <c r="R1155" s="842"/>
      <c r="S1155" s="842"/>
      <c r="T1155" s="842"/>
      <c r="U1155" s="842"/>
      <c r="V1155" s="842"/>
      <c r="W1155" s="842"/>
      <c r="X1155" s="842"/>
      <c r="Y1155" s="842"/>
      <c r="Z1155" s="842"/>
      <c r="AA1155" s="2209"/>
      <c r="AB1155" s="2209"/>
      <c r="AC1155" s="346"/>
    </row>
    <row r="1156" spans="1:32" ht="18.75" customHeight="1" x14ac:dyDescent="0.2">
      <c r="A1156" s="341"/>
      <c r="B1156" s="345"/>
      <c r="C1156" s="437"/>
      <c r="D1156" s="842"/>
      <c r="E1156" s="842"/>
      <c r="F1156" s="842"/>
      <c r="G1156" s="842"/>
      <c r="H1156" s="842"/>
      <c r="I1156" s="842"/>
      <c r="J1156" s="842"/>
      <c r="K1156" s="842"/>
      <c r="L1156" s="842"/>
      <c r="M1156" s="842"/>
      <c r="N1156" s="842"/>
      <c r="O1156" s="842"/>
      <c r="P1156" s="842"/>
      <c r="Q1156" s="842"/>
      <c r="R1156" s="842"/>
      <c r="S1156" s="842"/>
      <c r="T1156" s="842"/>
      <c r="U1156" s="842"/>
      <c r="V1156" s="842"/>
      <c r="W1156" s="842"/>
      <c r="X1156" s="842"/>
      <c r="Y1156" s="842"/>
      <c r="Z1156" s="842"/>
      <c r="AA1156" s="2209"/>
      <c r="AB1156" s="2209"/>
      <c r="AC1156" s="346"/>
    </row>
    <row r="1157" spans="1:32" ht="18.75" customHeight="1" x14ac:dyDescent="0.2">
      <c r="A1157" s="341"/>
      <c r="B1157" s="345"/>
      <c r="C1157" s="873" t="s">
        <v>757</v>
      </c>
      <c r="D1157" s="889">
        <f>1/(SUM(D1149:D1151)+D1154)</f>
        <v>0.60343086283886183</v>
      </c>
      <c r="E1157" s="866"/>
      <c r="F1157" s="842"/>
      <c r="G1157" s="842"/>
      <c r="H1157" s="842"/>
      <c r="I1157" s="842"/>
      <c r="J1157" s="842"/>
      <c r="K1157" s="842"/>
      <c r="L1157" s="842"/>
      <c r="M1157" s="842"/>
      <c r="N1157" s="842"/>
      <c r="O1157" s="842"/>
      <c r="P1157" s="842"/>
      <c r="Q1157" s="842"/>
      <c r="R1157" s="842"/>
      <c r="S1157" s="842"/>
      <c r="T1157" s="842"/>
      <c r="U1157" s="842"/>
      <c r="V1157" s="842"/>
      <c r="W1157" s="842"/>
      <c r="X1157" s="842"/>
      <c r="Y1157" s="842"/>
      <c r="Z1157" s="842"/>
      <c r="AA1157" s="2209"/>
      <c r="AB1157" s="2209"/>
      <c r="AC1157" s="346"/>
    </row>
    <row r="1158" spans="1:32" ht="18.75" customHeight="1" thickBot="1" x14ac:dyDescent="0.25">
      <c r="A1158" s="341"/>
      <c r="B1158" s="433"/>
      <c r="C1158" s="475"/>
      <c r="D1158" s="434"/>
      <c r="E1158" s="434"/>
      <c r="F1158" s="434"/>
      <c r="G1158" s="434"/>
      <c r="H1158" s="434"/>
      <c r="I1158" s="434"/>
      <c r="J1158" s="434"/>
      <c r="K1158" s="434"/>
      <c r="L1158" s="434"/>
      <c r="M1158" s="434"/>
      <c r="N1158" s="434"/>
      <c r="O1158" s="434"/>
      <c r="P1158" s="434"/>
      <c r="Q1158" s="434"/>
      <c r="R1158" s="434"/>
      <c r="S1158" s="434"/>
      <c r="T1158" s="434"/>
      <c r="U1158" s="434"/>
      <c r="V1158" s="434"/>
      <c r="W1158" s="434"/>
      <c r="X1158" s="434"/>
      <c r="Y1158" s="434"/>
      <c r="Z1158" s="434"/>
      <c r="AA1158" s="434"/>
      <c r="AB1158" s="434"/>
      <c r="AC1158" s="435"/>
    </row>
    <row r="1159" spans="1:32" ht="18.75" customHeight="1" x14ac:dyDescent="0.2">
      <c r="A1159" s="341"/>
      <c r="B1159" s="341"/>
      <c r="C1159" s="436"/>
      <c r="D1159" s="341"/>
      <c r="E1159" s="341"/>
      <c r="F1159" s="341"/>
      <c r="G1159" s="341"/>
      <c r="H1159" s="341"/>
      <c r="I1159" s="341"/>
      <c r="J1159" s="341"/>
      <c r="K1159" s="341"/>
      <c r="L1159" s="341"/>
      <c r="M1159" s="341"/>
      <c r="N1159" s="341"/>
      <c r="O1159" s="341"/>
      <c r="P1159" s="341"/>
      <c r="Q1159" s="341"/>
      <c r="R1159" s="341"/>
      <c r="S1159" s="341"/>
      <c r="T1159" s="341"/>
      <c r="U1159" s="341"/>
      <c r="V1159" s="341"/>
      <c r="W1159" s="341"/>
      <c r="X1159" s="341"/>
      <c r="Y1159" s="341"/>
      <c r="Z1159" s="341"/>
      <c r="AA1159" s="341"/>
      <c r="AB1159" s="341"/>
      <c r="AC1159" s="341"/>
      <c r="AD1159" s="341"/>
      <c r="AE1159" s="341"/>
      <c r="AF1159" s="341"/>
    </row>
    <row r="1160" spans="1:32" ht="18.75" customHeight="1" thickBot="1" x14ac:dyDescent="0.25">
      <c r="A1160" s="341"/>
      <c r="B1160" s="341"/>
      <c r="C1160" s="436"/>
      <c r="D1160" s="341"/>
      <c r="E1160" s="341"/>
      <c r="F1160" s="341"/>
      <c r="G1160" s="341"/>
      <c r="H1160" s="341"/>
      <c r="I1160" s="341"/>
      <c r="J1160" s="341"/>
      <c r="K1160" s="341"/>
      <c r="L1160" s="341"/>
      <c r="M1160" s="341"/>
      <c r="N1160" s="341"/>
      <c r="O1160" s="341"/>
      <c r="P1160" s="341"/>
      <c r="Q1160" s="341"/>
      <c r="R1160" s="341"/>
      <c r="S1160" s="341"/>
      <c r="T1160" s="341"/>
      <c r="U1160" s="341"/>
      <c r="V1160" s="341"/>
      <c r="W1160" s="341"/>
      <c r="X1160" s="341"/>
      <c r="Y1160" s="341"/>
      <c r="Z1160" s="341"/>
      <c r="AA1160" s="341"/>
      <c r="AB1160" s="341"/>
      <c r="AC1160" s="341"/>
      <c r="AD1160" s="341"/>
      <c r="AE1160" s="341"/>
      <c r="AF1160" s="341"/>
    </row>
    <row r="1161" spans="1:32" ht="33.75" x14ac:dyDescent="0.2">
      <c r="A1161" s="341"/>
      <c r="B1161" s="697"/>
      <c r="C1161" s="1985" t="s">
        <v>1366</v>
      </c>
      <c r="D1161" s="890"/>
      <c r="E1161" s="890"/>
      <c r="F1161" s="890"/>
      <c r="G1161" s="890"/>
      <c r="H1161" s="890"/>
      <c r="I1161" s="890"/>
      <c r="J1161" s="890"/>
      <c r="K1161" s="890"/>
      <c r="L1161" s="890"/>
      <c r="M1161" s="890"/>
      <c r="N1161" s="890"/>
      <c r="O1161" s="890"/>
      <c r="P1161" s="890"/>
      <c r="Q1161" s="890"/>
      <c r="R1161" s="890"/>
      <c r="S1161" s="891"/>
      <c r="T1161" s="341"/>
      <c r="U1161" s="341"/>
      <c r="V1161" s="341"/>
      <c r="W1161" s="341"/>
      <c r="X1161" s="341"/>
      <c r="Y1161" s="341"/>
      <c r="Z1161" s="341"/>
      <c r="AA1161" s="341"/>
      <c r="AB1161" s="341"/>
      <c r="AC1161" s="341"/>
      <c r="AD1161" s="341"/>
      <c r="AE1161" s="341"/>
      <c r="AF1161" s="341"/>
    </row>
    <row r="1162" spans="1:32" ht="18.75" customHeight="1" x14ac:dyDescent="0.2">
      <c r="A1162" s="341"/>
      <c r="B1162" s="345"/>
      <c r="C1162" s="519"/>
      <c r="D1162" s="518"/>
      <c r="E1162" s="518"/>
      <c r="F1162" s="518"/>
      <c r="G1162" s="518"/>
      <c r="H1162" s="518"/>
      <c r="I1162" s="518"/>
      <c r="J1162" s="518"/>
      <c r="K1162" s="518"/>
      <c r="L1162" s="518"/>
      <c r="M1162" s="518"/>
      <c r="N1162" s="518"/>
      <c r="O1162" s="518"/>
      <c r="P1162" s="518"/>
      <c r="Q1162" s="518"/>
      <c r="R1162" s="518"/>
      <c r="S1162" s="892"/>
      <c r="T1162" s="341"/>
      <c r="U1162" s="341"/>
      <c r="V1162" s="341"/>
      <c r="W1162" s="341"/>
      <c r="X1162" s="341"/>
      <c r="Y1162" s="341"/>
      <c r="Z1162" s="341"/>
      <c r="AA1162" s="341"/>
      <c r="AB1162" s="341"/>
      <c r="AC1162" s="341"/>
      <c r="AD1162" s="341"/>
      <c r="AE1162" s="341"/>
      <c r="AF1162" s="341"/>
    </row>
    <row r="1163" spans="1:32" ht="18.75" customHeight="1" x14ac:dyDescent="0.2">
      <c r="A1163" s="341"/>
      <c r="B1163" s="345"/>
      <c r="C1163" s="519"/>
      <c r="D1163" s="899" t="str">
        <f>'HydroRefineryPFD '!DF27</f>
        <v>Blended Gasoline</v>
      </c>
      <c r="E1163" s="899" t="str">
        <f>'HydroRefineryPFD '!DF62</f>
        <v>Jet-A/AVTUR</v>
      </c>
      <c r="F1163" s="899" t="str">
        <f>'HydroRefineryPFD '!DF82</f>
        <v>ULSD</v>
      </c>
      <c r="G1163" s="899" t="str">
        <f ca="1">'HydroRefineryPFD '!DF150</f>
        <v>Heating Oil (Fuel Oil)</v>
      </c>
      <c r="H1163" s="899" t="str">
        <f>'HydroRefineryPFD '!DB293</f>
        <v>Liquid Heavy Ends or Precursor of Heavy Oil</v>
      </c>
      <c r="I1163" s="899" t="str">
        <f>'HydroRefineryPFD '!DF311</f>
        <v>Residue HC Resid</v>
      </c>
      <c r="J1163" s="899" t="s">
        <v>162</v>
      </c>
      <c r="K1163" s="899" t="s">
        <v>1930</v>
      </c>
      <c r="L1163" s="899" t="s">
        <v>1486</v>
      </c>
      <c r="M1163" s="899" t="s">
        <v>142</v>
      </c>
      <c r="N1163" s="899" t="s">
        <v>1854</v>
      </c>
      <c r="O1163" s="899" t="s">
        <v>1886</v>
      </c>
      <c r="P1163" s="899" t="s">
        <v>1909</v>
      </c>
      <c r="Q1163" s="900" t="s">
        <v>57</v>
      </c>
      <c r="R1163" s="900" t="s">
        <v>161</v>
      </c>
      <c r="S1163" s="892"/>
      <c r="T1163" s="341"/>
      <c r="U1163" s="341"/>
      <c r="V1163" s="341"/>
      <c r="W1163" s="341"/>
      <c r="X1163" s="341"/>
      <c r="Y1163" s="341"/>
      <c r="Z1163" s="341"/>
      <c r="AA1163" s="341"/>
      <c r="AB1163" s="341"/>
      <c r="AC1163" s="341"/>
      <c r="AD1163" s="341"/>
      <c r="AE1163" s="341"/>
      <c r="AF1163" s="341"/>
    </row>
    <row r="1164" spans="1:32" ht="18.75" customHeight="1" x14ac:dyDescent="0.2">
      <c r="A1164" s="341"/>
      <c r="B1164" s="345"/>
      <c r="C1164" s="901" t="s">
        <v>82</v>
      </c>
      <c r="D1164" s="895">
        <f ca="1">'HydroRefineryPFD '!DD31*'HydroRefineryPFD '!DD37</f>
        <v>117851999.68847099</v>
      </c>
      <c r="E1164" s="895">
        <f ca="1">'HydroRefineryPFD '!DD66*'HydroRefineryPFD '!DD72</f>
        <v>149973643.13743195</v>
      </c>
      <c r="F1164" s="895">
        <f ca="1">'HydroRefineryPFD '!DD86*'HydroRefineryPFD '!DD92</f>
        <v>72642918.327503458</v>
      </c>
      <c r="G1164" s="895">
        <f ca="1">'HydroRefineryPFD '!DD154*'HydroRefineryPFD '!DD160</f>
        <v>64682281.913025334</v>
      </c>
      <c r="H1164" s="895">
        <f ca="1">'HydroRefineryPFD '!DD297*'HydroRefineryPFD '!DD303</f>
        <v>152864417.9104926</v>
      </c>
      <c r="I1164" s="895">
        <f ca="1">'HydroRefineryPFD '!DD315*'HydroRefineryPFD '!DD321</f>
        <v>9.3217643780224665E-14</v>
      </c>
      <c r="J1164" s="895">
        <f ca="1">'HydroRefineryPFD '!CF12*'Energy &amp; Unit Conversions'!Q26</f>
        <v>1.2705701826728113E-13</v>
      </c>
      <c r="K1164" s="895">
        <f ca="1">'HydroRefineryPFD '!EG85*H1501</f>
        <v>11437705.339893121</v>
      </c>
      <c r="L1164" s="895">
        <f ca="1">'HydroRefineryPFD '!EG103*'Energy &amp; Unit Conversions'!R27</f>
        <v>0</v>
      </c>
      <c r="M1164" s="896"/>
      <c r="N1164" s="896">
        <f ca="1">HydroRefineryCalcs!O1499</f>
        <v>5711243.9800263345</v>
      </c>
      <c r="O1164" s="896">
        <f ca="1">O1500</f>
        <v>4062736.2194389449</v>
      </c>
      <c r="P1164" s="896">
        <f ca="1">'HydroRefineryPFD '!DD277*'HydroRefineryPFD '!DD283</f>
        <v>0</v>
      </c>
      <c r="Q1164" s="897">
        <f ca="1">SUM(D1164:M1164)</f>
        <v>569452966.3168174</v>
      </c>
      <c r="R1164" s="898"/>
      <c r="S1164" s="892"/>
      <c r="T1164" s="341"/>
      <c r="U1164" s="341"/>
      <c r="V1164" s="341"/>
      <c r="W1164" s="341"/>
      <c r="X1164" s="341"/>
      <c r="Y1164" s="341"/>
      <c r="Z1164" s="341"/>
      <c r="AA1164" s="341"/>
      <c r="AB1164" s="341"/>
      <c r="AC1164" s="341"/>
      <c r="AD1164" s="341"/>
      <c r="AE1164" s="341"/>
      <c r="AF1164" s="341"/>
    </row>
    <row r="1165" spans="1:32" ht="18.75" customHeight="1" x14ac:dyDescent="0.2">
      <c r="A1165" s="341"/>
      <c r="B1165" s="345"/>
      <c r="C1165" s="519"/>
      <c r="D1165" s="551"/>
      <c r="E1165" s="551"/>
      <c r="F1165" s="551"/>
      <c r="G1165" s="551"/>
      <c r="H1165" s="551"/>
      <c r="I1165" s="551"/>
      <c r="J1165" s="551"/>
      <c r="K1165" s="551"/>
      <c r="L1165" s="551"/>
      <c r="M1165" s="551">
        <f ca="1">'HydroRefineryPFD '!EC123</f>
        <v>4282.1221115613989</v>
      </c>
      <c r="N1165" s="551"/>
      <c r="O1165" s="551"/>
      <c r="P1165" s="551"/>
      <c r="Q1165" s="893"/>
      <c r="R1165" s="893"/>
      <c r="S1165" s="892"/>
      <c r="T1165" s="341"/>
      <c r="U1165" s="341"/>
      <c r="V1165" s="341"/>
      <c r="W1165" s="341"/>
      <c r="X1165" s="341"/>
      <c r="Y1165" s="341"/>
      <c r="Z1165" s="341"/>
      <c r="AA1165" s="341"/>
      <c r="AB1165" s="341"/>
      <c r="AC1165" s="341"/>
      <c r="AD1165" s="341"/>
      <c r="AE1165" s="341"/>
      <c r="AF1165" s="341"/>
    </row>
    <row r="1166" spans="1:32" ht="21" customHeight="1" x14ac:dyDescent="0.2">
      <c r="A1166" s="341"/>
      <c r="B1166" s="1769" t="s">
        <v>972</v>
      </c>
      <c r="C1166" s="1767"/>
      <c r="D1166" s="1768"/>
      <c r="E1166" s="1768"/>
      <c r="F1166" s="1768"/>
      <c r="G1166" s="518"/>
      <c r="H1166" s="518"/>
      <c r="I1166" s="518"/>
      <c r="J1166" s="518"/>
      <c r="K1166" s="518"/>
      <c r="L1166" s="518"/>
      <c r="M1166" s="518"/>
      <c r="N1166" s="518"/>
      <c r="O1166" s="518"/>
      <c r="P1166" s="518"/>
      <c r="Q1166" s="518"/>
      <c r="R1166" s="518"/>
      <c r="S1166" s="892"/>
      <c r="T1166" s="341"/>
      <c r="U1166" s="341"/>
      <c r="V1166" s="341"/>
      <c r="W1166" s="341"/>
      <c r="X1166" s="341"/>
      <c r="Y1166" s="341"/>
      <c r="Z1166" s="341"/>
      <c r="AA1166" s="341"/>
      <c r="AB1166" s="341"/>
      <c r="AC1166" s="341"/>
      <c r="AD1166" s="341"/>
      <c r="AE1166" s="341"/>
      <c r="AF1166" s="341"/>
    </row>
    <row r="1167" spans="1:32" ht="18.75" customHeight="1" x14ac:dyDescent="0.2">
      <c r="A1167" s="341"/>
      <c r="B1167" s="345"/>
      <c r="C1167" s="519"/>
      <c r="D1167" s="518"/>
      <c r="E1167" s="518"/>
      <c r="F1167" s="518"/>
      <c r="G1167" s="518"/>
      <c r="H1167" s="518"/>
      <c r="I1167" s="518"/>
      <c r="J1167" s="518"/>
      <c r="K1167" s="518"/>
      <c r="L1167" s="518"/>
      <c r="M1167" s="518"/>
      <c r="N1167" s="518"/>
      <c r="O1167" s="518"/>
      <c r="P1167" s="518"/>
      <c r="Q1167" s="518"/>
      <c r="R1167" s="518"/>
      <c r="S1167" s="892"/>
      <c r="T1167" s="341"/>
      <c r="U1167" s="341"/>
      <c r="V1167" s="341"/>
      <c r="W1167" s="341"/>
      <c r="X1167" s="341"/>
      <c r="Y1167" s="341"/>
      <c r="Z1167" s="341"/>
      <c r="AA1167" s="341"/>
      <c r="AB1167" s="341"/>
      <c r="AC1167" s="341"/>
      <c r="AD1167" s="341"/>
      <c r="AE1167" s="341"/>
      <c r="AF1167" s="341"/>
    </row>
    <row r="1168" spans="1:32" ht="18.75" customHeight="1" x14ac:dyDescent="0.2">
      <c r="A1168" s="341"/>
      <c r="B1168" s="345"/>
      <c r="C1168" s="440" t="s">
        <v>1405</v>
      </c>
      <c r="D1168" s="551"/>
      <c r="E1168" s="518"/>
      <c r="F1168" s="518"/>
      <c r="G1168" s="518"/>
      <c r="H1168" s="518"/>
      <c r="I1168" s="518"/>
      <c r="J1168" s="518"/>
      <c r="K1168" s="518"/>
      <c r="L1168" s="518"/>
      <c r="M1168" s="518"/>
      <c r="N1168" s="518"/>
      <c r="O1168" s="518"/>
      <c r="P1168" s="518"/>
      <c r="Q1168" s="518"/>
      <c r="R1168" s="518"/>
      <c r="S1168" s="892"/>
      <c r="T1168" s="341"/>
      <c r="U1168" s="341"/>
      <c r="V1168" s="341"/>
      <c r="W1168" s="341"/>
      <c r="X1168" s="341"/>
      <c r="Y1168" s="341"/>
      <c r="Z1168" s="341"/>
      <c r="AA1168" s="341"/>
      <c r="AB1168" s="341"/>
      <c r="AC1168" s="341"/>
      <c r="AD1168" s="341"/>
      <c r="AE1168" s="341"/>
      <c r="AF1168" s="341"/>
    </row>
    <row r="1169" spans="1:32" ht="18.75" customHeight="1" x14ac:dyDescent="0.2">
      <c r="A1169" s="341"/>
      <c r="B1169" s="345"/>
      <c r="C1169" s="1770" t="s">
        <v>160</v>
      </c>
      <c r="D1169" s="1771"/>
      <c r="E1169" s="1771"/>
      <c r="F1169" s="1771"/>
      <c r="G1169" s="1771"/>
      <c r="H1169" s="1771"/>
      <c r="I1169" s="1771"/>
      <c r="J1169" s="1771"/>
      <c r="K1169" s="1771"/>
      <c r="L1169" s="1771"/>
      <c r="M1169" s="1771"/>
      <c r="N1169" s="1771"/>
      <c r="O1169" s="1771"/>
      <c r="P1169" s="1771"/>
      <c r="Q1169" s="1771"/>
      <c r="R1169" s="1772"/>
      <c r="S1169" s="892"/>
      <c r="T1169" s="341"/>
      <c r="U1169" s="341"/>
      <c r="V1169" s="341"/>
      <c r="W1169" s="341"/>
      <c r="X1169" s="341"/>
      <c r="Y1169" s="341"/>
      <c r="Z1169" s="341"/>
      <c r="AA1169" s="341"/>
      <c r="AB1169" s="341"/>
      <c r="AC1169" s="341"/>
      <c r="AD1169" s="341"/>
      <c r="AE1169" s="341"/>
      <c r="AF1169" s="341"/>
    </row>
    <row r="1170" spans="1:32" ht="18.75" customHeight="1" x14ac:dyDescent="0.2">
      <c r="A1170" s="341"/>
      <c r="B1170" s="345"/>
      <c r="C1170" s="881" t="s">
        <v>263</v>
      </c>
      <c r="D1170" s="518">
        <f ca="1">'HydroRefineryPFD '!DH29</f>
        <v>215180180.95489407</v>
      </c>
      <c r="E1170" s="518">
        <f ca="1">'HydroRefineryPFD '!DH64</f>
        <v>232380340.50842014</v>
      </c>
      <c r="F1170" s="518">
        <f ca="1">'HydroRefineryPFD '!DH84</f>
        <v>111050855.87309842</v>
      </c>
      <c r="G1170" s="518">
        <f ca="1">'HydroRefineryPFD '!DH152</f>
        <v>0</v>
      </c>
      <c r="H1170" s="518">
        <f ca="1">'HydroRefineryPFD '!DH295</f>
        <v>0</v>
      </c>
      <c r="I1170" s="518">
        <f ca="1">'HydroRefineryPFD '!DH313</f>
        <v>0</v>
      </c>
      <c r="J1170" s="518">
        <f ca="1">'HydroRefineryPFD '!CI10</f>
        <v>0</v>
      </c>
      <c r="K1170" s="518">
        <f ca="1">'HydroRefineryPFD '!EC102</f>
        <v>0</v>
      </c>
      <c r="L1170" s="518">
        <f ca="1">'HydroRefineryPFD '!EG110</f>
        <v>0</v>
      </c>
      <c r="M1170" s="518">
        <f ca="1">'HydroRefineryPFD '!EC130</f>
        <v>0</v>
      </c>
      <c r="N1170" s="518">
        <f ca="1">'HydroRefineryPFD '!EC152</f>
        <v>0</v>
      </c>
      <c r="O1170" s="518">
        <f ca="1">'HydroRefineryPFD '!EC169</f>
        <v>0</v>
      </c>
      <c r="P1170" s="518">
        <f ca="1">'HydroRefineryPFD '!DG275</f>
        <v>0</v>
      </c>
      <c r="Q1170" s="518">
        <f ca="1">SUM(D1170:P1170)</f>
        <v>558611377.33641255</v>
      </c>
      <c r="R1170" s="481">
        <f ca="1">'HydroRefineryPFD '!E119</f>
        <v>558611377.33641267</v>
      </c>
      <c r="S1170" s="892"/>
      <c r="T1170" s="341"/>
      <c r="U1170" s="341"/>
      <c r="V1170" s="341"/>
      <c r="W1170" s="341"/>
      <c r="X1170" s="341"/>
      <c r="Y1170" s="341"/>
      <c r="Z1170" s="341"/>
      <c r="AA1170" s="341"/>
      <c r="AB1170" s="341"/>
      <c r="AC1170" s="341"/>
      <c r="AD1170" s="341"/>
      <c r="AE1170" s="341"/>
      <c r="AF1170" s="341"/>
    </row>
    <row r="1171" spans="1:32" ht="18.75" customHeight="1" x14ac:dyDescent="0.2">
      <c r="A1171" s="341"/>
      <c r="B1171" s="345"/>
      <c r="C1171" s="1773" t="s">
        <v>201</v>
      </c>
      <c r="D1171" s="1774"/>
      <c r="E1171" s="1774"/>
      <c r="F1171" s="1774"/>
      <c r="G1171" s="1774"/>
      <c r="H1171" s="1774"/>
      <c r="I1171" s="1774"/>
      <c r="J1171" s="1774"/>
      <c r="K1171" s="1774"/>
      <c r="L1171" s="1774"/>
      <c r="M1171" s="1774"/>
      <c r="N1171" s="1774"/>
      <c r="O1171" s="1774"/>
      <c r="P1171" s="1774"/>
      <c r="Q1171" s="1774"/>
      <c r="R1171" s="1775"/>
      <c r="S1171" s="892"/>
      <c r="T1171" s="341"/>
      <c r="U1171" s="341"/>
      <c r="V1171" s="341"/>
      <c r="W1171" s="341"/>
      <c r="X1171" s="341"/>
      <c r="Y1171" s="341"/>
      <c r="Z1171" s="341"/>
      <c r="AA1171" s="341"/>
      <c r="AB1171" s="341"/>
      <c r="AC1171" s="341"/>
      <c r="AD1171" s="341"/>
      <c r="AE1171" s="341"/>
      <c r="AF1171" s="341"/>
    </row>
    <row r="1172" spans="1:32" ht="18.75" customHeight="1" x14ac:dyDescent="0.2">
      <c r="A1172" s="341"/>
      <c r="B1172" s="345"/>
      <c r="C1172" s="881" t="s">
        <v>392</v>
      </c>
      <c r="D1172" s="518">
        <f ca="1">'HydroRefineryPFD '!DH30</f>
        <v>606749.01688042691</v>
      </c>
      <c r="E1172" s="518">
        <f ca="1">'HydroRefineryPFD '!DH65</f>
        <v>317306.6027964176</v>
      </c>
      <c r="F1172" s="518">
        <f ca="1">'HydroRefineryPFD '!DH85</f>
        <v>144280.28818769535</v>
      </c>
      <c r="G1172" s="518">
        <f ca="1">'HydroRefineryPFD '!DH153</f>
        <v>0</v>
      </c>
      <c r="H1172" s="518">
        <f ca="1">'HydroRefineryPFD '!DH296</f>
        <v>0</v>
      </c>
      <c r="I1172" s="518">
        <f ca="1">'HydroRefineryPFD '!DH314</f>
        <v>0</v>
      </c>
      <c r="J1172" s="518">
        <f ca="1">'HydroRefineryPFD '!CI11</f>
        <v>0</v>
      </c>
      <c r="K1172" s="518">
        <f ca="1">'HydroRefineryPFD '!EC103</f>
        <v>0</v>
      </c>
      <c r="L1172" s="518">
        <f ca="1">'HydroRefineryPFD '!EG111</f>
        <v>0</v>
      </c>
      <c r="M1172" s="518">
        <f ca="1">'HydroRefineryPFD '!EC131</f>
        <v>0</v>
      </c>
      <c r="N1172" s="1583">
        <f ca="1">'HydroRefineryPFD '!EC153</f>
        <v>0</v>
      </c>
      <c r="O1172" s="518">
        <f ca="1">'HydroRefineryPFD '!EC170</f>
        <v>0</v>
      </c>
      <c r="P1172" s="518">
        <f ca="1">'HydroRefineryPFD '!DG276</f>
        <v>0</v>
      </c>
      <c r="Q1172" s="518">
        <f ca="1">SUM(D1172:P1172)</f>
        <v>1068335.9078645399</v>
      </c>
      <c r="R1172" s="481">
        <f ca="1">'HydroRefinery Detailed Results'!F32</f>
        <v>1068335.9078645399</v>
      </c>
      <c r="S1172" s="892"/>
      <c r="T1172" s="341"/>
      <c r="U1172" s="341"/>
      <c r="V1172" s="341"/>
      <c r="W1172" s="341"/>
      <c r="X1172" s="341"/>
      <c r="Y1172" s="341"/>
      <c r="Z1172" s="341"/>
      <c r="AA1172" s="341"/>
      <c r="AB1172" s="341"/>
      <c r="AC1172" s="341"/>
      <c r="AD1172" s="341"/>
      <c r="AE1172" s="341"/>
      <c r="AF1172" s="341"/>
    </row>
    <row r="1173" spans="1:32" ht="18.75" customHeight="1" x14ac:dyDescent="0.2">
      <c r="A1173" s="341"/>
      <c r="B1173" s="345"/>
      <c r="C1173" s="881" t="s">
        <v>1023</v>
      </c>
      <c r="D1173" s="518">
        <f ca="1">'HydroRefineryPFD '!DH31</f>
        <v>12341896.845410015</v>
      </c>
      <c r="E1173" s="518">
        <f ca="1">'HydroRefineryPFD '!DH66</f>
        <v>6018924.6574679464</v>
      </c>
      <c r="F1173" s="518">
        <f ca="1">'HydroRefineryPFD '!DH86</f>
        <v>2837571.2917130152</v>
      </c>
      <c r="G1173" s="518">
        <f ca="1">'HydroRefineryPFD '!DH154</f>
        <v>0</v>
      </c>
      <c r="H1173" s="518">
        <f ca="1">'HydroRefineryPFD '!DH297</f>
        <v>0</v>
      </c>
      <c r="I1173" s="518">
        <f ca="1">'HydroRefineryPFD '!DH315</f>
        <v>0</v>
      </c>
      <c r="J1173" s="518">
        <f ca="1">'HydroRefineryPFD '!CI12</f>
        <v>0</v>
      </c>
      <c r="K1173" s="518">
        <f ca="1">'HydroRefineryPFD '!EC104</f>
        <v>0</v>
      </c>
      <c r="L1173" s="518">
        <f ca="1">'HydroRefineryPFD '!EG112</f>
        <v>0</v>
      </c>
      <c r="M1173" s="518">
        <f ca="1">'HydroRefineryPFD '!EC132</f>
        <v>0</v>
      </c>
      <c r="N1173" s="1583">
        <f ca="1">'HydroRefineryPFD '!EC154</f>
        <v>0</v>
      </c>
      <c r="O1173" s="518">
        <f ca="1">'HydroRefineryPFD '!EC171</f>
        <v>0</v>
      </c>
      <c r="P1173" s="518">
        <f ca="1">'HydroRefineryPFD '!DG277</f>
        <v>0</v>
      </c>
      <c r="Q1173" s="518">
        <f ca="1">SUM(D1173:P1173)</f>
        <v>21198392.794590976</v>
      </c>
      <c r="R1173" s="481">
        <f ca="1">'HydroRefinery Detailed Results'!H32</f>
        <v>21198392.794590976</v>
      </c>
      <c r="S1173" s="892"/>
      <c r="T1173" s="341"/>
      <c r="U1173" s="341"/>
      <c r="V1173" s="341"/>
      <c r="W1173" s="341"/>
      <c r="X1173" s="341"/>
      <c r="Y1173" s="341"/>
      <c r="Z1173" s="341"/>
      <c r="AA1173" s="341"/>
      <c r="AB1173" s="341"/>
      <c r="AC1173" s="341"/>
      <c r="AD1173" s="341"/>
      <c r="AE1173" s="341"/>
      <c r="AF1173" s="341"/>
    </row>
    <row r="1174" spans="1:32" ht="18.75" customHeight="1" x14ac:dyDescent="0.2">
      <c r="A1174" s="341"/>
      <c r="B1174" s="345"/>
      <c r="C1174" s="881" t="s">
        <v>485</v>
      </c>
      <c r="D1174" s="518">
        <f ca="1">'HydroRefineryPFD '!DH32</f>
        <v>1350048.1566903843</v>
      </c>
      <c r="E1174" s="518">
        <f ca="1">'HydroRefineryPFD '!DH67</f>
        <v>635810.16625919892</v>
      </c>
      <c r="F1174" s="518">
        <f ca="1">'HydroRefineryPFD '!DH87</f>
        <v>288857.97988043615</v>
      </c>
      <c r="G1174" s="518">
        <f ca="1">'HydroRefineryPFD '!DH155</f>
        <v>0</v>
      </c>
      <c r="H1174" s="518">
        <f ca="1">'HydroRefineryPFD '!DH298</f>
        <v>0</v>
      </c>
      <c r="I1174" s="518">
        <f ca="1">'HydroRefineryPFD '!DH316</f>
        <v>0</v>
      </c>
      <c r="J1174" s="518">
        <f ca="1">'HydroRefineryPFD '!CI13</f>
        <v>0</v>
      </c>
      <c r="K1174" s="518">
        <f ca="1">'HydroRefineryPFD '!EC105</f>
        <v>0</v>
      </c>
      <c r="L1174" s="518">
        <f ca="1">'HydroRefineryPFD '!EG113</f>
        <v>0</v>
      </c>
      <c r="M1174" s="518">
        <f ca="1">'HydroRefineryPFD '!EC133</f>
        <v>0</v>
      </c>
      <c r="N1174" s="1583">
        <f ca="1">'HydroRefineryPFD '!EC155</f>
        <v>0</v>
      </c>
      <c r="O1174" s="518">
        <f ca="1">'HydroRefineryPFD '!EC172</f>
        <v>0</v>
      </c>
      <c r="P1174" s="518">
        <f ca="1">'HydroRefineryPFD '!DG278</f>
        <v>0</v>
      </c>
      <c r="Q1174" s="518">
        <f ca="1">SUM(D1174:P1174)</f>
        <v>2274716.3028300195</v>
      </c>
      <c r="R1174" s="481">
        <f ca="1">'HydroRefinery Detailed Results'!J32</f>
        <v>2274716.30283002</v>
      </c>
      <c r="S1174" s="892"/>
      <c r="T1174" s="341"/>
      <c r="U1174" s="341"/>
      <c r="V1174" s="341"/>
      <c r="W1174" s="341"/>
      <c r="X1174" s="341"/>
      <c r="Y1174" s="341"/>
      <c r="Z1174" s="341"/>
      <c r="AA1174" s="341"/>
      <c r="AB1174" s="341"/>
      <c r="AC1174" s="341"/>
      <c r="AD1174" s="341"/>
      <c r="AE1174" s="341"/>
      <c r="AF1174" s="341"/>
    </row>
    <row r="1175" spans="1:32" ht="18.75" customHeight="1" x14ac:dyDescent="0.2">
      <c r="A1175" s="341"/>
      <c r="B1175" s="345"/>
      <c r="C1175" s="881" t="s">
        <v>541</v>
      </c>
      <c r="D1175" s="518">
        <f ca="1">'HydroRefineryPFD '!DH33</f>
        <v>6675596.1621006178</v>
      </c>
      <c r="E1175" s="518">
        <f ca="1">'HydroRefineryPFD '!DH68</f>
        <v>2030267.5728452147</v>
      </c>
      <c r="F1175" s="518">
        <f ca="1">'HydroRefineryPFD '!DH88</f>
        <v>1083713.570637817</v>
      </c>
      <c r="G1175" s="518">
        <f ca="1">'HydroRefineryPFD '!DH156</f>
        <v>0</v>
      </c>
      <c r="H1175" s="518">
        <f ca="1">'HydroRefineryPFD '!DH299</f>
        <v>0</v>
      </c>
      <c r="I1175" s="518">
        <f ca="1">'HydroRefineryPFD '!DH317</f>
        <v>0</v>
      </c>
      <c r="J1175" s="518">
        <f ca="1">'HydroRefineryPFD '!CI14</f>
        <v>0</v>
      </c>
      <c r="K1175" s="518">
        <f ca="1">'HydroRefineryPFD '!EC106</f>
        <v>0</v>
      </c>
      <c r="L1175" s="518">
        <f ca="1">'HydroRefineryPFD '!EG114</f>
        <v>0</v>
      </c>
      <c r="M1175" s="518">
        <f ca="1">'HydroRefineryPFD '!EC134</f>
        <v>0</v>
      </c>
      <c r="N1175" s="1583">
        <f ca="1">'HydroRefineryPFD '!EC156</f>
        <v>0</v>
      </c>
      <c r="O1175" s="518">
        <f ca="1">'HydroRefineryPFD '!EC173</f>
        <v>0</v>
      </c>
      <c r="P1175" s="518">
        <f ca="1">'HydroRefineryPFD '!DG279</f>
        <v>0</v>
      </c>
      <c r="Q1175" s="518">
        <f ca="1">SUM(D1175:P1175)</f>
        <v>9789577.3055836484</v>
      </c>
      <c r="R1175" s="481">
        <f ca="1">'HydroRefinery Detailed Results'!L32</f>
        <v>9789577.3055836502</v>
      </c>
      <c r="S1175" s="892"/>
      <c r="T1175" s="341"/>
      <c r="U1175" s="341"/>
      <c r="V1175" s="341"/>
      <c r="W1175" s="341"/>
      <c r="X1175" s="341"/>
      <c r="Y1175" s="341"/>
      <c r="Z1175" s="341"/>
      <c r="AA1175" s="341"/>
      <c r="AB1175" s="341"/>
      <c r="AC1175" s="341"/>
      <c r="AD1175" s="341"/>
      <c r="AE1175" s="341"/>
      <c r="AF1175" s="341"/>
    </row>
    <row r="1176" spans="1:32" ht="18.75" customHeight="1" x14ac:dyDescent="0.2">
      <c r="A1176" s="341"/>
      <c r="B1176" s="345"/>
      <c r="C1176" s="881" t="str">
        <f>'HydroRefineryPFD '!DF34</f>
        <v>Catalyst Coke</v>
      </c>
      <c r="D1176" s="518">
        <f ca="1">'HydroRefineryPFD '!DH34</f>
        <v>2.9032176520588026E-14</v>
      </c>
      <c r="E1176" s="518"/>
      <c r="F1176" s="518">
        <f ca="1">'HydroRefineryPFD '!DH89</f>
        <v>6.8785815630632664E-15</v>
      </c>
      <c r="G1176" s="518"/>
      <c r="H1176" s="518">
        <f ca="1">'HydroRefineryPFD '!DH300</f>
        <v>0</v>
      </c>
      <c r="I1176" s="518"/>
      <c r="J1176" s="518"/>
      <c r="K1176" s="518">
        <f ca="1">'HydroRefineryPFD '!EC107</f>
        <v>0</v>
      </c>
      <c r="L1176" s="518">
        <f ca="1">'HydroRefineryPFD '!EG115</f>
        <v>0</v>
      </c>
      <c r="M1176" s="518">
        <f ca="1">'HydroRefineryPFD '!EC135</f>
        <v>0</v>
      </c>
      <c r="N1176" s="1583">
        <f ca="1">'HydroRefineryPFD '!EC157</f>
        <v>0</v>
      </c>
      <c r="O1176" s="518">
        <f ca="1">'HydroRefineryPFD '!EC174</f>
        <v>0</v>
      </c>
      <c r="P1176" s="518"/>
      <c r="Q1176" s="518">
        <f ca="1">SUM(D1176:P1176)</f>
        <v>3.5910758083651294E-14</v>
      </c>
      <c r="R1176" s="481">
        <f ca="1">'HydroRefinery Detailed Results'!R25</f>
        <v>3.5910758083651294E-14</v>
      </c>
      <c r="S1176" s="892"/>
      <c r="T1176" s="341"/>
      <c r="U1176" s="341"/>
      <c r="V1176" s="341"/>
      <c r="W1176" s="341"/>
      <c r="X1176" s="341"/>
      <c r="Y1176" s="341"/>
      <c r="Z1176" s="341"/>
      <c r="AA1176" s="341"/>
      <c r="AB1176" s="341"/>
      <c r="AC1176" s="341"/>
      <c r="AD1176" s="341"/>
      <c r="AE1176" s="341"/>
      <c r="AF1176" s="341"/>
    </row>
    <row r="1177" spans="1:32" ht="18.75" customHeight="1" x14ac:dyDescent="0.2">
      <c r="A1177" s="341"/>
      <c r="B1177" s="345"/>
      <c r="C1177" s="881"/>
      <c r="D1177" s="518"/>
      <c r="E1177" s="518"/>
      <c r="F1177" s="518"/>
      <c r="G1177" s="518"/>
      <c r="H1177" s="518"/>
      <c r="I1177" s="518"/>
      <c r="J1177" s="518"/>
      <c r="K1177" s="518"/>
      <c r="L1177" s="518"/>
      <c r="M1177" s="518"/>
      <c r="N1177" s="518"/>
      <c r="O1177" s="518"/>
      <c r="P1177" s="518"/>
      <c r="Q1177" s="518"/>
      <c r="R1177" s="481"/>
      <c r="S1177" s="892"/>
      <c r="T1177" s="341"/>
      <c r="U1177" s="341"/>
      <c r="V1177" s="341"/>
      <c r="W1177" s="341"/>
      <c r="X1177" s="341"/>
      <c r="Y1177" s="341"/>
      <c r="Z1177" s="341"/>
      <c r="AA1177" s="341"/>
      <c r="AB1177" s="341"/>
      <c r="AC1177" s="341"/>
      <c r="AD1177" s="341"/>
      <c r="AE1177" s="341"/>
      <c r="AF1177" s="341"/>
    </row>
    <row r="1178" spans="1:32" ht="18.75" customHeight="1" x14ac:dyDescent="0.2">
      <c r="A1178" s="341"/>
      <c r="B1178" s="345"/>
      <c r="C1178" s="881" t="s">
        <v>164</v>
      </c>
      <c r="D1178" s="518">
        <f t="shared" ref="D1178:R1178" ca="1" si="109">SUM(D1172:D1176)</f>
        <v>20974290.181081444</v>
      </c>
      <c r="E1178" s="518">
        <f t="shared" ca="1" si="109"/>
        <v>9002308.9993687775</v>
      </c>
      <c r="F1178" s="518">
        <f t="shared" ca="1" si="109"/>
        <v>4354423.1304189637</v>
      </c>
      <c r="G1178" s="518">
        <f t="shared" ca="1" si="109"/>
        <v>0</v>
      </c>
      <c r="H1178" s="518">
        <f t="shared" ca="1" si="109"/>
        <v>0</v>
      </c>
      <c r="I1178" s="518">
        <f t="shared" ca="1" si="109"/>
        <v>0</v>
      </c>
      <c r="J1178" s="518">
        <f t="shared" ca="1" si="109"/>
        <v>0</v>
      </c>
      <c r="K1178" s="518">
        <f t="shared" ca="1" si="109"/>
        <v>0</v>
      </c>
      <c r="L1178" s="518">
        <f t="shared" ref="L1178" ca="1" si="110">SUM(L1172:L1176)</f>
        <v>0</v>
      </c>
      <c r="M1178" s="518">
        <f t="shared" ca="1" si="109"/>
        <v>0</v>
      </c>
      <c r="N1178" s="518">
        <f ca="1">SUM(N1172:N1176)</f>
        <v>0</v>
      </c>
      <c r="O1178" s="518">
        <f t="shared" ref="O1178:P1178" ca="1" si="111">SUM(O1172:O1176)</f>
        <v>0</v>
      </c>
      <c r="P1178" s="518">
        <f t="shared" ca="1" si="111"/>
        <v>0</v>
      </c>
      <c r="Q1178" s="518">
        <f t="shared" ca="1" si="109"/>
        <v>34331022.310869187</v>
      </c>
      <c r="R1178" s="481">
        <f t="shared" ca="1" si="109"/>
        <v>34331022.310869187</v>
      </c>
      <c r="S1178" s="892"/>
      <c r="T1178" s="341"/>
      <c r="U1178" s="341"/>
      <c r="V1178" s="341"/>
      <c r="W1178" s="341"/>
      <c r="X1178" s="341"/>
      <c r="Y1178" s="341"/>
      <c r="Z1178" s="341"/>
      <c r="AA1178" s="341"/>
      <c r="AB1178" s="341"/>
      <c r="AC1178" s="341"/>
      <c r="AD1178" s="341"/>
      <c r="AE1178" s="341"/>
      <c r="AF1178" s="341"/>
    </row>
    <row r="1179" spans="1:32" ht="18.75" customHeight="1" x14ac:dyDescent="0.2">
      <c r="A1179" s="341"/>
      <c r="B1179" s="345"/>
      <c r="C1179" s="904" t="s">
        <v>165</v>
      </c>
      <c r="D1179" s="905">
        <f t="shared" ref="D1179:R1179" ca="1" si="112">SUM(D1170:D1176)</f>
        <v>236154471.13597551</v>
      </c>
      <c r="E1179" s="905">
        <f t="shared" ca="1" si="112"/>
        <v>241382649.50778893</v>
      </c>
      <c r="F1179" s="905">
        <f t="shared" ca="1" si="112"/>
        <v>115405279.00351739</v>
      </c>
      <c r="G1179" s="905">
        <f t="shared" ca="1" si="112"/>
        <v>0</v>
      </c>
      <c r="H1179" s="905">
        <f t="shared" ca="1" si="112"/>
        <v>0</v>
      </c>
      <c r="I1179" s="905">
        <f t="shared" ca="1" si="112"/>
        <v>0</v>
      </c>
      <c r="J1179" s="905">
        <f t="shared" ca="1" si="112"/>
        <v>0</v>
      </c>
      <c r="K1179" s="905">
        <f t="shared" ca="1" si="112"/>
        <v>0</v>
      </c>
      <c r="L1179" s="905">
        <f t="shared" ref="L1179" ca="1" si="113">SUM(L1170:L1176)</f>
        <v>0</v>
      </c>
      <c r="M1179" s="905">
        <f t="shared" ca="1" si="112"/>
        <v>0</v>
      </c>
      <c r="N1179" s="905">
        <f ca="1">SUM(N1170:N1176)</f>
        <v>0</v>
      </c>
      <c r="O1179" s="905">
        <f t="shared" ref="O1179:P1179" ca="1" si="114">SUM(O1170:O1176)</f>
        <v>0</v>
      </c>
      <c r="P1179" s="905">
        <f t="shared" ca="1" si="114"/>
        <v>0</v>
      </c>
      <c r="Q1179" s="905">
        <f t="shared" ca="1" si="112"/>
        <v>592942399.64728165</v>
      </c>
      <c r="R1179" s="906">
        <f t="shared" ca="1" si="112"/>
        <v>592942399.64728177</v>
      </c>
      <c r="S1179" s="892"/>
      <c r="T1179" s="341"/>
      <c r="U1179" s="341"/>
      <c r="V1179" s="341"/>
      <c r="W1179" s="341"/>
      <c r="X1179" s="341"/>
      <c r="Y1179" s="341"/>
      <c r="Z1179" s="341"/>
      <c r="AA1179" s="341"/>
      <c r="AB1179" s="341"/>
      <c r="AC1179" s="341"/>
      <c r="AD1179" s="341"/>
      <c r="AE1179" s="341"/>
      <c r="AF1179" s="341"/>
    </row>
    <row r="1180" spans="1:32" ht="18.75" customHeight="1" x14ac:dyDescent="0.2">
      <c r="A1180" s="341"/>
      <c r="B1180" s="345"/>
      <c r="C1180" s="519"/>
      <c r="D1180" s="518"/>
      <c r="E1180" s="518"/>
      <c r="F1180" s="518"/>
      <c r="G1180" s="518"/>
      <c r="H1180" s="518"/>
      <c r="I1180" s="518"/>
      <c r="J1180" s="518"/>
      <c r="K1180" s="518"/>
      <c r="L1180" s="518"/>
      <c r="M1180" s="518"/>
      <c r="N1180" s="518"/>
      <c r="O1180" s="518"/>
      <c r="P1180" s="518"/>
      <c r="Q1180" s="518"/>
      <c r="R1180" s="518"/>
      <c r="S1180" s="892"/>
      <c r="T1180" s="341"/>
      <c r="U1180" s="341"/>
      <c r="V1180" s="341"/>
      <c r="W1180" s="341"/>
      <c r="X1180" s="341"/>
      <c r="Y1180" s="341"/>
      <c r="Z1180" s="341"/>
      <c r="AA1180" s="341"/>
      <c r="AB1180" s="341"/>
      <c r="AC1180" s="341"/>
      <c r="AD1180" s="341"/>
      <c r="AE1180" s="341"/>
      <c r="AF1180" s="341"/>
    </row>
    <row r="1181" spans="1:32" ht="18.75" customHeight="1" x14ac:dyDescent="0.2">
      <c r="A1181" s="341"/>
      <c r="B1181" s="345"/>
      <c r="C1181" s="440" t="s">
        <v>159</v>
      </c>
      <c r="D1181" s="518"/>
      <c r="E1181" s="518"/>
      <c r="F1181" s="518"/>
      <c r="G1181" s="518"/>
      <c r="H1181" s="518"/>
      <c r="I1181" s="518"/>
      <c r="J1181" s="518"/>
      <c r="K1181" s="518"/>
      <c r="L1181" s="518"/>
      <c r="M1181" s="518"/>
      <c r="N1181" s="518"/>
      <c r="O1181" s="518"/>
      <c r="P1181" s="518"/>
      <c r="Q1181" s="518"/>
      <c r="R1181" s="518"/>
      <c r="S1181" s="892"/>
      <c r="T1181" s="341"/>
      <c r="U1181" s="341"/>
      <c r="V1181" s="341"/>
      <c r="W1181" s="341"/>
      <c r="X1181" s="341"/>
      <c r="Y1181" s="341"/>
      <c r="Z1181" s="341"/>
      <c r="AA1181" s="341"/>
      <c r="AB1181" s="341"/>
      <c r="AC1181" s="341"/>
      <c r="AD1181" s="341"/>
      <c r="AE1181" s="341"/>
      <c r="AF1181" s="341"/>
    </row>
    <row r="1182" spans="1:32" ht="18.75" customHeight="1" x14ac:dyDescent="0.2">
      <c r="A1182" s="341"/>
      <c r="B1182" s="345"/>
      <c r="C1182" s="1770" t="s">
        <v>160</v>
      </c>
      <c r="D1182" s="1771"/>
      <c r="E1182" s="1771"/>
      <c r="F1182" s="1771"/>
      <c r="G1182" s="1771"/>
      <c r="H1182" s="1771"/>
      <c r="I1182" s="1771"/>
      <c r="J1182" s="1771"/>
      <c r="K1182" s="1771"/>
      <c r="L1182" s="1771"/>
      <c r="M1182" s="1771"/>
      <c r="N1182" s="1771"/>
      <c r="O1182" s="1771"/>
      <c r="P1182" s="1771"/>
      <c r="Q1182" s="1771"/>
      <c r="R1182" s="1772"/>
      <c r="S1182" s="892"/>
      <c r="T1182" s="341"/>
      <c r="U1182" s="341"/>
      <c r="V1182" s="341"/>
      <c r="W1182" s="341"/>
      <c r="X1182" s="341"/>
      <c r="Y1182" s="341"/>
      <c r="Z1182" s="341"/>
      <c r="AA1182" s="341"/>
      <c r="AB1182" s="341"/>
      <c r="AC1182" s="341"/>
      <c r="AD1182" s="341"/>
      <c r="AE1182" s="341"/>
      <c r="AF1182" s="341"/>
    </row>
    <row r="1183" spans="1:32" ht="18.75" customHeight="1" x14ac:dyDescent="0.2">
      <c r="A1183" s="341"/>
      <c r="B1183" s="345"/>
      <c r="C1183" s="881" t="s">
        <v>263</v>
      </c>
      <c r="D1183" s="533">
        <f t="shared" ref="D1183:Q1183" ca="1" si="115">D1170/SUM($D$1170:$P$1170)</f>
        <v>0.38520551081670162</v>
      </c>
      <c r="E1183" s="533">
        <f t="shared" ca="1" si="115"/>
        <v>0.41599643318484314</v>
      </c>
      <c r="F1183" s="533">
        <f t="shared" ca="1" si="115"/>
        <v>0.19879805599845535</v>
      </c>
      <c r="G1183" s="533">
        <f t="shared" ca="1" si="115"/>
        <v>0</v>
      </c>
      <c r="H1183" s="533">
        <f t="shared" ca="1" si="115"/>
        <v>0</v>
      </c>
      <c r="I1183" s="533">
        <f t="shared" ca="1" si="115"/>
        <v>0</v>
      </c>
      <c r="J1183" s="533">
        <f t="shared" ca="1" si="115"/>
        <v>0</v>
      </c>
      <c r="K1183" s="533">
        <f t="shared" ca="1" si="115"/>
        <v>0</v>
      </c>
      <c r="L1183" s="533">
        <f t="shared" ca="1" si="115"/>
        <v>0</v>
      </c>
      <c r="M1183" s="533">
        <f t="shared" ca="1" si="115"/>
        <v>0</v>
      </c>
      <c r="N1183" s="533">
        <f t="shared" ca="1" si="115"/>
        <v>0</v>
      </c>
      <c r="O1183" s="533">
        <f t="shared" ca="1" si="115"/>
        <v>0</v>
      </c>
      <c r="P1183" s="533">
        <f t="shared" ca="1" si="115"/>
        <v>0</v>
      </c>
      <c r="Q1183" s="533">
        <f t="shared" ca="1" si="115"/>
        <v>1</v>
      </c>
      <c r="R1183" s="481"/>
      <c r="S1183" s="892"/>
      <c r="T1183" s="341"/>
      <c r="U1183" s="341"/>
      <c r="V1183" s="341"/>
      <c r="W1183" s="341"/>
      <c r="X1183" s="341"/>
      <c r="Y1183" s="341"/>
      <c r="Z1183" s="341"/>
      <c r="AA1183" s="341"/>
      <c r="AB1183" s="341"/>
      <c r="AC1183" s="341"/>
      <c r="AD1183" s="341"/>
      <c r="AE1183" s="341"/>
      <c r="AF1183" s="341"/>
    </row>
    <row r="1184" spans="1:32" ht="18.75" customHeight="1" x14ac:dyDescent="0.2">
      <c r="A1184" s="341"/>
      <c r="B1184" s="345"/>
      <c r="C1184" s="1773" t="s">
        <v>55</v>
      </c>
      <c r="D1184" s="1774"/>
      <c r="E1184" s="1774"/>
      <c r="F1184" s="1774"/>
      <c r="G1184" s="1774"/>
      <c r="H1184" s="1774"/>
      <c r="I1184" s="1774"/>
      <c r="J1184" s="1774"/>
      <c r="K1184" s="1774"/>
      <c r="L1184" s="1774"/>
      <c r="M1184" s="1774"/>
      <c r="N1184" s="1774"/>
      <c r="O1184" s="1774"/>
      <c r="P1184" s="1774"/>
      <c r="Q1184" s="1774"/>
      <c r="R1184" s="1775"/>
      <c r="S1184" s="892"/>
      <c r="T1184" s="341"/>
      <c r="U1184" s="341"/>
      <c r="V1184" s="341"/>
      <c r="W1184" s="341"/>
      <c r="X1184" s="341"/>
      <c r="Y1184" s="341"/>
      <c r="Z1184" s="341"/>
      <c r="AA1184" s="341"/>
      <c r="AB1184" s="341"/>
      <c r="AC1184" s="341"/>
      <c r="AD1184" s="341"/>
      <c r="AE1184" s="341"/>
      <c r="AF1184" s="341"/>
    </row>
    <row r="1185" spans="1:32" ht="18.75" customHeight="1" x14ac:dyDescent="0.2">
      <c r="A1185" s="341"/>
      <c r="B1185" s="345"/>
      <c r="C1185" s="881" t="s">
        <v>392</v>
      </c>
      <c r="D1185" s="533">
        <f t="shared" ref="D1185:Q1185" ca="1" si="116">D1172/SUM($D$1172:$P$1172)</f>
        <v>0.56793842874123435</v>
      </c>
      <c r="E1185" s="533">
        <f t="shared" ca="1" si="116"/>
        <v>0.29701014489971689</v>
      </c>
      <c r="F1185" s="533">
        <f t="shared" ca="1" si="116"/>
        <v>0.13505142635904871</v>
      </c>
      <c r="G1185" s="533">
        <f t="shared" ca="1" si="116"/>
        <v>0</v>
      </c>
      <c r="H1185" s="533">
        <f t="shared" ca="1" si="116"/>
        <v>0</v>
      </c>
      <c r="I1185" s="533">
        <f t="shared" ca="1" si="116"/>
        <v>0</v>
      </c>
      <c r="J1185" s="533">
        <f t="shared" ca="1" si="116"/>
        <v>0</v>
      </c>
      <c r="K1185" s="533">
        <f t="shared" ca="1" si="116"/>
        <v>0</v>
      </c>
      <c r="L1185" s="533">
        <f t="shared" ca="1" si="116"/>
        <v>0</v>
      </c>
      <c r="M1185" s="533">
        <f t="shared" ca="1" si="116"/>
        <v>0</v>
      </c>
      <c r="N1185" s="533">
        <f t="shared" ca="1" si="116"/>
        <v>0</v>
      </c>
      <c r="O1185" s="533">
        <f t="shared" ca="1" si="116"/>
        <v>0</v>
      </c>
      <c r="P1185" s="533">
        <f t="shared" ca="1" si="116"/>
        <v>0</v>
      </c>
      <c r="Q1185" s="533">
        <f t="shared" ca="1" si="116"/>
        <v>1</v>
      </c>
      <c r="R1185" s="481"/>
      <c r="S1185" s="892"/>
      <c r="T1185" s="341"/>
      <c r="U1185" s="341"/>
      <c r="V1185" s="341"/>
      <c r="W1185" s="341"/>
      <c r="X1185" s="341"/>
      <c r="Y1185" s="341"/>
      <c r="Z1185" s="341"/>
      <c r="AA1185" s="341"/>
      <c r="AB1185" s="341"/>
      <c r="AC1185" s="341"/>
      <c r="AD1185" s="341"/>
      <c r="AE1185" s="341"/>
      <c r="AF1185" s="341"/>
    </row>
    <row r="1186" spans="1:32" ht="18.75" customHeight="1" x14ac:dyDescent="0.2">
      <c r="A1186" s="341"/>
      <c r="B1186" s="345"/>
      <c r="C1186" s="881" t="s">
        <v>1023</v>
      </c>
      <c r="D1186" s="533">
        <f t="shared" ref="D1186:Q1186" ca="1" si="117">D1173/SUM($D$1173:$P$1173)</f>
        <v>0.58220908372634728</v>
      </c>
      <c r="E1186" s="533">
        <f t="shared" ca="1" si="117"/>
        <v>0.28393306585977346</v>
      </c>
      <c r="F1186" s="533">
        <f t="shared" ca="1" si="117"/>
        <v>0.13385785041387926</v>
      </c>
      <c r="G1186" s="533">
        <f t="shared" ca="1" si="117"/>
        <v>0</v>
      </c>
      <c r="H1186" s="533">
        <f t="shared" ca="1" si="117"/>
        <v>0</v>
      </c>
      <c r="I1186" s="533">
        <f t="shared" ca="1" si="117"/>
        <v>0</v>
      </c>
      <c r="J1186" s="533">
        <f t="shared" ca="1" si="117"/>
        <v>0</v>
      </c>
      <c r="K1186" s="533">
        <f t="shared" ca="1" si="117"/>
        <v>0</v>
      </c>
      <c r="L1186" s="533">
        <f t="shared" ca="1" si="117"/>
        <v>0</v>
      </c>
      <c r="M1186" s="533">
        <f t="shared" ca="1" si="117"/>
        <v>0</v>
      </c>
      <c r="N1186" s="533">
        <f t="shared" ca="1" si="117"/>
        <v>0</v>
      </c>
      <c r="O1186" s="533">
        <f t="shared" ca="1" si="117"/>
        <v>0</v>
      </c>
      <c r="P1186" s="533">
        <f t="shared" ca="1" si="117"/>
        <v>0</v>
      </c>
      <c r="Q1186" s="533">
        <f t="shared" ca="1" si="117"/>
        <v>1</v>
      </c>
      <c r="R1186" s="481"/>
      <c r="S1186" s="892"/>
      <c r="T1186" s="341"/>
      <c r="U1186" s="341"/>
      <c r="V1186" s="341"/>
      <c r="W1186" s="341"/>
      <c r="X1186" s="341"/>
      <c r="Y1186" s="341"/>
      <c r="Z1186" s="341"/>
      <c r="AA1186" s="341"/>
      <c r="AB1186" s="341"/>
      <c r="AC1186" s="341"/>
      <c r="AD1186" s="341"/>
      <c r="AE1186" s="341"/>
      <c r="AF1186" s="341"/>
    </row>
    <row r="1187" spans="1:32" ht="18.75" customHeight="1" x14ac:dyDescent="0.2">
      <c r="A1187" s="341"/>
      <c r="B1187" s="345"/>
      <c r="C1187" s="881" t="s">
        <v>485</v>
      </c>
      <c r="D1187" s="533">
        <f t="shared" ref="D1187:Q1187" ca="1" si="118">D1174/SUM($D$1174:$P$1174)</f>
        <v>0.59350177207186794</v>
      </c>
      <c r="E1187" s="533">
        <f t="shared" ca="1" si="118"/>
        <v>0.27951185185958133</v>
      </c>
      <c r="F1187" s="533">
        <f t="shared" ca="1" si="118"/>
        <v>0.1269863760685507</v>
      </c>
      <c r="G1187" s="533">
        <f t="shared" ca="1" si="118"/>
        <v>0</v>
      </c>
      <c r="H1187" s="533">
        <f t="shared" ca="1" si="118"/>
        <v>0</v>
      </c>
      <c r="I1187" s="533">
        <f t="shared" ca="1" si="118"/>
        <v>0</v>
      </c>
      <c r="J1187" s="533">
        <f t="shared" ca="1" si="118"/>
        <v>0</v>
      </c>
      <c r="K1187" s="533">
        <f t="shared" ca="1" si="118"/>
        <v>0</v>
      </c>
      <c r="L1187" s="533">
        <f t="shared" ca="1" si="118"/>
        <v>0</v>
      </c>
      <c r="M1187" s="533">
        <f t="shared" ca="1" si="118"/>
        <v>0</v>
      </c>
      <c r="N1187" s="533">
        <f t="shared" ca="1" si="118"/>
        <v>0</v>
      </c>
      <c r="O1187" s="533">
        <f t="shared" ca="1" si="118"/>
        <v>0</v>
      </c>
      <c r="P1187" s="533">
        <f t="shared" ca="1" si="118"/>
        <v>0</v>
      </c>
      <c r="Q1187" s="533">
        <f t="shared" ca="1" si="118"/>
        <v>1</v>
      </c>
      <c r="R1187" s="481"/>
      <c r="S1187" s="892"/>
      <c r="T1187" s="341"/>
      <c r="U1187" s="341"/>
      <c r="V1187" s="341"/>
      <c r="W1187" s="341"/>
      <c r="X1187" s="341"/>
      <c r="Y1187" s="341"/>
      <c r="Z1187" s="341"/>
      <c r="AA1187" s="341"/>
      <c r="AB1187" s="341"/>
      <c r="AC1187" s="341"/>
      <c r="AD1187" s="341"/>
      <c r="AE1187" s="341"/>
      <c r="AF1187" s="341"/>
    </row>
    <row r="1188" spans="1:32" ht="18.75" customHeight="1" x14ac:dyDescent="0.2">
      <c r="A1188" s="341"/>
      <c r="B1188" s="345"/>
      <c r="C1188" s="881" t="s">
        <v>541</v>
      </c>
      <c r="D1188" s="533">
        <f t="shared" ref="D1188:Q1188" ca="1" si="119">D1175/SUM($D$1175:$P$1175)</f>
        <v>0.68190851900143634</v>
      </c>
      <c r="E1188" s="533">
        <f t="shared" ca="1" si="119"/>
        <v>0.20739072888133972</v>
      </c>
      <c r="F1188" s="533">
        <f t="shared" ca="1" si="119"/>
        <v>0.11070075211722399</v>
      </c>
      <c r="G1188" s="533">
        <f t="shared" ca="1" si="119"/>
        <v>0</v>
      </c>
      <c r="H1188" s="533">
        <f t="shared" ca="1" si="119"/>
        <v>0</v>
      </c>
      <c r="I1188" s="533">
        <f t="shared" ca="1" si="119"/>
        <v>0</v>
      </c>
      <c r="J1188" s="533">
        <f t="shared" ca="1" si="119"/>
        <v>0</v>
      </c>
      <c r="K1188" s="533">
        <f t="shared" ca="1" si="119"/>
        <v>0</v>
      </c>
      <c r="L1188" s="533">
        <f t="shared" ca="1" si="119"/>
        <v>0</v>
      </c>
      <c r="M1188" s="533">
        <f t="shared" ca="1" si="119"/>
        <v>0</v>
      </c>
      <c r="N1188" s="533">
        <f t="shared" ca="1" si="119"/>
        <v>0</v>
      </c>
      <c r="O1188" s="533">
        <f t="shared" ca="1" si="119"/>
        <v>0</v>
      </c>
      <c r="P1188" s="533">
        <f t="shared" ca="1" si="119"/>
        <v>0</v>
      </c>
      <c r="Q1188" s="533">
        <f t="shared" ca="1" si="119"/>
        <v>1</v>
      </c>
      <c r="R1188" s="481"/>
      <c r="S1188" s="892"/>
      <c r="T1188" s="341"/>
      <c r="U1188" s="341"/>
      <c r="V1188" s="341"/>
      <c r="W1188" s="341"/>
      <c r="X1188" s="341"/>
      <c r="Y1188" s="341"/>
      <c r="Z1188" s="341"/>
      <c r="AA1188" s="341"/>
      <c r="AB1188" s="341"/>
      <c r="AC1188" s="341"/>
      <c r="AD1188" s="341"/>
      <c r="AE1188" s="341"/>
      <c r="AF1188" s="341"/>
    </row>
    <row r="1189" spans="1:32" ht="18.75" customHeight="1" x14ac:dyDescent="0.2">
      <c r="A1189" s="341"/>
      <c r="B1189" s="345"/>
      <c r="C1189" s="881" t="str">
        <f>C1176</f>
        <v>Catalyst Coke</v>
      </c>
      <c r="D1189" s="533">
        <f t="shared" ref="D1189:Q1189" ca="1" si="120">D1176/SUM($D$1176:$P$1176)</f>
        <v>0.80845345712167505</v>
      </c>
      <c r="E1189" s="533">
        <f t="shared" ca="1" si="120"/>
        <v>0</v>
      </c>
      <c r="F1189" s="533">
        <f t="shared" ca="1" si="120"/>
        <v>0.19154654287832493</v>
      </c>
      <c r="G1189" s="533">
        <f t="shared" ca="1" si="120"/>
        <v>0</v>
      </c>
      <c r="H1189" s="533">
        <f t="shared" ca="1" si="120"/>
        <v>0</v>
      </c>
      <c r="I1189" s="533">
        <f t="shared" ca="1" si="120"/>
        <v>0</v>
      </c>
      <c r="J1189" s="533">
        <f t="shared" ca="1" si="120"/>
        <v>0</v>
      </c>
      <c r="K1189" s="533">
        <f t="shared" ca="1" si="120"/>
        <v>0</v>
      </c>
      <c r="L1189" s="533">
        <f t="shared" ca="1" si="120"/>
        <v>0</v>
      </c>
      <c r="M1189" s="533">
        <f t="shared" ca="1" si="120"/>
        <v>0</v>
      </c>
      <c r="N1189" s="533">
        <f t="shared" ca="1" si="120"/>
        <v>0</v>
      </c>
      <c r="O1189" s="533">
        <f t="shared" ca="1" si="120"/>
        <v>0</v>
      </c>
      <c r="P1189" s="533">
        <f t="shared" ca="1" si="120"/>
        <v>0</v>
      </c>
      <c r="Q1189" s="533">
        <f t="shared" ca="1" si="120"/>
        <v>1</v>
      </c>
      <c r="R1189" s="481"/>
      <c r="S1189" s="892"/>
      <c r="T1189" s="341"/>
      <c r="U1189" s="341"/>
      <c r="V1189" s="341"/>
      <c r="W1189" s="341"/>
      <c r="X1189" s="341"/>
      <c r="Y1189" s="341"/>
      <c r="Z1189" s="341"/>
      <c r="AA1189" s="341"/>
      <c r="AB1189" s="341"/>
      <c r="AC1189" s="341"/>
      <c r="AD1189" s="341"/>
      <c r="AE1189" s="341"/>
      <c r="AF1189" s="341"/>
    </row>
    <row r="1190" spans="1:32" ht="18.75" customHeight="1" x14ac:dyDescent="0.2">
      <c r="A1190" s="341"/>
      <c r="B1190" s="345"/>
      <c r="C1190" s="1773" t="s">
        <v>32</v>
      </c>
      <c r="D1190" s="1783">
        <f t="shared" ref="D1190:Q1190" ca="1" si="121">D1178/SUM($D$1178:$P$1178)</f>
        <v>0.61094277913305806</v>
      </c>
      <c r="E1190" s="1783">
        <f t="shared" ca="1" si="121"/>
        <v>0.26222082517241702</v>
      </c>
      <c r="F1190" s="1783">
        <f t="shared" ca="1" si="121"/>
        <v>0.12683639569452482</v>
      </c>
      <c r="G1190" s="1783">
        <f t="shared" ca="1" si="121"/>
        <v>0</v>
      </c>
      <c r="H1190" s="1783">
        <f t="shared" ca="1" si="121"/>
        <v>0</v>
      </c>
      <c r="I1190" s="1783">
        <f t="shared" ca="1" si="121"/>
        <v>0</v>
      </c>
      <c r="J1190" s="1783">
        <f t="shared" ca="1" si="121"/>
        <v>0</v>
      </c>
      <c r="K1190" s="1783">
        <f t="shared" ca="1" si="121"/>
        <v>0</v>
      </c>
      <c r="L1190" s="1783">
        <f t="shared" ca="1" si="121"/>
        <v>0</v>
      </c>
      <c r="M1190" s="1783">
        <f t="shared" ca="1" si="121"/>
        <v>0</v>
      </c>
      <c r="N1190" s="1783">
        <f t="shared" ca="1" si="121"/>
        <v>0</v>
      </c>
      <c r="O1190" s="1783">
        <f t="shared" ca="1" si="121"/>
        <v>0</v>
      </c>
      <c r="P1190" s="1783">
        <f t="shared" ca="1" si="121"/>
        <v>0</v>
      </c>
      <c r="Q1190" s="1783">
        <f t="shared" ca="1" si="121"/>
        <v>1</v>
      </c>
      <c r="R1190" s="1778"/>
      <c r="S1190" s="892"/>
      <c r="T1190" s="341"/>
      <c r="U1190" s="341"/>
      <c r="V1190" s="341"/>
      <c r="W1190" s="341"/>
      <c r="X1190" s="341"/>
      <c r="Y1190" s="341"/>
      <c r="Z1190" s="341"/>
      <c r="AA1190" s="341"/>
      <c r="AB1190" s="341"/>
      <c r="AC1190" s="341"/>
      <c r="AD1190" s="341"/>
      <c r="AE1190" s="341"/>
      <c r="AF1190" s="341"/>
    </row>
    <row r="1191" spans="1:32" ht="18.75" customHeight="1" x14ac:dyDescent="0.2">
      <c r="A1191" s="341"/>
      <c r="B1191" s="345"/>
      <c r="C1191" s="1782" t="s">
        <v>163</v>
      </c>
      <c r="D1191" s="1784">
        <f t="shared" ref="D1191:Q1191" ca="1" si="122">D1179/SUM($D$1179:$P$1179)</f>
        <v>0.39827556821110199</v>
      </c>
      <c r="E1191" s="1784">
        <f t="shared" ca="1" si="122"/>
        <v>0.40709291433936579</v>
      </c>
      <c r="F1191" s="1784">
        <f t="shared" ca="1" si="122"/>
        <v>0.19463151744953211</v>
      </c>
      <c r="G1191" s="1784">
        <f t="shared" ca="1" si="122"/>
        <v>0</v>
      </c>
      <c r="H1191" s="1784">
        <f t="shared" ca="1" si="122"/>
        <v>0</v>
      </c>
      <c r="I1191" s="1784">
        <f t="shared" ca="1" si="122"/>
        <v>0</v>
      </c>
      <c r="J1191" s="1784">
        <f t="shared" ca="1" si="122"/>
        <v>0</v>
      </c>
      <c r="K1191" s="1784">
        <f t="shared" ca="1" si="122"/>
        <v>0</v>
      </c>
      <c r="L1191" s="1784">
        <f t="shared" ca="1" si="122"/>
        <v>0</v>
      </c>
      <c r="M1191" s="1784">
        <f t="shared" ca="1" si="122"/>
        <v>0</v>
      </c>
      <c r="N1191" s="1784">
        <f t="shared" ca="1" si="122"/>
        <v>0</v>
      </c>
      <c r="O1191" s="1784">
        <f t="shared" ca="1" si="122"/>
        <v>0</v>
      </c>
      <c r="P1191" s="1784">
        <f t="shared" ca="1" si="122"/>
        <v>0</v>
      </c>
      <c r="Q1191" s="1784">
        <f t="shared" ca="1" si="122"/>
        <v>0.99999999999999956</v>
      </c>
      <c r="R1191" s="1785"/>
      <c r="S1191" s="892"/>
      <c r="T1191" s="341"/>
      <c r="U1191" s="341"/>
      <c r="V1191" s="341"/>
      <c r="W1191" s="341"/>
      <c r="X1191" s="341"/>
      <c r="Y1191" s="341"/>
      <c r="Z1191" s="341"/>
      <c r="AA1191" s="341"/>
      <c r="AB1191" s="341"/>
      <c r="AC1191" s="341"/>
      <c r="AD1191" s="341"/>
      <c r="AE1191" s="341"/>
      <c r="AF1191" s="341"/>
    </row>
    <row r="1192" spans="1:32" ht="18.75" customHeight="1" x14ac:dyDescent="0.2">
      <c r="A1192" s="341"/>
      <c r="B1192" s="345"/>
      <c r="C1192" s="519"/>
      <c r="D1192" s="518"/>
      <c r="E1192" s="518"/>
      <c r="F1192" s="518"/>
      <c r="G1192" s="518"/>
      <c r="H1192" s="518"/>
      <c r="I1192" s="518"/>
      <c r="J1192" s="518"/>
      <c r="K1192" s="518"/>
      <c r="L1192" s="518"/>
      <c r="M1192" s="518"/>
      <c r="N1192" s="518"/>
      <c r="O1192" s="518"/>
      <c r="P1192" s="518"/>
      <c r="Q1192" s="518"/>
      <c r="R1192" s="518"/>
      <c r="S1192" s="892"/>
      <c r="T1192" s="341"/>
      <c r="U1192" s="341"/>
      <c r="V1192" s="341"/>
      <c r="W1192" s="341"/>
      <c r="X1192" s="341"/>
      <c r="Y1192" s="341"/>
      <c r="Z1192" s="341"/>
      <c r="AA1192" s="341"/>
      <c r="AB1192" s="341"/>
      <c r="AC1192" s="341"/>
      <c r="AD1192" s="341"/>
      <c r="AE1192" s="341"/>
      <c r="AF1192" s="341"/>
    </row>
    <row r="1193" spans="1:32" ht="18.75" customHeight="1" x14ac:dyDescent="0.2">
      <c r="A1193" s="341"/>
      <c r="B1193" s="345"/>
      <c r="C1193" s="440" t="s">
        <v>775</v>
      </c>
      <c r="D1193" s="1776"/>
      <c r="E1193" s="518"/>
      <c r="F1193" s="518"/>
      <c r="G1193" s="518"/>
      <c r="H1193" s="518"/>
      <c r="I1193" s="518"/>
      <c r="J1193" s="518"/>
      <c r="K1193" s="518"/>
      <c r="L1193" s="518"/>
      <c r="M1193" s="518"/>
      <c r="N1193" s="518"/>
      <c r="O1193" s="518"/>
      <c r="P1193" s="518"/>
      <c r="Q1193" s="518"/>
      <c r="R1193" s="518"/>
      <c r="S1193" s="892"/>
      <c r="T1193" s="341"/>
      <c r="U1193" s="341"/>
      <c r="V1193" s="341"/>
      <c r="W1193" s="341"/>
      <c r="X1193" s="341"/>
      <c r="Y1193" s="341"/>
      <c r="Z1193" s="341"/>
      <c r="AA1193" s="341"/>
      <c r="AB1193" s="341"/>
      <c r="AC1193" s="341"/>
      <c r="AD1193" s="341"/>
      <c r="AE1193" s="341"/>
      <c r="AF1193" s="341"/>
    </row>
    <row r="1194" spans="1:32" ht="18.75" customHeight="1" x14ac:dyDescent="0.2">
      <c r="A1194" s="341"/>
      <c r="B1194" s="345"/>
      <c r="C1194" s="908" t="s">
        <v>1410</v>
      </c>
      <c r="D1194" s="902">
        <f ca="1">'HydroRefinery Detailed Results'!P32</f>
        <v>6346085.8726452049</v>
      </c>
      <c r="E1194" s="903" t="s">
        <v>522</v>
      </c>
      <c r="F1194" s="518"/>
      <c r="G1194" s="518"/>
      <c r="H1194" s="518"/>
      <c r="I1194" s="518"/>
      <c r="J1194" s="518"/>
      <c r="K1194" s="518"/>
      <c r="L1194" s="518"/>
      <c r="M1194" s="518"/>
      <c r="N1194" s="518"/>
      <c r="O1194" s="518"/>
      <c r="P1194" s="518"/>
      <c r="Q1194" s="518"/>
      <c r="R1194" s="518"/>
      <c r="S1194" s="892"/>
      <c r="T1194" s="341"/>
      <c r="U1194" s="341"/>
      <c r="V1194" s="341"/>
      <c r="W1194" s="341"/>
      <c r="X1194" s="341"/>
      <c r="Y1194" s="341"/>
      <c r="Z1194" s="341"/>
      <c r="AA1194" s="341"/>
      <c r="AB1194" s="341"/>
      <c r="AC1194" s="341"/>
      <c r="AD1194" s="341"/>
      <c r="AE1194" s="341"/>
      <c r="AF1194" s="341"/>
    </row>
    <row r="1195" spans="1:32" ht="18.75" customHeight="1" x14ac:dyDescent="0.2">
      <c r="A1195" s="341"/>
      <c r="B1195" s="345"/>
      <c r="C1195" s="904" t="s">
        <v>1411</v>
      </c>
      <c r="D1195" s="909">
        <f ca="1">D1194-Q1175</f>
        <v>-3443491.4329384435</v>
      </c>
      <c r="E1195" s="907" t="s">
        <v>522</v>
      </c>
      <c r="F1195" s="518"/>
      <c r="G1195" s="518"/>
      <c r="H1195" s="518"/>
      <c r="I1195" s="518"/>
      <c r="J1195" s="518"/>
      <c r="K1195" s="518"/>
      <c r="L1195" s="518"/>
      <c r="M1195" s="518"/>
      <c r="N1195" s="518"/>
      <c r="O1195" s="518"/>
      <c r="P1195" s="518"/>
      <c r="Q1195" s="518"/>
      <c r="R1195" s="518"/>
      <c r="S1195" s="892"/>
      <c r="T1195" s="341"/>
      <c r="U1195" s="341"/>
      <c r="V1195" s="341"/>
      <c r="W1195" s="341"/>
      <c r="X1195" s="341"/>
      <c r="Y1195" s="341"/>
      <c r="Z1195" s="341"/>
      <c r="AA1195" s="341"/>
      <c r="AB1195" s="341"/>
      <c r="AC1195" s="341"/>
      <c r="AD1195" s="341"/>
      <c r="AE1195" s="341"/>
      <c r="AF1195" s="341"/>
    </row>
    <row r="1196" spans="1:32" ht="18.75" customHeight="1" x14ac:dyDescent="0.2">
      <c r="A1196" s="341"/>
      <c r="B1196" s="345"/>
      <c r="C1196" s="908" t="s">
        <v>772</v>
      </c>
      <c r="D1196" s="902">
        <f t="shared" ref="D1196:Q1196" ca="1" si="123">IF(D1175&lt;0,0,IF($D$1195&gt;0,D1175,D1188*$D$1194))</f>
        <v>4327450.0188714294</v>
      </c>
      <c r="E1196" s="902">
        <f t="shared" ca="1" si="123"/>
        <v>1316119.3746714618</v>
      </c>
      <c r="F1196" s="902">
        <f t="shared" ca="1" si="123"/>
        <v>702516.47910231398</v>
      </c>
      <c r="G1196" s="902">
        <f t="shared" ca="1" si="123"/>
        <v>0</v>
      </c>
      <c r="H1196" s="902">
        <f t="shared" ca="1" si="123"/>
        <v>0</v>
      </c>
      <c r="I1196" s="902">
        <f t="shared" ca="1" si="123"/>
        <v>0</v>
      </c>
      <c r="J1196" s="902">
        <f t="shared" ca="1" si="123"/>
        <v>0</v>
      </c>
      <c r="K1196" s="902">
        <f t="shared" ca="1" si="123"/>
        <v>0</v>
      </c>
      <c r="L1196" s="902">
        <f t="shared" ref="L1196" ca="1" si="124">IF(L1175&lt;0,0,IF($D$1195&gt;0,L1175,L1188*$D$1194))</f>
        <v>0</v>
      </c>
      <c r="M1196" s="902">
        <f t="shared" ca="1" si="123"/>
        <v>0</v>
      </c>
      <c r="N1196" s="902">
        <f ca="1">IF(N1175&lt;0,0,IF($D$1195&gt;0,N1175,N1188*$D$1194))</f>
        <v>0</v>
      </c>
      <c r="O1196" s="902">
        <f t="shared" ref="O1196:P1196" ca="1" si="125">IF(O1175&lt;0,0,IF($D$1195&gt;0,O1175,O1188*$D$1194))</f>
        <v>0</v>
      </c>
      <c r="P1196" s="902">
        <f t="shared" ca="1" si="125"/>
        <v>0</v>
      </c>
      <c r="Q1196" s="903">
        <f t="shared" ca="1" si="123"/>
        <v>6346085.8726452049</v>
      </c>
      <c r="R1196" s="518"/>
      <c r="S1196" s="892"/>
      <c r="T1196" s="341"/>
      <c r="U1196" s="341"/>
      <c r="V1196" s="341"/>
      <c r="W1196" s="341"/>
      <c r="X1196" s="341"/>
      <c r="Y1196" s="341"/>
      <c r="Z1196" s="341"/>
      <c r="AA1196" s="341"/>
      <c r="AB1196" s="341"/>
      <c r="AC1196" s="341"/>
      <c r="AD1196" s="341"/>
      <c r="AE1196" s="341"/>
      <c r="AF1196" s="341"/>
    </row>
    <row r="1197" spans="1:32" ht="18.75" customHeight="1" x14ac:dyDescent="0.2">
      <c r="A1197" s="341"/>
      <c r="B1197" s="345"/>
      <c r="C1197" s="881" t="s">
        <v>391</v>
      </c>
      <c r="D1197" s="518">
        <f t="shared" ref="D1197:Q1197" ca="1" si="126">IF(D1175&lt;0,0,IF((D1175-D1196)&gt;0,(D1175-D1196),0))</f>
        <v>2348146.1432291884</v>
      </c>
      <c r="E1197" s="518">
        <f t="shared" ca="1" si="126"/>
        <v>714148.19817375299</v>
      </c>
      <c r="F1197" s="518">
        <f t="shared" ca="1" si="126"/>
        <v>381197.09153550304</v>
      </c>
      <c r="G1197" s="518">
        <f t="shared" ca="1" si="126"/>
        <v>0</v>
      </c>
      <c r="H1197" s="518">
        <f t="shared" ca="1" si="126"/>
        <v>0</v>
      </c>
      <c r="I1197" s="518">
        <f t="shared" ca="1" si="126"/>
        <v>0</v>
      </c>
      <c r="J1197" s="518">
        <f t="shared" ca="1" si="126"/>
        <v>0</v>
      </c>
      <c r="K1197" s="518">
        <f t="shared" ca="1" si="126"/>
        <v>0</v>
      </c>
      <c r="L1197" s="518">
        <f t="shared" ref="L1197" ca="1" si="127">IF(L1175&lt;0,0,IF((L1175-L1196)&gt;0,(L1175-L1196),0))</f>
        <v>0</v>
      </c>
      <c r="M1197" s="518">
        <f t="shared" ca="1" si="126"/>
        <v>0</v>
      </c>
      <c r="N1197" s="518">
        <f t="shared" ref="N1197:P1197" ca="1" si="128">IF(N1175&lt;0,0,IF((N1175-N1196)&gt;0,(N1175-N1196),0))</f>
        <v>0</v>
      </c>
      <c r="O1197" s="518">
        <f t="shared" ca="1" si="128"/>
        <v>0</v>
      </c>
      <c r="P1197" s="518">
        <f t="shared" ca="1" si="128"/>
        <v>0</v>
      </c>
      <c r="Q1197" s="481">
        <f t="shared" ca="1" si="126"/>
        <v>3443491.4329384435</v>
      </c>
      <c r="R1197" s="518"/>
      <c r="S1197" s="892"/>
      <c r="T1197" s="341"/>
      <c r="U1197" s="341"/>
      <c r="V1197" s="341"/>
      <c r="W1197" s="341"/>
      <c r="X1197" s="341"/>
      <c r="Y1197" s="341"/>
      <c r="Z1197" s="341"/>
      <c r="AA1197" s="341"/>
      <c r="AB1197" s="341"/>
      <c r="AC1197" s="341"/>
      <c r="AD1197" s="341"/>
      <c r="AE1197" s="341"/>
      <c r="AF1197" s="341"/>
    </row>
    <row r="1198" spans="1:32" ht="18.75" customHeight="1" x14ac:dyDescent="0.2">
      <c r="A1198" s="341"/>
      <c r="B1198" s="345"/>
      <c r="C1198" s="881" t="s">
        <v>980</v>
      </c>
      <c r="D1198" s="518">
        <f ca="1">-IF($D$1195&gt;0,D1188*D1195,0)</f>
        <v>0</v>
      </c>
      <c r="E1198" s="518">
        <f ca="1">-IF($D$1195&gt;0,E1188*D1195,0)</f>
        <v>0</v>
      </c>
      <c r="F1198" s="518">
        <f t="shared" ref="F1198:Q1198" ca="1" si="129">-IF($D$1195&gt;0,F1188*F1195,0)</f>
        <v>0</v>
      </c>
      <c r="G1198" s="518">
        <f t="shared" ca="1" si="129"/>
        <v>0</v>
      </c>
      <c r="H1198" s="518">
        <f t="shared" ca="1" si="129"/>
        <v>0</v>
      </c>
      <c r="I1198" s="518">
        <f t="shared" ca="1" si="129"/>
        <v>0</v>
      </c>
      <c r="J1198" s="518">
        <f t="shared" ca="1" si="129"/>
        <v>0</v>
      </c>
      <c r="K1198" s="518">
        <f t="shared" ca="1" si="129"/>
        <v>0</v>
      </c>
      <c r="L1198" s="518">
        <f t="shared" ref="L1198" ca="1" si="130">-IF($D$1195&gt;0,L1188*L1195,0)</f>
        <v>0</v>
      </c>
      <c r="M1198" s="518">
        <f t="shared" ca="1" si="129"/>
        <v>0</v>
      </c>
      <c r="N1198" s="518">
        <f t="shared" ref="N1198:P1198" ca="1" si="131">-IF($D$1195&gt;0,N1188*N1195,0)</f>
        <v>0</v>
      </c>
      <c r="O1198" s="518">
        <f t="shared" ca="1" si="131"/>
        <v>0</v>
      </c>
      <c r="P1198" s="518">
        <f t="shared" ca="1" si="131"/>
        <v>0</v>
      </c>
      <c r="Q1198" s="481">
        <f t="shared" ca="1" si="129"/>
        <v>0</v>
      </c>
      <c r="R1198" s="518"/>
      <c r="S1198" s="892"/>
      <c r="T1198" s="341"/>
      <c r="U1198" s="341"/>
      <c r="V1198" s="341"/>
      <c r="W1198" s="341"/>
      <c r="X1198" s="341"/>
      <c r="Y1198" s="341"/>
      <c r="Z1198" s="341"/>
      <c r="AA1198" s="341"/>
      <c r="AB1198" s="341"/>
      <c r="AC1198" s="341"/>
      <c r="AD1198" s="341"/>
      <c r="AE1198" s="341"/>
      <c r="AF1198" s="341"/>
    </row>
    <row r="1199" spans="1:32" ht="18.75" customHeight="1" x14ac:dyDescent="0.2">
      <c r="A1199" s="341"/>
      <c r="B1199" s="345"/>
      <c r="C1199" s="904" t="s">
        <v>1047</v>
      </c>
      <c r="D1199" s="909">
        <f t="shared" ref="D1199:M1199" ca="1" si="132">-$K$1164*D1186</f>
        <v>-6659135.9458711231</v>
      </c>
      <c r="E1199" s="909">
        <f t="shared" ca="1" si="132"/>
        <v>-3247542.7435565563</v>
      </c>
      <c r="F1199" s="909">
        <f t="shared" ca="1" si="132"/>
        <v>-1531026.6504654416</v>
      </c>
      <c r="G1199" s="909">
        <f t="shared" ca="1" si="132"/>
        <v>0</v>
      </c>
      <c r="H1199" s="909">
        <f t="shared" ca="1" si="132"/>
        <v>0</v>
      </c>
      <c r="I1199" s="909">
        <f t="shared" ca="1" si="132"/>
        <v>0</v>
      </c>
      <c r="J1199" s="909">
        <f t="shared" ca="1" si="132"/>
        <v>0</v>
      </c>
      <c r="K1199" s="909">
        <f t="shared" ca="1" si="132"/>
        <v>0</v>
      </c>
      <c r="L1199" s="909">
        <f t="shared" ref="L1199" ca="1" si="133">-$K$1164*L1186</f>
        <v>0</v>
      </c>
      <c r="M1199" s="909">
        <f t="shared" ca="1" si="132"/>
        <v>0</v>
      </c>
      <c r="N1199" s="909">
        <f t="shared" ref="N1199:P1199" ca="1" si="134">-$K$1164*N1186</f>
        <v>0</v>
      </c>
      <c r="O1199" s="909">
        <f t="shared" ca="1" si="134"/>
        <v>0</v>
      </c>
      <c r="P1199" s="909">
        <f t="shared" ca="1" si="134"/>
        <v>0</v>
      </c>
      <c r="Q1199" s="907">
        <f ca="1">SUM(D1199:M1199)</f>
        <v>-11437705.339893121</v>
      </c>
      <c r="R1199" s="518"/>
      <c r="S1199" s="892"/>
      <c r="T1199" s="341"/>
      <c r="U1199" s="341"/>
      <c r="V1199" s="341"/>
      <c r="W1199" s="341"/>
      <c r="X1199" s="341"/>
      <c r="Y1199" s="341"/>
      <c r="Z1199" s="341"/>
      <c r="AA1199" s="341"/>
      <c r="AB1199" s="341"/>
      <c r="AC1199" s="341"/>
      <c r="AD1199" s="341"/>
      <c r="AE1199" s="341"/>
      <c r="AF1199" s="341"/>
    </row>
    <row r="1200" spans="1:32" ht="18.75" customHeight="1" x14ac:dyDescent="0.2">
      <c r="A1200" s="341"/>
      <c r="B1200" s="345"/>
      <c r="C1200" s="519"/>
      <c r="D1200" s="518"/>
      <c r="E1200" s="518"/>
      <c r="F1200" s="518"/>
      <c r="G1200" s="518"/>
      <c r="H1200" s="518"/>
      <c r="I1200" s="518"/>
      <c r="J1200" s="518"/>
      <c r="K1200" s="518"/>
      <c r="L1200" s="518"/>
      <c r="M1200" s="518"/>
      <c r="N1200" s="518"/>
      <c r="O1200" s="518"/>
      <c r="P1200" s="518"/>
      <c r="Q1200" s="518"/>
      <c r="R1200" s="518"/>
      <c r="S1200" s="892"/>
      <c r="T1200" s="341"/>
      <c r="U1200" s="341"/>
      <c r="V1200" s="341"/>
      <c r="W1200" s="341"/>
      <c r="X1200" s="341"/>
      <c r="Y1200" s="341"/>
      <c r="Z1200" s="341"/>
      <c r="AA1200" s="341"/>
      <c r="AB1200" s="341"/>
      <c r="AC1200" s="341"/>
      <c r="AD1200" s="341"/>
      <c r="AE1200" s="341"/>
      <c r="AF1200" s="341"/>
    </row>
    <row r="1201" spans="1:32" ht="18.75" customHeight="1" x14ac:dyDescent="0.2">
      <c r="A1201" s="341"/>
      <c r="B1201" s="345"/>
      <c r="C1201" s="440" t="s">
        <v>1406</v>
      </c>
      <c r="D1201" s="518"/>
      <c r="E1201" s="518"/>
      <c r="F1201" s="518"/>
      <c r="G1201" s="518"/>
      <c r="H1201" s="518"/>
      <c r="I1201" s="518"/>
      <c r="J1201" s="518"/>
      <c r="K1201" s="518"/>
      <c r="L1201" s="518"/>
      <c r="M1201" s="518"/>
      <c r="N1201" s="518"/>
      <c r="O1201" s="518"/>
      <c r="P1201" s="518"/>
      <c r="Q1201" s="518"/>
      <c r="R1201" s="518"/>
      <c r="S1201" s="892"/>
      <c r="T1201" s="341"/>
      <c r="U1201" s="341"/>
      <c r="V1201" s="341"/>
      <c r="W1201" s="341"/>
      <c r="X1201" s="341"/>
      <c r="Y1201" s="341"/>
      <c r="Z1201" s="341"/>
      <c r="AA1201" s="341"/>
      <c r="AB1201" s="341"/>
      <c r="AC1201" s="341"/>
      <c r="AD1201" s="341"/>
      <c r="AE1201" s="341"/>
      <c r="AF1201" s="341"/>
    </row>
    <row r="1202" spans="1:32" ht="18.75" customHeight="1" x14ac:dyDescent="0.2">
      <c r="A1202" s="341"/>
      <c r="B1202" s="345"/>
      <c r="C1202" s="1770" t="s">
        <v>160</v>
      </c>
      <c r="D1202" s="1771"/>
      <c r="E1202" s="1771"/>
      <c r="F1202" s="1771"/>
      <c r="G1202" s="1771"/>
      <c r="H1202" s="1771"/>
      <c r="I1202" s="1771"/>
      <c r="J1202" s="1771"/>
      <c r="K1202" s="1771"/>
      <c r="L1202" s="1771"/>
      <c r="M1202" s="1771"/>
      <c r="N1202" s="1771"/>
      <c r="O1202" s="1771"/>
      <c r="P1202" s="1771"/>
      <c r="Q1202" s="1772"/>
      <c r="R1202" s="518"/>
      <c r="S1202" s="892"/>
      <c r="T1202" s="341"/>
      <c r="U1202" s="341"/>
      <c r="V1202" s="341"/>
      <c r="W1202" s="341"/>
      <c r="X1202" s="341"/>
      <c r="Y1202" s="341"/>
      <c r="Z1202" s="341"/>
      <c r="AA1202" s="341"/>
      <c r="AB1202" s="341"/>
      <c r="AC1202" s="341"/>
      <c r="AD1202" s="341"/>
      <c r="AE1202" s="341"/>
      <c r="AF1202" s="341"/>
    </row>
    <row r="1203" spans="1:32" ht="18.75" customHeight="1" x14ac:dyDescent="0.2">
      <c r="A1203" s="341"/>
      <c r="B1203" s="345"/>
      <c r="C1203" s="881" t="str">
        <f>C1170</f>
        <v>Crude</v>
      </c>
      <c r="D1203" s="518">
        <f ca="1">D1170/HydroRefineryCalcs!$D$1164</f>
        <v>1.825850910665068</v>
      </c>
      <c r="E1203" s="518">
        <f ca="1">E1170/HydroRefineryCalcs!$E$1164</f>
        <v>1.5494745319714134</v>
      </c>
      <c r="F1203" s="518">
        <f ca="1">F1170/$F$1164</f>
        <v>1.5287223920773192</v>
      </c>
      <c r="G1203" s="518">
        <f ca="1">G1170/HydroRefineryCalcs!$G$1164</f>
        <v>0</v>
      </c>
      <c r="H1203" s="518">
        <f ca="1">H1170/HydroRefineryCalcs!$H$1164</f>
        <v>0</v>
      </c>
      <c r="I1203" s="518">
        <f ca="1">IF($I$1164&lt;1,0,I1170/$I$1164)</f>
        <v>0</v>
      </c>
      <c r="J1203" s="518">
        <f ca="1">IF($J$1164&gt;1,J1170/$J$1164,0)</f>
        <v>0</v>
      </c>
      <c r="K1203" s="518">
        <f ca="1">K1170/$K$1164</f>
        <v>0</v>
      </c>
      <c r="L1203" s="518">
        <f ca="1">L1170/$K$1164</f>
        <v>0</v>
      </c>
      <c r="M1203" s="518">
        <f ca="1">M1170/$M$1165</f>
        <v>0</v>
      </c>
      <c r="N1203" s="518">
        <f ca="1">N1170/N$1164</f>
        <v>0</v>
      </c>
      <c r="O1203" s="518">
        <f t="shared" ref="O1203" ca="1" si="135">O1170/O$1164</f>
        <v>0</v>
      </c>
      <c r="P1203" s="518">
        <f ca="1">IF(P$1164=0,0,P1170/P$1164)</f>
        <v>0</v>
      </c>
      <c r="Q1203" s="481">
        <f ca="1">Q1170/$Q$1164</f>
        <v>0.98096139695166129</v>
      </c>
      <c r="R1203" s="518"/>
      <c r="S1203" s="892"/>
      <c r="T1203" s="341"/>
      <c r="U1203" s="341"/>
      <c r="V1203" s="341"/>
      <c r="W1203" s="341"/>
      <c r="X1203" s="341"/>
      <c r="Y1203" s="341"/>
      <c r="Z1203" s="341"/>
      <c r="AA1203" s="341"/>
      <c r="AB1203" s="341"/>
      <c r="AC1203" s="341"/>
      <c r="AD1203" s="341"/>
      <c r="AE1203" s="341"/>
      <c r="AF1203" s="341"/>
    </row>
    <row r="1204" spans="1:32" ht="18.75" customHeight="1" x14ac:dyDescent="0.2">
      <c r="A1204" s="341"/>
      <c r="B1204" s="345"/>
      <c r="C1204" s="1773" t="s">
        <v>201</v>
      </c>
      <c r="D1204" s="1774"/>
      <c r="E1204" s="1774"/>
      <c r="F1204" s="1774"/>
      <c r="G1204" s="1774"/>
      <c r="H1204" s="1774"/>
      <c r="I1204" s="1774"/>
      <c r="J1204" s="1774"/>
      <c r="K1204" s="1774"/>
      <c r="L1204" s="1774"/>
      <c r="M1204" s="1774"/>
      <c r="N1204" s="1774"/>
      <c r="O1204" s="1774"/>
      <c r="P1204" s="1774"/>
      <c r="Q1204" s="1775"/>
      <c r="R1204" s="518"/>
      <c r="S1204" s="892"/>
      <c r="T1204" s="341"/>
      <c r="U1204" s="341"/>
      <c r="V1204" s="341"/>
      <c r="W1204" s="341"/>
      <c r="X1204" s="341"/>
      <c r="Y1204" s="341"/>
      <c r="Z1204" s="341"/>
      <c r="AA1204" s="341"/>
      <c r="AB1204" s="341"/>
      <c r="AC1204" s="341"/>
      <c r="AD1204" s="341"/>
      <c r="AE1204" s="341"/>
      <c r="AF1204" s="341"/>
    </row>
    <row r="1205" spans="1:32" ht="18.75" customHeight="1" x14ac:dyDescent="0.2">
      <c r="A1205" s="341"/>
      <c r="B1205" s="345"/>
      <c r="C1205" s="881" t="str">
        <f>C1172</f>
        <v>Electricity</v>
      </c>
      <c r="D1205" s="518">
        <f ca="1">D1172/HydroRefineryCalcs!$D$1164</f>
        <v>5.1483981475435488E-3</v>
      </c>
      <c r="E1205" s="518">
        <f ca="1">E1172/HydroRefineryCalcs!$E$1164</f>
        <v>2.1157491153671985E-3</v>
      </c>
      <c r="F1205" s="518">
        <f ca="1">F1172/HydroRefineryCalcs!$F$1164</f>
        <v>1.9861576532102117E-3</v>
      </c>
      <c r="G1205" s="518">
        <f ca="1">G1172/HydroRefineryCalcs!$G$1164</f>
        <v>0</v>
      </c>
      <c r="H1205" s="518">
        <f ca="1">H1172/HydroRefineryCalcs!$H$1164</f>
        <v>0</v>
      </c>
      <c r="I1205" s="518">
        <f t="shared" ref="I1205:I1210" ca="1" si="136">IF($I$1164&lt;1,0,I1172/$I$1164)</f>
        <v>0</v>
      </c>
      <c r="J1205" s="518">
        <f ca="1">IF($J$1164&gt;1,J1172/$J$1164,0)</f>
        <v>0</v>
      </c>
      <c r="K1205" s="518">
        <f t="shared" ref="K1205:L1207" ca="1" si="137">K1172/$K$1164</f>
        <v>0</v>
      </c>
      <c r="L1205" s="518">
        <f t="shared" ca="1" si="137"/>
        <v>0</v>
      </c>
      <c r="M1205" s="518">
        <f ca="1">M1172/$M$1165</f>
        <v>0</v>
      </c>
      <c r="N1205" s="518">
        <f t="shared" ref="N1205:O1205" ca="1" si="138">N1172/N$1164</f>
        <v>0</v>
      </c>
      <c r="O1205" s="518">
        <f t="shared" ca="1" si="138"/>
        <v>0</v>
      </c>
      <c r="P1205" s="518">
        <f ca="1">IF($P1172=0,0,P1172/P$1164)</f>
        <v>0</v>
      </c>
      <c r="Q1205" s="481">
        <f ca="1">Q1172/$Q$1164</f>
        <v>1.8760740062071554E-3</v>
      </c>
      <c r="R1205" s="518"/>
      <c r="S1205" s="892"/>
      <c r="T1205" s="341"/>
      <c r="U1205" s="341"/>
      <c r="V1205" s="341"/>
      <c r="W1205" s="341"/>
      <c r="X1205" s="341"/>
      <c r="Y1205" s="341"/>
      <c r="Z1205" s="341"/>
      <c r="AA1205" s="341"/>
      <c r="AB1205" s="341"/>
      <c r="AC1205" s="341"/>
      <c r="AD1205" s="341"/>
      <c r="AE1205" s="341"/>
      <c r="AF1205" s="341"/>
    </row>
    <row r="1206" spans="1:32" ht="18.75" customHeight="1" x14ac:dyDescent="0.2">
      <c r="A1206" s="341"/>
      <c r="B1206" s="345"/>
      <c r="C1206" s="881" t="str">
        <f>C1173</f>
        <v>Heat</v>
      </c>
      <c r="D1206" s="518">
        <f ca="1">D1173/HydroRefineryCalcs!$D$1164</f>
        <v>0.10472369478697421</v>
      </c>
      <c r="E1206" s="518">
        <f ca="1">E1173/HydroRefineryCalcs!$E$1164</f>
        <v>4.0133216287560343E-2</v>
      </c>
      <c r="F1206" s="518">
        <f ca="1">F1173/HydroRefineryCalcs!$F$1164</f>
        <v>3.9061912118124216E-2</v>
      </c>
      <c r="G1206" s="518">
        <f ca="1">G1173/HydroRefineryCalcs!$G$1164</f>
        <v>0</v>
      </c>
      <c r="H1206" s="518">
        <f ca="1">H1173/HydroRefineryCalcs!$H$1164</f>
        <v>0</v>
      </c>
      <c r="I1206" s="518">
        <f t="shared" ca="1" si="136"/>
        <v>0</v>
      </c>
      <c r="J1206" s="518">
        <f ca="1">IF($J$1164&gt;1,J1173/$J$1164,0)</f>
        <v>0</v>
      </c>
      <c r="K1206" s="518">
        <f t="shared" ca="1" si="137"/>
        <v>0</v>
      </c>
      <c r="L1206" s="518">
        <f t="shared" ca="1" si="137"/>
        <v>0</v>
      </c>
      <c r="M1206" s="518">
        <f ca="1">M1173/$M$1165</f>
        <v>0</v>
      </c>
      <c r="N1206" s="518">
        <f t="shared" ref="N1206:O1206" ca="1" si="139">N1173/N$1164</f>
        <v>0</v>
      </c>
      <c r="O1206" s="518">
        <f t="shared" ca="1" si="139"/>
        <v>0</v>
      </c>
      <c r="P1206" s="518">
        <f ca="1">IF($P1173=0,0,P1173/P$1164)</f>
        <v>0</v>
      </c>
      <c r="Q1206" s="481">
        <f ca="1">Q1173/$Q$1164</f>
        <v>3.7225888788850678E-2</v>
      </c>
      <c r="R1206" s="518"/>
      <c r="S1206" s="892"/>
      <c r="T1206" s="341"/>
      <c r="U1206" s="341"/>
      <c r="V1206" s="341"/>
      <c r="W1206" s="341"/>
      <c r="X1206" s="341"/>
      <c r="Y1206" s="341"/>
      <c r="Z1206" s="341"/>
      <c r="AA1206" s="341"/>
      <c r="AB1206" s="341"/>
      <c r="AC1206" s="341"/>
      <c r="AD1206" s="341"/>
      <c r="AE1206" s="341"/>
      <c r="AF1206" s="341"/>
    </row>
    <row r="1207" spans="1:32" ht="18.75" customHeight="1" x14ac:dyDescent="0.2">
      <c r="A1207" s="341"/>
      <c r="B1207" s="345"/>
      <c r="C1207" s="881" t="str">
        <f>C1174</f>
        <v>Steam</v>
      </c>
      <c r="D1207" s="518">
        <f ca="1">D1174/HydroRefineryCalcs!$D$1164</f>
        <v>1.1455453961401508E-2</v>
      </c>
      <c r="E1207" s="518">
        <f ca="1">E1174/HydroRefineryCalcs!$E$1164</f>
        <v>4.2394793708955851E-3</v>
      </c>
      <c r="F1207" s="518">
        <f ca="1">F1174/HydroRefineryCalcs!$F$1164</f>
        <v>3.9764093531890936E-3</v>
      </c>
      <c r="G1207" s="518">
        <f ca="1">G1174/HydroRefineryCalcs!$G$1164</f>
        <v>0</v>
      </c>
      <c r="H1207" s="518">
        <f ca="1">H1174/HydroRefineryCalcs!$H$1164</f>
        <v>0</v>
      </c>
      <c r="I1207" s="518">
        <f t="shared" ca="1" si="136"/>
        <v>0</v>
      </c>
      <c r="J1207" s="518">
        <f ca="1">IF($J$1164&gt;1,J1174/$J$1164,0)</f>
        <v>0</v>
      </c>
      <c r="K1207" s="518">
        <f t="shared" ca="1" si="137"/>
        <v>0</v>
      </c>
      <c r="L1207" s="518">
        <f t="shared" ca="1" si="137"/>
        <v>0</v>
      </c>
      <c r="M1207" s="518">
        <f ca="1">M1174/$M$1165</f>
        <v>0</v>
      </c>
      <c r="N1207" s="518">
        <f t="shared" ref="N1207:O1207" ca="1" si="140">N1174/N$1164</f>
        <v>0</v>
      </c>
      <c r="O1207" s="518">
        <f t="shared" ca="1" si="140"/>
        <v>0</v>
      </c>
      <c r="P1207" s="518">
        <f ca="1">IF($P1174=0,0,P1174/P$1164)</f>
        <v>0</v>
      </c>
      <c r="Q1207" s="481">
        <f ca="1">Q1174/$Q$1164</f>
        <v>3.994563971705562E-3</v>
      </c>
      <c r="R1207" s="518"/>
      <c r="S1207" s="892"/>
      <c r="T1207" s="341"/>
      <c r="U1207" s="341"/>
      <c r="V1207" s="341"/>
      <c r="W1207" s="341"/>
      <c r="X1207" s="341"/>
      <c r="Y1207" s="341"/>
      <c r="Z1207" s="341"/>
      <c r="AA1207" s="341"/>
      <c r="AB1207" s="341"/>
      <c r="AC1207" s="341"/>
      <c r="AD1207" s="341"/>
      <c r="AE1207" s="341"/>
      <c r="AF1207" s="341"/>
    </row>
    <row r="1208" spans="1:32" ht="18.75" customHeight="1" x14ac:dyDescent="0.2">
      <c r="A1208" s="341"/>
      <c r="B1208" s="345"/>
      <c r="C1208" s="881" t="s">
        <v>772</v>
      </c>
      <c r="D1208" s="518">
        <f ca="1">D1196/D1164</f>
        <v>3.6719360132289443E-2</v>
      </c>
      <c r="E1208" s="518">
        <f ca="1">E1196/E1164</f>
        <v>8.7756711588675897E-3</v>
      </c>
      <c r="F1208" s="518">
        <f ca="1">F1196/F1164</f>
        <v>9.6708185089025133E-3</v>
      </c>
      <c r="G1208" s="518">
        <f ca="1">G1196/G1164</f>
        <v>0</v>
      </c>
      <c r="H1208" s="518">
        <f ca="1">H1196/H1164</f>
        <v>0</v>
      </c>
      <c r="I1208" s="518">
        <f t="shared" ca="1" si="136"/>
        <v>0</v>
      </c>
      <c r="J1208" s="518">
        <f ca="1">IF($J$1164&gt;1,J1196/J1164,0)</f>
        <v>0</v>
      </c>
      <c r="K1208" s="518">
        <f ca="1">IF(K1164=0,0,K1196/K1164)</f>
        <v>0</v>
      </c>
      <c r="L1208" s="518">
        <f ca="1">IF(L1164=0,0,L1196/L1164)</f>
        <v>0</v>
      </c>
      <c r="M1208" s="518">
        <f ca="1">M1196/M1165</f>
        <v>0</v>
      </c>
      <c r="N1208" s="518">
        <f ca="1">N1196/N$1164</f>
        <v>0</v>
      </c>
      <c r="O1208" s="518">
        <f t="shared" ref="O1208" ca="1" si="141">O1196/O$1164</f>
        <v>0</v>
      </c>
      <c r="P1208" s="518">
        <f ca="1">IF(P$1164=0,0,P1196/P$1164)</f>
        <v>0</v>
      </c>
      <c r="Q1208" s="481">
        <f ca="1">Q1196/Q1164</f>
        <v>1.1144179147386397E-2</v>
      </c>
      <c r="R1208" s="518"/>
      <c r="S1208" s="892"/>
      <c r="T1208" s="341"/>
      <c r="U1208" s="341"/>
      <c r="V1208" s="341"/>
      <c r="W1208" s="341"/>
      <c r="X1208" s="341"/>
      <c r="Y1208" s="341"/>
      <c r="Z1208" s="341"/>
      <c r="AA1208" s="341"/>
      <c r="AB1208" s="341"/>
      <c r="AC1208" s="341"/>
      <c r="AD1208" s="341"/>
      <c r="AE1208" s="341"/>
      <c r="AF1208" s="341"/>
    </row>
    <row r="1209" spans="1:32" ht="18.75" customHeight="1" x14ac:dyDescent="0.2">
      <c r="A1209" s="341"/>
      <c r="B1209" s="345"/>
      <c r="C1209" s="881" t="s">
        <v>391</v>
      </c>
      <c r="D1209" s="518">
        <f ca="1">D1197/HydroRefineryCalcs!D1164</f>
        <v>1.9924533732446278E-2</v>
      </c>
      <c r="E1209" s="518">
        <f ca="1">E1197/HydroRefineryCalcs!E1164</f>
        <v>4.7618246995528813E-3</v>
      </c>
      <c r="F1209" s="518">
        <f ca="1">F1197/HydroRefineryCalcs!F1164</f>
        <v>5.2475464960935825E-3</v>
      </c>
      <c r="G1209" s="518">
        <f ca="1">G1197/HydroRefineryCalcs!G1164</f>
        <v>0</v>
      </c>
      <c r="H1209" s="518">
        <f ca="1">H1197/HydroRefineryCalcs!H1164</f>
        <v>0</v>
      </c>
      <c r="I1209" s="518">
        <f t="shared" ca="1" si="136"/>
        <v>0</v>
      </c>
      <c r="J1209" s="518">
        <f ca="1">IF($J$1164&gt;1,J1197/HydroRefineryCalcs!J1164,0)</f>
        <v>0</v>
      </c>
      <c r="K1209" s="518">
        <f ca="1">IF(K1164=0,0,K1197/HydroRefineryCalcs!K1164)</f>
        <v>0</v>
      </c>
      <c r="L1209" s="518">
        <f ca="1">IF(L1164=0,0,L1197/HydroRefineryCalcs!L1164)</f>
        <v>0</v>
      </c>
      <c r="M1209" s="518">
        <f ca="1">M1197/HydroRefineryCalcs!M1165</f>
        <v>0</v>
      </c>
      <c r="N1209" s="518">
        <f t="shared" ref="N1209:O1209" ca="1" si="142">N1197/N$1164</f>
        <v>0</v>
      </c>
      <c r="O1209" s="518">
        <f t="shared" ca="1" si="142"/>
        <v>0</v>
      </c>
      <c r="P1209" s="518">
        <f ca="1">IF(P$1164=0,0,P1197/P$1164)</f>
        <v>0</v>
      </c>
      <c r="Q1209" s="481">
        <f ca="1">Q1197/HydroRefineryCalcs!Q1164</f>
        <v>6.0470164115760238E-3</v>
      </c>
      <c r="R1209" s="518"/>
      <c r="S1209" s="892"/>
      <c r="T1209" s="341"/>
      <c r="U1209" s="341"/>
      <c r="V1209" s="341"/>
      <c r="W1209" s="341"/>
      <c r="X1209" s="341"/>
      <c r="Y1209" s="341"/>
      <c r="Z1209" s="341"/>
      <c r="AA1209" s="341"/>
      <c r="AB1209" s="341"/>
      <c r="AC1209" s="341"/>
      <c r="AD1209" s="341"/>
      <c r="AE1209" s="341"/>
      <c r="AF1209" s="341"/>
    </row>
    <row r="1210" spans="1:32" ht="18.75" customHeight="1" x14ac:dyDescent="0.2">
      <c r="A1210" s="341"/>
      <c r="B1210" s="345"/>
      <c r="C1210" s="881" t="str">
        <f>C1176</f>
        <v>Catalyst Coke</v>
      </c>
      <c r="D1210" s="518">
        <f ca="1">D1176/HydroRefineryCalcs!$D$1164</f>
        <v>2.4634436918619491E-22</v>
      </c>
      <c r="E1210" s="518">
        <f ca="1">E1176/HydroRefineryCalcs!$E$1164</f>
        <v>0</v>
      </c>
      <c r="F1210" s="518">
        <f ca="1">F1176/HydroRefineryCalcs!$F$1164</f>
        <v>9.4690325243430573E-23</v>
      </c>
      <c r="G1210" s="518">
        <f ca="1">G1176/HydroRefineryCalcs!$G$1164</f>
        <v>0</v>
      </c>
      <c r="H1210" s="518">
        <f ca="1">H1176/HydroRefineryCalcs!$H$1164</f>
        <v>0</v>
      </c>
      <c r="I1210" s="518">
        <f t="shared" ca="1" si="136"/>
        <v>0</v>
      </c>
      <c r="J1210" s="518">
        <f ca="1">IF($J$1164&gt;1,J1176/$J$1164,0)</f>
        <v>0</v>
      </c>
      <c r="K1210" s="518">
        <f ca="1">K1176/$K$1164</f>
        <v>0</v>
      </c>
      <c r="L1210" s="518">
        <f ca="1">L1176/$K$1164</f>
        <v>0</v>
      </c>
      <c r="M1210" s="518">
        <f ca="1">M1176/$M$1165</f>
        <v>0</v>
      </c>
      <c r="N1210" s="518">
        <f ca="1">N1176/N$1164</f>
        <v>0</v>
      </c>
      <c r="O1210" s="518">
        <f t="shared" ref="O1210" ca="1" si="143">O1176/O$1164</f>
        <v>0</v>
      </c>
      <c r="P1210" s="518">
        <f ca="1">IF(P$1164=0,0,P1176/P$1164)</f>
        <v>0</v>
      </c>
      <c r="Q1210" s="481">
        <f ca="1">Q1176/$Q$1164</f>
        <v>6.3061850947795749E-23</v>
      </c>
      <c r="R1210" s="518"/>
      <c r="S1210" s="892"/>
      <c r="T1210" s="341"/>
      <c r="U1210" s="341"/>
      <c r="V1210" s="341"/>
      <c r="W1210" s="341"/>
      <c r="X1210" s="341"/>
      <c r="Y1210" s="341"/>
      <c r="Z1210" s="341"/>
      <c r="AA1210" s="341"/>
      <c r="AB1210" s="341"/>
      <c r="AC1210" s="341"/>
      <c r="AD1210" s="341"/>
      <c r="AE1210" s="341"/>
      <c r="AF1210" s="341"/>
    </row>
    <row r="1211" spans="1:32" ht="18.75" customHeight="1" x14ac:dyDescent="0.2">
      <c r="A1211" s="341"/>
      <c r="B1211" s="345"/>
      <c r="C1211" s="1773" t="str">
        <f>C1190</f>
        <v xml:space="preserve">Total Refinery Processes </v>
      </c>
      <c r="D1211" s="1777">
        <f t="shared" ref="D1211:Q1211" ca="1" si="144">SUM(D1205:D1210)</f>
        <v>0.17797144076065496</v>
      </c>
      <c r="E1211" s="1777">
        <f t="shared" ca="1" si="144"/>
        <v>6.0025940632243591E-2</v>
      </c>
      <c r="F1211" s="1777">
        <f t="shared" ca="1" si="144"/>
        <v>5.9942844129519619E-2</v>
      </c>
      <c r="G1211" s="1777">
        <f t="shared" ca="1" si="144"/>
        <v>0</v>
      </c>
      <c r="H1211" s="1777">
        <f t="shared" ca="1" si="144"/>
        <v>0</v>
      </c>
      <c r="I1211" s="1777">
        <f t="shared" ca="1" si="144"/>
        <v>0</v>
      </c>
      <c r="J1211" s="1777">
        <f t="shared" ca="1" si="144"/>
        <v>0</v>
      </c>
      <c r="K1211" s="1777">
        <f t="shared" ca="1" si="144"/>
        <v>0</v>
      </c>
      <c r="L1211" s="1777">
        <f t="shared" ref="L1211" ca="1" si="145">SUM(L1205:L1210)</f>
        <v>0</v>
      </c>
      <c r="M1211" s="1777">
        <f t="shared" ca="1" si="144"/>
        <v>0</v>
      </c>
      <c r="N1211" s="1777">
        <f t="shared" ref="N1211:P1211" ca="1" si="146">SUM(N1205:N1210)</f>
        <v>0</v>
      </c>
      <c r="O1211" s="1777">
        <f t="shared" ca="1" si="146"/>
        <v>0</v>
      </c>
      <c r="P1211" s="1777">
        <f t="shared" ca="1" si="146"/>
        <v>0</v>
      </c>
      <c r="Q1211" s="1778">
        <f t="shared" ca="1" si="144"/>
        <v>6.0287722325725823E-2</v>
      </c>
      <c r="R1211" s="518"/>
      <c r="S1211" s="892"/>
      <c r="T1211" s="341"/>
      <c r="U1211" s="341"/>
      <c r="V1211" s="341"/>
      <c r="W1211" s="341"/>
      <c r="X1211" s="341"/>
      <c r="Y1211" s="341"/>
      <c r="Z1211" s="341"/>
      <c r="AA1211" s="341"/>
      <c r="AB1211" s="341"/>
      <c r="AC1211" s="341"/>
      <c r="AD1211" s="341"/>
      <c r="AE1211" s="341"/>
      <c r="AF1211" s="341"/>
    </row>
    <row r="1212" spans="1:32" ht="18.75" customHeight="1" x14ac:dyDescent="0.2">
      <c r="A1212" s="341"/>
      <c r="B1212" s="345"/>
      <c r="C1212" s="1773" t="str">
        <f>C1191</f>
        <v>Total Energy included Feedstock</v>
      </c>
      <c r="D1212" s="1779">
        <f t="shared" ref="D1212:Q1212" ca="1" si="147">SUM(D1203:D1210)</f>
        <v>2.0038223514257232</v>
      </c>
      <c r="E1212" s="1779">
        <f t="shared" ca="1" si="147"/>
        <v>1.6095004726036568</v>
      </c>
      <c r="F1212" s="1779">
        <f t="shared" ca="1" si="147"/>
        <v>1.5886652362068387</v>
      </c>
      <c r="G1212" s="1779">
        <f t="shared" ca="1" si="147"/>
        <v>0</v>
      </c>
      <c r="H1212" s="1779">
        <f t="shared" ca="1" si="147"/>
        <v>0</v>
      </c>
      <c r="I1212" s="1779">
        <f t="shared" ca="1" si="147"/>
        <v>0</v>
      </c>
      <c r="J1212" s="1779">
        <f t="shared" ca="1" si="147"/>
        <v>0</v>
      </c>
      <c r="K1212" s="1779">
        <f t="shared" ca="1" si="147"/>
        <v>0</v>
      </c>
      <c r="L1212" s="1779">
        <f t="shared" ref="L1212" ca="1" si="148">SUM(L1203:L1210)</f>
        <v>0</v>
      </c>
      <c r="M1212" s="1779">
        <f t="shared" ca="1" si="147"/>
        <v>0</v>
      </c>
      <c r="N1212" s="1779">
        <f t="shared" ref="N1212:P1212" ca="1" si="149">SUM(N1203:N1210)</f>
        <v>0</v>
      </c>
      <c r="O1212" s="1779">
        <f t="shared" ca="1" si="149"/>
        <v>0</v>
      </c>
      <c r="P1212" s="1779">
        <f t="shared" ca="1" si="149"/>
        <v>0</v>
      </c>
      <c r="Q1212" s="1780">
        <f t="shared" ca="1" si="147"/>
        <v>1.0412491192773869</v>
      </c>
      <c r="R1212" s="518"/>
      <c r="S1212" s="892"/>
      <c r="T1212" s="341"/>
      <c r="U1212" s="341"/>
      <c r="V1212" s="341"/>
      <c r="W1212" s="341"/>
      <c r="X1212" s="341"/>
      <c r="Y1212" s="341"/>
      <c r="Z1212" s="341"/>
      <c r="AA1212" s="341"/>
      <c r="AB1212" s="341"/>
      <c r="AC1212" s="341"/>
      <c r="AD1212" s="341"/>
      <c r="AE1212" s="341"/>
      <c r="AF1212" s="341"/>
    </row>
    <row r="1213" spans="1:32" ht="18.75" customHeight="1" x14ac:dyDescent="0.2">
      <c r="A1213" s="341"/>
      <c r="B1213" s="345"/>
      <c r="C1213" s="881" t="s">
        <v>980</v>
      </c>
      <c r="D1213" s="518">
        <f ca="1">D1198/D1164</f>
        <v>0</v>
      </c>
      <c r="E1213" s="518">
        <f ca="1">E1198/E1164</f>
        <v>0</v>
      </c>
      <c r="F1213" s="518">
        <f ca="1">F1198/F1164</f>
        <v>0</v>
      </c>
      <c r="G1213" s="518">
        <f ca="1">G1198/G1164</f>
        <v>0</v>
      </c>
      <c r="H1213" s="518">
        <f ca="1">H1198/H1164</f>
        <v>0</v>
      </c>
      <c r="I1213" s="518">
        <f ca="1">IF($I$1164&lt;1,0,I1180/$I$1164)</f>
        <v>0</v>
      </c>
      <c r="J1213" s="518">
        <f ca="1">IF($J$1164&gt;1,J1198/J1164,0)</f>
        <v>0</v>
      </c>
      <c r="K1213" s="518">
        <f ca="1">IF(K1164=0,0,K1198/K1164)</f>
        <v>0</v>
      </c>
      <c r="L1213" s="518">
        <f ca="1">IF(L1164=0,0,L1198/L1164)</f>
        <v>0</v>
      </c>
      <c r="M1213" s="518">
        <f ca="1">M1198/M1165</f>
        <v>0</v>
      </c>
      <c r="N1213" s="518">
        <f t="shared" ref="N1213:O1213" ca="1" si="150">N1198/N1164</f>
        <v>0</v>
      </c>
      <c r="O1213" s="518">
        <f t="shared" ca="1" si="150"/>
        <v>0</v>
      </c>
      <c r="P1213" s="518">
        <f ca="1">IF(P$1164=0,0,P1198/P1164)</f>
        <v>0</v>
      </c>
      <c r="Q1213" s="481">
        <f ca="1">Q1198/Q1164</f>
        <v>0</v>
      </c>
      <c r="R1213" s="518"/>
      <c r="S1213" s="892"/>
      <c r="T1213" s="341"/>
      <c r="U1213" s="341"/>
      <c r="V1213" s="341"/>
      <c r="W1213" s="341"/>
      <c r="X1213" s="341"/>
      <c r="Y1213" s="341"/>
      <c r="Z1213" s="341"/>
      <c r="AA1213" s="341"/>
      <c r="AB1213" s="341"/>
      <c r="AC1213" s="341"/>
      <c r="AD1213" s="341"/>
      <c r="AE1213" s="341"/>
      <c r="AF1213" s="341"/>
    </row>
    <row r="1214" spans="1:32" ht="18.75" customHeight="1" x14ac:dyDescent="0.2">
      <c r="A1214" s="341"/>
      <c r="B1214" s="345"/>
      <c r="C1214" s="904" t="s">
        <v>1419</v>
      </c>
      <c r="D1214" s="909">
        <f ca="1">D1199/D1164</f>
        <v>-5.6504225329004419E-2</v>
      </c>
      <c r="E1214" s="909">
        <f ca="1">E1199/E1164</f>
        <v>-2.1654089849511709E-2</v>
      </c>
      <c r="F1214" s="909">
        <f ca="1">F1199/F1164</f>
        <v>-2.1076061999092031E-2</v>
      </c>
      <c r="G1214" s="909">
        <f ca="1">G1199/G1164</f>
        <v>0</v>
      </c>
      <c r="H1214" s="909">
        <f ca="1">H1199/H1164</f>
        <v>0</v>
      </c>
      <c r="I1214" s="909">
        <f ca="1">IF(I1164&lt;1,0,I1199/I1164)</f>
        <v>0</v>
      </c>
      <c r="J1214" s="909">
        <f ca="1">IF($J$1164&gt;1,J1199/J1164,0)</f>
        <v>0</v>
      </c>
      <c r="K1214" s="518">
        <f ca="1">IF(K1164=0,0,K1199/K1164)</f>
        <v>0</v>
      </c>
      <c r="L1214" s="518">
        <f ca="1">IF(L1164=0,0,L1199/L1164)</f>
        <v>0</v>
      </c>
      <c r="M1214" s="909">
        <f ca="1">M1199/M1165</f>
        <v>0</v>
      </c>
      <c r="N1214" s="909">
        <f t="shared" ref="N1214:O1214" ca="1" si="151">N1199/N1164</f>
        <v>0</v>
      </c>
      <c r="O1214" s="909">
        <f t="shared" ca="1" si="151"/>
        <v>0</v>
      </c>
      <c r="P1214" s="518">
        <f ca="1">IF(P$1164=0,0,P1199/P1164)</f>
        <v>0</v>
      </c>
      <c r="Q1214" s="907">
        <f ca="1">Q1199/Q1164</f>
        <v>-2.008542586733969E-2</v>
      </c>
      <c r="R1214" s="518"/>
      <c r="S1214" s="892"/>
      <c r="T1214" s="341"/>
      <c r="U1214" s="341"/>
      <c r="V1214" s="341"/>
      <c r="W1214" s="341"/>
      <c r="X1214" s="341"/>
      <c r="Y1214" s="341"/>
      <c r="Z1214" s="341"/>
      <c r="AA1214" s="341"/>
      <c r="AB1214" s="341"/>
      <c r="AC1214" s="341"/>
      <c r="AD1214" s="341"/>
      <c r="AE1214" s="341"/>
      <c r="AF1214" s="341"/>
    </row>
    <row r="1215" spans="1:32" ht="18.75" customHeight="1" x14ac:dyDescent="0.2">
      <c r="A1215" s="341"/>
      <c r="B1215" s="345"/>
      <c r="C1215" s="519"/>
      <c r="D1215" s="518"/>
      <c r="E1215" s="518"/>
      <c r="F1215" s="518"/>
      <c r="G1215" s="518"/>
      <c r="H1215" s="518"/>
      <c r="I1215" s="518"/>
      <c r="J1215" s="518"/>
      <c r="K1215" s="518"/>
      <c r="L1215" s="518"/>
      <c r="M1215" s="518"/>
      <c r="N1215" s="518"/>
      <c r="O1215" s="518"/>
      <c r="P1215" s="518"/>
      <c r="Q1215" s="518"/>
      <c r="R1215" s="518"/>
      <c r="S1215" s="892"/>
      <c r="T1215" s="341"/>
      <c r="U1215" s="341"/>
      <c r="V1215" s="341"/>
      <c r="W1215" s="341"/>
      <c r="X1215" s="341"/>
      <c r="Y1215" s="341"/>
      <c r="Z1215" s="341"/>
      <c r="AA1215" s="341"/>
      <c r="AB1215" s="341"/>
      <c r="AC1215" s="341"/>
      <c r="AD1215" s="341"/>
      <c r="AE1215" s="341"/>
      <c r="AF1215" s="341"/>
    </row>
    <row r="1216" spans="1:32" ht="18.75" customHeight="1" x14ac:dyDescent="0.2">
      <c r="A1216" s="341"/>
      <c r="B1216" s="345"/>
      <c r="C1216" s="440" t="s">
        <v>1755</v>
      </c>
      <c r="D1216" s="440"/>
      <c r="E1216" s="518"/>
      <c r="F1216" s="545"/>
      <c r="G1216" s="518"/>
      <c r="H1216" s="518"/>
      <c r="I1216" s="518"/>
      <c r="J1216" s="518"/>
      <c r="K1216" s="518"/>
      <c r="L1216" s="518"/>
      <c r="M1216" s="518"/>
      <c r="N1216" s="518"/>
      <c r="O1216" s="518"/>
      <c r="P1216" s="518"/>
      <c r="Q1216" s="518"/>
      <c r="R1216" s="518"/>
      <c r="S1216" s="892"/>
      <c r="T1216" s="341"/>
      <c r="U1216" s="341"/>
      <c r="V1216" s="341"/>
      <c r="W1216" s="341"/>
      <c r="X1216" s="341"/>
      <c r="Y1216" s="341"/>
      <c r="Z1216" s="341"/>
      <c r="AA1216" s="341"/>
      <c r="AB1216" s="341"/>
      <c r="AC1216" s="341"/>
      <c r="AD1216" s="341"/>
      <c r="AE1216" s="341"/>
      <c r="AF1216" s="341"/>
    </row>
    <row r="1217" spans="1:32" ht="18.75" customHeight="1" x14ac:dyDescent="0.2">
      <c r="A1217" s="341"/>
      <c r="B1217" s="345"/>
      <c r="C1217" s="908" t="str">
        <f>C1203</f>
        <v>Crude</v>
      </c>
      <c r="D1217" s="911">
        <v>0</v>
      </c>
      <c r="E1217" s="911">
        <v>0</v>
      </c>
      <c r="F1217" s="911">
        <v>0</v>
      </c>
      <c r="G1217" s="911">
        <v>0</v>
      </c>
      <c r="H1217" s="911">
        <v>0</v>
      </c>
      <c r="I1217" s="911">
        <v>0</v>
      </c>
      <c r="J1217" s="911">
        <v>0</v>
      </c>
      <c r="K1217" s="911">
        <v>0</v>
      </c>
      <c r="L1217" s="911">
        <v>0</v>
      </c>
      <c r="M1217" s="911">
        <v>0</v>
      </c>
      <c r="N1217" s="911">
        <v>0</v>
      </c>
      <c r="O1217" s="911">
        <v>0</v>
      </c>
      <c r="P1217" s="911">
        <v>0</v>
      </c>
      <c r="Q1217" s="911">
        <v>0</v>
      </c>
      <c r="R1217" s="518"/>
      <c r="S1217" s="892"/>
      <c r="T1217" s="341"/>
      <c r="U1217" s="341"/>
      <c r="V1217" s="341"/>
      <c r="W1217" s="341"/>
      <c r="X1217" s="341"/>
      <c r="Y1217" s="341"/>
      <c r="Z1217" s="341"/>
      <c r="AA1217" s="341"/>
      <c r="AB1217" s="341"/>
      <c r="AC1217" s="341"/>
      <c r="AD1217" s="341"/>
      <c r="AE1217" s="341"/>
      <c r="AF1217" s="341"/>
    </row>
    <row r="1218" spans="1:32" ht="18.75" customHeight="1" x14ac:dyDescent="0.2">
      <c r="A1218" s="341"/>
      <c r="B1218" s="345"/>
      <c r="C1218" s="881" t="str">
        <f t="shared" ref="C1218:C1223" si="152">C1205</f>
        <v>Electricity</v>
      </c>
      <c r="D1218" s="545">
        <f ca="1">D1205*'Emission Factors'!$G$53</f>
        <v>0.79166721814557428</v>
      </c>
      <c r="E1218" s="545">
        <f ca="1">E1205*'Emission Factors'!$G$53</f>
        <v>0.32533793394667554</v>
      </c>
      <c r="F1218" s="545">
        <f ca="1">F1205*'Emission Factors'!$G$53</f>
        <v>0.30541070427229816</v>
      </c>
      <c r="G1218" s="545">
        <f ca="1">G1205*'Emission Factors'!$G$53</f>
        <v>0</v>
      </c>
      <c r="H1218" s="545">
        <f ca="1">H1205*'Emission Factors'!$G$53</f>
        <v>0</v>
      </c>
      <c r="I1218" s="545">
        <f ca="1">I1205*'Emission Factors'!$G$53</f>
        <v>0</v>
      </c>
      <c r="J1218" s="545">
        <f ca="1">J1205*'Emission Factors'!$G$53</f>
        <v>0</v>
      </c>
      <c r="K1218" s="545">
        <f ca="1">K1205*'Emission Factors'!$G$53</f>
        <v>0</v>
      </c>
      <c r="L1218" s="545">
        <f ca="1">L1205*'Emission Factors'!$G$53</f>
        <v>0</v>
      </c>
      <c r="M1218" s="545">
        <f ca="1">M1205*'Emission Factors'!$G$53</f>
        <v>0</v>
      </c>
      <c r="N1218" s="545">
        <f ca="1">N1205*'Emission Factors'!$G$53</f>
        <v>0</v>
      </c>
      <c r="O1218" s="545">
        <f ca="1">O1205*'Emission Factors'!$G$53</f>
        <v>0</v>
      </c>
      <c r="P1218" s="545">
        <f ca="1">P1205*'Emission Factors'!$G$53</f>
        <v>0</v>
      </c>
      <c r="Q1218" s="910">
        <f ca="1">Q1205*'Emission Factors'!$G$53</f>
        <v>0.28848318388854338</v>
      </c>
      <c r="R1218" s="518"/>
      <c r="S1218" s="892"/>
      <c r="T1218" s="341"/>
      <c r="U1218" s="341"/>
      <c r="V1218" s="341"/>
      <c r="W1218" s="341"/>
      <c r="X1218" s="341"/>
      <c r="Y1218" s="341"/>
      <c r="Z1218" s="341"/>
      <c r="AA1218" s="341"/>
      <c r="AB1218" s="341"/>
      <c r="AC1218" s="341"/>
      <c r="AD1218" s="341"/>
      <c r="AE1218" s="341"/>
      <c r="AF1218" s="341"/>
    </row>
    <row r="1219" spans="1:32" ht="18.75" customHeight="1" x14ac:dyDescent="0.2">
      <c r="A1219" s="341"/>
      <c r="B1219" s="345"/>
      <c r="C1219" s="881" t="str">
        <f t="shared" si="152"/>
        <v>Heat</v>
      </c>
      <c r="D1219" s="545">
        <f ca="1">D1206*('Emission Factors'!$J$76+'Emission Factors'!$K$76)</f>
        <v>7.0595567951010691</v>
      </c>
      <c r="E1219" s="545">
        <f ca="1">E1206*('Emission Factors'!$J$76+'Emission Factors'!$K$76)</f>
        <v>2.7054308991717115</v>
      </c>
      <c r="F1219" s="545">
        <f ca="1">F1206*('Emission Factors'!$J$76+'Emission Factors'!$K$76)</f>
        <v>2.6332129293574567</v>
      </c>
      <c r="G1219" s="545">
        <f ca="1">G1206*('Emission Factors'!$J$76+'Emission Factors'!$K$76)</f>
        <v>0</v>
      </c>
      <c r="H1219" s="545">
        <f ca="1">H1206*('Emission Factors'!$J$76+'Emission Factors'!$K$76)</f>
        <v>0</v>
      </c>
      <c r="I1219" s="545">
        <f ca="1">I1206*('Emission Factors'!$J$76+'Emission Factors'!$K$76)</f>
        <v>0</v>
      </c>
      <c r="J1219" s="545">
        <f ca="1">J1206*('Emission Factors'!$J$76+'Emission Factors'!$K$76)</f>
        <v>0</v>
      </c>
      <c r="K1219" s="545">
        <f ca="1">K1206*('Emission Factors'!$J$76+'Emission Factors'!$K$76)</f>
        <v>0</v>
      </c>
      <c r="L1219" s="545">
        <f ca="1">L1206*('Emission Factors'!$J$76+'Emission Factors'!$K$76)</f>
        <v>0</v>
      </c>
      <c r="M1219" s="545">
        <f ca="1">M1206*('Emission Factors'!$J$76+'Emission Factors'!$K$76)</f>
        <v>0</v>
      </c>
      <c r="N1219" s="545">
        <f ca="1">N1206*('Emission Factors'!$J$76+'Emission Factors'!$K$76)</f>
        <v>0</v>
      </c>
      <c r="O1219" s="545">
        <f ca="1">O1206*('Emission Factors'!$J$76+'Emission Factors'!$K$76)</f>
        <v>0</v>
      </c>
      <c r="P1219" s="545">
        <f ca="1">P1206*('Emission Factors'!$J$76+'Emission Factors'!$K$76)</f>
        <v>0</v>
      </c>
      <c r="Q1219" s="910">
        <f ca="1">Q1206*('Emission Factors'!$J$76+'Emission Factors'!$K$76)</f>
        <v>2.5094442732142315</v>
      </c>
      <c r="R1219" s="518"/>
      <c r="S1219" s="892"/>
      <c r="T1219" s="341"/>
      <c r="U1219" s="341"/>
      <c r="V1219" s="341"/>
      <c r="W1219" s="341"/>
      <c r="X1219" s="341"/>
      <c r="Y1219" s="341"/>
      <c r="Z1219" s="341"/>
      <c r="AA1219" s="341"/>
      <c r="AB1219" s="341"/>
      <c r="AC1219" s="341"/>
      <c r="AD1219" s="341"/>
      <c r="AE1219" s="341"/>
      <c r="AF1219" s="341"/>
    </row>
    <row r="1220" spans="1:32" ht="18.75" customHeight="1" x14ac:dyDescent="0.2">
      <c r="A1220" s="341"/>
      <c r="B1220" s="345"/>
      <c r="C1220" s="881" t="str">
        <f t="shared" si="152"/>
        <v>Steam</v>
      </c>
      <c r="D1220" s="545">
        <f ca="1">D1207*'Emission Factors'!$F$100</f>
        <v>0.84008267532826753</v>
      </c>
      <c r="E1220" s="545">
        <f ca="1">E1207*'Emission Factors'!$F$100</f>
        <v>0.31090109426490448</v>
      </c>
      <c r="F1220" s="545">
        <f ca="1">F1207*'Emission Factors'!$F$100</f>
        <v>0.29160892435019203</v>
      </c>
      <c r="G1220" s="545">
        <f ca="1">G1207*'Emission Factors'!$F$100</f>
        <v>0</v>
      </c>
      <c r="H1220" s="545">
        <f ca="1">H1207*'Emission Factors'!$F$100</f>
        <v>0</v>
      </c>
      <c r="I1220" s="545">
        <f ca="1">I1207*'Emission Factors'!$F$100</f>
        <v>0</v>
      </c>
      <c r="J1220" s="545">
        <f ca="1">J1207*'Emission Factors'!$F$100</f>
        <v>0</v>
      </c>
      <c r="K1220" s="545">
        <f ca="1">K1207*'Emission Factors'!$F$100</f>
        <v>0</v>
      </c>
      <c r="L1220" s="545">
        <f ca="1">L1207*'Emission Factors'!$F$100</f>
        <v>0</v>
      </c>
      <c r="M1220" s="545">
        <f ca="1">M1207*'Emission Factors'!$F$100</f>
        <v>0</v>
      </c>
      <c r="N1220" s="545">
        <f ca="1">N1207*'Emission Factors'!$F$100</f>
        <v>0</v>
      </c>
      <c r="O1220" s="545">
        <f ca="1">O1207*'Emission Factors'!$F$100</f>
        <v>0</v>
      </c>
      <c r="P1220" s="545">
        <f ca="1">P1207*'Emission Factors'!$F$100</f>
        <v>0</v>
      </c>
      <c r="Q1220" s="910">
        <f ca="1">Q1207*'Emission Factors'!$F$100</f>
        <v>0.29294028847982562</v>
      </c>
      <c r="R1220" s="518"/>
      <c r="S1220" s="892"/>
      <c r="T1220" s="341"/>
      <c r="U1220" s="341"/>
      <c r="V1220" s="341"/>
      <c r="W1220" s="341"/>
      <c r="X1220" s="341"/>
      <c r="Y1220" s="341"/>
      <c r="Z1220" s="341"/>
      <c r="AA1220" s="341"/>
      <c r="AB1220" s="341"/>
      <c r="AC1220" s="341"/>
      <c r="AD1220" s="341"/>
      <c r="AE1220" s="341"/>
      <c r="AF1220" s="341"/>
    </row>
    <row r="1221" spans="1:32" ht="18.75" customHeight="1" x14ac:dyDescent="0.2">
      <c r="A1221" s="341"/>
      <c r="B1221" s="345"/>
      <c r="C1221" s="881" t="str">
        <f t="shared" si="152"/>
        <v>Hydrogen from Reformer</v>
      </c>
      <c r="D1221" s="518">
        <f ca="1">D1208*'Emission Factors'!$I$262</f>
        <v>0</v>
      </c>
      <c r="E1221" s="518">
        <f ca="1">E1208*'Emission Factors'!$I$262</f>
        <v>0</v>
      </c>
      <c r="F1221" s="518">
        <f ca="1">F1208*'Emission Factors'!$I$262</f>
        <v>0</v>
      </c>
      <c r="G1221" s="518">
        <f ca="1">G1208*'Emission Factors'!$I$262</f>
        <v>0</v>
      </c>
      <c r="H1221" s="518">
        <f ca="1">H1208*'Emission Factors'!$I$262</f>
        <v>0</v>
      </c>
      <c r="I1221" s="518">
        <f ca="1">I1208*'Emission Factors'!$I$262</f>
        <v>0</v>
      </c>
      <c r="J1221" s="518">
        <f ca="1">J1208*'Emission Factors'!$I$262</f>
        <v>0</v>
      </c>
      <c r="K1221" s="518">
        <f ca="1">K1208*'Emission Factors'!$I$262</f>
        <v>0</v>
      </c>
      <c r="L1221" s="518">
        <f ca="1">L1208*'Emission Factors'!$I$262</f>
        <v>0</v>
      </c>
      <c r="M1221" s="518">
        <f ca="1">M1208*'Emission Factors'!$I$262</f>
        <v>0</v>
      </c>
      <c r="N1221" s="518">
        <f ca="1">N1208*'Emission Factors'!$I$262</f>
        <v>0</v>
      </c>
      <c r="O1221" s="518">
        <f ca="1">O1208*'Emission Factors'!$I$262</f>
        <v>0</v>
      </c>
      <c r="P1221" s="518">
        <f ca="1">P1208*'Emission Factors'!$I$262</f>
        <v>0</v>
      </c>
      <c r="Q1221" s="481">
        <f ca="1">Q1208*'Emission Factors'!$I$262</f>
        <v>0</v>
      </c>
      <c r="R1221" s="518"/>
      <c r="S1221" s="892"/>
      <c r="T1221" s="341"/>
      <c r="U1221" s="341"/>
      <c r="V1221" s="341"/>
      <c r="W1221" s="341"/>
      <c r="X1221" s="341"/>
      <c r="Y1221" s="341"/>
      <c r="Z1221" s="341"/>
      <c r="AA1221" s="341"/>
      <c r="AB1221" s="341"/>
      <c r="AC1221" s="341"/>
      <c r="AD1221" s="341"/>
      <c r="AE1221" s="341"/>
      <c r="AF1221" s="341"/>
    </row>
    <row r="1222" spans="1:32" ht="18.75" customHeight="1" x14ac:dyDescent="0.2">
      <c r="A1222" s="341"/>
      <c r="B1222" s="345"/>
      <c r="C1222" s="881" t="str">
        <f t="shared" si="152"/>
        <v>Hydrogen from SMR</v>
      </c>
      <c r="D1222" s="545">
        <f ca="1">D1209*'Emission Factors'!$H$149</f>
        <v>2.2384281795664256</v>
      </c>
      <c r="E1222" s="545">
        <f ca="1">E1209*'Emission Factors'!$H$149</f>
        <v>0.53496873436374848</v>
      </c>
      <c r="F1222" s="545">
        <f ca="1">F1209*'Emission Factors'!$H$149</f>
        <v>0.58953730652741165</v>
      </c>
      <c r="G1222" s="545">
        <f ca="1">G1209*'Emission Factors'!$H$149</f>
        <v>0</v>
      </c>
      <c r="H1222" s="545">
        <f ca="1">H1209*'Emission Factors'!$H$149</f>
        <v>0</v>
      </c>
      <c r="I1222" s="545">
        <f ca="1">I1209*'Emission Factors'!$H$149</f>
        <v>0</v>
      </c>
      <c r="J1222" s="545">
        <f ca="1">J1209*'Emission Factors'!$H$149</f>
        <v>0</v>
      </c>
      <c r="K1222" s="545">
        <f ca="1">K1209*'Emission Factors'!$H$149</f>
        <v>0</v>
      </c>
      <c r="L1222" s="545">
        <f ca="1">L1209*'Emission Factors'!$H$149</f>
        <v>0</v>
      </c>
      <c r="M1222" s="545">
        <f ca="1">M1209*'Emission Factors'!$H$149</f>
        <v>0</v>
      </c>
      <c r="N1222" s="545">
        <f ca="1">N1209*'Emission Factors'!$H$149</f>
        <v>0</v>
      </c>
      <c r="O1222" s="545">
        <f ca="1">O1209*'Emission Factors'!$H$149</f>
        <v>0</v>
      </c>
      <c r="P1222" s="545">
        <f ca="1">P1209*'Emission Factors'!$H$149</f>
        <v>0</v>
      </c>
      <c r="Q1222" s="910">
        <f ca="1">Q1209*'Emission Factors'!$H$149</f>
        <v>0.67935401248210436</v>
      </c>
      <c r="R1222" s="518"/>
      <c r="S1222" s="892"/>
      <c r="T1222" s="341"/>
      <c r="U1222" s="341"/>
      <c r="V1222" s="341"/>
      <c r="W1222" s="341"/>
      <c r="X1222" s="341"/>
      <c r="Y1222" s="341"/>
      <c r="Z1222" s="341"/>
      <c r="AA1222" s="341"/>
      <c r="AB1222" s="341"/>
      <c r="AC1222" s="341"/>
      <c r="AD1222" s="341"/>
      <c r="AE1222" s="341"/>
      <c r="AF1222" s="341"/>
    </row>
    <row r="1223" spans="1:32" ht="18.75" customHeight="1" x14ac:dyDescent="0.2">
      <c r="A1223" s="341"/>
      <c r="B1223" s="345"/>
      <c r="C1223" s="881" t="str">
        <f t="shared" si="152"/>
        <v>Catalyst Coke</v>
      </c>
      <c r="D1223" s="545">
        <f ca="1">D1210*'Emission Factors'!$E$177</f>
        <v>2.4697732480785539E-20</v>
      </c>
      <c r="E1223" s="545">
        <f ca="1">E1210*'Emission Factors'!$E$177</f>
        <v>0</v>
      </c>
      <c r="F1223" s="545">
        <f ca="1">F1210*'Emission Factors'!$E$177</f>
        <v>9.4933621949897567E-21</v>
      </c>
      <c r="G1223" s="545">
        <f ca="1">G1210*'Emission Factors'!$E$177</f>
        <v>0</v>
      </c>
      <c r="H1223" s="545">
        <f ca="1">H1210*'Emission Factors'!$E$177</f>
        <v>0</v>
      </c>
      <c r="I1223" s="545">
        <f ca="1">I1210*'Emission Factors'!$E$177</f>
        <v>0</v>
      </c>
      <c r="J1223" s="545">
        <f ca="1">J1210*'Emission Factors'!$E$177</f>
        <v>0</v>
      </c>
      <c r="K1223" s="545">
        <f ca="1">K1210*'Emission Factors'!$E$177</f>
        <v>0</v>
      </c>
      <c r="L1223" s="545">
        <f ca="1">L1210*'Emission Factors'!$E$177</f>
        <v>0</v>
      </c>
      <c r="M1223" s="545">
        <f ca="1">M1210*'Emission Factors'!$E$177</f>
        <v>0</v>
      </c>
      <c r="N1223" s="545">
        <f ca="1">N1210*'Emission Factors'!$E$177</f>
        <v>0</v>
      </c>
      <c r="O1223" s="545">
        <f ca="1">O1210*'Emission Factors'!$E$177</f>
        <v>0</v>
      </c>
      <c r="P1223" s="545">
        <f ca="1">P1210*'Emission Factors'!$E$177</f>
        <v>0</v>
      </c>
      <c r="Q1223" s="910">
        <f ca="1">Q1210*'Emission Factors'!$E$177</f>
        <v>6.3223881657901218E-21</v>
      </c>
      <c r="R1223" s="518"/>
      <c r="S1223" s="892"/>
      <c r="T1223" s="341"/>
      <c r="U1223" s="341"/>
      <c r="V1223" s="341"/>
      <c r="W1223" s="341"/>
      <c r="X1223" s="341"/>
      <c r="Y1223" s="341"/>
      <c r="Z1223" s="341"/>
      <c r="AA1223" s="341"/>
      <c r="AB1223" s="341"/>
      <c r="AC1223" s="341"/>
      <c r="AD1223" s="341"/>
      <c r="AE1223" s="341"/>
      <c r="AF1223" s="341"/>
    </row>
    <row r="1224" spans="1:32" ht="18.75" customHeight="1" x14ac:dyDescent="0.2">
      <c r="A1224" s="341"/>
      <c r="B1224" s="345"/>
      <c r="C1224" s="1773" t="s">
        <v>15</v>
      </c>
      <c r="D1224" s="1779">
        <f t="shared" ref="D1224:Q1224" ca="1" si="153">SUM(D1218:D1223)</f>
        <v>10.929734868141335</v>
      </c>
      <c r="E1224" s="1779">
        <f t="shared" ca="1" si="153"/>
        <v>3.8766386617470401</v>
      </c>
      <c r="F1224" s="1779">
        <f t="shared" ca="1" si="153"/>
        <v>3.8197698645073581</v>
      </c>
      <c r="G1224" s="1779">
        <f t="shared" ca="1" si="153"/>
        <v>0</v>
      </c>
      <c r="H1224" s="1779">
        <f t="shared" ca="1" si="153"/>
        <v>0</v>
      </c>
      <c r="I1224" s="1779">
        <f t="shared" ca="1" si="153"/>
        <v>0</v>
      </c>
      <c r="J1224" s="1779">
        <f t="shared" ca="1" si="153"/>
        <v>0</v>
      </c>
      <c r="K1224" s="1779">
        <f t="shared" ca="1" si="153"/>
        <v>0</v>
      </c>
      <c r="L1224" s="1779">
        <f t="shared" ref="L1224" ca="1" si="154">SUM(L1218:L1223)</f>
        <v>0</v>
      </c>
      <c r="M1224" s="1779">
        <f t="shared" ca="1" si="153"/>
        <v>0</v>
      </c>
      <c r="N1224" s="1779">
        <f t="shared" ref="N1224:P1224" ca="1" si="155">SUM(N1218:N1223)</f>
        <v>0</v>
      </c>
      <c r="O1224" s="1779">
        <f t="shared" ca="1" si="155"/>
        <v>0</v>
      </c>
      <c r="P1224" s="1779">
        <f t="shared" ca="1" si="155"/>
        <v>0</v>
      </c>
      <c r="Q1224" s="1780">
        <f t="shared" ca="1" si="153"/>
        <v>3.7702217580647046</v>
      </c>
      <c r="R1224" s="518"/>
      <c r="S1224" s="892"/>
      <c r="T1224" s="341"/>
      <c r="U1224" s="341"/>
      <c r="V1224" s="341"/>
      <c r="W1224" s="341"/>
      <c r="X1224" s="341"/>
      <c r="Y1224" s="341"/>
      <c r="Z1224" s="341"/>
      <c r="AA1224" s="341"/>
      <c r="AB1224" s="341"/>
      <c r="AC1224" s="341"/>
      <c r="AD1224" s="341"/>
      <c r="AE1224" s="341"/>
      <c r="AF1224" s="341"/>
    </row>
    <row r="1225" spans="1:32" ht="18.75" customHeight="1" x14ac:dyDescent="0.2">
      <c r="A1225" s="341"/>
      <c r="B1225" s="345"/>
      <c r="C1225" s="1773" t="s">
        <v>16</v>
      </c>
      <c r="D1225" s="1779">
        <f t="shared" ref="D1225:Q1225" ca="1" si="156">SUM(D1217:D1223)</f>
        <v>10.929734868141335</v>
      </c>
      <c r="E1225" s="1779">
        <f t="shared" ca="1" si="156"/>
        <v>3.8766386617470401</v>
      </c>
      <c r="F1225" s="1779">
        <f t="shared" ca="1" si="156"/>
        <v>3.8197698645073581</v>
      </c>
      <c r="G1225" s="1779">
        <f t="shared" ca="1" si="156"/>
        <v>0</v>
      </c>
      <c r="H1225" s="1779">
        <f t="shared" ca="1" si="156"/>
        <v>0</v>
      </c>
      <c r="I1225" s="1779">
        <f t="shared" ca="1" si="156"/>
        <v>0</v>
      </c>
      <c r="J1225" s="1779">
        <f t="shared" ca="1" si="156"/>
        <v>0</v>
      </c>
      <c r="K1225" s="1779">
        <f t="shared" ca="1" si="156"/>
        <v>0</v>
      </c>
      <c r="L1225" s="1779">
        <f t="shared" ref="L1225" ca="1" si="157">SUM(L1217:L1223)</f>
        <v>0</v>
      </c>
      <c r="M1225" s="1779">
        <f t="shared" ca="1" si="156"/>
        <v>0</v>
      </c>
      <c r="N1225" s="1779">
        <f t="shared" ref="N1225:P1225" ca="1" si="158">SUM(N1217:N1223)</f>
        <v>0</v>
      </c>
      <c r="O1225" s="1779">
        <f t="shared" ca="1" si="158"/>
        <v>0</v>
      </c>
      <c r="P1225" s="1779">
        <f t="shared" ca="1" si="158"/>
        <v>0</v>
      </c>
      <c r="Q1225" s="1780">
        <f t="shared" ca="1" si="156"/>
        <v>3.7702217580647046</v>
      </c>
      <c r="R1225" s="518"/>
      <c r="S1225" s="892"/>
      <c r="T1225" s="341"/>
      <c r="U1225" s="341"/>
      <c r="V1225" s="341"/>
      <c r="W1225" s="341"/>
      <c r="X1225" s="341"/>
      <c r="Y1225" s="341"/>
      <c r="Z1225" s="341"/>
      <c r="AA1225" s="341"/>
      <c r="AB1225" s="341"/>
      <c r="AC1225" s="341"/>
      <c r="AD1225" s="341"/>
      <c r="AE1225" s="341"/>
      <c r="AF1225" s="341"/>
    </row>
    <row r="1226" spans="1:32" ht="18.75" customHeight="1" x14ac:dyDescent="0.2">
      <c r="A1226" s="341"/>
      <c r="B1226" s="345"/>
      <c r="C1226" s="881" t="s">
        <v>980</v>
      </c>
      <c r="D1226" s="545">
        <f ca="1">D1213*'Emission Factors'!$I$262</f>
        <v>0</v>
      </c>
      <c r="E1226" s="545">
        <f ca="1">E1213*'Emission Factors'!$I$262</f>
        <v>0</v>
      </c>
      <c r="F1226" s="545">
        <f ca="1">F1213*'Emission Factors'!$I$262</f>
        <v>0</v>
      </c>
      <c r="G1226" s="545">
        <f ca="1">G1213*'Emission Factors'!$I$262</f>
        <v>0</v>
      </c>
      <c r="H1226" s="545">
        <f ca="1">H1213*'Emission Factors'!$I$262</f>
        <v>0</v>
      </c>
      <c r="I1226" s="545">
        <f ca="1">I1213*'Emission Factors'!$I$262</f>
        <v>0</v>
      </c>
      <c r="J1226" s="545">
        <f ca="1">J1213*'Emission Factors'!$I$262</f>
        <v>0</v>
      </c>
      <c r="K1226" s="545">
        <f ca="1">K1213*'Emission Factors'!$I$262</f>
        <v>0</v>
      </c>
      <c r="L1226" s="545">
        <f ca="1">L1213*'Emission Factors'!$I$262</f>
        <v>0</v>
      </c>
      <c r="M1226" s="545">
        <f ca="1">M1213*'Emission Factors'!$I$262</f>
        <v>0</v>
      </c>
      <c r="N1226" s="545">
        <f ca="1">N1213*'Emission Factors'!$I$262</f>
        <v>0</v>
      </c>
      <c r="O1226" s="545">
        <f ca="1">O1213*'Emission Factors'!$I$262</f>
        <v>0</v>
      </c>
      <c r="P1226" s="545">
        <f ca="1">P1213*'Emission Factors'!$I$262</f>
        <v>0</v>
      </c>
      <c r="Q1226" s="910">
        <f ca="1">Q1213*'Emission Factors'!$I$262</f>
        <v>0</v>
      </c>
      <c r="R1226" s="518"/>
      <c r="S1226" s="892"/>
      <c r="T1226" s="341"/>
      <c r="U1226" s="341"/>
      <c r="V1226" s="341"/>
      <c r="W1226" s="341"/>
      <c r="X1226" s="341"/>
      <c r="Y1226" s="341"/>
      <c r="Z1226" s="341"/>
      <c r="AA1226" s="341"/>
      <c r="AB1226" s="341"/>
      <c r="AC1226" s="341"/>
      <c r="AD1226" s="341"/>
      <c r="AE1226" s="341"/>
      <c r="AF1226" s="341"/>
    </row>
    <row r="1227" spans="1:32" ht="18.75" customHeight="1" x14ac:dyDescent="0.2">
      <c r="A1227" s="341"/>
      <c r="B1227" s="345"/>
      <c r="C1227" s="904" t="s">
        <v>1047</v>
      </c>
      <c r="D1227" s="909">
        <f ca="1">D1214*('Emission Factors'!$J$218+'Emission Factors'!$K$218)</f>
        <v>-3.3828167462767684</v>
      </c>
      <c r="E1227" s="909">
        <f ca="1">E1214*('Emission Factors'!$J$218+'Emission Factors'!$K$218)</f>
        <v>-1.2963953994907493</v>
      </c>
      <c r="F1227" s="909">
        <f ca="1">F1214*('Emission Factors'!$J$218+'Emission Factors'!$K$218)</f>
        <v>-1.2617898052926402</v>
      </c>
      <c r="G1227" s="909">
        <f ca="1">G1214*('Emission Factors'!$J$218+'Emission Factors'!$K$218)</f>
        <v>0</v>
      </c>
      <c r="H1227" s="909">
        <f ca="1">H1214*('Emission Factors'!$J$218+'Emission Factors'!$K$218)</f>
        <v>0</v>
      </c>
      <c r="I1227" s="909">
        <f ca="1">I1214*('Emission Factors'!$J$218+'Emission Factors'!$K$218)</f>
        <v>0</v>
      </c>
      <c r="J1227" s="909">
        <f ca="1">J1214*('Emission Factors'!$J$218+'Emission Factors'!$K$218)</f>
        <v>0</v>
      </c>
      <c r="K1227" s="909">
        <f ca="1">K1214*('Emission Factors'!$J$218+'Emission Factors'!$K$218)</f>
        <v>0</v>
      </c>
      <c r="L1227" s="909">
        <f ca="1">L1214*('Emission Factors'!$J$218+'Emission Factors'!$K$218)</f>
        <v>0</v>
      </c>
      <c r="M1227" s="909">
        <f ca="1">M1214*('Emission Factors'!$J$218+'Emission Factors'!$K$218)</f>
        <v>0</v>
      </c>
      <c r="N1227" s="909">
        <f ca="1">N1214*('Emission Factors'!$J$218+'Emission Factors'!$K$218)</f>
        <v>0</v>
      </c>
      <c r="O1227" s="909">
        <f ca="1">O1214*('Emission Factors'!$J$218+'Emission Factors'!$K$218)</f>
        <v>0</v>
      </c>
      <c r="P1227" s="909">
        <f ca="1">P1214*('Emission Factors'!$J$218+'Emission Factors'!$K$218)</f>
        <v>0</v>
      </c>
      <c r="Q1227" s="907">
        <f ca="1">Q1214*('Emission Factors'!$J$218+'Emission Factors'!$K$218)</f>
        <v>-1.2024820194333325</v>
      </c>
      <c r="R1227" s="518"/>
      <c r="S1227" s="892"/>
      <c r="T1227" s="341"/>
      <c r="U1227" s="341"/>
      <c r="V1227" s="341"/>
      <c r="W1227" s="341"/>
      <c r="X1227" s="341"/>
      <c r="Y1227" s="341"/>
      <c r="Z1227" s="341"/>
      <c r="AA1227" s="341"/>
      <c r="AB1227" s="341"/>
      <c r="AC1227" s="341"/>
      <c r="AD1227" s="341"/>
      <c r="AE1227" s="341"/>
      <c r="AF1227" s="341"/>
    </row>
    <row r="1228" spans="1:32" ht="18.75" customHeight="1" x14ac:dyDescent="0.2">
      <c r="A1228" s="341"/>
      <c r="B1228" s="345"/>
      <c r="C1228" s="519"/>
      <c r="D1228" s="518"/>
      <c r="E1228" s="518"/>
      <c r="F1228" s="518"/>
      <c r="G1228" s="518"/>
      <c r="H1228" s="518"/>
      <c r="I1228" s="518"/>
      <c r="J1228" s="518"/>
      <c r="K1228" s="518"/>
      <c r="L1228" s="518"/>
      <c r="M1228" s="518"/>
      <c r="N1228" s="518"/>
      <c r="O1228" s="518"/>
      <c r="P1228" s="518"/>
      <c r="Q1228" s="518"/>
      <c r="R1228" s="518"/>
      <c r="S1228" s="892"/>
      <c r="T1228" s="341"/>
      <c r="U1228" s="341"/>
      <c r="V1228" s="341"/>
      <c r="W1228" s="341"/>
      <c r="X1228" s="341"/>
      <c r="Y1228" s="341"/>
      <c r="Z1228" s="341"/>
      <c r="AA1228" s="341"/>
      <c r="AB1228" s="341"/>
      <c r="AC1228" s="341"/>
      <c r="AD1228" s="341"/>
      <c r="AE1228" s="341"/>
      <c r="AF1228" s="341"/>
    </row>
    <row r="1229" spans="1:32" ht="18.75" customHeight="1" x14ac:dyDescent="0.2">
      <c r="A1229" s="341"/>
      <c r="B1229" s="345"/>
      <c r="C1229" s="440" t="s">
        <v>1756</v>
      </c>
      <c r="D1229" s="518"/>
      <c r="E1229" s="518"/>
      <c r="F1229" s="518"/>
      <c r="G1229" s="518"/>
      <c r="H1229" s="518"/>
      <c r="I1229" s="518"/>
      <c r="J1229" s="518"/>
      <c r="K1229" s="518"/>
      <c r="L1229" s="518"/>
      <c r="M1229" s="518"/>
      <c r="N1229" s="518"/>
      <c r="O1229" s="518"/>
      <c r="P1229" s="518"/>
      <c r="Q1229" s="518"/>
      <c r="R1229" s="518"/>
      <c r="S1229" s="892"/>
      <c r="T1229" s="341"/>
      <c r="U1229" s="341"/>
      <c r="V1229" s="341"/>
      <c r="W1229" s="341"/>
      <c r="X1229" s="341"/>
      <c r="Y1229" s="341"/>
      <c r="Z1229" s="341"/>
      <c r="AA1229" s="341"/>
      <c r="AB1229" s="341"/>
      <c r="AC1229" s="341"/>
      <c r="AD1229" s="341"/>
      <c r="AE1229" s="341"/>
      <c r="AF1229" s="341"/>
    </row>
    <row r="1230" spans="1:32" ht="18.75" customHeight="1" x14ac:dyDescent="0.2">
      <c r="A1230" s="341"/>
      <c r="B1230" s="345"/>
      <c r="C1230" s="1770" t="str">
        <f>C1202</f>
        <v>Feedstock</v>
      </c>
      <c r="D1230" s="1771"/>
      <c r="E1230" s="1771"/>
      <c r="F1230" s="1771"/>
      <c r="G1230" s="1771"/>
      <c r="H1230" s="1771"/>
      <c r="I1230" s="1771"/>
      <c r="J1230" s="1771"/>
      <c r="K1230" s="1771"/>
      <c r="L1230" s="1771"/>
      <c r="M1230" s="1771"/>
      <c r="N1230" s="1771"/>
      <c r="O1230" s="1771"/>
      <c r="P1230" s="1771"/>
      <c r="Q1230" s="1772"/>
      <c r="R1230" s="518"/>
      <c r="S1230" s="892"/>
      <c r="T1230" s="341"/>
      <c r="U1230" s="341"/>
      <c r="V1230" s="341"/>
      <c r="W1230" s="341"/>
      <c r="X1230" s="341"/>
      <c r="Y1230" s="341"/>
      <c r="Z1230" s="341"/>
      <c r="AA1230" s="341"/>
      <c r="AB1230" s="341"/>
      <c r="AC1230" s="341"/>
      <c r="AD1230" s="341"/>
      <c r="AE1230" s="341"/>
      <c r="AF1230" s="341"/>
    </row>
    <row r="1231" spans="1:32" ht="18.75" customHeight="1" x14ac:dyDescent="0.2">
      <c r="A1231" s="341"/>
      <c r="B1231" s="345"/>
      <c r="C1231" s="881" t="str">
        <f>C1203</f>
        <v>Crude</v>
      </c>
      <c r="D1231" s="518">
        <f ca="1">D1170/'HydroRefineryPFD '!$E$96</f>
        <v>2169.6440650033583</v>
      </c>
      <c r="E1231" s="518">
        <f ca="1">E1170/'HydroRefineryPFD '!$E$96</f>
        <v>2343.0718589889079</v>
      </c>
      <c r="F1231" s="518">
        <f ca="1">F1170/'HydroRefineryPFD '!$E$96</f>
        <v>1119.7166453220761</v>
      </c>
      <c r="G1231" s="518">
        <f ca="1">G1170/'HydroRefineryPFD '!$E$96</f>
        <v>0</v>
      </c>
      <c r="H1231" s="518">
        <f ca="1">H1170/'HydroRefineryPFD '!$E$96</f>
        <v>0</v>
      </c>
      <c r="I1231" s="518">
        <f ca="1">I1170/'HydroRefineryPFD '!$E$96</f>
        <v>0</v>
      </c>
      <c r="J1231" s="518">
        <f ca="1">J1170/'HydroRefineryPFD '!$E$96</f>
        <v>0</v>
      </c>
      <c r="K1231" s="518">
        <f ca="1">K1170/'HydroRefineryPFD '!$E$96</f>
        <v>0</v>
      </c>
      <c r="L1231" s="518">
        <f ca="1">L1170/'HydroRefineryPFD '!$E$96</f>
        <v>0</v>
      </c>
      <c r="M1231" s="518">
        <f ca="1">M1170/'HydroRefineryPFD '!$E$96</f>
        <v>0</v>
      </c>
      <c r="N1231" s="518">
        <f ca="1">N1170/'HydroRefineryPFD '!$E$96</f>
        <v>0</v>
      </c>
      <c r="O1231" s="518">
        <f ca="1">O1170/'HydroRefineryPFD '!$E$96</f>
        <v>0</v>
      </c>
      <c r="P1231" s="518">
        <f ca="1">P1170/'HydroRefineryPFD '!$E$96</f>
        <v>0</v>
      </c>
      <c r="Q1231" s="481">
        <f ca="1">Q1170/'HydroRefineryPFD '!$E$96</f>
        <v>5632.4325693143419</v>
      </c>
      <c r="R1231" s="518"/>
      <c r="S1231" s="892"/>
      <c r="T1231" s="341"/>
      <c r="U1231" s="341"/>
      <c r="V1231" s="341"/>
      <c r="W1231" s="341"/>
      <c r="X1231" s="341"/>
      <c r="Y1231" s="341"/>
      <c r="Z1231" s="341"/>
      <c r="AA1231" s="341"/>
      <c r="AB1231" s="341"/>
      <c r="AC1231" s="341"/>
      <c r="AD1231" s="341"/>
      <c r="AE1231" s="341"/>
      <c r="AF1231" s="341"/>
    </row>
    <row r="1232" spans="1:32" ht="18.75" customHeight="1" x14ac:dyDescent="0.2">
      <c r="A1232" s="341"/>
      <c r="B1232" s="345"/>
      <c r="C1232" s="1773" t="str">
        <f>C1204</f>
        <v>Process Energy</v>
      </c>
      <c r="D1232" s="1774"/>
      <c r="E1232" s="1774"/>
      <c r="F1232" s="1774"/>
      <c r="G1232" s="1774"/>
      <c r="H1232" s="1774"/>
      <c r="I1232" s="1774"/>
      <c r="J1232" s="1774"/>
      <c r="K1232" s="1774"/>
      <c r="L1232" s="1774"/>
      <c r="M1232" s="1774"/>
      <c r="N1232" s="1774"/>
      <c r="O1232" s="1774"/>
      <c r="P1232" s="1774"/>
      <c r="Q1232" s="1775"/>
      <c r="R1232" s="518"/>
      <c r="S1232" s="892"/>
      <c r="T1232" s="341"/>
      <c r="U1232" s="341"/>
      <c r="V1232" s="341"/>
      <c r="W1232" s="341"/>
      <c r="X1232" s="341"/>
      <c r="Y1232" s="341"/>
      <c r="Z1232" s="341"/>
      <c r="AA1232" s="341"/>
      <c r="AB1232" s="341"/>
      <c r="AC1232" s="341"/>
      <c r="AD1232" s="341"/>
      <c r="AE1232" s="341"/>
      <c r="AF1232" s="341"/>
    </row>
    <row r="1233" spans="1:32" ht="18.75" customHeight="1" x14ac:dyDescent="0.2">
      <c r="A1233" s="341"/>
      <c r="B1233" s="345"/>
      <c r="C1233" s="881" t="str">
        <f t="shared" ref="C1233:C1238" si="159">C1218</f>
        <v>Electricity</v>
      </c>
      <c r="D1233" s="518">
        <f ca="1">D1172/'HydroRefineryPFD '!$E$96</f>
        <v>6.1178004292932062</v>
      </c>
      <c r="E1233" s="518">
        <f ca="1">E1172/'HydroRefineryPFD '!$E$96</f>
        <v>3.199376376061029</v>
      </c>
      <c r="F1233" s="518">
        <f ca="1">F1172/'HydroRefineryPFD '!$E$96</f>
        <v>1.4547662780757022</v>
      </c>
      <c r="G1233" s="518">
        <f ca="1">G1172/'HydroRefineryPFD '!$E$96</f>
        <v>0</v>
      </c>
      <c r="H1233" s="518">
        <f ca="1">H1172/'HydroRefineryPFD '!$E$96</f>
        <v>0</v>
      </c>
      <c r="I1233" s="518">
        <f ca="1">I1172/'HydroRefineryPFD '!$E$96</f>
        <v>0</v>
      </c>
      <c r="J1233" s="518">
        <f ca="1">J1172/'HydroRefineryPFD '!$E$96</f>
        <v>0</v>
      </c>
      <c r="K1233" s="518">
        <f ca="1">K1172/'HydroRefineryPFD '!$E$96</f>
        <v>0</v>
      </c>
      <c r="L1233" s="518">
        <f ca="1">L1172/'HydroRefineryPFD '!$E$96</f>
        <v>0</v>
      </c>
      <c r="M1233" s="518">
        <f ca="1">M1172/'HydroRefineryPFD '!$E$96</f>
        <v>0</v>
      </c>
      <c r="N1233" s="518">
        <f ca="1">N1172/'HydroRefineryPFD '!$E$96</f>
        <v>0</v>
      </c>
      <c r="O1233" s="518">
        <f ca="1">O1172/'HydroRefineryPFD '!$E$96</f>
        <v>0</v>
      </c>
      <c r="P1233" s="518">
        <f ca="1">P1172/'HydroRefineryPFD '!$E$96</f>
        <v>0</v>
      </c>
      <c r="Q1233" s="481">
        <f ca="1">Q1172/'HydroRefineryPFD '!$E$96</f>
        <v>10.771943083429937</v>
      </c>
      <c r="R1233" s="518"/>
      <c r="S1233" s="892"/>
      <c r="T1233" s="341"/>
      <c r="U1233" s="341"/>
      <c r="V1233" s="341"/>
      <c r="W1233" s="341"/>
      <c r="X1233" s="341"/>
      <c r="Y1233" s="341"/>
      <c r="Z1233" s="341"/>
      <c r="AA1233" s="341"/>
      <c r="AB1233" s="341"/>
      <c r="AC1233" s="341"/>
      <c r="AD1233" s="341"/>
      <c r="AE1233" s="341"/>
      <c r="AF1233" s="341"/>
    </row>
    <row r="1234" spans="1:32" ht="18.75" customHeight="1" x14ac:dyDescent="0.2">
      <c r="A1234" s="341"/>
      <c r="B1234" s="345"/>
      <c r="C1234" s="881" t="str">
        <f t="shared" si="159"/>
        <v>Heat</v>
      </c>
      <c r="D1234" s="518">
        <f ca="1">D1173/'HydroRefineryPFD '!$E$96</f>
        <v>124.44233071418689</v>
      </c>
      <c r="E1234" s="518">
        <f ca="1">E1173/'HydroRefineryPFD '!$E$96</f>
        <v>60.68832223686578</v>
      </c>
      <c r="F1234" s="518">
        <f ca="1">F1173/'HydroRefineryPFD '!$E$96</f>
        <v>28.61099793098316</v>
      </c>
      <c r="G1234" s="518">
        <f ca="1">G1173/'HydroRefineryPFD '!$E$96</f>
        <v>0</v>
      </c>
      <c r="H1234" s="518">
        <f ca="1">H1173/'HydroRefineryPFD '!$E$96</f>
        <v>0</v>
      </c>
      <c r="I1234" s="518">
        <f ca="1">I1173/'HydroRefineryPFD '!$E$96</f>
        <v>0</v>
      </c>
      <c r="J1234" s="518">
        <f ca="1">J1173/'HydroRefineryPFD '!$E$96</f>
        <v>0</v>
      </c>
      <c r="K1234" s="518">
        <f ca="1">K1173/'HydroRefineryPFD '!$E$96</f>
        <v>0</v>
      </c>
      <c r="L1234" s="518">
        <f ca="1">L1173/'HydroRefineryPFD '!$E$96</f>
        <v>0</v>
      </c>
      <c r="M1234" s="518">
        <f ca="1">M1173/'HydroRefineryPFD '!$E$96</f>
        <v>0</v>
      </c>
      <c r="N1234" s="518">
        <f ca="1">N1173/'HydroRefineryPFD '!$E$96</f>
        <v>0</v>
      </c>
      <c r="O1234" s="518">
        <f ca="1">O1173/'HydroRefineryPFD '!$E$96</f>
        <v>0</v>
      </c>
      <c r="P1234" s="518">
        <f ca="1">P1173/'HydroRefineryPFD '!$E$96</f>
        <v>0</v>
      </c>
      <c r="Q1234" s="481">
        <f ca="1">Q1173/'HydroRefineryPFD '!$E$96</f>
        <v>213.74165088203583</v>
      </c>
      <c r="R1234" s="518"/>
      <c r="S1234" s="892"/>
      <c r="T1234" s="341"/>
      <c r="U1234" s="341"/>
      <c r="V1234" s="341"/>
      <c r="W1234" s="341"/>
      <c r="X1234" s="341"/>
      <c r="Y1234" s="341"/>
      <c r="Z1234" s="341"/>
      <c r="AA1234" s="341"/>
      <c r="AB1234" s="341"/>
      <c r="AC1234" s="341"/>
      <c r="AD1234" s="341"/>
      <c r="AE1234" s="341"/>
      <c r="AF1234" s="341"/>
    </row>
    <row r="1235" spans="1:32" ht="18.75" customHeight="1" x14ac:dyDescent="0.2">
      <c r="A1235" s="341"/>
      <c r="B1235" s="345"/>
      <c r="C1235" s="881" t="str">
        <f t="shared" si="159"/>
        <v>Steam</v>
      </c>
      <c r="D1235" s="518">
        <f ca="1">D1174/'HydroRefineryPFD '!$E$96</f>
        <v>13.612424516205873</v>
      </c>
      <c r="E1235" s="518">
        <f ca="1">E1174/'HydroRefineryPFD '!$E$96</f>
        <v>6.4108216080654543</v>
      </c>
      <c r="F1235" s="518">
        <f ca="1">F1174/'HydroRefineryPFD '!$E$96</f>
        <v>2.9125312512299644</v>
      </c>
      <c r="G1235" s="518">
        <f ca="1">G1174/'HydroRefineryPFD '!$E$96</f>
        <v>0</v>
      </c>
      <c r="H1235" s="518">
        <f ca="1">H1174/'HydroRefineryPFD '!$E$96</f>
        <v>0</v>
      </c>
      <c r="I1235" s="518">
        <f ca="1">I1174/'HydroRefineryPFD '!$E$96</f>
        <v>0</v>
      </c>
      <c r="J1235" s="518">
        <f ca="1">J1174/'HydroRefineryPFD '!$E$96</f>
        <v>0</v>
      </c>
      <c r="K1235" s="518">
        <f ca="1">K1174/'HydroRefineryPFD '!$E$96</f>
        <v>0</v>
      </c>
      <c r="L1235" s="518">
        <f ca="1">L1174/'HydroRefineryPFD '!$E$96</f>
        <v>0</v>
      </c>
      <c r="M1235" s="518">
        <f ca="1">M1174/'HydroRefineryPFD '!$E$96</f>
        <v>0</v>
      </c>
      <c r="N1235" s="518">
        <f ca="1">N1174/'HydroRefineryPFD '!$E$96</f>
        <v>0</v>
      </c>
      <c r="O1235" s="518">
        <f ca="1">O1174/'HydroRefineryPFD '!$E$96</f>
        <v>0</v>
      </c>
      <c r="P1235" s="518">
        <f ca="1">P1174/'HydroRefineryPFD '!$E$96</f>
        <v>0</v>
      </c>
      <c r="Q1235" s="481">
        <f ca="1">Q1174/'HydroRefineryPFD '!$E$96</f>
        <v>22.935777375501292</v>
      </c>
      <c r="R1235" s="518"/>
      <c r="S1235" s="892"/>
      <c r="T1235" s="341"/>
      <c r="U1235" s="341"/>
      <c r="V1235" s="341"/>
      <c r="W1235" s="341"/>
      <c r="X1235" s="341"/>
      <c r="Y1235" s="341"/>
      <c r="Z1235" s="341"/>
      <c r="AA1235" s="341"/>
      <c r="AB1235" s="341"/>
      <c r="AC1235" s="341"/>
      <c r="AD1235" s="341"/>
      <c r="AE1235" s="341"/>
      <c r="AF1235" s="341"/>
    </row>
    <row r="1236" spans="1:32" ht="18.75" customHeight="1" x14ac:dyDescent="0.2">
      <c r="A1236" s="341"/>
      <c r="B1236" s="345"/>
      <c r="C1236" s="881" t="str">
        <f t="shared" si="159"/>
        <v>Hydrogen from Reformer</v>
      </c>
      <c r="D1236" s="518">
        <f ca="1">D1196/'HydroRefineryPFD '!$E$96</f>
        <v>43.633322587507209</v>
      </c>
      <c r="E1236" s="518">
        <f ca="1">E1196/'HydroRefineryPFD '!$E$96</f>
        <v>13.270323397908278</v>
      </c>
      <c r="F1236" s="518">
        <f ca="1">F1196/'HydroRefineryPFD '!$E$96</f>
        <v>7.0834158735599138</v>
      </c>
      <c r="G1236" s="518">
        <f ca="1">G1196/'HydroRefineryPFD '!$E$96</f>
        <v>0</v>
      </c>
      <c r="H1236" s="518">
        <f ca="1">H1196/'HydroRefineryPFD '!$E$96</f>
        <v>0</v>
      </c>
      <c r="I1236" s="518">
        <f ca="1">I1196/'HydroRefineryPFD '!$E$96</f>
        <v>0</v>
      </c>
      <c r="J1236" s="518">
        <f ca="1">J1196/'HydroRefineryPFD '!$E$96</f>
        <v>0</v>
      </c>
      <c r="K1236" s="518">
        <f ca="1">K1196/'HydroRefineryPFD '!$E$96</f>
        <v>0</v>
      </c>
      <c r="L1236" s="518">
        <f ca="1">L1196/'HydroRefineryPFD '!$E$96</f>
        <v>0</v>
      </c>
      <c r="M1236" s="518">
        <f ca="1">M1196/'HydroRefineryPFD '!$E$96</f>
        <v>0</v>
      </c>
      <c r="N1236" s="518">
        <f ca="1">N1196/'HydroRefineryPFD '!$E$96</f>
        <v>0</v>
      </c>
      <c r="O1236" s="518">
        <f ca="1">O1196/'HydroRefineryPFD '!$E$96</f>
        <v>0</v>
      </c>
      <c r="P1236" s="518">
        <f ca="1">P1196/'HydroRefineryPFD '!$E$96</f>
        <v>0</v>
      </c>
      <c r="Q1236" s="481">
        <f ca="1">Q1196/'HydroRefineryPFD '!$E$96</f>
        <v>63.987061858975395</v>
      </c>
      <c r="R1236" s="518"/>
      <c r="S1236" s="892"/>
      <c r="T1236" s="341"/>
      <c r="U1236" s="341"/>
      <c r="V1236" s="341"/>
      <c r="W1236" s="341"/>
      <c r="X1236" s="341"/>
      <c r="Y1236" s="341"/>
      <c r="Z1236" s="341"/>
      <c r="AA1236" s="341"/>
      <c r="AB1236" s="341"/>
      <c r="AC1236" s="341"/>
      <c r="AD1236" s="341"/>
      <c r="AE1236" s="341"/>
      <c r="AF1236" s="341"/>
    </row>
    <row r="1237" spans="1:32" ht="18.75" customHeight="1" x14ac:dyDescent="0.2">
      <c r="A1237" s="341"/>
      <c r="B1237" s="345"/>
      <c r="C1237" s="881" t="str">
        <f t="shared" si="159"/>
        <v>Hydrogen from SMR</v>
      </c>
      <c r="D1237" s="518">
        <f ca="1">D1197/'HydroRefineryPFD '!$E$96</f>
        <v>23.676164416302214</v>
      </c>
      <c r="E1237" s="518">
        <f ca="1">E1197/'HydroRefineryPFD '!$E$96</f>
        <v>7.2006975401945565</v>
      </c>
      <c r="F1237" s="518">
        <f ca="1">F1197/'HydroRefineryPFD '!$E$96</f>
        <v>3.8435789187291105</v>
      </c>
      <c r="G1237" s="518">
        <f ca="1">G1197/'HydroRefineryPFD '!$E$96</f>
        <v>0</v>
      </c>
      <c r="H1237" s="518">
        <f ca="1">H1197/'HydroRefineryPFD '!$E$96</f>
        <v>0</v>
      </c>
      <c r="I1237" s="518">
        <f ca="1">I1197/'HydroRefineryPFD '!$E$96</f>
        <v>0</v>
      </c>
      <c r="J1237" s="518">
        <f ca="1">J1197/'HydroRefineryPFD '!$E$96</f>
        <v>0</v>
      </c>
      <c r="K1237" s="518">
        <f ca="1">K1197/'HydroRefineryPFD '!$E$96</f>
        <v>0</v>
      </c>
      <c r="L1237" s="518">
        <f ca="1">L1197/'HydroRefineryPFD '!$E$96</f>
        <v>0</v>
      </c>
      <c r="M1237" s="518">
        <f ca="1">M1197/'HydroRefineryPFD '!$E$96</f>
        <v>0</v>
      </c>
      <c r="N1237" s="518">
        <f ca="1">N1197/'HydroRefineryPFD '!$E$96</f>
        <v>0</v>
      </c>
      <c r="O1237" s="518">
        <f ca="1">O1197/'HydroRefineryPFD '!$E$96</f>
        <v>0</v>
      </c>
      <c r="P1237" s="518">
        <f ca="1">P1197/'HydroRefineryPFD '!$E$96</f>
        <v>0</v>
      </c>
      <c r="Q1237" s="481">
        <f ca="1">Q1197/'HydroRefineryPFD '!$E$96</f>
        <v>34.720440875225869</v>
      </c>
      <c r="R1237" s="518"/>
      <c r="S1237" s="892"/>
      <c r="T1237" s="341"/>
      <c r="U1237" s="341"/>
      <c r="V1237" s="341"/>
      <c r="W1237" s="341"/>
      <c r="X1237" s="341"/>
      <c r="Y1237" s="341"/>
      <c r="Z1237" s="341"/>
      <c r="AA1237" s="341"/>
      <c r="AB1237" s="341"/>
      <c r="AC1237" s="341"/>
      <c r="AD1237" s="341"/>
      <c r="AE1237" s="341"/>
      <c r="AF1237" s="341"/>
    </row>
    <row r="1238" spans="1:32" ht="18.75" customHeight="1" x14ac:dyDescent="0.2">
      <c r="A1238" s="341"/>
      <c r="B1238" s="345"/>
      <c r="C1238" s="881" t="str">
        <f t="shared" si="159"/>
        <v>Catalyst Coke</v>
      </c>
      <c r="D1238" s="518">
        <f ca="1">D1176/'HydroRefineryPFD '!$E$96</f>
        <v>2.9272904782633061E-19</v>
      </c>
      <c r="E1238" s="518">
        <f ca="1">E1176/'HydroRefineryPFD '!$E$96</f>
        <v>0</v>
      </c>
      <c r="F1238" s="518">
        <f ca="1">F1176/'HydroRefineryPFD '!$E$96</f>
        <v>6.9356172105228012E-20</v>
      </c>
      <c r="G1238" s="518">
        <f ca="1">G1176/'HydroRefineryPFD '!$E$96</f>
        <v>0</v>
      </c>
      <c r="H1238" s="518">
        <f ca="1">H1176/'HydroRefineryPFD '!$E$96</f>
        <v>0</v>
      </c>
      <c r="I1238" s="518">
        <f ca="1">I1176/'HydroRefineryPFD '!$E$96</f>
        <v>0</v>
      </c>
      <c r="J1238" s="518">
        <f ca="1">J1176/'HydroRefineryPFD '!$E$96</f>
        <v>0</v>
      </c>
      <c r="K1238" s="518">
        <f ca="1">K1176/'HydroRefineryPFD '!$E$96</f>
        <v>0</v>
      </c>
      <c r="L1238" s="518">
        <f ca="1">L1176/'HydroRefineryPFD '!$E$96</f>
        <v>0</v>
      </c>
      <c r="M1238" s="518">
        <f ca="1">M1176/'HydroRefineryPFD '!$E$96</f>
        <v>0</v>
      </c>
      <c r="N1238" s="518">
        <f ca="1">N1176/'HydroRefineryPFD '!$E$96</f>
        <v>0</v>
      </c>
      <c r="O1238" s="518">
        <f ca="1">O1176/'HydroRefineryPFD '!$E$96</f>
        <v>0</v>
      </c>
      <c r="P1238" s="518">
        <f ca="1">P1176/'HydroRefineryPFD '!$E$96</f>
        <v>0</v>
      </c>
      <c r="Q1238" s="481">
        <f ca="1">Q1176/'HydroRefineryPFD '!$E$96</f>
        <v>3.6208521993155862E-19</v>
      </c>
      <c r="R1238" s="518"/>
      <c r="S1238" s="892"/>
      <c r="T1238" s="341"/>
      <c r="U1238" s="341"/>
      <c r="V1238" s="341"/>
      <c r="W1238" s="341"/>
      <c r="X1238" s="341"/>
      <c r="Y1238" s="341"/>
      <c r="Z1238" s="341"/>
      <c r="AA1238" s="341"/>
      <c r="AB1238" s="341"/>
      <c r="AC1238" s="341"/>
      <c r="AD1238" s="341"/>
      <c r="AE1238" s="341"/>
      <c r="AF1238" s="341"/>
    </row>
    <row r="1239" spans="1:32" ht="18.75" customHeight="1" x14ac:dyDescent="0.2">
      <c r="A1239" s="341"/>
      <c r="B1239" s="345"/>
      <c r="C1239" s="1773" t="str">
        <f>C1211</f>
        <v xml:space="preserve">Total Refinery Processes </v>
      </c>
      <c r="D1239" s="1777">
        <f t="shared" ref="D1239:Q1239" ca="1" si="160">SUM(D1233:D1238)</f>
        <v>211.48204266349538</v>
      </c>
      <c r="E1239" s="1777">
        <f t="shared" ca="1" si="160"/>
        <v>90.769541159095084</v>
      </c>
      <c r="F1239" s="1777">
        <f t="shared" ca="1" si="160"/>
        <v>43.905290252577849</v>
      </c>
      <c r="G1239" s="1777">
        <f t="shared" ca="1" si="160"/>
        <v>0</v>
      </c>
      <c r="H1239" s="1777">
        <f t="shared" ca="1" si="160"/>
        <v>0</v>
      </c>
      <c r="I1239" s="1777">
        <f t="shared" ca="1" si="160"/>
        <v>0</v>
      </c>
      <c r="J1239" s="1777">
        <f t="shared" ca="1" si="160"/>
        <v>0</v>
      </c>
      <c r="K1239" s="1777">
        <f t="shared" ca="1" si="160"/>
        <v>0</v>
      </c>
      <c r="L1239" s="1777">
        <f t="shared" ref="L1239" ca="1" si="161">SUM(L1233:L1238)</f>
        <v>0</v>
      </c>
      <c r="M1239" s="1777">
        <f t="shared" ca="1" si="160"/>
        <v>0</v>
      </c>
      <c r="N1239" s="1777">
        <f t="shared" ref="N1239:P1239" ca="1" si="162">SUM(N1233:N1238)</f>
        <v>0</v>
      </c>
      <c r="O1239" s="1777">
        <f t="shared" ca="1" si="162"/>
        <v>0</v>
      </c>
      <c r="P1239" s="1777">
        <f t="shared" ca="1" si="162"/>
        <v>0</v>
      </c>
      <c r="Q1239" s="1778">
        <f t="shared" ca="1" si="160"/>
        <v>346.15687407516828</v>
      </c>
      <c r="R1239" s="518"/>
      <c r="S1239" s="892"/>
      <c r="T1239" s="341"/>
      <c r="U1239" s="341"/>
      <c r="V1239" s="341"/>
      <c r="W1239" s="341"/>
      <c r="X1239" s="341"/>
      <c r="Y1239" s="341"/>
      <c r="Z1239" s="341"/>
      <c r="AA1239" s="341"/>
      <c r="AB1239" s="341"/>
      <c r="AC1239" s="341"/>
      <c r="AD1239" s="341"/>
      <c r="AE1239" s="341"/>
      <c r="AF1239" s="341"/>
    </row>
    <row r="1240" spans="1:32" ht="18.75" customHeight="1" x14ac:dyDescent="0.2">
      <c r="A1240" s="341"/>
      <c r="B1240" s="345"/>
      <c r="C1240" s="1773" t="str">
        <f>C1212</f>
        <v>Total Energy included Feedstock</v>
      </c>
      <c r="D1240" s="1779">
        <f t="shared" ref="D1240:Q1240" ca="1" si="163">SUM(D1231:D1238)</f>
        <v>2381.1261076668538</v>
      </c>
      <c r="E1240" s="1779">
        <f t="shared" ca="1" si="163"/>
        <v>2433.8414001480028</v>
      </c>
      <c r="F1240" s="1779">
        <f t="shared" ca="1" si="163"/>
        <v>1163.6219355746539</v>
      </c>
      <c r="G1240" s="1779">
        <f t="shared" ca="1" si="163"/>
        <v>0</v>
      </c>
      <c r="H1240" s="1779">
        <f t="shared" ca="1" si="163"/>
        <v>0</v>
      </c>
      <c r="I1240" s="1779">
        <f t="shared" ca="1" si="163"/>
        <v>0</v>
      </c>
      <c r="J1240" s="1779">
        <f t="shared" ca="1" si="163"/>
        <v>0</v>
      </c>
      <c r="K1240" s="1779">
        <f t="shared" ca="1" si="163"/>
        <v>0</v>
      </c>
      <c r="L1240" s="1779">
        <f t="shared" ref="L1240" ca="1" si="164">SUM(L1231:L1238)</f>
        <v>0</v>
      </c>
      <c r="M1240" s="1779">
        <f t="shared" ca="1" si="163"/>
        <v>0</v>
      </c>
      <c r="N1240" s="1779">
        <f t="shared" ref="N1240:P1240" ca="1" si="165">SUM(N1231:N1238)</f>
        <v>0</v>
      </c>
      <c r="O1240" s="1779">
        <f t="shared" ca="1" si="165"/>
        <v>0</v>
      </c>
      <c r="P1240" s="1779">
        <f t="shared" ca="1" si="165"/>
        <v>0</v>
      </c>
      <c r="Q1240" s="1780">
        <f t="shared" ca="1" si="163"/>
        <v>5978.5894433895101</v>
      </c>
      <c r="R1240" s="518"/>
      <c r="S1240" s="892"/>
      <c r="T1240" s="341"/>
      <c r="U1240" s="341"/>
      <c r="V1240" s="341"/>
      <c r="W1240" s="341"/>
      <c r="X1240" s="341"/>
      <c r="Y1240" s="341"/>
      <c r="Z1240" s="341"/>
      <c r="AA1240" s="341"/>
      <c r="AB1240" s="341"/>
      <c r="AC1240" s="341"/>
      <c r="AD1240" s="341"/>
      <c r="AE1240" s="341"/>
      <c r="AF1240" s="341"/>
    </row>
    <row r="1241" spans="1:32" ht="18.75" customHeight="1" x14ac:dyDescent="0.2">
      <c r="A1241" s="341"/>
      <c r="B1241" s="345"/>
      <c r="C1241" s="881" t="s">
        <v>980</v>
      </c>
      <c r="D1241" s="518">
        <f ca="1">D1198/'HydroRefineryPFD '!$E$96</f>
        <v>0</v>
      </c>
      <c r="E1241" s="518">
        <f ca="1">E1198/'HydroRefineryPFD '!$E$96</f>
        <v>0</v>
      </c>
      <c r="F1241" s="518">
        <f ca="1">F1198/'HydroRefineryPFD '!$E$96</f>
        <v>0</v>
      </c>
      <c r="G1241" s="518">
        <f ca="1">G1198/'HydroRefineryPFD '!$E$96</f>
        <v>0</v>
      </c>
      <c r="H1241" s="518">
        <f ca="1">H1198/'HydroRefineryPFD '!$E$96</f>
        <v>0</v>
      </c>
      <c r="I1241" s="518">
        <f ca="1">I1198/'HydroRefineryPFD '!$E$96</f>
        <v>0</v>
      </c>
      <c r="J1241" s="518">
        <f ca="1">J1198/'HydroRefineryPFD '!$E$96</f>
        <v>0</v>
      </c>
      <c r="K1241" s="518">
        <f ca="1">K1198/'HydroRefineryPFD '!$E$96</f>
        <v>0</v>
      </c>
      <c r="L1241" s="518">
        <f ca="1">L1198/'HydroRefineryPFD '!$E$96</f>
        <v>0</v>
      </c>
      <c r="M1241" s="518">
        <f ca="1">M1198/'HydroRefineryPFD '!$E$96</f>
        <v>0</v>
      </c>
      <c r="N1241" s="518">
        <f ca="1">N1198/'HydroRefineryPFD '!$E$96</f>
        <v>0</v>
      </c>
      <c r="O1241" s="518">
        <f ca="1">O1198/'HydroRefineryPFD '!$E$96</f>
        <v>0</v>
      </c>
      <c r="P1241" s="518">
        <f ca="1">P1198/'HydroRefineryPFD '!$E$96</f>
        <v>0</v>
      </c>
      <c r="Q1241" s="481">
        <f ca="1">Q1198/'HydroRefineryPFD '!$E$96</f>
        <v>0</v>
      </c>
      <c r="R1241" s="518"/>
      <c r="S1241" s="892"/>
      <c r="T1241" s="341"/>
      <c r="U1241" s="341"/>
      <c r="V1241" s="341"/>
      <c r="W1241" s="341"/>
      <c r="X1241" s="341"/>
      <c r="Y1241" s="341"/>
      <c r="Z1241" s="341"/>
      <c r="AA1241" s="341"/>
      <c r="AB1241" s="341"/>
      <c r="AC1241" s="341"/>
      <c r="AD1241" s="341"/>
      <c r="AE1241" s="341"/>
      <c r="AF1241" s="341"/>
    </row>
    <row r="1242" spans="1:32" ht="18.75" customHeight="1" x14ac:dyDescent="0.2">
      <c r="A1242" s="341"/>
      <c r="B1242" s="345"/>
      <c r="C1242" s="904" t="s">
        <v>1419</v>
      </c>
      <c r="D1242" s="909">
        <f ca="1">D1199/'HydroRefineryPFD '!$E$96</f>
        <v>-67.143519997496313</v>
      </c>
      <c r="E1242" s="909">
        <f ca="1">E1199/'HydroRefineryPFD '!$E$96</f>
        <v>-32.744706357874037</v>
      </c>
      <c r="F1242" s="909">
        <f ca="1">F1199/'HydroRefineryPFD '!$E$96</f>
        <v>-15.43721578262185</v>
      </c>
      <c r="G1242" s="909">
        <f ca="1">G1199/'HydroRefineryPFD '!$E$96</f>
        <v>0</v>
      </c>
      <c r="H1242" s="909">
        <f ca="1">H1199/'HydroRefineryPFD '!$E$96</f>
        <v>0</v>
      </c>
      <c r="I1242" s="909">
        <f ca="1">I1199/'HydroRefineryPFD '!$E$96</f>
        <v>0</v>
      </c>
      <c r="J1242" s="909">
        <f ca="1">J1199/'HydroRefineryPFD '!$E$96</f>
        <v>0</v>
      </c>
      <c r="K1242" s="909">
        <f ca="1">K1199/'HydroRefineryPFD '!$E$96</f>
        <v>0</v>
      </c>
      <c r="L1242" s="909">
        <f ca="1">L1199/'HydroRefineryPFD '!$E$96</f>
        <v>0</v>
      </c>
      <c r="M1242" s="909">
        <f ca="1">M1199/'HydroRefineryPFD '!$E$96</f>
        <v>0</v>
      </c>
      <c r="N1242" s="909">
        <f ca="1">N1199/'HydroRefineryPFD '!$E$96</f>
        <v>0</v>
      </c>
      <c r="O1242" s="909">
        <f ca="1">O1199/'HydroRefineryPFD '!$E$96</f>
        <v>0</v>
      </c>
      <c r="P1242" s="909">
        <f ca="1">P1199/'HydroRefineryPFD '!$E$96</f>
        <v>0</v>
      </c>
      <c r="Q1242" s="907">
        <f ca="1">Q1199/'HydroRefineryPFD '!$E$96</f>
        <v>-115.32544213799221</v>
      </c>
      <c r="R1242" s="518"/>
      <c r="S1242" s="892"/>
      <c r="T1242" s="341"/>
      <c r="U1242" s="341"/>
      <c r="V1242" s="341"/>
      <c r="W1242" s="341"/>
      <c r="X1242" s="341"/>
      <c r="Y1242" s="341"/>
      <c r="Z1242" s="341"/>
      <c r="AA1242" s="341"/>
      <c r="AB1242" s="341"/>
      <c r="AC1242" s="341"/>
      <c r="AD1242" s="341"/>
      <c r="AE1242" s="341"/>
      <c r="AF1242" s="341"/>
    </row>
    <row r="1243" spans="1:32" ht="18.75" customHeight="1" x14ac:dyDescent="0.2">
      <c r="A1243" s="341"/>
      <c r="B1243" s="345"/>
      <c r="C1243" s="519"/>
      <c r="D1243" s="518"/>
      <c r="E1243" s="518"/>
      <c r="F1243" s="518"/>
      <c r="G1243" s="518"/>
      <c r="H1243" s="518"/>
      <c r="I1243" s="518"/>
      <c r="J1243" s="518"/>
      <c r="K1243" s="518"/>
      <c r="L1243" s="518"/>
      <c r="M1243" s="518"/>
      <c r="N1243" s="518"/>
      <c r="O1243" s="518"/>
      <c r="P1243" s="518"/>
      <c r="Q1243" s="518"/>
      <c r="R1243" s="518"/>
      <c r="S1243" s="892"/>
      <c r="T1243" s="341"/>
      <c r="U1243" s="341"/>
      <c r="V1243" s="341"/>
      <c r="W1243" s="341"/>
      <c r="X1243" s="341"/>
      <c r="Y1243" s="341"/>
      <c r="Z1243" s="341"/>
      <c r="AA1243" s="341"/>
      <c r="AB1243" s="341"/>
      <c r="AC1243" s="341"/>
      <c r="AD1243" s="341"/>
      <c r="AE1243" s="341"/>
      <c r="AF1243" s="341"/>
    </row>
    <row r="1244" spans="1:32" ht="18.75" customHeight="1" x14ac:dyDescent="0.2">
      <c r="A1244" s="341"/>
      <c r="B1244" s="345"/>
      <c r="C1244" s="440" t="s">
        <v>1048</v>
      </c>
      <c r="D1244" s="440"/>
      <c r="E1244" s="518"/>
      <c r="F1244" s="518"/>
      <c r="G1244" s="518"/>
      <c r="H1244" s="518"/>
      <c r="I1244" s="518"/>
      <c r="J1244" s="518"/>
      <c r="K1244" s="518"/>
      <c r="L1244" s="518"/>
      <c r="M1244" s="518"/>
      <c r="N1244" s="518"/>
      <c r="O1244" s="518"/>
      <c r="P1244" s="518"/>
      <c r="Q1244" s="518"/>
      <c r="R1244" s="518"/>
      <c r="S1244" s="892"/>
      <c r="T1244" s="341"/>
      <c r="U1244" s="341"/>
      <c r="V1244" s="341"/>
      <c r="W1244" s="341"/>
      <c r="X1244" s="341"/>
      <c r="Y1244" s="341"/>
      <c r="Z1244" s="341"/>
      <c r="AA1244" s="341"/>
      <c r="AB1244" s="341"/>
      <c r="AC1244" s="341"/>
      <c r="AD1244" s="341"/>
      <c r="AE1244" s="341"/>
      <c r="AF1244" s="341"/>
    </row>
    <row r="1245" spans="1:32" ht="18.75" customHeight="1" x14ac:dyDescent="0.2">
      <c r="A1245" s="341"/>
      <c r="B1245" s="345"/>
      <c r="C1245" s="908" t="str">
        <f>C1231</f>
        <v>Crude</v>
      </c>
      <c r="D1245" s="911">
        <v>0</v>
      </c>
      <c r="E1245" s="911">
        <v>0</v>
      </c>
      <c r="F1245" s="911">
        <v>0</v>
      </c>
      <c r="G1245" s="911">
        <v>0</v>
      </c>
      <c r="H1245" s="911">
        <v>0</v>
      </c>
      <c r="I1245" s="911">
        <v>0</v>
      </c>
      <c r="J1245" s="911">
        <v>0</v>
      </c>
      <c r="K1245" s="911">
        <v>0</v>
      </c>
      <c r="L1245" s="911">
        <v>0</v>
      </c>
      <c r="M1245" s="911">
        <v>0</v>
      </c>
      <c r="N1245" s="911">
        <v>0</v>
      </c>
      <c r="O1245" s="911">
        <v>0</v>
      </c>
      <c r="P1245" s="911">
        <v>0</v>
      </c>
      <c r="Q1245" s="911">
        <v>0</v>
      </c>
      <c r="R1245" s="518"/>
      <c r="S1245" s="892"/>
      <c r="T1245" s="341"/>
      <c r="U1245" s="341"/>
      <c r="V1245" s="341"/>
      <c r="W1245" s="341"/>
      <c r="X1245" s="341"/>
      <c r="Y1245" s="341"/>
      <c r="Z1245" s="341"/>
      <c r="AA1245" s="341"/>
      <c r="AB1245" s="341"/>
      <c r="AC1245" s="341"/>
      <c r="AD1245" s="341"/>
      <c r="AE1245" s="341"/>
      <c r="AF1245" s="341"/>
    </row>
    <row r="1246" spans="1:32" ht="18.75" customHeight="1" x14ac:dyDescent="0.2">
      <c r="A1246" s="341"/>
      <c r="B1246" s="345"/>
      <c r="C1246" s="881" t="str">
        <f t="shared" ref="C1246:C1251" si="166">C1233</f>
        <v>Electricity</v>
      </c>
      <c r="D1246" s="545">
        <f ca="1">D1233*'Emission Factors'!$G$53</f>
        <v>940.73183701598805</v>
      </c>
      <c r="E1246" s="545">
        <f ca="1">E1233*'Emission Factors'!$G$53</f>
        <v>491.96688423279699</v>
      </c>
      <c r="F1246" s="545">
        <f ca="1">F1233*'Emission Factors'!$G$53</f>
        <v>223.69885533536046</v>
      </c>
      <c r="G1246" s="545">
        <f ca="1">G1233*'Emission Factors'!$G$53</f>
        <v>0</v>
      </c>
      <c r="H1246" s="545">
        <f ca="1">H1233*'Emission Factors'!$G$53</f>
        <v>0</v>
      </c>
      <c r="I1246" s="545">
        <f ca="1">I1233*'Emission Factors'!$G$53</f>
        <v>0</v>
      </c>
      <c r="J1246" s="545">
        <f ca="1">J1233*'Emission Factors'!$G$53</f>
        <v>0</v>
      </c>
      <c r="K1246" s="545">
        <f ca="1">K1233*'Emission Factors'!$G$53</f>
        <v>0</v>
      </c>
      <c r="L1246" s="545">
        <f ca="1">L1233*'Emission Factors'!$G$53</f>
        <v>0</v>
      </c>
      <c r="M1246" s="545">
        <f ca="1">M1233*'Emission Factors'!$G$53</f>
        <v>0</v>
      </c>
      <c r="N1246" s="545">
        <f ca="1">N1233*'Emission Factors'!$G$53</f>
        <v>0</v>
      </c>
      <c r="O1246" s="545">
        <f ca="1">O1233*'Emission Factors'!$G$53</f>
        <v>0</v>
      </c>
      <c r="P1246" s="545">
        <f ca="1">P1233*'Emission Factors'!$G$53</f>
        <v>0</v>
      </c>
      <c r="Q1246" s="910">
        <f ca="1">Q1233*'Emission Factors'!$G$53</f>
        <v>1656.3975765841456</v>
      </c>
      <c r="R1246" s="518"/>
      <c r="S1246" s="892"/>
      <c r="T1246" s="341"/>
      <c r="U1246" s="341"/>
      <c r="V1246" s="341"/>
      <c r="W1246" s="341"/>
      <c r="X1246" s="341"/>
      <c r="Y1246" s="341"/>
      <c r="Z1246" s="341"/>
      <c r="AA1246" s="341"/>
      <c r="AB1246" s="341"/>
      <c r="AC1246" s="341"/>
      <c r="AD1246" s="341"/>
      <c r="AE1246" s="341"/>
      <c r="AF1246" s="341"/>
    </row>
    <row r="1247" spans="1:32" ht="18.75" customHeight="1" x14ac:dyDescent="0.2">
      <c r="A1247" s="341"/>
      <c r="B1247" s="345"/>
      <c r="C1247" s="881" t="str">
        <f t="shared" si="166"/>
        <v>Heat</v>
      </c>
      <c r="D1247" s="545">
        <f ca="1">D1234*('Emission Factors'!$J$76+'Emission Factors'!$K$76)</f>
        <v>8388.8149972037027</v>
      </c>
      <c r="E1247" s="545">
        <f ca="1">E1234*('Emission Factors'!$J$76+'Emission Factors'!$K$76)</f>
        <v>4091.0766040298131</v>
      </c>
      <c r="F1247" s="545">
        <f ca="1">F1234*('Emission Factors'!$J$76+'Emission Factors'!$K$76)</f>
        <v>1928.7035782031792</v>
      </c>
      <c r="G1247" s="545">
        <f ca="1">G1234*('Emission Factors'!$J$76+'Emission Factors'!$K$76)</f>
        <v>0</v>
      </c>
      <c r="H1247" s="545">
        <f ca="1">H1234*('Emission Factors'!$J$76+'Emission Factors'!$K$76)</f>
        <v>0</v>
      </c>
      <c r="I1247" s="545">
        <f ca="1">I1234*('Emission Factors'!$J$76+'Emission Factors'!$K$76)</f>
        <v>0</v>
      </c>
      <c r="J1247" s="545">
        <f ca="1">J1234*('Emission Factors'!$J$76+'Emission Factors'!$K$76)</f>
        <v>0</v>
      </c>
      <c r="K1247" s="545">
        <f ca="1">K1234*('Emission Factors'!$J$76+'Emission Factors'!$K$76)</f>
        <v>0</v>
      </c>
      <c r="L1247" s="545">
        <f ca="1">L1234*('Emission Factors'!$J$76+'Emission Factors'!$K$76)</f>
        <v>0</v>
      </c>
      <c r="M1247" s="545">
        <f ca="1">M1234*('Emission Factors'!$J$76+'Emission Factors'!$K$76)</f>
        <v>0</v>
      </c>
      <c r="N1247" s="545">
        <f ca="1">N1234*('Emission Factors'!$J$76+'Emission Factors'!$K$76)</f>
        <v>0</v>
      </c>
      <c r="O1247" s="545">
        <f ca="1">O1234*('Emission Factors'!$J$76+'Emission Factors'!$K$76)</f>
        <v>0</v>
      </c>
      <c r="P1247" s="545">
        <f ca="1">P1234*('Emission Factors'!$J$76+'Emission Factors'!$K$76)</f>
        <v>0</v>
      </c>
      <c r="Q1247" s="910">
        <f ca="1">Q1234*('Emission Factors'!$J$76+'Emission Factors'!$K$76)</f>
        <v>14408.595179436696</v>
      </c>
      <c r="R1247" s="518"/>
      <c r="S1247" s="892"/>
      <c r="T1247" s="341"/>
      <c r="U1247" s="341"/>
      <c r="V1247" s="341"/>
      <c r="W1247" s="341"/>
      <c r="X1247" s="341"/>
      <c r="Y1247" s="341"/>
      <c r="Z1247" s="341"/>
      <c r="AA1247" s="341"/>
      <c r="AB1247" s="341"/>
      <c r="AC1247" s="341"/>
      <c r="AD1247" s="341"/>
      <c r="AE1247" s="341"/>
      <c r="AF1247" s="341"/>
    </row>
    <row r="1248" spans="1:32" ht="18.75" customHeight="1" x14ac:dyDescent="0.2">
      <c r="A1248" s="341"/>
      <c r="B1248" s="345"/>
      <c r="C1248" s="881" t="str">
        <f t="shared" si="166"/>
        <v>Steam</v>
      </c>
      <c r="D1248" s="545">
        <f ca="1">D1235*'Emission Factors'!$F$100</f>
        <v>998.26353838178704</v>
      </c>
      <c r="E1248" s="545">
        <f ca="1">E1235*'Emission Factors'!$F$100</f>
        <v>470.13590082963367</v>
      </c>
      <c r="F1248" s="545">
        <f ca="1">F1235*'Emission Factors'!$F$100</f>
        <v>213.58970615697078</v>
      </c>
      <c r="G1248" s="545">
        <f ca="1">G1235*'Emission Factors'!$F$100</f>
        <v>0</v>
      </c>
      <c r="H1248" s="545">
        <f ca="1">H1235*'Emission Factors'!$F$100</f>
        <v>0</v>
      </c>
      <c r="I1248" s="545">
        <f ca="1">I1235*'Emission Factors'!$F$100</f>
        <v>0</v>
      </c>
      <c r="J1248" s="545">
        <f ca="1">J1235*'Emission Factors'!$F$100</f>
        <v>0</v>
      </c>
      <c r="K1248" s="545">
        <f ca="1">K1235*'Emission Factors'!$F$100</f>
        <v>0</v>
      </c>
      <c r="L1248" s="545">
        <f ca="1">L1235*'Emission Factors'!$F$100</f>
        <v>0</v>
      </c>
      <c r="M1248" s="545">
        <f ca="1">M1235*'Emission Factors'!$F$100</f>
        <v>0</v>
      </c>
      <c r="N1248" s="545">
        <f ca="1">N1235*'Emission Factors'!$F$100</f>
        <v>0</v>
      </c>
      <c r="O1248" s="545">
        <f ca="1">O1235*'Emission Factors'!$F$100</f>
        <v>0</v>
      </c>
      <c r="P1248" s="545">
        <f ca="1">P1235*'Emission Factors'!$F$100</f>
        <v>0</v>
      </c>
      <c r="Q1248" s="910">
        <f ca="1">Q1235*'Emission Factors'!$F$100</f>
        <v>1681.9891453683915</v>
      </c>
      <c r="R1248" s="518"/>
      <c r="S1248" s="892"/>
      <c r="T1248" s="341"/>
      <c r="U1248" s="341"/>
      <c r="V1248" s="341"/>
      <c r="W1248" s="341"/>
      <c r="X1248" s="341"/>
      <c r="Y1248" s="341"/>
      <c r="Z1248" s="341"/>
      <c r="AA1248" s="341"/>
      <c r="AB1248" s="341"/>
      <c r="AC1248" s="341"/>
      <c r="AD1248" s="341"/>
      <c r="AE1248" s="341"/>
      <c r="AF1248" s="341"/>
    </row>
    <row r="1249" spans="1:32" ht="18.75" customHeight="1" x14ac:dyDescent="0.2">
      <c r="A1249" s="341"/>
      <c r="B1249" s="345"/>
      <c r="C1249" s="881" t="str">
        <f t="shared" si="166"/>
        <v>Hydrogen from Reformer</v>
      </c>
      <c r="D1249" s="518">
        <f ca="1">D1236*'Emission Factors'!$I$262</f>
        <v>0</v>
      </c>
      <c r="E1249" s="518">
        <f ca="1">E1236*'Emission Factors'!$I$262</f>
        <v>0</v>
      </c>
      <c r="F1249" s="518">
        <f ca="1">F1236*'Emission Factors'!$I$262</f>
        <v>0</v>
      </c>
      <c r="G1249" s="518">
        <f ca="1">G1236*'Emission Factors'!$I$262</f>
        <v>0</v>
      </c>
      <c r="H1249" s="518">
        <f ca="1">H1236*'Emission Factors'!$I$262</f>
        <v>0</v>
      </c>
      <c r="I1249" s="518">
        <f ca="1">I1236*'Emission Factors'!$I$262</f>
        <v>0</v>
      </c>
      <c r="J1249" s="518">
        <f ca="1">J1236*'Emission Factors'!$I$262</f>
        <v>0</v>
      </c>
      <c r="K1249" s="518">
        <f ca="1">K1236*'Emission Factors'!$I$262</f>
        <v>0</v>
      </c>
      <c r="L1249" s="518">
        <f ca="1">L1236*'Emission Factors'!$I$262</f>
        <v>0</v>
      </c>
      <c r="M1249" s="518">
        <f ca="1">M1236*'Emission Factors'!$I$262</f>
        <v>0</v>
      </c>
      <c r="N1249" s="518">
        <f ca="1">N1236*'Emission Factors'!$I$262</f>
        <v>0</v>
      </c>
      <c r="O1249" s="518">
        <f ca="1">O1236*'Emission Factors'!$I$262</f>
        <v>0</v>
      </c>
      <c r="P1249" s="518">
        <f ca="1">P1236*'Emission Factors'!$I$262</f>
        <v>0</v>
      </c>
      <c r="Q1249" s="481">
        <f ca="1">Q1236*'Emission Factors'!$I$262</f>
        <v>0</v>
      </c>
      <c r="R1249" s="518"/>
      <c r="S1249" s="892"/>
      <c r="T1249" s="341"/>
      <c r="U1249" s="341"/>
      <c r="V1249" s="341"/>
      <c r="W1249" s="341"/>
      <c r="X1249" s="341"/>
      <c r="Y1249" s="341"/>
      <c r="Z1249" s="341"/>
      <c r="AA1249" s="341"/>
      <c r="AB1249" s="341"/>
      <c r="AC1249" s="341"/>
      <c r="AD1249" s="341"/>
      <c r="AE1249" s="341"/>
      <c r="AF1249" s="341"/>
    </row>
    <row r="1250" spans="1:32" ht="18.75" customHeight="1" x14ac:dyDescent="0.2">
      <c r="A1250" s="341"/>
      <c r="B1250" s="345"/>
      <c r="C1250" s="881" t="str">
        <f t="shared" si="166"/>
        <v>Hydrogen from SMR</v>
      </c>
      <c r="D1250" s="545">
        <f ca="1">D1237*'Emission Factors'!$H$149</f>
        <v>2659.9063408542752</v>
      </c>
      <c r="E1250" s="545">
        <f ca="1">E1237*'Emission Factors'!$H$149</f>
        <v>808.96469161826599</v>
      </c>
      <c r="F1250" s="545">
        <f ca="1">F1237*'Emission Factors'!$H$149</f>
        <v>431.80811544212588</v>
      </c>
      <c r="G1250" s="545">
        <f ca="1">G1237*'Emission Factors'!$H$149</f>
        <v>0</v>
      </c>
      <c r="H1250" s="545">
        <f ca="1">H1237*'Emission Factors'!$H$149</f>
        <v>0</v>
      </c>
      <c r="I1250" s="545">
        <f ca="1">I1237*'Emission Factors'!$H$149</f>
        <v>0</v>
      </c>
      <c r="J1250" s="545">
        <f ca="1">J1237*'Emission Factors'!$H$149</f>
        <v>0</v>
      </c>
      <c r="K1250" s="545">
        <f ca="1">K1237*'Emission Factors'!$H$149</f>
        <v>0</v>
      </c>
      <c r="L1250" s="545">
        <f ca="1">L1237*'Emission Factors'!$H$149</f>
        <v>0</v>
      </c>
      <c r="M1250" s="545">
        <f ca="1">M1237*'Emission Factors'!$H$149</f>
        <v>0</v>
      </c>
      <c r="N1250" s="545">
        <f ca="1">N1237*'Emission Factors'!$H$149</f>
        <v>0</v>
      </c>
      <c r="O1250" s="545">
        <f ca="1">O1237*'Emission Factors'!$H$149</f>
        <v>0</v>
      </c>
      <c r="P1250" s="545">
        <f ca="1">P1237*'Emission Factors'!$H$149</f>
        <v>0</v>
      </c>
      <c r="Q1250" s="910">
        <f ca="1">Q1237*'Emission Factors'!$H$149</f>
        <v>3900.6791479146655</v>
      </c>
      <c r="R1250" s="518"/>
      <c r="S1250" s="892"/>
      <c r="T1250" s="341"/>
      <c r="U1250" s="341"/>
      <c r="V1250" s="341"/>
      <c r="W1250" s="341"/>
      <c r="X1250" s="341"/>
      <c r="Y1250" s="341"/>
      <c r="Z1250" s="341"/>
      <c r="AA1250" s="341"/>
      <c r="AB1250" s="341"/>
      <c r="AC1250" s="341"/>
      <c r="AD1250" s="341"/>
      <c r="AE1250" s="341"/>
      <c r="AF1250" s="341"/>
    </row>
    <row r="1251" spans="1:32" ht="18.75" customHeight="1" x14ac:dyDescent="0.2">
      <c r="A1251" s="341"/>
      <c r="B1251" s="345"/>
      <c r="C1251" s="881" t="str">
        <f t="shared" si="166"/>
        <v>Catalyst Coke</v>
      </c>
      <c r="D1251" s="545">
        <f ca="1">D1238*'Emission Factors'!$E$177</f>
        <v>2.9348118393992267E-17</v>
      </c>
      <c r="E1251" s="545">
        <f ca="1">E1238*'Emission Factors'!$E$177</f>
        <v>0</v>
      </c>
      <c r="F1251" s="545">
        <f ca="1">F1238*'Emission Factors'!$E$177</f>
        <v>6.9534375403220486E-18</v>
      </c>
      <c r="G1251" s="545">
        <f ca="1">G1238*'Emission Factors'!$E$177</f>
        <v>0</v>
      </c>
      <c r="H1251" s="545">
        <f ca="1">H1238*'Emission Factors'!$E$177</f>
        <v>0</v>
      </c>
      <c r="I1251" s="545">
        <f ca="1">I1238*'Emission Factors'!$E$177</f>
        <v>0</v>
      </c>
      <c r="J1251" s="545">
        <f ca="1">J1238*'Emission Factors'!$E$177</f>
        <v>0</v>
      </c>
      <c r="K1251" s="545">
        <f ca="1">K1238*'Emission Factors'!$E$177</f>
        <v>0</v>
      </c>
      <c r="L1251" s="545">
        <f ca="1">L1238*'Emission Factors'!$E$177</f>
        <v>0</v>
      </c>
      <c r="M1251" s="545">
        <f ca="1">M1238*'Emission Factors'!$E$177</f>
        <v>0</v>
      </c>
      <c r="N1251" s="545">
        <f ca="1">N1238*'Emission Factors'!$E$177</f>
        <v>0</v>
      </c>
      <c r="O1251" s="545">
        <f ca="1">O1238*'Emission Factors'!$E$177</f>
        <v>0</v>
      </c>
      <c r="P1251" s="545">
        <f ca="1">P1238*'Emission Factors'!$E$177</f>
        <v>0</v>
      </c>
      <c r="Q1251" s="910">
        <f ca="1">Q1238*'Emission Factors'!$E$177</f>
        <v>3.6301555934314317E-17</v>
      </c>
      <c r="R1251" s="518"/>
      <c r="S1251" s="892"/>
      <c r="T1251" s="341"/>
      <c r="U1251" s="341"/>
      <c r="V1251" s="341"/>
      <c r="W1251" s="341"/>
      <c r="X1251" s="341"/>
      <c r="Y1251" s="341"/>
      <c r="Z1251" s="341"/>
      <c r="AA1251" s="341"/>
      <c r="AB1251" s="341"/>
      <c r="AC1251" s="341"/>
      <c r="AD1251" s="341"/>
      <c r="AE1251" s="341"/>
      <c r="AF1251" s="341"/>
    </row>
    <row r="1252" spans="1:32" ht="18.75" customHeight="1" x14ac:dyDescent="0.2">
      <c r="A1252" s="341"/>
      <c r="B1252" s="345"/>
      <c r="C1252" s="1773" t="s">
        <v>12</v>
      </c>
      <c r="D1252" s="1779">
        <f t="shared" ref="D1252:Q1252" ca="1" si="167">SUM(D1246:D1251)</f>
        <v>12987.716713455753</v>
      </c>
      <c r="E1252" s="1779">
        <f t="shared" ca="1" si="167"/>
        <v>5862.14408071051</v>
      </c>
      <c r="F1252" s="1779">
        <f t="shared" ca="1" si="167"/>
        <v>2797.8002551376367</v>
      </c>
      <c r="G1252" s="1779">
        <f t="shared" ca="1" si="167"/>
        <v>0</v>
      </c>
      <c r="H1252" s="1779">
        <f t="shared" ca="1" si="167"/>
        <v>0</v>
      </c>
      <c r="I1252" s="1779">
        <f t="shared" ca="1" si="167"/>
        <v>0</v>
      </c>
      <c r="J1252" s="1779">
        <f t="shared" ca="1" si="167"/>
        <v>0</v>
      </c>
      <c r="K1252" s="1779">
        <f t="shared" ca="1" si="167"/>
        <v>0</v>
      </c>
      <c r="L1252" s="1779">
        <f t="shared" ref="L1252" ca="1" si="168">SUM(L1246:L1251)</f>
        <v>0</v>
      </c>
      <c r="M1252" s="1779">
        <f t="shared" ca="1" si="167"/>
        <v>0</v>
      </c>
      <c r="N1252" s="1779">
        <f t="shared" ref="N1252:P1252" ca="1" si="169">SUM(N1246:N1251)</f>
        <v>0</v>
      </c>
      <c r="O1252" s="1779">
        <f t="shared" ca="1" si="169"/>
        <v>0</v>
      </c>
      <c r="P1252" s="1779">
        <f t="shared" ca="1" si="169"/>
        <v>0</v>
      </c>
      <c r="Q1252" s="1780">
        <f t="shared" ca="1" si="167"/>
        <v>21647.661049303901</v>
      </c>
      <c r="R1252" s="518"/>
      <c r="S1252" s="892"/>
      <c r="T1252" s="341"/>
      <c r="U1252" s="341"/>
      <c r="V1252" s="341"/>
      <c r="W1252" s="341"/>
      <c r="X1252" s="341"/>
      <c r="Y1252" s="341"/>
      <c r="Z1252" s="341"/>
      <c r="AA1252" s="341"/>
      <c r="AB1252" s="341"/>
      <c r="AC1252" s="341"/>
      <c r="AD1252" s="341"/>
      <c r="AE1252" s="341"/>
      <c r="AF1252" s="341"/>
    </row>
    <row r="1253" spans="1:32" ht="18.75" customHeight="1" x14ac:dyDescent="0.2">
      <c r="A1253" s="341"/>
      <c r="B1253" s="345"/>
      <c r="C1253" s="1773" t="s">
        <v>13</v>
      </c>
      <c r="D1253" s="1777">
        <f ca="1">D1252*'HydroRefineryPFD '!$E$96/'HydroRefineryPFD '!$E$119</f>
        <v>2.3058805504771089</v>
      </c>
      <c r="E1253" s="1777">
        <f ca="1">E1252*'HydroRefineryPFD '!$E$96/'HydroRefineryPFD '!$E$119</f>
        <v>1.0407837126444519</v>
      </c>
      <c r="F1253" s="1777">
        <f ca="1">F1252*'HydroRefineryPFD '!$E$96/'HydroRefineryPFD '!$E$119</f>
        <v>0.49673035952176936</v>
      </c>
      <c r="G1253" s="1777">
        <f ca="1">G1252*'HydroRefineryPFD '!$E$96/'HydroRefineryPFD '!$E$119</f>
        <v>0</v>
      </c>
      <c r="H1253" s="1777">
        <f ca="1">H1252*'HydroRefineryPFD '!$E$96/'HydroRefineryPFD '!$E$119</f>
        <v>0</v>
      </c>
      <c r="I1253" s="1777">
        <f ca="1">I1252*'HydroRefineryPFD '!$E$96/'HydroRefineryPFD '!$E$119</f>
        <v>0</v>
      </c>
      <c r="J1253" s="1777">
        <f ca="1">J1252*'HydroRefineryPFD '!$E$96/'HydroRefineryPFD '!$E$119</f>
        <v>0</v>
      </c>
      <c r="K1253" s="1777">
        <f ca="1">K1252*'HydroRefineryPFD '!$E$96/'HydroRefineryPFD '!$E$119</f>
        <v>0</v>
      </c>
      <c r="L1253" s="1777">
        <f ca="1">L1252*'HydroRefineryPFD '!$E$96/'HydroRefineryPFD '!$E$119</f>
        <v>0</v>
      </c>
      <c r="M1253" s="1777">
        <f ca="1">M1252*'HydroRefineryPFD '!$E$96/'HydroRefineryPFD '!$E$119</f>
        <v>0</v>
      </c>
      <c r="N1253" s="1777">
        <f ca="1">N1252*'HydroRefineryPFD '!$E$96/'HydroRefineryPFD '!$E$119</f>
        <v>0</v>
      </c>
      <c r="O1253" s="1777">
        <f ca="1">O1252*'HydroRefineryPFD '!$E$96/'HydroRefineryPFD '!$E$119</f>
        <v>0</v>
      </c>
      <c r="P1253" s="1777">
        <f ca="1">P1252*'HydroRefineryPFD '!$E$96/'HydroRefineryPFD '!$E$119</f>
        <v>0</v>
      </c>
      <c r="Q1253" s="1778">
        <f ca="1">Q1252*'HydroRefineryPFD '!$E$96/'HydroRefineryPFD '!$E$119</f>
        <v>3.8433946226433302</v>
      </c>
      <c r="R1253" s="518"/>
      <c r="S1253" s="892"/>
      <c r="T1253" s="341"/>
      <c r="U1253" s="341"/>
      <c r="V1253" s="341"/>
      <c r="W1253" s="341"/>
      <c r="X1253" s="341"/>
      <c r="Y1253" s="341"/>
      <c r="Z1253" s="341"/>
      <c r="AA1253" s="341"/>
      <c r="AB1253" s="341"/>
      <c r="AC1253" s="341"/>
      <c r="AD1253" s="341"/>
      <c r="AE1253" s="341"/>
      <c r="AF1253" s="341"/>
    </row>
    <row r="1254" spans="1:32" ht="18.75" customHeight="1" x14ac:dyDescent="0.2">
      <c r="A1254" s="341"/>
      <c r="B1254" s="345"/>
      <c r="C1254" s="881" t="s">
        <v>980</v>
      </c>
      <c r="D1254" s="518">
        <f ca="1">D1241*'Emission Factors'!$H$135</f>
        <v>0</v>
      </c>
      <c r="E1254" s="518">
        <f ca="1">E1241*'Emission Factors'!$H$135</f>
        <v>0</v>
      </c>
      <c r="F1254" s="518">
        <f ca="1">F1241*'Emission Factors'!$H$135</f>
        <v>0</v>
      </c>
      <c r="G1254" s="518">
        <f ca="1">G1241*'Emission Factors'!$H$135</f>
        <v>0</v>
      </c>
      <c r="H1254" s="518">
        <f ca="1">H1241*'Emission Factors'!$H$135</f>
        <v>0</v>
      </c>
      <c r="I1254" s="518">
        <f ca="1">I1241*'Emission Factors'!$H$135</f>
        <v>0</v>
      </c>
      <c r="J1254" s="518">
        <f ca="1">J1241*'Emission Factors'!$H$135</f>
        <v>0</v>
      </c>
      <c r="K1254" s="518">
        <f ca="1">K1241*'Emission Factors'!$H$135</f>
        <v>0</v>
      </c>
      <c r="L1254" s="518">
        <f ca="1">L1241*'Emission Factors'!$H$135</f>
        <v>0</v>
      </c>
      <c r="M1254" s="518">
        <f ca="1">M1241*'Emission Factors'!$H$135</f>
        <v>0</v>
      </c>
      <c r="N1254" s="518">
        <f ca="1">N1241*'Emission Factors'!$H$135</f>
        <v>0</v>
      </c>
      <c r="O1254" s="518">
        <f ca="1">O1241*'Emission Factors'!$H$135</f>
        <v>0</v>
      </c>
      <c r="P1254" s="518">
        <f ca="1">P1241*'Emission Factors'!$H$135</f>
        <v>0</v>
      </c>
      <c r="Q1254" s="481">
        <f ca="1">Q1241*'Emission Factors'!$H$135</f>
        <v>0</v>
      </c>
      <c r="R1254" s="518"/>
      <c r="S1254" s="892"/>
      <c r="T1254" s="341"/>
      <c r="U1254" s="341"/>
      <c r="V1254" s="341"/>
      <c r="W1254" s="341"/>
      <c r="X1254" s="341"/>
      <c r="Y1254" s="341"/>
      <c r="Z1254" s="341"/>
      <c r="AA1254" s="341"/>
      <c r="AB1254" s="341"/>
      <c r="AC1254" s="341"/>
      <c r="AD1254" s="341"/>
      <c r="AE1254" s="341"/>
      <c r="AF1254" s="341"/>
    </row>
    <row r="1255" spans="1:32" ht="18.75" customHeight="1" x14ac:dyDescent="0.2">
      <c r="A1255" s="341"/>
      <c r="B1255" s="345"/>
      <c r="C1255" s="904" t="s">
        <v>1419</v>
      </c>
      <c r="D1255" s="909">
        <f ca="1">D1242*('Emission Factors'!J218+'Emission Factors'!K218)</f>
        <v>-4019.7741412960918</v>
      </c>
      <c r="E1255" s="909">
        <f ca="1">E1242*('Emission Factors'!J218+'Emission Factors'!K218)</f>
        <v>-1960.3727044191896</v>
      </c>
      <c r="F1255" s="909">
        <f ca="1">F1242*('Emission Factors'!J218+'Emission Factors'!K218)</f>
        <v>-924.20118604006962</v>
      </c>
      <c r="G1255" s="909">
        <f ca="1">G1242*('Emission Factors'!J218+'Emission Factors'!K218)</f>
        <v>0</v>
      </c>
      <c r="H1255" s="909">
        <f ca="1">H1242*('Emission Factors'!J218+'Emission Factors'!K218)</f>
        <v>0</v>
      </c>
      <c r="I1255" s="909">
        <f ca="1">I1242*('Emission Factors'!J218+'Emission Factors'!K218)</f>
        <v>0</v>
      </c>
      <c r="J1255" s="909">
        <f ca="1">J1242*('Emission Factors'!J218+'Emission Factors'!K218)</f>
        <v>0</v>
      </c>
      <c r="K1255" s="909">
        <f ca="1">K1242*('Emission Factors'!J218+'Emission Factors'!K218)</f>
        <v>0</v>
      </c>
      <c r="L1255" s="909">
        <f ca="1">L1242*('Emission Factors'!K218+'Emission Factors'!L218)</f>
        <v>0</v>
      </c>
      <c r="M1255" s="909">
        <f ca="1">M1242*('Emission Factors'!J218+'Emission Factors'!K218)</f>
        <v>0</v>
      </c>
      <c r="N1255" s="909">
        <f ca="1">N1242*('Emission Factors'!K218+'Emission Factors'!L218)</f>
        <v>0</v>
      </c>
      <c r="O1255" s="909">
        <f ca="1">O1242*('Emission Factors'!L218+'Emission Factors'!M218)</f>
        <v>0</v>
      </c>
      <c r="P1255" s="909">
        <f ca="1">P1242*('Emission Factors'!M218+'Emission Factors'!N218)</f>
        <v>0</v>
      </c>
      <c r="Q1255" s="907">
        <f ca="1">Q1242*('Emission Factors'!J218+'Emission Factors'!K218)</f>
        <v>-6904.3480317553513</v>
      </c>
      <c r="R1255" s="518"/>
      <c r="S1255" s="892"/>
      <c r="T1255" s="341"/>
      <c r="U1255" s="341"/>
      <c r="V1255" s="341"/>
      <c r="W1255" s="341"/>
      <c r="X1255" s="341"/>
      <c r="Y1255" s="341"/>
      <c r="Z1255" s="341"/>
      <c r="AA1255" s="341"/>
      <c r="AB1255" s="341"/>
      <c r="AC1255" s="341"/>
      <c r="AD1255" s="341"/>
      <c r="AE1255" s="341"/>
      <c r="AF1255" s="341"/>
    </row>
    <row r="1256" spans="1:32" ht="18.75" customHeight="1" x14ac:dyDescent="0.2">
      <c r="A1256" s="341"/>
      <c r="B1256" s="345"/>
      <c r="C1256" s="519"/>
      <c r="D1256" s="518"/>
      <c r="E1256" s="518"/>
      <c r="F1256" s="518"/>
      <c r="G1256" s="518"/>
      <c r="H1256" s="518"/>
      <c r="I1256" s="518"/>
      <c r="J1256" s="518"/>
      <c r="K1256" s="518"/>
      <c r="L1256" s="518"/>
      <c r="M1256" s="518"/>
      <c r="N1256" s="518"/>
      <c r="O1256" s="518"/>
      <c r="P1256" s="518"/>
      <c r="Q1256" s="518"/>
      <c r="R1256" s="518"/>
      <c r="S1256" s="892"/>
      <c r="T1256" s="341"/>
      <c r="U1256" s="341"/>
      <c r="V1256" s="341"/>
      <c r="W1256" s="341"/>
      <c r="X1256" s="341"/>
      <c r="Y1256" s="341"/>
      <c r="Z1256" s="341"/>
      <c r="AA1256" s="341"/>
      <c r="AB1256" s="341"/>
      <c r="AC1256" s="341"/>
      <c r="AD1256" s="341"/>
      <c r="AE1256" s="341"/>
      <c r="AF1256" s="341"/>
    </row>
    <row r="1257" spans="1:32" ht="18.75" customHeight="1" x14ac:dyDescent="0.2">
      <c r="A1257" s="341"/>
      <c r="B1257" s="345"/>
      <c r="C1257" s="2283" t="s">
        <v>774</v>
      </c>
      <c r="D1257" s="2284"/>
      <c r="E1257" s="2284"/>
      <c r="F1257" s="2284"/>
      <c r="G1257" s="2284"/>
      <c r="H1257" s="2284"/>
      <c r="I1257" s="518"/>
      <c r="J1257" s="518"/>
      <c r="K1257" s="518"/>
      <c r="L1257" s="518"/>
      <c r="M1257" s="518"/>
      <c r="N1257" s="518"/>
      <c r="O1257" s="518"/>
      <c r="P1257" s="518"/>
      <c r="Q1257" s="518"/>
      <c r="R1257" s="518"/>
      <c r="S1257" s="892"/>
      <c r="T1257" s="341"/>
      <c r="U1257" s="341"/>
      <c r="V1257" s="341"/>
      <c r="W1257" s="341"/>
      <c r="X1257" s="341"/>
      <c r="Y1257" s="341"/>
      <c r="Z1257" s="341"/>
      <c r="AA1257" s="341"/>
      <c r="AB1257" s="341"/>
      <c r="AC1257" s="341"/>
      <c r="AD1257" s="341"/>
      <c r="AE1257" s="341"/>
      <c r="AF1257" s="341"/>
    </row>
    <row r="1258" spans="1:32" ht="18.75" customHeight="1" x14ac:dyDescent="0.2">
      <c r="A1258" s="341"/>
      <c r="B1258" s="345"/>
      <c r="C1258" s="241"/>
      <c r="D1258" s="241"/>
      <c r="E1258" s="241"/>
      <c r="F1258" s="241"/>
      <c r="G1258" s="241"/>
      <c r="H1258" s="241"/>
      <c r="I1258" s="518"/>
      <c r="J1258" s="518"/>
      <c r="K1258" s="518"/>
      <c r="L1258" s="518"/>
      <c r="M1258" s="518"/>
      <c r="N1258" s="518"/>
      <c r="O1258" s="518"/>
      <c r="P1258" s="518"/>
      <c r="Q1258" s="518"/>
      <c r="R1258" s="518"/>
      <c r="S1258" s="892"/>
      <c r="T1258" s="341"/>
      <c r="U1258" s="341"/>
      <c r="V1258" s="341"/>
      <c r="W1258" s="341"/>
      <c r="X1258" s="341"/>
      <c r="Y1258" s="341"/>
      <c r="Z1258" s="341"/>
      <c r="AA1258" s="341"/>
      <c r="AB1258" s="341"/>
      <c r="AC1258" s="341"/>
      <c r="AD1258" s="341"/>
      <c r="AE1258" s="341"/>
      <c r="AF1258" s="341"/>
    </row>
    <row r="1259" spans="1:32" ht="18.75" customHeight="1" x14ac:dyDescent="0.2">
      <c r="A1259" s="341"/>
      <c r="B1259" s="1824"/>
      <c r="C1259" s="438" t="s">
        <v>973</v>
      </c>
      <c r="D1259" s="438"/>
      <c r="E1259" s="438"/>
      <c r="F1259" s="438"/>
      <c r="G1259" s="438"/>
      <c r="H1259" s="438"/>
      <c r="I1259" s="518"/>
      <c r="J1259" s="518"/>
      <c r="K1259" s="518"/>
      <c r="L1259" s="518"/>
      <c r="M1259" s="518"/>
      <c r="N1259" s="518"/>
      <c r="O1259" s="518"/>
      <c r="P1259" s="518"/>
      <c r="Q1259" s="518"/>
      <c r="R1259" s="518"/>
      <c r="S1259" s="892"/>
      <c r="T1259" s="341"/>
      <c r="U1259" s="341"/>
      <c r="V1259" s="341"/>
      <c r="W1259" s="341"/>
      <c r="X1259" s="341"/>
      <c r="Y1259" s="341"/>
      <c r="Z1259" s="341"/>
      <c r="AA1259" s="341"/>
      <c r="AB1259" s="341"/>
      <c r="AC1259" s="341"/>
      <c r="AD1259" s="341"/>
      <c r="AE1259" s="341"/>
      <c r="AF1259" s="341"/>
    </row>
    <row r="1260" spans="1:32" ht="18.75" customHeight="1" x14ac:dyDescent="0.2">
      <c r="A1260" s="341"/>
      <c r="B1260" s="2079"/>
      <c r="C1260" s="2080"/>
      <c r="D1260" s="2080"/>
      <c r="E1260" s="2080"/>
      <c r="F1260" s="2080"/>
      <c r="G1260" s="2080"/>
      <c r="H1260" s="2080"/>
      <c r="I1260" s="518"/>
      <c r="J1260" s="518"/>
      <c r="K1260" s="518"/>
      <c r="L1260" s="518"/>
      <c r="M1260" s="518"/>
      <c r="N1260" s="518"/>
      <c r="O1260" s="518"/>
      <c r="P1260" s="518"/>
      <c r="Q1260" s="518"/>
      <c r="R1260" s="518"/>
      <c r="S1260" s="892"/>
      <c r="T1260" s="341"/>
      <c r="U1260" s="341"/>
      <c r="V1260" s="341"/>
      <c r="W1260" s="341"/>
      <c r="X1260" s="341"/>
      <c r="Y1260" s="341"/>
      <c r="Z1260" s="341"/>
      <c r="AA1260" s="341"/>
      <c r="AB1260" s="341"/>
      <c r="AC1260" s="341"/>
      <c r="AD1260" s="341"/>
      <c r="AE1260" s="341"/>
      <c r="AF1260" s="341"/>
    </row>
    <row r="1261" spans="1:32" ht="18" customHeight="1" x14ac:dyDescent="0.2">
      <c r="A1261" s="341"/>
      <c r="B1261" s="345"/>
      <c r="C1261" s="440" t="s">
        <v>1929</v>
      </c>
      <c r="D1261" s="2078"/>
      <c r="E1261" s="437"/>
      <c r="F1261" s="2078"/>
      <c r="G1261" s="2078"/>
      <c r="H1261" s="2078"/>
      <c r="I1261" s="2078"/>
      <c r="J1261" s="2078"/>
      <c r="K1261" s="2078"/>
      <c r="L1261" s="2078"/>
      <c r="M1261" s="2078"/>
      <c r="N1261" s="2078"/>
      <c r="O1261" s="2078"/>
      <c r="P1261" s="2078"/>
      <c r="Q1261" s="2078"/>
      <c r="R1261" s="518"/>
      <c r="S1261" s="892"/>
      <c r="T1261" s="341"/>
      <c r="U1261" s="341"/>
      <c r="V1261" s="341"/>
      <c r="W1261" s="341"/>
      <c r="X1261" s="341"/>
      <c r="Y1261" s="341"/>
      <c r="Z1261" s="341"/>
      <c r="AA1261" s="341"/>
      <c r="AB1261" s="341"/>
      <c r="AC1261" s="341"/>
      <c r="AD1261" s="341"/>
      <c r="AE1261" s="341"/>
      <c r="AF1261" s="341"/>
    </row>
    <row r="1262" spans="1:32" ht="18" customHeight="1" x14ac:dyDescent="0.2">
      <c r="A1262" s="341"/>
      <c r="B1262" s="345"/>
      <c r="C1262" s="1797" t="s">
        <v>160</v>
      </c>
      <c r="D1262" s="1798"/>
      <c r="E1262" s="1799"/>
      <c r="F1262" s="1798"/>
      <c r="G1262" s="1798"/>
      <c r="H1262" s="1798"/>
      <c r="I1262" s="1798"/>
      <c r="J1262" s="1798"/>
      <c r="K1262" s="1798"/>
      <c r="L1262" s="1798"/>
      <c r="M1262" s="1798"/>
      <c r="N1262" s="1798"/>
      <c r="O1262" s="1798"/>
      <c r="P1262" s="1798"/>
      <c r="Q1262" s="1800"/>
      <c r="R1262" s="518"/>
      <c r="S1262" s="892"/>
      <c r="T1262" s="341"/>
      <c r="U1262" s="341"/>
      <c r="V1262" s="341"/>
      <c r="W1262" s="341"/>
      <c r="X1262" s="341"/>
      <c r="Y1262" s="341"/>
      <c r="Z1262" s="341"/>
      <c r="AA1262" s="341"/>
      <c r="AB1262" s="341"/>
      <c r="AC1262" s="341"/>
      <c r="AD1262" s="341"/>
      <c r="AE1262" s="341"/>
      <c r="AF1262" s="341"/>
    </row>
    <row r="1263" spans="1:32" ht="18.75" customHeight="1" x14ac:dyDescent="0.2">
      <c r="A1263" s="184"/>
      <c r="B1263" s="345"/>
      <c r="C1263" s="1792" t="s">
        <v>263</v>
      </c>
      <c r="D1263" s="533">
        <f ca="1">D1170/(SUM($D$1170:$P$1170)-$K1170)</f>
        <v>0.38520551081670162</v>
      </c>
      <c r="E1263" s="533">
        <f t="shared" ref="E1263:P1263" ca="1" si="170">E1170/(SUM($D$1170:$P$1170)-$K1170)</f>
        <v>0.41599643318484314</v>
      </c>
      <c r="F1263" s="533">
        <f t="shared" ca="1" si="170"/>
        <v>0.19879805599845535</v>
      </c>
      <c r="G1263" s="533">
        <f t="shared" ca="1" si="170"/>
        <v>0</v>
      </c>
      <c r="H1263" s="533">
        <f t="shared" ca="1" si="170"/>
        <v>0</v>
      </c>
      <c r="I1263" s="533">
        <f t="shared" ca="1" si="170"/>
        <v>0</v>
      </c>
      <c r="J1263" s="533">
        <f t="shared" ca="1" si="170"/>
        <v>0</v>
      </c>
      <c r="K1263" s="533"/>
      <c r="L1263" s="533">
        <f t="shared" ca="1" si="170"/>
        <v>0</v>
      </c>
      <c r="M1263" s="533">
        <f t="shared" ca="1" si="170"/>
        <v>0</v>
      </c>
      <c r="N1263" s="533">
        <f t="shared" ca="1" si="170"/>
        <v>0</v>
      </c>
      <c r="O1263" s="533">
        <f t="shared" ca="1" si="170"/>
        <v>0</v>
      </c>
      <c r="P1263" s="533">
        <f t="shared" ca="1" si="170"/>
        <v>0</v>
      </c>
      <c r="Q1263" s="1810">
        <f ca="1">SUM(D1263:P1263)</f>
        <v>1</v>
      </c>
      <c r="R1263" s="518"/>
      <c r="S1263" s="892"/>
      <c r="T1263" s="341"/>
      <c r="U1263" s="341"/>
      <c r="V1263" s="341"/>
      <c r="W1263" s="341"/>
      <c r="X1263" s="341"/>
      <c r="Y1263" s="341"/>
      <c r="Z1263" s="341"/>
      <c r="AA1263" s="341"/>
      <c r="AB1263" s="341"/>
      <c r="AC1263" s="341"/>
      <c r="AD1263" s="341"/>
      <c r="AE1263" s="341"/>
      <c r="AF1263" s="341"/>
    </row>
    <row r="1264" spans="1:32" ht="18.75" customHeight="1" x14ac:dyDescent="0.2">
      <c r="A1264" s="184"/>
      <c r="B1264" s="345"/>
      <c r="C1264" s="1801" t="s">
        <v>55</v>
      </c>
      <c r="D1264" s="530"/>
      <c r="E1264" s="531"/>
      <c r="F1264" s="530"/>
      <c r="G1264" s="530"/>
      <c r="H1264" s="530"/>
      <c r="I1264" s="530"/>
      <c r="J1264" s="530"/>
      <c r="K1264" s="530"/>
      <c r="L1264" s="530"/>
      <c r="M1264" s="530"/>
      <c r="N1264" s="530"/>
      <c r="O1264" s="530"/>
      <c r="P1264" s="530"/>
      <c r="Q1264" s="1802"/>
      <c r="R1264" s="518"/>
      <c r="S1264" s="892"/>
      <c r="T1264" s="341"/>
      <c r="U1264" s="341"/>
      <c r="V1264" s="341"/>
      <c r="W1264" s="341"/>
      <c r="X1264" s="341"/>
      <c r="Y1264" s="341"/>
      <c r="Z1264" s="341"/>
      <c r="AA1264" s="341"/>
      <c r="AB1264" s="341"/>
      <c r="AC1264" s="341"/>
      <c r="AD1264" s="341"/>
      <c r="AE1264" s="341"/>
      <c r="AF1264" s="341"/>
    </row>
    <row r="1265" spans="1:32" ht="18.75" customHeight="1" x14ac:dyDescent="0.2">
      <c r="A1265" s="184"/>
      <c r="B1265" s="345"/>
      <c r="C1265" s="1792" t="s">
        <v>392</v>
      </c>
      <c r="D1265" s="533">
        <f ca="1">D1172/(SUM($D$1172:$P$1172)-$K1172)</f>
        <v>0.56793842874123435</v>
      </c>
      <c r="E1265" s="533">
        <f t="shared" ref="E1265:P1265" ca="1" si="171">E1172/(SUM($D$1172:$P$1172)-$K1172)</f>
        <v>0.29701014489971689</v>
      </c>
      <c r="F1265" s="533">
        <f t="shared" ca="1" si="171"/>
        <v>0.13505142635904871</v>
      </c>
      <c r="G1265" s="533">
        <f t="shared" ca="1" si="171"/>
        <v>0</v>
      </c>
      <c r="H1265" s="533">
        <f t="shared" ca="1" si="171"/>
        <v>0</v>
      </c>
      <c r="I1265" s="533">
        <f t="shared" ca="1" si="171"/>
        <v>0</v>
      </c>
      <c r="J1265" s="533">
        <f t="shared" ca="1" si="171"/>
        <v>0</v>
      </c>
      <c r="K1265" s="533"/>
      <c r="L1265" s="533">
        <f t="shared" ca="1" si="171"/>
        <v>0</v>
      </c>
      <c r="M1265" s="533">
        <f t="shared" ca="1" si="171"/>
        <v>0</v>
      </c>
      <c r="N1265" s="533">
        <f t="shared" ca="1" si="171"/>
        <v>0</v>
      </c>
      <c r="O1265" s="533">
        <f t="shared" ca="1" si="171"/>
        <v>0</v>
      </c>
      <c r="P1265" s="533">
        <f t="shared" ca="1" si="171"/>
        <v>0</v>
      </c>
      <c r="Q1265" s="1810">
        <f t="shared" ref="Q1265:Q1271" ca="1" si="172">SUM(D1265:P1265)</f>
        <v>1</v>
      </c>
      <c r="R1265" s="518"/>
      <c r="S1265" s="892"/>
      <c r="T1265" s="341"/>
      <c r="U1265" s="341"/>
      <c r="V1265" s="341"/>
      <c r="W1265" s="341"/>
      <c r="X1265" s="341"/>
      <c r="Y1265" s="341"/>
      <c r="Z1265" s="341"/>
      <c r="AA1265" s="341"/>
      <c r="AB1265" s="341"/>
      <c r="AC1265" s="341"/>
      <c r="AD1265" s="341"/>
      <c r="AE1265" s="341"/>
      <c r="AF1265" s="341"/>
    </row>
    <row r="1266" spans="1:32" ht="18.75" customHeight="1" x14ac:dyDescent="0.2">
      <c r="A1266" s="184"/>
      <c r="B1266" s="345"/>
      <c r="C1266" s="1792" t="s">
        <v>1023</v>
      </c>
      <c r="D1266" s="533">
        <f ca="1">D1173/(SUM($D$1173:$P$1173)-$K1173)</f>
        <v>0.58220908372634728</v>
      </c>
      <c r="E1266" s="533">
        <f t="shared" ref="E1266:P1266" ca="1" si="173">E1173/(SUM($D$1173:$P$1173)-$K1173)</f>
        <v>0.28393306585977346</v>
      </c>
      <c r="F1266" s="533">
        <f t="shared" ca="1" si="173"/>
        <v>0.13385785041387926</v>
      </c>
      <c r="G1266" s="533">
        <f t="shared" ca="1" si="173"/>
        <v>0</v>
      </c>
      <c r="H1266" s="533">
        <f t="shared" ca="1" si="173"/>
        <v>0</v>
      </c>
      <c r="I1266" s="533">
        <f t="shared" ca="1" si="173"/>
        <v>0</v>
      </c>
      <c r="J1266" s="533">
        <f t="shared" ca="1" si="173"/>
        <v>0</v>
      </c>
      <c r="K1266" s="533"/>
      <c r="L1266" s="533">
        <f t="shared" ca="1" si="173"/>
        <v>0</v>
      </c>
      <c r="M1266" s="533">
        <f t="shared" ca="1" si="173"/>
        <v>0</v>
      </c>
      <c r="N1266" s="533">
        <f t="shared" ca="1" si="173"/>
        <v>0</v>
      </c>
      <c r="O1266" s="533">
        <f t="shared" ca="1" si="173"/>
        <v>0</v>
      </c>
      <c r="P1266" s="533">
        <f t="shared" ca="1" si="173"/>
        <v>0</v>
      </c>
      <c r="Q1266" s="1810">
        <f t="shared" ca="1" si="172"/>
        <v>1</v>
      </c>
      <c r="R1266" s="518"/>
      <c r="S1266" s="892"/>
      <c r="T1266" s="341"/>
      <c r="U1266" s="341"/>
      <c r="V1266" s="341"/>
      <c r="W1266" s="341"/>
      <c r="X1266" s="341"/>
      <c r="Y1266" s="341"/>
      <c r="Z1266" s="341"/>
      <c r="AA1266" s="341"/>
      <c r="AB1266" s="341"/>
      <c r="AC1266" s="341"/>
      <c r="AD1266" s="341"/>
      <c r="AE1266" s="341"/>
      <c r="AF1266" s="341"/>
    </row>
    <row r="1267" spans="1:32" ht="18.75" customHeight="1" x14ac:dyDescent="0.2">
      <c r="A1267" s="184"/>
      <c r="B1267" s="345"/>
      <c r="C1267" s="1792" t="s">
        <v>485</v>
      </c>
      <c r="D1267" s="533">
        <f ca="1">D1174/(SUM($D$1174:$P$1174)-$K1174)</f>
        <v>0.59350177207186794</v>
      </c>
      <c r="E1267" s="533">
        <f t="shared" ref="E1267:P1267" ca="1" si="174">E1174/(SUM($D$1174:$P$1174)-$K1174)</f>
        <v>0.27951185185958133</v>
      </c>
      <c r="F1267" s="533">
        <f t="shared" ca="1" si="174"/>
        <v>0.1269863760685507</v>
      </c>
      <c r="G1267" s="533">
        <f t="shared" ca="1" si="174"/>
        <v>0</v>
      </c>
      <c r="H1267" s="533">
        <f t="shared" ca="1" si="174"/>
        <v>0</v>
      </c>
      <c r="I1267" s="533">
        <f t="shared" ca="1" si="174"/>
        <v>0</v>
      </c>
      <c r="J1267" s="533">
        <f t="shared" ca="1" si="174"/>
        <v>0</v>
      </c>
      <c r="K1267" s="533"/>
      <c r="L1267" s="533">
        <f t="shared" ca="1" si="174"/>
        <v>0</v>
      </c>
      <c r="M1267" s="533">
        <f t="shared" ca="1" si="174"/>
        <v>0</v>
      </c>
      <c r="N1267" s="533">
        <f t="shared" ca="1" si="174"/>
        <v>0</v>
      </c>
      <c r="O1267" s="533">
        <f t="shared" ca="1" si="174"/>
        <v>0</v>
      </c>
      <c r="P1267" s="533">
        <f t="shared" ca="1" si="174"/>
        <v>0</v>
      </c>
      <c r="Q1267" s="1810">
        <f t="shared" ca="1" si="172"/>
        <v>0.99999999999999989</v>
      </c>
      <c r="R1267" s="518"/>
      <c r="S1267" s="892"/>
      <c r="T1267" s="341"/>
      <c r="U1267" s="341"/>
      <c r="V1267" s="341"/>
      <c r="W1267" s="341"/>
      <c r="X1267" s="341"/>
      <c r="Y1267" s="341"/>
      <c r="Z1267" s="341"/>
      <c r="AA1267" s="341"/>
      <c r="AB1267" s="341"/>
      <c r="AC1267" s="341"/>
      <c r="AD1267" s="341"/>
      <c r="AE1267" s="341"/>
      <c r="AF1267" s="341"/>
    </row>
    <row r="1268" spans="1:32" ht="18.75" customHeight="1" x14ac:dyDescent="0.2">
      <c r="A1268" s="184"/>
      <c r="B1268" s="345"/>
      <c r="C1268" s="1792" t="s">
        <v>541</v>
      </c>
      <c r="D1268" s="533">
        <f ca="1">D1175/(SUM($D$1175:$P$1175)-$K1175)</f>
        <v>0.68190851900143634</v>
      </c>
      <c r="E1268" s="533">
        <f t="shared" ref="E1268:P1268" ca="1" si="175">E1175/(SUM($D$1175:$P$1175)-$K1175)</f>
        <v>0.20739072888133972</v>
      </c>
      <c r="F1268" s="533">
        <f t="shared" ca="1" si="175"/>
        <v>0.11070075211722399</v>
      </c>
      <c r="G1268" s="533">
        <f t="shared" ca="1" si="175"/>
        <v>0</v>
      </c>
      <c r="H1268" s="533">
        <f t="shared" ca="1" si="175"/>
        <v>0</v>
      </c>
      <c r="I1268" s="533">
        <f t="shared" ca="1" si="175"/>
        <v>0</v>
      </c>
      <c r="J1268" s="533">
        <f t="shared" ca="1" si="175"/>
        <v>0</v>
      </c>
      <c r="K1268" s="533"/>
      <c r="L1268" s="533">
        <f t="shared" ca="1" si="175"/>
        <v>0</v>
      </c>
      <c r="M1268" s="533">
        <f t="shared" ca="1" si="175"/>
        <v>0</v>
      </c>
      <c r="N1268" s="533">
        <f t="shared" ca="1" si="175"/>
        <v>0</v>
      </c>
      <c r="O1268" s="533">
        <f t="shared" ca="1" si="175"/>
        <v>0</v>
      </c>
      <c r="P1268" s="533">
        <f t="shared" ca="1" si="175"/>
        <v>0</v>
      </c>
      <c r="Q1268" s="1810">
        <f t="shared" ca="1" si="172"/>
        <v>1</v>
      </c>
      <c r="R1268" s="518"/>
      <c r="S1268" s="892"/>
      <c r="T1268" s="341"/>
      <c r="U1268" s="341"/>
      <c r="V1268" s="341"/>
      <c r="W1268" s="341"/>
      <c r="X1268" s="341"/>
      <c r="Y1268" s="341"/>
      <c r="Z1268" s="341"/>
      <c r="AA1268" s="341"/>
      <c r="AB1268" s="341"/>
      <c r="AC1268" s="341"/>
      <c r="AD1268" s="341"/>
      <c r="AE1268" s="341"/>
      <c r="AF1268" s="341"/>
    </row>
    <row r="1269" spans="1:32" ht="18.75" customHeight="1" x14ac:dyDescent="0.2">
      <c r="A1269" s="184"/>
      <c r="B1269" s="345"/>
      <c r="C1269" s="1792" t="s">
        <v>234</v>
      </c>
      <c r="D1269" s="533">
        <f ca="1">D1176/(SUM($D$1176:$P$1176)-$K1176)</f>
        <v>0.80845345712167505</v>
      </c>
      <c r="E1269" s="533">
        <f t="shared" ref="E1269:P1269" ca="1" si="176">E1176/(SUM($D$1176:$P$1176)-$K1176)</f>
        <v>0</v>
      </c>
      <c r="F1269" s="533">
        <f t="shared" ca="1" si="176"/>
        <v>0.19154654287832493</v>
      </c>
      <c r="G1269" s="533">
        <f t="shared" ca="1" si="176"/>
        <v>0</v>
      </c>
      <c r="H1269" s="533">
        <f t="shared" ca="1" si="176"/>
        <v>0</v>
      </c>
      <c r="I1269" s="533">
        <f t="shared" ca="1" si="176"/>
        <v>0</v>
      </c>
      <c r="J1269" s="533">
        <f t="shared" ca="1" si="176"/>
        <v>0</v>
      </c>
      <c r="K1269" s="533"/>
      <c r="L1269" s="533">
        <f t="shared" ca="1" si="176"/>
        <v>0</v>
      </c>
      <c r="M1269" s="533">
        <f t="shared" ca="1" si="176"/>
        <v>0</v>
      </c>
      <c r="N1269" s="533">
        <f t="shared" ca="1" si="176"/>
        <v>0</v>
      </c>
      <c r="O1269" s="533">
        <f t="shared" ca="1" si="176"/>
        <v>0</v>
      </c>
      <c r="P1269" s="533">
        <f t="shared" ca="1" si="176"/>
        <v>0</v>
      </c>
      <c r="Q1269" s="1810">
        <f t="shared" ca="1" si="172"/>
        <v>1</v>
      </c>
      <c r="R1269" s="518"/>
      <c r="S1269" s="892"/>
      <c r="T1269" s="341"/>
      <c r="U1269" s="341"/>
      <c r="V1269" s="341"/>
      <c r="W1269" s="341"/>
      <c r="X1269" s="341"/>
      <c r="Y1269" s="341"/>
      <c r="Z1269" s="341"/>
      <c r="AA1269" s="341"/>
      <c r="AB1269" s="341"/>
      <c r="AC1269" s="341"/>
      <c r="AD1269" s="341"/>
      <c r="AE1269" s="341"/>
      <c r="AF1269" s="341"/>
    </row>
    <row r="1270" spans="1:32" ht="18.75" customHeight="1" x14ac:dyDescent="0.2">
      <c r="A1270" s="184"/>
      <c r="B1270" s="345"/>
      <c r="C1270" s="1801" t="s">
        <v>32</v>
      </c>
      <c r="D1270" s="537">
        <f ca="1">D1178/(SUM($D$1178:$P$1178)-$K1178)</f>
        <v>0.61094277913305806</v>
      </c>
      <c r="E1270" s="537">
        <f t="shared" ref="E1270:P1270" ca="1" si="177">E1178/(SUM($D$1178:$P$1178)-$K1178)</f>
        <v>0.26222082517241702</v>
      </c>
      <c r="F1270" s="537">
        <f t="shared" ca="1" si="177"/>
        <v>0.12683639569452482</v>
      </c>
      <c r="G1270" s="537">
        <f t="shared" ca="1" si="177"/>
        <v>0</v>
      </c>
      <c r="H1270" s="537">
        <f t="shared" ca="1" si="177"/>
        <v>0</v>
      </c>
      <c r="I1270" s="537">
        <f t="shared" ca="1" si="177"/>
        <v>0</v>
      </c>
      <c r="J1270" s="537">
        <f t="shared" ca="1" si="177"/>
        <v>0</v>
      </c>
      <c r="K1270" s="537"/>
      <c r="L1270" s="537">
        <f t="shared" ca="1" si="177"/>
        <v>0</v>
      </c>
      <c r="M1270" s="537">
        <f t="shared" ca="1" si="177"/>
        <v>0</v>
      </c>
      <c r="N1270" s="537">
        <f t="shared" ca="1" si="177"/>
        <v>0</v>
      </c>
      <c r="O1270" s="537">
        <f t="shared" ca="1" si="177"/>
        <v>0</v>
      </c>
      <c r="P1270" s="537">
        <f t="shared" ca="1" si="177"/>
        <v>0</v>
      </c>
      <c r="Q1270" s="2081">
        <f t="shared" ca="1" si="172"/>
        <v>1</v>
      </c>
      <c r="R1270" s="518"/>
      <c r="S1270" s="892"/>
      <c r="T1270" s="341"/>
      <c r="U1270" s="341"/>
      <c r="V1270" s="341"/>
      <c r="W1270" s="341"/>
      <c r="X1270" s="341"/>
      <c r="Y1270" s="341"/>
      <c r="Z1270" s="341"/>
      <c r="AA1270" s="341"/>
      <c r="AB1270" s="341"/>
      <c r="AC1270" s="341"/>
      <c r="AD1270" s="341"/>
      <c r="AE1270" s="341"/>
      <c r="AF1270" s="341"/>
    </row>
    <row r="1271" spans="1:32" ht="18.75" customHeight="1" x14ac:dyDescent="0.2">
      <c r="A1271" s="184"/>
      <c r="B1271" s="345"/>
      <c r="C1271" s="1803" t="s">
        <v>31</v>
      </c>
      <c r="D1271" s="2075">
        <f ca="1">D1179/(SUM($D$1179:$P$1179)-$K1179)</f>
        <v>0.39827556821110199</v>
      </c>
      <c r="E1271" s="2075">
        <f t="shared" ref="E1271:P1271" ca="1" si="178">E1179/(SUM($D$1179:$P$1179)-$K1179)</f>
        <v>0.40709291433936579</v>
      </c>
      <c r="F1271" s="2075">
        <f t="shared" ca="1" si="178"/>
        <v>0.19463151744953211</v>
      </c>
      <c r="G1271" s="2075">
        <f t="shared" ca="1" si="178"/>
        <v>0</v>
      </c>
      <c r="H1271" s="2075">
        <f t="shared" ca="1" si="178"/>
        <v>0</v>
      </c>
      <c r="I1271" s="2075">
        <f t="shared" ca="1" si="178"/>
        <v>0</v>
      </c>
      <c r="J1271" s="2075">
        <f t="shared" ca="1" si="178"/>
        <v>0</v>
      </c>
      <c r="K1271" s="2075"/>
      <c r="L1271" s="2075">
        <f t="shared" ca="1" si="178"/>
        <v>0</v>
      </c>
      <c r="M1271" s="2075">
        <f t="shared" ca="1" si="178"/>
        <v>0</v>
      </c>
      <c r="N1271" s="2075">
        <f t="shared" ca="1" si="178"/>
        <v>0</v>
      </c>
      <c r="O1271" s="2075">
        <f t="shared" ca="1" si="178"/>
        <v>0</v>
      </c>
      <c r="P1271" s="2075">
        <f t="shared" ca="1" si="178"/>
        <v>0</v>
      </c>
      <c r="Q1271" s="2082">
        <f t="shared" ca="1" si="172"/>
        <v>0.99999999999999989</v>
      </c>
      <c r="R1271" s="518"/>
      <c r="S1271" s="892"/>
      <c r="T1271" s="341"/>
      <c r="U1271" s="341"/>
      <c r="V1271" s="341"/>
      <c r="W1271" s="341"/>
      <c r="X1271" s="341"/>
      <c r="Y1271" s="341"/>
      <c r="Z1271" s="341"/>
      <c r="AA1271" s="341"/>
      <c r="AB1271" s="341"/>
      <c r="AC1271" s="341"/>
      <c r="AD1271" s="341"/>
      <c r="AE1271" s="341"/>
      <c r="AF1271" s="341"/>
    </row>
    <row r="1272" spans="1:32" ht="18.75" customHeight="1" x14ac:dyDescent="0.2">
      <c r="A1272" s="184"/>
      <c r="B1272" s="345"/>
      <c r="C1272" s="894"/>
      <c r="D1272" s="518"/>
      <c r="E1272" s="518"/>
      <c r="F1272" s="518"/>
      <c r="G1272" s="518"/>
      <c r="H1272" s="518"/>
      <c r="I1272" s="518"/>
      <c r="J1272" s="518"/>
      <c r="K1272" s="518"/>
      <c r="L1272" s="518"/>
      <c r="M1272" s="518"/>
      <c r="N1272" s="518"/>
      <c r="O1272" s="518"/>
      <c r="P1272" s="518"/>
      <c r="Q1272" s="518"/>
      <c r="R1272" s="518"/>
      <c r="S1272" s="892"/>
      <c r="T1272" s="341"/>
      <c r="U1272" s="341"/>
      <c r="V1272" s="341"/>
      <c r="W1272" s="341"/>
      <c r="X1272" s="341"/>
      <c r="Y1272" s="341"/>
      <c r="Z1272" s="341"/>
      <c r="AA1272" s="341"/>
      <c r="AB1272" s="341"/>
      <c r="AC1272" s="341"/>
      <c r="AD1272" s="341"/>
      <c r="AE1272" s="341"/>
      <c r="AF1272" s="341"/>
    </row>
    <row r="1273" spans="1:32" ht="18.75" customHeight="1" x14ac:dyDescent="0.2">
      <c r="A1273" s="184"/>
      <c r="B1273" s="345"/>
      <c r="C1273" s="440" t="s">
        <v>56</v>
      </c>
      <c r="D1273" s="518"/>
      <c r="E1273" s="518"/>
      <c r="F1273" s="518"/>
      <c r="G1273" s="518"/>
      <c r="H1273" s="518"/>
      <c r="I1273" s="518"/>
      <c r="J1273" s="518"/>
      <c r="K1273" s="518"/>
      <c r="L1273" s="518"/>
      <c r="M1273" s="518"/>
      <c r="N1273" s="518"/>
      <c r="O1273" s="518"/>
      <c r="P1273" s="518"/>
      <c r="Q1273" s="518"/>
      <c r="R1273" s="518"/>
      <c r="S1273" s="892"/>
      <c r="T1273" s="341"/>
      <c r="U1273" s="341"/>
      <c r="V1273" s="341"/>
      <c r="W1273" s="341"/>
      <c r="X1273" s="341"/>
      <c r="Y1273" s="341"/>
      <c r="Z1273" s="341"/>
      <c r="AA1273" s="341"/>
      <c r="AB1273" s="341"/>
      <c r="AC1273" s="341"/>
      <c r="AD1273" s="341"/>
      <c r="AE1273" s="341"/>
      <c r="AF1273" s="341"/>
    </row>
    <row r="1274" spans="1:32" ht="18.75" customHeight="1" x14ac:dyDescent="0.2">
      <c r="A1274" s="184"/>
      <c r="B1274" s="345"/>
      <c r="C1274" s="1794" t="s">
        <v>974</v>
      </c>
      <c r="D1274" s="1795">
        <f ca="1">K1164</f>
        <v>11437705.339893121</v>
      </c>
      <c r="E1274" s="1795"/>
      <c r="F1274" s="1795"/>
      <c r="G1274" s="1795"/>
      <c r="H1274" s="1795"/>
      <c r="I1274" s="1795"/>
      <c r="J1274" s="1795"/>
      <c r="K1274" s="1795"/>
      <c r="L1274" s="1795"/>
      <c r="M1274" s="1795"/>
      <c r="N1274" s="1795"/>
      <c r="O1274" s="1795"/>
      <c r="P1274" s="1795"/>
      <c r="Q1274" s="1796"/>
      <c r="R1274" s="518"/>
      <c r="S1274" s="892"/>
      <c r="T1274" s="341"/>
      <c r="U1274" s="341"/>
      <c r="V1274" s="341"/>
      <c r="W1274" s="341"/>
      <c r="X1274" s="341"/>
      <c r="Y1274" s="341"/>
      <c r="Z1274" s="341"/>
      <c r="AA1274" s="341"/>
      <c r="AB1274" s="341"/>
      <c r="AC1274" s="341"/>
      <c r="AD1274" s="341"/>
      <c r="AE1274" s="341"/>
      <c r="AF1274" s="341"/>
    </row>
    <row r="1275" spans="1:32" ht="18.75" customHeight="1" x14ac:dyDescent="0.2">
      <c r="A1275" s="184"/>
      <c r="B1275" s="345"/>
      <c r="C1275" s="1791" t="s">
        <v>1025</v>
      </c>
      <c r="D1275" s="518">
        <f t="shared" ref="D1275:Q1275" ca="1" si="179">D1173</f>
        <v>12341896.845410015</v>
      </c>
      <c r="E1275" s="518">
        <f t="shared" ca="1" si="179"/>
        <v>6018924.6574679464</v>
      </c>
      <c r="F1275" s="518">
        <f t="shared" ca="1" si="179"/>
        <v>2837571.2917130152</v>
      </c>
      <c r="G1275" s="518">
        <f t="shared" ca="1" si="179"/>
        <v>0</v>
      </c>
      <c r="H1275" s="518">
        <f t="shared" ca="1" si="179"/>
        <v>0</v>
      </c>
      <c r="I1275" s="518">
        <f t="shared" ca="1" si="179"/>
        <v>0</v>
      </c>
      <c r="J1275" s="518">
        <f t="shared" ca="1" si="179"/>
        <v>0</v>
      </c>
      <c r="K1275" s="518">
        <f t="shared" ca="1" si="179"/>
        <v>0</v>
      </c>
      <c r="L1275" s="518">
        <f t="shared" ca="1" si="179"/>
        <v>0</v>
      </c>
      <c r="M1275" s="518">
        <f t="shared" ca="1" si="179"/>
        <v>0</v>
      </c>
      <c r="N1275" s="518">
        <f t="shared" ca="1" si="179"/>
        <v>0</v>
      </c>
      <c r="O1275" s="518">
        <f t="shared" ca="1" si="179"/>
        <v>0</v>
      </c>
      <c r="P1275" s="518">
        <f t="shared" ca="1" si="179"/>
        <v>0</v>
      </c>
      <c r="Q1275" s="1788">
        <f t="shared" ca="1" si="179"/>
        <v>21198392.794590976</v>
      </c>
      <c r="R1275" s="518"/>
      <c r="S1275" s="892"/>
      <c r="T1275" s="341"/>
      <c r="U1275" s="341"/>
      <c r="V1275" s="341"/>
      <c r="W1275" s="341"/>
      <c r="X1275" s="341"/>
      <c r="Y1275" s="341"/>
      <c r="Z1275" s="341"/>
      <c r="AA1275" s="341"/>
      <c r="AB1275" s="341"/>
      <c r="AC1275" s="341"/>
      <c r="AD1275" s="341"/>
      <c r="AE1275" s="341"/>
      <c r="AF1275" s="341"/>
    </row>
    <row r="1276" spans="1:32" ht="18.75" customHeight="1" x14ac:dyDescent="0.2">
      <c r="A1276" s="184"/>
      <c r="B1276" s="345"/>
      <c r="C1276" s="1791" t="s">
        <v>971</v>
      </c>
      <c r="D1276" s="518">
        <f ca="1">IF($D$1274&lt;$Q$1275,$D$1274*D1266,D1275)</f>
        <v>6659135.9458711231</v>
      </c>
      <c r="E1276" s="518">
        <f t="shared" ref="E1276:Q1276" ca="1" si="180">IF($D$1274&lt;$Q$1275,$D$1274*E1266,E1275)</f>
        <v>3247542.7435565563</v>
      </c>
      <c r="F1276" s="518">
        <f t="shared" ca="1" si="180"/>
        <v>1531026.6504654416</v>
      </c>
      <c r="G1276" s="518">
        <f t="shared" ca="1" si="180"/>
        <v>0</v>
      </c>
      <c r="H1276" s="518">
        <f t="shared" ca="1" si="180"/>
        <v>0</v>
      </c>
      <c r="I1276" s="518">
        <f t="shared" ca="1" si="180"/>
        <v>0</v>
      </c>
      <c r="J1276" s="518">
        <f t="shared" ca="1" si="180"/>
        <v>0</v>
      </c>
      <c r="K1276" s="518">
        <f t="shared" ca="1" si="180"/>
        <v>0</v>
      </c>
      <c r="L1276" s="518">
        <f t="shared" ca="1" si="180"/>
        <v>0</v>
      </c>
      <c r="M1276" s="518">
        <f t="shared" ca="1" si="180"/>
        <v>0</v>
      </c>
      <c r="N1276" s="518">
        <f t="shared" ca="1" si="180"/>
        <v>0</v>
      </c>
      <c r="O1276" s="518">
        <f t="shared" ca="1" si="180"/>
        <v>0</v>
      </c>
      <c r="P1276" s="518">
        <f t="shared" ca="1" si="180"/>
        <v>0</v>
      </c>
      <c r="Q1276" s="518">
        <f t="shared" ca="1" si="180"/>
        <v>11437705.339893121</v>
      </c>
      <c r="R1276" s="518"/>
      <c r="S1276" s="892"/>
      <c r="T1276" s="341"/>
      <c r="U1276" s="341"/>
      <c r="V1276" s="341"/>
      <c r="W1276" s="341"/>
      <c r="X1276" s="341"/>
      <c r="Y1276" s="341"/>
      <c r="Z1276" s="341"/>
      <c r="AA1276" s="341"/>
      <c r="AB1276" s="341"/>
      <c r="AC1276" s="341"/>
      <c r="AD1276" s="341"/>
      <c r="AE1276" s="341"/>
      <c r="AF1276" s="341"/>
    </row>
    <row r="1277" spans="1:32" ht="18.75" customHeight="1" x14ac:dyDescent="0.2">
      <c r="A1277" s="184"/>
      <c r="B1277" s="345"/>
      <c r="C1277" s="1791" t="s">
        <v>90</v>
      </c>
      <c r="D1277" s="518">
        <f t="shared" ref="D1277:Q1277" ca="1" si="181">D1275-D1276</f>
        <v>5682760.8995388923</v>
      </c>
      <c r="E1277" s="518">
        <f t="shared" ca="1" si="181"/>
        <v>2771381.9139113901</v>
      </c>
      <c r="F1277" s="518">
        <f t="shared" ca="1" si="181"/>
        <v>1306544.6412475735</v>
      </c>
      <c r="G1277" s="518">
        <f t="shared" ca="1" si="181"/>
        <v>0</v>
      </c>
      <c r="H1277" s="518">
        <f t="shared" ca="1" si="181"/>
        <v>0</v>
      </c>
      <c r="I1277" s="518">
        <f t="shared" ca="1" si="181"/>
        <v>0</v>
      </c>
      <c r="J1277" s="518">
        <f t="shared" ca="1" si="181"/>
        <v>0</v>
      </c>
      <c r="K1277" s="518">
        <f t="shared" ca="1" si="181"/>
        <v>0</v>
      </c>
      <c r="L1277" s="518">
        <f t="shared" ref="L1277" ca="1" si="182">L1275-L1276</f>
        <v>0</v>
      </c>
      <c r="M1277" s="518">
        <f t="shared" ca="1" si="181"/>
        <v>0</v>
      </c>
      <c r="N1277" s="518">
        <f t="shared" ref="N1277:P1277" ca="1" si="183">N1275-N1276</f>
        <v>0</v>
      </c>
      <c r="O1277" s="518">
        <f t="shared" ca="1" si="183"/>
        <v>0</v>
      </c>
      <c r="P1277" s="518">
        <f t="shared" ca="1" si="183"/>
        <v>0</v>
      </c>
      <c r="Q1277" s="1788">
        <f t="shared" ca="1" si="181"/>
        <v>9760687.4546978548</v>
      </c>
      <c r="R1277" s="518"/>
      <c r="S1277" s="892"/>
      <c r="T1277" s="341"/>
      <c r="U1277" s="341"/>
      <c r="V1277" s="341"/>
      <c r="W1277" s="341"/>
      <c r="X1277" s="341"/>
      <c r="Y1277" s="341"/>
      <c r="Z1277" s="341"/>
      <c r="AA1277" s="341"/>
      <c r="AB1277" s="341"/>
      <c r="AC1277" s="341"/>
      <c r="AD1277" s="341"/>
      <c r="AE1277" s="341"/>
      <c r="AF1277" s="341"/>
    </row>
    <row r="1278" spans="1:32" ht="18.75" customHeight="1" x14ac:dyDescent="0.2">
      <c r="A1278" s="184"/>
      <c r="B1278" s="345"/>
      <c r="C1278" s="1791" t="s">
        <v>1049</v>
      </c>
      <c r="D1278" s="518">
        <f ca="1">D1274-Q1276</f>
        <v>0</v>
      </c>
      <c r="E1278" s="518"/>
      <c r="F1278" s="518"/>
      <c r="G1278" s="518"/>
      <c r="H1278" s="518"/>
      <c r="I1278" s="518"/>
      <c r="J1278" s="518"/>
      <c r="K1278" s="518"/>
      <c r="L1278" s="518"/>
      <c r="M1278" s="518"/>
      <c r="N1278" s="518"/>
      <c r="O1278" s="518"/>
      <c r="P1278" s="518"/>
      <c r="Q1278" s="1788"/>
      <c r="R1278" s="518"/>
      <c r="S1278" s="892"/>
      <c r="T1278" s="341"/>
      <c r="U1278" s="341"/>
      <c r="V1278" s="341"/>
      <c r="W1278" s="341"/>
      <c r="X1278" s="341"/>
      <c r="Y1278" s="341"/>
      <c r="Z1278" s="341"/>
      <c r="AA1278" s="341"/>
      <c r="AB1278" s="341"/>
      <c r="AC1278" s="341"/>
      <c r="AD1278" s="341"/>
      <c r="AE1278" s="341"/>
      <c r="AF1278" s="341"/>
    </row>
    <row r="1279" spans="1:32" ht="18.75" customHeight="1" x14ac:dyDescent="0.2">
      <c r="A1279" s="184"/>
      <c r="B1279" s="345"/>
      <c r="C1279" s="1792" t="s">
        <v>1026</v>
      </c>
      <c r="D1279" s="518">
        <f t="shared" ref="D1279:P1279" ca="1" si="184">D1174</f>
        <v>1350048.1566903843</v>
      </c>
      <c r="E1279" s="518">
        <f t="shared" ca="1" si="184"/>
        <v>635810.16625919892</v>
      </c>
      <c r="F1279" s="518">
        <f t="shared" ca="1" si="184"/>
        <v>288857.97988043615</v>
      </c>
      <c r="G1279" s="518">
        <f t="shared" ca="1" si="184"/>
        <v>0</v>
      </c>
      <c r="H1279" s="518">
        <f t="shared" ca="1" si="184"/>
        <v>0</v>
      </c>
      <c r="I1279" s="518">
        <f t="shared" ca="1" si="184"/>
        <v>0</v>
      </c>
      <c r="J1279" s="518">
        <f t="shared" ca="1" si="184"/>
        <v>0</v>
      </c>
      <c r="K1279" s="518">
        <f t="shared" ca="1" si="184"/>
        <v>0</v>
      </c>
      <c r="L1279" s="518">
        <f t="shared" ca="1" si="184"/>
        <v>0</v>
      </c>
      <c r="M1279" s="518">
        <f t="shared" ca="1" si="184"/>
        <v>0</v>
      </c>
      <c r="N1279" s="518">
        <f t="shared" ca="1" si="184"/>
        <v>0</v>
      </c>
      <c r="O1279" s="518">
        <f t="shared" ca="1" si="184"/>
        <v>0</v>
      </c>
      <c r="P1279" s="518">
        <f t="shared" ca="1" si="184"/>
        <v>0</v>
      </c>
      <c r="Q1279" s="1788">
        <f ca="1">SUM(D1279:M1279)</f>
        <v>2274716.3028300195</v>
      </c>
      <c r="R1279" s="518"/>
      <c r="S1279" s="892"/>
      <c r="T1279" s="341"/>
      <c r="U1279" s="341"/>
      <c r="V1279" s="341"/>
      <c r="W1279" s="341"/>
      <c r="X1279" s="341"/>
      <c r="Y1279" s="341"/>
      <c r="Z1279" s="341"/>
      <c r="AA1279" s="341"/>
      <c r="AB1279" s="341"/>
      <c r="AC1279" s="341"/>
      <c r="AD1279" s="341"/>
      <c r="AE1279" s="341"/>
      <c r="AF1279" s="341"/>
    </row>
    <row r="1280" spans="1:32" ht="18.75" customHeight="1" x14ac:dyDescent="0.2">
      <c r="A1280" s="184"/>
      <c r="B1280" s="345"/>
      <c r="C1280" s="1792" t="s">
        <v>1033</v>
      </c>
      <c r="D1280" s="518">
        <f ca="1">CokingRefineryCalcs!$D$1039*D1279</f>
        <v>1452168.0814283721</v>
      </c>
      <c r="E1280" s="518">
        <f ca="1">CokingRefineryCalcs!$D$1039*E1279</f>
        <v>683903.92202951806</v>
      </c>
      <c r="F1280" s="518">
        <f ca="1">CokingRefineryCalcs!$D$1039*F1279</f>
        <v>310707.68577364774</v>
      </c>
      <c r="G1280" s="518">
        <f ca="1">CokingRefineryCalcs!$D$1039*G1279</f>
        <v>0</v>
      </c>
      <c r="H1280" s="518">
        <f ca="1">CokingRefineryCalcs!$D$1039*H1279</f>
        <v>0</v>
      </c>
      <c r="I1280" s="518">
        <f ca="1">CokingRefineryCalcs!$D$1039*I1279</f>
        <v>0</v>
      </c>
      <c r="J1280" s="518">
        <f ca="1">CokingRefineryCalcs!$D$1039*J1279</f>
        <v>0</v>
      </c>
      <c r="K1280" s="518">
        <f ca="1">CokingRefineryCalcs!$D$1039*K1279</f>
        <v>0</v>
      </c>
      <c r="L1280" s="518">
        <f ca="1">CokingRefineryCalcs!$D$1039*L1279</f>
        <v>0</v>
      </c>
      <c r="M1280" s="518">
        <f ca="1">CokingRefineryCalcs!$D$1039*M1279</f>
        <v>0</v>
      </c>
      <c r="N1280" s="518">
        <f ca="1">CokingRefineryCalcs!$D$1039*N1279</f>
        <v>0</v>
      </c>
      <c r="O1280" s="518">
        <f ca="1">CokingRefineryCalcs!$D$1039*O1279</f>
        <v>0</v>
      </c>
      <c r="P1280" s="518">
        <f ca="1">CokingRefineryCalcs!$D$1039*P1279</f>
        <v>0</v>
      </c>
      <c r="Q1280" s="1788">
        <f ca="1">SUM(D1280:M1280)</f>
        <v>2446779.6892315377</v>
      </c>
      <c r="R1280" s="518"/>
      <c r="S1280" s="892"/>
      <c r="T1280" s="341"/>
      <c r="U1280" s="341"/>
      <c r="V1280" s="341"/>
      <c r="W1280" s="341"/>
      <c r="X1280" s="341"/>
      <c r="Y1280" s="341"/>
      <c r="Z1280" s="341"/>
      <c r="AA1280" s="341"/>
      <c r="AB1280" s="341"/>
      <c r="AC1280" s="341"/>
      <c r="AD1280" s="341"/>
      <c r="AE1280" s="341"/>
      <c r="AF1280" s="341"/>
    </row>
    <row r="1281" spans="1:32" ht="18.75" customHeight="1" x14ac:dyDescent="0.2">
      <c r="A1281" s="184"/>
      <c r="B1281" s="345"/>
      <c r="C1281" s="1791" t="s">
        <v>971</v>
      </c>
      <c r="D1281" s="518">
        <f ca="1">IF($D$1278&lt;$Q$1280,$D$1278*D1267,D1280)</f>
        <v>0</v>
      </c>
      <c r="E1281" s="518">
        <f t="shared" ref="E1281:P1281" ca="1" si="185">IF($D$1278&lt;$Q$1280,$D$1278*E1267,E1280)</f>
        <v>0</v>
      </c>
      <c r="F1281" s="518">
        <f t="shared" ca="1" si="185"/>
        <v>0</v>
      </c>
      <c r="G1281" s="518">
        <f t="shared" ca="1" si="185"/>
        <v>0</v>
      </c>
      <c r="H1281" s="518">
        <f t="shared" ca="1" si="185"/>
        <v>0</v>
      </c>
      <c r="I1281" s="518">
        <f t="shared" ca="1" si="185"/>
        <v>0</v>
      </c>
      <c r="J1281" s="518">
        <f t="shared" ca="1" si="185"/>
        <v>0</v>
      </c>
      <c r="K1281" s="518">
        <f t="shared" ca="1" si="185"/>
        <v>0</v>
      </c>
      <c r="L1281" s="518">
        <f t="shared" ca="1" si="185"/>
        <v>0</v>
      </c>
      <c r="M1281" s="518">
        <f t="shared" ca="1" si="185"/>
        <v>0</v>
      </c>
      <c r="N1281" s="518">
        <f t="shared" ca="1" si="185"/>
        <v>0</v>
      </c>
      <c r="O1281" s="518">
        <f t="shared" ca="1" si="185"/>
        <v>0</v>
      </c>
      <c r="P1281" s="518">
        <f t="shared" ca="1" si="185"/>
        <v>0</v>
      </c>
      <c r="Q1281" s="1788">
        <f ca="1">SUM(D1281:M1281)</f>
        <v>0</v>
      </c>
      <c r="R1281" s="518"/>
      <c r="S1281" s="892"/>
      <c r="T1281" s="341"/>
      <c r="U1281" s="341"/>
      <c r="V1281" s="341"/>
      <c r="W1281" s="341"/>
      <c r="X1281" s="341"/>
      <c r="Y1281" s="341"/>
      <c r="Z1281" s="341"/>
      <c r="AA1281" s="341"/>
      <c r="AB1281" s="341"/>
      <c r="AC1281" s="341"/>
      <c r="AD1281" s="341"/>
      <c r="AE1281" s="341"/>
      <c r="AF1281" s="341"/>
    </row>
    <row r="1282" spans="1:32" ht="18.75" customHeight="1" x14ac:dyDescent="0.2">
      <c r="A1282" s="184"/>
      <c r="B1282" s="345"/>
      <c r="C1282" s="1791" t="s">
        <v>90</v>
      </c>
      <c r="D1282" s="518">
        <f t="shared" ref="D1282:M1282" ca="1" si="186">D1280-D1281</f>
        <v>1452168.0814283721</v>
      </c>
      <c r="E1282" s="518">
        <f t="shared" ca="1" si="186"/>
        <v>683903.92202951806</v>
      </c>
      <c r="F1282" s="518">
        <f t="shared" ca="1" si="186"/>
        <v>310707.68577364774</v>
      </c>
      <c r="G1282" s="518">
        <f t="shared" ca="1" si="186"/>
        <v>0</v>
      </c>
      <c r="H1282" s="518">
        <f t="shared" ca="1" si="186"/>
        <v>0</v>
      </c>
      <c r="I1282" s="518">
        <f t="shared" ca="1" si="186"/>
        <v>0</v>
      </c>
      <c r="J1282" s="518">
        <f t="shared" ca="1" si="186"/>
        <v>0</v>
      </c>
      <c r="K1282" s="518">
        <f t="shared" ca="1" si="186"/>
        <v>0</v>
      </c>
      <c r="L1282" s="518">
        <f t="shared" ref="L1282" ca="1" si="187">L1280-L1281</f>
        <v>0</v>
      </c>
      <c r="M1282" s="518">
        <f t="shared" ca="1" si="186"/>
        <v>0</v>
      </c>
      <c r="N1282" s="518">
        <f t="shared" ref="N1282:P1282" ca="1" si="188">N1280-N1281</f>
        <v>0</v>
      </c>
      <c r="O1282" s="518">
        <f t="shared" ca="1" si="188"/>
        <v>0</v>
      </c>
      <c r="P1282" s="518">
        <f t="shared" ca="1" si="188"/>
        <v>0</v>
      </c>
      <c r="Q1282" s="1788">
        <f ca="1">SUM(D1282:M1282)</f>
        <v>2446779.6892315377</v>
      </c>
      <c r="R1282" s="518"/>
      <c r="S1282" s="892"/>
      <c r="T1282" s="341"/>
      <c r="U1282" s="341"/>
      <c r="V1282" s="341"/>
      <c r="W1282" s="341"/>
      <c r="X1282" s="341"/>
      <c r="Y1282" s="341"/>
      <c r="Z1282" s="341"/>
      <c r="AA1282" s="341"/>
      <c r="AB1282" s="341"/>
      <c r="AC1282" s="341"/>
      <c r="AD1282" s="341"/>
      <c r="AE1282" s="341"/>
      <c r="AF1282" s="341"/>
    </row>
    <row r="1283" spans="1:32" ht="18.75" customHeight="1" x14ac:dyDescent="0.2">
      <c r="A1283" s="184"/>
      <c r="B1283" s="345"/>
      <c r="C1283" s="1792" t="s">
        <v>1034</v>
      </c>
      <c r="D1283" s="518">
        <f ca="1">CokingRefineryCalcs!$D$1042*D1279</f>
        <v>7237.6786270043103</v>
      </c>
      <c r="E1283" s="518">
        <f ca="1">CokingRefineryCalcs!$D$1042*E1279</f>
        <v>3408.6114842358329</v>
      </c>
      <c r="F1283" s="518">
        <f ca="1">CokingRefineryCalcs!$D$1042*F1279</f>
        <v>1548.5827056313958</v>
      </c>
      <c r="G1283" s="518">
        <f ca="1">CokingRefineryCalcs!$D$1042*G1279</f>
        <v>0</v>
      </c>
      <c r="H1283" s="518">
        <f ca="1">CokingRefineryCalcs!$D$1042*H1279</f>
        <v>0</v>
      </c>
      <c r="I1283" s="518">
        <f ca="1">CokingRefineryCalcs!$D$1042*I1279</f>
        <v>0</v>
      </c>
      <c r="J1283" s="518">
        <f ca="1">CokingRefineryCalcs!$D$1042*J1279</f>
        <v>0</v>
      </c>
      <c r="K1283" s="518">
        <f ca="1">CokingRefineryCalcs!$D$1042*K1279</f>
        <v>0</v>
      </c>
      <c r="L1283" s="518">
        <f ca="1">CokingRefineryCalcs!$D$1042*L1279</f>
        <v>0</v>
      </c>
      <c r="M1283" s="518">
        <f ca="1">CokingRefineryCalcs!$D$1042*M1279</f>
        <v>0</v>
      </c>
      <c r="N1283" s="518">
        <f ca="1">CokingRefineryCalcs!$D$1042*N1279</f>
        <v>0</v>
      </c>
      <c r="O1283" s="518">
        <f ca="1">CokingRefineryCalcs!$D$1042*O1279</f>
        <v>0</v>
      </c>
      <c r="P1283" s="518">
        <f ca="1">CokingRefineryCalcs!$D$1042*P1279</f>
        <v>0</v>
      </c>
      <c r="Q1283" s="1788">
        <f ca="1">SUM(D1283:M1283)</f>
        <v>12194.872816871539</v>
      </c>
      <c r="R1283" s="518"/>
      <c r="S1283" s="892"/>
      <c r="T1283" s="341"/>
      <c r="U1283" s="341"/>
      <c r="V1283" s="341"/>
      <c r="W1283" s="341"/>
      <c r="X1283" s="341"/>
      <c r="Y1283" s="341"/>
      <c r="Z1283" s="341"/>
      <c r="AA1283" s="341"/>
      <c r="AB1283" s="341"/>
      <c r="AC1283" s="341"/>
      <c r="AD1283" s="341"/>
      <c r="AE1283" s="341"/>
      <c r="AF1283" s="341"/>
    </row>
    <row r="1284" spans="1:32" ht="18.75" customHeight="1" x14ac:dyDescent="0.2">
      <c r="A1284" s="184"/>
      <c r="B1284" s="345"/>
      <c r="C1284" s="1791" t="s">
        <v>975</v>
      </c>
      <c r="D1284" s="518">
        <f ca="1">D1274-Q1276-Q1281</f>
        <v>0</v>
      </c>
      <c r="E1284" s="518"/>
      <c r="F1284" s="518"/>
      <c r="G1284" s="518"/>
      <c r="H1284" s="518"/>
      <c r="I1284" s="518"/>
      <c r="J1284" s="518"/>
      <c r="K1284" s="518"/>
      <c r="L1284" s="518"/>
      <c r="M1284" s="518"/>
      <c r="N1284" s="518"/>
      <c r="O1284" s="518"/>
      <c r="P1284" s="518"/>
      <c r="Q1284" s="1788"/>
      <c r="R1284" s="518"/>
      <c r="S1284" s="892"/>
      <c r="T1284" s="341"/>
      <c r="U1284" s="341"/>
      <c r="V1284" s="341"/>
      <c r="W1284" s="341"/>
      <c r="X1284" s="341"/>
      <c r="Y1284" s="341"/>
      <c r="Z1284" s="341"/>
      <c r="AA1284" s="341"/>
      <c r="AB1284" s="341"/>
      <c r="AC1284" s="341"/>
      <c r="AD1284" s="341"/>
      <c r="AE1284" s="341"/>
      <c r="AF1284" s="341"/>
    </row>
    <row r="1285" spans="1:32" ht="18.75" customHeight="1" x14ac:dyDescent="0.2">
      <c r="A1285" s="184"/>
      <c r="B1285" s="345"/>
      <c r="C1285" s="1791" t="s">
        <v>391</v>
      </c>
      <c r="D1285" s="518">
        <f t="shared" ref="D1285:P1285" ca="1" si="189">D1175-D1196</f>
        <v>2348146.1432291884</v>
      </c>
      <c r="E1285" s="518">
        <f t="shared" ca="1" si="189"/>
        <v>714148.19817375299</v>
      </c>
      <c r="F1285" s="518">
        <f t="shared" ca="1" si="189"/>
        <v>381197.09153550304</v>
      </c>
      <c r="G1285" s="518">
        <f t="shared" ca="1" si="189"/>
        <v>0</v>
      </c>
      <c r="H1285" s="518">
        <f t="shared" ca="1" si="189"/>
        <v>0</v>
      </c>
      <c r="I1285" s="518">
        <f t="shared" ca="1" si="189"/>
        <v>0</v>
      </c>
      <c r="J1285" s="518">
        <f t="shared" ca="1" si="189"/>
        <v>0</v>
      </c>
      <c r="K1285" s="518">
        <f t="shared" ca="1" si="189"/>
        <v>0</v>
      </c>
      <c r="L1285" s="518">
        <f t="shared" ca="1" si="189"/>
        <v>0</v>
      </c>
      <c r="M1285" s="518">
        <f t="shared" ca="1" si="189"/>
        <v>0</v>
      </c>
      <c r="N1285" s="518">
        <f t="shared" ca="1" si="189"/>
        <v>0</v>
      </c>
      <c r="O1285" s="518">
        <f t="shared" ca="1" si="189"/>
        <v>0</v>
      </c>
      <c r="P1285" s="518">
        <f t="shared" ca="1" si="189"/>
        <v>0</v>
      </c>
      <c r="Q1285" s="1788">
        <f t="shared" ref="Q1285:Q1290" ca="1" si="190">SUM(D1285:M1285)</f>
        <v>3443491.4329384444</v>
      </c>
      <c r="R1285" s="518"/>
      <c r="S1285" s="892"/>
      <c r="T1285" s="341"/>
      <c r="U1285" s="341"/>
      <c r="V1285" s="341"/>
      <c r="W1285" s="341"/>
      <c r="X1285" s="341"/>
      <c r="Y1285" s="341"/>
      <c r="Z1285" s="341"/>
      <c r="AA1285" s="341"/>
      <c r="AB1285" s="341"/>
      <c r="AC1285" s="341"/>
      <c r="AD1285" s="341"/>
      <c r="AE1285" s="341"/>
      <c r="AF1285" s="341"/>
    </row>
    <row r="1286" spans="1:32" ht="18.75" customHeight="1" x14ac:dyDescent="0.2">
      <c r="A1286" s="184"/>
      <c r="B1286" s="345"/>
      <c r="C1286" s="1792" t="s">
        <v>1163</v>
      </c>
      <c r="D1286" s="518">
        <f ca="1">(HydroRefineryCalcs!$D$1153+HydroRefineryCalcs!$D$1154)*D1285</f>
        <v>23206.629415523021</v>
      </c>
      <c r="E1286" s="518">
        <f ca="1">(HydroRefineryCalcs!$D$1153+HydroRefineryCalcs!$D$1154)*E1285</f>
        <v>7057.8965583421914</v>
      </c>
      <c r="F1286" s="518">
        <f ca="1">(HydroRefineryCalcs!$D$1153+HydroRefineryCalcs!$D$1154)*F1285</f>
        <v>3767.354797335624</v>
      </c>
      <c r="G1286" s="518">
        <f ca="1">(HydroRefineryCalcs!$D$1153+HydroRefineryCalcs!$D$1154)*G1285</f>
        <v>0</v>
      </c>
      <c r="H1286" s="518">
        <f ca="1">(HydroRefineryCalcs!$D$1153+HydroRefineryCalcs!$D$1154)*H1285</f>
        <v>0</v>
      </c>
      <c r="I1286" s="518">
        <f ca="1">(HydroRefineryCalcs!$D$1153+HydroRefineryCalcs!$D$1154)*I1285</f>
        <v>0</v>
      </c>
      <c r="J1286" s="518">
        <f ca="1">(HydroRefineryCalcs!$D$1153+HydroRefineryCalcs!$D$1154)*J1285</f>
        <v>0</v>
      </c>
      <c r="K1286" s="518">
        <f ca="1">(HydroRefineryCalcs!$D$1153+HydroRefineryCalcs!$D$1154)*K1285</f>
        <v>0</v>
      </c>
      <c r="L1286" s="518">
        <f ca="1">(HydroRefineryCalcs!$D$1153+HydroRefineryCalcs!$D$1154)*L1285</f>
        <v>0</v>
      </c>
      <c r="M1286" s="518">
        <f ca="1">(HydroRefineryCalcs!$D$1153+HydroRefineryCalcs!$D$1154)*M1285</f>
        <v>0</v>
      </c>
      <c r="N1286" s="518">
        <f ca="1">(HydroRefineryCalcs!$D$1153+HydroRefineryCalcs!$D$1154)*N1285</f>
        <v>0</v>
      </c>
      <c r="O1286" s="518">
        <f ca="1">(HydroRefineryCalcs!$D$1153+HydroRefineryCalcs!$D$1154)*O1285</f>
        <v>0</v>
      </c>
      <c r="P1286" s="518">
        <f ca="1">(HydroRefineryCalcs!$D$1153+HydroRefineryCalcs!$D$1154)*P1285</f>
        <v>0</v>
      </c>
      <c r="Q1286" s="1788">
        <f t="shared" ca="1" si="190"/>
        <v>34031.880771200835</v>
      </c>
      <c r="R1286" s="518"/>
      <c r="S1286" s="892"/>
      <c r="T1286" s="341"/>
      <c r="U1286" s="341"/>
      <c r="V1286" s="341"/>
      <c r="W1286" s="341"/>
      <c r="X1286" s="341"/>
      <c r="Y1286" s="341"/>
      <c r="Z1286" s="341"/>
      <c r="AA1286" s="341"/>
      <c r="AB1286" s="341"/>
      <c r="AC1286" s="341"/>
      <c r="AD1286" s="341"/>
      <c r="AE1286" s="341"/>
      <c r="AF1286" s="341"/>
    </row>
    <row r="1287" spans="1:32" ht="18.75" customHeight="1" x14ac:dyDescent="0.2">
      <c r="A1287" s="341"/>
      <c r="B1287" s="912"/>
      <c r="C1287" s="1792" t="s">
        <v>1052</v>
      </c>
      <c r="D1287" s="518">
        <f ca="1">CokingRefineryCalcs!$D$1087*D1285</f>
        <v>0</v>
      </c>
      <c r="E1287" s="518">
        <f ca="1">CokingRefineryCalcs!$D$1087*E1285</f>
        <v>0</v>
      </c>
      <c r="F1287" s="518">
        <f ca="1">CokingRefineryCalcs!$D$1087*F1285</f>
        <v>0</v>
      </c>
      <c r="G1287" s="518">
        <f ca="1">CokingRefineryCalcs!$D$1087*G1285</f>
        <v>0</v>
      </c>
      <c r="H1287" s="518">
        <f ca="1">CokingRefineryCalcs!$D$1087*H1285</f>
        <v>0</v>
      </c>
      <c r="I1287" s="518">
        <f ca="1">CokingRefineryCalcs!$D$1087*I1285</f>
        <v>0</v>
      </c>
      <c r="J1287" s="518">
        <f ca="1">CokingRefineryCalcs!$D$1087*J1285</f>
        <v>0</v>
      </c>
      <c r="K1287" s="518">
        <f ca="1">CokingRefineryCalcs!$D$1087*K1285</f>
        <v>0</v>
      </c>
      <c r="L1287" s="518">
        <f ca="1">CokingRefineryCalcs!$D$1087*L1285</f>
        <v>0</v>
      </c>
      <c r="M1287" s="518">
        <f ca="1">CokingRefineryCalcs!$D$1087*M1285</f>
        <v>0</v>
      </c>
      <c r="N1287" s="518">
        <f ca="1">CokingRefineryCalcs!$D$1087*N1285</f>
        <v>0</v>
      </c>
      <c r="O1287" s="518">
        <f ca="1">CokingRefineryCalcs!$D$1087*O1285</f>
        <v>0</v>
      </c>
      <c r="P1287" s="518">
        <f ca="1">CokingRefineryCalcs!$D$1087*P1285</f>
        <v>0</v>
      </c>
      <c r="Q1287" s="1788">
        <f t="shared" ca="1" si="190"/>
        <v>0</v>
      </c>
      <c r="R1287" s="518"/>
      <c r="S1287" s="892"/>
      <c r="T1287" s="341"/>
      <c r="U1287" s="341"/>
      <c r="V1287" s="341"/>
      <c r="W1287" s="341"/>
      <c r="X1287" s="341"/>
      <c r="Y1287" s="341"/>
      <c r="Z1287" s="341"/>
      <c r="AA1287" s="341"/>
      <c r="AB1287" s="341"/>
      <c r="AC1287" s="341"/>
      <c r="AD1287" s="341"/>
      <c r="AE1287" s="341"/>
      <c r="AF1287" s="341"/>
    </row>
    <row r="1288" spans="1:32" ht="18.75" customHeight="1" x14ac:dyDescent="0.2">
      <c r="A1288" s="341"/>
      <c r="B1288" s="1824"/>
      <c r="C1288" s="1791" t="s">
        <v>971</v>
      </c>
      <c r="D1288" s="518">
        <f ca="1">IF($D$1284&lt;$Q$1287,$D$1284*D1268,D1287)</f>
        <v>0</v>
      </c>
      <c r="E1288" s="518">
        <f t="shared" ref="E1288:P1288" ca="1" si="191">IF($D$1284&lt;$Q$1287,$D$1284*E1268,E1287)</f>
        <v>0</v>
      </c>
      <c r="F1288" s="518">
        <f t="shared" ca="1" si="191"/>
        <v>0</v>
      </c>
      <c r="G1288" s="518">
        <f t="shared" ca="1" si="191"/>
        <v>0</v>
      </c>
      <c r="H1288" s="518">
        <f t="shared" ca="1" si="191"/>
        <v>0</v>
      </c>
      <c r="I1288" s="518">
        <f t="shared" ca="1" si="191"/>
        <v>0</v>
      </c>
      <c r="J1288" s="518">
        <f t="shared" ca="1" si="191"/>
        <v>0</v>
      </c>
      <c r="K1288" s="518">
        <f t="shared" ca="1" si="191"/>
        <v>0</v>
      </c>
      <c r="L1288" s="518">
        <f t="shared" ca="1" si="191"/>
        <v>0</v>
      </c>
      <c r="M1288" s="518">
        <f t="shared" ca="1" si="191"/>
        <v>0</v>
      </c>
      <c r="N1288" s="518">
        <f t="shared" ca="1" si="191"/>
        <v>0</v>
      </c>
      <c r="O1288" s="518">
        <f t="shared" ca="1" si="191"/>
        <v>0</v>
      </c>
      <c r="P1288" s="518">
        <f t="shared" ca="1" si="191"/>
        <v>0</v>
      </c>
      <c r="Q1288" s="1788">
        <f t="shared" ca="1" si="190"/>
        <v>0</v>
      </c>
      <c r="R1288" s="518"/>
      <c r="S1288" s="892"/>
      <c r="T1288" s="341"/>
      <c r="U1288" s="341"/>
      <c r="V1288" s="341"/>
      <c r="W1288" s="341"/>
      <c r="X1288" s="341"/>
      <c r="Y1288" s="341"/>
      <c r="Z1288" s="341"/>
      <c r="AA1288" s="341"/>
      <c r="AB1288" s="341"/>
      <c r="AC1288" s="341"/>
      <c r="AD1288" s="341"/>
      <c r="AE1288" s="341"/>
      <c r="AF1288" s="341"/>
    </row>
    <row r="1289" spans="1:32" ht="18.75" customHeight="1" x14ac:dyDescent="0.2">
      <c r="A1289" s="341"/>
      <c r="B1289" s="912"/>
      <c r="C1289" s="1791" t="s">
        <v>90</v>
      </c>
      <c r="D1289" s="518">
        <f t="shared" ref="D1289:M1289" ca="1" si="192">D1287-D1288</f>
        <v>0</v>
      </c>
      <c r="E1289" s="518">
        <f t="shared" ca="1" si="192"/>
        <v>0</v>
      </c>
      <c r="F1289" s="518">
        <f t="shared" ca="1" si="192"/>
        <v>0</v>
      </c>
      <c r="G1289" s="518">
        <f t="shared" ca="1" si="192"/>
        <v>0</v>
      </c>
      <c r="H1289" s="518">
        <f t="shared" ca="1" si="192"/>
        <v>0</v>
      </c>
      <c r="I1289" s="518">
        <f t="shared" ca="1" si="192"/>
        <v>0</v>
      </c>
      <c r="J1289" s="518">
        <f t="shared" ca="1" si="192"/>
        <v>0</v>
      </c>
      <c r="K1289" s="518">
        <f t="shared" ca="1" si="192"/>
        <v>0</v>
      </c>
      <c r="L1289" s="518">
        <f t="shared" ref="L1289" ca="1" si="193">L1287-L1288</f>
        <v>0</v>
      </c>
      <c r="M1289" s="518">
        <f t="shared" ca="1" si="192"/>
        <v>0</v>
      </c>
      <c r="N1289" s="518">
        <f t="shared" ref="N1289:P1289" ca="1" si="194">N1287-N1288</f>
        <v>0</v>
      </c>
      <c r="O1289" s="518">
        <f t="shared" ca="1" si="194"/>
        <v>0</v>
      </c>
      <c r="P1289" s="518">
        <f t="shared" ca="1" si="194"/>
        <v>0</v>
      </c>
      <c r="Q1289" s="1788">
        <f t="shared" ca="1" si="190"/>
        <v>0</v>
      </c>
      <c r="R1289" s="518"/>
      <c r="S1289" s="892"/>
      <c r="T1289" s="341"/>
      <c r="U1289" s="341"/>
      <c r="V1289" s="341"/>
      <c r="W1289" s="341"/>
      <c r="X1289" s="341"/>
      <c r="Y1289" s="341"/>
      <c r="Z1289" s="341"/>
      <c r="AA1289" s="341"/>
      <c r="AB1289" s="341"/>
      <c r="AC1289" s="341"/>
      <c r="AD1289" s="341"/>
      <c r="AE1289" s="341"/>
      <c r="AF1289" s="341"/>
    </row>
    <row r="1290" spans="1:32" ht="18.75" customHeight="1" x14ac:dyDescent="0.2">
      <c r="A1290" s="341"/>
      <c r="B1290" s="345"/>
      <c r="C1290" s="1792" t="s">
        <v>1030</v>
      </c>
      <c r="D1290" s="518">
        <f ca="1">CokingRefineryCalcs!$D$1085*D1285</f>
        <v>2051090.9836952158</v>
      </c>
      <c r="E1290" s="518">
        <f ca="1">CokingRefineryCalcs!$D$1085*E1285</f>
        <v>623803.98874236527</v>
      </c>
      <c r="F1290" s="518">
        <f ca="1">CokingRefineryCalcs!$D$1085*F1285</f>
        <v>332973.27754228993</v>
      </c>
      <c r="G1290" s="518">
        <f ca="1">CokingRefineryCalcs!$D$1085*G1285</f>
        <v>0</v>
      </c>
      <c r="H1290" s="518">
        <f ca="1">CokingRefineryCalcs!$D$1085*H1285</f>
        <v>0</v>
      </c>
      <c r="I1290" s="518">
        <f ca="1">CokingRefineryCalcs!$D$1085*I1285</f>
        <v>0</v>
      </c>
      <c r="J1290" s="518">
        <f ca="1">CokingRefineryCalcs!$D$1085*J1285</f>
        <v>0</v>
      </c>
      <c r="K1290" s="518">
        <f ca="1">CokingRefineryCalcs!$D$1085*K1285</f>
        <v>0</v>
      </c>
      <c r="L1290" s="518">
        <f ca="1">CokingRefineryCalcs!$D$1085*L1285</f>
        <v>0</v>
      </c>
      <c r="M1290" s="518">
        <f ca="1">CokingRefineryCalcs!$D$1085*M1285</f>
        <v>0</v>
      </c>
      <c r="N1290" s="518">
        <f ca="1">CokingRefineryCalcs!$D$1085*N1285</f>
        <v>0</v>
      </c>
      <c r="O1290" s="518">
        <f ca="1">CokingRefineryCalcs!$D$1085*O1285</f>
        <v>0</v>
      </c>
      <c r="P1290" s="518">
        <f ca="1">CokingRefineryCalcs!$D$1085*P1285</f>
        <v>0</v>
      </c>
      <c r="Q1290" s="1788">
        <f t="shared" ca="1" si="190"/>
        <v>3007868.2499798709</v>
      </c>
      <c r="R1290" s="518"/>
      <c r="S1290" s="892"/>
      <c r="T1290" s="341"/>
      <c r="U1290" s="341"/>
      <c r="V1290" s="341"/>
      <c r="W1290" s="341"/>
      <c r="X1290" s="341"/>
      <c r="Y1290" s="341"/>
      <c r="Z1290" s="341"/>
      <c r="AA1290" s="341"/>
      <c r="AB1290" s="341"/>
      <c r="AC1290" s="341"/>
      <c r="AD1290" s="341"/>
      <c r="AE1290" s="341"/>
      <c r="AF1290" s="341"/>
    </row>
    <row r="1291" spans="1:32" ht="18.75" customHeight="1" x14ac:dyDescent="0.2">
      <c r="A1291" s="341"/>
      <c r="B1291" s="345"/>
      <c r="C1291" s="1791" t="s">
        <v>971</v>
      </c>
      <c r="D1291" s="518">
        <f ca="1">IF(($D$1284-$Q$1288)&lt;$Q$1290,($D$1284-$Q$1288)*D1268,D1290)</f>
        <v>0</v>
      </c>
      <c r="E1291" s="518">
        <f t="shared" ref="E1291:Q1291" ca="1" si="195">IF(($D$1284-$Q$1288)&lt;$Q$1290,($D$1284-$Q$1288)*E1268,E1290)</f>
        <v>0</v>
      </c>
      <c r="F1291" s="518">
        <f t="shared" ca="1" si="195"/>
        <v>0</v>
      </c>
      <c r="G1291" s="518">
        <f t="shared" ca="1" si="195"/>
        <v>0</v>
      </c>
      <c r="H1291" s="518">
        <f t="shared" ca="1" si="195"/>
        <v>0</v>
      </c>
      <c r="I1291" s="518">
        <f t="shared" ca="1" si="195"/>
        <v>0</v>
      </c>
      <c r="J1291" s="518">
        <f t="shared" ca="1" si="195"/>
        <v>0</v>
      </c>
      <c r="K1291" s="518">
        <f t="shared" ca="1" si="195"/>
        <v>0</v>
      </c>
      <c r="L1291" s="518">
        <f t="shared" ca="1" si="195"/>
        <v>0</v>
      </c>
      <c r="M1291" s="518">
        <f t="shared" ca="1" si="195"/>
        <v>0</v>
      </c>
      <c r="N1291" s="518">
        <f t="shared" ca="1" si="195"/>
        <v>0</v>
      </c>
      <c r="O1291" s="518">
        <f t="shared" ca="1" si="195"/>
        <v>0</v>
      </c>
      <c r="P1291" s="518">
        <f t="shared" ca="1" si="195"/>
        <v>0</v>
      </c>
      <c r="Q1291" s="518">
        <f t="shared" ca="1" si="195"/>
        <v>0</v>
      </c>
      <c r="R1291" s="518"/>
      <c r="S1291" s="892"/>
      <c r="T1291" s="341"/>
      <c r="U1291" s="341"/>
      <c r="V1291" s="341"/>
      <c r="W1291" s="341"/>
      <c r="X1291" s="341"/>
      <c r="Y1291" s="341"/>
      <c r="Z1291" s="341"/>
      <c r="AA1291" s="341"/>
      <c r="AB1291" s="341"/>
      <c r="AC1291" s="341"/>
      <c r="AD1291" s="341"/>
      <c r="AE1291" s="341"/>
      <c r="AF1291" s="341"/>
    </row>
    <row r="1292" spans="1:32" ht="18.75" customHeight="1" x14ac:dyDescent="0.2">
      <c r="A1292" s="341"/>
      <c r="B1292" s="345"/>
      <c r="C1292" s="1791" t="s">
        <v>90</v>
      </c>
      <c r="D1292" s="518">
        <f t="shared" ref="D1292:M1292" ca="1" si="196">D1290-D1291</f>
        <v>2051090.9836952158</v>
      </c>
      <c r="E1292" s="518">
        <f t="shared" ca="1" si="196"/>
        <v>623803.98874236527</v>
      </c>
      <c r="F1292" s="518">
        <f t="shared" ca="1" si="196"/>
        <v>332973.27754228993</v>
      </c>
      <c r="G1292" s="518">
        <f t="shared" ca="1" si="196"/>
        <v>0</v>
      </c>
      <c r="H1292" s="518">
        <f t="shared" ca="1" si="196"/>
        <v>0</v>
      </c>
      <c r="I1292" s="518">
        <f t="shared" ca="1" si="196"/>
        <v>0</v>
      </c>
      <c r="J1292" s="518">
        <f t="shared" ca="1" si="196"/>
        <v>0</v>
      </c>
      <c r="K1292" s="518">
        <f t="shared" ca="1" si="196"/>
        <v>0</v>
      </c>
      <c r="L1292" s="518">
        <f t="shared" ref="L1292" ca="1" si="197">L1290-L1291</f>
        <v>0</v>
      </c>
      <c r="M1292" s="518">
        <f t="shared" ca="1" si="196"/>
        <v>0</v>
      </c>
      <c r="N1292" s="518">
        <f t="shared" ref="N1292:P1292" ca="1" si="198">N1290-N1291</f>
        <v>0</v>
      </c>
      <c r="O1292" s="518">
        <f t="shared" ca="1" si="198"/>
        <v>0</v>
      </c>
      <c r="P1292" s="518">
        <f t="shared" ca="1" si="198"/>
        <v>0</v>
      </c>
      <c r="Q1292" s="1788"/>
      <c r="R1292" s="518"/>
      <c r="S1292" s="892"/>
      <c r="T1292" s="341"/>
      <c r="U1292" s="341"/>
      <c r="V1292" s="341"/>
      <c r="W1292" s="341"/>
      <c r="X1292" s="341"/>
      <c r="Y1292" s="341"/>
      <c r="Z1292" s="341"/>
      <c r="AA1292" s="341"/>
      <c r="AB1292" s="341"/>
      <c r="AC1292" s="341"/>
      <c r="AD1292" s="341"/>
      <c r="AE1292" s="341"/>
      <c r="AF1292" s="341"/>
    </row>
    <row r="1293" spans="1:32" ht="18.75" customHeight="1" x14ac:dyDescent="0.2">
      <c r="A1293" s="341"/>
      <c r="B1293" s="345"/>
      <c r="C1293" s="1792" t="s">
        <v>1031</v>
      </c>
      <c r="D1293" s="518">
        <f ca="1">CokingRefineryCalcs!$D$1084*D1285</f>
        <v>1817028.2832516909</v>
      </c>
      <c r="E1293" s="518">
        <f ca="1">CokingRefineryCalcs!$D$1084*E1285</f>
        <v>552617.85057825898</v>
      </c>
      <c r="F1293" s="518">
        <f ca="1">CokingRefineryCalcs!$D$1084*F1285</f>
        <v>294975.63378264051</v>
      </c>
      <c r="G1293" s="518">
        <f ca="1">CokingRefineryCalcs!$D$1084*G1285</f>
        <v>0</v>
      </c>
      <c r="H1293" s="518">
        <f ca="1">CokingRefineryCalcs!$D$1084*H1285</f>
        <v>0</v>
      </c>
      <c r="I1293" s="518">
        <f ca="1">CokingRefineryCalcs!$D$1084*I1285</f>
        <v>0</v>
      </c>
      <c r="J1293" s="518">
        <f ca="1">CokingRefineryCalcs!$D$1084*J1285</f>
        <v>0</v>
      </c>
      <c r="K1293" s="518">
        <f ca="1">CokingRefineryCalcs!$D$1084*K1285</f>
        <v>0</v>
      </c>
      <c r="L1293" s="518">
        <f ca="1">CokingRefineryCalcs!$D$1084*L1285</f>
        <v>0</v>
      </c>
      <c r="M1293" s="518">
        <f ca="1">CokingRefineryCalcs!$D$1084*M1285</f>
        <v>0</v>
      </c>
      <c r="N1293" s="518">
        <f ca="1">CokingRefineryCalcs!$D$1084*N1285</f>
        <v>0</v>
      </c>
      <c r="O1293" s="518">
        <f ca="1">CokingRefineryCalcs!$D$1084*O1285</f>
        <v>0</v>
      </c>
      <c r="P1293" s="518">
        <f ca="1">CokingRefineryCalcs!$D$1084*P1285</f>
        <v>0</v>
      </c>
      <c r="Q1293" s="1788">
        <f ca="1">SUM(D1293:M1293)</f>
        <v>2664621.7676125905</v>
      </c>
      <c r="R1293" s="518"/>
      <c r="S1293" s="892"/>
      <c r="T1293" s="341"/>
      <c r="U1293" s="341"/>
      <c r="V1293" s="341"/>
      <c r="W1293" s="341"/>
      <c r="X1293" s="341"/>
      <c r="Y1293" s="341"/>
      <c r="Z1293" s="341"/>
      <c r="AA1293" s="341"/>
      <c r="AB1293" s="341"/>
      <c r="AC1293" s="341"/>
      <c r="AD1293" s="341"/>
      <c r="AE1293" s="341"/>
      <c r="AF1293" s="341"/>
    </row>
    <row r="1294" spans="1:32" ht="18.75" customHeight="1" x14ac:dyDescent="0.2">
      <c r="A1294" s="341"/>
      <c r="B1294" s="345"/>
      <c r="C1294" s="1791" t="s">
        <v>971</v>
      </c>
      <c r="D1294" s="518">
        <f ca="1">IF(($D$1284-$Q$1288-$Q$1291)&lt;$Q$1293,($D$1284-$Q$1288-$Q$1291)*D1268,D1293)</f>
        <v>0</v>
      </c>
      <c r="E1294" s="518">
        <f t="shared" ref="E1294:P1294" ca="1" si="199">IF(($D$1284-$Q$1288-$Q$1291)&lt;$Q$1293,($D$1284-$Q$1288-$Q$1291)*E1268,E1293)</f>
        <v>0</v>
      </c>
      <c r="F1294" s="518">
        <f t="shared" ca="1" si="199"/>
        <v>0</v>
      </c>
      <c r="G1294" s="518">
        <f t="shared" ca="1" si="199"/>
        <v>0</v>
      </c>
      <c r="H1294" s="518">
        <f t="shared" ca="1" si="199"/>
        <v>0</v>
      </c>
      <c r="I1294" s="518">
        <f t="shared" ca="1" si="199"/>
        <v>0</v>
      </c>
      <c r="J1294" s="518">
        <f t="shared" ca="1" si="199"/>
        <v>0</v>
      </c>
      <c r="K1294" s="518">
        <f t="shared" ca="1" si="199"/>
        <v>0</v>
      </c>
      <c r="L1294" s="518">
        <f t="shared" ca="1" si="199"/>
        <v>0</v>
      </c>
      <c r="M1294" s="518">
        <f t="shared" ca="1" si="199"/>
        <v>0</v>
      </c>
      <c r="N1294" s="518">
        <f t="shared" ca="1" si="199"/>
        <v>0</v>
      </c>
      <c r="O1294" s="518">
        <f t="shared" ca="1" si="199"/>
        <v>0</v>
      </c>
      <c r="P1294" s="518">
        <f t="shared" ca="1" si="199"/>
        <v>0</v>
      </c>
      <c r="Q1294" s="1788">
        <f ca="1">SUM(D1294:M1294)</f>
        <v>0</v>
      </c>
      <c r="R1294" s="518"/>
      <c r="S1294" s="892"/>
      <c r="T1294" s="341"/>
      <c r="U1294" s="341"/>
      <c r="V1294" s="341"/>
      <c r="W1294" s="341"/>
      <c r="X1294" s="341"/>
      <c r="Y1294" s="341"/>
      <c r="Z1294" s="341"/>
      <c r="AA1294" s="341"/>
      <c r="AB1294" s="341"/>
      <c r="AC1294" s="341"/>
      <c r="AD1294" s="341"/>
      <c r="AE1294" s="341"/>
      <c r="AF1294" s="341"/>
    </row>
    <row r="1295" spans="1:32" ht="18.75" customHeight="1" x14ac:dyDescent="0.2">
      <c r="A1295" s="341"/>
      <c r="B1295" s="345"/>
      <c r="C1295" s="1791" t="s">
        <v>90</v>
      </c>
      <c r="D1295" s="518">
        <f t="shared" ref="D1295:M1295" ca="1" si="200">D1293-D1294</f>
        <v>1817028.2832516909</v>
      </c>
      <c r="E1295" s="518">
        <f t="shared" ca="1" si="200"/>
        <v>552617.85057825898</v>
      </c>
      <c r="F1295" s="518">
        <f t="shared" ca="1" si="200"/>
        <v>294975.63378264051</v>
      </c>
      <c r="G1295" s="518">
        <f t="shared" ca="1" si="200"/>
        <v>0</v>
      </c>
      <c r="H1295" s="518">
        <f t="shared" ca="1" si="200"/>
        <v>0</v>
      </c>
      <c r="I1295" s="518">
        <f t="shared" ca="1" si="200"/>
        <v>0</v>
      </c>
      <c r="J1295" s="518">
        <f t="shared" ca="1" si="200"/>
        <v>0</v>
      </c>
      <c r="K1295" s="518">
        <f t="shared" ca="1" si="200"/>
        <v>0</v>
      </c>
      <c r="L1295" s="518">
        <f t="shared" ref="L1295" ca="1" si="201">L1293-L1294</f>
        <v>0</v>
      </c>
      <c r="M1295" s="518">
        <f t="shared" ca="1" si="200"/>
        <v>0</v>
      </c>
      <c r="N1295" s="518">
        <f t="shared" ref="N1295:P1295" ca="1" si="202">N1293-N1294</f>
        <v>0</v>
      </c>
      <c r="O1295" s="518">
        <f t="shared" ca="1" si="202"/>
        <v>0</v>
      </c>
      <c r="P1295" s="518">
        <f t="shared" ca="1" si="202"/>
        <v>0</v>
      </c>
      <c r="Q1295" s="1788">
        <f ca="1">SUM(D1295:M1295)</f>
        <v>2664621.7676125905</v>
      </c>
      <c r="R1295" s="518"/>
      <c r="S1295" s="892"/>
      <c r="T1295" s="341"/>
      <c r="U1295" s="341"/>
      <c r="V1295" s="341"/>
      <c r="W1295" s="341"/>
      <c r="X1295" s="341"/>
      <c r="Y1295" s="341"/>
      <c r="Z1295" s="341"/>
      <c r="AA1295" s="341"/>
      <c r="AB1295" s="341"/>
      <c r="AC1295" s="341"/>
      <c r="AD1295" s="341"/>
      <c r="AE1295" s="341"/>
      <c r="AF1295" s="341"/>
    </row>
    <row r="1296" spans="1:32" ht="18.75" customHeight="1" x14ac:dyDescent="0.2">
      <c r="A1296" s="341"/>
      <c r="B1296" s="345"/>
      <c r="C1296" s="1791" t="s">
        <v>976</v>
      </c>
      <c r="D1296" s="518">
        <f ca="1">IF((D1274-Q1275-Q1281-Q1288-Q1291-Q1294)&lt;0,0,(D1274-Q1275-Q1281-Q1288-Q1291-Q1294))</f>
        <v>0</v>
      </c>
      <c r="E1296" s="518"/>
      <c r="F1296" s="518"/>
      <c r="G1296" s="518"/>
      <c r="H1296" s="518"/>
      <c r="I1296" s="518"/>
      <c r="J1296" s="518"/>
      <c r="K1296" s="518"/>
      <c r="L1296" s="518"/>
      <c r="M1296" s="518"/>
      <c r="N1296" s="518"/>
      <c r="O1296" s="518"/>
      <c r="P1296" s="518"/>
      <c r="Q1296" s="1788"/>
      <c r="R1296" s="518"/>
      <c r="S1296" s="892"/>
      <c r="T1296" s="341"/>
      <c r="U1296" s="341"/>
      <c r="V1296" s="341"/>
      <c r="W1296" s="341"/>
      <c r="X1296" s="341"/>
      <c r="Y1296" s="341"/>
      <c r="Z1296" s="341"/>
      <c r="AA1296" s="341"/>
      <c r="AB1296" s="341"/>
      <c r="AC1296" s="341"/>
      <c r="AD1296" s="341"/>
      <c r="AE1296" s="341"/>
      <c r="AF1296" s="341"/>
    </row>
    <row r="1297" spans="1:32" ht="18.75" customHeight="1" x14ac:dyDescent="0.2">
      <c r="A1297" s="341"/>
      <c r="B1297" s="345"/>
      <c r="C1297" s="1793" t="s">
        <v>982</v>
      </c>
      <c r="D1297" s="1789">
        <f t="shared" ref="D1297:Q1297" ca="1" si="203">$D$1296*D1186</f>
        <v>0</v>
      </c>
      <c r="E1297" s="1789">
        <f t="shared" ca="1" si="203"/>
        <v>0</v>
      </c>
      <c r="F1297" s="1789">
        <f t="shared" ca="1" si="203"/>
        <v>0</v>
      </c>
      <c r="G1297" s="1789">
        <f t="shared" ca="1" si="203"/>
        <v>0</v>
      </c>
      <c r="H1297" s="1789">
        <f t="shared" ca="1" si="203"/>
        <v>0</v>
      </c>
      <c r="I1297" s="1789">
        <f t="shared" ca="1" si="203"/>
        <v>0</v>
      </c>
      <c r="J1297" s="1789">
        <f t="shared" ca="1" si="203"/>
        <v>0</v>
      </c>
      <c r="K1297" s="1789">
        <f t="shared" ca="1" si="203"/>
        <v>0</v>
      </c>
      <c r="L1297" s="1789">
        <f t="shared" ca="1" si="203"/>
        <v>0</v>
      </c>
      <c r="M1297" s="1789">
        <f t="shared" ca="1" si="203"/>
        <v>0</v>
      </c>
      <c r="N1297" s="1789">
        <f t="shared" ca="1" si="203"/>
        <v>0</v>
      </c>
      <c r="O1297" s="1789">
        <f t="shared" ca="1" si="203"/>
        <v>0</v>
      </c>
      <c r="P1297" s="1789">
        <f t="shared" ca="1" si="203"/>
        <v>0</v>
      </c>
      <c r="Q1297" s="1790">
        <f t="shared" ca="1" si="203"/>
        <v>0</v>
      </c>
      <c r="R1297" s="518"/>
      <c r="S1297" s="892"/>
      <c r="T1297" s="341"/>
      <c r="U1297" s="341"/>
      <c r="V1297" s="341"/>
      <c r="W1297" s="341"/>
      <c r="X1297" s="341"/>
      <c r="Y1297" s="341"/>
      <c r="Z1297" s="341"/>
      <c r="AA1297" s="341"/>
      <c r="AB1297" s="341"/>
      <c r="AC1297" s="341"/>
      <c r="AD1297" s="341"/>
      <c r="AE1297" s="341"/>
      <c r="AF1297" s="341"/>
    </row>
    <row r="1298" spans="1:32" ht="18.75" customHeight="1" x14ac:dyDescent="0.2">
      <c r="A1298" s="341"/>
      <c r="B1298" s="345"/>
      <c r="C1298" s="519"/>
      <c r="D1298" s="518"/>
      <c r="E1298" s="518"/>
      <c r="F1298" s="518"/>
      <c r="G1298" s="518"/>
      <c r="H1298" s="518"/>
      <c r="I1298" s="518"/>
      <c r="J1298" s="518"/>
      <c r="K1298" s="518"/>
      <c r="L1298" s="518"/>
      <c r="M1298" s="518"/>
      <c r="N1298" s="518"/>
      <c r="O1298" s="518"/>
      <c r="P1298" s="518"/>
      <c r="Q1298" s="518"/>
      <c r="R1298" s="518"/>
      <c r="S1298" s="892"/>
      <c r="T1298" s="341"/>
      <c r="U1298" s="341"/>
      <c r="V1298" s="341"/>
      <c r="W1298" s="341"/>
      <c r="X1298" s="341"/>
      <c r="Y1298" s="341"/>
      <c r="Z1298" s="341"/>
      <c r="AA1298" s="341"/>
      <c r="AB1298" s="341"/>
      <c r="AC1298" s="341"/>
      <c r="AD1298" s="341"/>
      <c r="AE1298" s="341"/>
      <c r="AF1298" s="341"/>
    </row>
    <row r="1299" spans="1:32" ht="18.75" customHeight="1" x14ac:dyDescent="0.2">
      <c r="A1299" s="341"/>
      <c r="B1299" s="345"/>
      <c r="C1299" s="438" t="s">
        <v>1757</v>
      </c>
      <c r="D1299" s="438"/>
      <c r="E1299" s="438"/>
      <c r="F1299" s="518"/>
      <c r="G1299" s="518"/>
      <c r="H1299" s="518"/>
      <c r="I1299" s="518"/>
      <c r="J1299" s="518"/>
      <c r="K1299" s="518"/>
      <c r="L1299" s="518"/>
      <c r="M1299" s="518"/>
      <c r="N1299" s="518"/>
      <c r="O1299" s="518"/>
      <c r="P1299" s="518"/>
      <c r="Q1299" s="518"/>
      <c r="R1299" s="518"/>
      <c r="S1299" s="892"/>
      <c r="T1299" s="341"/>
      <c r="U1299" s="341"/>
      <c r="V1299" s="341"/>
      <c r="W1299" s="341"/>
      <c r="X1299" s="341"/>
      <c r="Y1299" s="341"/>
      <c r="Z1299" s="341"/>
      <c r="AA1299" s="341"/>
      <c r="AB1299" s="341"/>
      <c r="AC1299" s="341"/>
      <c r="AD1299" s="341"/>
      <c r="AE1299" s="341"/>
      <c r="AF1299" s="341"/>
    </row>
    <row r="1300" spans="1:32" ht="18.75" customHeight="1" x14ac:dyDescent="0.2">
      <c r="A1300" s="341"/>
      <c r="B1300" s="345"/>
      <c r="C1300" s="519"/>
      <c r="D1300" s="518"/>
      <c r="E1300" s="518"/>
      <c r="F1300" s="518"/>
      <c r="G1300" s="518"/>
      <c r="H1300" s="518"/>
      <c r="I1300" s="518"/>
      <c r="J1300" s="518"/>
      <c r="K1300" s="518"/>
      <c r="L1300" s="518"/>
      <c r="M1300" s="518"/>
      <c r="N1300" s="518"/>
      <c r="O1300" s="518"/>
      <c r="P1300" s="518"/>
      <c r="Q1300" s="518"/>
      <c r="R1300" s="518"/>
      <c r="S1300" s="892"/>
      <c r="T1300" s="341"/>
      <c r="U1300" s="341"/>
      <c r="V1300" s="341"/>
      <c r="W1300" s="341"/>
      <c r="X1300" s="341"/>
      <c r="Y1300" s="341"/>
      <c r="Z1300" s="341"/>
      <c r="AA1300" s="341"/>
      <c r="AB1300" s="341"/>
      <c r="AC1300" s="341"/>
      <c r="AD1300" s="341"/>
      <c r="AE1300" s="341"/>
      <c r="AF1300" s="341"/>
    </row>
    <row r="1301" spans="1:32" ht="18.75" customHeight="1" x14ac:dyDescent="0.2">
      <c r="A1301" s="341"/>
      <c r="B1301" s="345"/>
      <c r="C1301" s="440" t="s">
        <v>1405</v>
      </c>
      <c r="D1301" s="518"/>
      <c r="E1301" s="518"/>
      <c r="F1301" s="518"/>
      <c r="G1301" s="518"/>
      <c r="H1301" s="518"/>
      <c r="I1301" s="518"/>
      <c r="J1301" s="518"/>
      <c r="K1301" s="518"/>
      <c r="L1301" s="518"/>
      <c r="M1301" s="518"/>
      <c r="N1301" s="518"/>
      <c r="O1301" s="518"/>
      <c r="P1301" s="518"/>
      <c r="Q1301" s="518"/>
      <c r="R1301" s="518"/>
      <c r="S1301" s="892"/>
      <c r="T1301" s="341"/>
      <c r="U1301" s="341"/>
      <c r="V1301" s="341"/>
      <c r="W1301" s="341"/>
      <c r="X1301" s="341"/>
      <c r="Y1301" s="341"/>
      <c r="Z1301" s="341"/>
      <c r="AA1301" s="341"/>
      <c r="AB1301" s="341"/>
      <c r="AC1301" s="341"/>
      <c r="AD1301" s="341"/>
      <c r="AE1301" s="341"/>
      <c r="AF1301" s="341"/>
    </row>
    <row r="1302" spans="1:32" ht="18.75" customHeight="1" x14ac:dyDescent="0.2">
      <c r="A1302" s="341"/>
      <c r="B1302" s="345"/>
      <c r="C1302" s="1794" t="s">
        <v>160</v>
      </c>
      <c r="D1302" s="1795"/>
      <c r="E1302" s="1795"/>
      <c r="F1302" s="1795"/>
      <c r="G1302" s="1795"/>
      <c r="H1302" s="1795"/>
      <c r="I1302" s="1795"/>
      <c r="J1302" s="1795"/>
      <c r="K1302" s="1795"/>
      <c r="L1302" s="1795"/>
      <c r="M1302" s="1795"/>
      <c r="N1302" s="1795"/>
      <c r="O1302" s="1795"/>
      <c r="P1302" s="1795"/>
      <c r="Q1302" s="1796"/>
      <c r="R1302" s="518"/>
      <c r="S1302" s="892"/>
      <c r="T1302" s="341"/>
      <c r="U1302" s="341"/>
      <c r="V1302" s="341"/>
      <c r="W1302" s="341"/>
      <c r="X1302" s="341"/>
      <c r="Y1302" s="341"/>
      <c r="Z1302" s="341"/>
      <c r="AA1302" s="341"/>
      <c r="AB1302" s="341"/>
      <c r="AC1302" s="341"/>
      <c r="AD1302" s="341"/>
      <c r="AE1302" s="341"/>
      <c r="AF1302" s="341"/>
    </row>
    <row r="1303" spans="1:32" ht="18.75" customHeight="1" x14ac:dyDescent="0.2">
      <c r="A1303" s="341"/>
      <c r="B1303" s="345"/>
      <c r="C1303" s="1792" t="str">
        <f t="shared" ref="C1303:P1303" si="204">C1170</f>
        <v>Crude</v>
      </c>
      <c r="D1303" s="518">
        <f t="shared" ca="1" si="204"/>
        <v>215180180.95489407</v>
      </c>
      <c r="E1303" s="518">
        <f t="shared" ca="1" si="204"/>
        <v>232380340.50842014</v>
      </c>
      <c r="F1303" s="518">
        <f t="shared" ca="1" si="204"/>
        <v>111050855.87309842</v>
      </c>
      <c r="G1303" s="518">
        <f t="shared" ca="1" si="204"/>
        <v>0</v>
      </c>
      <c r="H1303" s="518">
        <f t="shared" ca="1" si="204"/>
        <v>0</v>
      </c>
      <c r="I1303" s="518">
        <f t="shared" ca="1" si="204"/>
        <v>0</v>
      </c>
      <c r="J1303" s="518">
        <f t="shared" ca="1" si="204"/>
        <v>0</v>
      </c>
      <c r="K1303" s="518">
        <f t="shared" ca="1" si="204"/>
        <v>0</v>
      </c>
      <c r="L1303" s="518">
        <f t="shared" ca="1" si="204"/>
        <v>0</v>
      </c>
      <c r="M1303" s="518">
        <f t="shared" ca="1" si="204"/>
        <v>0</v>
      </c>
      <c r="N1303" s="518">
        <f t="shared" ca="1" si="204"/>
        <v>0</v>
      </c>
      <c r="O1303" s="518">
        <f t="shared" ca="1" si="204"/>
        <v>0</v>
      </c>
      <c r="P1303" s="518">
        <f t="shared" ca="1" si="204"/>
        <v>0</v>
      </c>
      <c r="Q1303" s="1788">
        <f ca="1">SUM(D1303:P1303)</f>
        <v>558611377.33641255</v>
      </c>
      <c r="R1303" s="518"/>
      <c r="S1303" s="892"/>
      <c r="T1303" s="341"/>
      <c r="U1303" s="341"/>
      <c r="V1303" s="341"/>
      <c r="W1303" s="341"/>
      <c r="X1303" s="341"/>
      <c r="Y1303" s="341"/>
      <c r="Z1303" s="341"/>
      <c r="AA1303" s="341"/>
      <c r="AB1303" s="341"/>
      <c r="AC1303" s="341"/>
      <c r="AD1303" s="341"/>
      <c r="AE1303" s="341"/>
      <c r="AF1303" s="341"/>
    </row>
    <row r="1304" spans="1:32" ht="18.75" customHeight="1" x14ac:dyDescent="0.2">
      <c r="A1304" s="341"/>
      <c r="B1304" s="345"/>
      <c r="C1304" s="1807" t="s">
        <v>201</v>
      </c>
      <c r="D1304" s="1774"/>
      <c r="E1304" s="1774"/>
      <c r="F1304" s="1774"/>
      <c r="G1304" s="1774"/>
      <c r="H1304" s="1774"/>
      <c r="I1304" s="1774"/>
      <c r="J1304" s="1774"/>
      <c r="K1304" s="1774"/>
      <c r="L1304" s="1774"/>
      <c r="M1304" s="1774"/>
      <c r="N1304" s="1774"/>
      <c r="O1304" s="1774"/>
      <c r="P1304" s="1774"/>
      <c r="Q1304" s="1809"/>
      <c r="R1304" s="518"/>
      <c r="S1304" s="892"/>
      <c r="T1304" s="341"/>
      <c r="U1304" s="341"/>
      <c r="V1304" s="341"/>
      <c r="W1304" s="341"/>
      <c r="X1304" s="341"/>
      <c r="Y1304" s="341"/>
      <c r="Z1304" s="341"/>
      <c r="AA1304" s="341"/>
      <c r="AB1304" s="341"/>
      <c r="AC1304" s="341"/>
      <c r="AD1304" s="341"/>
      <c r="AE1304" s="341"/>
      <c r="AF1304" s="341"/>
    </row>
    <row r="1305" spans="1:32" ht="18.75" customHeight="1" x14ac:dyDescent="0.2">
      <c r="A1305" s="341"/>
      <c r="B1305" s="345"/>
      <c r="C1305" s="1792" t="s">
        <v>392</v>
      </c>
      <c r="D1305" s="518">
        <f t="shared" ref="D1305:J1305" ca="1" si="205">D1172</f>
        <v>606749.01688042691</v>
      </c>
      <c r="E1305" s="518">
        <f t="shared" ca="1" si="205"/>
        <v>317306.6027964176</v>
      </c>
      <c r="F1305" s="518">
        <f t="shared" ca="1" si="205"/>
        <v>144280.28818769535</v>
      </c>
      <c r="G1305" s="518">
        <f t="shared" ca="1" si="205"/>
        <v>0</v>
      </c>
      <c r="H1305" s="518">
        <f t="shared" ca="1" si="205"/>
        <v>0</v>
      </c>
      <c r="I1305" s="518">
        <f t="shared" ca="1" si="205"/>
        <v>0</v>
      </c>
      <c r="J1305" s="518">
        <f t="shared" ca="1" si="205"/>
        <v>0</v>
      </c>
      <c r="K1305" s="518"/>
      <c r="L1305" s="518">
        <f ca="1">L1172</f>
        <v>0</v>
      </c>
      <c r="M1305" s="518">
        <f ca="1">M1172</f>
        <v>0</v>
      </c>
      <c r="N1305" s="518">
        <f ca="1">N1172</f>
        <v>0</v>
      </c>
      <c r="O1305" s="518">
        <f ca="1">O1172</f>
        <v>0</v>
      </c>
      <c r="P1305" s="518">
        <f ca="1">P1172</f>
        <v>0</v>
      </c>
      <c r="Q1305" s="1788">
        <f ca="1">SUM(D1305:P1305)</f>
        <v>1068335.9078645399</v>
      </c>
      <c r="R1305" s="518"/>
      <c r="S1305" s="892"/>
      <c r="T1305" s="341"/>
      <c r="U1305" s="341"/>
      <c r="V1305" s="341"/>
      <c r="W1305" s="341"/>
      <c r="X1305" s="341"/>
      <c r="Y1305" s="341"/>
      <c r="Z1305" s="341"/>
      <c r="AA1305" s="341"/>
      <c r="AB1305" s="341"/>
      <c r="AC1305" s="341"/>
      <c r="AD1305" s="341"/>
      <c r="AE1305" s="341"/>
      <c r="AF1305" s="341"/>
    </row>
    <row r="1306" spans="1:32" ht="18.75" customHeight="1" x14ac:dyDescent="0.2">
      <c r="A1306" s="341"/>
      <c r="B1306" s="345"/>
      <c r="C1306" s="1792" t="s">
        <v>1023</v>
      </c>
      <c r="D1306" s="518"/>
      <c r="E1306" s="518"/>
      <c r="F1306" s="518"/>
      <c r="G1306" s="518"/>
      <c r="H1306" s="518"/>
      <c r="I1306" s="518"/>
      <c r="J1306" s="518"/>
      <c r="K1306" s="518"/>
      <c r="L1306" s="518"/>
      <c r="M1306" s="518"/>
      <c r="N1306" s="518"/>
      <c r="O1306" s="518"/>
      <c r="P1306" s="518"/>
      <c r="Q1306" s="1788"/>
      <c r="R1306" s="518"/>
      <c r="S1306" s="892"/>
      <c r="T1306" s="341"/>
      <c r="U1306" s="341"/>
      <c r="V1306" s="341"/>
      <c r="W1306" s="341"/>
      <c r="X1306" s="341"/>
      <c r="Y1306" s="341"/>
      <c r="Z1306" s="341"/>
      <c r="AA1306" s="341"/>
      <c r="AB1306" s="341"/>
      <c r="AC1306" s="341"/>
      <c r="AD1306" s="341"/>
      <c r="AE1306" s="341"/>
      <c r="AF1306" s="341"/>
    </row>
    <row r="1307" spans="1:32" ht="18.75" customHeight="1" x14ac:dyDescent="0.2">
      <c r="A1307" s="341"/>
      <c r="B1307" s="345"/>
      <c r="C1307" s="1792" t="s">
        <v>971</v>
      </c>
      <c r="D1307" s="518">
        <f t="shared" ref="D1307:M1307" ca="1" si="206">D1276</f>
        <v>6659135.9458711231</v>
      </c>
      <c r="E1307" s="518">
        <f t="shared" ca="1" si="206"/>
        <v>3247542.7435565563</v>
      </c>
      <c r="F1307" s="518">
        <f t="shared" ca="1" si="206"/>
        <v>1531026.6504654416</v>
      </c>
      <c r="G1307" s="518">
        <f t="shared" ca="1" si="206"/>
        <v>0</v>
      </c>
      <c r="H1307" s="518">
        <f t="shared" ca="1" si="206"/>
        <v>0</v>
      </c>
      <c r="I1307" s="518">
        <f t="shared" ca="1" si="206"/>
        <v>0</v>
      </c>
      <c r="J1307" s="518">
        <f t="shared" ca="1" si="206"/>
        <v>0</v>
      </c>
      <c r="K1307" s="518"/>
      <c r="L1307" s="518">
        <f t="shared" ref="L1307" ca="1" si="207">L1276</f>
        <v>0</v>
      </c>
      <c r="M1307" s="518">
        <f t="shared" ca="1" si="206"/>
        <v>0</v>
      </c>
      <c r="N1307" s="518">
        <f t="shared" ref="N1307:P1307" ca="1" si="208">N1276</f>
        <v>0</v>
      </c>
      <c r="O1307" s="518">
        <f t="shared" ca="1" si="208"/>
        <v>0</v>
      </c>
      <c r="P1307" s="518">
        <f t="shared" ca="1" si="208"/>
        <v>0</v>
      </c>
      <c r="Q1307" s="1788">
        <f ca="1">SUM(D1307:P1307)</f>
        <v>11437705.339893121</v>
      </c>
      <c r="R1307" s="518"/>
      <c r="S1307" s="892"/>
      <c r="T1307" s="341"/>
      <c r="U1307" s="341"/>
      <c r="V1307" s="341"/>
      <c r="W1307" s="341"/>
      <c r="X1307" s="341"/>
      <c r="Y1307" s="341"/>
      <c r="Z1307" s="341"/>
      <c r="AA1307" s="341"/>
      <c r="AB1307" s="341"/>
      <c r="AC1307" s="341"/>
      <c r="AD1307" s="341"/>
      <c r="AE1307" s="341"/>
      <c r="AF1307" s="341"/>
    </row>
    <row r="1308" spans="1:32" ht="18.75" customHeight="1" x14ac:dyDescent="0.2">
      <c r="A1308" s="341"/>
      <c r="B1308" s="345"/>
      <c r="C1308" s="1792" t="s">
        <v>90</v>
      </c>
      <c r="D1308" s="518">
        <f t="shared" ref="D1308:M1308" ca="1" si="209">D1277</f>
        <v>5682760.8995388923</v>
      </c>
      <c r="E1308" s="518">
        <f t="shared" ca="1" si="209"/>
        <v>2771381.9139113901</v>
      </c>
      <c r="F1308" s="518">
        <f t="shared" ca="1" si="209"/>
        <v>1306544.6412475735</v>
      </c>
      <c r="G1308" s="518">
        <f t="shared" ca="1" si="209"/>
        <v>0</v>
      </c>
      <c r="H1308" s="518">
        <f t="shared" ca="1" si="209"/>
        <v>0</v>
      </c>
      <c r="I1308" s="518">
        <f t="shared" ca="1" si="209"/>
        <v>0</v>
      </c>
      <c r="J1308" s="518">
        <f t="shared" ca="1" si="209"/>
        <v>0</v>
      </c>
      <c r="K1308" s="518"/>
      <c r="L1308" s="518">
        <f t="shared" ref="L1308" ca="1" si="210">L1277</f>
        <v>0</v>
      </c>
      <c r="M1308" s="518">
        <f t="shared" ca="1" si="209"/>
        <v>0</v>
      </c>
      <c r="N1308" s="518">
        <f t="shared" ref="N1308:P1308" ca="1" si="211">N1277</f>
        <v>0</v>
      </c>
      <c r="O1308" s="518">
        <f t="shared" ca="1" si="211"/>
        <v>0</v>
      </c>
      <c r="P1308" s="518">
        <f t="shared" ca="1" si="211"/>
        <v>0</v>
      </c>
      <c r="Q1308" s="1788">
        <f ca="1">SUM(D1308:P1308)</f>
        <v>9760687.4546978567</v>
      </c>
      <c r="R1308" s="518"/>
      <c r="S1308" s="892"/>
      <c r="T1308" s="341"/>
      <c r="U1308" s="341"/>
      <c r="V1308" s="341"/>
      <c r="W1308" s="341"/>
      <c r="X1308" s="341"/>
      <c r="Y1308" s="341"/>
      <c r="Z1308" s="341"/>
      <c r="AA1308" s="341"/>
      <c r="AB1308" s="341"/>
      <c r="AC1308" s="341"/>
      <c r="AD1308" s="341"/>
      <c r="AE1308" s="341"/>
      <c r="AF1308" s="341"/>
    </row>
    <row r="1309" spans="1:32" ht="18.75" customHeight="1" x14ac:dyDescent="0.2">
      <c r="A1309" s="341"/>
      <c r="B1309" s="345"/>
      <c r="C1309" s="1792" t="s">
        <v>485</v>
      </c>
      <c r="D1309" s="518"/>
      <c r="E1309" s="518"/>
      <c r="F1309" s="518"/>
      <c r="G1309" s="518"/>
      <c r="H1309" s="518"/>
      <c r="I1309" s="518"/>
      <c r="J1309" s="518"/>
      <c r="K1309" s="518"/>
      <c r="L1309" s="518"/>
      <c r="M1309" s="518"/>
      <c r="N1309" s="518"/>
      <c r="O1309" s="518"/>
      <c r="P1309" s="518"/>
      <c r="Q1309" s="1788"/>
      <c r="R1309" s="518"/>
      <c r="S1309" s="892"/>
      <c r="T1309" s="341"/>
      <c r="U1309" s="341"/>
      <c r="V1309" s="341"/>
      <c r="W1309" s="341"/>
      <c r="X1309" s="341"/>
      <c r="Y1309" s="341"/>
      <c r="Z1309" s="341"/>
      <c r="AA1309" s="341"/>
      <c r="AB1309" s="341"/>
      <c r="AC1309" s="341"/>
      <c r="AD1309" s="341"/>
      <c r="AE1309" s="341"/>
      <c r="AF1309" s="341"/>
    </row>
    <row r="1310" spans="1:32" ht="18.75" customHeight="1" x14ac:dyDescent="0.2">
      <c r="A1310" s="341"/>
      <c r="B1310" s="345"/>
      <c r="C1310" s="1792" t="s">
        <v>971</v>
      </c>
      <c r="D1310" s="518">
        <f t="shared" ref="D1310:M1310" ca="1" si="212">D1281</f>
        <v>0</v>
      </c>
      <c r="E1310" s="518">
        <f t="shared" ca="1" si="212"/>
        <v>0</v>
      </c>
      <c r="F1310" s="518">
        <f t="shared" ca="1" si="212"/>
        <v>0</v>
      </c>
      <c r="G1310" s="518">
        <f t="shared" ca="1" si="212"/>
        <v>0</v>
      </c>
      <c r="H1310" s="518">
        <f t="shared" ca="1" si="212"/>
        <v>0</v>
      </c>
      <c r="I1310" s="518">
        <f t="shared" ca="1" si="212"/>
        <v>0</v>
      </c>
      <c r="J1310" s="518">
        <f t="shared" ca="1" si="212"/>
        <v>0</v>
      </c>
      <c r="K1310" s="518"/>
      <c r="L1310" s="518">
        <f t="shared" ref="L1310" ca="1" si="213">L1281</f>
        <v>0</v>
      </c>
      <c r="M1310" s="518">
        <f t="shared" ca="1" si="212"/>
        <v>0</v>
      </c>
      <c r="N1310" s="518">
        <f t="shared" ref="N1310:P1310" ca="1" si="214">N1281</f>
        <v>0</v>
      </c>
      <c r="O1310" s="518">
        <f t="shared" ca="1" si="214"/>
        <v>0</v>
      </c>
      <c r="P1310" s="518">
        <f t="shared" ca="1" si="214"/>
        <v>0</v>
      </c>
      <c r="Q1310" s="1788">
        <f ca="1">SUM(D1310:P1310)</f>
        <v>0</v>
      </c>
      <c r="R1310" s="518"/>
      <c r="S1310" s="892"/>
      <c r="T1310" s="341"/>
      <c r="U1310" s="341"/>
      <c r="V1310" s="341"/>
      <c r="W1310" s="341"/>
      <c r="X1310" s="341"/>
      <c r="Y1310" s="341"/>
      <c r="Z1310" s="341"/>
      <c r="AA1310" s="341"/>
      <c r="AB1310" s="341"/>
      <c r="AC1310" s="341"/>
      <c r="AD1310" s="341"/>
      <c r="AE1310" s="341"/>
      <c r="AF1310" s="341"/>
    </row>
    <row r="1311" spans="1:32" ht="18.75" customHeight="1" x14ac:dyDescent="0.2">
      <c r="A1311" s="341"/>
      <c r="B1311" s="345"/>
      <c r="C1311" s="1792" t="s">
        <v>90</v>
      </c>
      <c r="D1311" s="518">
        <f t="shared" ref="D1311:M1311" ca="1" si="215">D1282</f>
        <v>1452168.0814283721</v>
      </c>
      <c r="E1311" s="518">
        <f t="shared" ca="1" si="215"/>
        <v>683903.92202951806</v>
      </c>
      <c r="F1311" s="518">
        <f t="shared" ca="1" si="215"/>
        <v>310707.68577364774</v>
      </c>
      <c r="G1311" s="518">
        <f t="shared" ca="1" si="215"/>
        <v>0</v>
      </c>
      <c r="H1311" s="518">
        <f t="shared" ca="1" si="215"/>
        <v>0</v>
      </c>
      <c r="I1311" s="518">
        <f t="shared" ca="1" si="215"/>
        <v>0</v>
      </c>
      <c r="J1311" s="518">
        <f t="shared" ca="1" si="215"/>
        <v>0</v>
      </c>
      <c r="K1311" s="518"/>
      <c r="L1311" s="518">
        <f t="shared" ref="L1311" ca="1" si="216">L1282</f>
        <v>0</v>
      </c>
      <c r="M1311" s="518">
        <f t="shared" ca="1" si="215"/>
        <v>0</v>
      </c>
      <c r="N1311" s="518">
        <f t="shared" ref="N1311:P1311" ca="1" si="217">N1282</f>
        <v>0</v>
      </c>
      <c r="O1311" s="518">
        <f t="shared" ca="1" si="217"/>
        <v>0</v>
      </c>
      <c r="P1311" s="518">
        <f t="shared" ca="1" si="217"/>
        <v>0</v>
      </c>
      <c r="Q1311" s="1788">
        <f ca="1">SUM(D1311:P1311)</f>
        <v>2446779.6892315377</v>
      </c>
      <c r="R1311" s="518"/>
      <c r="S1311" s="892"/>
      <c r="T1311" s="341"/>
      <c r="U1311" s="341"/>
      <c r="V1311" s="341"/>
      <c r="W1311" s="341"/>
      <c r="X1311" s="341"/>
      <c r="Y1311" s="341"/>
      <c r="Z1311" s="341"/>
      <c r="AA1311" s="341"/>
      <c r="AB1311" s="341"/>
      <c r="AC1311" s="341"/>
      <c r="AD1311" s="341"/>
      <c r="AE1311" s="341"/>
      <c r="AF1311" s="341"/>
    </row>
    <row r="1312" spans="1:32" ht="18.75" customHeight="1" x14ac:dyDescent="0.2">
      <c r="A1312" s="341"/>
      <c r="B1312" s="345"/>
      <c r="C1312" s="1792" t="s">
        <v>392</v>
      </c>
      <c r="D1312" s="518">
        <f t="shared" ref="D1312:M1312" ca="1" si="218">D1283</f>
        <v>7237.6786270043103</v>
      </c>
      <c r="E1312" s="518">
        <f t="shared" ca="1" si="218"/>
        <v>3408.6114842358329</v>
      </c>
      <c r="F1312" s="518">
        <f t="shared" ca="1" si="218"/>
        <v>1548.5827056313958</v>
      </c>
      <c r="G1312" s="518">
        <f t="shared" ca="1" si="218"/>
        <v>0</v>
      </c>
      <c r="H1312" s="518">
        <f t="shared" ca="1" si="218"/>
        <v>0</v>
      </c>
      <c r="I1312" s="518">
        <f t="shared" ca="1" si="218"/>
        <v>0</v>
      </c>
      <c r="J1312" s="518">
        <f t="shared" ca="1" si="218"/>
        <v>0</v>
      </c>
      <c r="K1312" s="518"/>
      <c r="L1312" s="518">
        <f t="shared" ref="L1312" ca="1" si="219">L1283</f>
        <v>0</v>
      </c>
      <c r="M1312" s="518">
        <f t="shared" ca="1" si="218"/>
        <v>0</v>
      </c>
      <c r="N1312" s="518">
        <f t="shared" ref="N1312:P1312" ca="1" si="220">N1283</f>
        <v>0</v>
      </c>
      <c r="O1312" s="518">
        <f t="shared" ca="1" si="220"/>
        <v>0</v>
      </c>
      <c r="P1312" s="518">
        <f t="shared" ca="1" si="220"/>
        <v>0</v>
      </c>
      <c r="Q1312" s="1788">
        <f ca="1">SUM(D1312:P1312)</f>
        <v>12194.872816871539</v>
      </c>
      <c r="R1312" s="518"/>
      <c r="S1312" s="892"/>
      <c r="T1312" s="341"/>
      <c r="U1312" s="341"/>
      <c r="V1312" s="341"/>
      <c r="W1312" s="341"/>
      <c r="X1312" s="341"/>
      <c r="Y1312" s="341"/>
      <c r="Z1312" s="341"/>
      <c r="AA1312" s="341"/>
      <c r="AB1312" s="341"/>
      <c r="AC1312" s="341"/>
      <c r="AD1312" s="341"/>
      <c r="AE1312" s="341"/>
      <c r="AF1312" s="341"/>
    </row>
    <row r="1313" spans="1:32" ht="18.75" customHeight="1" x14ac:dyDescent="0.2">
      <c r="A1313" s="341"/>
      <c r="B1313" s="345"/>
      <c r="C1313" s="1792" t="s">
        <v>1027</v>
      </c>
      <c r="D1313" s="518"/>
      <c r="E1313" s="518"/>
      <c r="F1313" s="518"/>
      <c r="G1313" s="518"/>
      <c r="H1313" s="518"/>
      <c r="I1313" s="518"/>
      <c r="J1313" s="518"/>
      <c r="K1313" s="518"/>
      <c r="L1313" s="518"/>
      <c r="M1313" s="518"/>
      <c r="N1313" s="518"/>
      <c r="O1313" s="518"/>
      <c r="P1313" s="518"/>
      <c r="Q1313" s="1788"/>
      <c r="R1313" s="518"/>
      <c r="S1313" s="892"/>
      <c r="T1313" s="341"/>
      <c r="U1313" s="341"/>
      <c r="V1313" s="341"/>
      <c r="W1313" s="341"/>
      <c r="X1313" s="341"/>
      <c r="Y1313" s="341"/>
      <c r="Z1313" s="341"/>
      <c r="AA1313" s="341"/>
      <c r="AB1313" s="341"/>
      <c r="AC1313" s="341"/>
      <c r="AD1313" s="341"/>
      <c r="AE1313" s="341"/>
      <c r="AF1313" s="341"/>
    </row>
    <row r="1314" spans="1:32" ht="18.75" customHeight="1" x14ac:dyDescent="0.2">
      <c r="A1314" s="341"/>
      <c r="B1314" s="345"/>
      <c r="C1314" s="1792" t="s">
        <v>1036</v>
      </c>
      <c r="D1314" s="518">
        <f t="shared" ref="D1314:M1314" ca="1" si="221">D1288</f>
        <v>0</v>
      </c>
      <c r="E1314" s="518">
        <f t="shared" ca="1" si="221"/>
        <v>0</v>
      </c>
      <c r="F1314" s="518">
        <f t="shared" ca="1" si="221"/>
        <v>0</v>
      </c>
      <c r="G1314" s="518">
        <f t="shared" ca="1" si="221"/>
        <v>0</v>
      </c>
      <c r="H1314" s="518">
        <f t="shared" ca="1" si="221"/>
        <v>0</v>
      </c>
      <c r="I1314" s="518">
        <f t="shared" ca="1" si="221"/>
        <v>0</v>
      </c>
      <c r="J1314" s="518">
        <f t="shared" ca="1" si="221"/>
        <v>0</v>
      </c>
      <c r="K1314" s="518"/>
      <c r="L1314" s="518">
        <f t="shared" ref="L1314" ca="1" si="222">L1288</f>
        <v>0</v>
      </c>
      <c r="M1314" s="518">
        <f t="shared" ca="1" si="221"/>
        <v>0</v>
      </c>
      <c r="N1314" s="518">
        <f t="shared" ref="N1314:P1314" ca="1" si="223">N1288</f>
        <v>0</v>
      </c>
      <c r="O1314" s="518">
        <f t="shared" ca="1" si="223"/>
        <v>0</v>
      </c>
      <c r="P1314" s="518">
        <f t="shared" ca="1" si="223"/>
        <v>0</v>
      </c>
      <c r="Q1314" s="1788">
        <f t="shared" ref="Q1314:Q1323" ca="1" si="224">SUM(D1314:P1314)</f>
        <v>0</v>
      </c>
      <c r="R1314" s="518"/>
      <c r="S1314" s="892"/>
      <c r="T1314" s="341"/>
      <c r="U1314" s="341"/>
      <c r="V1314" s="341"/>
      <c r="W1314" s="341"/>
      <c r="X1314" s="341"/>
      <c r="Y1314" s="341"/>
      <c r="Z1314" s="341"/>
      <c r="AA1314" s="341"/>
      <c r="AB1314" s="341"/>
      <c r="AC1314" s="341"/>
      <c r="AD1314" s="341"/>
      <c r="AE1314" s="341"/>
      <c r="AF1314" s="341"/>
    </row>
    <row r="1315" spans="1:32" ht="18.75" customHeight="1" x14ac:dyDescent="0.2">
      <c r="A1315" s="341"/>
      <c r="B1315" s="345"/>
      <c r="C1315" s="1792" t="s">
        <v>1037</v>
      </c>
      <c r="D1315" s="518">
        <f t="shared" ref="D1315:M1315" ca="1" si="225">D1289</f>
        <v>0</v>
      </c>
      <c r="E1315" s="518">
        <f t="shared" ca="1" si="225"/>
        <v>0</v>
      </c>
      <c r="F1315" s="518">
        <f t="shared" ca="1" si="225"/>
        <v>0</v>
      </c>
      <c r="G1315" s="518">
        <f t="shared" ca="1" si="225"/>
        <v>0</v>
      </c>
      <c r="H1315" s="518">
        <f t="shared" ca="1" si="225"/>
        <v>0</v>
      </c>
      <c r="I1315" s="518">
        <f t="shared" ca="1" si="225"/>
        <v>0</v>
      </c>
      <c r="J1315" s="518">
        <f t="shared" ca="1" si="225"/>
        <v>0</v>
      </c>
      <c r="K1315" s="518"/>
      <c r="L1315" s="518">
        <f t="shared" ref="L1315" ca="1" si="226">L1289</f>
        <v>0</v>
      </c>
      <c r="M1315" s="518">
        <f t="shared" ca="1" si="225"/>
        <v>0</v>
      </c>
      <c r="N1315" s="518">
        <f t="shared" ref="N1315:P1315" ca="1" si="227">N1289</f>
        <v>0</v>
      </c>
      <c r="O1315" s="518">
        <f t="shared" ca="1" si="227"/>
        <v>0</v>
      </c>
      <c r="P1315" s="518">
        <f t="shared" ca="1" si="227"/>
        <v>0</v>
      </c>
      <c r="Q1315" s="1788">
        <f t="shared" ca="1" si="224"/>
        <v>0</v>
      </c>
      <c r="R1315" s="518"/>
      <c r="S1315" s="892"/>
      <c r="T1315" s="341"/>
      <c r="U1315" s="341"/>
      <c r="V1315" s="341"/>
      <c r="W1315" s="341"/>
      <c r="X1315" s="341"/>
      <c r="Y1315" s="341"/>
      <c r="Z1315" s="341"/>
      <c r="AA1315" s="341"/>
      <c r="AB1315" s="341"/>
      <c r="AC1315" s="341"/>
      <c r="AD1315" s="341"/>
      <c r="AE1315" s="341"/>
      <c r="AF1315" s="341"/>
    </row>
    <row r="1316" spans="1:32" ht="18.75" customHeight="1" x14ac:dyDescent="0.2">
      <c r="A1316" s="341"/>
      <c r="B1316" s="345"/>
      <c r="C1316" s="1792" t="s">
        <v>1034</v>
      </c>
      <c r="D1316" s="518">
        <f t="shared" ref="D1316:M1316" ca="1" si="228">D1286</f>
        <v>23206.629415523021</v>
      </c>
      <c r="E1316" s="518">
        <f t="shared" ca="1" si="228"/>
        <v>7057.8965583421914</v>
      </c>
      <c r="F1316" s="518">
        <f t="shared" ca="1" si="228"/>
        <v>3767.354797335624</v>
      </c>
      <c r="G1316" s="518">
        <f t="shared" ca="1" si="228"/>
        <v>0</v>
      </c>
      <c r="H1316" s="518">
        <f t="shared" ca="1" si="228"/>
        <v>0</v>
      </c>
      <c r="I1316" s="518">
        <f t="shared" ca="1" si="228"/>
        <v>0</v>
      </c>
      <c r="J1316" s="518">
        <f t="shared" ca="1" si="228"/>
        <v>0</v>
      </c>
      <c r="K1316" s="518"/>
      <c r="L1316" s="518">
        <f t="shared" ref="L1316" ca="1" si="229">L1286</f>
        <v>0</v>
      </c>
      <c r="M1316" s="518">
        <f t="shared" ca="1" si="228"/>
        <v>0</v>
      </c>
      <c r="N1316" s="518">
        <f t="shared" ref="N1316:P1316" ca="1" si="230">N1286</f>
        <v>0</v>
      </c>
      <c r="O1316" s="518">
        <f t="shared" ca="1" si="230"/>
        <v>0</v>
      </c>
      <c r="P1316" s="518">
        <f t="shared" ca="1" si="230"/>
        <v>0</v>
      </c>
      <c r="Q1316" s="1788">
        <f t="shared" ca="1" si="224"/>
        <v>34031.880771200835</v>
      </c>
      <c r="R1316" s="518"/>
      <c r="S1316" s="892"/>
      <c r="T1316" s="341"/>
      <c r="U1316" s="341"/>
      <c r="V1316" s="341"/>
      <c r="W1316" s="341"/>
      <c r="X1316" s="341"/>
      <c r="Y1316" s="341"/>
      <c r="Z1316" s="341"/>
      <c r="AA1316" s="341"/>
      <c r="AB1316" s="341"/>
      <c r="AC1316" s="341"/>
      <c r="AD1316" s="341"/>
      <c r="AE1316" s="341"/>
      <c r="AF1316" s="341"/>
    </row>
    <row r="1317" spans="1:32" ht="18.75" customHeight="1" x14ac:dyDescent="0.2">
      <c r="A1317" s="341"/>
      <c r="B1317" s="345"/>
      <c r="C1317" s="1792" t="s">
        <v>1028</v>
      </c>
      <c r="D1317" s="518">
        <f t="shared" ref="D1317:M1317" ca="1" si="231">+D1291</f>
        <v>0</v>
      </c>
      <c r="E1317" s="518">
        <f t="shared" ca="1" si="231"/>
        <v>0</v>
      </c>
      <c r="F1317" s="518">
        <f t="shared" ca="1" si="231"/>
        <v>0</v>
      </c>
      <c r="G1317" s="518">
        <f t="shared" ca="1" si="231"/>
        <v>0</v>
      </c>
      <c r="H1317" s="518">
        <f t="shared" ca="1" si="231"/>
        <v>0</v>
      </c>
      <c r="I1317" s="518">
        <f t="shared" ca="1" si="231"/>
        <v>0</v>
      </c>
      <c r="J1317" s="518">
        <f t="shared" ca="1" si="231"/>
        <v>0</v>
      </c>
      <c r="K1317" s="518"/>
      <c r="L1317" s="518">
        <f t="shared" ref="L1317" ca="1" si="232">+L1291</f>
        <v>0</v>
      </c>
      <c r="M1317" s="518">
        <f t="shared" ca="1" si="231"/>
        <v>0</v>
      </c>
      <c r="N1317" s="518">
        <f t="shared" ref="N1317:P1317" ca="1" si="233">+N1291</f>
        <v>0</v>
      </c>
      <c r="O1317" s="518">
        <f t="shared" ca="1" si="233"/>
        <v>0</v>
      </c>
      <c r="P1317" s="518">
        <f t="shared" ca="1" si="233"/>
        <v>0</v>
      </c>
      <c r="Q1317" s="1788">
        <f t="shared" ca="1" si="224"/>
        <v>0</v>
      </c>
      <c r="R1317" s="518"/>
      <c r="S1317" s="892"/>
      <c r="T1317" s="341"/>
      <c r="U1317" s="341"/>
      <c r="V1317" s="341"/>
      <c r="W1317" s="341"/>
      <c r="X1317" s="341"/>
      <c r="Y1317" s="341"/>
      <c r="Z1317" s="341"/>
      <c r="AA1317" s="341"/>
      <c r="AB1317" s="341"/>
      <c r="AC1317" s="341"/>
      <c r="AD1317" s="341"/>
      <c r="AE1317" s="341"/>
      <c r="AF1317" s="341"/>
    </row>
    <row r="1318" spans="1:32" ht="18.75" customHeight="1" x14ac:dyDescent="0.2">
      <c r="A1318" s="341"/>
      <c r="B1318" s="345"/>
      <c r="C1318" s="1792" t="s">
        <v>1029</v>
      </c>
      <c r="D1318" s="518">
        <f t="shared" ref="D1318:M1318" ca="1" si="234">D1292</f>
        <v>2051090.9836952158</v>
      </c>
      <c r="E1318" s="518">
        <f t="shared" ca="1" si="234"/>
        <v>623803.98874236527</v>
      </c>
      <c r="F1318" s="518">
        <f t="shared" ca="1" si="234"/>
        <v>332973.27754228993</v>
      </c>
      <c r="G1318" s="518">
        <f t="shared" ca="1" si="234"/>
        <v>0</v>
      </c>
      <c r="H1318" s="518">
        <f t="shared" ca="1" si="234"/>
        <v>0</v>
      </c>
      <c r="I1318" s="518">
        <f t="shared" ca="1" si="234"/>
        <v>0</v>
      </c>
      <c r="J1318" s="518">
        <f t="shared" ca="1" si="234"/>
        <v>0</v>
      </c>
      <c r="K1318" s="518"/>
      <c r="L1318" s="518">
        <f t="shared" ref="L1318" ca="1" si="235">L1292</f>
        <v>0</v>
      </c>
      <c r="M1318" s="518">
        <f t="shared" ca="1" si="234"/>
        <v>0</v>
      </c>
      <c r="N1318" s="518">
        <f t="shared" ref="N1318:P1318" ca="1" si="236">N1292</f>
        <v>0</v>
      </c>
      <c r="O1318" s="518">
        <f t="shared" ca="1" si="236"/>
        <v>0</v>
      </c>
      <c r="P1318" s="518">
        <f t="shared" ca="1" si="236"/>
        <v>0</v>
      </c>
      <c r="Q1318" s="1788">
        <f t="shared" ca="1" si="224"/>
        <v>3007868.2499798709</v>
      </c>
      <c r="R1318" s="518"/>
      <c r="S1318" s="892"/>
      <c r="T1318" s="341"/>
      <c r="U1318" s="341"/>
      <c r="V1318" s="341"/>
      <c r="W1318" s="341"/>
      <c r="X1318" s="341"/>
      <c r="Y1318" s="341"/>
      <c r="Z1318" s="341"/>
      <c r="AA1318" s="341"/>
      <c r="AB1318" s="341"/>
      <c r="AC1318" s="341"/>
      <c r="AD1318" s="341"/>
      <c r="AE1318" s="341"/>
      <c r="AF1318" s="341"/>
    </row>
    <row r="1319" spans="1:32" ht="18.75" customHeight="1" x14ac:dyDescent="0.2">
      <c r="A1319" s="341"/>
      <c r="B1319" s="345"/>
      <c r="C1319" s="1792" t="s">
        <v>1038</v>
      </c>
      <c r="D1319" s="518">
        <f t="shared" ref="D1319:M1319" ca="1" si="237">D1294</f>
        <v>0</v>
      </c>
      <c r="E1319" s="518">
        <f t="shared" ca="1" si="237"/>
        <v>0</v>
      </c>
      <c r="F1319" s="518">
        <f t="shared" ca="1" si="237"/>
        <v>0</v>
      </c>
      <c r="G1319" s="518">
        <f t="shared" ca="1" si="237"/>
        <v>0</v>
      </c>
      <c r="H1319" s="518">
        <f t="shared" ca="1" si="237"/>
        <v>0</v>
      </c>
      <c r="I1319" s="518">
        <f t="shared" ca="1" si="237"/>
        <v>0</v>
      </c>
      <c r="J1319" s="518">
        <f t="shared" ca="1" si="237"/>
        <v>0</v>
      </c>
      <c r="K1319" s="518"/>
      <c r="L1319" s="518">
        <f t="shared" ref="L1319" ca="1" si="238">L1294</f>
        <v>0</v>
      </c>
      <c r="M1319" s="518">
        <f t="shared" ca="1" si="237"/>
        <v>0</v>
      </c>
      <c r="N1319" s="518">
        <f t="shared" ref="N1319:P1319" ca="1" si="239">N1294</f>
        <v>0</v>
      </c>
      <c r="O1319" s="518">
        <f t="shared" ca="1" si="239"/>
        <v>0</v>
      </c>
      <c r="P1319" s="518">
        <f t="shared" ca="1" si="239"/>
        <v>0</v>
      </c>
      <c r="Q1319" s="1788">
        <f t="shared" ca="1" si="224"/>
        <v>0</v>
      </c>
      <c r="R1319" s="518"/>
      <c r="S1319" s="892"/>
      <c r="T1319" s="341"/>
      <c r="U1319" s="341"/>
      <c r="V1319" s="341"/>
      <c r="W1319" s="341"/>
      <c r="X1319" s="341"/>
      <c r="Y1319" s="341"/>
      <c r="Z1319" s="341"/>
      <c r="AA1319" s="341"/>
      <c r="AB1319" s="341"/>
      <c r="AC1319" s="341"/>
      <c r="AD1319" s="341"/>
      <c r="AE1319" s="341"/>
      <c r="AF1319" s="341"/>
    </row>
    <row r="1320" spans="1:32" ht="18.75" customHeight="1" x14ac:dyDescent="0.2">
      <c r="A1320" s="341"/>
      <c r="B1320" s="345"/>
      <c r="C1320" s="1792" t="s">
        <v>1039</v>
      </c>
      <c r="D1320" s="518">
        <f t="shared" ref="D1320:M1320" ca="1" si="240">D1295</f>
        <v>1817028.2832516909</v>
      </c>
      <c r="E1320" s="518">
        <f t="shared" ca="1" si="240"/>
        <v>552617.85057825898</v>
      </c>
      <c r="F1320" s="518">
        <f t="shared" ca="1" si="240"/>
        <v>294975.63378264051</v>
      </c>
      <c r="G1320" s="518">
        <f t="shared" ca="1" si="240"/>
        <v>0</v>
      </c>
      <c r="H1320" s="518">
        <f t="shared" ca="1" si="240"/>
        <v>0</v>
      </c>
      <c r="I1320" s="518">
        <f t="shared" ca="1" si="240"/>
        <v>0</v>
      </c>
      <c r="J1320" s="518">
        <f t="shared" ca="1" si="240"/>
        <v>0</v>
      </c>
      <c r="K1320" s="518"/>
      <c r="L1320" s="518">
        <f t="shared" ref="L1320" ca="1" si="241">L1295</f>
        <v>0</v>
      </c>
      <c r="M1320" s="518">
        <f t="shared" ca="1" si="240"/>
        <v>0</v>
      </c>
      <c r="N1320" s="518">
        <f t="shared" ref="N1320:P1320" ca="1" si="242">N1295</f>
        <v>0</v>
      </c>
      <c r="O1320" s="518">
        <f t="shared" ca="1" si="242"/>
        <v>0</v>
      </c>
      <c r="P1320" s="518">
        <f t="shared" ca="1" si="242"/>
        <v>0</v>
      </c>
      <c r="Q1320" s="1788">
        <f t="shared" ca="1" si="224"/>
        <v>2664621.7676125905</v>
      </c>
      <c r="R1320" s="518"/>
      <c r="S1320" s="892"/>
      <c r="T1320" s="341"/>
      <c r="U1320" s="341"/>
      <c r="V1320" s="341"/>
      <c r="W1320" s="341"/>
      <c r="X1320" s="341"/>
      <c r="Y1320" s="341"/>
      <c r="Z1320" s="341"/>
      <c r="AA1320" s="341"/>
      <c r="AB1320" s="341"/>
      <c r="AC1320" s="341"/>
      <c r="AD1320" s="341"/>
      <c r="AE1320" s="341"/>
      <c r="AF1320" s="341"/>
    </row>
    <row r="1321" spans="1:32" ht="18.75" customHeight="1" x14ac:dyDescent="0.2">
      <c r="A1321" s="341"/>
      <c r="B1321" s="345"/>
      <c r="C1321" s="1792" t="s">
        <v>1053</v>
      </c>
      <c r="D1321" s="518">
        <f t="shared" ref="D1321:J1321" ca="1" si="243">D1196</f>
        <v>4327450.0188714294</v>
      </c>
      <c r="E1321" s="518">
        <f t="shared" ca="1" si="243"/>
        <v>1316119.3746714618</v>
      </c>
      <c r="F1321" s="518">
        <f t="shared" ca="1" si="243"/>
        <v>702516.47910231398</v>
      </c>
      <c r="G1321" s="518">
        <f t="shared" ca="1" si="243"/>
        <v>0</v>
      </c>
      <c r="H1321" s="518">
        <f t="shared" ca="1" si="243"/>
        <v>0</v>
      </c>
      <c r="I1321" s="518">
        <f t="shared" ca="1" si="243"/>
        <v>0</v>
      </c>
      <c r="J1321" s="518">
        <f t="shared" ca="1" si="243"/>
        <v>0</v>
      </c>
      <c r="K1321" s="518"/>
      <c r="L1321" s="518">
        <f ca="1">L1196</f>
        <v>0</v>
      </c>
      <c r="M1321" s="518">
        <f ca="1">M1196</f>
        <v>0</v>
      </c>
      <c r="N1321" s="518">
        <f ca="1">N1196</f>
        <v>0</v>
      </c>
      <c r="O1321" s="518">
        <f ca="1">O1196</f>
        <v>0</v>
      </c>
      <c r="P1321" s="518">
        <f ca="1">P1196</f>
        <v>0</v>
      </c>
      <c r="Q1321" s="1788">
        <f t="shared" ca="1" si="224"/>
        <v>6346085.8726452049</v>
      </c>
      <c r="R1321" s="518"/>
      <c r="S1321" s="892"/>
      <c r="T1321" s="341"/>
      <c r="U1321" s="341"/>
      <c r="V1321" s="341"/>
      <c r="W1321" s="341"/>
      <c r="X1321" s="341"/>
      <c r="Y1321" s="341"/>
      <c r="Z1321" s="341"/>
      <c r="AA1321" s="341"/>
      <c r="AB1321" s="341"/>
      <c r="AC1321" s="341"/>
      <c r="AD1321" s="341"/>
      <c r="AE1321" s="341"/>
      <c r="AF1321" s="341"/>
    </row>
    <row r="1322" spans="1:32" ht="18.75" customHeight="1" x14ac:dyDescent="0.2">
      <c r="A1322" s="341"/>
      <c r="B1322" s="345"/>
      <c r="C1322" s="1792" t="s">
        <v>1051</v>
      </c>
      <c r="D1322" s="518">
        <f t="shared" ref="D1322:J1322" ca="1" si="244">D1176</f>
        <v>2.9032176520588026E-14</v>
      </c>
      <c r="E1322" s="518">
        <f t="shared" si="244"/>
        <v>0</v>
      </c>
      <c r="F1322" s="518">
        <f t="shared" ca="1" si="244"/>
        <v>6.8785815630632664E-15</v>
      </c>
      <c r="G1322" s="518">
        <f t="shared" si="244"/>
        <v>0</v>
      </c>
      <c r="H1322" s="518">
        <f t="shared" ca="1" si="244"/>
        <v>0</v>
      </c>
      <c r="I1322" s="518">
        <f t="shared" si="244"/>
        <v>0</v>
      </c>
      <c r="J1322" s="518">
        <f t="shared" si="244"/>
        <v>0</v>
      </c>
      <c r="K1322" s="518"/>
      <c r="L1322" s="518">
        <f ca="1">L1176</f>
        <v>0</v>
      </c>
      <c r="M1322" s="518">
        <f ca="1">M1176</f>
        <v>0</v>
      </c>
      <c r="N1322" s="518">
        <f ca="1">N1176</f>
        <v>0</v>
      </c>
      <c r="O1322" s="518">
        <f ca="1">O1176</f>
        <v>0</v>
      </c>
      <c r="P1322" s="518">
        <f>P1176</f>
        <v>0</v>
      </c>
      <c r="Q1322" s="1788">
        <f t="shared" ca="1" si="224"/>
        <v>3.5910758083651294E-14</v>
      </c>
      <c r="R1322" s="518"/>
      <c r="S1322" s="892"/>
      <c r="T1322" s="341"/>
      <c r="U1322" s="341"/>
      <c r="V1322" s="341"/>
      <c r="W1322" s="341"/>
      <c r="X1322" s="341"/>
      <c r="Y1322" s="341"/>
      <c r="Z1322" s="341"/>
      <c r="AA1322" s="341"/>
      <c r="AB1322" s="341"/>
      <c r="AC1322" s="341"/>
      <c r="AD1322" s="341"/>
      <c r="AE1322" s="341"/>
      <c r="AF1322" s="341"/>
    </row>
    <row r="1323" spans="1:32" ht="18.75" customHeight="1" x14ac:dyDescent="0.2">
      <c r="A1323" s="341"/>
      <c r="B1323" s="345"/>
      <c r="C1323" s="1792" t="s">
        <v>976</v>
      </c>
      <c r="D1323" s="518">
        <f t="shared" ref="D1323:M1323" ca="1" si="245">D1297</f>
        <v>0</v>
      </c>
      <c r="E1323" s="518">
        <f t="shared" ca="1" si="245"/>
        <v>0</v>
      </c>
      <c r="F1323" s="518">
        <f t="shared" ca="1" si="245"/>
        <v>0</v>
      </c>
      <c r="G1323" s="518">
        <f t="shared" ca="1" si="245"/>
        <v>0</v>
      </c>
      <c r="H1323" s="518">
        <f t="shared" ca="1" si="245"/>
        <v>0</v>
      </c>
      <c r="I1323" s="518">
        <f t="shared" ca="1" si="245"/>
        <v>0</v>
      </c>
      <c r="J1323" s="518">
        <f t="shared" ca="1" si="245"/>
        <v>0</v>
      </c>
      <c r="K1323" s="518"/>
      <c r="L1323" s="518">
        <f t="shared" ref="L1323" ca="1" si="246">L1297</f>
        <v>0</v>
      </c>
      <c r="M1323" s="518">
        <f t="shared" ca="1" si="245"/>
        <v>0</v>
      </c>
      <c r="N1323" s="518">
        <f t="shared" ref="N1323:P1323" ca="1" si="247">N1297</f>
        <v>0</v>
      </c>
      <c r="O1323" s="518">
        <f t="shared" ca="1" si="247"/>
        <v>0</v>
      </c>
      <c r="P1323" s="518">
        <f t="shared" ca="1" si="247"/>
        <v>0</v>
      </c>
      <c r="Q1323" s="1788">
        <f t="shared" ca="1" si="224"/>
        <v>0</v>
      </c>
      <c r="R1323" s="518"/>
      <c r="S1323" s="892"/>
      <c r="T1323" s="341"/>
      <c r="U1323" s="341"/>
      <c r="V1323" s="341"/>
      <c r="W1323" s="341"/>
      <c r="X1323" s="341"/>
      <c r="Y1323" s="341"/>
      <c r="Z1323" s="341"/>
      <c r="AA1323" s="341"/>
      <c r="AB1323" s="341"/>
      <c r="AC1323" s="341"/>
      <c r="AD1323" s="341"/>
      <c r="AE1323" s="341"/>
      <c r="AF1323" s="341"/>
    </row>
    <row r="1324" spans="1:32" ht="18.75" customHeight="1" x14ac:dyDescent="0.2">
      <c r="A1324" s="341"/>
      <c r="B1324" s="345"/>
      <c r="C1324" s="1807" t="str">
        <f>C1211</f>
        <v xml:space="preserve">Total Refinery Processes </v>
      </c>
      <c r="D1324" s="1777">
        <f t="shared" ref="D1324:Q1324" ca="1" si="248">SUM(D1305:D1323)</f>
        <v>22626827.537579678</v>
      </c>
      <c r="E1324" s="1777">
        <f t="shared" ca="1" si="248"/>
        <v>9523142.9043285474</v>
      </c>
      <c r="F1324" s="1777">
        <f t="shared" ca="1" si="248"/>
        <v>4628340.5936045703</v>
      </c>
      <c r="G1324" s="1777">
        <f t="shared" ca="1" si="248"/>
        <v>0</v>
      </c>
      <c r="H1324" s="1777">
        <f t="shared" ca="1" si="248"/>
        <v>0</v>
      </c>
      <c r="I1324" s="1777">
        <f t="shared" ca="1" si="248"/>
        <v>0</v>
      </c>
      <c r="J1324" s="1777">
        <f t="shared" ca="1" si="248"/>
        <v>0</v>
      </c>
      <c r="K1324" s="1777">
        <f t="shared" si="248"/>
        <v>0</v>
      </c>
      <c r="L1324" s="1777">
        <f t="shared" ref="L1324" ca="1" si="249">SUM(L1305:L1323)</f>
        <v>0</v>
      </c>
      <c r="M1324" s="1777">
        <f t="shared" ca="1" si="248"/>
        <v>0</v>
      </c>
      <c r="N1324" s="1777">
        <f t="shared" ref="N1324:P1324" ca="1" si="250">SUM(N1305:N1323)</f>
        <v>0</v>
      </c>
      <c r="O1324" s="1777">
        <f t="shared" ca="1" si="250"/>
        <v>0</v>
      </c>
      <c r="P1324" s="1777">
        <f t="shared" ca="1" si="250"/>
        <v>0</v>
      </c>
      <c r="Q1324" s="1808">
        <f t="shared" ca="1" si="248"/>
        <v>36778311.035512798</v>
      </c>
      <c r="R1324" s="518"/>
      <c r="S1324" s="892"/>
      <c r="T1324" s="341"/>
      <c r="U1324" s="341"/>
      <c r="V1324" s="341"/>
      <c r="W1324" s="341"/>
      <c r="X1324" s="341"/>
      <c r="Y1324" s="341"/>
      <c r="Z1324" s="341"/>
      <c r="AA1324" s="341"/>
      <c r="AB1324" s="341"/>
      <c r="AC1324" s="341"/>
      <c r="AD1324" s="341"/>
      <c r="AE1324" s="341"/>
      <c r="AF1324" s="341"/>
    </row>
    <row r="1325" spans="1:32" ht="18.75" customHeight="1" x14ac:dyDescent="0.2">
      <c r="A1325" s="341"/>
      <c r="B1325" s="345"/>
      <c r="C1325" s="1807" t="str">
        <f>C1212</f>
        <v>Total Energy included Feedstock</v>
      </c>
      <c r="D1325" s="1777">
        <f t="shared" ref="D1325:Q1325" ca="1" si="251">D1324+D1303</f>
        <v>237807008.49247375</v>
      </c>
      <c r="E1325" s="1777">
        <f t="shared" ca="1" si="251"/>
        <v>241903483.41274869</v>
      </c>
      <c r="F1325" s="1777">
        <f t="shared" ca="1" si="251"/>
        <v>115679196.46670298</v>
      </c>
      <c r="G1325" s="1777">
        <f t="shared" ca="1" si="251"/>
        <v>0</v>
      </c>
      <c r="H1325" s="1777">
        <f t="shared" ca="1" si="251"/>
        <v>0</v>
      </c>
      <c r="I1325" s="1777">
        <f t="shared" ca="1" si="251"/>
        <v>0</v>
      </c>
      <c r="J1325" s="1777">
        <f t="shared" ca="1" si="251"/>
        <v>0</v>
      </c>
      <c r="K1325" s="1777">
        <f t="shared" ca="1" si="251"/>
        <v>0</v>
      </c>
      <c r="L1325" s="1777">
        <f t="shared" ref="L1325" ca="1" si="252">L1324+L1303</f>
        <v>0</v>
      </c>
      <c r="M1325" s="1777">
        <f t="shared" ca="1" si="251"/>
        <v>0</v>
      </c>
      <c r="N1325" s="1777">
        <f t="shared" ref="N1325:P1325" ca="1" si="253">N1324+N1303</f>
        <v>0</v>
      </c>
      <c r="O1325" s="1777">
        <f t="shared" ca="1" si="253"/>
        <v>0</v>
      </c>
      <c r="P1325" s="1777">
        <f t="shared" ca="1" si="253"/>
        <v>0</v>
      </c>
      <c r="Q1325" s="1808">
        <f t="shared" ca="1" si="251"/>
        <v>595389688.37192535</v>
      </c>
      <c r="R1325" s="518"/>
      <c r="S1325" s="892"/>
      <c r="T1325" s="341"/>
      <c r="U1325" s="341"/>
      <c r="V1325" s="341"/>
      <c r="W1325" s="341"/>
      <c r="X1325" s="341"/>
      <c r="Y1325" s="341"/>
      <c r="Z1325" s="341"/>
      <c r="AA1325" s="341"/>
      <c r="AB1325" s="341"/>
      <c r="AC1325" s="341"/>
      <c r="AD1325" s="341"/>
      <c r="AE1325" s="341"/>
      <c r="AF1325" s="341"/>
    </row>
    <row r="1326" spans="1:32" ht="18.75" customHeight="1" x14ac:dyDescent="0.2">
      <c r="A1326" s="341"/>
      <c r="B1326" s="345"/>
      <c r="C1326" s="1793" t="str">
        <f t="shared" ref="C1326:Q1326" si="254">C1198</f>
        <v>Surplus of Hydrogen from reformer</v>
      </c>
      <c r="D1326" s="1789">
        <f t="shared" ca="1" si="254"/>
        <v>0</v>
      </c>
      <c r="E1326" s="1789">
        <f t="shared" ca="1" si="254"/>
        <v>0</v>
      </c>
      <c r="F1326" s="1789">
        <f t="shared" ca="1" si="254"/>
        <v>0</v>
      </c>
      <c r="G1326" s="1789">
        <f t="shared" ca="1" si="254"/>
        <v>0</v>
      </c>
      <c r="H1326" s="1789">
        <f t="shared" ca="1" si="254"/>
        <v>0</v>
      </c>
      <c r="I1326" s="1789">
        <f t="shared" ca="1" si="254"/>
        <v>0</v>
      </c>
      <c r="J1326" s="1789">
        <f t="shared" ca="1" si="254"/>
        <v>0</v>
      </c>
      <c r="K1326" s="1789">
        <f t="shared" ca="1" si="254"/>
        <v>0</v>
      </c>
      <c r="L1326" s="1789">
        <f t="shared" ca="1" si="254"/>
        <v>0</v>
      </c>
      <c r="M1326" s="1789">
        <f t="shared" ca="1" si="254"/>
        <v>0</v>
      </c>
      <c r="N1326" s="1789">
        <f t="shared" ca="1" si="254"/>
        <v>0</v>
      </c>
      <c r="O1326" s="1789">
        <f t="shared" ca="1" si="254"/>
        <v>0</v>
      </c>
      <c r="P1326" s="1789">
        <f t="shared" ca="1" si="254"/>
        <v>0</v>
      </c>
      <c r="Q1326" s="1790">
        <f t="shared" ca="1" si="254"/>
        <v>0</v>
      </c>
      <c r="R1326" s="518"/>
      <c r="S1326" s="892"/>
      <c r="T1326" s="341"/>
      <c r="U1326" s="341"/>
      <c r="V1326" s="341"/>
      <c r="W1326" s="341"/>
      <c r="X1326" s="341"/>
      <c r="Y1326" s="341"/>
      <c r="Z1326" s="341"/>
      <c r="AA1326" s="341"/>
      <c r="AB1326" s="341"/>
      <c r="AC1326" s="341"/>
      <c r="AD1326" s="341"/>
      <c r="AE1326" s="341"/>
      <c r="AF1326" s="341"/>
    </row>
    <row r="1327" spans="1:32" ht="18.75" customHeight="1" x14ac:dyDescent="0.2">
      <c r="A1327" s="341"/>
      <c r="B1327" s="345"/>
      <c r="C1327" s="519"/>
      <c r="D1327" s="518"/>
      <c r="E1327" s="518"/>
      <c r="F1327" s="518"/>
      <c r="G1327" s="518"/>
      <c r="H1327" s="518"/>
      <c r="I1327" s="518"/>
      <c r="J1327" s="518"/>
      <c r="K1327" s="518"/>
      <c r="L1327" s="518"/>
      <c r="M1327" s="518"/>
      <c r="N1327" s="518"/>
      <c r="O1327" s="518"/>
      <c r="P1327" s="518"/>
      <c r="Q1327" s="518"/>
      <c r="R1327" s="518"/>
      <c r="S1327" s="892"/>
      <c r="T1327" s="341"/>
      <c r="U1327" s="341"/>
      <c r="V1327" s="341"/>
      <c r="W1327" s="341"/>
      <c r="X1327" s="341"/>
      <c r="Y1327" s="341"/>
      <c r="Z1327" s="341"/>
      <c r="AA1327" s="341"/>
      <c r="AB1327" s="341"/>
      <c r="AC1327" s="341"/>
      <c r="AD1327" s="341"/>
      <c r="AE1327" s="341"/>
      <c r="AF1327" s="341"/>
    </row>
    <row r="1328" spans="1:32" ht="18.75" customHeight="1" x14ac:dyDescent="0.2">
      <c r="A1328" s="341"/>
      <c r="B1328" s="345"/>
      <c r="C1328" s="440" t="s">
        <v>159</v>
      </c>
      <c r="D1328" s="518"/>
      <c r="E1328" s="518"/>
      <c r="F1328" s="518"/>
      <c r="G1328" s="518"/>
      <c r="H1328" s="518"/>
      <c r="I1328" s="518"/>
      <c r="J1328" s="518"/>
      <c r="K1328" s="518"/>
      <c r="L1328" s="518"/>
      <c r="M1328" s="518"/>
      <c r="N1328" s="518"/>
      <c r="O1328" s="518"/>
      <c r="P1328" s="518"/>
      <c r="Q1328" s="518"/>
      <c r="R1328" s="518"/>
      <c r="S1328" s="892"/>
      <c r="T1328" s="341"/>
      <c r="U1328" s="341"/>
      <c r="V1328" s="341"/>
      <c r="W1328" s="341"/>
      <c r="X1328" s="341"/>
      <c r="Y1328" s="341"/>
      <c r="Z1328" s="341"/>
      <c r="AA1328" s="341"/>
      <c r="AB1328" s="341"/>
      <c r="AC1328" s="341"/>
      <c r="AD1328" s="341"/>
      <c r="AE1328" s="341"/>
      <c r="AF1328" s="341"/>
    </row>
    <row r="1329" spans="1:32" ht="18.75" customHeight="1" x14ac:dyDescent="0.2">
      <c r="A1329" s="341"/>
      <c r="B1329" s="345"/>
      <c r="C1329" s="1794" t="s">
        <v>160</v>
      </c>
      <c r="D1329" s="1795"/>
      <c r="E1329" s="1795"/>
      <c r="F1329" s="1795"/>
      <c r="G1329" s="1795"/>
      <c r="H1329" s="1795"/>
      <c r="I1329" s="1795"/>
      <c r="J1329" s="1795"/>
      <c r="K1329" s="1795"/>
      <c r="L1329" s="1795"/>
      <c r="M1329" s="1795"/>
      <c r="N1329" s="1795"/>
      <c r="O1329" s="1795"/>
      <c r="P1329" s="1795"/>
      <c r="Q1329" s="1796"/>
      <c r="R1329" s="518"/>
      <c r="S1329" s="892"/>
      <c r="T1329" s="341"/>
      <c r="U1329" s="341"/>
      <c r="V1329" s="341"/>
      <c r="W1329" s="341"/>
      <c r="X1329" s="341"/>
      <c r="Y1329" s="341"/>
      <c r="Z1329" s="341"/>
      <c r="AA1329" s="341"/>
      <c r="AB1329" s="341"/>
      <c r="AC1329" s="341"/>
      <c r="AD1329" s="341"/>
      <c r="AE1329" s="341"/>
      <c r="AF1329" s="341"/>
    </row>
    <row r="1330" spans="1:32" ht="18.75" customHeight="1" x14ac:dyDescent="0.2">
      <c r="A1330" s="341"/>
      <c r="B1330" s="345"/>
      <c r="C1330" s="1792" t="s">
        <v>263</v>
      </c>
      <c r="D1330" s="533">
        <f t="shared" ref="D1330:Q1330" ca="1" si="255">D1303/SUM($D$1303:$P$1303)</f>
        <v>0.38520551081670162</v>
      </c>
      <c r="E1330" s="533">
        <f t="shared" ca="1" si="255"/>
        <v>0.41599643318484314</v>
      </c>
      <c r="F1330" s="533">
        <f t="shared" ca="1" si="255"/>
        <v>0.19879805599845535</v>
      </c>
      <c r="G1330" s="533">
        <f t="shared" ca="1" si="255"/>
        <v>0</v>
      </c>
      <c r="H1330" s="533">
        <f t="shared" ca="1" si="255"/>
        <v>0</v>
      </c>
      <c r="I1330" s="533">
        <f t="shared" ca="1" si="255"/>
        <v>0</v>
      </c>
      <c r="J1330" s="533">
        <f t="shared" ca="1" si="255"/>
        <v>0</v>
      </c>
      <c r="K1330" s="533">
        <f t="shared" ca="1" si="255"/>
        <v>0</v>
      </c>
      <c r="L1330" s="533">
        <f t="shared" ca="1" si="255"/>
        <v>0</v>
      </c>
      <c r="M1330" s="533">
        <f t="shared" ca="1" si="255"/>
        <v>0</v>
      </c>
      <c r="N1330" s="533">
        <f t="shared" ca="1" si="255"/>
        <v>0</v>
      </c>
      <c r="O1330" s="533">
        <f t="shared" ca="1" si="255"/>
        <v>0</v>
      </c>
      <c r="P1330" s="533">
        <f t="shared" ca="1" si="255"/>
        <v>0</v>
      </c>
      <c r="Q1330" s="1810">
        <f t="shared" ca="1" si="255"/>
        <v>1</v>
      </c>
      <c r="R1330" s="518"/>
      <c r="S1330" s="892"/>
      <c r="T1330" s="341"/>
      <c r="U1330" s="341"/>
      <c r="V1330" s="341"/>
      <c r="W1330" s="341"/>
      <c r="X1330" s="341"/>
      <c r="Y1330" s="341"/>
      <c r="Z1330" s="341"/>
      <c r="AA1330" s="341"/>
      <c r="AB1330" s="341"/>
      <c r="AC1330" s="341"/>
      <c r="AD1330" s="341"/>
      <c r="AE1330" s="341"/>
      <c r="AF1330" s="341"/>
    </row>
    <row r="1331" spans="1:32" ht="18.75" customHeight="1" x14ac:dyDescent="0.2">
      <c r="A1331" s="341"/>
      <c r="B1331" s="345"/>
      <c r="C1331" s="1807" t="s">
        <v>55</v>
      </c>
      <c r="D1331" s="1774"/>
      <c r="E1331" s="1774"/>
      <c r="F1331" s="1774"/>
      <c r="G1331" s="1774"/>
      <c r="H1331" s="1774"/>
      <c r="I1331" s="1774"/>
      <c r="J1331" s="1774"/>
      <c r="K1331" s="1774"/>
      <c r="L1331" s="1774"/>
      <c r="M1331" s="1774"/>
      <c r="N1331" s="1774"/>
      <c r="O1331" s="1774"/>
      <c r="P1331" s="1774"/>
      <c r="Q1331" s="1809"/>
      <c r="R1331" s="518"/>
      <c r="S1331" s="892"/>
      <c r="T1331" s="341"/>
      <c r="U1331" s="341"/>
      <c r="V1331" s="341"/>
      <c r="W1331" s="341"/>
      <c r="X1331" s="341"/>
      <c r="Y1331" s="341"/>
      <c r="Z1331" s="341"/>
      <c r="AA1331" s="341"/>
      <c r="AB1331" s="341"/>
      <c r="AC1331" s="341"/>
      <c r="AD1331" s="341"/>
      <c r="AE1331" s="341"/>
      <c r="AF1331" s="341"/>
    </row>
    <row r="1332" spans="1:32" ht="18.75" customHeight="1" x14ac:dyDescent="0.2">
      <c r="A1332" s="341"/>
      <c r="B1332" s="345"/>
      <c r="C1332" s="1792" t="s">
        <v>392</v>
      </c>
      <c r="D1332" s="533">
        <f t="shared" ref="D1332:Q1332" ca="1" si="256">D1305/SUM($D$1305:$P$1305)</f>
        <v>0.56793842874123435</v>
      </c>
      <c r="E1332" s="533">
        <f t="shared" ca="1" si="256"/>
        <v>0.29701014489971689</v>
      </c>
      <c r="F1332" s="533">
        <f t="shared" ca="1" si="256"/>
        <v>0.13505142635904871</v>
      </c>
      <c r="G1332" s="533">
        <f t="shared" ca="1" si="256"/>
        <v>0</v>
      </c>
      <c r="H1332" s="533">
        <f t="shared" ca="1" si="256"/>
        <v>0</v>
      </c>
      <c r="I1332" s="533">
        <f t="shared" ca="1" si="256"/>
        <v>0</v>
      </c>
      <c r="J1332" s="533">
        <f t="shared" ca="1" si="256"/>
        <v>0</v>
      </c>
      <c r="K1332" s="533">
        <f t="shared" ca="1" si="256"/>
        <v>0</v>
      </c>
      <c r="L1332" s="533">
        <f t="shared" ca="1" si="256"/>
        <v>0</v>
      </c>
      <c r="M1332" s="533">
        <f t="shared" ca="1" si="256"/>
        <v>0</v>
      </c>
      <c r="N1332" s="533">
        <f t="shared" ca="1" si="256"/>
        <v>0</v>
      </c>
      <c r="O1332" s="533">
        <f t="shared" ca="1" si="256"/>
        <v>0</v>
      </c>
      <c r="P1332" s="533">
        <f t="shared" ca="1" si="256"/>
        <v>0</v>
      </c>
      <c r="Q1332" s="1810">
        <f t="shared" ca="1" si="256"/>
        <v>1</v>
      </c>
      <c r="R1332" s="518"/>
      <c r="S1332" s="892"/>
      <c r="T1332" s="341"/>
      <c r="U1332" s="341"/>
      <c r="V1332" s="341"/>
      <c r="W1332" s="341"/>
      <c r="X1332" s="341"/>
      <c r="Y1332" s="341"/>
      <c r="Z1332" s="341"/>
      <c r="AA1332" s="341"/>
      <c r="AB1332" s="341"/>
      <c r="AC1332" s="341"/>
      <c r="AD1332" s="341"/>
      <c r="AE1332" s="341"/>
      <c r="AF1332" s="341"/>
    </row>
    <row r="1333" spans="1:32" ht="18.75" customHeight="1" x14ac:dyDescent="0.2">
      <c r="A1333" s="341"/>
      <c r="B1333" s="345"/>
      <c r="C1333" s="1792" t="s">
        <v>1050</v>
      </c>
      <c r="D1333" s="518"/>
      <c r="E1333" s="518"/>
      <c r="F1333" s="518"/>
      <c r="G1333" s="518"/>
      <c r="H1333" s="518"/>
      <c r="I1333" s="518"/>
      <c r="J1333" s="518"/>
      <c r="K1333" s="518"/>
      <c r="L1333" s="518"/>
      <c r="M1333" s="518"/>
      <c r="N1333" s="518"/>
      <c r="O1333" s="518"/>
      <c r="P1333" s="518"/>
      <c r="Q1333" s="1788"/>
      <c r="R1333" s="518"/>
      <c r="S1333" s="892"/>
      <c r="T1333" s="341"/>
      <c r="U1333" s="341"/>
      <c r="V1333" s="341"/>
      <c r="W1333" s="341"/>
      <c r="X1333" s="341"/>
      <c r="Y1333" s="341"/>
      <c r="Z1333" s="341"/>
      <c r="AA1333" s="341"/>
      <c r="AB1333" s="341"/>
      <c r="AC1333" s="341"/>
      <c r="AD1333" s="341"/>
      <c r="AE1333" s="341"/>
      <c r="AF1333" s="341"/>
    </row>
    <row r="1334" spans="1:32" ht="18.75" customHeight="1" x14ac:dyDescent="0.2">
      <c r="A1334" s="341"/>
      <c r="B1334" s="345"/>
      <c r="C1334" s="1792" t="s">
        <v>971</v>
      </c>
      <c r="D1334" s="533">
        <f t="shared" ref="D1334:P1334" ca="1" si="257">IF(D1307=0,0,D1307/SUM($D$1307:$P$1307))</f>
        <v>0.58220908372634728</v>
      </c>
      <c r="E1334" s="533">
        <f t="shared" ca="1" si="257"/>
        <v>0.28393306585977346</v>
      </c>
      <c r="F1334" s="533">
        <f t="shared" ca="1" si="257"/>
        <v>0.13385785041387926</v>
      </c>
      <c r="G1334" s="533">
        <f t="shared" ca="1" si="257"/>
        <v>0</v>
      </c>
      <c r="H1334" s="533">
        <f t="shared" ca="1" si="257"/>
        <v>0</v>
      </c>
      <c r="I1334" s="533">
        <f t="shared" ca="1" si="257"/>
        <v>0</v>
      </c>
      <c r="J1334" s="533">
        <f t="shared" ca="1" si="257"/>
        <v>0</v>
      </c>
      <c r="K1334" s="533">
        <f t="shared" si="257"/>
        <v>0</v>
      </c>
      <c r="L1334" s="533">
        <f t="shared" ca="1" si="257"/>
        <v>0</v>
      </c>
      <c r="M1334" s="533">
        <f t="shared" ca="1" si="257"/>
        <v>0</v>
      </c>
      <c r="N1334" s="533">
        <f t="shared" ca="1" si="257"/>
        <v>0</v>
      </c>
      <c r="O1334" s="533">
        <f t="shared" ca="1" si="257"/>
        <v>0</v>
      </c>
      <c r="P1334" s="533">
        <f t="shared" ca="1" si="257"/>
        <v>0</v>
      </c>
      <c r="Q1334" s="1810">
        <f ca="1">Q1307/SUM(D1307:P1307)</f>
        <v>1</v>
      </c>
      <c r="R1334" s="518"/>
      <c r="S1334" s="892"/>
      <c r="T1334" s="341"/>
      <c r="U1334" s="341"/>
      <c r="V1334" s="341"/>
      <c r="W1334" s="341"/>
      <c r="X1334" s="341"/>
      <c r="Y1334" s="341"/>
      <c r="Z1334" s="341"/>
      <c r="AA1334" s="341"/>
      <c r="AB1334" s="341"/>
      <c r="AC1334" s="341"/>
      <c r="AD1334" s="341"/>
      <c r="AE1334" s="341"/>
      <c r="AF1334" s="341"/>
    </row>
    <row r="1335" spans="1:32" ht="18.75" customHeight="1" x14ac:dyDescent="0.2">
      <c r="A1335" s="341"/>
      <c r="B1335" s="345"/>
      <c r="C1335" s="1792" t="s">
        <v>90</v>
      </c>
      <c r="D1335" s="533">
        <f t="shared" ref="D1335:P1335" ca="1" si="258">IF($Q$1308=0,0,D1308/SUM($D$1308:$P$1308))</f>
        <v>0.58220908372634728</v>
      </c>
      <c r="E1335" s="533">
        <f t="shared" ca="1" si="258"/>
        <v>0.28393306585977335</v>
      </c>
      <c r="F1335" s="533">
        <f t="shared" ca="1" si="258"/>
        <v>0.13385785041387926</v>
      </c>
      <c r="G1335" s="533">
        <f t="shared" ca="1" si="258"/>
        <v>0</v>
      </c>
      <c r="H1335" s="533">
        <f t="shared" ca="1" si="258"/>
        <v>0</v>
      </c>
      <c r="I1335" s="533">
        <f t="shared" ca="1" si="258"/>
        <v>0</v>
      </c>
      <c r="J1335" s="533">
        <f t="shared" ca="1" si="258"/>
        <v>0</v>
      </c>
      <c r="K1335" s="533">
        <f t="shared" ca="1" si="258"/>
        <v>0</v>
      </c>
      <c r="L1335" s="533">
        <f t="shared" ca="1" si="258"/>
        <v>0</v>
      </c>
      <c r="M1335" s="533">
        <f t="shared" ca="1" si="258"/>
        <v>0</v>
      </c>
      <c r="N1335" s="533">
        <f t="shared" ca="1" si="258"/>
        <v>0</v>
      </c>
      <c r="O1335" s="533">
        <f t="shared" ca="1" si="258"/>
        <v>0</v>
      </c>
      <c r="P1335" s="533">
        <f t="shared" ca="1" si="258"/>
        <v>0</v>
      </c>
      <c r="Q1335" s="1810">
        <f ca="1">Q1308/SUM(D1308:P1308)</f>
        <v>1</v>
      </c>
      <c r="R1335" s="518"/>
      <c r="S1335" s="892"/>
      <c r="T1335" s="341"/>
      <c r="U1335" s="341"/>
      <c r="V1335" s="341"/>
      <c r="W1335" s="341"/>
      <c r="X1335" s="341"/>
      <c r="Y1335" s="341"/>
      <c r="Z1335" s="341"/>
      <c r="AA1335" s="341"/>
      <c r="AB1335" s="341"/>
      <c r="AC1335" s="341"/>
      <c r="AD1335" s="341"/>
      <c r="AE1335" s="341"/>
      <c r="AF1335" s="341"/>
    </row>
    <row r="1336" spans="1:32" ht="18.75" customHeight="1" x14ac:dyDescent="0.2">
      <c r="A1336" s="341"/>
      <c r="B1336" s="345"/>
      <c r="C1336" s="1792" t="s">
        <v>485</v>
      </c>
      <c r="D1336" s="518"/>
      <c r="E1336" s="518"/>
      <c r="F1336" s="518"/>
      <c r="G1336" s="518"/>
      <c r="H1336" s="518"/>
      <c r="I1336" s="518"/>
      <c r="J1336" s="518"/>
      <c r="K1336" s="518"/>
      <c r="L1336" s="518"/>
      <c r="M1336" s="518"/>
      <c r="N1336" s="518"/>
      <c r="O1336" s="518"/>
      <c r="P1336" s="518"/>
      <c r="Q1336" s="1810"/>
      <c r="R1336" s="518"/>
      <c r="S1336" s="892"/>
      <c r="T1336" s="341"/>
      <c r="U1336" s="341"/>
      <c r="V1336" s="341"/>
      <c r="W1336" s="341"/>
      <c r="X1336" s="341"/>
      <c r="Y1336" s="341"/>
      <c r="Z1336" s="341"/>
      <c r="AA1336" s="341"/>
      <c r="AB1336" s="341"/>
      <c r="AC1336" s="341"/>
      <c r="AD1336" s="341"/>
      <c r="AE1336" s="341"/>
      <c r="AF1336" s="341"/>
    </row>
    <row r="1337" spans="1:32" ht="18.75" customHeight="1" x14ac:dyDescent="0.2">
      <c r="A1337" s="341"/>
      <c r="B1337" s="345"/>
      <c r="C1337" s="1792" t="s">
        <v>971</v>
      </c>
      <c r="D1337" s="533">
        <f t="shared" ref="D1337:P1337" ca="1" si="259">IF(D1310=0,0,D1310/SUM($D$1310:$P$1310))</f>
        <v>0</v>
      </c>
      <c r="E1337" s="533">
        <f t="shared" ca="1" si="259"/>
        <v>0</v>
      </c>
      <c r="F1337" s="533">
        <f t="shared" ca="1" si="259"/>
        <v>0</v>
      </c>
      <c r="G1337" s="533">
        <f t="shared" ca="1" si="259"/>
        <v>0</v>
      </c>
      <c r="H1337" s="533">
        <f t="shared" ca="1" si="259"/>
        <v>0</v>
      </c>
      <c r="I1337" s="533">
        <f t="shared" ca="1" si="259"/>
        <v>0</v>
      </c>
      <c r="J1337" s="533">
        <f t="shared" ca="1" si="259"/>
        <v>0</v>
      </c>
      <c r="K1337" s="533">
        <f t="shared" si="259"/>
        <v>0</v>
      </c>
      <c r="L1337" s="533">
        <f t="shared" ca="1" si="259"/>
        <v>0</v>
      </c>
      <c r="M1337" s="533">
        <f t="shared" ca="1" si="259"/>
        <v>0</v>
      </c>
      <c r="N1337" s="533">
        <f t="shared" ca="1" si="259"/>
        <v>0</v>
      </c>
      <c r="O1337" s="533">
        <f t="shared" ca="1" si="259"/>
        <v>0</v>
      </c>
      <c r="P1337" s="533">
        <f t="shared" ca="1" si="259"/>
        <v>0</v>
      </c>
      <c r="Q1337" s="1810">
        <f ca="1">IF(SUM(D1310:P1310)&gt;0,Q1310/SUM(D1310:P1310),0)</f>
        <v>0</v>
      </c>
      <c r="R1337" s="518"/>
      <c r="S1337" s="892"/>
      <c r="T1337" s="341"/>
      <c r="U1337" s="341"/>
      <c r="V1337" s="341"/>
      <c r="W1337" s="341"/>
      <c r="X1337" s="341"/>
      <c r="Y1337" s="341"/>
      <c r="Z1337" s="341"/>
      <c r="AA1337" s="341"/>
      <c r="AB1337" s="341"/>
      <c r="AC1337" s="341"/>
      <c r="AD1337" s="341"/>
      <c r="AE1337" s="341"/>
      <c r="AF1337" s="341"/>
    </row>
    <row r="1338" spans="1:32" ht="18.75" customHeight="1" x14ac:dyDescent="0.2">
      <c r="A1338" s="341"/>
      <c r="B1338" s="345"/>
      <c r="C1338" s="1792" t="s">
        <v>90</v>
      </c>
      <c r="D1338" s="533">
        <f t="shared" ref="D1338:P1338" ca="1" si="260">IF($Q$1311=0,0,D1311/SUM($D$1311:$P$1311))</f>
        <v>0.59350177207186794</v>
      </c>
      <c r="E1338" s="533">
        <f t="shared" ca="1" si="260"/>
        <v>0.27951185185958133</v>
      </c>
      <c r="F1338" s="533">
        <f t="shared" ca="1" si="260"/>
        <v>0.12698637606855073</v>
      </c>
      <c r="G1338" s="533">
        <f t="shared" ca="1" si="260"/>
        <v>0</v>
      </c>
      <c r="H1338" s="533">
        <f t="shared" ca="1" si="260"/>
        <v>0</v>
      </c>
      <c r="I1338" s="533">
        <f t="shared" ca="1" si="260"/>
        <v>0</v>
      </c>
      <c r="J1338" s="533">
        <f t="shared" ca="1" si="260"/>
        <v>0</v>
      </c>
      <c r="K1338" s="533">
        <f t="shared" ca="1" si="260"/>
        <v>0</v>
      </c>
      <c r="L1338" s="533">
        <f t="shared" ca="1" si="260"/>
        <v>0</v>
      </c>
      <c r="M1338" s="533">
        <f t="shared" ca="1" si="260"/>
        <v>0</v>
      </c>
      <c r="N1338" s="533">
        <f t="shared" ca="1" si="260"/>
        <v>0</v>
      </c>
      <c r="O1338" s="533">
        <f t="shared" ca="1" si="260"/>
        <v>0</v>
      </c>
      <c r="P1338" s="533">
        <f t="shared" ca="1" si="260"/>
        <v>0</v>
      </c>
      <c r="Q1338" s="1810">
        <f ca="1">$Q$1311/SUM(D1311:P1311)</f>
        <v>1</v>
      </c>
      <c r="R1338" s="518"/>
      <c r="S1338" s="892"/>
      <c r="T1338" s="341"/>
      <c r="U1338" s="341"/>
      <c r="V1338" s="341"/>
      <c r="W1338" s="341"/>
      <c r="X1338" s="341"/>
      <c r="Y1338" s="341"/>
      <c r="Z1338" s="341"/>
      <c r="AA1338" s="341"/>
      <c r="AB1338" s="341"/>
      <c r="AC1338" s="341"/>
      <c r="AD1338" s="341"/>
      <c r="AE1338" s="341"/>
      <c r="AF1338" s="341"/>
    </row>
    <row r="1339" spans="1:32" ht="18.75" customHeight="1" x14ac:dyDescent="0.2">
      <c r="A1339" s="341"/>
      <c r="B1339" s="345"/>
      <c r="C1339" s="1792" t="s">
        <v>392</v>
      </c>
      <c r="D1339" s="518"/>
      <c r="E1339" s="518"/>
      <c r="F1339" s="518"/>
      <c r="G1339" s="518"/>
      <c r="H1339" s="518"/>
      <c r="I1339" s="518"/>
      <c r="J1339" s="518"/>
      <c r="K1339" s="518"/>
      <c r="L1339" s="518"/>
      <c r="M1339" s="518"/>
      <c r="N1339" s="518"/>
      <c r="O1339" s="518"/>
      <c r="P1339" s="518"/>
      <c r="Q1339" s="1810">
        <f ca="1">Q1312/SUM(D1312:P1312)</f>
        <v>1</v>
      </c>
      <c r="R1339" s="518"/>
      <c r="S1339" s="892"/>
      <c r="T1339" s="341"/>
      <c r="U1339" s="341"/>
      <c r="V1339" s="341"/>
      <c r="W1339" s="341"/>
      <c r="X1339" s="341"/>
      <c r="Y1339" s="341"/>
      <c r="Z1339" s="341"/>
      <c r="AA1339" s="341"/>
      <c r="AB1339" s="341"/>
      <c r="AC1339" s="341"/>
      <c r="AD1339" s="341"/>
      <c r="AE1339" s="341"/>
      <c r="AF1339" s="341"/>
    </row>
    <row r="1340" spans="1:32" ht="18.75" customHeight="1" x14ac:dyDescent="0.2">
      <c r="A1340" s="341"/>
      <c r="B1340" s="345"/>
      <c r="C1340" s="1792" t="s">
        <v>1027</v>
      </c>
      <c r="D1340" s="518"/>
      <c r="E1340" s="518"/>
      <c r="F1340" s="518"/>
      <c r="G1340" s="518"/>
      <c r="H1340" s="518"/>
      <c r="I1340" s="518"/>
      <c r="J1340" s="518"/>
      <c r="K1340" s="518"/>
      <c r="L1340" s="518"/>
      <c r="M1340" s="518"/>
      <c r="N1340" s="518"/>
      <c r="O1340" s="518"/>
      <c r="P1340" s="518"/>
      <c r="Q1340" s="1810"/>
      <c r="R1340" s="518"/>
      <c r="S1340" s="892"/>
      <c r="T1340" s="341"/>
      <c r="U1340" s="341"/>
      <c r="V1340" s="341"/>
      <c r="W1340" s="341"/>
      <c r="X1340" s="341"/>
      <c r="Y1340" s="341"/>
      <c r="Z1340" s="341"/>
      <c r="AA1340" s="341"/>
      <c r="AB1340" s="341"/>
      <c r="AC1340" s="341"/>
      <c r="AD1340" s="341"/>
      <c r="AE1340" s="341"/>
      <c r="AF1340" s="341"/>
    </row>
    <row r="1341" spans="1:32" ht="18.75" customHeight="1" x14ac:dyDescent="0.2">
      <c r="A1341" s="341"/>
      <c r="B1341" s="345"/>
      <c r="C1341" s="1792" t="s">
        <v>1036</v>
      </c>
      <c r="D1341" s="533">
        <f t="shared" ref="D1341:P1341" ca="1" si="261">IF($Q$1314=0,0,D1314/SUM($D$1314:$P$1314))</f>
        <v>0</v>
      </c>
      <c r="E1341" s="533">
        <f t="shared" ca="1" si="261"/>
        <v>0</v>
      </c>
      <c r="F1341" s="533">
        <f t="shared" ca="1" si="261"/>
        <v>0</v>
      </c>
      <c r="G1341" s="533">
        <f t="shared" ca="1" si="261"/>
        <v>0</v>
      </c>
      <c r="H1341" s="533">
        <f t="shared" ca="1" si="261"/>
        <v>0</v>
      </c>
      <c r="I1341" s="533">
        <f t="shared" ca="1" si="261"/>
        <v>0</v>
      </c>
      <c r="J1341" s="533">
        <f t="shared" ca="1" si="261"/>
        <v>0</v>
      </c>
      <c r="K1341" s="533">
        <f t="shared" ca="1" si="261"/>
        <v>0</v>
      </c>
      <c r="L1341" s="533">
        <f t="shared" ca="1" si="261"/>
        <v>0</v>
      </c>
      <c r="M1341" s="533">
        <f t="shared" ca="1" si="261"/>
        <v>0</v>
      </c>
      <c r="N1341" s="533">
        <f t="shared" ca="1" si="261"/>
        <v>0</v>
      </c>
      <c r="O1341" s="533">
        <f t="shared" ca="1" si="261"/>
        <v>0</v>
      </c>
      <c r="P1341" s="533">
        <f t="shared" ca="1" si="261"/>
        <v>0</v>
      </c>
      <c r="Q1341" s="1810">
        <f ca="1">IF(SUM(D1314:P1314)&gt;0,Q1314/SUM(D1314:P1314),0)</f>
        <v>0</v>
      </c>
      <c r="R1341" s="518"/>
      <c r="S1341" s="892"/>
      <c r="T1341" s="341"/>
      <c r="U1341" s="341"/>
      <c r="V1341" s="341"/>
      <c r="W1341" s="341"/>
      <c r="X1341" s="341"/>
      <c r="Y1341" s="341"/>
      <c r="Z1341" s="341"/>
      <c r="AA1341" s="341"/>
      <c r="AB1341" s="341"/>
      <c r="AC1341" s="341"/>
      <c r="AD1341" s="341"/>
      <c r="AE1341" s="341"/>
      <c r="AF1341" s="341"/>
    </row>
    <row r="1342" spans="1:32" ht="18.75" customHeight="1" x14ac:dyDescent="0.2">
      <c r="A1342" s="341"/>
      <c r="B1342" s="345"/>
      <c r="C1342" s="1792" t="s">
        <v>1037</v>
      </c>
      <c r="D1342" s="533">
        <f t="shared" ref="D1342:P1342" ca="1" si="262">IF($Q$1315=0,0,D1315/SUM($D$1315:$P$1315))</f>
        <v>0</v>
      </c>
      <c r="E1342" s="533">
        <f t="shared" ca="1" si="262"/>
        <v>0</v>
      </c>
      <c r="F1342" s="533">
        <f t="shared" ca="1" si="262"/>
        <v>0</v>
      </c>
      <c r="G1342" s="533">
        <f t="shared" ca="1" si="262"/>
        <v>0</v>
      </c>
      <c r="H1342" s="533">
        <f t="shared" ca="1" si="262"/>
        <v>0</v>
      </c>
      <c r="I1342" s="533">
        <f t="shared" ca="1" si="262"/>
        <v>0</v>
      </c>
      <c r="J1342" s="533">
        <f t="shared" ca="1" si="262"/>
        <v>0</v>
      </c>
      <c r="K1342" s="533">
        <f t="shared" ca="1" si="262"/>
        <v>0</v>
      </c>
      <c r="L1342" s="533">
        <f t="shared" ca="1" si="262"/>
        <v>0</v>
      </c>
      <c r="M1342" s="533">
        <f t="shared" ca="1" si="262"/>
        <v>0</v>
      </c>
      <c r="N1342" s="533">
        <f t="shared" ca="1" si="262"/>
        <v>0</v>
      </c>
      <c r="O1342" s="533">
        <f t="shared" ca="1" si="262"/>
        <v>0</v>
      </c>
      <c r="P1342" s="533">
        <f t="shared" ca="1" si="262"/>
        <v>0</v>
      </c>
      <c r="Q1342" s="1810">
        <f ca="1">IF(SUM(D1315:P1315)&gt;0,Q1315/SUM(D1315:P1315),0)</f>
        <v>0</v>
      </c>
      <c r="R1342" s="518"/>
      <c r="S1342" s="892"/>
      <c r="T1342" s="341"/>
      <c r="U1342" s="341"/>
      <c r="V1342" s="341"/>
      <c r="W1342" s="341"/>
      <c r="X1342" s="341"/>
      <c r="Y1342" s="341"/>
      <c r="Z1342" s="341"/>
      <c r="AA1342" s="341"/>
      <c r="AB1342" s="341"/>
      <c r="AC1342" s="341"/>
      <c r="AD1342" s="341"/>
      <c r="AE1342" s="341"/>
      <c r="AF1342" s="341"/>
    </row>
    <row r="1343" spans="1:32" ht="18.75" customHeight="1" x14ac:dyDescent="0.2">
      <c r="A1343" s="341"/>
      <c r="B1343" s="345"/>
      <c r="C1343" s="1792" t="s">
        <v>1034</v>
      </c>
      <c r="D1343" s="533">
        <f t="shared" ref="D1343:P1343" ca="1" si="263">IF($Q$1316=0,0,D1316/SUM($D$1316:$P$1316))</f>
        <v>0.68190851900143634</v>
      </c>
      <c r="E1343" s="533">
        <f t="shared" ca="1" si="263"/>
        <v>0.20739072888133975</v>
      </c>
      <c r="F1343" s="533">
        <f t="shared" ca="1" si="263"/>
        <v>0.11070075211722395</v>
      </c>
      <c r="G1343" s="533">
        <f t="shared" ca="1" si="263"/>
        <v>0</v>
      </c>
      <c r="H1343" s="533">
        <f t="shared" ca="1" si="263"/>
        <v>0</v>
      </c>
      <c r="I1343" s="533">
        <f t="shared" ca="1" si="263"/>
        <v>0</v>
      </c>
      <c r="J1343" s="533">
        <f t="shared" ca="1" si="263"/>
        <v>0</v>
      </c>
      <c r="K1343" s="533">
        <f t="shared" ca="1" si="263"/>
        <v>0</v>
      </c>
      <c r="L1343" s="533">
        <f t="shared" ca="1" si="263"/>
        <v>0</v>
      </c>
      <c r="M1343" s="533">
        <f t="shared" ca="1" si="263"/>
        <v>0</v>
      </c>
      <c r="N1343" s="533">
        <f t="shared" ca="1" si="263"/>
        <v>0</v>
      </c>
      <c r="O1343" s="533">
        <f t="shared" ca="1" si="263"/>
        <v>0</v>
      </c>
      <c r="P1343" s="533">
        <f t="shared" ca="1" si="263"/>
        <v>0</v>
      </c>
      <c r="Q1343" s="1810">
        <f ca="1">Q1316/SUM(D1316:P1316)</f>
        <v>1</v>
      </c>
      <c r="R1343" s="518"/>
      <c r="S1343" s="892"/>
      <c r="T1343" s="341"/>
      <c r="U1343" s="341"/>
      <c r="V1343" s="341"/>
      <c r="W1343" s="341"/>
      <c r="X1343" s="341"/>
      <c r="Y1343" s="341"/>
      <c r="Z1343" s="341"/>
      <c r="AA1343" s="341"/>
      <c r="AB1343" s="341"/>
      <c r="AC1343" s="341"/>
      <c r="AD1343" s="341"/>
      <c r="AE1343" s="341"/>
      <c r="AF1343" s="341"/>
    </row>
    <row r="1344" spans="1:32" ht="18.75" customHeight="1" x14ac:dyDescent="0.2">
      <c r="A1344" s="341"/>
      <c r="B1344" s="345"/>
      <c r="C1344" s="1792" t="s">
        <v>1028</v>
      </c>
      <c r="D1344" s="533">
        <f t="shared" ref="D1344:P1344" ca="1" si="264">IF($Q$1317=0,0,D1317/SUM($D$1317:$P$1317))</f>
        <v>0</v>
      </c>
      <c r="E1344" s="533">
        <f t="shared" ca="1" si="264"/>
        <v>0</v>
      </c>
      <c r="F1344" s="533">
        <f t="shared" ca="1" si="264"/>
        <v>0</v>
      </c>
      <c r="G1344" s="533">
        <f t="shared" ca="1" si="264"/>
        <v>0</v>
      </c>
      <c r="H1344" s="533">
        <f t="shared" ca="1" si="264"/>
        <v>0</v>
      </c>
      <c r="I1344" s="533">
        <f t="shared" ca="1" si="264"/>
        <v>0</v>
      </c>
      <c r="J1344" s="533">
        <f t="shared" ca="1" si="264"/>
        <v>0</v>
      </c>
      <c r="K1344" s="533">
        <f t="shared" ca="1" si="264"/>
        <v>0</v>
      </c>
      <c r="L1344" s="533">
        <f t="shared" ca="1" si="264"/>
        <v>0</v>
      </c>
      <c r="M1344" s="533">
        <f t="shared" ca="1" si="264"/>
        <v>0</v>
      </c>
      <c r="N1344" s="533">
        <f t="shared" ca="1" si="264"/>
        <v>0</v>
      </c>
      <c r="O1344" s="533">
        <f t="shared" ca="1" si="264"/>
        <v>0</v>
      </c>
      <c r="P1344" s="533">
        <f t="shared" ca="1" si="264"/>
        <v>0</v>
      </c>
      <c r="Q1344" s="1810">
        <f ca="1">IF(SUM(D1317:P1317)&gt;0,Q1317/SUM(D1317:P1317),0)</f>
        <v>0</v>
      </c>
      <c r="R1344" s="518"/>
      <c r="S1344" s="892"/>
      <c r="T1344" s="341"/>
      <c r="U1344" s="341"/>
      <c r="V1344" s="341"/>
      <c r="W1344" s="341"/>
      <c r="X1344" s="341"/>
      <c r="Y1344" s="341"/>
      <c r="Z1344" s="341"/>
      <c r="AA1344" s="341"/>
      <c r="AB1344" s="341"/>
      <c r="AC1344" s="341"/>
      <c r="AD1344" s="341"/>
      <c r="AE1344" s="341"/>
      <c r="AF1344" s="341"/>
    </row>
    <row r="1345" spans="1:32" ht="18.75" customHeight="1" x14ac:dyDescent="0.2">
      <c r="A1345" s="341"/>
      <c r="B1345" s="345"/>
      <c r="C1345" s="1792" t="s">
        <v>1029</v>
      </c>
      <c r="D1345" s="533">
        <f t="shared" ref="D1345:P1345" ca="1" si="265">IF($Q$1318=0,0,D1318/SUM($D$1318:$P$1318))</f>
        <v>0.68190851900143634</v>
      </c>
      <c r="E1345" s="533">
        <f t="shared" ca="1" si="265"/>
        <v>0.20739072888133975</v>
      </c>
      <c r="F1345" s="533">
        <f t="shared" ca="1" si="265"/>
        <v>0.11070075211722397</v>
      </c>
      <c r="G1345" s="533">
        <f t="shared" ca="1" si="265"/>
        <v>0</v>
      </c>
      <c r="H1345" s="533">
        <f t="shared" ca="1" si="265"/>
        <v>0</v>
      </c>
      <c r="I1345" s="533">
        <f t="shared" ca="1" si="265"/>
        <v>0</v>
      </c>
      <c r="J1345" s="533">
        <f t="shared" ca="1" si="265"/>
        <v>0</v>
      </c>
      <c r="K1345" s="533">
        <f t="shared" ca="1" si="265"/>
        <v>0</v>
      </c>
      <c r="L1345" s="533">
        <f t="shared" ca="1" si="265"/>
        <v>0</v>
      </c>
      <c r="M1345" s="533">
        <f t="shared" ca="1" si="265"/>
        <v>0</v>
      </c>
      <c r="N1345" s="533">
        <f t="shared" ca="1" si="265"/>
        <v>0</v>
      </c>
      <c r="O1345" s="533">
        <f t="shared" ca="1" si="265"/>
        <v>0</v>
      </c>
      <c r="P1345" s="533">
        <f t="shared" ca="1" si="265"/>
        <v>0</v>
      </c>
      <c r="Q1345" s="1810">
        <f ca="1">Q1318/SUM(D1318:P1318)</f>
        <v>1</v>
      </c>
      <c r="R1345" s="518"/>
      <c r="S1345" s="892"/>
      <c r="T1345" s="341"/>
      <c r="U1345" s="341"/>
      <c r="V1345" s="341"/>
      <c r="W1345" s="341"/>
      <c r="X1345" s="341"/>
      <c r="Y1345" s="341"/>
      <c r="Z1345" s="341"/>
      <c r="AA1345" s="341"/>
      <c r="AB1345" s="341"/>
      <c r="AC1345" s="341"/>
      <c r="AD1345" s="341"/>
      <c r="AE1345" s="341"/>
      <c r="AF1345" s="341"/>
    </row>
    <row r="1346" spans="1:32" ht="18.75" customHeight="1" x14ac:dyDescent="0.2">
      <c r="A1346" s="341"/>
      <c r="B1346" s="345"/>
      <c r="C1346" s="1792" t="s">
        <v>1038</v>
      </c>
      <c r="D1346" s="533">
        <f t="shared" ref="D1346:P1346" ca="1" si="266">IF($Q$1319=0,0,D1319/SUM($D$1319:$P$1319))</f>
        <v>0</v>
      </c>
      <c r="E1346" s="533">
        <f t="shared" ca="1" si="266"/>
        <v>0</v>
      </c>
      <c r="F1346" s="533">
        <f t="shared" ca="1" si="266"/>
        <v>0</v>
      </c>
      <c r="G1346" s="533">
        <f t="shared" ca="1" si="266"/>
        <v>0</v>
      </c>
      <c r="H1346" s="533">
        <f t="shared" ca="1" si="266"/>
        <v>0</v>
      </c>
      <c r="I1346" s="533">
        <f t="shared" ca="1" si="266"/>
        <v>0</v>
      </c>
      <c r="J1346" s="533">
        <f t="shared" ca="1" si="266"/>
        <v>0</v>
      </c>
      <c r="K1346" s="533">
        <f t="shared" ca="1" si="266"/>
        <v>0</v>
      </c>
      <c r="L1346" s="533">
        <f t="shared" ca="1" si="266"/>
        <v>0</v>
      </c>
      <c r="M1346" s="533">
        <f t="shared" ca="1" si="266"/>
        <v>0</v>
      </c>
      <c r="N1346" s="533">
        <f t="shared" ca="1" si="266"/>
        <v>0</v>
      </c>
      <c r="O1346" s="533">
        <f t="shared" ca="1" si="266"/>
        <v>0</v>
      </c>
      <c r="P1346" s="533">
        <f t="shared" ca="1" si="266"/>
        <v>0</v>
      </c>
      <c r="Q1346" s="1810">
        <f ca="1">IF(SUM(D1319:P1319)&gt;0,Q1319/SUM(D1319:P1319),0)</f>
        <v>0</v>
      </c>
      <c r="R1346" s="518"/>
      <c r="S1346" s="892"/>
      <c r="T1346" s="341"/>
      <c r="U1346" s="341"/>
      <c r="V1346" s="341"/>
      <c r="W1346" s="341"/>
      <c r="X1346" s="341"/>
      <c r="Y1346" s="341"/>
      <c r="Z1346" s="341"/>
      <c r="AA1346" s="341"/>
      <c r="AB1346" s="341"/>
      <c r="AC1346" s="341"/>
      <c r="AD1346" s="341"/>
      <c r="AE1346" s="341"/>
      <c r="AF1346" s="341"/>
    </row>
    <row r="1347" spans="1:32" ht="18.75" customHeight="1" x14ac:dyDescent="0.2">
      <c r="A1347" s="341"/>
      <c r="B1347" s="345"/>
      <c r="C1347" s="1792" t="s">
        <v>1039</v>
      </c>
      <c r="D1347" s="533">
        <f t="shared" ref="D1347:P1347" ca="1" si="267">IF($Q$1320=0,0,D1320/SUM($D$1320:$P$1320))</f>
        <v>0.68190851900143634</v>
      </c>
      <c r="E1347" s="533">
        <f t="shared" ca="1" si="267"/>
        <v>0.20739072888133972</v>
      </c>
      <c r="F1347" s="533">
        <f t="shared" ca="1" si="267"/>
        <v>0.11070075211722395</v>
      </c>
      <c r="G1347" s="533">
        <f t="shared" ca="1" si="267"/>
        <v>0</v>
      </c>
      <c r="H1347" s="533">
        <f t="shared" ca="1" si="267"/>
        <v>0</v>
      </c>
      <c r="I1347" s="533">
        <f t="shared" ca="1" si="267"/>
        <v>0</v>
      </c>
      <c r="J1347" s="533">
        <f t="shared" ca="1" si="267"/>
        <v>0</v>
      </c>
      <c r="K1347" s="533">
        <f t="shared" ca="1" si="267"/>
        <v>0</v>
      </c>
      <c r="L1347" s="533">
        <f t="shared" ca="1" si="267"/>
        <v>0</v>
      </c>
      <c r="M1347" s="533">
        <f t="shared" ca="1" si="267"/>
        <v>0</v>
      </c>
      <c r="N1347" s="533">
        <f t="shared" ca="1" si="267"/>
        <v>0</v>
      </c>
      <c r="O1347" s="533">
        <f t="shared" ca="1" si="267"/>
        <v>0</v>
      </c>
      <c r="P1347" s="533">
        <f t="shared" ca="1" si="267"/>
        <v>0</v>
      </c>
      <c r="Q1347" s="1810">
        <f ca="1">Q1320/SUM(D1320:P1320)</f>
        <v>1</v>
      </c>
      <c r="R1347" s="518"/>
      <c r="S1347" s="892"/>
      <c r="T1347" s="341"/>
      <c r="U1347" s="341"/>
      <c r="V1347" s="341"/>
      <c r="W1347" s="341"/>
      <c r="X1347" s="341"/>
      <c r="Y1347" s="341"/>
      <c r="Z1347" s="341"/>
      <c r="AA1347" s="341"/>
      <c r="AB1347" s="341"/>
      <c r="AC1347" s="341"/>
      <c r="AD1347" s="341"/>
      <c r="AE1347" s="341"/>
      <c r="AF1347" s="341"/>
    </row>
    <row r="1348" spans="1:32" ht="18.75" customHeight="1" x14ac:dyDescent="0.2">
      <c r="A1348" s="341"/>
      <c r="B1348" s="345"/>
      <c r="C1348" s="1792" t="s">
        <v>1053</v>
      </c>
      <c r="D1348" s="533">
        <f t="shared" ref="D1348:P1348" ca="1" si="268">IF($Q$1321=0,0,D1321/SUM($D$1321:$P$1321))</f>
        <v>0.68190851900143634</v>
      </c>
      <c r="E1348" s="533">
        <f t="shared" ca="1" si="268"/>
        <v>0.20739072888133969</v>
      </c>
      <c r="F1348" s="533">
        <f t="shared" ca="1" si="268"/>
        <v>0.11070075211722399</v>
      </c>
      <c r="G1348" s="533">
        <f t="shared" ca="1" si="268"/>
        <v>0</v>
      </c>
      <c r="H1348" s="533">
        <f t="shared" ca="1" si="268"/>
        <v>0</v>
      </c>
      <c r="I1348" s="533">
        <f t="shared" ca="1" si="268"/>
        <v>0</v>
      </c>
      <c r="J1348" s="533">
        <f t="shared" ca="1" si="268"/>
        <v>0</v>
      </c>
      <c r="K1348" s="533">
        <f t="shared" ca="1" si="268"/>
        <v>0</v>
      </c>
      <c r="L1348" s="533">
        <f t="shared" ca="1" si="268"/>
        <v>0</v>
      </c>
      <c r="M1348" s="533">
        <f t="shared" ca="1" si="268"/>
        <v>0</v>
      </c>
      <c r="N1348" s="533">
        <f t="shared" ca="1" si="268"/>
        <v>0</v>
      </c>
      <c r="O1348" s="533">
        <f t="shared" ca="1" si="268"/>
        <v>0</v>
      </c>
      <c r="P1348" s="533">
        <f t="shared" ca="1" si="268"/>
        <v>0</v>
      </c>
      <c r="Q1348" s="1810">
        <f ca="1">Q1321/SUM(D1321:P1321)</f>
        <v>1</v>
      </c>
      <c r="R1348" s="518"/>
      <c r="S1348" s="892"/>
      <c r="T1348" s="341"/>
      <c r="U1348" s="341"/>
      <c r="V1348" s="341"/>
      <c r="W1348" s="341"/>
      <c r="X1348" s="341"/>
      <c r="Y1348" s="341"/>
      <c r="Z1348" s="341"/>
      <c r="AA1348" s="341"/>
      <c r="AB1348" s="341"/>
      <c r="AC1348" s="341"/>
      <c r="AD1348" s="341"/>
      <c r="AE1348" s="341"/>
      <c r="AF1348" s="341"/>
    </row>
    <row r="1349" spans="1:32" ht="18.75" customHeight="1" x14ac:dyDescent="0.2">
      <c r="A1349" s="341"/>
      <c r="B1349" s="345"/>
      <c r="C1349" s="1792" t="s">
        <v>1051</v>
      </c>
      <c r="D1349" s="533">
        <f t="shared" ref="D1349:P1349" ca="1" si="269">IF($Q$1322=0,0,D1322/SUM($D$1322:$P$1322))</f>
        <v>0.80845345712167505</v>
      </c>
      <c r="E1349" s="533">
        <f t="shared" ca="1" si="269"/>
        <v>0</v>
      </c>
      <c r="F1349" s="533">
        <f t="shared" ca="1" si="269"/>
        <v>0.19154654287832493</v>
      </c>
      <c r="G1349" s="533">
        <f t="shared" ca="1" si="269"/>
        <v>0</v>
      </c>
      <c r="H1349" s="533">
        <f t="shared" ca="1" si="269"/>
        <v>0</v>
      </c>
      <c r="I1349" s="533">
        <f t="shared" ca="1" si="269"/>
        <v>0</v>
      </c>
      <c r="J1349" s="533">
        <f t="shared" ca="1" si="269"/>
        <v>0</v>
      </c>
      <c r="K1349" s="533">
        <f t="shared" ca="1" si="269"/>
        <v>0</v>
      </c>
      <c r="L1349" s="533">
        <f t="shared" ca="1" si="269"/>
        <v>0</v>
      </c>
      <c r="M1349" s="533">
        <f t="shared" ca="1" si="269"/>
        <v>0</v>
      </c>
      <c r="N1349" s="533">
        <f t="shared" ca="1" si="269"/>
        <v>0</v>
      </c>
      <c r="O1349" s="533">
        <f t="shared" ca="1" si="269"/>
        <v>0</v>
      </c>
      <c r="P1349" s="533">
        <f t="shared" ca="1" si="269"/>
        <v>0</v>
      </c>
      <c r="Q1349" s="1810">
        <f ca="1">Q1322/SUM(D1322:P1322)</f>
        <v>1</v>
      </c>
      <c r="R1349" s="518"/>
      <c r="S1349" s="892"/>
      <c r="T1349" s="341"/>
      <c r="U1349" s="341"/>
      <c r="V1349" s="341"/>
      <c r="W1349" s="341"/>
      <c r="X1349" s="341"/>
      <c r="Y1349" s="341"/>
      <c r="Z1349" s="341"/>
      <c r="AA1349" s="341"/>
      <c r="AB1349" s="341"/>
      <c r="AC1349" s="341"/>
      <c r="AD1349" s="341"/>
      <c r="AE1349" s="341"/>
      <c r="AF1349" s="341"/>
    </row>
    <row r="1350" spans="1:32" ht="18.75" customHeight="1" x14ac:dyDescent="0.2">
      <c r="A1350" s="341"/>
      <c r="B1350" s="345"/>
      <c r="C1350" s="1792" t="s">
        <v>976</v>
      </c>
      <c r="D1350" s="533">
        <f t="shared" ref="D1350:P1350" ca="1" si="270">IF($Q$1323=0,0,D1323/SUM($D$1323:$P$1323))</f>
        <v>0</v>
      </c>
      <c r="E1350" s="533">
        <f t="shared" ca="1" si="270"/>
        <v>0</v>
      </c>
      <c r="F1350" s="533">
        <f t="shared" ca="1" si="270"/>
        <v>0</v>
      </c>
      <c r="G1350" s="533">
        <f t="shared" ca="1" si="270"/>
        <v>0</v>
      </c>
      <c r="H1350" s="533">
        <f t="shared" ca="1" si="270"/>
        <v>0</v>
      </c>
      <c r="I1350" s="533">
        <f t="shared" ca="1" si="270"/>
        <v>0</v>
      </c>
      <c r="J1350" s="533">
        <f t="shared" ca="1" si="270"/>
        <v>0</v>
      </c>
      <c r="K1350" s="533">
        <f t="shared" ca="1" si="270"/>
        <v>0</v>
      </c>
      <c r="L1350" s="533">
        <f t="shared" ca="1" si="270"/>
        <v>0</v>
      </c>
      <c r="M1350" s="533">
        <f t="shared" ca="1" si="270"/>
        <v>0</v>
      </c>
      <c r="N1350" s="533">
        <f t="shared" ca="1" si="270"/>
        <v>0</v>
      </c>
      <c r="O1350" s="533">
        <f t="shared" ca="1" si="270"/>
        <v>0</v>
      </c>
      <c r="P1350" s="533">
        <f t="shared" ca="1" si="270"/>
        <v>0</v>
      </c>
      <c r="Q1350" s="1810">
        <f ca="1">IF(SUM(D1323:P1323)&gt;0,Q1323/SUM(D1323:P1323),0)</f>
        <v>0</v>
      </c>
      <c r="R1350" s="518"/>
      <c r="S1350" s="892"/>
      <c r="T1350" s="341"/>
      <c r="U1350" s="341"/>
      <c r="V1350" s="341"/>
      <c r="W1350" s="341"/>
      <c r="X1350" s="341"/>
      <c r="Y1350" s="341"/>
      <c r="Z1350" s="341"/>
      <c r="AA1350" s="341"/>
      <c r="AB1350" s="341"/>
      <c r="AC1350" s="341"/>
      <c r="AD1350" s="341"/>
      <c r="AE1350" s="341"/>
      <c r="AF1350" s="341"/>
    </row>
    <row r="1351" spans="1:32" ht="18.75" customHeight="1" x14ac:dyDescent="0.2">
      <c r="A1351" s="341"/>
      <c r="B1351" s="345"/>
      <c r="C1351" s="1793" t="str">
        <f>C1213</f>
        <v>Surplus of Hydrogen from reformer</v>
      </c>
      <c r="D1351" s="1811">
        <f t="shared" ref="D1351:Q1351" ca="1" si="271">IF(SUM($D$1326:$P$1326)&gt;0,D1326/SUM($D$1326:$P$1326),0)</f>
        <v>0</v>
      </c>
      <c r="E1351" s="1811">
        <f t="shared" ca="1" si="271"/>
        <v>0</v>
      </c>
      <c r="F1351" s="1811">
        <f t="shared" ca="1" si="271"/>
        <v>0</v>
      </c>
      <c r="G1351" s="1811">
        <f t="shared" ca="1" si="271"/>
        <v>0</v>
      </c>
      <c r="H1351" s="1811">
        <f t="shared" ca="1" si="271"/>
        <v>0</v>
      </c>
      <c r="I1351" s="1811">
        <f t="shared" ca="1" si="271"/>
        <v>0</v>
      </c>
      <c r="J1351" s="1811">
        <f t="shared" ca="1" si="271"/>
        <v>0</v>
      </c>
      <c r="K1351" s="1811">
        <f t="shared" ca="1" si="271"/>
        <v>0</v>
      </c>
      <c r="L1351" s="1811">
        <f t="shared" ca="1" si="271"/>
        <v>0</v>
      </c>
      <c r="M1351" s="1811">
        <f t="shared" ca="1" si="271"/>
        <v>0</v>
      </c>
      <c r="N1351" s="1811">
        <f t="shared" ca="1" si="271"/>
        <v>0</v>
      </c>
      <c r="O1351" s="1811">
        <f t="shared" ca="1" si="271"/>
        <v>0</v>
      </c>
      <c r="P1351" s="1811">
        <f t="shared" ca="1" si="271"/>
        <v>0</v>
      </c>
      <c r="Q1351" s="1812">
        <f t="shared" ca="1" si="271"/>
        <v>0</v>
      </c>
      <c r="R1351" s="518"/>
      <c r="S1351" s="892"/>
      <c r="T1351" s="341"/>
      <c r="U1351" s="341"/>
      <c r="V1351" s="341"/>
      <c r="W1351" s="341"/>
      <c r="X1351" s="341"/>
      <c r="Y1351" s="341"/>
      <c r="Z1351" s="341"/>
      <c r="AA1351" s="341"/>
      <c r="AB1351" s="341"/>
      <c r="AC1351" s="341"/>
      <c r="AD1351" s="341"/>
      <c r="AE1351" s="341"/>
      <c r="AF1351" s="341"/>
    </row>
    <row r="1352" spans="1:32" ht="18.75" customHeight="1" x14ac:dyDescent="0.2">
      <c r="A1352" s="341"/>
      <c r="B1352" s="345"/>
      <c r="C1352" s="519"/>
      <c r="D1352" s="533"/>
      <c r="E1352" s="533"/>
      <c r="F1352" s="533"/>
      <c r="G1352" s="533"/>
      <c r="H1352" s="533"/>
      <c r="I1352" s="533"/>
      <c r="J1352" s="533"/>
      <c r="K1352" s="533"/>
      <c r="L1352" s="533"/>
      <c r="M1352" s="533"/>
      <c r="N1352" s="533"/>
      <c r="O1352" s="533"/>
      <c r="P1352" s="533"/>
      <c r="Q1352" s="533"/>
      <c r="R1352" s="518"/>
      <c r="S1352" s="892"/>
      <c r="T1352" s="341"/>
      <c r="U1352" s="341"/>
      <c r="V1352" s="341"/>
      <c r="W1352" s="341"/>
      <c r="X1352" s="341"/>
      <c r="Y1352" s="341"/>
      <c r="Z1352" s="341"/>
      <c r="AA1352" s="341"/>
      <c r="AB1352" s="341"/>
      <c r="AC1352" s="341"/>
      <c r="AD1352" s="341"/>
      <c r="AE1352" s="341"/>
      <c r="AF1352" s="341"/>
    </row>
    <row r="1353" spans="1:32" ht="18.75" customHeight="1" x14ac:dyDescent="0.2">
      <c r="A1353" s="341"/>
      <c r="B1353" s="345"/>
      <c r="C1353" s="440" t="s">
        <v>1406</v>
      </c>
      <c r="D1353" s="518"/>
      <c r="E1353" s="518"/>
      <c r="F1353" s="518"/>
      <c r="G1353" s="518"/>
      <c r="H1353" s="518"/>
      <c r="I1353" s="518"/>
      <c r="J1353" s="518"/>
      <c r="K1353" s="518"/>
      <c r="L1353" s="518"/>
      <c r="M1353" s="518"/>
      <c r="N1353" s="518"/>
      <c r="O1353" s="518"/>
      <c r="P1353" s="518"/>
      <c r="Q1353" s="518"/>
      <c r="R1353" s="518"/>
      <c r="S1353" s="892"/>
      <c r="T1353" s="341"/>
      <c r="U1353" s="341"/>
      <c r="V1353" s="341"/>
      <c r="W1353" s="341"/>
      <c r="X1353" s="341"/>
      <c r="Y1353" s="341"/>
      <c r="Z1353" s="341"/>
      <c r="AA1353" s="341"/>
      <c r="AB1353" s="341"/>
      <c r="AC1353" s="341"/>
      <c r="AD1353" s="341"/>
      <c r="AE1353" s="341"/>
      <c r="AF1353" s="341"/>
    </row>
    <row r="1354" spans="1:32" ht="18.75" customHeight="1" x14ac:dyDescent="0.2">
      <c r="A1354" s="341"/>
      <c r="B1354" s="345"/>
      <c r="C1354" s="1794" t="s">
        <v>160</v>
      </c>
      <c r="D1354" s="1795"/>
      <c r="E1354" s="1795"/>
      <c r="F1354" s="1795"/>
      <c r="G1354" s="1795"/>
      <c r="H1354" s="1795"/>
      <c r="I1354" s="1795"/>
      <c r="J1354" s="1795"/>
      <c r="K1354" s="1795"/>
      <c r="L1354" s="1795"/>
      <c r="M1354" s="1795"/>
      <c r="N1354" s="1795"/>
      <c r="O1354" s="1795"/>
      <c r="P1354" s="1795"/>
      <c r="Q1354" s="1796"/>
      <c r="R1354" s="518"/>
      <c r="S1354" s="892"/>
      <c r="T1354" s="341"/>
      <c r="U1354" s="341"/>
      <c r="V1354" s="341"/>
      <c r="W1354" s="341"/>
      <c r="X1354" s="341"/>
      <c r="Y1354" s="341"/>
      <c r="Z1354" s="341"/>
      <c r="AA1354" s="341"/>
      <c r="AB1354" s="341"/>
      <c r="AC1354" s="341"/>
      <c r="AD1354" s="341"/>
      <c r="AE1354" s="341"/>
      <c r="AF1354" s="341"/>
    </row>
    <row r="1355" spans="1:32" ht="18.75" customHeight="1" x14ac:dyDescent="0.2">
      <c r="A1355" s="341"/>
      <c r="B1355" s="345"/>
      <c r="C1355" s="1792" t="str">
        <f>C1303</f>
        <v>Crude</v>
      </c>
      <c r="D1355" s="533">
        <f ca="1">D1303/$D$1164</f>
        <v>1.825850910665068</v>
      </c>
      <c r="E1355" s="533">
        <f ca="1">E1303/$E$1164</f>
        <v>1.5494745319714134</v>
      </c>
      <c r="F1355" s="533">
        <f ca="1">F1303/$F$1164</f>
        <v>1.5287223920773192</v>
      </c>
      <c r="G1355" s="533">
        <f ca="1">G1303/$G$1164</f>
        <v>0</v>
      </c>
      <c r="H1355" s="533">
        <f ca="1">H1303/$H$1164</f>
        <v>0</v>
      </c>
      <c r="I1355" s="533">
        <f ca="1">IF($I$1164&lt;1,0,I1303/$I$1164)</f>
        <v>0</v>
      </c>
      <c r="J1355" s="533">
        <f ca="1">IF($J$1164&gt;1,J1303/$J$1164,0)</f>
        <v>0</v>
      </c>
      <c r="K1355" s="533">
        <f ca="1">K1303/$K$1164</f>
        <v>0</v>
      </c>
      <c r="L1355" s="533">
        <f ca="1">IF(L$1164=0,0,L1303/$L$1164)</f>
        <v>0</v>
      </c>
      <c r="M1355" s="533">
        <f ca="1">M1303/$M$1165</f>
        <v>0</v>
      </c>
      <c r="N1355" s="533">
        <f ca="1">N1303/N$1164</f>
        <v>0</v>
      </c>
      <c r="O1355" s="533">
        <f t="shared" ref="O1355" ca="1" si="272">O1303/$K$1164</f>
        <v>0</v>
      </c>
      <c r="P1355" s="533">
        <f ca="1">IF(P$1164&lt;&gt;0, P1303/$P$1164, 0)</f>
        <v>0</v>
      </c>
      <c r="Q1355" s="1810">
        <f ca="1">Q1303/$Q$1164</f>
        <v>0.98096139695166129</v>
      </c>
      <c r="R1355" s="518"/>
      <c r="S1355" s="892"/>
      <c r="T1355" s="341"/>
      <c r="U1355" s="341"/>
      <c r="V1355" s="341"/>
      <c r="W1355" s="341"/>
      <c r="X1355" s="341"/>
      <c r="Y1355" s="341"/>
      <c r="Z1355" s="341"/>
      <c r="AA1355" s="341"/>
      <c r="AB1355" s="341"/>
      <c r="AC1355" s="341"/>
      <c r="AD1355" s="341"/>
      <c r="AE1355" s="341"/>
      <c r="AF1355" s="341"/>
    </row>
    <row r="1356" spans="1:32" ht="18.75" customHeight="1" x14ac:dyDescent="0.2">
      <c r="A1356" s="341"/>
      <c r="B1356" s="345"/>
      <c r="C1356" s="1807" t="str">
        <f>C1304</f>
        <v>Process Energy</v>
      </c>
      <c r="D1356" s="1781"/>
      <c r="E1356" s="1781"/>
      <c r="F1356" s="1781"/>
      <c r="G1356" s="1781"/>
      <c r="H1356" s="1781"/>
      <c r="I1356" s="1781"/>
      <c r="J1356" s="1781"/>
      <c r="K1356" s="1781"/>
      <c r="L1356" s="1781"/>
      <c r="M1356" s="1781"/>
      <c r="N1356" s="1781"/>
      <c r="O1356" s="1781"/>
      <c r="P1356" s="1781"/>
      <c r="Q1356" s="1818"/>
      <c r="R1356" s="518"/>
      <c r="S1356" s="892"/>
      <c r="T1356" s="341"/>
      <c r="U1356" s="341"/>
      <c r="V1356" s="341"/>
      <c r="W1356" s="341"/>
      <c r="X1356" s="341"/>
      <c r="Y1356" s="341"/>
      <c r="Z1356" s="341"/>
      <c r="AA1356" s="341"/>
      <c r="AB1356" s="341"/>
      <c r="AC1356" s="341"/>
      <c r="AD1356" s="341"/>
      <c r="AE1356" s="341"/>
      <c r="AF1356" s="341"/>
    </row>
    <row r="1357" spans="1:32" ht="18.75" customHeight="1" x14ac:dyDescent="0.2">
      <c r="A1357" s="341"/>
      <c r="B1357" s="345"/>
      <c r="C1357" s="1792" t="s">
        <v>392</v>
      </c>
      <c r="D1357" s="533">
        <f ca="1">D1305/$D$1164</f>
        <v>5.1483981475435488E-3</v>
      </c>
      <c r="E1357" s="533">
        <f ca="1">E1305/$E$1164</f>
        <v>2.1157491153671985E-3</v>
      </c>
      <c r="F1357" s="533">
        <f ca="1">F1305/$F$1164</f>
        <v>1.9861576532102117E-3</v>
      </c>
      <c r="G1357" s="533">
        <f ca="1">G1305/$G$1164</f>
        <v>0</v>
      </c>
      <c r="H1357" s="533">
        <f ca="1">H1305/$H$1164</f>
        <v>0</v>
      </c>
      <c r="I1357" s="533">
        <f ca="1">IF($I$1164&lt;1,0,I1305/$I$1164)</f>
        <v>0</v>
      </c>
      <c r="J1357" s="533">
        <f ca="1">IF($J$1164&gt;1,J1305/$J$1164,0)</f>
        <v>0</v>
      </c>
      <c r="K1357" s="533">
        <f ca="1">K1305/$K$1164</f>
        <v>0</v>
      </c>
      <c r="L1357" s="533">
        <f t="shared" ref="L1357:L1376" ca="1" si="273">IF(L$1164=0,0,L1305/$L$1164)</f>
        <v>0</v>
      </c>
      <c r="M1357" s="533">
        <f ca="1">M1305/$M$1165</f>
        <v>0</v>
      </c>
      <c r="N1357" s="533">
        <f t="shared" ref="N1357:Q1374" ca="1" si="274">N1305/N$1164</f>
        <v>0</v>
      </c>
      <c r="O1357" s="533">
        <f t="shared" ca="1" si="274"/>
        <v>0</v>
      </c>
      <c r="P1357" s="533">
        <f ca="1">IF(P$1164&lt;&gt;0, P1305/$P$1164, 0)</f>
        <v>0</v>
      </c>
      <c r="Q1357" s="533">
        <f t="shared" ca="1" si="274"/>
        <v>1.8760740062071554E-3</v>
      </c>
      <c r="R1357" s="518"/>
      <c r="S1357" s="892"/>
      <c r="T1357" s="341"/>
      <c r="U1357" s="341"/>
      <c r="V1357" s="341"/>
      <c r="W1357" s="341"/>
      <c r="X1357" s="341"/>
      <c r="Y1357" s="341"/>
      <c r="Z1357" s="341"/>
      <c r="AA1357" s="341"/>
      <c r="AB1357" s="341"/>
      <c r="AC1357" s="341"/>
      <c r="AD1357" s="341"/>
      <c r="AE1357" s="341"/>
      <c r="AF1357" s="341"/>
    </row>
    <row r="1358" spans="1:32" ht="18.75" customHeight="1" x14ac:dyDescent="0.2">
      <c r="A1358" s="341"/>
      <c r="B1358" s="345"/>
      <c r="C1358" s="1792" t="s">
        <v>1023</v>
      </c>
      <c r="D1358" s="533"/>
      <c r="E1358" s="533"/>
      <c r="F1358" s="533"/>
      <c r="G1358" s="533"/>
      <c r="H1358" s="533"/>
      <c r="I1358" s="533"/>
      <c r="J1358" s="533"/>
      <c r="K1358" s="533"/>
      <c r="L1358" s="533"/>
      <c r="M1358" s="533"/>
      <c r="R1358" s="518"/>
      <c r="S1358" s="892"/>
      <c r="T1358" s="341"/>
      <c r="U1358" s="341"/>
      <c r="V1358" s="341"/>
      <c r="W1358" s="341"/>
      <c r="X1358" s="341"/>
      <c r="Y1358" s="341"/>
      <c r="Z1358" s="341"/>
      <c r="AA1358" s="341"/>
      <c r="AB1358" s="341"/>
      <c r="AC1358" s="341"/>
      <c r="AD1358" s="341"/>
      <c r="AE1358" s="341"/>
      <c r="AF1358" s="341"/>
    </row>
    <row r="1359" spans="1:32" ht="18.75" customHeight="1" x14ac:dyDescent="0.2">
      <c r="A1359" s="341"/>
      <c r="B1359" s="345"/>
      <c r="C1359" s="1792" t="s">
        <v>971</v>
      </c>
      <c r="D1359" s="533">
        <f ca="1">D1307/$D$1164</f>
        <v>5.6504225329004419E-2</v>
      </c>
      <c r="E1359" s="533">
        <f ca="1">E1307/$E$1164</f>
        <v>2.1654089849511709E-2</v>
      </c>
      <c r="F1359" s="533">
        <f ca="1">F1307/$F$1164</f>
        <v>2.1076061999092031E-2</v>
      </c>
      <c r="G1359" s="533">
        <f ca="1">G1307/$G$1164</f>
        <v>0</v>
      </c>
      <c r="H1359" s="533">
        <f ca="1">H1307/$H$1164</f>
        <v>0</v>
      </c>
      <c r="I1359" s="533">
        <f ca="1">IF($I$1164&lt;1,0,I1307/$I$1164)</f>
        <v>0</v>
      </c>
      <c r="J1359" s="533">
        <f ca="1">IF($J$1164&gt;1,J1307/$J$1164,0)</f>
        <v>0</v>
      </c>
      <c r="K1359" s="533">
        <f ca="1">K1307/$K$1164</f>
        <v>0</v>
      </c>
      <c r="L1359" s="533">
        <f t="shared" ca="1" si="273"/>
        <v>0</v>
      </c>
      <c r="M1359" s="533">
        <f ca="1">M1307/$M$1165</f>
        <v>0</v>
      </c>
      <c r="N1359" s="533">
        <f t="shared" ca="1" si="274"/>
        <v>0</v>
      </c>
      <c r="O1359" s="533">
        <f t="shared" ca="1" si="274"/>
        <v>0</v>
      </c>
      <c r="P1359" s="533">
        <f ca="1">IF(P$1164&lt;&gt;0, P1307/$P$1164, 0)</f>
        <v>0</v>
      </c>
      <c r="Q1359" s="533">
        <f t="shared" ca="1" si="274"/>
        <v>2.008542586733969E-2</v>
      </c>
      <c r="R1359" s="518"/>
      <c r="S1359" s="892"/>
      <c r="T1359" s="341"/>
      <c r="U1359" s="341"/>
      <c r="V1359" s="341"/>
      <c r="W1359" s="341"/>
      <c r="X1359" s="341"/>
      <c r="Y1359" s="341"/>
      <c r="Z1359" s="341"/>
      <c r="AA1359" s="341"/>
      <c r="AB1359" s="341"/>
      <c r="AC1359" s="341"/>
      <c r="AD1359" s="341"/>
      <c r="AE1359" s="341"/>
      <c r="AF1359" s="341"/>
    </row>
    <row r="1360" spans="1:32" ht="18.75" customHeight="1" x14ac:dyDescent="0.2">
      <c r="A1360" s="341"/>
      <c r="B1360" s="345"/>
      <c r="C1360" s="1792" t="s">
        <v>90</v>
      </c>
      <c r="D1360" s="533">
        <f ca="1">D1308/$D$1164</f>
        <v>4.8219469457969795E-2</v>
      </c>
      <c r="E1360" s="533">
        <f ca="1">E1308/$E$1164</f>
        <v>1.8479126438048638E-2</v>
      </c>
      <c r="F1360" s="533">
        <f ca="1">F1308/$F$1164</f>
        <v>1.7985850119032188E-2</v>
      </c>
      <c r="G1360" s="533">
        <f ca="1">G1308/$G$1164</f>
        <v>0</v>
      </c>
      <c r="H1360" s="533">
        <f ca="1">H1308/$H$1164</f>
        <v>0</v>
      </c>
      <c r="I1360" s="533">
        <f ca="1">IF($I$1164&lt;1,0,I1308/$I$1164)</f>
        <v>0</v>
      </c>
      <c r="J1360" s="533">
        <f ca="1">IF($J$1164&gt;1,J1308/$J$1164,0)</f>
        <v>0</v>
      </c>
      <c r="K1360" s="533">
        <f ca="1">K1308/$K$1164</f>
        <v>0</v>
      </c>
      <c r="L1360" s="533">
        <f t="shared" ca="1" si="273"/>
        <v>0</v>
      </c>
      <c r="M1360" s="533">
        <f ca="1">M1308/$M$1165</f>
        <v>0</v>
      </c>
      <c r="N1360" s="533">
        <f t="shared" ca="1" si="274"/>
        <v>0</v>
      </c>
      <c r="O1360" s="533">
        <f t="shared" ca="1" si="274"/>
        <v>0</v>
      </c>
      <c r="P1360" s="533">
        <f ca="1">IF(P$1164&lt;&gt;0, P1308/$P$1164, 0)</f>
        <v>0</v>
      </c>
      <c r="Q1360" s="533">
        <f t="shared" ca="1" si="274"/>
        <v>1.7140462921510991E-2</v>
      </c>
      <c r="R1360" s="518"/>
      <c r="S1360" s="892"/>
      <c r="T1360" s="341"/>
      <c r="U1360" s="341"/>
      <c r="V1360" s="341"/>
      <c r="W1360" s="341"/>
      <c r="X1360" s="341"/>
      <c r="Y1360" s="341"/>
      <c r="Z1360" s="341"/>
      <c r="AA1360" s="341"/>
      <c r="AB1360" s="341"/>
      <c r="AC1360" s="341"/>
      <c r="AD1360" s="341"/>
      <c r="AE1360" s="341"/>
      <c r="AF1360" s="341"/>
    </row>
    <row r="1361" spans="1:32" ht="18.75" customHeight="1" x14ac:dyDescent="0.2">
      <c r="A1361" s="341"/>
      <c r="B1361" s="345"/>
      <c r="C1361" s="1792" t="s">
        <v>485</v>
      </c>
      <c r="D1361" s="533"/>
      <c r="E1361" s="533"/>
      <c r="F1361" s="533"/>
      <c r="G1361" s="533"/>
      <c r="H1361" s="533"/>
      <c r="I1361" s="533"/>
      <c r="J1361" s="533"/>
      <c r="K1361" s="533"/>
      <c r="L1361" s="533"/>
      <c r="M1361" s="533"/>
      <c r="N1361" s="533"/>
      <c r="O1361" s="533"/>
      <c r="P1361" s="533"/>
      <c r="Q1361" s="533"/>
      <c r="R1361" s="518"/>
      <c r="S1361" s="892"/>
      <c r="T1361" s="341"/>
      <c r="U1361" s="341"/>
      <c r="V1361" s="341"/>
      <c r="W1361" s="341"/>
      <c r="X1361" s="341"/>
      <c r="Y1361" s="341"/>
      <c r="Z1361" s="341"/>
      <c r="AA1361" s="341"/>
      <c r="AB1361" s="341"/>
      <c r="AC1361" s="341"/>
      <c r="AD1361" s="341"/>
      <c r="AE1361" s="341"/>
      <c r="AF1361" s="341"/>
    </row>
    <row r="1362" spans="1:32" ht="18.75" customHeight="1" x14ac:dyDescent="0.2">
      <c r="A1362" s="341"/>
      <c r="B1362" s="345"/>
      <c r="C1362" s="1792" t="s">
        <v>971</v>
      </c>
      <c r="D1362" s="533">
        <f ca="1">D1310/$D$1164</f>
        <v>0</v>
      </c>
      <c r="E1362" s="533">
        <f ca="1">E1310/$E$1164</f>
        <v>0</v>
      </c>
      <c r="F1362" s="533">
        <f ca="1">F1310/$F$1164</f>
        <v>0</v>
      </c>
      <c r="G1362" s="533">
        <f ca="1">G1310/$G$1164</f>
        <v>0</v>
      </c>
      <c r="H1362" s="533">
        <f ca="1">H1310/$H$1164</f>
        <v>0</v>
      </c>
      <c r="I1362" s="533">
        <f ca="1">IF($I$1164&lt;1,0,I1310/$I$1164)</f>
        <v>0</v>
      </c>
      <c r="J1362" s="533">
        <f ca="1">IF($J$1164&gt;1,J1310/$J$1164,0)</f>
        <v>0</v>
      </c>
      <c r="K1362" s="533">
        <f ca="1">K1310/$K$1164</f>
        <v>0</v>
      </c>
      <c r="L1362" s="533">
        <f t="shared" ca="1" si="273"/>
        <v>0</v>
      </c>
      <c r="M1362" s="533">
        <f ca="1">M1310/$M$1165</f>
        <v>0</v>
      </c>
      <c r="N1362" s="533">
        <f t="shared" ca="1" si="274"/>
        <v>0</v>
      </c>
      <c r="O1362" s="533">
        <f t="shared" ca="1" si="274"/>
        <v>0</v>
      </c>
      <c r="P1362" s="533">
        <f ca="1">IF(P$1164&lt;&gt;0, P1310/$P$1164, 0)</f>
        <v>0</v>
      </c>
      <c r="Q1362" s="533">
        <f t="shared" ca="1" si="274"/>
        <v>0</v>
      </c>
      <c r="R1362" s="518"/>
      <c r="S1362" s="892"/>
      <c r="T1362" s="341"/>
      <c r="U1362" s="341"/>
      <c r="V1362" s="341"/>
      <c r="W1362" s="341"/>
      <c r="X1362" s="341"/>
      <c r="Y1362" s="341"/>
      <c r="Z1362" s="341"/>
      <c r="AA1362" s="341"/>
      <c r="AB1362" s="341"/>
      <c r="AC1362" s="341"/>
      <c r="AD1362" s="341"/>
      <c r="AE1362" s="341"/>
      <c r="AF1362" s="341"/>
    </row>
    <row r="1363" spans="1:32" ht="18.75" customHeight="1" x14ac:dyDescent="0.2">
      <c r="A1363" s="341"/>
      <c r="B1363" s="345"/>
      <c r="C1363" s="1792" t="s">
        <v>90</v>
      </c>
      <c r="D1363" s="533">
        <f ca="1">D1311/$D$1164</f>
        <v>1.2321963863719082E-2</v>
      </c>
      <c r="E1363" s="533">
        <f ca="1">E1311/$E$1164</f>
        <v>4.5601607570658681E-3</v>
      </c>
      <c r="F1363" s="533">
        <f ca="1">F1311/$F$1164</f>
        <v>4.277191678517824E-3</v>
      </c>
      <c r="G1363" s="533">
        <f ca="1">G1311/$G$1164</f>
        <v>0</v>
      </c>
      <c r="H1363" s="533">
        <f ca="1">H1311/$H$1164</f>
        <v>0</v>
      </c>
      <c r="I1363" s="533">
        <f ca="1">IF($I$1164&lt;1,0,I1311/$I$1164)</f>
        <v>0</v>
      </c>
      <c r="J1363" s="533">
        <f ca="1">IF($J$1164&gt;1,J1311/$J$1164,0)</f>
        <v>0</v>
      </c>
      <c r="K1363" s="533">
        <f ca="1">K1311/$K$1164</f>
        <v>0</v>
      </c>
      <c r="L1363" s="533">
        <f t="shared" ca="1" si="273"/>
        <v>0</v>
      </c>
      <c r="M1363" s="533">
        <f ca="1">M1311/$M$1165</f>
        <v>0</v>
      </c>
      <c r="N1363" s="533">
        <f t="shared" ca="1" si="274"/>
        <v>0</v>
      </c>
      <c r="O1363" s="533">
        <f t="shared" ca="1" si="274"/>
        <v>0</v>
      </c>
      <c r="P1363" s="533">
        <f ca="1">IF(P$1164&lt;&gt;0, P1311/$P$1164, 0)</f>
        <v>0</v>
      </c>
      <c r="Q1363" s="533">
        <f t="shared" ca="1" si="274"/>
        <v>4.2967195430680437E-3</v>
      </c>
      <c r="R1363" s="518"/>
      <c r="S1363" s="892"/>
      <c r="T1363" s="341"/>
      <c r="U1363" s="341"/>
      <c r="V1363" s="341"/>
      <c r="W1363" s="341"/>
      <c r="X1363" s="341"/>
      <c r="Y1363" s="341"/>
      <c r="Z1363" s="341"/>
      <c r="AA1363" s="341"/>
      <c r="AB1363" s="341"/>
      <c r="AC1363" s="341"/>
      <c r="AD1363" s="341"/>
      <c r="AE1363" s="341"/>
      <c r="AF1363" s="341"/>
    </row>
    <row r="1364" spans="1:32" ht="18.75" customHeight="1" x14ac:dyDescent="0.2">
      <c r="A1364" s="341"/>
      <c r="B1364" s="345"/>
      <c r="C1364" s="1792" t="s">
        <v>392</v>
      </c>
      <c r="D1364" s="533">
        <f ca="1">D1312/$D$1164</f>
        <v>6.1413286546993954E-5</v>
      </c>
      <c r="E1364" s="533">
        <f ca="1">E1312/$E$1164</f>
        <v>2.2728070165717518E-5</v>
      </c>
      <c r="F1364" s="533">
        <f ca="1">F1312/$F$1164</f>
        <v>2.1317738071173886E-5</v>
      </c>
      <c r="G1364" s="533">
        <f ca="1">G1312/$G$1164</f>
        <v>0</v>
      </c>
      <c r="H1364" s="533">
        <f ca="1">H1312/$H$1164</f>
        <v>0</v>
      </c>
      <c r="I1364" s="533">
        <f ca="1">IF($I$1164&lt;1,0,I1312/$I$1164)</f>
        <v>0</v>
      </c>
      <c r="J1364" s="533">
        <f ca="1">IF($J$1164&gt;1,J1312/$J$1164,0)</f>
        <v>0</v>
      </c>
      <c r="K1364" s="533">
        <f ca="1">K1312/$K$1164</f>
        <v>0</v>
      </c>
      <c r="L1364" s="533">
        <f t="shared" ca="1" si="273"/>
        <v>0</v>
      </c>
      <c r="M1364" s="533">
        <f ca="1">M1312/$M$1165</f>
        <v>0</v>
      </c>
      <c r="N1364" s="533">
        <f t="shared" ca="1" si="274"/>
        <v>0</v>
      </c>
      <c r="O1364" s="533">
        <f t="shared" ca="1" si="274"/>
        <v>0</v>
      </c>
      <c r="P1364" s="533">
        <f ca="1">IF(P$1164&lt;&gt;0, P1312/$P$1164, 0)</f>
        <v>0</v>
      </c>
      <c r="Q1364" s="533">
        <f t="shared" ca="1" si="274"/>
        <v>2.1415065928529862E-5</v>
      </c>
      <c r="R1364" s="518"/>
      <c r="S1364" s="892"/>
      <c r="T1364" s="341"/>
      <c r="U1364" s="341"/>
      <c r="V1364" s="341"/>
      <c r="W1364" s="341"/>
      <c r="X1364" s="341"/>
      <c r="Y1364" s="341"/>
      <c r="Z1364" s="341"/>
      <c r="AA1364" s="341"/>
      <c r="AB1364" s="341"/>
      <c r="AC1364" s="341"/>
      <c r="AD1364" s="341"/>
      <c r="AE1364" s="341"/>
      <c r="AF1364" s="341"/>
    </row>
    <row r="1365" spans="1:32" ht="18.75" customHeight="1" x14ac:dyDescent="0.2">
      <c r="A1365" s="341"/>
      <c r="B1365" s="345"/>
      <c r="C1365" s="1792" t="s">
        <v>1027</v>
      </c>
      <c r="D1365" s="533"/>
      <c r="E1365" s="533"/>
      <c r="F1365" s="533"/>
      <c r="G1365" s="533"/>
      <c r="H1365" s="533"/>
      <c r="I1365" s="533"/>
      <c r="J1365" s="533"/>
      <c r="K1365" s="533"/>
      <c r="L1365" s="533"/>
      <c r="M1365" s="533"/>
      <c r="N1365" s="533"/>
      <c r="O1365" s="533"/>
      <c r="P1365" s="533"/>
      <c r="Q1365" s="533"/>
      <c r="R1365" s="518"/>
      <c r="S1365" s="892"/>
      <c r="T1365" s="341"/>
      <c r="U1365" s="341"/>
      <c r="V1365" s="341"/>
      <c r="W1365" s="341"/>
      <c r="X1365" s="341"/>
      <c r="Y1365" s="341"/>
      <c r="Z1365" s="341"/>
      <c r="AA1365" s="341"/>
      <c r="AB1365" s="341"/>
      <c r="AC1365" s="341"/>
      <c r="AD1365" s="341"/>
      <c r="AE1365" s="341"/>
      <c r="AF1365" s="341"/>
    </row>
    <row r="1366" spans="1:32" ht="18.75" customHeight="1" x14ac:dyDescent="0.2">
      <c r="A1366" s="341"/>
      <c r="B1366" s="345"/>
      <c r="C1366" s="1792" t="s">
        <v>1036</v>
      </c>
      <c r="D1366" s="533">
        <f t="shared" ref="D1366:D1374" ca="1" si="275">D1314/$D$1164</f>
        <v>0</v>
      </c>
      <c r="E1366" s="533">
        <f t="shared" ref="E1366:E1374" ca="1" si="276">E1314/$E$1164</f>
        <v>0</v>
      </c>
      <c r="F1366" s="533">
        <f t="shared" ref="F1366:F1374" ca="1" si="277">F1314/$F$1164</f>
        <v>0</v>
      </c>
      <c r="G1366" s="533">
        <f t="shared" ref="G1366:G1374" ca="1" si="278">G1314/$G$1164</f>
        <v>0</v>
      </c>
      <c r="H1366" s="533">
        <f t="shared" ref="H1366:H1374" ca="1" si="279">H1314/$H$1164</f>
        <v>0</v>
      </c>
      <c r="I1366" s="533">
        <f t="shared" ref="I1366:I1374" ca="1" si="280">IF($I$1164&lt;1,0,I1314/$I$1164)</f>
        <v>0</v>
      </c>
      <c r="J1366" s="533">
        <f t="shared" ref="J1366:J1374" ca="1" si="281">IF($J$1164&gt;1,J1314/$J$1164,0)</f>
        <v>0</v>
      </c>
      <c r="K1366" s="533">
        <f t="shared" ref="K1366:K1374" ca="1" si="282">K1314/$K$1164</f>
        <v>0</v>
      </c>
      <c r="L1366" s="533">
        <f t="shared" ca="1" si="273"/>
        <v>0</v>
      </c>
      <c r="M1366" s="533">
        <f t="shared" ref="M1366:M1374" ca="1" si="283">M1314/$M$1165</f>
        <v>0</v>
      </c>
      <c r="N1366" s="533">
        <f t="shared" ca="1" si="274"/>
        <v>0</v>
      </c>
      <c r="O1366" s="533">
        <f t="shared" ca="1" si="274"/>
        <v>0</v>
      </c>
      <c r="P1366" s="533">
        <f t="shared" ref="P1366:P1375" ca="1" si="284">IF(P$1164&lt;&gt;0, P1314/$P$1164, 0)</f>
        <v>0</v>
      </c>
      <c r="Q1366" s="533">
        <f t="shared" ca="1" si="274"/>
        <v>0</v>
      </c>
      <c r="R1366" s="518"/>
      <c r="S1366" s="892"/>
      <c r="T1366" s="341"/>
      <c r="U1366" s="341"/>
      <c r="V1366" s="341"/>
      <c r="W1366" s="341"/>
      <c r="X1366" s="341"/>
      <c r="Y1366" s="341"/>
      <c r="Z1366" s="341"/>
      <c r="AA1366" s="341"/>
      <c r="AB1366" s="341"/>
      <c r="AC1366" s="341"/>
      <c r="AD1366" s="341"/>
      <c r="AE1366" s="341"/>
      <c r="AF1366" s="341"/>
    </row>
    <row r="1367" spans="1:32" ht="18.75" customHeight="1" x14ac:dyDescent="0.2">
      <c r="A1367" s="341"/>
      <c r="B1367" s="345"/>
      <c r="C1367" s="1792" t="s">
        <v>1037</v>
      </c>
      <c r="D1367" s="533">
        <f t="shared" ca="1" si="275"/>
        <v>0</v>
      </c>
      <c r="E1367" s="533">
        <f t="shared" ca="1" si="276"/>
        <v>0</v>
      </c>
      <c r="F1367" s="533">
        <f t="shared" ca="1" si="277"/>
        <v>0</v>
      </c>
      <c r="G1367" s="533">
        <f t="shared" ca="1" si="278"/>
        <v>0</v>
      </c>
      <c r="H1367" s="533">
        <f t="shared" ca="1" si="279"/>
        <v>0</v>
      </c>
      <c r="I1367" s="533">
        <f t="shared" ca="1" si="280"/>
        <v>0</v>
      </c>
      <c r="J1367" s="533">
        <f t="shared" ca="1" si="281"/>
        <v>0</v>
      </c>
      <c r="K1367" s="533">
        <f t="shared" ca="1" si="282"/>
        <v>0</v>
      </c>
      <c r="L1367" s="533">
        <f t="shared" ca="1" si="273"/>
        <v>0</v>
      </c>
      <c r="M1367" s="533">
        <f t="shared" ca="1" si="283"/>
        <v>0</v>
      </c>
      <c r="N1367" s="533">
        <f t="shared" ca="1" si="274"/>
        <v>0</v>
      </c>
      <c r="O1367" s="533">
        <f t="shared" ca="1" si="274"/>
        <v>0</v>
      </c>
      <c r="P1367" s="533">
        <f t="shared" ca="1" si="284"/>
        <v>0</v>
      </c>
      <c r="Q1367" s="533">
        <f t="shared" ca="1" si="274"/>
        <v>0</v>
      </c>
      <c r="R1367" s="518"/>
      <c r="S1367" s="892"/>
      <c r="T1367" s="341"/>
      <c r="U1367" s="341"/>
      <c r="V1367" s="341"/>
      <c r="W1367" s="341"/>
      <c r="X1367" s="341"/>
      <c r="Y1367" s="341"/>
      <c r="Z1367" s="341"/>
      <c r="AA1367" s="341"/>
      <c r="AB1367" s="341"/>
      <c r="AC1367" s="341"/>
      <c r="AD1367" s="341"/>
      <c r="AE1367" s="341"/>
      <c r="AF1367" s="341"/>
    </row>
    <row r="1368" spans="1:32" ht="18.75" customHeight="1" x14ac:dyDescent="0.2">
      <c r="A1368" s="341"/>
      <c r="B1368" s="345"/>
      <c r="C1368" s="1792" t="s">
        <v>1034</v>
      </c>
      <c r="D1368" s="533">
        <f t="shared" ca="1" si="275"/>
        <v>1.969133275368024E-4</v>
      </c>
      <c r="E1368" s="533">
        <f t="shared" ca="1" si="276"/>
        <v>4.7060912909040416E-5</v>
      </c>
      <c r="F1368" s="533">
        <f t="shared" ca="1" si="277"/>
        <v>5.1861280962734385E-5</v>
      </c>
      <c r="G1368" s="533">
        <f t="shared" ca="1" si="278"/>
        <v>0</v>
      </c>
      <c r="H1368" s="533">
        <f t="shared" ca="1" si="279"/>
        <v>0</v>
      </c>
      <c r="I1368" s="533">
        <f t="shared" ca="1" si="280"/>
        <v>0</v>
      </c>
      <c r="J1368" s="533">
        <f t="shared" ca="1" si="281"/>
        <v>0</v>
      </c>
      <c r="K1368" s="533">
        <f t="shared" ca="1" si="282"/>
        <v>0</v>
      </c>
      <c r="L1368" s="533">
        <f t="shared" ca="1" si="273"/>
        <v>0</v>
      </c>
      <c r="M1368" s="533">
        <f t="shared" ca="1" si="283"/>
        <v>0</v>
      </c>
      <c r="N1368" s="533">
        <f t="shared" ca="1" si="274"/>
        <v>0</v>
      </c>
      <c r="O1368" s="533">
        <f t="shared" ca="1" si="274"/>
        <v>0</v>
      </c>
      <c r="P1368" s="533">
        <f t="shared" ca="1" si="284"/>
        <v>0</v>
      </c>
      <c r="Q1368" s="533">
        <f t="shared" ca="1" si="274"/>
        <v>5.9762408458975459E-5</v>
      </c>
      <c r="R1368" s="518"/>
      <c r="S1368" s="892"/>
      <c r="T1368" s="341"/>
      <c r="U1368" s="341"/>
      <c r="V1368" s="341"/>
      <c r="W1368" s="341"/>
      <c r="X1368" s="341"/>
      <c r="Y1368" s="341"/>
      <c r="Z1368" s="341"/>
      <c r="AA1368" s="341"/>
      <c r="AB1368" s="341"/>
      <c r="AC1368" s="341"/>
      <c r="AD1368" s="341"/>
      <c r="AE1368" s="341"/>
      <c r="AF1368" s="341"/>
    </row>
    <row r="1369" spans="1:32" ht="18.75" customHeight="1" x14ac:dyDescent="0.2">
      <c r="A1369" s="341"/>
      <c r="B1369" s="345"/>
      <c r="C1369" s="1792" t="s">
        <v>1028</v>
      </c>
      <c r="D1369" s="533">
        <f t="shared" ca="1" si="275"/>
        <v>0</v>
      </c>
      <c r="E1369" s="533">
        <f t="shared" ca="1" si="276"/>
        <v>0</v>
      </c>
      <c r="F1369" s="533">
        <f t="shared" ca="1" si="277"/>
        <v>0</v>
      </c>
      <c r="G1369" s="533">
        <f t="shared" ca="1" si="278"/>
        <v>0</v>
      </c>
      <c r="H1369" s="533">
        <f t="shared" ca="1" si="279"/>
        <v>0</v>
      </c>
      <c r="I1369" s="533">
        <f t="shared" ca="1" si="280"/>
        <v>0</v>
      </c>
      <c r="J1369" s="533">
        <f t="shared" ca="1" si="281"/>
        <v>0</v>
      </c>
      <c r="K1369" s="533">
        <f t="shared" ca="1" si="282"/>
        <v>0</v>
      </c>
      <c r="L1369" s="533">
        <f t="shared" ca="1" si="273"/>
        <v>0</v>
      </c>
      <c r="M1369" s="533">
        <f t="shared" ca="1" si="283"/>
        <v>0</v>
      </c>
      <c r="N1369" s="533">
        <f t="shared" ca="1" si="274"/>
        <v>0</v>
      </c>
      <c r="O1369" s="533">
        <f t="shared" ca="1" si="274"/>
        <v>0</v>
      </c>
      <c r="P1369" s="533">
        <f t="shared" ca="1" si="284"/>
        <v>0</v>
      </c>
      <c r="Q1369" s="533">
        <f t="shared" ca="1" si="274"/>
        <v>0</v>
      </c>
      <c r="R1369" s="518"/>
      <c r="S1369" s="892"/>
      <c r="T1369" s="341"/>
      <c r="U1369" s="341"/>
      <c r="V1369" s="341"/>
      <c r="W1369" s="341"/>
      <c r="X1369" s="341"/>
      <c r="Y1369" s="341"/>
      <c r="Z1369" s="341"/>
      <c r="AA1369" s="341"/>
      <c r="AB1369" s="341"/>
      <c r="AC1369" s="341"/>
      <c r="AD1369" s="341"/>
      <c r="AE1369" s="341"/>
      <c r="AF1369" s="341"/>
    </row>
    <row r="1370" spans="1:32" ht="18.75" customHeight="1" x14ac:dyDescent="0.2">
      <c r="A1370" s="341"/>
      <c r="B1370" s="345"/>
      <c r="C1370" s="1792" t="s">
        <v>1029</v>
      </c>
      <c r="D1370" s="533">
        <f t="shared" ca="1" si="275"/>
        <v>1.7403955716636568E-2</v>
      </c>
      <c r="E1370" s="533">
        <f t="shared" ca="1" si="276"/>
        <v>4.1594241207485207E-3</v>
      </c>
      <c r="F1370" s="533">
        <f t="shared" ca="1" si="277"/>
        <v>4.5836990749891495E-3</v>
      </c>
      <c r="G1370" s="533">
        <f t="shared" ca="1" si="278"/>
        <v>0</v>
      </c>
      <c r="H1370" s="533">
        <f t="shared" ca="1" si="279"/>
        <v>0</v>
      </c>
      <c r="I1370" s="533">
        <f t="shared" ca="1" si="280"/>
        <v>0</v>
      </c>
      <c r="J1370" s="533">
        <f t="shared" ca="1" si="281"/>
        <v>0</v>
      </c>
      <c r="K1370" s="533">
        <f t="shared" ca="1" si="282"/>
        <v>0</v>
      </c>
      <c r="L1370" s="533">
        <f t="shared" ca="1" si="273"/>
        <v>0</v>
      </c>
      <c r="M1370" s="533">
        <f t="shared" ca="1" si="283"/>
        <v>0</v>
      </c>
      <c r="N1370" s="533">
        <f t="shared" ca="1" si="274"/>
        <v>0</v>
      </c>
      <c r="O1370" s="533">
        <f t="shared" ca="1" si="274"/>
        <v>0</v>
      </c>
      <c r="P1370" s="533">
        <f t="shared" ca="1" si="284"/>
        <v>0</v>
      </c>
      <c r="Q1370" s="533">
        <f t="shared" ca="1" si="274"/>
        <v>5.2820310506670213E-3</v>
      </c>
      <c r="R1370" s="518"/>
      <c r="S1370" s="892"/>
      <c r="T1370" s="341"/>
      <c r="U1370" s="341"/>
      <c r="V1370" s="341"/>
      <c r="W1370" s="341"/>
      <c r="X1370" s="341"/>
      <c r="Y1370" s="341"/>
      <c r="Z1370" s="341"/>
      <c r="AA1370" s="341"/>
      <c r="AB1370" s="341"/>
      <c r="AC1370" s="341"/>
      <c r="AD1370" s="341"/>
      <c r="AE1370" s="341"/>
      <c r="AF1370" s="341"/>
    </row>
    <row r="1371" spans="1:32" ht="18.75" customHeight="1" x14ac:dyDescent="0.2">
      <c r="A1371" s="341"/>
      <c r="B1371" s="345"/>
      <c r="C1371" s="1792" t="s">
        <v>1038</v>
      </c>
      <c r="D1371" s="533">
        <f t="shared" ca="1" si="275"/>
        <v>0</v>
      </c>
      <c r="E1371" s="533">
        <f t="shared" ca="1" si="276"/>
        <v>0</v>
      </c>
      <c r="F1371" s="533">
        <f t="shared" ca="1" si="277"/>
        <v>0</v>
      </c>
      <c r="G1371" s="533">
        <f t="shared" ca="1" si="278"/>
        <v>0</v>
      </c>
      <c r="H1371" s="533">
        <f t="shared" ca="1" si="279"/>
        <v>0</v>
      </c>
      <c r="I1371" s="533">
        <f t="shared" ca="1" si="280"/>
        <v>0</v>
      </c>
      <c r="J1371" s="533">
        <f t="shared" ca="1" si="281"/>
        <v>0</v>
      </c>
      <c r="K1371" s="533">
        <f t="shared" ca="1" si="282"/>
        <v>0</v>
      </c>
      <c r="L1371" s="533">
        <f t="shared" ca="1" si="273"/>
        <v>0</v>
      </c>
      <c r="M1371" s="533">
        <f t="shared" ca="1" si="283"/>
        <v>0</v>
      </c>
      <c r="N1371" s="533">
        <f t="shared" ca="1" si="274"/>
        <v>0</v>
      </c>
      <c r="O1371" s="533">
        <f t="shared" ca="1" si="274"/>
        <v>0</v>
      </c>
      <c r="P1371" s="533">
        <f t="shared" ca="1" si="284"/>
        <v>0</v>
      </c>
      <c r="Q1371" s="533">
        <f t="shared" ca="1" si="274"/>
        <v>0</v>
      </c>
      <c r="R1371" s="518"/>
      <c r="S1371" s="892"/>
      <c r="T1371" s="341"/>
      <c r="U1371" s="341"/>
      <c r="V1371" s="341"/>
      <c r="W1371" s="341"/>
      <c r="X1371" s="341"/>
      <c r="Y1371" s="341"/>
      <c r="Z1371" s="341"/>
      <c r="AA1371" s="341"/>
      <c r="AB1371" s="341"/>
      <c r="AC1371" s="341"/>
      <c r="AD1371" s="341"/>
      <c r="AE1371" s="341"/>
      <c r="AF1371" s="341"/>
    </row>
    <row r="1372" spans="1:32" ht="18.75" customHeight="1" x14ac:dyDescent="0.2">
      <c r="A1372" s="341"/>
      <c r="B1372" s="345"/>
      <c r="C1372" s="1792" t="s">
        <v>1039</v>
      </c>
      <c r="D1372" s="533">
        <f t="shared" ca="1" si="275"/>
        <v>1.5417882497155828E-2</v>
      </c>
      <c r="E1372" s="533">
        <f t="shared" ca="1" si="276"/>
        <v>3.6847664630768112E-3</v>
      </c>
      <c r="F1372" s="533">
        <f t="shared" ca="1" si="277"/>
        <v>4.0606247735363804E-3</v>
      </c>
      <c r="G1372" s="533">
        <f t="shared" ca="1" si="278"/>
        <v>0</v>
      </c>
      <c r="H1372" s="533">
        <f t="shared" ca="1" si="279"/>
        <v>0</v>
      </c>
      <c r="I1372" s="533">
        <f t="shared" ca="1" si="280"/>
        <v>0</v>
      </c>
      <c r="J1372" s="533">
        <f t="shared" ca="1" si="281"/>
        <v>0</v>
      </c>
      <c r="K1372" s="533">
        <f t="shared" ca="1" si="282"/>
        <v>0</v>
      </c>
      <c r="L1372" s="533">
        <f t="shared" ca="1" si="273"/>
        <v>0</v>
      </c>
      <c r="M1372" s="533">
        <f t="shared" ca="1" si="283"/>
        <v>0</v>
      </c>
      <c r="N1372" s="533">
        <f t="shared" ca="1" si="274"/>
        <v>0</v>
      </c>
      <c r="O1372" s="533">
        <f t="shared" ca="1" si="274"/>
        <v>0</v>
      </c>
      <c r="P1372" s="533">
        <f t="shared" ca="1" si="284"/>
        <v>0</v>
      </c>
      <c r="Q1372" s="533">
        <f t="shared" ca="1" si="274"/>
        <v>4.6792657606951824E-3</v>
      </c>
      <c r="R1372" s="518"/>
      <c r="S1372" s="892"/>
      <c r="T1372" s="341"/>
      <c r="U1372" s="341"/>
      <c r="V1372" s="341"/>
      <c r="W1372" s="341"/>
      <c r="X1372" s="341"/>
      <c r="Y1372" s="341"/>
      <c r="Z1372" s="341"/>
      <c r="AA1372" s="341"/>
      <c r="AB1372" s="341"/>
      <c r="AC1372" s="341"/>
      <c r="AD1372" s="341"/>
      <c r="AE1372" s="341"/>
      <c r="AF1372" s="341"/>
    </row>
    <row r="1373" spans="1:32" ht="18.75" customHeight="1" x14ac:dyDescent="0.2">
      <c r="A1373" s="341"/>
      <c r="B1373" s="345"/>
      <c r="C1373" s="1792" t="s">
        <v>1053</v>
      </c>
      <c r="D1373" s="533">
        <f t="shared" ca="1" si="275"/>
        <v>3.6719360132289443E-2</v>
      </c>
      <c r="E1373" s="533">
        <f t="shared" ca="1" si="276"/>
        <v>8.7756711588675897E-3</v>
      </c>
      <c r="F1373" s="533">
        <f t="shared" ca="1" si="277"/>
        <v>9.6708185089025133E-3</v>
      </c>
      <c r="G1373" s="533">
        <f t="shared" ca="1" si="278"/>
        <v>0</v>
      </c>
      <c r="H1373" s="533">
        <f t="shared" ca="1" si="279"/>
        <v>0</v>
      </c>
      <c r="I1373" s="533">
        <f t="shared" ca="1" si="280"/>
        <v>0</v>
      </c>
      <c r="J1373" s="533">
        <f t="shared" ca="1" si="281"/>
        <v>0</v>
      </c>
      <c r="K1373" s="533">
        <f t="shared" ca="1" si="282"/>
        <v>0</v>
      </c>
      <c r="L1373" s="533">
        <f t="shared" ca="1" si="273"/>
        <v>0</v>
      </c>
      <c r="M1373" s="533">
        <f t="shared" ca="1" si="283"/>
        <v>0</v>
      </c>
      <c r="N1373" s="533">
        <f t="shared" ca="1" si="274"/>
        <v>0</v>
      </c>
      <c r="O1373" s="533">
        <f t="shared" ca="1" si="274"/>
        <v>0</v>
      </c>
      <c r="P1373" s="533">
        <f t="shared" ca="1" si="284"/>
        <v>0</v>
      </c>
      <c r="Q1373" s="533">
        <f t="shared" ca="1" si="274"/>
        <v>1.1144179147386397E-2</v>
      </c>
      <c r="R1373" s="518"/>
      <c r="S1373" s="892"/>
      <c r="T1373" s="341"/>
      <c r="U1373" s="341"/>
      <c r="V1373" s="341"/>
      <c r="W1373" s="341"/>
      <c r="X1373" s="341"/>
      <c r="Y1373" s="341"/>
      <c r="Z1373" s="341"/>
      <c r="AA1373" s="341"/>
      <c r="AB1373" s="341"/>
      <c r="AC1373" s="341"/>
      <c r="AD1373" s="341"/>
      <c r="AE1373" s="341"/>
      <c r="AF1373" s="341"/>
    </row>
    <row r="1374" spans="1:32" ht="18.75" customHeight="1" x14ac:dyDescent="0.2">
      <c r="A1374" s="341"/>
      <c r="B1374" s="345"/>
      <c r="C1374" s="1792" t="s">
        <v>1051</v>
      </c>
      <c r="D1374" s="533">
        <f t="shared" ca="1" si="275"/>
        <v>2.4634436918619491E-22</v>
      </c>
      <c r="E1374" s="533">
        <f t="shared" ca="1" si="276"/>
        <v>0</v>
      </c>
      <c r="F1374" s="533">
        <f t="shared" ca="1" si="277"/>
        <v>9.4690325243430573E-23</v>
      </c>
      <c r="G1374" s="533">
        <f t="shared" ca="1" si="278"/>
        <v>0</v>
      </c>
      <c r="H1374" s="533">
        <f t="shared" ca="1" si="279"/>
        <v>0</v>
      </c>
      <c r="I1374" s="533">
        <f t="shared" ca="1" si="280"/>
        <v>0</v>
      </c>
      <c r="J1374" s="533">
        <f t="shared" ca="1" si="281"/>
        <v>0</v>
      </c>
      <c r="K1374" s="533">
        <f t="shared" ca="1" si="282"/>
        <v>0</v>
      </c>
      <c r="L1374" s="533">
        <f t="shared" ca="1" si="273"/>
        <v>0</v>
      </c>
      <c r="M1374" s="533">
        <f t="shared" ca="1" si="283"/>
        <v>0</v>
      </c>
      <c r="N1374" s="533">
        <f t="shared" ca="1" si="274"/>
        <v>0</v>
      </c>
      <c r="O1374" s="533">
        <f t="shared" ca="1" si="274"/>
        <v>0</v>
      </c>
      <c r="P1374" s="533">
        <f t="shared" ca="1" si="284"/>
        <v>0</v>
      </c>
      <c r="Q1374" s="533">
        <f t="shared" ca="1" si="274"/>
        <v>6.3061850947795749E-23</v>
      </c>
      <c r="R1374" s="518"/>
      <c r="S1374" s="892"/>
      <c r="T1374" s="341"/>
      <c r="U1374" s="341"/>
      <c r="V1374" s="341"/>
      <c r="W1374" s="341"/>
      <c r="X1374" s="341"/>
      <c r="Y1374" s="341"/>
      <c r="Z1374" s="341"/>
      <c r="AA1374" s="341"/>
      <c r="AB1374" s="341"/>
      <c r="AC1374" s="341"/>
      <c r="AD1374" s="341"/>
      <c r="AE1374" s="341"/>
      <c r="AF1374" s="341"/>
    </row>
    <row r="1375" spans="1:32" ht="18.75" customHeight="1" x14ac:dyDescent="0.2">
      <c r="A1375" s="341"/>
      <c r="B1375" s="345"/>
      <c r="C1375" s="1792" t="s">
        <v>976</v>
      </c>
      <c r="D1375" s="518">
        <f t="shared" ref="D1375:I1375" ca="1" si="285">D1323/D1164</f>
        <v>0</v>
      </c>
      <c r="E1375" s="518">
        <f t="shared" ca="1" si="285"/>
        <v>0</v>
      </c>
      <c r="F1375" s="518">
        <f t="shared" ca="1" si="285"/>
        <v>0</v>
      </c>
      <c r="G1375" s="518">
        <f t="shared" ca="1" si="285"/>
        <v>0</v>
      </c>
      <c r="H1375" s="518">
        <f t="shared" ca="1" si="285"/>
        <v>0</v>
      </c>
      <c r="I1375" s="518">
        <f t="shared" ca="1" si="285"/>
        <v>0</v>
      </c>
      <c r="J1375" s="518">
        <f ca="1">IF(J1164&gt;1,J1323/J1164,0)</f>
        <v>0</v>
      </c>
      <c r="K1375" s="518">
        <f ca="1">K1323/K1164</f>
        <v>0</v>
      </c>
      <c r="L1375" s="533">
        <f t="shared" ca="1" si="273"/>
        <v>0</v>
      </c>
      <c r="M1375" s="518">
        <f ca="1">M1323/M1165</f>
        <v>0</v>
      </c>
      <c r="N1375" s="518">
        <f ca="1">N1323/N1164</f>
        <v>0</v>
      </c>
      <c r="O1375" s="518">
        <f ca="1">O1323/O1164</f>
        <v>0</v>
      </c>
      <c r="P1375" s="533">
        <f t="shared" ca="1" si="284"/>
        <v>0</v>
      </c>
      <c r="Q1375" s="518">
        <f ca="1">Q1323/Q1164</f>
        <v>0</v>
      </c>
      <c r="R1375" s="518"/>
      <c r="S1375" s="892"/>
      <c r="T1375" s="341"/>
      <c r="U1375" s="341"/>
      <c r="V1375" s="341"/>
      <c r="W1375" s="341"/>
      <c r="X1375" s="341"/>
      <c r="Y1375" s="341"/>
      <c r="Z1375" s="341"/>
      <c r="AA1375" s="341"/>
      <c r="AB1375" s="341"/>
      <c r="AC1375" s="341"/>
      <c r="AD1375" s="341"/>
      <c r="AE1375" s="341"/>
      <c r="AF1375" s="341"/>
    </row>
    <row r="1376" spans="1:32" ht="18.75" customHeight="1" x14ac:dyDescent="0.2">
      <c r="A1376" s="341"/>
      <c r="B1376" s="345"/>
      <c r="C1376" s="1792" t="s">
        <v>979</v>
      </c>
      <c r="D1376" s="518">
        <f t="shared" ref="D1376:K1376" ca="1" si="286">IF(D1164=0,0,D1326/D1164)</f>
        <v>0</v>
      </c>
      <c r="E1376" s="518">
        <f t="shared" ca="1" si="286"/>
        <v>0</v>
      </c>
      <c r="F1376" s="518">
        <f t="shared" ca="1" si="286"/>
        <v>0</v>
      </c>
      <c r="G1376" s="518">
        <f t="shared" ca="1" si="286"/>
        <v>0</v>
      </c>
      <c r="H1376" s="518">
        <f t="shared" ca="1" si="286"/>
        <v>0</v>
      </c>
      <c r="I1376" s="518">
        <f t="shared" ca="1" si="286"/>
        <v>0</v>
      </c>
      <c r="J1376" s="518">
        <f t="shared" ca="1" si="286"/>
        <v>0</v>
      </c>
      <c r="K1376" s="518">
        <f t="shared" ca="1" si="286"/>
        <v>0</v>
      </c>
      <c r="L1376" s="533">
        <f t="shared" ca="1" si="273"/>
        <v>0</v>
      </c>
      <c r="M1376" s="518">
        <f>IF(M1164=0,0,M1326/M1164)</f>
        <v>0</v>
      </c>
      <c r="N1376" s="518">
        <f ca="1">IF(N1164=0,0,N1326/N1164)</f>
        <v>0</v>
      </c>
      <c r="O1376" s="518">
        <f ca="1">IF(O1164=0,0,O1326/O1164)</f>
        <v>0</v>
      </c>
      <c r="P1376" s="518">
        <f ca="1">IF(P1164=0,0,P1326/P1164)</f>
        <v>0</v>
      </c>
      <c r="Q1376" s="518">
        <f ca="1">IF(Q1164=0,0,Q1326/Q1164)</f>
        <v>0</v>
      </c>
      <c r="R1376" s="518"/>
      <c r="S1376" s="892"/>
      <c r="T1376" s="341"/>
      <c r="U1376" s="341"/>
      <c r="V1376" s="341"/>
      <c r="W1376" s="341"/>
      <c r="X1376" s="341"/>
      <c r="Y1376" s="341"/>
      <c r="Z1376" s="341"/>
      <c r="AA1376" s="341"/>
      <c r="AB1376" s="341"/>
      <c r="AC1376" s="341"/>
      <c r="AD1376" s="341"/>
      <c r="AE1376" s="341"/>
      <c r="AF1376" s="341"/>
    </row>
    <row r="1377" spans="1:32" ht="18.75" customHeight="1" x14ac:dyDescent="0.2">
      <c r="A1377" s="341"/>
      <c r="B1377" s="345"/>
      <c r="C1377" s="1807" t="s">
        <v>32</v>
      </c>
      <c r="D1377" s="1777">
        <f t="shared" ref="D1377:Q1377" ca="1" si="287">SUM(D1357:D1374)</f>
        <v>0.1919935817584025</v>
      </c>
      <c r="E1377" s="1777">
        <f t="shared" ca="1" si="287"/>
        <v>6.3498776885761096E-2</v>
      </c>
      <c r="F1377" s="1777">
        <f t="shared" ca="1" si="287"/>
        <v>6.3713582826314202E-2</v>
      </c>
      <c r="G1377" s="1777">
        <f t="shared" ca="1" si="287"/>
        <v>0</v>
      </c>
      <c r="H1377" s="1777">
        <f t="shared" ca="1" si="287"/>
        <v>0</v>
      </c>
      <c r="I1377" s="1777">
        <f t="shared" ca="1" si="287"/>
        <v>0</v>
      </c>
      <c r="J1377" s="1777">
        <f t="shared" ca="1" si="287"/>
        <v>0</v>
      </c>
      <c r="K1377" s="1777">
        <f t="shared" ca="1" si="287"/>
        <v>0</v>
      </c>
      <c r="L1377" s="1777">
        <f t="shared" ref="L1377" ca="1" si="288">SUM(L1357:L1374)</f>
        <v>0</v>
      </c>
      <c r="M1377" s="1777">
        <f t="shared" ca="1" si="287"/>
        <v>0</v>
      </c>
      <c r="N1377" s="1777">
        <f t="shared" ref="N1377:P1377" ca="1" si="289">SUM(N1357:N1374)</f>
        <v>0</v>
      </c>
      <c r="O1377" s="1777">
        <f t="shared" ca="1" si="289"/>
        <v>0</v>
      </c>
      <c r="P1377" s="1777">
        <f t="shared" ca="1" si="289"/>
        <v>0</v>
      </c>
      <c r="Q1377" s="1808">
        <f t="shared" ca="1" si="287"/>
        <v>6.4585335771261979E-2</v>
      </c>
      <c r="R1377" s="518"/>
      <c r="S1377" s="892"/>
      <c r="T1377" s="341"/>
      <c r="U1377" s="341"/>
      <c r="V1377" s="341"/>
      <c r="W1377" s="341"/>
      <c r="X1377" s="341"/>
      <c r="Y1377" s="341"/>
      <c r="Z1377" s="341"/>
      <c r="AA1377" s="341"/>
      <c r="AB1377" s="341"/>
      <c r="AC1377" s="341"/>
      <c r="AD1377" s="341"/>
      <c r="AE1377" s="341"/>
      <c r="AF1377" s="341"/>
    </row>
    <row r="1378" spans="1:32" ht="18.75" customHeight="1" x14ac:dyDescent="0.2">
      <c r="A1378" s="341"/>
      <c r="B1378" s="345"/>
      <c r="C1378" s="1819" t="s">
        <v>163</v>
      </c>
      <c r="D1378" s="1820">
        <f t="shared" ref="D1378:Q1378" ca="1" si="290">D1377+D1355</f>
        <v>2.0178444924234706</v>
      </c>
      <c r="E1378" s="1820">
        <f t="shared" ca="1" si="290"/>
        <v>1.6129733088571745</v>
      </c>
      <c r="F1378" s="1820">
        <f t="shared" ca="1" si="290"/>
        <v>1.5924359749036334</v>
      </c>
      <c r="G1378" s="1820">
        <f t="shared" ca="1" si="290"/>
        <v>0</v>
      </c>
      <c r="H1378" s="1820">
        <f t="shared" ca="1" si="290"/>
        <v>0</v>
      </c>
      <c r="I1378" s="1820">
        <f t="shared" ca="1" si="290"/>
        <v>0</v>
      </c>
      <c r="J1378" s="1820">
        <f t="shared" ca="1" si="290"/>
        <v>0</v>
      </c>
      <c r="K1378" s="1820">
        <f t="shared" ca="1" si="290"/>
        <v>0</v>
      </c>
      <c r="L1378" s="1820">
        <f t="shared" ref="L1378" ca="1" si="291">L1377+L1355</f>
        <v>0</v>
      </c>
      <c r="M1378" s="1820">
        <f t="shared" ca="1" si="290"/>
        <v>0</v>
      </c>
      <c r="N1378" s="1820">
        <f t="shared" ref="N1378:P1378" ca="1" si="292">N1377+N1355</f>
        <v>0</v>
      </c>
      <c r="O1378" s="1820">
        <f t="shared" ca="1" si="292"/>
        <v>0</v>
      </c>
      <c r="P1378" s="1820">
        <f t="shared" ca="1" si="292"/>
        <v>0</v>
      </c>
      <c r="Q1378" s="1821">
        <f t="shared" ca="1" si="290"/>
        <v>1.0455467327229233</v>
      </c>
      <c r="R1378" s="518"/>
      <c r="S1378" s="892"/>
      <c r="T1378" s="341"/>
      <c r="U1378" s="341"/>
      <c r="V1378" s="341"/>
      <c r="W1378" s="341"/>
      <c r="X1378" s="341"/>
      <c r="Y1378" s="341"/>
      <c r="Z1378" s="341"/>
      <c r="AA1378" s="341"/>
      <c r="AB1378" s="341"/>
      <c r="AC1378" s="341"/>
      <c r="AD1378" s="341"/>
      <c r="AE1378" s="341"/>
      <c r="AF1378" s="341"/>
    </row>
    <row r="1379" spans="1:32" ht="18.75" customHeight="1" x14ac:dyDescent="0.2">
      <c r="A1379" s="341"/>
      <c r="B1379" s="345"/>
      <c r="C1379" s="519"/>
      <c r="D1379" s="518"/>
      <c r="E1379" s="518"/>
      <c r="F1379" s="518"/>
      <c r="G1379" s="518"/>
      <c r="H1379" s="518"/>
      <c r="I1379" s="518"/>
      <c r="J1379" s="518"/>
      <c r="K1379" s="518"/>
      <c r="L1379" s="518"/>
      <c r="M1379" s="518"/>
      <c r="N1379" s="518"/>
      <c r="O1379" s="518"/>
      <c r="P1379" s="518"/>
      <c r="Q1379" s="518"/>
      <c r="R1379" s="518"/>
      <c r="S1379" s="892"/>
      <c r="T1379" s="341"/>
      <c r="U1379" s="341"/>
      <c r="V1379" s="341"/>
      <c r="W1379" s="341"/>
      <c r="X1379" s="341"/>
      <c r="Y1379" s="341"/>
      <c r="Z1379" s="341"/>
      <c r="AA1379" s="341"/>
      <c r="AB1379" s="341"/>
      <c r="AC1379" s="341"/>
      <c r="AD1379" s="341"/>
      <c r="AE1379" s="341"/>
      <c r="AF1379" s="341"/>
    </row>
    <row r="1380" spans="1:32" ht="18.75" customHeight="1" x14ac:dyDescent="0.2">
      <c r="A1380" s="341"/>
      <c r="B1380" s="345"/>
      <c r="C1380" s="440" t="s">
        <v>1408</v>
      </c>
      <c r="D1380" s="440"/>
      <c r="E1380" s="440"/>
      <c r="F1380" s="518"/>
      <c r="G1380" s="518"/>
      <c r="H1380" s="518"/>
      <c r="I1380" s="518"/>
      <c r="J1380" s="518"/>
      <c r="K1380" s="518"/>
      <c r="L1380" s="518"/>
      <c r="M1380" s="518"/>
      <c r="N1380" s="518"/>
      <c r="O1380" s="518"/>
      <c r="P1380" s="518"/>
      <c r="Q1380" s="518"/>
      <c r="R1380" s="518"/>
      <c r="S1380" s="892"/>
      <c r="T1380" s="341"/>
      <c r="U1380" s="341"/>
      <c r="V1380" s="341"/>
      <c r="W1380" s="341"/>
      <c r="X1380" s="341"/>
      <c r="Y1380" s="341"/>
      <c r="Z1380" s="341"/>
      <c r="AA1380" s="341"/>
      <c r="AB1380" s="341"/>
      <c r="AC1380" s="341"/>
      <c r="AD1380" s="341"/>
      <c r="AE1380" s="341"/>
      <c r="AF1380" s="341"/>
    </row>
    <row r="1381" spans="1:32" ht="18.75" customHeight="1" x14ac:dyDescent="0.2">
      <c r="A1381" s="341"/>
      <c r="B1381" s="345"/>
      <c r="C1381" s="1794" t="s">
        <v>160</v>
      </c>
      <c r="D1381" s="1795"/>
      <c r="E1381" s="1795"/>
      <c r="F1381" s="1795"/>
      <c r="G1381" s="1795"/>
      <c r="H1381" s="1795"/>
      <c r="I1381" s="1795"/>
      <c r="J1381" s="1795"/>
      <c r="K1381" s="1795"/>
      <c r="L1381" s="1795"/>
      <c r="M1381" s="1795"/>
      <c r="N1381" s="1795"/>
      <c r="O1381" s="1795"/>
      <c r="P1381" s="1795"/>
      <c r="Q1381" s="1796"/>
      <c r="R1381" s="518"/>
      <c r="S1381" s="892"/>
      <c r="T1381" s="341"/>
      <c r="U1381" s="341"/>
      <c r="V1381" s="341"/>
      <c r="W1381" s="341"/>
      <c r="X1381" s="341"/>
      <c r="Y1381" s="341"/>
      <c r="Z1381" s="341"/>
      <c r="AA1381" s="341"/>
      <c r="AB1381" s="341"/>
      <c r="AC1381" s="341"/>
      <c r="AD1381" s="341"/>
      <c r="AE1381" s="341"/>
      <c r="AF1381" s="341"/>
    </row>
    <row r="1382" spans="1:32" ht="18.75" customHeight="1" x14ac:dyDescent="0.2">
      <c r="A1382" s="341"/>
      <c r="B1382" s="345"/>
      <c r="C1382" s="1792" t="s">
        <v>263</v>
      </c>
      <c r="D1382" s="518">
        <v>0</v>
      </c>
      <c r="E1382" s="518">
        <v>0</v>
      </c>
      <c r="F1382" s="518">
        <v>0</v>
      </c>
      <c r="G1382" s="518">
        <v>0</v>
      </c>
      <c r="H1382" s="518">
        <v>0</v>
      </c>
      <c r="I1382" s="518">
        <v>0</v>
      </c>
      <c r="J1382" s="518">
        <v>0</v>
      </c>
      <c r="K1382" s="518">
        <v>0</v>
      </c>
      <c r="L1382" s="518">
        <v>0</v>
      </c>
      <c r="M1382" s="518">
        <v>0</v>
      </c>
      <c r="N1382" s="518">
        <v>0</v>
      </c>
      <c r="O1382" s="518">
        <v>0</v>
      </c>
      <c r="P1382" s="518">
        <v>0</v>
      </c>
      <c r="Q1382" s="1788">
        <v>0</v>
      </c>
      <c r="R1382" s="518"/>
      <c r="S1382" s="892"/>
      <c r="T1382" s="341"/>
      <c r="U1382" s="341"/>
      <c r="V1382" s="341"/>
      <c r="W1382" s="341"/>
      <c r="X1382" s="341"/>
      <c r="Y1382" s="341"/>
      <c r="Z1382" s="341"/>
      <c r="AA1382" s="341"/>
      <c r="AB1382" s="341"/>
      <c r="AC1382" s="341"/>
      <c r="AD1382" s="341"/>
      <c r="AE1382" s="341"/>
      <c r="AF1382" s="341"/>
    </row>
    <row r="1383" spans="1:32" ht="18.75" customHeight="1" x14ac:dyDescent="0.2">
      <c r="A1383" s="341"/>
      <c r="B1383" s="345"/>
      <c r="C1383" s="1807" t="str">
        <f>C1356</f>
        <v>Process Energy</v>
      </c>
      <c r="D1383" s="1774"/>
      <c r="E1383" s="1774"/>
      <c r="F1383" s="1774"/>
      <c r="G1383" s="1774"/>
      <c r="H1383" s="1774"/>
      <c r="I1383" s="1774"/>
      <c r="J1383" s="1774"/>
      <c r="K1383" s="1774"/>
      <c r="L1383" s="1774"/>
      <c r="M1383" s="1774"/>
      <c r="N1383" s="1774"/>
      <c r="O1383" s="1774"/>
      <c r="P1383" s="1774"/>
      <c r="Q1383" s="1809"/>
      <c r="R1383" s="518"/>
      <c r="S1383" s="892"/>
      <c r="T1383" s="341"/>
      <c r="U1383" s="341"/>
      <c r="V1383" s="341"/>
      <c r="W1383" s="341"/>
      <c r="X1383" s="341"/>
      <c r="Y1383" s="341"/>
      <c r="Z1383" s="341"/>
      <c r="AA1383" s="341"/>
      <c r="AB1383" s="341"/>
      <c r="AC1383" s="341"/>
      <c r="AD1383" s="341"/>
      <c r="AE1383" s="341"/>
      <c r="AF1383" s="341"/>
    </row>
    <row r="1384" spans="1:32" ht="18.75" customHeight="1" x14ac:dyDescent="0.2">
      <c r="A1384" s="341"/>
      <c r="B1384" s="345"/>
      <c r="C1384" s="1792" t="s">
        <v>392</v>
      </c>
      <c r="D1384" s="518">
        <f ca="1">D1357*'Emission Factors'!$G$53</f>
        <v>0.79166721814557428</v>
      </c>
      <c r="E1384" s="518">
        <f ca="1">E1357*'Emission Factors'!$G$53</f>
        <v>0.32533793394667554</v>
      </c>
      <c r="F1384" s="518">
        <f ca="1">F1357*'Emission Factors'!$G$53</f>
        <v>0.30541070427229816</v>
      </c>
      <c r="G1384" s="518">
        <f ca="1">G1357*'Emission Factors'!$G$53</f>
        <v>0</v>
      </c>
      <c r="H1384" s="518">
        <f ca="1">H1357*'Emission Factors'!$G$53</f>
        <v>0</v>
      </c>
      <c r="I1384" s="518">
        <f ca="1">I1357*'Emission Factors'!$G$53</f>
        <v>0</v>
      </c>
      <c r="J1384" s="518">
        <f ca="1">J1357*'Emission Factors'!$G$53</f>
        <v>0</v>
      </c>
      <c r="K1384" s="518">
        <f ca="1">K1357*'Emission Factors'!$G$53</f>
        <v>0</v>
      </c>
      <c r="L1384" s="518">
        <f ca="1">L1357*'Emission Factors'!$G$53</f>
        <v>0</v>
      </c>
      <c r="M1384" s="518">
        <f ca="1">M1357*'Emission Factors'!$G$53</f>
        <v>0</v>
      </c>
      <c r="N1384" s="518">
        <f ca="1">N1357*'Emission Factors'!$G$53</f>
        <v>0</v>
      </c>
      <c r="O1384" s="518">
        <f ca="1">O1357*'Emission Factors'!$G$53</f>
        <v>0</v>
      </c>
      <c r="P1384" s="518">
        <f ca="1">P1357*'Emission Factors'!$G$53</f>
        <v>0</v>
      </c>
      <c r="Q1384" s="1788">
        <f ca="1">Q1357*'Emission Factors'!$G$53</f>
        <v>0.28848318388854338</v>
      </c>
      <c r="R1384" s="518"/>
      <c r="S1384" s="892"/>
      <c r="T1384" s="341"/>
      <c r="U1384" s="341"/>
      <c r="V1384" s="341"/>
      <c r="W1384" s="341"/>
      <c r="X1384" s="341"/>
      <c r="Y1384" s="341"/>
      <c r="Z1384" s="341"/>
      <c r="AA1384" s="341"/>
      <c r="AB1384" s="341"/>
      <c r="AC1384" s="341"/>
      <c r="AD1384" s="341"/>
      <c r="AE1384" s="341"/>
      <c r="AF1384" s="341"/>
    </row>
    <row r="1385" spans="1:32" ht="18.75" customHeight="1" x14ac:dyDescent="0.2">
      <c r="A1385" s="341"/>
      <c r="B1385" s="345"/>
      <c r="C1385" s="1792" t="s">
        <v>1023</v>
      </c>
      <c r="D1385" s="518"/>
      <c r="E1385" s="518"/>
      <c r="F1385" s="518"/>
      <c r="G1385" s="518"/>
      <c r="H1385" s="518"/>
      <c r="I1385" s="518"/>
      <c r="J1385" s="518"/>
      <c r="K1385" s="518"/>
      <c r="L1385" s="518"/>
      <c r="M1385" s="518"/>
      <c r="N1385" s="518"/>
      <c r="O1385" s="518"/>
      <c r="P1385" s="518"/>
      <c r="Q1385" s="1788"/>
      <c r="R1385" s="518"/>
      <c r="S1385" s="892"/>
      <c r="T1385" s="341"/>
      <c r="U1385" s="341"/>
      <c r="V1385" s="341"/>
      <c r="W1385" s="341"/>
      <c r="X1385" s="341"/>
      <c r="Y1385" s="341"/>
      <c r="Z1385" s="341"/>
      <c r="AA1385" s="341"/>
      <c r="AB1385" s="341"/>
      <c r="AC1385" s="341"/>
      <c r="AD1385" s="341"/>
      <c r="AE1385" s="341"/>
      <c r="AF1385" s="341"/>
    </row>
    <row r="1386" spans="1:32" ht="18.75" customHeight="1" x14ac:dyDescent="0.2">
      <c r="A1386" s="341"/>
      <c r="B1386" s="345"/>
      <c r="C1386" s="1792" t="s">
        <v>971</v>
      </c>
      <c r="D1386" s="518">
        <f ca="1">D1359*('Emission Factors'!$J$218+'Emission Factors'!$K$218)</f>
        <v>3.3828167462767684</v>
      </c>
      <c r="E1386" s="518">
        <f ca="1">E1359*('Emission Factors'!$J$218+'Emission Factors'!$K$218)</f>
        <v>1.2963953994907493</v>
      </c>
      <c r="F1386" s="518">
        <f ca="1">F1359*('Emission Factors'!$J$218+'Emission Factors'!$K$218)</f>
        <v>1.2617898052926402</v>
      </c>
      <c r="G1386" s="518">
        <f ca="1">G1359*('Emission Factors'!$J$218+'Emission Factors'!$K$218)</f>
        <v>0</v>
      </c>
      <c r="H1386" s="518">
        <f ca="1">H1359*('Emission Factors'!$J$218+'Emission Factors'!$K$218)</f>
        <v>0</v>
      </c>
      <c r="I1386" s="518">
        <f ca="1">I1359*('Emission Factors'!$J$218+'Emission Factors'!$K$218)</f>
        <v>0</v>
      </c>
      <c r="J1386" s="518">
        <f ca="1">J1359*('Emission Factors'!$J$218+'Emission Factors'!$K$218)</f>
        <v>0</v>
      </c>
      <c r="K1386" s="518">
        <f ca="1">K1359*('Emission Factors'!$J$218+'Emission Factors'!$K$218)</f>
        <v>0</v>
      </c>
      <c r="L1386" s="518">
        <f ca="1">L1359*('Emission Factors'!$J$218+'Emission Factors'!$K$218)</f>
        <v>0</v>
      </c>
      <c r="M1386" s="518">
        <f ca="1">M1359*('Emission Factors'!$J$218+'Emission Factors'!$K$218)</f>
        <v>0</v>
      </c>
      <c r="N1386" s="518">
        <f ca="1">N1359*('Emission Factors'!$J$218+'Emission Factors'!$K$218)</f>
        <v>0</v>
      </c>
      <c r="O1386" s="518">
        <f ca="1">O1359*('Emission Factors'!$J$218+'Emission Factors'!$K$218)</f>
        <v>0</v>
      </c>
      <c r="P1386" s="518">
        <f ca="1">P1359*('Emission Factors'!$J$218+'Emission Factors'!$K$218)</f>
        <v>0</v>
      </c>
      <c r="Q1386" s="1788">
        <f ca="1">Q1359*('Emission Factors'!$J$218+'Emission Factors'!$K$218)</f>
        <v>1.2024820194333325</v>
      </c>
      <c r="R1386" s="518"/>
      <c r="S1386" s="892"/>
      <c r="T1386" s="341"/>
      <c r="U1386" s="341"/>
      <c r="V1386" s="341"/>
      <c r="W1386" s="341"/>
      <c r="X1386" s="341"/>
      <c r="Y1386" s="341"/>
      <c r="Z1386" s="341"/>
      <c r="AA1386" s="341"/>
      <c r="AB1386" s="341"/>
      <c r="AC1386" s="341"/>
      <c r="AD1386" s="341"/>
      <c r="AE1386" s="341"/>
      <c r="AF1386" s="341"/>
    </row>
    <row r="1387" spans="1:32" ht="18.75" customHeight="1" x14ac:dyDescent="0.2">
      <c r="A1387" s="341"/>
      <c r="B1387" s="345"/>
      <c r="C1387" s="1792" t="s">
        <v>90</v>
      </c>
      <c r="D1387" s="518">
        <f ca="1">D1360*('Emission Factors'!$J$76+'Emission Factors'!$K$76)</f>
        <v>3.2505354586717647</v>
      </c>
      <c r="E1387" s="518">
        <f ca="1">E1360*('Emission Factors'!$J$76+'Emission Factors'!$K$76)</f>
        <v>1.2457012988189977</v>
      </c>
      <c r="F1387" s="518">
        <f ca="1">F1360*('Emission Factors'!$J$76+'Emission Factors'!$K$76)</f>
        <v>1.2124489179050255</v>
      </c>
      <c r="G1387" s="518">
        <f ca="1">G1360*('Emission Factors'!$J$76+'Emission Factors'!$K$76)</f>
        <v>0</v>
      </c>
      <c r="H1387" s="518">
        <f ca="1">H1360*('Emission Factors'!$J$76+'Emission Factors'!$K$76)</f>
        <v>0</v>
      </c>
      <c r="I1387" s="518">
        <f ca="1">I1360*('Emission Factors'!$J$76+'Emission Factors'!$K$76)</f>
        <v>0</v>
      </c>
      <c r="J1387" s="518">
        <f ca="1">J1360*('Emission Factors'!$J$76+'Emission Factors'!$K$76)</f>
        <v>0</v>
      </c>
      <c r="K1387" s="518">
        <f ca="1">K1360*('Emission Factors'!$J$76+'Emission Factors'!$K$76)</f>
        <v>0</v>
      </c>
      <c r="L1387" s="518">
        <f ca="1">L1360*('Emission Factors'!$J$76+'Emission Factors'!$K$76)</f>
        <v>0</v>
      </c>
      <c r="M1387" s="518">
        <f ca="1">M1360*('Emission Factors'!$J$76+'Emission Factors'!$K$76)</f>
        <v>0</v>
      </c>
      <c r="N1387" s="518">
        <f ca="1">N1360*('Emission Factors'!$J$76+'Emission Factors'!$K$76)</f>
        <v>0</v>
      </c>
      <c r="O1387" s="518">
        <f ca="1">O1360*('Emission Factors'!$J$76+'Emission Factors'!$K$76)</f>
        <v>0</v>
      </c>
      <c r="P1387" s="518">
        <f ca="1">P1360*('Emission Factors'!$J$76+'Emission Factors'!$K$76)</f>
        <v>0</v>
      </c>
      <c r="Q1387" s="1788">
        <f ca="1">Q1360*('Emission Factors'!$J$76+'Emission Factors'!$K$76)</f>
        <v>1.1554602970690986</v>
      </c>
      <c r="R1387" s="518"/>
      <c r="S1387" s="892"/>
      <c r="T1387" s="341"/>
      <c r="U1387" s="341"/>
      <c r="V1387" s="341"/>
      <c r="W1387" s="341"/>
      <c r="X1387" s="341"/>
      <c r="Y1387" s="341"/>
      <c r="Z1387" s="341"/>
      <c r="AA1387" s="341"/>
      <c r="AB1387" s="341"/>
      <c r="AC1387" s="341"/>
      <c r="AD1387" s="341"/>
      <c r="AE1387" s="341"/>
      <c r="AF1387" s="341"/>
    </row>
    <row r="1388" spans="1:32" ht="18.75" customHeight="1" x14ac:dyDescent="0.2">
      <c r="A1388" s="341"/>
      <c r="B1388" s="345"/>
      <c r="C1388" s="1792" t="s">
        <v>485</v>
      </c>
      <c r="D1388" s="518"/>
      <c r="E1388" s="518"/>
      <c r="F1388" s="518"/>
      <c r="G1388" s="518"/>
      <c r="H1388" s="518"/>
      <c r="I1388" s="518"/>
      <c r="J1388" s="518"/>
      <c r="K1388" s="518"/>
      <c r="L1388" s="518"/>
      <c r="M1388" s="518"/>
      <c r="N1388" s="518"/>
      <c r="O1388" s="518"/>
      <c r="P1388" s="518"/>
      <c r="Q1388" s="1788"/>
      <c r="R1388" s="518"/>
      <c r="S1388" s="892"/>
      <c r="T1388" s="341"/>
      <c r="U1388" s="341"/>
      <c r="V1388" s="341"/>
      <c r="W1388" s="341"/>
      <c r="X1388" s="341"/>
      <c r="Y1388" s="341"/>
      <c r="Z1388" s="341"/>
      <c r="AA1388" s="341"/>
      <c r="AB1388" s="341"/>
      <c r="AC1388" s="341"/>
      <c r="AD1388" s="341"/>
      <c r="AE1388" s="341"/>
      <c r="AF1388" s="341"/>
    </row>
    <row r="1389" spans="1:32" ht="18.75" customHeight="1" x14ac:dyDescent="0.2">
      <c r="A1389" s="341"/>
      <c r="B1389" s="345"/>
      <c r="C1389" s="1792" t="s">
        <v>971</v>
      </c>
      <c r="D1389" s="518">
        <f ca="1">D1362*('Emission Factors'!$J$218+'Emission Factors'!$K$218)</f>
        <v>0</v>
      </c>
      <c r="E1389" s="518">
        <f ca="1">E1362*('Emission Factors'!$J$218+'Emission Factors'!$K$218)</f>
        <v>0</v>
      </c>
      <c r="F1389" s="518">
        <f ca="1">F1362*('Emission Factors'!$J$218+'Emission Factors'!$K$218)</f>
        <v>0</v>
      </c>
      <c r="G1389" s="518">
        <f ca="1">G1362*('Emission Factors'!$J$218+'Emission Factors'!$K$218)</f>
        <v>0</v>
      </c>
      <c r="H1389" s="518">
        <f ca="1">H1362*('Emission Factors'!$J$218+'Emission Factors'!$K$218)</f>
        <v>0</v>
      </c>
      <c r="I1389" s="518">
        <f ca="1">I1362*('Emission Factors'!$J$218+'Emission Factors'!$K$218)</f>
        <v>0</v>
      </c>
      <c r="J1389" s="518">
        <f ca="1">J1362*('Emission Factors'!$J$218+'Emission Factors'!$K$218)</f>
        <v>0</v>
      </c>
      <c r="K1389" s="518">
        <f ca="1">K1362*('Emission Factors'!$J$218+'Emission Factors'!$K$218)</f>
        <v>0</v>
      </c>
      <c r="L1389" s="518">
        <f ca="1">L1362*('Emission Factors'!$J$218+'Emission Factors'!$K$218)</f>
        <v>0</v>
      </c>
      <c r="M1389" s="518">
        <f ca="1">M1362*('Emission Factors'!$J$218+'Emission Factors'!$K$218)</f>
        <v>0</v>
      </c>
      <c r="N1389" s="518">
        <f ca="1">N1362*('Emission Factors'!$J$218+'Emission Factors'!$K$218)</f>
        <v>0</v>
      </c>
      <c r="O1389" s="518">
        <f ca="1">O1362*('Emission Factors'!$J$218+'Emission Factors'!$K$218)</f>
        <v>0</v>
      </c>
      <c r="P1389" s="518">
        <f ca="1">P1362*('Emission Factors'!$J$218+'Emission Factors'!$K$218)</f>
        <v>0</v>
      </c>
      <c r="Q1389" s="1788">
        <f ca="1">Q1362*('Emission Factors'!$J$218+'Emission Factors'!$K$218)</f>
        <v>0</v>
      </c>
      <c r="R1389" s="518"/>
      <c r="S1389" s="892"/>
      <c r="T1389" s="341"/>
      <c r="U1389" s="341"/>
      <c r="V1389" s="341"/>
      <c r="W1389" s="341"/>
      <c r="X1389" s="341"/>
      <c r="Y1389" s="341"/>
      <c r="Z1389" s="341"/>
      <c r="AA1389" s="341"/>
      <c r="AB1389" s="341"/>
      <c r="AC1389" s="341"/>
      <c r="AD1389" s="341"/>
      <c r="AE1389" s="341"/>
      <c r="AF1389" s="341"/>
    </row>
    <row r="1390" spans="1:32" ht="18.75" customHeight="1" x14ac:dyDescent="0.2">
      <c r="A1390" s="341"/>
      <c r="B1390" s="345"/>
      <c r="C1390" s="1792" t="s">
        <v>90</v>
      </c>
      <c r="D1390" s="518">
        <f ca="1">D1363*('Emission Factors'!$J$76+'Emission Factors'!$K$76)</f>
        <v>0.83063917769570139</v>
      </c>
      <c r="E1390" s="518">
        <f ca="1">E1363*('Emission Factors'!$J$76+'Emission Factors'!$K$76)</f>
        <v>0.30740620759020232</v>
      </c>
      <c r="F1390" s="518">
        <f ca="1">F1363*('Emission Factors'!$J$76+'Emission Factors'!$K$76)</f>
        <v>0.28833090390338278</v>
      </c>
      <c r="G1390" s="518">
        <f ca="1">G1363*('Emission Factors'!$J$76+'Emission Factors'!$K$76)</f>
        <v>0</v>
      </c>
      <c r="H1390" s="518">
        <f ca="1">H1363*('Emission Factors'!$J$76+'Emission Factors'!$K$76)</f>
        <v>0</v>
      </c>
      <c r="I1390" s="518">
        <f ca="1">I1363*('Emission Factors'!$J$76+'Emission Factors'!$K$76)</f>
        <v>0</v>
      </c>
      <c r="J1390" s="518">
        <f ca="1">J1363*('Emission Factors'!$J$76+'Emission Factors'!$K$76)</f>
        <v>0</v>
      </c>
      <c r="K1390" s="518">
        <f ca="1">K1363*('Emission Factors'!$J$76+'Emission Factors'!$K$76)</f>
        <v>0</v>
      </c>
      <c r="L1390" s="518">
        <f ca="1">L1363*('Emission Factors'!$J$76+'Emission Factors'!$K$76)</f>
        <v>0</v>
      </c>
      <c r="M1390" s="518">
        <f ca="1">M1363*('Emission Factors'!$J$76+'Emission Factors'!$K$76)</f>
        <v>0</v>
      </c>
      <c r="N1390" s="518">
        <f ca="1">N1363*('Emission Factors'!$J$76+'Emission Factors'!$K$76)</f>
        <v>0</v>
      </c>
      <c r="O1390" s="518">
        <f ca="1">O1363*('Emission Factors'!$J$76+'Emission Factors'!$K$76)</f>
        <v>0</v>
      </c>
      <c r="P1390" s="518">
        <f ca="1">P1363*('Emission Factors'!$J$76+'Emission Factors'!$K$76)</f>
        <v>0</v>
      </c>
      <c r="Q1390" s="1788">
        <f ca="1">Q1363*('Emission Factors'!$J$76+'Emission Factors'!$K$76)</f>
        <v>0.28964730196553812</v>
      </c>
      <c r="R1390" s="518"/>
      <c r="S1390" s="892"/>
      <c r="T1390" s="341"/>
      <c r="U1390" s="341"/>
      <c r="V1390" s="341"/>
      <c r="W1390" s="341"/>
      <c r="X1390" s="341"/>
      <c r="Y1390" s="341"/>
      <c r="Z1390" s="341"/>
      <c r="AA1390" s="341"/>
      <c r="AB1390" s="341"/>
      <c r="AC1390" s="341"/>
      <c r="AD1390" s="341"/>
      <c r="AE1390" s="341"/>
      <c r="AF1390" s="341"/>
    </row>
    <row r="1391" spans="1:32" ht="18.75" customHeight="1" x14ac:dyDescent="0.2">
      <c r="A1391" s="341"/>
      <c r="B1391" s="345"/>
      <c r="C1391" s="1792" t="s">
        <v>392</v>
      </c>
      <c r="D1391" s="518">
        <f ca="1">D1364*'Emission Factors'!$G$53</f>
        <v>9.4434976325662029E-3</v>
      </c>
      <c r="E1391" s="518">
        <f ca="1">E1364*'Emission Factors'!$G$53</f>
        <v>3.4948866747021167E-3</v>
      </c>
      <c r="F1391" s="518">
        <f ca="1">F1364*'Emission Factors'!$G$53</f>
        <v>3.2780204468091747E-3</v>
      </c>
      <c r="G1391" s="518">
        <f ca="1">G1364*'Emission Factors'!$G$53</f>
        <v>0</v>
      </c>
      <c r="H1391" s="518">
        <f ca="1">H1364*'Emission Factors'!$G$53</f>
        <v>0</v>
      </c>
      <c r="I1391" s="518">
        <f ca="1">I1364*'Emission Factors'!$G$53</f>
        <v>0</v>
      </c>
      <c r="J1391" s="518">
        <f ca="1">J1364*'Emission Factors'!$G$53</f>
        <v>0</v>
      </c>
      <c r="K1391" s="518">
        <f ca="1">K1364*'Emission Factors'!$G$53</f>
        <v>0</v>
      </c>
      <c r="L1391" s="518">
        <f ca="1">L1364*'Emission Factors'!$G$53</f>
        <v>0</v>
      </c>
      <c r="M1391" s="518">
        <f ca="1">M1364*'Emission Factors'!$G$53</f>
        <v>0</v>
      </c>
      <c r="N1391" s="518">
        <f ca="1">N1364*'Emission Factors'!$G$53</f>
        <v>0</v>
      </c>
      <c r="O1391" s="518">
        <f ca="1">O1364*'Emission Factors'!$G$53</f>
        <v>0</v>
      </c>
      <c r="P1391" s="518">
        <f ca="1">P1364*'Emission Factors'!$G$53</f>
        <v>0</v>
      </c>
      <c r="Q1391" s="1788">
        <f ca="1">Q1364*'Emission Factors'!$G$53</f>
        <v>3.2929865142874324E-3</v>
      </c>
      <c r="R1391" s="518"/>
      <c r="S1391" s="892"/>
      <c r="T1391" s="341"/>
      <c r="U1391" s="341"/>
      <c r="V1391" s="341"/>
      <c r="W1391" s="341"/>
      <c r="X1391" s="341"/>
      <c r="Y1391" s="341"/>
      <c r="Z1391" s="341"/>
      <c r="AA1391" s="341"/>
      <c r="AB1391" s="341"/>
      <c r="AC1391" s="341"/>
      <c r="AD1391" s="341"/>
      <c r="AE1391" s="341"/>
      <c r="AF1391" s="341"/>
    </row>
    <row r="1392" spans="1:32" ht="18.75" customHeight="1" x14ac:dyDescent="0.2">
      <c r="A1392" s="341"/>
      <c r="B1392" s="345"/>
      <c r="C1392" s="1792" t="s">
        <v>1027</v>
      </c>
      <c r="D1392" s="518"/>
      <c r="E1392" s="518"/>
      <c r="F1392" s="518"/>
      <c r="G1392" s="518"/>
      <c r="H1392" s="518"/>
      <c r="I1392" s="518"/>
      <c r="J1392" s="518"/>
      <c r="K1392" s="518"/>
      <c r="L1392" s="518"/>
      <c r="M1392" s="518"/>
      <c r="N1392" s="518"/>
      <c r="O1392" s="518"/>
      <c r="P1392" s="518"/>
      <c r="Q1392" s="1788"/>
      <c r="R1392" s="518"/>
      <c r="S1392" s="892"/>
      <c r="T1392" s="341"/>
      <c r="U1392" s="341"/>
      <c r="V1392" s="341"/>
      <c r="W1392" s="341"/>
      <c r="X1392" s="341"/>
      <c r="Y1392" s="341"/>
      <c r="Z1392" s="341"/>
      <c r="AA1392" s="341"/>
      <c r="AB1392" s="341"/>
      <c r="AC1392" s="341"/>
      <c r="AD1392" s="341"/>
      <c r="AE1392" s="341"/>
      <c r="AF1392" s="341"/>
    </row>
    <row r="1393" spans="1:32" ht="18.75" customHeight="1" x14ac:dyDescent="0.2">
      <c r="A1393" s="341"/>
      <c r="B1393" s="345"/>
      <c r="C1393" s="1792" t="s">
        <v>1036</v>
      </c>
      <c r="D1393" s="518">
        <f ca="1">D1366*('Emission Factors'!$J$218+'Emission Factors'!$K$218)</f>
        <v>0</v>
      </c>
      <c r="E1393" s="518">
        <f ca="1">E1366*('Emission Factors'!$J$218+'Emission Factors'!$K$218)</f>
        <v>0</v>
      </c>
      <c r="F1393" s="518">
        <f ca="1">F1366*('Emission Factors'!$J$218+'Emission Factors'!$K$218)</f>
        <v>0</v>
      </c>
      <c r="G1393" s="518">
        <f ca="1">G1366*('Emission Factors'!$J$218+'Emission Factors'!$K$218)</f>
        <v>0</v>
      </c>
      <c r="H1393" s="518">
        <f ca="1">H1366*('Emission Factors'!$J$218+'Emission Factors'!$K$218)</f>
        <v>0</v>
      </c>
      <c r="I1393" s="518">
        <f ca="1">I1366*('Emission Factors'!$J$218+'Emission Factors'!$K$218)</f>
        <v>0</v>
      </c>
      <c r="J1393" s="518">
        <f ca="1">J1366*('Emission Factors'!$J$218+'Emission Factors'!$K$218)</f>
        <v>0</v>
      </c>
      <c r="K1393" s="518">
        <f ca="1">K1366*('Emission Factors'!$J$218+'Emission Factors'!$K$218)</f>
        <v>0</v>
      </c>
      <c r="L1393" s="518">
        <f ca="1">L1366*('Emission Factors'!$J$218+'Emission Factors'!$K$218)</f>
        <v>0</v>
      </c>
      <c r="M1393" s="518">
        <f ca="1">M1366*('Emission Factors'!$J$218+'Emission Factors'!$K$218)</f>
        <v>0</v>
      </c>
      <c r="N1393" s="518">
        <f ca="1">N1366*('Emission Factors'!$J$218+'Emission Factors'!$K$218)</f>
        <v>0</v>
      </c>
      <c r="O1393" s="518">
        <f ca="1">O1366*('Emission Factors'!$J$218+'Emission Factors'!$K$218)</f>
        <v>0</v>
      </c>
      <c r="P1393" s="518">
        <f ca="1">P1366*('Emission Factors'!$J$218+'Emission Factors'!$K$218)</f>
        <v>0</v>
      </c>
      <c r="Q1393" s="1788">
        <f ca="1">Q1366*('Emission Factors'!$J$218+'Emission Factors'!$K$218)</f>
        <v>0</v>
      </c>
      <c r="R1393" s="518"/>
      <c r="S1393" s="892"/>
      <c r="T1393" s="341"/>
      <c r="U1393" s="341"/>
      <c r="V1393" s="341"/>
      <c r="W1393" s="341"/>
      <c r="X1393" s="341"/>
      <c r="Y1393" s="341"/>
      <c r="Z1393" s="341"/>
      <c r="AA1393" s="341"/>
      <c r="AB1393" s="341"/>
      <c r="AC1393" s="341"/>
      <c r="AD1393" s="341"/>
      <c r="AE1393" s="341"/>
      <c r="AF1393" s="341"/>
    </row>
    <row r="1394" spans="1:32" ht="18.75" customHeight="1" x14ac:dyDescent="0.2">
      <c r="A1394" s="341"/>
      <c r="B1394" s="345"/>
      <c r="C1394" s="1792" t="s">
        <v>1037</v>
      </c>
      <c r="D1394" s="518">
        <f ca="1">D1367*('Emission Factors'!$J$76+'Emission Factors'!$K$76)</f>
        <v>0</v>
      </c>
      <c r="E1394" s="518">
        <f ca="1">E1367*('Emission Factors'!$J$76+'Emission Factors'!$K$76)</f>
        <v>0</v>
      </c>
      <c r="F1394" s="518">
        <f ca="1">F1367*('Emission Factors'!$J$76+'Emission Factors'!$K$76)</f>
        <v>0</v>
      </c>
      <c r="G1394" s="518">
        <f ca="1">G1367*('Emission Factors'!$J$76+'Emission Factors'!$K$76)</f>
        <v>0</v>
      </c>
      <c r="H1394" s="518">
        <f ca="1">H1367*('Emission Factors'!$J$76+'Emission Factors'!$K$76)</f>
        <v>0</v>
      </c>
      <c r="I1394" s="518">
        <f ca="1">I1367*('Emission Factors'!$J$76+'Emission Factors'!$K$76)</f>
        <v>0</v>
      </c>
      <c r="J1394" s="518">
        <f ca="1">J1367*('Emission Factors'!$J$76+'Emission Factors'!$K$76)</f>
        <v>0</v>
      </c>
      <c r="K1394" s="518">
        <f ca="1">K1367*('Emission Factors'!$J$76+'Emission Factors'!$K$76)</f>
        <v>0</v>
      </c>
      <c r="L1394" s="518">
        <f ca="1">L1367*('Emission Factors'!$J$76+'Emission Factors'!$K$76)</f>
        <v>0</v>
      </c>
      <c r="M1394" s="518">
        <f ca="1">M1367*('Emission Factors'!$J$76+'Emission Factors'!$K$76)</f>
        <v>0</v>
      </c>
      <c r="N1394" s="518">
        <f ca="1">N1367*('Emission Factors'!$J$76+'Emission Factors'!$K$76)</f>
        <v>0</v>
      </c>
      <c r="O1394" s="518">
        <f ca="1">O1367*('Emission Factors'!$J$76+'Emission Factors'!$K$76)</f>
        <v>0</v>
      </c>
      <c r="P1394" s="518">
        <f ca="1">P1367*('Emission Factors'!$J$76+'Emission Factors'!$K$76)</f>
        <v>0</v>
      </c>
      <c r="Q1394" s="1788">
        <f ca="1">Q1367*('Emission Factors'!$J$76+'Emission Factors'!$K$76)</f>
        <v>0</v>
      </c>
      <c r="R1394" s="518"/>
      <c r="S1394" s="892"/>
      <c r="T1394" s="341"/>
      <c r="U1394" s="341"/>
      <c r="V1394" s="341"/>
      <c r="W1394" s="341"/>
      <c r="X1394" s="341"/>
      <c r="Y1394" s="341"/>
      <c r="Z1394" s="341"/>
      <c r="AA1394" s="341"/>
      <c r="AB1394" s="341"/>
      <c r="AC1394" s="341"/>
      <c r="AD1394" s="341"/>
      <c r="AE1394" s="341"/>
      <c r="AF1394" s="341"/>
    </row>
    <row r="1395" spans="1:32" ht="18.75" customHeight="1" x14ac:dyDescent="0.2">
      <c r="A1395" s="341"/>
      <c r="B1395" s="345"/>
      <c r="C1395" s="1792" t="s">
        <v>1034</v>
      </c>
      <c r="D1395" s="518">
        <f ca="1">D1368*'Emission Factors'!$G$53</f>
        <v>3.0279287218924252E-2</v>
      </c>
      <c r="E1395" s="518">
        <f ca="1">E1368*'Emission Factors'!$G$53</f>
        <v>7.236538616164986E-3</v>
      </c>
      <c r="F1395" s="518">
        <f ca="1">F1368*'Emission Factors'!$G$53</f>
        <v>7.9746893796128412E-3</v>
      </c>
      <c r="G1395" s="518">
        <f ca="1">G1368*'Emission Factors'!$G$53</f>
        <v>0</v>
      </c>
      <c r="H1395" s="518">
        <f ca="1">H1368*'Emission Factors'!$G$53</f>
        <v>0</v>
      </c>
      <c r="I1395" s="518">
        <f ca="1">I1368*'Emission Factors'!$G$53</f>
        <v>0</v>
      </c>
      <c r="J1395" s="518">
        <f ca="1">J1368*'Emission Factors'!$G$53</f>
        <v>0</v>
      </c>
      <c r="K1395" s="518">
        <f ca="1">K1368*'Emission Factors'!$G$53</f>
        <v>0</v>
      </c>
      <c r="L1395" s="518">
        <f ca="1">L1368*'Emission Factors'!$G$53</f>
        <v>0</v>
      </c>
      <c r="M1395" s="518">
        <f ca="1">M1368*'Emission Factors'!$G$53</f>
        <v>0</v>
      </c>
      <c r="N1395" s="518">
        <f ca="1">N1368*'Emission Factors'!$G$53</f>
        <v>0</v>
      </c>
      <c r="O1395" s="518">
        <f ca="1">O1368*'Emission Factors'!$G$53</f>
        <v>0</v>
      </c>
      <c r="P1395" s="518">
        <f ca="1">P1368*'Emission Factors'!$G$53</f>
        <v>0</v>
      </c>
      <c r="Q1395" s="1788">
        <f ca="1">Q1368*'Emission Factors'!$G$53</f>
        <v>9.1896427390664309E-3</v>
      </c>
      <c r="R1395" s="518"/>
      <c r="S1395" s="892"/>
      <c r="T1395" s="341"/>
      <c r="U1395" s="341"/>
      <c r="V1395" s="341"/>
      <c r="W1395" s="341"/>
      <c r="X1395" s="341"/>
      <c r="Y1395" s="341"/>
      <c r="Z1395" s="341"/>
      <c r="AA1395" s="341"/>
      <c r="AB1395" s="341"/>
      <c r="AC1395" s="341"/>
      <c r="AD1395" s="341"/>
      <c r="AE1395" s="341"/>
      <c r="AF1395" s="341"/>
    </row>
    <row r="1396" spans="1:32" ht="18.75" customHeight="1" x14ac:dyDescent="0.2">
      <c r="A1396" s="341"/>
      <c r="B1396" s="345"/>
      <c r="C1396" s="1792" t="s">
        <v>1028</v>
      </c>
      <c r="D1396" s="518">
        <f ca="1">D1369*('Emission Factors'!$J$218+'Emission Factors'!$K$218)</f>
        <v>0</v>
      </c>
      <c r="E1396" s="518">
        <f ca="1">E1369*('Emission Factors'!$J$218+'Emission Factors'!$K$218)</f>
        <v>0</v>
      </c>
      <c r="F1396" s="518">
        <f ca="1">F1369*('Emission Factors'!$J$218+'Emission Factors'!$K$218)</f>
        <v>0</v>
      </c>
      <c r="G1396" s="518">
        <f ca="1">G1369*('Emission Factors'!$J$218+'Emission Factors'!$K$218)</f>
        <v>0</v>
      </c>
      <c r="H1396" s="518">
        <f ca="1">H1369*('Emission Factors'!$J$218+'Emission Factors'!$K$218)</f>
        <v>0</v>
      </c>
      <c r="I1396" s="518">
        <f ca="1">I1369*('Emission Factors'!$J$218+'Emission Factors'!$K$218)</f>
        <v>0</v>
      </c>
      <c r="J1396" s="518">
        <f ca="1">J1369*('Emission Factors'!$J$218+'Emission Factors'!$K$218)</f>
        <v>0</v>
      </c>
      <c r="K1396" s="518">
        <f ca="1">K1369*('Emission Factors'!$J$218+'Emission Factors'!$K$218)</f>
        <v>0</v>
      </c>
      <c r="L1396" s="518">
        <f ca="1">L1369*('Emission Factors'!$J$218+'Emission Factors'!$K$218)</f>
        <v>0</v>
      </c>
      <c r="M1396" s="518">
        <f ca="1">M1369*('Emission Factors'!$J$218+'Emission Factors'!$K$218)</f>
        <v>0</v>
      </c>
      <c r="N1396" s="518">
        <f ca="1">N1369*('Emission Factors'!$J$218+'Emission Factors'!$K$218)</f>
        <v>0</v>
      </c>
      <c r="O1396" s="518">
        <f ca="1">O1369*('Emission Factors'!$J$218+'Emission Factors'!$K$218)</f>
        <v>0</v>
      </c>
      <c r="P1396" s="518">
        <f ca="1">P1369*('Emission Factors'!$J$218+'Emission Factors'!$K$218)</f>
        <v>0</v>
      </c>
      <c r="Q1396" s="1788">
        <f ca="1">Q1369*('Emission Factors'!$J$218+'Emission Factors'!$K$218)</f>
        <v>0</v>
      </c>
      <c r="R1396" s="518"/>
      <c r="S1396" s="892"/>
      <c r="T1396" s="341"/>
      <c r="U1396" s="341"/>
      <c r="V1396" s="341"/>
      <c r="W1396" s="341"/>
      <c r="X1396" s="341"/>
      <c r="Y1396" s="341"/>
      <c r="Z1396" s="341"/>
      <c r="AA1396" s="341"/>
      <c r="AB1396" s="341"/>
      <c r="AC1396" s="341"/>
      <c r="AD1396" s="341"/>
      <c r="AE1396" s="341"/>
      <c r="AF1396" s="341"/>
    </row>
    <row r="1397" spans="1:32" ht="18.75" customHeight="1" x14ac:dyDescent="0.2">
      <c r="A1397" s="341"/>
      <c r="B1397" s="345"/>
      <c r="C1397" s="1792" t="s">
        <v>1029</v>
      </c>
      <c r="D1397" s="518">
        <f ca="1">D1370*('Emission Factors'!$J$76+'Emission Factors'!$K$76)</f>
        <v>1.1732226798428613</v>
      </c>
      <c r="E1397" s="518">
        <f ca="1">E1370*('Emission Factors'!$J$76+'Emission Factors'!$K$76)</f>
        <v>0.28039204379742561</v>
      </c>
      <c r="F1397" s="518">
        <f ca="1">F1370*('Emission Factors'!$J$76+'Emission Factors'!$K$76)</f>
        <v>0.30899295538952865</v>
      </c>
      <c r="G1397" s="518">
        <f ca="1">G1370*('Emission Factors'!$J$76+'Emission Factors'!$K$76)</f>
        <v>0</v>
      </c>
      <c r="H1397" s="518">
        <f ca="1">H1370*('Emission Factors'!$J$76+'Emission Factors'!$K$76)</f>
        <v>0</v>
      </c>
      <c r="I1397" s="518">
        <f ca="1">I1370*('Emission Factors'!$J$76+'Emission Factors'!$K$76)</f>
        <v>0</v>
      </c>
      <c r="J1397" s="518">
        <f ca="1">J1370*('Emission Factors'!$J$76+'Emission Factors'!$K$76)</f>
        <v>0</v>
      </c>
      <c r="K1397" s="518">
        <f ca="1">K1370*('Emission Factors'!$J$76+'Emission Factors'!$K$76)</f>
        <v>0</v>
      </c>
      <c r="L1397" s="518">
        <f ca="1">L1370*('Emission Factors'!$J$76+'Emission Factors'!$K$76)</f>
        <v>0</v>
      </c>
      <c r="M1397" s="518">
        <f ca="1">M1370*('Emission Factors'!$J$76+'Emission Factors'!$K$76)</f>
        <v>0</v>
      </c>
      <c r="N1397" s="518">
        <f ca="1">N1370*('Emission Factors'!$J$76+'Emission Factors'!$K$76)</f>
        <v>0</v>
      </c>
      <c r="O1397" s="518">
        <f ca="1">O1370*('Emission Factors'!$J$76+'Emission Factors'!$K$76)</f>
        <v>0</v>
      </c>
      <c r="P1397" s="518">
        <f ca="1">P1370*('Emission Factors'!$J$76+'Emission Factors'!$K$76)</f>
        <v>0</v>
      </c>
      <c r="Q1397" s="1788">
        <f ca="1">Q1370*('Emission Factors'!$J$76+'Emission Factors'!$K$76)</f>
        <v>0.35606839762026121</v>
      </c>
      <c r="R1397" s="518"/>
      <c r="S1397" s="892"/>
      <c r="T1397" s="341"/>
      <c r="U1397" s="341"/>
      <c r="V1397" s="341"/>
      <c r="W1397" s="341"/>
      <c r="X1397" s="341"/>
      <c r="Y1397" s="341"/>
      <c r="Z1397" s="341"/>
      <c r="AA1397" s="341"/>
      <c r="AB1397" s="341"/>
      <c r="AC1397" s="341"/>
      <c r="AD1397" s="341"/>
      <c r="AE1397" s="341"/>
      <c r="AF1397" s="341"/>
    </row>
    <row r="1398" spans="1:32" ht="18.75" customHeight="1" x14ac:dyDescent="0.2">
      <c r="A1398" s="341"/>
      <c r="B1398" s="345"/>
      <c r="C1398" s="1792" t="s">
        <v>1038</v>
      </c>
      <c r="D1398" s="518">
        <f ca="1">D1371*('Emission Factors'!$J$218+'Emission Factors'!$J$119)</f>
        <v>0</v>
      </c>
      <c r="E1398" s="518">
        <f ca="1">E1371*('Emission Factors'!$J$218+'Emission Factors'!$J$119)</f>
        <v>0</v>
      </c>
      <c r="F1398" s="518">
        <f ca="1">F1371*('Emission Factors'!$J$218+'Emission Factors'!$J$119)</f>
        <v>0</v>
      </c>
      <c r="G1398" s="518">
        <f ca="1">G1371*('Emission Factors'!$J$218+'Emission Factors'!$J$119)</f>
        <v>0</v>
      </c>
      <c r="H1398" s="518">
        <f ca="1">H1371*('Emission Factors'!$J$218+'Emission Factors'!$J$119)</f>
        <v>0</v>
      </c>
      <c r="I1398" s="518">
        <f ca="1">I1371*('Emission Factors'!$J$218+'Emission Factors'!$J$119)</f>
        <v>0</v>
      </c>
      <c r="J1398" s="518">
        <f ca="1">J1371*('Emission Factors'!$J$218+'Emission Factors'!$J$119)</f>
        <v>0</v>
      </c>
      <c r="K1398" s="518">
        <f ca="1">K1371*('Emission Factors'!$J$218+'Emission Factors'!$J$119)</f>
        <v>0</v>
      </c>
      <c r="L1398" s="518">
        <f ca="1">L1371*('Emission Factors'!$J$218+'Emission Factors'!$J$119)</f>
        <v>0</v>
      </c>
      <c r="M1398" s="518">
        <f ca="1">M1371*('Emission Factors'!$J$218+'Emission Factors'!$J$119)</f>
        <v>0</v>
      </c>
      <c r="N1398" s="518">
        <f ca="1">N1371*('Emission Factors'!$J$218+'Emission Factors'!$J$119)</f>
        <v>0</v>
      </c>
      <c r="O1398" s="518">
        <f ca="1">O1371*('Emission Factors'!$J$218+'Emission Factors'!$J$119)</f>
        <v>0</v>
      </c>
      <c r="P1398" s="518">
        <f ca="1">P1371*('Emission Factors'!$J$218+'Emission Factors'!$J$119)</f>
        <v>0</v>
      </c>
      <c r="Q1398" s="1788">
        <f ca="1">Q1371*('Emission Factors'!$J$218+'Emission Factors'!$J$119)</f>
        <v>0</v>
      </c>
      <c r="R1398" s="518"/>
      <c r="S1398" s="892"/>
      <c r="T1398" s="341"/>
      <c r="U1398" s="341"/>
      <c r="V1398" s="341"/>
      <c r="W1398" s="341"/>
      <c r="X1398" s="341"/>
      <c r="Y1398" s="341"/>
      <c r="Z1398" s="341"/>
      <c r="AA1398" s="341"/>
      <c r="AB1398" s="341"/>
      <c r="AC1398" s="341"/>
      <c r="AD1398" s="341"/>
      <c r="AE1398" s="341"/>
      <c r="AF1398" s="341"/>
    </row>
    <row r="1399" spans="1:32" ht="18.75" customHeight="1" x14ac:dyDescent="0.2">
      <c r="A1399" s="341"/>
      <c r="B1399" s="345"/>
      <c r="C1399" s="1792" t="s">
        <v>1039</v>
      </c>
      <c r="D1399" s="518">
        <f ca="1">D1372*('Emission Factors'!$J$76+IF('Emission Factors'!$D$105=0,0,'Emission Factors'!$F$109/'Emission Factors'!$F$105))</f>
        <v>1.0349262125046401</v>
      </c>
      <c r="E1399" s="518">
        <f ca="1">E1372*('Emission Factors'!$J$76+IF('Emission Factors'!$D$105=0,0,'Emission Factors'!$F$109/'Emission Factors'!$F$105))</f>
        <v>0.2473401519501579</v>
      </c>
      <c r="F1399" s="518">
        <f ca="1">F1372*('Emission Factors'!$J$76+IF('Emission Factors'!$D$105=0,0,'Emission Factors'!$F$109/'Emission Factors'!$F$105))</f>
        <v>0.27256966175827019</v>
      </c>
      <c r="G1399" s="518">
        <f ca="1">G1372*('Emission Factors'!$J$76+IF('Emission Factors'!$D$105=0,0,'Emission Factors'!$F$109/'Emission Factors'!$F$105))</f>
        <v>0</v>
      </c>
      <c r="H1399" s="518">
        <f ca="1">H1372*('Emission Factors'!$J$76+IF('Emission Factors'!$D$105=0,0,'Emission Factors'!$F$109/'Emission Factors'!$F$105))</f>
        <v>0</v>
      </c>
      <c r="I1399" s="518">
        <f ca="1">I1372*('Emission Factors'!$J$76+IF('Emission Factors'!$D$105=0,0,'Emission Factors'!$F$109/'Emission Factors'!$F$105))</f>
        <v>0</v>
      </c>
      <c r="J1399" s="518">
        <f ca="1">J1372*('Emission Factors'!$J$76+IF('Emission Factors'!$D$105=0,0,'Emission Factors'!$F$109/'Emission Factors'!$F$105))</f>
        <v>0</v>
      </c>
      <c r="K1399" s="518">
        <f ca="1">K1372*('Emission Factors'!$J$76+IF('Emission Factors'!$D$105=0,0,'Emission Factors'!$F$109/'Emission Factors'!$F$105))</f>
        <v>0</v>
      </c>
      <c r="L1399" s="518">
        <f ca="1">L1372*('Emission Factors'!$J$76+IF('Emission Factors'!$D$105=0,0,'Emission Factors'!$F$109/'Emission Factors'!$F$105))</f>
        <v>0</v>
      </c>
      <c r="M1399" s="518">
        <f ca="1">M1372*('Emission Factors'!$J$76+IF('Emission Factors'!$D$105=0,0,'Emission Factors'!$F$109/'Emission Factors'!$F$105))</f>
        <v>0</v>
      </c>
      <c r="N1399" s="518">
        <f ca="1">N1372*('Emission Factors'!$J$76+IF('Emission Factors'!$D$105=0,0,'Emission Factors'!$F$109/'Emission Factors'!$F$105))</f>
        <v>0</v>
      </c>
      <c r="O1399" s="518">
        <f ca="1">O1372*('Emission Factors'!$J$76+IF('Emission Factors'!$D$105=0,0,'Emission Factors'!$F$109/'Emission Factors'!$F$105))</f>
        <v>0</v>
      </c>
      <c r="P1399" s="518">
        <f ca="1">P1372*('Emission Factors'!$J$76+IF('Emission Factors'!$D$105=0,0,'Emission Factors'!$F$109/'Emission Factors'!$F$105))</f>
        <v>0</v>
      </c>
      <c r="Q1399" s="1788">
        <f ca="1">Q1372*('Emission Factors'!$J$76+IF('Emission Factors'!$D$105=0,0,'Emission Factors'!$F$109/'Emission Factors'!$F$105))</f>
        <v>0.31409597212277701</v>
      </c>
      <c r="R1399" s="518"/>
      <c r="S1399" s="892"/>
      <c r="T1399" s="341"/>
      <c r="U1399" s="341"/>
      <c r="V1399" s="341"/>
      <c r="W1399" s="341"/>
      <c r="X1399" s="341"/>
      <c r="Y1399" s="341"/>
      <c r="Z1399" s="341"/>
      <c r="AA1399" s="341"/>
      <c r="AB1399" s="341"/>
      <c r="AC1399" s="341"/>
      <c r="AD1399" s="341"/>
      <c r="AE1399" s="341"/>
      <c r="AF1399" s="341"/>
    </row>
    <row r="1400" spans="1:32" ht="18.75" customHeight="1" x14ac:dyDescent="0.2">
      <c r="A1400" s="341"/>
      <c r="B1400" s="345"/>
      <c r="C1400" s="1792" t="s">
        <v>1053</v>
      </c>
      <c r="D1400" s="518">
        <f ca="1">D1373*'Emission Factors'!$I$262</f>
        <v>0</v>
      </c>
      <c r="E1400" s="518">
        <f ca="1">E1373*'Emission Factors'!$I$262</f>
        <v>0</v>
      </c>
      <c r="F1400" s="518">
        <f ca="1">F1373*'Emission Factors'!$I$262</f>
        <v>0</v>
      </c>
      <c r="G1400" s="518">
        <f ca="1">G1373*'Emission Factors'!$I$262</f>
        <v>0</v>
      </c>
      <c r="H1400" s="518">
        <f ca="1">H1373*'Emission Factors'!$I$262</f>
        <v>0</v>
      </c>
      <c r="I1400" s="518">
        <f ca="1">I1373*'Emission Factors'!$I$262</f>
        <v>0</v>
      </c>
      <c r="J1400" s="518">
        <f ca="1">J1373*'Emission Factors'!$I$262</f>
        <v>0</v>
      </c>
      <c r="K1400" s="518">
        <f ca="1">K1373*'Emission Factors'!$I$262</f>
        <v>0</v>
      </c>
      <c r="L1400" s="518">
        <f ca="1">L1373*'Emission Factors'!$I$262</f>
        <v>0</v>
      </c>
      <c r="M1400" s="518">
        <f ca="1">M1373*'Emission Factors'!$I$262</f>
        <v>0</v>
      </c>
      <c r="N1400" s="518">
        <f ca="1">N1373*'Emission Factors'!$I$262</f>
        <v>0</v>
      </c>
      <c r="O1400" s="518">
        <f ca="1">O1373*'Emission Factors'!$I$262</f>
        <v>0</v>
      </c>
      <c r="P1400" s="518">
        <f ca="1">P1373*'Emission Factors'!$I$262</f>
        <v>0</v>
      </c>
      <c r="Q1400" s="1788">
        <f ca="1">Q1373*'Emission Factors'!$I$262</f>
        <v>0</v>
      </c>
      <c r="R1400" s="518"/>
      <c r="S1400" s="892"/>
      <c r="T1400" s="341"/>
      <c r="U1400" s="341"/>
      <c r="V1400" s="341"/>
      <c r="W1400" s="341"/>
      <c r="X1400" s="341"/>
      <c r="Y1400" s="341"/>
      <c r="Z1400" s="341"/>
      <c r="AA1400" s="341"/>
      <c r="AB1400" s="341"/>
      <c r="AC1400" s="341"/>
      <c r="AD1400" s="341"/>
      <c r="AE1400" s="341"/>
      <c r="AF1400" s="341"/>
    </row>
    <row r="1401" spans="1:32" ht="18.75" customHeight="1" x14ac:dyDescent="0.2">
      <c r="A1401" s="341"/>
      <c r="B1401" s="345"/>
      <c r="C1401" s="1792" t="s">
        <v>1051</v>
      </c>
      <c r="D1401" s="518">
        <f ca="1">D1374*'Emission Factors'!$E$177</f>
        <v>2.4697732480785539E-20</v>
      </c>
      <c r="E1401" s="518">
        <f ca="1">E1374*'Emission Factors'!$E$177</f>
        <v>0</v>
      </c>
      <c r="F1401" s="518">
        <f ca="1">F1374*'Emission Factors'!$E$177</f>
        <v>9.4933621949897567E-21</v>
      </c>
      <c r="G1401" s="518">
        <f ca="1">G1374*'Emission Factors'!$E$177</f>
        <v>0</v>
      </c>
      <c r="H1401" s="518">
        <f ca="1">H1374*'Emission Factors'!$E$177</f>
        <v>0</v>
      </c>
      <c r="I1401" s="518">
        <f ca="1">I1374*'Emission Factors'!$E$177</f>
        <v>0</v>
      </c>
      <c r="J1401" s="518">
        <f ca="1">J1374*'Emission Factors'!$E$177</f>
        <v>0</v>
      </c>
      <c r="K1401" s="518">
        <f ca="1">K1374*'Emission Factors'!$E$177</f>
        <v>0</v>
      </c>
      <c r="L1401" s="518">
        <f ca="1">L1374*'Emission Factors'!$E$177</f>
        <v>0</v>
      </c>
      <c r="M1401" s="518">
        <f ca="1">M1374*'Emission Factors'!$E$177</f>
        <v>0</v>
      </c>
      <c r="N1401" s="518">
        <f ca="1">N1374*'Emission Factors'!$E$177</f>
        <v>0</v>
      </c>
      <c r="O1401" s="518">
        <f ca="1">O1374*'Emission Factors'!$E$177</f>
        <v>0</v>
      </c>
      <c r="P1401" s="518">
        <f ca="1">P1374*'Emission Factors'!$E$177</f>
        <v>0</v>
      </c>
      <c r="Q1401" s="1788">
        <f ca="1">Q1374*'Emission Factors'!$E$177</f>
        <v>6.3223881657901218E-21</v>
      </c>
      <c r="R1401" s="518"/>
      <c r="S1401" s="892"/>
      <c r="T1401" s="341"/>
      <c r="U1401" s="341"/>
      <c r="V1401" s="341"/>
      <c r="W1401" s="341"/>
      <c r="X1401" s="341"/>
      <c r="Y1401" s="341"/>
      <c r="Z1401" s="341"/>
      <c r="AA1401" s="341"/>
      <c r="AB1401" s="341"/>
      <c r="AC1401" s="341"/>
      <c r="AD1401" s="341"/>
      <c r="AE1401" s="341"/>
      <c r="AF1401" s="341"/>
    </row>
    <row r="1402" spans="1:32" ht="18.75" customHeight="1" x14ac:dyDescent="0.2">
      <c r="A1402" s="341"/>
      <c r="B1402" s="345"/>
      <c r="C1402" s="1792" t="s">
        <v>976</v>
      </c>
      <c r="D1402" s="518">
        <f ca="1">D1375*('Emission Factors'!$J$218+'Emission Factors'!$K$218)</f>
        <v>0</v>
      </c>
      <c r="E1402" s="518">
        <f ca="1">E1375*('Emission Factors'!$J$218+'Emission Factors'!$K$218)</f>
        <v>0</v>
      </c>
      <c r="F1402" s="518">
        <f ca="1">F1375*('Emission Factors'!$J$218+'Emission Factors'!$K$218)</f>
        <v>0</v>
      </c>
      <c r="G1402" s="518">
        <f ca="1">G1375*('Emission Factors'!$J$218+'Emission Factors'!$K$218)</f>
        <v>0</v>
      </c>
      <c r="H1402" s="518">
        <f ca="1">H1375*('Emission Factors'!$J$218+'Emission Factors'!$K$218)</f>
        <v>0</v>
      </c>
      <c r="I1402" s="518">
        <f ca="1">I1375*('Emission Factors'!$J$218+'Emission Factors'!$K$218)</f>
        <v>0</v>
      </c>
      <c r="J1402" s="518">
        <f ca="1">J1375*('Emission Factors'!$J$218+'Emission Factors'!$K$218)</f>
        <v>0</v>
      </c>
      <c r="K1402" s="518">
        <f ca="1">K1375*('Emission Factors'!$J$218+'Emission Factors'!$K$218)</f>
        <v>0</v>
      </c>
      <c r="L1402" s="518">
        <f ca="1">L1375*('Emission Factors'!$J$218+'Emission Factors'!$K$218)</f>
        <v>0</v>
      </c>
      <c r="M1402" s="518">
        <f ca="1">M1375*('Emission Factors'!$J$218+'Emission Factors'!$K$218)</f>
        <v>0</v>
      </c>
      <c r="N1402" s="518">
        <f ca="1">N1375*('Emission Factors'!$J$218+'Emission Factors'!$K$218)</f>
        <v>0</v>
      </c>
      <c r="O1402" s="518">
        <f ca="1">O1375*('Emission Factors'!$J$218+'Emission Factors'!$K$218)</f>
        <v>0</v>
      </c>
      <c r="P1402" s="518">
        <f ca="1">P1375*('Emission Factors'!$J$218+'Emission Factors'!$K$218)</f>
        <v>0</v>
      </c>
      <c r="Q1402" s="1788">
        <f ca="1">Q1375*('Emission Factors'!$J$218+'Emission Factors'!$K$218)</f>
        <v>0</v>
      </c>
      <c r="R1402" s="518"/>
      <c r="S1402" s="892"/>
      <c r="T1402" s="341"/>
      <c r="U1402" s="341"/>
      <c r="V1402" s="341"/>
      <c r="W1402" s="341"/>
      <c r="X1402" s="341"/>
      <c r="Y1402" s="341"/>
      <c r="Z1402" s="341"/>
      <c r="AA1402" s="341"/>
      <c r="AB1402" s="341"/>
      <c r="AC1402" s="341"/>
      <c r="AD1402" s="341"/>
      <c r="AE1402" s="341"/>
      <c r="AF1402" s="341"/>
    </row>
    <row r="1403" spans="1:32" ht="18.75" customHeight="1" x14ac:dyDescent="0.2">
      <c r="A1403" s="341"/>
      <c r="B1403" s="345"/>
      <c r="C1403" s="1822" t="s">
        <v>979</v>
      </c>
      <c r="D1403" s="518">
        <f ca="1">D1376*'Emission Factors'!$H$135</f>
        <v>0</v>
      </c>
      <c r="E1403" s="518">
        <f ca="1">E1376*'Emission Factors'!$H$135</f>
        <v>0</v>
      </c>
      <c r="F1403" s="518">
        <f ca="1">F1376*'Emission Factors'!$H$135</f>
        <v>0</v>
      </c>
      <c r="G1403" s="518">
        <f ca="1">G1376*'Emission Factors'!$H$135</f>
        <v>0</v>
      </c>
      <c r="H1403" s="518">
        <f ca="1">H1376*'Emission Factors'!$H$135</f>
        <v>0</v>
      </c>
      <c r="I1403" s="518">
        <f ca="1">I1376*'Emission Factors'!$H$135</f>
        <v>0</v>
      </c>
      <c r="J1403" s="518">
        <f ca="1">J1376*'Emission Factors'!$H$135</f>
        <v>0</v>
      </c>
      <c r="K1403" s="518">
        <f ca="1">K1376*'Emission Factors'!$H$135</f>
        <v>0</v>
      </c>
      <c r="L1403" s="518">
        <f ca="1">L1376*'Emission Factors'!$H$135</f>
        <v>0</v>
      </c>
      <c r="M1403" s="518">
        <f>M1376*'Emission Factors'!$H$135</f>
        <v>0</v>
      </c>
      <c r="N1403" s="518">
        <f ca="1">N1376*'Emission Factors'!$H$135</f>
        <v>0</v>
      </c>
      <c r="O1403" s="518">
        <f ca="1">O1376*'Emission Factors'!$H$135</f>
        <v>0</v>
      </c>
      <c r="P1403" s="518">
        <f ca="1">P1376*'Emission Factors'!$H$135</f>
        <v>0</v>
      </c>
      <c r="Q1403" s="1788">
        <f ca="1">Q1376*'Emission Factors'!$H$135</f>
        <v>0</v>
      </c>
      <c r="R1403" s="518"/>
      <c r="S1403" s="892"/>
      <c r="T1403" s="341"/>
      <c r="U1403" s="341"/>
      <c r="V1403" s="341"/>
      <c r="W1403" s="341"/>
      <c r="X1403" s="341"/>
      <c r="Y1403" s="341"/>
      <c r="Z1403" s="341"/>
      <c r="AA1403" s="341"/>
      <c r="AB1403" s="341"/>
      <c r="AC1403" s="341"/>
      <c r="AD1403" s="341"/>
      <c r="AE1403" s="341"/>
      <c r="AF1403" s="341"/>
    </row>
    <row r="1404" spans="1:32" ht="18.75" customHeight="1" x14ac:dyDescent="0.2">
      <c r="A1404" s="341"/>
      <c r="B1404" s="345"/>
      <c r="C1404" s="1807" t="s">
        <v>1484</v>
      </c>
      <c r="D1404" s="1777">
        <f t="shared" ref="D1404:Q1404" ca="1" si="293">SUM(D1384:D1402)</f>
        <v>10.5035302779888</v>
      </c>
      <c r="E1404" s="1777">
        <f t="shared" ca="1" si="293"/>
        <v>3.7133044608850749</v>
      </c>
      <c r="F1404" s="1777">
        <f t="shared" ca="1" si="293"/>
        <v>3.6607956583475678</v>
      </c>
      <c r="G1404" s="1777">
        <f t="shared" ca="1" si="293"/>
        <v>0</v>
      </c>
      <c r="H1404" s="1777">
        <f t="shared" ca="1" si="293"/>
        <v>0</v>
      </c>
      <c r="I1404" s="1777">
        <f t="shared" ca="1" si="293"/>
        <v>0</v>
      </c>
      <c r="J1404" s="1777">
        <f t="shared" ca="1" si="293"/>
        <v>0</v>
      </c>
      <c r="K1404" s="1777">
        <f t="shared" ca="1" si="293"/>
        <v>0</v>
      </c>
      <c r="L1404" s="1777">
        <f t="shared" ref="L1404" ca="1" si="294">SUM(L1384:L1402)</f>
        <v>0</v>
      </c>
      <c r="M1404" s="1777">
        <f t="shared" ca="1" si="293"/>
        <v>0</v>
      </c>
      <c r="N1404" s="1777">
        <f t="shared" ref="N1404:P1404" ca="1" si="295">SUM(N1384:N1402)</f>
        <v>0</v>
      </c>
      <c r="O1404" s="1777">
        <f t="shared" ca="1" si="295"/>
        <v>0</v>
      </c>
      <c r="P1404" s="1777">
        <f t="shared" ca="1" si="295"/>
        <v>0</v>
      </c>
      <c r="Q1404" s="1808">
        <f t="shared" ca="1" si="293"/>
        <v>3.6187198013529049</v>
      </c>
      <c r="R1404" s="518"/>
      <c r="S1404" s="892"/>
      <c r="T1404" s="341"/>
      <c r="U1404" s="341"/>
      <c r="V1404" s="341"/>
      <c r="W1404" s="341"/>
      <c r="X1404" s="341"/>
      <c r="Y1404" s="341"/>
      <c r="Z1404" s="341"/>
      <c r="AA1404" s="341"/>
      <c r="AB1404" s="341"/>
      <c r="AC1404" s="341"/>
      <c r="AD1404" s="341"/>
      <c r="AE1404" s="341"/>
      <c r="AF1404" s="341"/>
    </row>
    <row r="1405" spans="1:32" ht="18.75" customHeight="1" x14ac:dyDescent="0.2">
      <c r="A1405" s="341"/>
      <c r="B1405" s="345"/>
      <c r="C1405" s="1819" t="s">
        <v>163</v>
      </c>
      <c r="D1405" s="1820">
        <f t="shared" ref="D1405:Q1405" ca="1" si="296">D1404+D1382</f>
        <v>10.5035302779888</v>
      </c>
      <c r="E1405" s="1820">
        <f t="shared" ca="1" si="296"/>
        <v>3.7133044608850749</v>
      </c>
      <c r="F1405" s="1820">
        <f t="shared" ca="1" si="296"/>
        <v>3.6607956583475678</v>
      </c>
      <c r="G1405" s="1820">
        <f t="shared" ca="1" si="296"/>
        <v>0</v>
      </c>
      <c r="H1405" s="1820">
        <f t="shared" ca="1" si="296"/>
        <v>0</v>
      </c>
      <c r="I1405" s="1820">
        <f t="shared" ca="1" si="296"/>
        <v>0</v>
      </c>
      <c r="J1405" s="1820">
        <f t="shared" ca="1" si="296"/>
        <v>0</v>
      </c>
      <c r="K1405" s="1820">
        <f t="shared" ca="1" si="296"/>
        <v>0</v>
      </c>
      <c r="L1405" s="1820">
        <f t="shared" ref="L1405" ca="1" si="297">L1404+L1382</f>
        <v>0</v>
      </c>
      <c r="M1405" s="1820">
        <f t="shared" ca="1" si="296"/>
        <v>0</v>
      </c>
      <c r="N1405" s="1820">
        <f t="shared" ref="N1405:P1405" ca="1" si="298">N1404+N1382</f>
        <v>0</v>
      </c>
      <c r="O1405" s="1820">
        <f t="shared" ca="1" si="298"/>
        <v>0</v>
      </c>
      <c r="P1405" s="1820">
        <f t="shared" ca="1" si="298"/>
        <v>0</v>
      </c>
      <c r="Q1405" s="1821">
        <f t="shared" ca="1" si="296"/>
        <v>3.6187198013529049</v>
      </c>
      <c r="R1405" s="518"/>
      <c r="S1405" s="892"/>
      <c r="T1405" s="341"/>
      <c r="U1405" s="341"/>
      <c r="V1405" s="341"/>
      <c r="W1405" s="341"/>
      <c r="X1405" s="341"/>
      <c r="Y1405" s="341"/>
      <c r="Z1405" s="341"/>
      <c r="AA1405" s="341"/>
      <c r="AB1405" s="341"/>
      <c r="AC1405" s="341"/>
      <c r="AD1405" s="341"/>
      <c r="AE1405" s="341"/>
      <c r="AF1405" s="341"/>
    </row>
    <row r="1406" spans="1:32" ht="18.75" customHeight="1" x14ac:dyDescent="0.2">
      <c r="A1406" s="341"/>
      <c r="B1406" s="345"/>
      <c r="C1406" s="519"/>
      <c r="D1406" s="518"/>
      <c r="E1406" s="518"/>
      <c r="F1406" s="518"/>
      <c r="G1406" s="518"/>
      <c r="H1406" s="518"/>
      <c r="I1406" s="518"/>
      <c r="J1406" s="518"/>
      <c r="K1406" s="518"/>
      <c r="L1406" s="518"/>
      <c r="M1406" s="518"/>
      <c r="N1406" s="518"/>
      <c r="O1406" s="518"/>
      <c r="P1406" s="518"/>
      <c r="Q1406" s="518"/>
      <c r="R1406" s="518"/>
      <c r="S1406" s="892"/>
      <c r="T1406" s="341"/>
      <c r="U1406" s="341"/>
      <c r="V1406" s="341"/>
      <c r="W1406" s="341"/>
      <c r="X1406" s="341"/>
      <c r="Y1406" s="341"/>
      <c r="Z1406" s="341"/>
      <c r="AA1406" s="341"/>
      <c r="AB1406" s="341"/>
      <c r="AC1406" s="341"/>
      <c r="AD1406" s="341"/>
      <c r="AE1406" s="341"/>
      <c r="AF1406" s="341"/>
    </row>
    <row r="1407" spans="1:32" ht="18.75" customHeight="1" x14ac:dyDescent="0.2">
      <c r="A1407" s="341"/>
      <c r="B1407" s="345"/>
      <c r="C1407" s="440" t="s">
        <v>1758</v>
      </c>
      <c r="D1407" s="518"/>
      <c r="E1407" s="518"/>
      <c r="F1407" s="518"/>
      <c r="G1407" s="518"/>
      <c r="H1407" s="518"/>
      <c r="I1407" s="518"/>
      <c r="J1407" s="518"/>
      <c r="K1407" s="518"/>
      <c r="L1407" s="518"/>
      <c r="M1407" s="518"/>
      <c r="N1407" s="518"/>
      <c r="O1407" s="518"/>
      <c r="P1407" s="518"/>
      <c r="Q1407" s="518"/>
      <c r="R1407" s="518"/>
      <c r="S1407" s="892"/>
      <c r="T1407" s="341"/>
      <c r="U1407" s="341"/>
      <c r="V1407" s="341"/>
      <c r="W1407" s="341"/>
      <c r="X1407" s="341"/>
      <c r="Y1407" s="341"/>
      <c r="Z1407" s="341"/>
      <c r="AA1407" s="341"/>
      <c r="AB1407" s="341"/>
      <c r="AC1407" s="341"/>
      <c r="AD1407" s="341"/>
      <c r="AE1407" s="341"/>
      <c r="AF1407" s="341"/>
    </row>
    <row r="1408" spans="1:32" ht="18.75" customHeight="1" x14ac:dyDescent="0.2">
      <c r="A1408" s="341"/>
      <c r="B1408" s="345"/>
      <c r="C1408" s="1794" t="str">
        <f>C1354</f>
        <v>Feedstock</v>
      </c>
      <c r="D1408" s="1795"/>
      <c r="E1408" s="1795"/>
      <c r="F1408" s="1795"/>
      <c r="G1408" s="1795"/>
      <c r="H1408" s="1795"/>
      <c r="I1408" s="1795"/>
      <c r="J1408" s="1795"/>
      <c r="K1408" s="1795"/>
      <c r="L1408" s="1795"/>
      <c r="M1408" s="1795"/>
      <c r="N1408" s="1795"/>
      <c r="O1408" s="1795"/>
      <c r="P1408" s="1795"/>
      <c r="Q1408" s="1796"/>
      <c r="R1408" s="518"/>
      <c r="S1408" s="892"/>
      <c r="T1408" s="341"/>
      <c r="U1408" s="341"/>
      <c r="V1408" s="341"/>
      <c r="W1408" s="341"/>
      <c r="X1408" s="341"/>
      <c r="Y1408" s="341"/>
      <c r="Z1408" s="341"/>
      <c r="AA1408" s="341"/>
      <c r="AB1408" s="341"/>
      <c r="AC1408" s="341"/>
      <c r="AD1408" s="341"/>
      <c r="AE1408" s="341"/>
      <c r="AF1408" s="341"/>
    </row>
    <row r="1409" spans="1:32" ht="18.75" customHeight="1" x14ac:dyDescent="0.2">
      <c r="A1409" s="341"/>
      <c r="B1409" s="345"/>
      <c r="C1409" s="1792" t="str">
        <f>C1355</f>
        <v>Crude</v>
      </c>
      <c r="D1409" s="518">
        <f ca="1">D1303/'HydroRefineryPFD '!$E$96</f>
        <v>2169.6440650033583</v>
      </c>
      <c r="E1409" s="518">
        <f ca="1">E1303/'HydroRefineryPFD '!$E$96</f>
        <v>2343.0718589889079</v>
      </c>
      <c r="F1409" s="518">
        <f ca="1">F1303/'HydroRefineryPFD '!$E$96</f>
        <v>1119.7166453220761</v>
      </c>
      <c r="G1409" s="518">
        <f ca="1">G1303/'HydroRefineryPFD '!$E$96</f>
        <v>0</v>
      </c>
      <c r="H1409" s="518">
        <f ca="1">H1303/'HydroRefineryPFD '!$E$96</f>
        <v>0</v>
      </c>
      <c r="I1409" s="518">
        <f ca="1">I1303/'HydroRefineryPFD '!$E$96</f>
        <v>0</v>
      </c>
      <c r="J1409" s="518">
        <f ca="1">J1303/'HydroRefineryPFD '!$E$96</f>
        <v>0</v>
      </c>
      <c r="K1409" s="518">
        <f ca="1">K1303/'HydroRefineryPFD '!$E$96</f>
        <v>0</v>
      </c>
      <c r="L1409" s="518">
        <f ca="1">L1303/'HydroRefineryPFD '!$E$96</f>
        <v>0</v>
      </c>
      <c r="M1409" s="518">
        <f ca="1">M1303/'HydroRefineryPFD '!$E$96</f>
        <v>0</v>
      </c>
      <c r="N1409" s="518">
        <f ca="1">N1303/'HydroRefineryPFD '!$E$96</f>
        <v>0</v>
      </c>
      <c r="O1409" s="518">
        <f ca="1">O1303/'HydroRefineryPFD '!$E$96</f>
        <v>0</v>
      </c>
      <c r="P1409" s="518">
        <f ca="1">P1303/'HydroRefineryPFD '!$E$96</f>
        <v>0</v>
      </c>
      <c r="Q1409" s="1788">
        <f ca="1">Q1303/'HydroRefineryPFD '!$E$96</f>
        <v>5632.4325693143419</v>
      </c>
      <c r="R1409" s="518"/>
      <c r="S1409" s="892"/>
      <c r="T1409" s="341"/>
      <c r="U1409" s="341"/>
      <c r="V1409" s="341"/>
      <c r="W1409" s="341"/>
      <c r="X1409" s="341"/>
      <c r="Y1409" s="341"/>
      <c r="Z1409" s="341"/>
      <c r="AA1409" s="341"/>
      <c r="AB1409" s="341"/>
      <c r="AC1409" s="341"/>
      <c r="AD1409" s="341"/>
      <c r="AE1409" s="341"/>
      <c r="AF1409" s="341"/>
    </row>
    <row r="1410" spans="1:32" ht="18.75" customHeight="1" x14ac:dyDescent="0.2">
      <c r="A1410" s="341"/>
      <c r="B1410" s="345"/>
      <c r="C1410" s="1807" t="s">
        <v>201</v>
      </c>
      <c r="D1410" s="1774"/>
      <c r="E1410" s="1774"/>
      <c r="F1410" s="1774"/>
      <c r="G1410" s="1774"/>
      <c r="H1410" s="1774"/>
      <c r="I1410" s="1774"/>
      <c r="J1410" s="1774"/>
      <c r="K1410" s="1774"/>
      <c r="L1410" s="1774"/>
      <c r="M1410" s="1774"/>
      <c r="N1410" s="1774"/>
      <c r="O1410" s="1774"/>
      <c r="P1410" s="1774"/>
      <c r="Q1410" s="1809"/>
      <c r="R1410" s="518"/>
      <c r="S1410" s="892"/>
      <c r="T1410" s="341"/>
      <c r="U1410" s="341"/>
      <c r="V1410" s="341"/>
      <c r="W1410" s="341"/>
      <c r="X1410" s="341"/>
      <c r="Y1410" s="341"/>
      <c r="Z1410" s="341"/>
      <c r="AA1410" s="341"/>
      <c r="AB1410" s="341"/>
      <c r="AC1410" s="341"/>
      <c r="AD1410" s="341"/>
      <c r="AE1410" s="341"/>
      <c r="AF1410" s="341"/>
    </row>
    <row r="1411" spans="1:32" ht="18.75" customHeight="1" x14ac:dyDescent="0.2">
      <c r="A1411" s="341"/>
      <c r="B1411" s="345"/>
      <c r="C1411" s="1792" t="s">
        <v>392</v>
      </c>
      <c r="D1411" s="518">
        <f ca="1">D1305/'HydroRefineryPFD '!$E$96</f>
        <v>6.1178004292932062</v>
      </c>
      <c r="E1411" s="518">
        <f ca="1">E1305/'HydroRefineryPFD '!$E$96</f>
        <v>3.199376376061029</v>
      </c>
      <c r="F1411" s="518">
        <f ca="1">F1305/'HydroRefineryPFD '!$E$96</f>
        <v>1.4547662780757022</v>
      </c>
      <c r="G1411" s="518">
        <f ca="1">G1305/'HydroRefineryPFD '!$E$96</f>
        <v>0</v>
      </c>
      <c r="H1411" s="518">
        <f ca="1">H1305/'HydroRefineryPFD '!$E$96</f>
        <v>0</v>
      </c>
      <c r="I1411" s="518">
        <f ca="1">I1305/'HydroRefineryPFD '!$E$96</f>
        <v>0</v>
      </c>
      <c r="J1411" s="518">
        <f ca="1">J1305/'HydroRefineryPFD '!$E$96</f>
        <v>0</v>
      </c>
      <c r="K1411" s="518">
        <f ca="1">K1305/'HydroRefineryPFD '!$E$96</f>
        <v>0</v>
      </c>
      <c r="L1411" s="518">
        <f ca="1">L1305/'HydroRefineryPFD '!$E$96</f>
        <v>0</v>
      </c>
      <c r="M1411" s="518">
        <f ca="1">M1305/'HydroRefineryPFD '!$E$96</f>
        <v>0</v>
      </c>
      <c r="N1411" s="518">
        <f ca="1">N1305/'HydroRefineryPFD '!$E$96</f>
        <v>0</v>
      </c>
      <c r="O1411" s="518">
        <f ca="1">O1305/'HydroRefineryPFD '!$E$96</f>
        <v>0</v>
      </c>
      <c r="P1411" s="518">
        <f ca="1">P1305/'HydroRefineryPFD '!$E$96</f>
        <v>0</v>
      </c>
      <c r="Q1411" s="1788">
        <f ca="1">Q1305/'HydroRefineryPFD '!$E$96</f>
        <v>10.771943083429937</v>
      </c>
      <c r="R1411" s="518"/>
      <c r="S1411" s="892"/>
      <c r="T1411" s="341"/>
      <c r="U1411" s="341"/>
      <c r="V1411" s="341"/>
      <c r="W1411" s="341"/>
      <c r="X1411" s="341"/>
      <c r="Y1411" s="341"/>
      <c r="Z1411" s="341"/>
      <c r="AA1411" s="341"/>
      <c r="AB1411" s="341"/>
      <c r="AC1411" s="341"/>
      <c r="AD1411" s="341"/>
      <c r="AE1411" s="341"/>
      <c r="AF1411" s="341"/>
    </row>
    <row r="1412" spans="1:32" ht="18.75" customHeight="1" x14ac:dyDescent="0.2">
      <c r="A1412" s="341"/>
      <c r="B1412" s="345"/>
      <c r="C1412" s="1792" t="s">
        <v>1023</v>
      </c>
      <c r="D1412" s="518">
        <f ca="1">D1306/'HydroRefineryPFD '!$E$96</f>
        <v>0</v>
      </c>
      <c r="E1412" s="518">
        <f ca="1">E1306/'HydroRefineryPFD '!$E$96</f>
        <v>0</v>
      </c>
      <c r="F1412" s="518">
        <f ca="1">F1306/'HydroRefineryPFD '!$E$96</f>
        <v>0</v>
      </c>
      <c r="G1412" s="518">
        <f ca="1">G1306/'HydroRefineryPFD '!$E$96</f>
        <v>0</v>
      </c>
      <c r="H1412" s="518">
        <f ca="1">H1306/'HydroRefineryPFD '!$E$96</f>
        <v>0</v>
      </c>
      <c r="I1412" s="518">
        <f ca="1">I1306/'HydroRefineryPFD '!$E$96</f>
        <v>0</v>
      </c>
      <c r="J1412" s="518">
        <f ca="1">J1306/'HydroRefineryPFD '!$E$96</f>
        <v>0</v>
      </c>
      <c r="K1412" s="518">
        <f ca="1">K1306/'HydroRefineryPFD '!$E$96</f>
        <v>0</v>
      </c>
      <c r="L1412" s="518">
        <f ca="1">L1306/'HydroRefineryPFD '!$E$96</f>
        <v>0</v>
      </c>
      <c r="M1412" s="518">
        <f ca="1">M1306/'HydroRefineryPFD '!$E$96</f>
        <v>0</v>
      </c>
      <c r="N1412" s="518">
        <f ca="1">N1306/'HydroRefineryPFD '!$E$96</f>
        <v>0</v>
      </c>
      <c r="O1412" s="518">
        <f ca="1">O1306/'HydroRefineryPFD '!$E$96</f>
        <v>0</v>
      </c>
      <c r="P1412" s="518">
        <f ca="1">P1306/'HydroRefineryPFD '!$E$96</f>
        <v>0</v>
      </c>
      <c r="Q1412" s="1788">
        <f ca="1">Q1306/'HydroRefineryPFD '!$E$96</f>
        <v>0</v>
      </c>
      <c r="R1412" s="518"/>
      <c r="S1412" s="892"/>
      <c r="T1412" s="341"/>
      <c r="U1412" s="341"/>
      <c r="V1412" s="341"/>
      <c r="W1412" s="341"/>
      <c r="X1412" s="341"/>
      <c r="Y1412" s="341"/>
      <c r="Z1412" s="341"/>
      <c r="AA1412" s="341"/>
      <c r="AB1412" s="341"/>
      <c r="AC1412" s="341"/>
      <c r="AD1412" s="341"/>
      <c r="AE1412" s="341"/>
      <c r="AF1412" s="341"/>
    </row>
    <row r="1413" spans="1:32" ht="18.75" customHeight="1" x14ac:dyDescent="0.2">
      <c r="A1413" s="341"/>
      <c r="B1413" s="345"/>
      <c r="C1413" s="1792" t="s">
        <v>971</v>
      </c>
      <c r="D1413" s="518">
        <f ca="1">D1307/'HydroRefineryPFD '!$E$96</f>
        <v>67.143519997496313</v>
      </c>
      <c r="E1413" s="518">
        <f ca="1">E1307/'HydroRefineryPFD '!$E$96</f>
        <v>32.744706357874037</v>
      </c>
      <c r="F1413" s="518">
        <f ca="1">F1307/'HydroRefineryPFD '!$E$96</f>
        <v>15.43721578262185</v>
      </c>
      <c r="G1413" s="518">
        <f ca="1">G1307/'HydroRefineryPFD '!$E$96</f>
        <v>0</v>
      </c>
      <c r="H1413" s="518">
        <f ca="1">H1307/'HydroRefineryPFD '!$E$96</f>
        <v>0</v>
      </c>
      <c r="I1413" s="518">
        <f ca="1">I1307/'HydroRefineryPFD '!$E$96</f>
        <v>0</v>
      </c>
      <c r="J1413" s="518">
        <f ca="1">J1307/'HydroRefineryPFD '!$E$96</f>
        <v>0</v>
      </c>
      <c r="K1413" s="518">
        <f ca="1">K1307/'HydroRefineryPFD '!$E$96</f>
        <v>0</v>
      </c>
      <c r="L1413" s="518">
        <f ca="1">L1307/'HydroRefineryPFD '!$E$96</f>
        <v>0</v>
      </c>
      <c r="M1413" s="518">
        <f ca="1">M1307/'HydroRefineryPFD '!$E$96</f>
        <v>0</v>
      </c>
      <c r="N1413" s="518">
        <f ca="1">N1307/'HydroRefineryPFD '!$E$96</f>
        <v>0</v>
      </c>
      <c r="O1413" s="518">
        <f ca="1">O1307/'HydroRefineryPFD '!$E$96</f>
        <v>0</v>
      </c>
      <c r="P1413" s="518">
        <f ca="1">P1307/'HydroRefineryPFD '!$E$96</f>
        <v>0</v>
      </c>
      <c r="Q1413" s="1788">
        <f ca="1">Q1307/'HydroRefineryPFD '!$E$96</f>
        <v>115.32544213799221</v>
      </c>
      <c r="R1413" s="518"/>
      <c r="S1413" s="892"/>
      <c r="T1413" s="341"/>
      <c r="U1413" s="341"/>
      <c r="V1413" s="341"/>
      <c r="W1413" s="341"/>
      <c r="X1413" s="341"/>
      <c r="Y1413" s="341"/>
      <c r="Z1413" s="341"/>
      <c r="AA1413" s="341"/>
      <c r="AB1413" s="341"/>
      <c r="AC1413" s="341"/>
      <c r="AD1413" s="341"/>
      <c r="AE1413" s="341"/>
      <c r="AF1413" s="341"/>
    </row>
    <row r="1414" spans="1:32" ht="18.75" customHeight="1" x14ac:dyDescent="0.2">
      <c r="A1414" s="341"/>
      <c r="B1414" s="345"/>
      <c r="C1414" s="1792" t="s">
        <v>90</v>
      </c>
      <c r="D1414" s="518">
        <f ca="1">D1308/'HydroRefineryPFD '!$E$96</f>
        <v>57.298810716690582</v>
      </c>
      <c r="E1414" s="518">
        <f ca="1">E1308/'HydroRefineryPFD '!$E$96</f>
        <v>27.943615878991746</v>
      </c>
      <c r="F1414" s="518">
        <f ca="1">F1308/'HydroRefineryPFD '!$E$96</f>
        <v>13.17378214836131</v>
      </c>
      <c r="G1414" s="518">
        <f ca="1">G1308/'HydroRefineryPFD '!$E$96</f>
        <v>0</v>
      </c>
      <c r="H1414" s="518">
        <f ca="1">H1308/'HydroRefineryPFD '!$E$96</f>
        <v>0</v>
      </c>
      <c r="I1414" s="518">
        <f ca="1">I1308/'HydroRefineryPFD '!$E$96</f>
        <v>0</v>
      </c>
      <c r="J1414" s="518">
        <f ca="1">J1308/'HydroRefineryPFD '!$E$96</f>
        <v>0</v>
      </c>
      <c r="K1414" s="518">
        <f ca="1">K1308/'HydroRefineryPFD '!$E$96</f>
        <v>0</v>
      </c>
      <c r="L1414" s="518">
        <f ca="1">L1308/'HydroRefineryPFD '!$E$96</f>
        <v>0</v>
      </c>
      <c r="M1414" s="518">
        <f ca="1">M1308/'HydroRefineryPFD '!$E$96</f>
        <v>0</v>
      </c>
      <c r="N1414" s="518">
        <f ca="1">N1308/'HydroRefineryPFD '!$E$96</f>
        <v>0</v>
      </c>
      <c r="O1414" s="518">
        <f ca="1">O1308/'HydroRefineryPFD '!$E$96</f>
        <v>0</v>
      </c>
      <c r="P1414" s="518">
        <f ca="1">P1308/'HydroRefineryPFD '!$E$96</f>
        <v>0</v>
      </c>
      <c r="Q1414" s="1788">
        <f ca="1">Q1308/'HydroRefineryPFD '!$E$96</f>
        <v>98.416208744043644</v>
      </c>
      <c r="R1414" s="518"/>
      <c r="S1414" s="892"/>
      <c r="T1414" s="341"/>
      <c r="U1414" s="341"/>
      <c r="V1414" s="341"/>
      <c r="W1414" s="341"/>
      <c r="X1414" s="341"/>
      <c r="Y1414" s="341"/>
      <c r="Z1414" s="341"/>
      <c r="AA1414" s="341"/>
      <c r="AB1414" s="341"/>
      <c r="AC1414" s="341"/>
      <c r="AD1414" s="341"/>
      <c r="AE1414" s="341"/>
      <c r="AF1414" s="341"/>
    </row>
    <row r="1415" spans="1:32" ht="18.75" customHeight="1" x14ac:dyDescent="0.2">
      <c r="A1415" s="341"/>
      <c r="B1415" s="345"/>
      <c r="C1415" s="1792" t="s">
        <v>485</v>
      </c>
      <c r="D1415" s="518">
        <f ca="1">D1309/'HydroRefineryPFD '!$E$96</f>
        <v>0</v>
      </c>
      <c r="E1415" s="518">
        <f ca="1">E1309/'HydroRefineryPFD '!$E$96</f>
        <v>0</v>
      </c>
      <c r="F1415" s="518">
        <f ca="1">F1309/'HydroRefineryPFD '!$E$96</f>
        <v>0</v>
      </c>
      <c r="G1415" s="518">
        <f ca="1">G1309/'HydroRefineryPFD '!$E$96</f>
        <v>0</v>
      </c>
      <c r="H1415" s="518">
        <f ca="1">H1309/'HydroRefineryPFD '!$E$96</f>
        <v>0</v>
      </c>
      <c r="I1415" s="518">
        <f ca="1">I1309/'HydroRefineryPFD '!$E$96</f>
        <v>0</v>
      </c>
      <c r="J1415" s="518">
        <f ca="1">J1309/'HydroRefineryPFD '!$E$96</f>
        <v>0</v>
      </c>
      <c r="K1415" s="518">
        <f ca="1">K1309/'HydroRefineryPFD '!$E$96</f>
        <v>0</v>
      </c>
      <c r="L1415" s="518">
        <f ca="1">L1309/'HydroRefineryPFD '!$E$96</f>
        <v>0</v>
      </c>
      <c r="M1415" s="518">
        <f ca="1">M1309/'HydroRefineryPFD '!$E$96</f>
        <v>0</v>
      </c>
      <c r="N1415" s="518">
        <f ca="1">N1309/'HydroRefineryPFD '!$E$96</f>
        <v>0</v>
      </c>
      <c r="O1415" s="518">
        <f ca="1">O1309/'HydroRefineryPFD '!$E$96</f>
        <v>0</v>
      </c>
      <c r="P1415" s="518">
        <f ca="1">P1309/'HydroRefineryPFD '!$E$96</f>
        <v>0</v>
      </c>
      <c r="Q1415" s="1788">
        <f ca="1">Q1309/'HydroRefineryPFD '!$E$96</f>
        <v>0</v>
      </c>
      <c r="R1415" s="518"/>
      <c r="S1415" s="892"/>
      <c r="T1415" s="341"/>
      <c r="U1415" s="341"/>
      <c r="V1415" s="341"/>
      <c r="W1415" s="341"/>
      <c r="X1415" s="341"/>
      <c r="Y1415" s="341"/>
      <c r="Z1415" s="341"/>
      <c r="AA1415" s="341"/>
      <c r="AB1415" s="341"/>
      <c r="AC1415" s="341"/>
      <c r="AD1415" s="341"/>
      <c r="AE1415" s="341"/>
      <c r="AF1415" s="341"/>
    </row>
    <row r="1416" spans="1:32" ht="18.75" customHeight="1" x14ac:dyDescent="0.2">
      <c r="A1416" s="341"/>
      <c r="B1416" s="345"/>
      <c r="C1416" s="1792" t="s">
        <v>971</v>
      </c>
      <c r="D1416" s="518">
        <f ca="1">D1310/'HydroRefineryPFD '!$E$96</f>
        <v>0</v>
      </c>
      <c r="E1416" s="518">
        <f ca="1">E1310/'HydroRefineryPFD '!$E$96</f>
        <v>0</v>
      </c>
      <c r="F1416" s="518">
        <f ca="1">F1310/'HydroRefineryPFD '!$E$96</f>
        <v>0</v>
      </c>
      <c r="G1416" s="518">
        <f ca="1">G1310/'HydroRefineryPFD '!$E$96</f>
        <v>0</v>
      </c>
      <c r="H1416" s="518">
        <f ca="1">H1310/'HydroRefineryPFD '!$E$96</f>
        <v>0</v>
      </c>
      <c r="I1416" s="518">
        <f ca="1">I1310/'HydroRefineryPFD '!$E$96</f>
        <v>0</v>
      </c>
      <c r="J1416" s="518">
        <f ca="1">J1310/'HydroRefineryPFD '!$E$96</f>
        <v>0</v>
      </c>
      <c r="K1416" s="518">
        <f ca="1">K1310/'HydroRefineryPFD '!$E$96</f>
        <v>0</v>
      </c>
      <c r="L1416" s="518">
        <f ca="1">L1310/'HydroRefineryPFD '!$E$96</f>
        <v>0</v>
      </c>
      <c r="M1416" s="518">
        <f ca="1">M1310/'HydroRefineryPFD '!$E$96</f>
        <v>0</v>
      </c>
      <c r="N1416" s="518">
        <f ca="1">N1310/'HydroRefineryPFD '!$E$96</f>
        <v>0</v>
      </c>
      <c r="O1416" s="518">
        <f ca="1">O1310/'HydroRefineryPFD '!$E$96</f>
        <v>0</v>
      </c>
      <c r="P1416" s="518">
        <f ca="1">P1310/'HydroRefineryPFD '!$E$96</f>
        <v>0</v>
      </c>
      <c r="Q1416" s="1788">
        <f ca="1">Q1310/'HydroRefineryPFD '!$E$96</f>
        <v>0</v>
      </c>
      <c r="R1416" s="518"/>
      <c r="S1416" s="892"/>
      <c r="T1416" s="341"/>
      <c r="U1416" s="341"/>
      <c r="V1416" s="341"/>
      <c r="W1416" s="341"/>
      <c r="X1416" s="341"/>
      <c r="Y1416" s="341"/>
      <c r="Z1416" s="341"/>
      <c r="AA1416" s="341"/>
      <c r="AB1416" s="341"/>
      <c r="AC1416" s="341"/>
      <c r="AD1416" s="341"/>
      <c r="AE1416" s="341"/>
      <c r="AF1416" s="341"/>
    </row>
    <row r="1417" spans="1:32" ht="18.75" customHeight="1" x14ac:dyDescent="0.2">
      <c r="A1417" s="341"/>
      <c r="B1417" s="345"/>
      <c r="C1417" s="1792" t="s">
        <v>90</v>
      </c>
      <c r="D1417" s="518">
        <f ca="1">D1311/'HydroRefineryPFD '!$E$96</f>
        <v>14.642091317503009</v>
      </c>
      <c r="E1417" s="518">
        <f ca="1">E1311/'HydroRefineryPFD '!$E$96</f>
        <v>6.8957469915637928</v>
      </c>
      <c r="F1417" s="518">
        <f ca="1">F1311/'HydroRefineryPFD '!$E$96</f>
        <v>3.132840038511878</v>
      </c>
      <c r="G1417" s="518">
        <f ca="1">G1311/'HydroRefineryPFD '!$E$96</f>
        <v>0</v>
      </c>
      <c r="H1417" s="518">
        <f ca="1">H1311/'HydroRefineryPFD '!$E$96</f>
        <v>0</v>
      </c>
      <c r="I1417" s="518">
        <f ca="1">I1311/'HydroRefineryPFD '!$E$96</f>
        <v>0</v>
      </c>
      <c r="J1417" s="518">
        <f ca="1">J1311/'HydroRefineryPFD '!$E$96</f>
        <v>0</v>
      </c>
      <c r="K1417" s="518">
        <f ca="1">K1311/'HydroRefineryPFD '!$E$96</f>
        <v>0</v>
      </c>
      <c r="L1417" s="518">
        <f ca="1">L1311/'HydroRefineryPFD '!$E$96</f>
        <v>0</v>
      </c>
      <c r="M1417" s="518">
        <f ca="1">M1311/'HydroRefineryPFD '!$E$96</f>
        <v>0</v>
      </c>
      <c r="N1417" s="518">
        <f ca="1">N1311/'HydroRefineryPFD '!$E$96</f>
        <v>0</v>
      </c>
      <c r="O1417" s="518">
        <f ca="1">O1311/'HydroRefineryPFD '!$E$96</f>
        <v>0</v>
      </c>
      <c r="P1417" s="518">
        <f ca="1">P1311/'HydroRefineryPFD '!$E$96</f>
        <v>0</v>
      </c>
      <c r="Q1417" s="1788">
        <f ca="1">Q1311/'HydroRefineryPFD '!$E$96</f>
        <v>24.670678347578679</v>
      </c>
      <c r="R1417" s="518"/>
      <c r="S1417" s="892"/>
      <c r="T1417" s="341"/>
      <c r="U1417" s="341"/>
      <c r="V1417" s="341"/>
      <c r="W1417" s="341"/>
      <c r="X1417" s="341"/>
      <c r="Y1417" s="341"/>
      <c r="Z1417" s="341"/>
      <c r="AA1417" s="341"/>
      <c r="AB1417" s="341"/>
      <c r="AC1417" s="341"/>
      <c r="AD1417" s="341"/>
      <c r="AE1417" s="341"/>
      <c r="AF1417" s="341"/>
    </row>
    <row r="1418" spans="1:32" ht="18.75" customHeight="1" x14ac:dyDescent="0.2">
      <c r="A1418" s="341"/>
      <c r="B1418" s="345"/>
      <c r="C1418" s="1792" t="s">
        <v>392</v>
      </c>
      <c r="D1418" s="518">
        <f ca="1">D1312/'HydroRefineryPFD '!$E$96</f>
        <v>7.2976918263551641E-2</v>
      </c>
      <c r="E1418" s="518">
        <f ca="1">E1312/'HydroRefineryPFD '!$E$96</f>
        <v>3.4368749221494507E-2</v>
      </c>
      <c r="F1418" s="518">
        <f ca="1">F1312/'HydroRefineryPFD '!$E$96</f>
        <v>1.5614232042793453E-2</v>
      </c>
      <c r="G1418" s="518">
        <f ca="1">G1312/'HydroRefineryPFD '!$E$96</f>
        <v>0</v>
      </c>
      <c r="H1418" s="518">
        <f ca="1">H1312/'HydroRefineryPFD '!$E$96</f>
        <v>0</v>
      </c>
      <c r="I1418" s="518">
        <f ca="1">I1312/'HydroRefineryPFD '!$E$96</f>
        <v>0</v>
      </c>
      <c r="J1418" s="518">
        <f ca="1">J1312/'HydroRefineryPFD '!$E$96</f>
        <v>0</v>
      </c>
      <c r="K1418" s="518">
        <f ca="1">K1312/'HydroRefineryPFD '!$E$96</f>
        <v>0</v>
      </c>
      <c r="L1418" s="518">
        <f ca="1">L1312/'HydroRefineryPFD '!$E$96</f>
        <v>0</v>
      </c>
      <c r="M1418" s="518">
        <f ca="1">M1312/'HydroRefineryPFD '!$E$96</f>
        <v>0</v>
      </c>
      <c r="N1418" s="518">
        <f ca="1">N1312/'HydroRefineryPFD '!$E$96</f>
        <v>0</v>
      </c>
      <c r="O1418" s="518">
        <f ca="1">O1312/'HydroRefineryPFD '!$E$96</f>
        <v>0</v>
      </c>
      <c r="P1418" s="518">
        <f ca="1">P1312/'HydroRefineryPFD '!$E$96</f>
        <v>0</v>
      </c>
      <c r="Q1418" s="1788">
        <f ca="1">Q1312/'HydroRefineryPFD '!$E$96</f>
        <v>0.1229598995278396</v>
      </c>
      <c r="R1418" s="518"/>
      <c r="S1418" s="892"/>
      <c r="T1418" s="341"/>
      <c r="U1418" s="341"/>
      <c r="V1418" s="341"/>
      <c r="W1418" s="341"/>
      <c r="X1418" s="341"/>
      <c r="Y1418" s="341"/>
      <c r="Z1418" s="341"/>
      <c r="AA1418" s="341"/>
      <c r="AB1418" s="341"/>
      <c r="AC1418" s="341"/>
      <c r="AD1418" s="341"/>
      <c r="AE1418" s="341"/>
      <c r="AF1418" s="341"/>
    </row>
    <row r="1419" spans="1:32" ht="18.75" customHeight="1" x14ac:dyDescent="0.2">
      <c r="A1419" s="341"/>
      <c r="B1419" s="345"/>
      <c r="C1419" s="1792" t="s">
        <v>1027</v>
      </c>
      <c r="D1419" s="518">
        <f ca="1">D1313/'HydroRefineryPFD '!$E$96</f>
        <v>0</v>
      </c>
      <c r="E1419" s="518">
        <f ca="1">E1313/'HydroRefineryPFD '!$E$96</f>
        <v>0</v>
      </c>
      <c r="F1419" s="518">
        <f ca="1">F1313/'HydroRefineryPFD '!$E$96</f>
        <v>0</v>
      </c>
      <c r="G1419" s="518">
        <f ca="1">G1313/'HydroRefineryPFD '!$E$96</f>
        <v>0</v>
      </c>
      <c r="H1419" s="518">
        <f ca="1">H1313/'HydroRefineryPFD '!$E$96</f>
        <v>0</v>
      </c>
      <c r="I1419" s="518">
        <f ca="1">I1313/'HydroRefineryPFD '!$E$96</f>
        <v>0</v>
      </c>
      <c r="J1419" s="518">
        <f ca="1">J1313/'HydroRefineryPFD '!$E$96</f>
        <v>0</v>
      </c>
      <c r="K1419" s="518">
        <f ca="1">K1313/'HydroRefineryPFD '!$E$96</f>
        <v>0</v>
      </c>
      <c r="L1419" s="518">
        <f ca="1">L1313/'HydroRefineryPFD '!$E$96</f>
        <v>0</v>
      </c>
      <c r="M1419" s="518">
        <f ca="1">M1313/'HydroRefineryPFD '!$E$96</f>
        <v>0</v>
      </c>
      <c r="N1419" s="518">
        <f ca="1">N1313/'HydroRefineryPFD '!$E$96</f>
        <v>0</v>
      </c>
      <c r="O1419" s="518">
        <f ca="1">O1313/'HydroRefineryPFD '!$E$96</f>
        <v>0</v>
      </c>
      <c r="P1419" s="518">
        <f ca="1">P1313/'HydroRefineryPFD '!$E$96</f>
        <v>0</v>
      </c>
      <c r="Q1419" s="1788">
        <f ca="1">Q1313/'HydroRefineryPFD '!$E$96</f>
        <v>0</v>
      </c>
      <c r="R1419" s="518"/>
      <c r="S1419" s="892"/>
      <c r="T1419" s="341"/>
      <c r="U1419" s="341"/>
      <c r="V1419" s="341"/>
      <c r="W1419" s="341"/>
      <c r="X1419" s="341"/>
      <c r="Y1419" s="341"/>
      <c r="Z1419" s="341"/>
      <c r="AA1419" s="341"/>
      <c r="AB1419" s="341"/>
      <c r="AC1419" s="341"/>
      <c r="AD1419" s="341"/>
      <c r="AE1419" s="341"/>
      <c r="AF1419" s="341"/>
    </row>
    <row r="1420" spans="1:32" ht="18.75" customHeight="1" x14ac:dyDescent="0.2">
      <c r="A1420" s="341"/>
      <c r="B1420" s="345"/>
      <c r="C1420" s="1792" t="s">
        <v>1036</v>
      </c>
      <c r="D1420" s="518">
        <f ca="1">D1314/'HydroRefineryPFD '!$E$96</f>
        <v>0</v>
      </c>
      <c r="E1420" s="518">
        <f ca="1">E1314/'HydroRefineryPFD '!$E$96</f>
        <v>0</v>
      </c>
      <c r="F1420" s="518">
        <f ca="1">F1314/'HydroRefineryPFD '!$E$96</f>
        <v>0</v>
      </c>
      <c r="G1420" s="518">
        <f ca="1">G1314/'HydroRefineryPFD '!$E$96</f>
        <v>0</v>
      </c>
      <c r="H1420" s="518">
        <f ca="1">H1314/'HydroRefineryPFD '!$E$96</f>
        <v>0</v>
      </c>
      <c r="I1420" s="518">
        <f ca="1">I1314/'HydroRefineryPFD '!$E$96</f>
        <v>0</v>
      </c>
      <c r="J1420" s="518">
        <f ca="1">J1314/'HydroRefineryPFD '!$E$96</f>
        <v>0</v>
      </c>
      <c r="K1420" s="518">
        <f ca="1">K1314/'HydroRefineryPFD '!$E$96</f>
        <v>0</v>
      </c>
      <c r="L1420" s="518">
        <f ca="1">L1314/'HydroRefineryPFD '!$E$96</f>
        <v>0</v>
      </c>
      <c r="M1420" s="518">
        <f ca="1">M1314/'HydroRefineryPFD '!$E$96</f>
        <v>0</v>
      </c>
      <c r="N1420" s="518">
        <f ca="1">N1314/'HydroRefineryPFD '!$E$96</f>
        <v>0</v>
      </c>
      <c r="O1420" s="518">
        <f ca="1">O1314/'HydroRefineryPFD '!$E$96</f>
        <v>0</v>
      </c>
      <c r="P1420" s="518">
        <f ca="1">P1314/'HydroRefineryPFD '!$E$96</f>
        <v>0</v>
      </c>
      <c r="Q1420" s="1788">
        <f ca="1">Q1314/'HydroRefineryPFD '!$E$96</f>
        <v>0</v>
      </c>
      <c r="R1420" s="518"/>
      <c r="S1420" s="892"/>
      <c r="T1420" s="341"/>
      <c r="U1420" s="341"/>
      <c r="V1420" s="341"/>
      <c r="W1420" s="341"/>
      <c r="X1420" s="341"/>
      <c r="Y1420" s="341"/>
      <c r="Z1420" s="341"/>
      <c r="AA1420" s="341"/>
      <c r="AB1420" s="341"/>
      <c r="AC1420" s="341"/>
      <c r="AD1420" s="341"/>
      <c r="AE1420" s="341"/>
      <c r="AF1420" s="341"/>
    </row>
    <row r="1421" spans="1:32" ht="18.75" customHeight="1" x14ac:dyDescent="0.2">
      <c r="A1421" s="341"/>
      <c r="B1421" s="345"/>
      <c r="C1421" s="1792" t="s">
        <v>1037</v>
      </c>
      <c r="D1421" s="518">
        <f ca="1">D1315/'HydroRefineryPFD '!$E$96</f>
        <v>0</v>
      </c>
      <c r="E1421" s="518">
        <f ca="1">E1315/'HydroRefineryPFD '!$E$96</f>
        <v>0</v>
      </c>
      <c r="F1421" s="518">
        <f ca="1">F1315/'HydroRefineryPFD '!$E$96</f>
        <v>0</v>
      </c>
      <c r="G1421" s="518">
        <f ca="1">G1315/'HydroRefineryPFD '!$E$96</f>
        <v>0</v>
      </c>
      <c r="H1421" s="518">
        <f ca="1">H1315/'HydroRefineryPFD '!$E$96</f>
        <v>0</v>
      </c>
      <c r="I1421" s="518">
        <f ca="1">I1315/'HydroRefineryPFD '!$E$96</f>
        <v>0</v>
      </c>
      <c r="J1421" s="518">
        <f ca="1">J1315/'HydroRefineryPFD '!$E$96</f>
        <v>0</v>
      </c>
      <c r="K1421" s="518">
        <f ca="1">K1315/'HydroRefineryPFD '!$E$96</f>
        <v>0</v>
      </c>
      <c r="L1421" s="518">
        <f ca="1">L1315/'HydroRefineryPFD '!$E$96</f>
        <v>0</v>
      </c>
      <c r="M1421" s="518">
        <f ca="1">M1315/'HydroRefineryPFD '!$E$96</f>
        <v>0</v>
      </c>
      <c r="N1421" s="518">
        <f ca="1">N1315/'HydroRefineryPFD '!$E$96</f>
        <v>0</v>
      </c>
      <c r="O1421" s="518">
        <f ca="1">O1315/'HydroRefineryPFD '!$E$96</f>
        <v>0</v>
      </c>
      <c r="P1421" s="518">
        <f ca="1">P1315/'HydroRefineryPFD '!$E$96</f>
        <v>0</v>
      </c>
      <c r="Q1421" s="1788">
        <f ca="1">Q1315/'HydroRefineryPFD '!$E$96</f>
        <v>0</v>
      </c>
      <c r="R1421" s="518"/>
      <c r="S1421" s="892"/>
      <c r="T1421" s="341"/>
      <c r="U1421" s="341"/>
      <c r="V1421" s="341"/>
      <c r="W1421" s="341"/>
      <c r="X1421" s="341"/>
      <c r="Y1421" s="341"/>
      <c r="Z1421" s="341"/>
      <c r="AA1421" s="341"/>
      <c r="AB1421" s="341"/>
      <c r="AC1421" s="341"/>
      <c r="AD1421" s="341"/>
      <c r="AE1421" s="341"/>
      <c r="AF1421" s="341"/>
    </row>
    <row r="1422" spans="1:32" ht="18.75" customHeight="1" x14ac:dyDescent="0.2">
      <c r="A1422" s="341"/>
      <c r="B1422" s="345"/>
      <c r="C1422" s="1792" t="s">
        <v>1034</v>
      </c>
      <c r="D1422" s="518">
        <f ca="1">D1316/'HydroRefineryPFD '!$E$96</f>
        <v>0.23399053554414584</v>
      </c>
      <c r="E1422" s="518">
        <f ca="1">E1316/'HydroRefineryPFD '!$E$96</f>
        <v>7.1164190453137932E-2</v>
      </c>
      <c r="F1422" s="518">
        <f ca="1">F1316/'HydroRefineryPFD '!$E$96</f>
        <v>3.7985928539183436E-2</v>
      </c>
      <c r="G1422" s="518">
        <f ca="1">G1316/'HydroRefineryPFD '!$E$96</f>
        <v>0</v>
      </c>
      <c r="H1422" s="518">
        <f ca="1">H1316/'HydroRefineryPFD '!$E$96</f>
        <v>0</v>
      </c>
      <c r="I1422" s="518">
        <f ca="1">I1316/'HydroRefineryPFD '!$E$96</f>
        <v>0</v>
      </c>
      <c r="J1422" s="518">
        <f ca="1">J1316/'HydroRefineryPFD '!$E$96</f>
        <v>0</v>
      </c>
      <c r="K1422" s="518">
        <f ca="1">K1316/'HydroRefineryPFD '!$E$96</f>
        <v>0</v>
      </c>
      <c r="L1422" s="518">
        <f ca="1">L1316/'HydroRefineryPFD '!$E$96</f>
        <v>0</v>
      </c>
      <c r="M1422" s="518">
        <f ca="1">M1316/'HydroRefineryPFD '!$E$96</f>
        <v>0</v>
      </c>
      <c r="N1422" s="518">
        <f ca="1">N1316/'HydroRefineryPFD '!$E$96</f>
        <v>0</v>
      </c>
      <c r="O1422" s="518">
        <f ca="1">O1316/'HydroRefineryPFD '!$E$96</f>
        <v>0</v>
      </c>
      <c r="P1422" s="518">
        <f ca="1">P1316/'HydroRefineryPFD '!$E$96</f>
        <v>0</v>
      </c>
      <c r="Q1422" s="1788">
        <f ca="1">Q1316/'HydroRefineryPFD '!$E$96</f>
        <v>0.34314065453646719</v>
      </c>
      <c r="R1422" s="518"/>
      <c r="S1422" s="892"/>
      <c r="T1422" s="341"/>
      <c r="U1422" s="341"/>
      <c r="V1422" s="341"/>
      <c r="W1422" s="341"/>
      <c r="X1422" s="341"/>
      <c r="Y1422" s="341"/>
      <c r="Z1422" s="341"/>
      <c r="AA1422" s="341"/>
      <c r="AB1422" s="341"/>
      <c r="AC1422" s="341"/>
      <c r="AD1422" s="341"/>
      <c r="AE1422" s="341"/>
      <c r="AF1422" s="341"/>
    </row>
    <row r="1423" spans="1:32" ht="18.75" customHeight="1" x14ac:dyDescent="0.2">
      <c r="A1423" s="341"/>
      <c r="B1423" s="345"/>
      <c r="C1423" s="1792" t="s">
        <v>1028</v>
      </c>
      <c r="D1423" s="518">
        <f ca="1">D1317/'HydroRefineryPFD '!$E$96</f>
        <v>0</v>
      </c>
      <c r="E1423" s="518">
        <f ca="1">E1317/'HydroRefineryPFD '!$E$96</f>
        <v>0</v>
      </c>
      <c r="F1423" s="518">
        <f ca="1">F1317/'HydroRefineryPFD '!$E$96</f>
        <v>0</v>
      </c>
      <c r="G1423" s="518">
        <f ca="1">G1317/'HydroRefineryPFD '!$E$96</f>
        <v>0</v>
      </c>
      <c r="H1423" s="518">
        <f ca="1">H1317/'HydroRefineryPFD '!$E$96</f>
        <v>0</v>
      </c>
      <c r="I1423" s="518">
        <f ca="1">I1317/'HydroRefineryPFD '!$E$96</f>
        <v>0</v>
      </c>
      <c r="J1423" s="518">
        <f ca="1">J1317/'HydroRefineryPFD '!$E$96</f>
        <v>0</v>
      </c>
      <c r="K1423" s="518">
        <f ca="1">K1317/'HydroRefineryPFD '!$E$96</f>
        <v>0</v>
      </c>
      <c r="L1423" s="518">
        <f ca="1">L1317/'HydroRefineryPFD '!$E$96</f>
        <v>0</v>
      </c>
      <c r="M1423" s="518">
        <f ca="1">M1317/'HydroRefineryPFD '!$E$96</f>
        <v>0</v>
      </c>
      <c r="N1423" s="518">
        <f ca="1">N1317/'HydroRefineryPFD '!$E$96</f>
        <v>0</v>
      </c>
      <c r="O1423" s="518">
        <f ca="1">O1317/'HydroRefineryPFD '!$E$96</f>
        <v>0</v>
      </c>
      <c r="P1423" s="518">
        <f ca="1">P1317/'HydroRefineryPFD '!$E$96</f>
        <v>0</v>
      </c>
      <c r="Q1423" s="1788">
        <f ca="1">Q1317/'HydroRefineryPFD '!$E$96</f>
        <v>0</v>
      </c>
      <c r="R1423" s="518"/>
      <c r="S1423" s="892"/>
      <c r="T1423" s="341"/>
      <c r="U1423" s="341"/>
      <c r="V1423" s="341"/>
      <c r="W1423" s="341"/>
      <c r="X1423" s="341"/>
      <c r="Y1423" s="341"/>
      <c r="Z1423" s="341"/>
      <c r="AA1423" s="341"/>
      <c r="AB1423" s="341"/>
      <c r="AC1423" s="341"/>
      <c r="AD1423" s="341"/>
      <c r="AE1423" s="341"/>
      <c r="AF1423" s="341"/>
    </row>
    <row r="1424" spans="1:32" ht="18.75" customHeight="1" x14ac:dyDescent="0.2">
      <c r="A1424" s="341"/>
      <c r="B1424" s="345"/>
      <c r="C1424" s="1792" t="s">
        <v>1029</v>
      </c>
      <c r="D1424" s="518">
        <f ca="1">D1318/'HydroRefineryPFD '!$E$96</f>
        <v>20.680981676881569</v>
      </c>
      <c r="E1424" s="518">
        <f ca="1">E1318/'HydroRefineryPFD '!$E$96</f>
        <v>6.2897643077268359</v>
      </c>
      <c r="F1424" s="518">
        <f ca="1">F1318/'HydroRefineryPFD '!$E$96</f>
        <v>3.357342168867222</v>
      </c>
      <c r="G1424" s="518">
        <f ca="1">G1318/'HydroRefineryPFD '!$E$96</f>
        <v>0</v>
      </c>
      <c r="H1424" s="518">
        <f ca="1">H1318/'HydroRefineryPFD '!$E$96</f>
        <v>0</v>
      </c>
      <c r="I1424" s="518">
        <f ca="1">I1318/'HydroRefineryPFD '!$E$96</f>
        <v>0</v>
      </c>
      <c r="J1424" s="518">
        <f ca="1">J1318/'HydroRefineryPFD '!$E$96</f>
        <v>0</v>
      </c>
      <c r="K1424" s="518">
        <f ca="1">K1318/'HydroRefineryPFD '!$E$96</f>
        <v>0</v>
      </c>
      <c r="L1424" s="518">
        <f ca="1">L1318/'HydroRefineryPFD '!$E$96</f>
        <v>0</v>
      </c>
      <c r="M1424" s="518">
        <f ca="1">M1318/'HydroRefineryPFD '!$E$96</f>
        <v>0</v>
      </c>
      <c r="N1424" s="518">
        <f ca="1">N1318/'HydroRefineryPFD '!$E$96</f>
        <v>0</v>
      </c>
      <c r="O1424" s="518">
        <f ca="1">O1318/'HydroRefineryPFD '!$E$96</f>
        <v>0</v>
      </c>
      <c r="P1424" s="518">
        <f ca="1">P1318/'HydroRefineryPFD '!$E$96</f>
        <v>0</v>
      </c>
      <c r="Q1424" s="1788">
        <f ca="1">Q1318/'HydroRefineryPFD '!$E$96</f>
        <v>30.328088153475626</v>
      </c>
      <c r="R1424" s="518"/>
      <c r="S1424" s="892"/>
      <c r="T1424" s="341"/>
      <c r="U1424" s="341"/>
      <c r="V1424" s="341"/>
      <c r="W1424" s="341"/>
      <c r="X1424" s="341"/>
      <c r="Y1424" s="341"/>
      <c r="Z1424" s="341"/>
      <c r="AA1424" s="341"/>
      <c r="AB1424" s="341"/>
      <c r="AC1424" s="341"/>
      <c r="AD1424" s="341"/>
      <c r="AE1424" s="341"/>
      <c r="AF1424" s="341"/>
    </row>
    <row r="1425" spans="1:32" ht="18.75" customHeight="1" x14ac:dyDescent="0.2">
      <c r="A1425" s="341"/>
      <c r="B1425" s="345"/>
      <c r="C1425" s="1792" t="s">
        <v>1038</v>
      </c>
      <c r="D1425" s="518">
        <f ca="1">D1319/'HydroRefineryPFD '!$E$96</f>
        <v>0</v>
      </c>
      <c r="E1425" s="518">
        <f ca="1">E1319/'HydroRefineryPFD '!$E$96</f>
        <v>0</v>
      </c>
      <c r="F1425" s="518">
        <f ca="1">F1319/'HydroRefineryPFD '!$E$96</f>
        <v>0</v>
      </c>
      <c r="G1425" s="518">
        <f ca="1">G1319/'HydroRefineryPFD '!$E$96</f>
        <v>0</v>
      </c>
      <c r="H1425" s="518">
        <f ca="1">H1319/'HydroRefineryPFD '!$E$96</f>
        <v>0</v>
      </c>
      <c r="I1425" s="518">
        <f ca="1">I1319/'HydroRefineryPFD '!$E$96</f>
        <v>0</v>
      </c>
      <c r="J1425" s="518">
        <f ca="1">J1319/'HydroRefineryPFD '!$E$96</f>
        <v>0</v>
      </c>
      <c r="K1425" s="518">
        <f ca="1">K1319/'HydroRefineryPFD '!$E$96</f>
        <v>0</v>
      </c>
      <c r="L1425" s="518">
        <f ca="1">L1319/'HydroRefineryPFD '!$E$96</f>
        <v>0</v>
      </c>
      <c r="M1425" s="518">
        <f ca="1">M1319/'HydroRefineryPFD '!$E$96</f>
        <v>0</v>
      </c>
      <c r="N1425" s="518">
        <f ca="1">N1319/'HydroRefineryPFD '!$E$96</f>
        <v>0</v>
      </c>
      <c r="O1425" s="518">
        <f ca="1">O1319/'HydroRefineryPFD '!$E$96</f>
        <v>0</v>
      </c>
      <c r="P1425" s="518">
        <f ca="1">P1319/'HydroRefineryPFD '!$E$96</f>
        <v>0</v>
      </c>
      <c r="Q1425" s="1788">
        <f ca="1">Q1319/'HydroRefineryPFD '!$E$96</f>
        <v>0</v>
      </c>
      <c r="R1425" s="518"/>
      <c r="S1425" s="892"/>
      <c r="T1425" s="341"/>
      <c r="U1425" s="341"/>
      <c r="V1425" s="341"/>
      <c r="W1425" s="341"/>
      <c r="X1425" s="341"/>
      <c r="Y1425" s="341"/>
      <c r="Z1425" s="341"/>
      <c r="AA1425" s="341"/>
      <c r="AB1425" s="341"/>
      <c r="AC1425" s="341"/>
      <c r="AD1425" s="341"/>
      <c r="AE1425" s="341"/>
      <c r="AF1425" s="341"/>
    </row>
    <row r="1426" spans="1:32" ht="18.75" customHeight="1" x14ac:dyDescent="0.2">
      <c r="A1426" s="341"/>
      <c r="B1426" s="345"/>
      <c r="C1426" s="1792" t="s">
        <v>1039</v>
      </c>
      <c r="D1426" s="518">
        <f ca="1">D1320/'HydroRefineryPFD '!$E$96</f>
        <v>18.320946721048884</v>
      </c>
      <c r="E1426" s="518">
        <f ca="1">E1320/'HydroRefineryPFD '!$E$96</f>
        <v>5.5720003320071676</v>
      </c>
      <c r="F1426" s="518">
        <f ca="1">F1320/'HydroRefineryPFD '!$E$96</f>
        <v>2.9742150523205706</v>
      </c>
      <c r="G1426" s="518">
        <f ca="1">G1320/'HydroRefineryPFD '!$E$96</f>
        <v>0</v>
      </c>
      <c r="H1426" s="518">
        <f ca="1">H1320/'HydroRefineryPFD '!$E$96</f>
        <v>0</v>
      </c>
      <c r="I1426" s="518">
        <f ca="1">I1320/'HydroRefineryPFD '!$E$96</f>
        <v>0</v>
      </c>
      <c r="J1426" s="518">
        <f ca="1">J1320/'HydroRefineryPFD '!$E$96</f>
        <v>0</v>
      </c>
      <c r="K1426" s="518">
        <f ca="1">K1320/'HydroRefineryPFD '!$E$96</f>
        <v>0</v>
      </c>
      <c r="L1426" s="518">
        <f ca="1">L1320/'HydroRefineryPFD '!$E$96</f>
        <v>0</v>
      </c>
      <c r="M1426" s="518">
        <f ca="1">M1320/'HydroRefineryPFD '!$E$96</f>
        <v>0</v>
      </c>
      <c r="N1426" s="518">
        <f ca="1">N1320/'HydroRefineryPFD '!$E$96</f>
        <v>0</v>
      </c>
      <c r="O1426" s="518">
        <f ca="1">O1320/'HydroRefineryPFD '!$E$96</f>
        <v>0</v>
      </c>
      <c r="P1426" s="518">
        <f ca="1">P1320/'HydroRefineryPFD '!$E$96</f>
        <v>0</v>
      </c>
      <c r="Q1426" s="1788">
        <f ca="1">Q1320/'HydroRefineryPFD '!$E$96</f>
        <v>26.867162105376622</v>
      </c>
      <c r="R1426" s="518"/>
      <c r="S1426" s="892"/>
      <c r="T1426" s="341"/>
      <c r="U1426" s="341"/>
      <c r="V1426" s="341"/>
      <c r="W1426" s="341"/>
      <c r="X1426" s="341"/>
      <c r="Y1426" s="341"/>
      <c r="Z1426" s="341"/>
      <c r="AA1426" s="341"/>
      <c r="AB1426" s="341"/>
      <c r="AC1426" s="341"/>
      <c r="AD1426" s="341"/>
      <c r="AE1426" s="341"/>
      <c r="AF1426" s="341"/>
    </row>
    <row r="1427" spans="1:32" ht="18.75" customHeight="1" x14ac:dyDescent="0.2">
      <c r="A1427" s="341"/>
      <c r="B1427" s="345"/>
      <c r="C1427" s="1792" t="s">
        <v>1053</v>
      </c>
      <c r="D1427" s="518">
        <f ca="1">D1321/'HydroRefineryPFD '!$E$96</f>
        <v>43.633322587507209</v>
      </c>
      <c r="E1427" s="518">
        <f ca="1">E1321/'HydroRefineryPFD '!$E$96</f>
        <v>13.270323397908278</v>
      </c>
      <c r="F1427" s="518">
        <f ca="1">F1321/'HydroRefineryPFD '!$E$96</f>
        <v>7.0834158735599138</v>
      </c>
      <c r="G1427" s="518">
        <f ca="1">G1321/'HydroRefineryPFD '!$E$96</f>
        <v>0</v>
      </c>
      <c r="H1427" s="518">
        <f ca="1">H1321/'HydroRefineryPFD '!$E$96</f>
        <v>0</v>
      </c>
      <c r="I1427" s="518">
        <f ca="1">I1321/'HydroRefineryPFD '!$E$96</f>
        <v>0</v>
      </c>
      <c r="J1427" s="518">
        <f ca="1">J1321/'HydroRefineryPFD '!$E$96</f>
        <v>0</v>
      </c>
      <c r="K1427" s="518">
        <f ca="1">K1321/'HydroRefineryPFD '!$E$96</f>
        <v>0</v>
      </c>
      <c r="L1427" s="518">
        <f ca="1">L1321/'HydroRefineryPFD '!$E$96</f>
        <v>0</v>
      </c>
      <c r="M1427" s="518">
        <f ca="1">M1321/'HydroRefineryPFD '!$E$96</f>
        <v>0</v>
      </c>
      <c r="N1427" s="518">
        <f ca="1">N1321/'HydroRefineryPFD '!$E$96</f>
        <v>0</v>
      </c>
      <c r="O1427" s="518">
        <f ca="1">O1321/'HydroRefineryPFD '!$E$96</f>
        <v>0</v>
      </c>
      <c r="P1427" s="518">
        <f ca="1">P1321/'HydroRefineryPFD '!$E$96</f>
        <v>0</v>
      </c>
      <c r="Q1427" s="1788">
        <f ca="1">Q1321/'HydroRefineryPFD '!$E$96</f>
        <v>63.987061858975395</v>
      </c>
      <c r="R1427" s="518"/>
      <c r="S1427" s="892"/>
      <c r="T1427" s="341"/>
      <c r="U1427" s="341"/>
      <c r="V1427" s="341"/>
      <c r="W1427" s="341"/>
      <c r="X1427" s="341"/>
      <c r="Y1427" s="341"/>
      <c r="Z1427" s="341"/>
      <c r="AA1427" s="341"/>
      <c r="AB1427" s="341"/>
      <c r="AC1427" s="341"/>
      <c r="AD1427" s="341"/>
      <c r="AE1427" s="341"/>
      <c r="AF1427" s="341"/>
    </row>
    <row r="1428" spans="1:32" ht="18.75" customHeight="1" x14ac:dyDescent="0.2">
      <c r="A1428" s="341"/>
      <c r="B1428" s="345"/>
      <c r="C1428" s="1792" t="s">
        <v>1051</v>
      </c>
      <c r="D1428" s="518">
        <f ca="1">D1322/'HydroRefineryPFD '!$E$96</f>
        <v>2.9272904782633061E-19</v>
      </c>
      <c r="E1428" s="518">
        <f ca="1">E1322/'HydroRefineryPFD '!$E$96</f>
        <v>0</v>
      </c>
      <c r="F1428" s="518">
        <f ca="1">F1322/'HydroRefineryPFD '!$E$96</f>
        <v>6.9356172105228012E-20</v>
      </c>
      <c r="G1428" s="518">
        <f ca="1">G1322/'HydroRefineryPFD '!$E$96</f>
        <v>0</v>
      </c>
      <c r="H1428" s="518">
        <f ca="1">H1322/'HydroRefineryPFD '!$E$96</f>
        <v>0</v>
      </c>
      <c r="I1428" s="518">
        <f ca="1">I1322/'HydroRefineryPFD '!$E$96</f>
        <v>0</v>
      </c>
      <c r="J1428" s="518">
        <f ca="1">J1322/'HydroRefineryPFD '!$E$96</f>
        <v>0</v>
      </c>
      <c r="K1428" s="518">
        <f ca="1">K1322/'HydroRefineryPFD '!$E$96</f>
        <v>0</v>
      </c>
      <c r="L1428" s="518">
        <f ca="1">L1322/'HydroRefineryPFD '!$E$96</f>
        <v>0</v>
      </c>
      <c r="M1428" s="518">
        <f ca="1">M1322/'HydroRefineryPFD '!$E$96</f>
        <v>0</v>
      </c>
      <c r="N1428" s="518">
        <f ca="1">N1322/'HydroRefineryPFD '!$E$96</f>
        <v>0</v>
      </c>
      <c r="O1428" s="518">
        <f ca="1">O1322/'HydroRefineryPFD '!$E$96</f>
        <v>0</v>
      </c>
      <c r="P1428" s="518">
        <f ca="1">P1322/'HydroRefineryPFD '!$E$96</f>
        <v>0</v>
      </c>
      <c r="Q1428" s="1788">
        <f ca="1">Q1322/'HydroRefineryPFD '!$E$96</f>
        <v>3.6208521993155862E-19</v>
      </c>
      <c r="R1428" s="518"/>
      <c r="S1428" s="892"/>
      <c r="T1428" s="341"/>
      <c r="U1428" s="341"/>
      <c r="V1428" s="341"/>
      <c r="W1428" s="341"/>
      <c r="X1428" s="341"/>
      <c r="Y1428" s="341"/>
      <c r="Z1428" s="341"/>
      <c r="AA1428" s="341"/>
      <c r="AB1428" s="341"/>
      <c r="AC1428" s="341"/>
      <c r="AD1428" s="341"/>
      <c r="AE1428" s="341"/>
      <c r="AF1428" s="341"/>
    </row>
    <row r="1429" spans="1:32" ht="18.75" customHeight="1" x14ac:dyDescent="0.2">
      <c r="A1429" s="341"/>
      <c r="B1429" s="345"/>
      <c r="C1429" s="1792" t="s">
        <v>976</v>
      </c>
      <c r="D1429" s="518">
        <f ca="1">D1323/'HydroRefineryPFD '!$E$96</f>
        <v>0</v>
      </c>
      <c r="E1429" s="518">
        <f ca="1">E1323/'HydroRefineryPFD '!$E$96</f>
        <v>0</v>
      </c>
      <c r="F1429" s="518">
        <f ca="1">F1323/'HydroRefineryPFD '!$E$96</f>
        <v>0</v>
      </c>
      <c r="G1429" s="518">
        <f ca="1">G1323/'HydroRefineryPFD '!$E$96</f>
        <v>0</v>
      </c>
      <c r="H1429" s="518">
        <f ca="1">H1323/'HydroRefineryPFD '!$E$96</f>
        <v>0</v>
      </c>
      <c r="I1429" s="518">
        <f ca="1">I1323/'HydroRefineryPFD '!$E$96</f>
        <v>0</v>
      </c>
      <c r="J1429" s="518">
        <f ca="1">J1323/'HydroRefineryPFD '!$E$96</f>
        <v>0</v>
      </c>
      <c r="K1429" s="518">
        <f ca="1">K1323/'HydroRefineryPFD '!$E$96</f>
        <v>0</v>
      </c>
      <c r="L1429" s="518">
        <f ca="1">L1323/'HydroRefineryPFD '!$E$96</f>
        <v>0</v>
      </c>
      <c r="M1429" s="518">
        <f ca="1">M1323/'HydroRefineryPFD '!$E$96</f>
        <v>0</v>
      </c>
      <c r="N1429" s="518">
        <f ca="1">N1323/'HydroRefineryPFD '!$E$96</f>
        <v>0</v>
      </c>
      <c r="O1429" s="518">
        <f ca="1">O1323/'HydroRefineryPFD '!$E$96</f>
        <v>0</v>
      </c>
      <c r="P1429" s="518">
        <f ca="1">P1323/'HydroRefineryPFD '!$E$96</f>
        <v>0</v>
      </c>
      <c r="Q1429" s="1788">
        <f ca="1">Q1323/'HydroRefineryPFD '!$E$96</f>
        <v>0</v>
      </c>
      <c r="R1429" s="518"/>
      <c r="S1429" s="892"/>
      <c r="T1429" s="341"/>
      <c r="U1429" s="341"/>
      <c r="V1429" s="341"/>
      <c r="W1429" s="341"/>
      <c r="X1429" s="341"/>
      <c r="Y1429" s="341"/>
      <c r="Z1429" s="341"/>
      <c r="AA1429" s="341"/>
      <c r="AB1429" s="341"/>
      <c r="AC1429" s="341"/>
      <c r="AD1429" s="341"/>
      <c r="AE1429" s="341"/>
      <c r="AF1429" s="341"/>
    </row>
    <row r="1430" spans="1:32" ht="18.75" customHeight="1" x14ac:dyDescent="0.2">
      <c r="A1430" s="341"/>
      <c r="B1430" s="345"/>
      <c r="C1430" s="1807" t="s">
        <v>32</v>
      </c>
      <c r="D1430" s="1777">
        <f t="shared" ref="D1430:Q1430" ca="1" si="299">SUM(D1411:D1429)</f>
        <v>228.14444090022846</v>
      </c>
      <c r="E1430" s="1777">
        <f t="shared" ca="1" si="299"/>
        <v>96.021066581807531</v>
      </c>
      <c r="F1430" s="1777">
        <f t="shared" ca="1" si="299"/>
        <v>46.667177502900429</v>
      </c>
      <c r="G1430" s="1777">
        <f t="shared" ca="1" si="299"/>
        <v>0</v>
      </c>
      <c r="H1430" s="1777">
        <f t="shared" ca="1" si="299"/>
        <v>0</v>
      </c>
      <c r="I1430" s="1777">
        <f t="shared" ca="1" si="299"/>
        <v>0</v>
      </c>
      <c r="J1430" s="1777">
        <f t="shared" ca="1" si="299"/>
        <v>0</v>
      </c>
      <c r="K1430" s="1777">
        <f t="shared" ca="1" si="299"/>
        <v>0</v>
      </c>
      <c r="L1430" s="1777">
        <f t="shared" ref="L1430" ca="1" si="300">SUM(L1411:L1429)</f>
        <v>0</v>
      </c>
      <c r="M1430" s="1777">
        <f t="shared" ca="1" si="299"/>
        <v>0</v>
      </c>
      <c r="N1430" s="1777">
        <f t="shared" ref="N1430:P1430" ca="1" si="301">SUM(N1411:N1429)</f>
        <v>0</v>
      </c>
      <c r="O1430" s="1777">
        <f t="shared" ca="1" si="301"/>
        <v>0</v>
      </c>
      <c r="P1430" s="1777">
        <f t="shared" ca="1" si="301"/>
        <v>0</v>
      </c>
      <c r="Q1430" s="1808">
        <f t="shared" ca="1" si="299"/>
        <v>370.83268498493641</v>
      </c>
      <c r="R1430" s="518"/>
      <c r="S1430" s="892"/>
      <c r="T1430" s="341"/>
      <c r="U1430" s="341"/>
      <c r="V1430" s="341"/>
      <c r="W1430" s="341"/>
      <c r="X1430" s="341"/>
      <c r="Y1430" s="341"/>
      <c r="Z1430" s="341"/>
      <c r="AA1430" s="341"/>
      <c r="AB1430" s="341"/>
      <c r="AC1430" s="341"/>
      <c r="AD1430" s="341"/>
      <c r="AE1430" s="341"/>
      <c r="AF1430" s="341"/>
    </row>
    <row r="1431" spans="1:32" ht="18.75" customHeight="1" x14ac:dyDescent="0.2">
      <c r="A1431" s="341"/>
      <c r="B1431" s="345"/>
      <c r="C1431" s="1807" t="s">
        <v>163</v>
      </c>
      <c r="D1431" s="1777">
        <f t="shared" ref="D1431:Q1431" ca="1" si="302">D1430+D1409</f>
        <v>2397.7885059035866</v>
      </c>
      <c r="E1431" s="1777">
        <f t="shared" ca="1" si="302"/>
        <v>2439.0929255707156</v>
      </c>
      <c r="F1431" s="1777">
        <f t="shared" ca="1" si="302"/>
        <v>1166.3838228249765</v>
      </c>
      <c r="G1431" s="1777">
        <f t="shared" ca="1" si="302"/>
        <v>0</v>
      </c>
      <c r="H1431" s="1777">
        <f t="shared" ca="1" si="302"/>
        <v>0</v>
      </c>
      <c r="I1431" s="1777">
        <f t="shared" ca="1" si="302"/>
        <v>0</v>
      </c>
      <c r="J1431" s="1777">
        <f t="shared" ca="1" si="302"/>
        <v>0</v>
      </c>
      <c r="K1431" s="1777">
        <f t="shared" ca="1" si="302"/>
        <v>0</v>
      </c>
      <c r="L1431" s="1777">
        <f t="shared" ref="L1431" ca="1" si="303">L1430+L1409</f>
        <v>0</v>
      </c>
      <c r="M1431" s="1777">
        <f t="shared" ca="1" si="302"/>
        <v>0</v>
      </c>
      <c r="N1431" s="1777">
        <f t="shared" ref="N1431:P1431" ca="1" si="304">N1430+N1409</f>
        <v>0</v>
      </c>
      <c r="O1431" s="1777">
        <f t="shared" ca="1" si="304"/>
        <v>0</v>
      </c>
      <c r="P1431" s="1777">
        <f t="shared" ca="1" si="304"/>
        <v>0</v>
      </c>
      <c r="Q1431" s="1808">
        <f t="shared" ca="1" si="302"/>
        <v>6003.2652542992782</v>
      </c>
      <c r="R1431" s="518"/>
      <c r="S1431" s="892"/>
      <c r="T1431" s="341"/>
      <c r="U1431" s="341"/>
      <c r="V1431" s="341"/>
      <c r="W1431" s="341"/>
      <c r="X1431" s="341"/>
      <c r="Y1431" s="341"/>
      <c r="Z1431" s="341"/>
      <c r="AA1431" s="341"/>
      <c r="AB1431" s="341"/>
      <c r="AC1431" s="341"/>
      <c r="AD1431" s="341"/>
      <c r="AE1431" s="341"/>
      <c r="AF1431" s="341"/>
    </row>
    <row r="1432" spans="1:32" ht="18.75" customHeight="1" x14ac:dyDescent="0.2">
      <c r="A1432" s="341"/>
      <c r="B1432" s="345"/>
      <c r="C1432" s="1793" t="s">
        <v>980</v>
      </c>
      <c r="D1432" s="1789">
        <f ca="1">D1326/'HydroRefineryPFD '!$E$96</f>
        <v>0</v>
      </c>
      <c r="E1432" s="1789">
        <f ca="1">E1326/'HydroRefineryPFD '!$E$96</f>
        <v>0</v>
      </c>
      <c r="F1432" s="1789">
        <f ca="1">F1326/'HydroRefineryPFD '!$E$96</f>
        <v>0</v>
      </c>
      <c r="G1432" s="1789">
        <f ca="1">G1326/'HydroRefineryPFD '!$E$96</f>
        <v>0</v>
      </c>
      <c r="H1432" s="1789">
        <f ca="1">H1326/'HydroRefineryPFD '!$E$96</f>
        <v>0</v>
      </c>
      <c r="I1432" s="1789">
        <f ca="1">I1326/'HydroRefineryPFD '!$E$96</f>
        <v>0</v>
      </c>
      <c r="J1432" s="1789">
        <f ca="1">J1326/'HydroRefineryPFD '!$E$96</f>
        <v>0</v>
      </c>
      <c r="K1432" s="1789">
        <f ca="1">K1326/'HydroRefineryPFD '!$E$96</f>
        <v>0</v>
      </c>
      <c r="L1432" s="1789">
        <f ca="1">L1326/'HydroRefineryPFD '!$E$96</f>
        <v>0</v>
      </c>
      <c r="M1432" s="1789">
        <f ca="1">M1326/'HydroRefineryPFD '!$E$96</f>
        <v>0</v>
      </c>
      <c r="N1432" s="1789">
        <f ca="1">N1326/'HydroRefineryPFD '!$E$96</f>
        <v>0</v>
      </c>
      <c r="O1432" s="1789">
        <f ca="1">O1326/'HydroRefineryPFD '!$E$96</f>
        <v>0</v>
      </c>
      <c r="P1432" s="1789">
        <f ca="1">P1326/'HydroRefineryPFD '!$E$96</f>
        <v>0</v>
      </c>
      <c r="Q1432" s="1790">
        <f ca="1">Q1326/'HydroRefineryPFD '!$E$96</f>
        <v>0</v>
      </c>
      <c r="R1432" s="518"/>
      <c r="S1432" s="892"/>
      <c r="T1432" s="341"/>
      <c r="U1432" s="341"/>
      <c r="V1432" s="341"/>
      <c r="W1432" s="341"/>
      <c r="X1432" s="341"/>
      <c r="Y1432" s="341"/>
      <c r="Z1432" s="341"/>
      <c r="AA1432" s="341"/>
      <c r="AB1432" s="341"/>
      <c r="AC1432" s="341"/>
      <c r="AD1432" s="341"/>
      <c r="AE1432" s="341"/>
      <c r="AF1432" s="341"/>
    </row>
    <row r="1433" spans="1:32" ht="18.75" customHeight="1" x14ac:dyDescent="0.2">
      <c r="A1433" s="341"/>
      <c r="B1433" s="345"/>
      <c r="C1433" s="519"/>
      <c r="D1433" s="518"/>
      <c r="E1433" s="518"/>
      <c r="F1433" s="518"/>
      <c r="G1433" s="518"/>
      <c r="H1433" s="518"/>
      <c r="I1433" s="518"/>
      <c r="J1433" s="518"/>
      <c r="K1433" s="518"/>
      <c r="L1433" s="518"/>
      <c r="M1433" s="518"/>
      <c r="N1433" s="518"/>
      <c r="O1433" s="518"/>
      <c r="P1433" s="518"/>
      <c r="Q1433" s="518"/>
      <c r="R1433" s="518"/>
      <c r="S1433" s="892"/>
      <c r="T1433" s="341"/>
      <c r="U1433" s="341"/>
      <c r="V1433" s="341"/>
      <c r="W1433" s="341"/>
      <c r="X1433" s="341"/>
      <c r="Y1433" s="341"/>
      <c r="Z1433" s="341"/>
      <c r="AA1433" s="341"/>
      <c r="AB1433" s="341"/>
      <c r="AC1433" s="341"/>
      <c r="AD1433" s="341"/>
      <c r="AE1433" s="341"/>
      <c r="AF1433" s="341"/>
    </row>
    <row r="1434" spans="1:32" ht="18.75" customHeight="1" x14ac:dyDescent="0.2">
      <c r="A1434" s="341"/>
      <c r="B1434" s="345"/>
      <c r="C1434" s="440" t="str">
        <f>C1380</f>
        <v>GHG Emissions accounting for energy in the refinery byproducts  (g CO2e / MJ of Product)</v>
      </c>
      <c r="D1434" s="440"/>
      <c r="E1434" s="440"/>
      <c r="F1434" s="518"/>
      <c r="G1434" s="518"/>
      <c r="H1434" s="518"/>
      <c r="I1434" s="518"/>
      <c r="J1434" s="518"/>
      <c r="K1434" s="518"/>
      <c r="L1434" s="518"/>
      <c r="M1434" s="518"/>
      <c r="N1434" s="518"/>
      <c r="O1434" s="518"/>
      <c r="P1434" s="518"/>
      <c r="Q1434" s="518"/>
      <c r="R1434" s="518"/>
      <c r="S1434" s="892"/>
      <c r="T1434" s="341"/>
      <c r="U1434" s="341"/>
      <c r="V1434" s="341"/>
      <c r="W1434" s="341"/>
      <c r="X1434" s="341"/>
      <c r="Y1434" s="341"/>
      <c r="Z1434" s="341"/>
      <c r="AA1434" s="341"/>
      <c r="AB1434" s="341"/>
      <c r="AC1434" s="341"/>
      <c r="AD1434" s="341"/>
      <c r="AE1434" s="341"/>
      <c r="AF1434" s="341"/>
    </row>
    <row r="1435" spans="1:32" ht="18.75" customHeight="1" x14ac:dyDescent="0.2">
      <c r="A1435" s="341"/>
      <c r="B1435" s="345"/>
      <c r="C1435" s="1794" t="str">
        <f>C1381</f>
        <v>Feedstock</v>
      </c>
      <c r="D1435" s="1795"/>
      <c r="E1435" s="1795"/>
      <c r="F1435" s="1795"/>
      <c r="G1435" s="1795"/>
      <c r="H1435" s="1795"/>
      <c r="I1435" s="1795"/>
      <c r="J1435" s="1795"/>
      <c r="K1435" s="1795"/>
      <c r="L1435" s="1795"/>
      <c r="M1435" s="1795"/>
      <c r="N1435" s="1795"/>
      <c r="O1435" s="1795"/>
      <c r="P1435" s="1795"/>
      <c r="Q1435" s="1796"/>
      <c r="R1435" s="518"/>
      <c r="S1435" s="892"/>
      <c r="T1435" s="341"/>
      <c r="U1435" s="341"/>
      <c r="V1435" s="341"/>
      <c r="W1435" s="341"/>
      <c r="X1435" s="341"/>
      <c r="Y1435" s="341"/>
      <c r="Z1435" s="341"/>
      <c r="AA1435" s="341"/>
      <c r="AB1435" s="341"/>
      <c r="AC1435" s="341"/>
      <c r="AD1435" s="341"/>
      <c r="AE1435" s="341"/>
      <c r="AF1435" s="341"/>
    </row>
    <row r="1436" spans="1:32" ht="18.75" customHeight="1" x14ac:dyDescent="0.2">
      <c r="A1436" s="341"/>
      <c r="B1436" s="345"/>
      <c r="C1436" s="1792" t="str">
        <f>C1382</f>
        <v>Crude</v>
      </c>
      <c r="D1436" s="518">
        <v>0</v>
      </c>
      <c r="E1436" s="518">
        <v>0</v>
      </c>
      <c r="F1436" s="518">
        <v>0</v>
      </c>
      <c r="G1436" s="518">
        <v>0</v>
      </c>
      <c r="H1436" s="518">
        <v>0</v>
      </c>
      <c r="I1436" s="518">
        <v>0</v>
      </c>
      <c r="J1436" s="518">
        <v>0</v>
      </c>
      <c r="K1436" s="518">
        <v>0</v>
      </c>
      <c r="L1436" s="518">
        <v>0</v>
      </c>
      <c r="M1436" s="518">
        <v>0</v>
      </c>
      <c r="N1436" s="518">
        <v>0</v>
      </c>
      <c r="O1436" s="518">
        <v>0</v>
      </c>
      <c r="P1436" s="518">
        <v>0</v>
      </c>
      <c r="Q1436" s="1788">
        <v>0</v>
      </c>
      <c r="R1436" s="518"/>
      <c r="S1436" s="892"/>
      <c r="T1436" s="341"/>
      <c r="U1436" s="341"/>
      <c r="V1436" s="341"/>
      <c r="W1436" s="341"/>
      <c r="X1436" s="341"/>
      <c r="Y1436" s="341"/>
      <c r="Z1436" s="341"/>
      <c r="AA1436" s="341"/>
      <c r="AB1436" s="341"/>
      <c r="AC1436" s="341"/>
      <c r="AD1436" s="341"/>
      <c r="AE1436" s="341"/>
      <c r="AF1436" s="341"/>
    </row>
    <row r="1437" spans="1:32" ht="18.75" customHeight="1" x14ac:dyDescent="0.2">
      <c r="A1437" s="341"/>
      <c r="B1437" s="345"/>
      <c r="C1437" s="1807" t="s">
        <v>201</v>
      </c>
      <c r="D1437" s="1774"/>
      <c r="E1437" s="1774"/>
      <c r="F1437" s="1774"/>
      <c r="G1437" s="1774"/>
      <c r="H1437" s="1774"/>
      <c r="I1437" s="1774"/>
      <c r="J1437" s="1774"/>
      <c r="K1437" s="1774"/>
      <c r="L1437" s="1774"/>
      <c r="M1437" s="1774"/>
      <c r="N1437" s="1774"/>
      <c r="O1437" s="1774"/>
      <c r="P1437" s="1774"/>
      <c r="Q1437" s="1809"/>
      <c r="R1437" s="518"/>
      <c r="S1437" s="892"/>
      <c r="T1437" s="341"/>
      <c r="U1437" s="341"/>
      <c r="V1437" s="341"/>
      <c r="W1437" s="341"/>
      <c r="X1437" s="341"/>
      <c r="Y1437" s="341"/>
      <c r="Z1437" s="341"/>
      <c r="AA1437" s="341"/>
      <c r="AB1437" s="341"/>
      <c r="AC1437" s="341"/>
      <c r="AD1437" s="341"/>
      <c r="AE1437" s="341"/>
      <c r="AF1437" s="341"/>
    </row>
    <row r="1438" spans="1:32" ht="18.75" customHeight="1" x14ac:dyDescent="0.2">
      <c r="A1438" s="341"/>
      <c r="B1438" s="345"/>
      <c r="C1438" s="1792" t="s">
        <v>392</v>
      </c>
      <c r="D1438" s="518">
        <f ca="1">D1411*'Emission Factors'!$G$53</f>
        <v>940.73183701598805</v>
      </c>
      <c r="E1438" s="518">
        <f ca="1">E1411*'Emission Factors'!$G$53</f>
        <v>491.96688423279699</v>
      </c>
      <c r="F1438" s="518">
        <f ca="1">F1411*'Emission Factors'!$G$53</f>
        <v>223.69885533536046</v>
      </c>
      <c r="G1438" s="518">
        <f ca="1">G1411*'Emission Factors'!$G$53</f>
        <v>0</v>
      </c>
      <c r="H1438" s="518">
        <f ca="1">H1411*'Emission Factors'!$G$53</f>
        <v>0</v>
      </c>
      <c r="I1438" s="518">
        <f ca="1">I1411*'Emission Factors'!$G$53</f>
        <v>0</v>
      </c>
      <c r="J1438" s="518">
        <f ca="1">J1411*'Emission Factors'!$G$53</f>
        <v>0</v>
      </c>
      <c r="K1438" s="518">
        <f ca="1">K1411*'Emission Factors'!$G$53</f>
        <v>0</v>
      </c>
      <c r="L1438" s="518">
        <f ca="1">L1411*'Emission Factors'!$G$53</f>
        <v>0</v>
      </c>
      <c r="M1438" s="518"/>
      <c r="N1438" s="518">
        <f ca="1">N1411*'Emission Factors'!$G$53</f>
        <v>0</v>
      </c>
      <c r="O1438" s="518">
        <f ca="1">O1411*'Emission Factors'!$G$53</f>
        <v>0</v>
      </c>
      <c r="P1438" s="518">
        <f ca="1">P1411*'Emission Factors'!$G$53</f>
        <v>0</v>
      </c>
      <c r="Q1438" s="1788">
        <f ca="1">Q1411*'Emission Factors'!$G$53</f>
        <v>1656.3975765841456</v>
      </c>
      <c r="R1438" s="518"/>
      <c r="S1438" s="892"/>
      <c r="T1438" s="341"/>
      <c r="U1438" s="341"/>
      <c r="V1438" s="341"/>
      <c r="W1438" s="341"/>
      <c r="X1438" s="341"/>
      <c r="Y1438" s="341"/>
      <c r="Z1438" s="341"/>
      <c r="AA1438" s="341"/>
      <c r="AB1438" s="341"/>
      <c r="AC1438" s="341"/>
      <c r="AD1438" s="341"/>
      <c r="AE1438" s="341"/>
      <c r="AF1438" s="341"/>
    </row>
    <row r="1439" spans="1:32" ht="18.75" customHeight="1" x14ac:dyDescent="0.2">
      <c r="A1439" s="341"/>
      <c r="B1439" s="345"/>
      <c r="C1439" s="1792" t="s">
        <v>1023</v>
      </c>
      <c r="D1439" s="518"/>
      <c r="E1439" s="518"/>
      <c r="F1439" s="518"/>
      <c r="G1439" s="518"/>
      <c r="H1439" s="518"/>
      <c r="I1439" s="518"/>
      <c r="J1439" s="518"/>
      <c r="K1439" s="518"/>
      <c r="L1439" s="518"/>
      <c r="M1439" s="518"/>
      <c r="N1439" s="518"/>
      <c r="O1439" s="518"/>
      <c r="P1439" s="518"/>
      <c r="Q1439" s="1788"/>
      <c r="R1439" s="518"/>
      <c r="S1439" s="892"/>
      <c r="T1439" s="341"/>
      <c r="U1439" s="341"/>
      <c r="V1439" s="341"/>
      <c r="W1439" s="341"/>
      <c r="X1439" s="341"/>
      <c r="Y1439" s="341"/>
      <c r="Z1439" s="341"/>
      <c r="AA1439" s="341"/>
      <c r="AB1439" s="341"/>
      <c r="AC1439" s="341"/>
      <c r="AD1439" s="341"/>
      <c r="AE1439" s="341"/>
      <c r="AF1439" s="341"/>
    </row>
    <row r="1440" spans="1:32" ht="18.75" customHeight="1" x14ac:dyDescent="0.2">
      <c r="A1440" s="341"/>
      <c r="B1440" s="345"/>
      <c r="C1440" s="1792" t="s">
        <v>971</v>
      </c>
      <c r="D1440" s="518">
        <f ca="1">D1413*('Emission Factors'!$J$218+'Emission Factors'!$K$218)</f>
        <v>4019.7741412960918</v>
      </c>
      <c r="E1440" s="518">
        <f ca="1">E1413*('Emission Factors'!$J$218+'Emission Factors'!$K$218)</f>
        <v>1960.3727044191896</v>
      </c>
      <c r="F1440" s="518">
        <f ca="1">F1413*('Emission Factors'!$J$218+'Emission Factors'!$K$218)</f>
        <v>924.20118604006962</v>
      </c>
      <c r="G1440" s="518">
        <f ca="1">G1413*('Emission Factors'!$J$218+'Emission Factors'!$K$218)</f>
        <v>0</v>
      </c>
      <c r="H1440" s="518">
        <f ca="1">H1413*('Emission Factors'!$J$218+'Emission Factors'!$K$218)</f>
        <v>0</v>
      </c>
      <c r="I1440" s="518">
        <f ca="1">I1413*('Emission Factors'!$J$218+'Emission Factors'!$K$218)</f>
        <v>0</v>
      </c>
      <c r="J1440" s="518">
        <f ca="1">J1413*('Emission Factors'!$J$218+'Emission Factors'!$K$218)</f>
        <v>0</v>
      </c>
      <c r="K1440" s="518">
        <f ca="1">K1413*('Emission Factors'!$J$218+'Emission Factors'!$K$218)</f>
        <v>0</v>
      </c>
      <c r="L1440" s="518">
        <f ca="1">L1413*('Emission Factors'!$J$218+'Emission Factors'!$K$218)</f>
        <v>0</v>
      </c>
      <c r="M1440" s="518">
        <f ca="1">M1413*('Emission Factors'!$J$218+'Emission Factors'!$K$218)</f>
        <v>0</v>
      </c>
      <c r="N1440" s="518">
        <f ca="1">N1413*('Emission Factors'!$J$218+'Emission Factors'!$K$218)</f>
        <v>0</v>
      </c>
      <c r="O1440" s="518">
        <f ca="1">O1413*('Emission Factors'!$J$218+'Emission Factors'!$K$218)</f>
        <v>0</v>
      </c>
      <c r="P1440" s="518">
        <f ca="1">P1413*('Emission Factors'!$J$218+'Emission Factors'!$K$218)</f>
        <v>0</v>
      </c>
      <c r="Q1440" s="1788">
        <f ca="1">Q1413*('Emission Factors'!$J$218+'Emission Factors'!$K$218)</f>
        <v>6904.3480317553513</v>
      </c>
      <c r="R1440" s="518"/>
      <c r="S1440" s="892"/>
      <c r="T1440" s="341"/>
      <c r="U1440" s="341"/>
      <c r="V1440" s="341"/>
      <c r="W1440" s="341"/>
      <c r="X1440" s="341"/>
      <c r="Y1440" s="341"/>
      <c r="Z1440" s="341"/>
      <c r="AA1440" s="341"/>
      <c r="AB1440" s="341"/>
      <c r="AC1440" s="341"/>
      <c r="AD1440" s="341"/>
      <c r="AE1440" s="341"/>
      <c r="AF1440" s="341"/>
    </row>
    <row r="1441" spans="1:32" ht="18.75" customHeight="1" x14ac:dyDescent="0.2">
      <c r="A1441" s="341"/>
      <c r="B1441" s="345"/>
      <c r="C1441" s="1792" t="s">
        <v>90</v>
      </c>
      <c r="D1441" s="518">
        <f ca="1">D1414*('Emission Factors'!$J$76+'Emission Factors'!$K$76)</f>
        <v>3862.5853429737485</v>
      </c>
      <c r="E1441" s="518">
        <f ca="1">E1414*('Emission Factors'!$J$76+'Emission Factors'!$K$76)</f>
        <v>1883.7145094957743</v>
      </c>
      <c r="F1441" s="518">
        <f ca="1">F1414*('Emission Factors'!$J$76+'Emission Factors'!$K$76)</f>
        <v>888.06132625310067</v>
      </c>
      <c r="G1441" s="518">
        <f ca="1">G1414*('Emission Factors'!$J$76+'Emission Factors'!$K$76)</f>
        <v>0</v>
      </c>
      <c r="H1441" s="518">
        <f ca="1">H1414*('Emission Factors'!$J$76+'Emission Factors'!$K$76)</f>
        <v>0</v>
      </c>
      <c r="I1441" s="518">
        <f ca="1">I1414*('Emission Factors'!$J$76+'Emission Factors'!$K$76)</f>
        <v>0</v>
      </c>
      <c r="J1441" s="518">
        <f ca="1">J1414*('Emission Factors'!$J$76+'Emission Factors'!$K$76)</f>
        <v>0</v>
      </c>
      <c r="K1441" s="518">
        <f ca="1">K1414*('Emission Factors'!$J$76+'Emission Factors'!$K$76)</f>
        <v>0</v>
      </c>
      <c r="L1441" s="518">
        <f ca="1">L1414*('Emission Factors'!$J$76+'Emission Factors'!$K$76)</f>
        <v>0</v>
      </c>
      <c r="M1441" s="518">
        <f ca="1">M1414*('Emission Factors'!$J$76+'Emission Factors'!$K$76)</f>
        <v>0</v>
      </c>
      <c r="N1441" s="518">
        <f ca="1">N1414*('Emission Factors'!$J$76+'Emission Factors'!$K$76)</f>
        <v>0</v>
      </c>
      <c r="O1441" s="518">
        <f ca="1">O1414*('Emission Factors'!$J$76+'Emission Factors'!$K$76)</f>
        <v>0</v>
      </c>
      <c r="P1441" s="518">
        <f ca="1">P1414*('Emission Factors'!$J$76+'Emission Factors'!$K$76)</f>
        <v>0</v>
      </c>
      <c r="Q1441" s="1788">
        <f ca="1">Q1414*('Emission Factors'!$J$76+'Emission Factors'!$K$76)</f>
        <v>6634.3611787226237</v>
      </c>
      <c r="R1441" s="518"/>
      <c r="S1441" s="892"/>
      <c r="T1441" s="341"/>
      <c r="U1441" s="341"/>
      <c r="V1441" s="341"/>
      <c r="W1441" s="341"/>
      <c r="X1441" s="341"/>
      <c r="Y1441" s="341"/>
      <c r="Z1441" s="341"/>
      <c r="AA1441" s="341"/>
      <c r="AB1441" s="341"/>
      <c r="AC1441" s="341"/>
      <c r="AD1441" s="341"/>
      <c r="AE1441" s="341"/>
      <c r="AF1441" s="341"/>
    </row>
    <row r="1442" spans="1:32" ht="18.75" customHeight="1" x14ac:dyDescent="0.2">
      <c r="A1442" s="341"/>
      <c r="B1442" s="345"/>
      <c r="C1442" s="1792" t="s">
        <v>485</v>
      </c>
      <c r="D1442" s="518"/>
      <c r="E1442" s="518"/>
      <c r="F1442" s="518"/>
      <c r="G1442" s="518"/>
      <c r="H1442" s="518"/>
      <c r="I1442" s="518"/>
      <c r="J1442" s="518"/>
      <c r="K1442" s="518"/>
      <c r="L1442" s="518"/>
      <c r="M1442" s="518"/>
      <c r="N1442" s="518"/>
      <c r="O1442" s="518"/>
      <c r="P1442" s="518"/>
      <c r="Q1442" s="1788"/>
      <c r="R1442" s="518"/>
      <c r="S1442" s="892"/>
      <c r="T1442" s="341"/>
      <c r="U1442" s="341"/>
      <c r="V1442" s="341"/>
      <c r="W1442" s="341"/>
      <c r="X1442" s="341"/>
      <c r="Y1442" s="341"/>
      <c r="Z1442" s="341"/>
      <c r="AA1442" s="341"/>
      <c r="AB1442" s="341"/>
      <c r="AC1442" s="341"/>
      <c r="AD1442" s="341"/>
      <c r="AE1442" s="341"/>
      <c r="AF1442" s="341"/>
    </row>
    <row r="1443" spans="1:32" ht="18.75" customHeight="1" x14ac:dyDescent="0.2">
      <c r="A1443" s="341"/>
      <c r="B1443" s="345"/>
      <c r="C1443" s="1792" t="s">
        <v>971</v>
      </c>
      <c r="D1443" s="518">
        <f ca="1">D1416*('Emission Factors'!$J$218+'Emission Factors'!$K$218)</f>
        <v>0</v>
      </c>
      <c r="E1443" s="518">
        <f ca="1">E1416*('Emission Factors'!$J$218+'Emission Factors'!$K$218)</f>
        <v>0</v>
      </c>
      <c r="F1443" s="518">
        <f ca="1">F1416*('Emission Factors'!$J$218+'Emission Factors'!$K$218)</f>
        <v>0</v>
      </c>
      <c r="G1443" s="518">
        <f ca="1">G1416*('Emission Factors'!$J$218+'Emission Factors'!$K$218)</f>
        <v>0</v>
      </c>
      <c r="H1443" s="518">
        <f ca="1">H1416*('Emission Factors'!$J$218+'Emission Factors'!$K$218)</f>
        <v>0</v>
      </c>
      <c r="I1443" s="518">
        <f ca="1">I1416*('Emission Factors'!$J$218+'Emission Factors'!$K$218)</f>
        <v>0</v>
      </c>
      <c r="J1443" s="518">
        <f ca="1">J1416*('Emission Factors'!$J$218+'Emission Factors'!$K$218)</f>
        <v>0</v>
      </c>
      <c r="K1443" s="518">
        <f ca="1">K1416*('Emission Factors'!$J$218+'Emission Factors'!$K$218)</f>
        <v>0</v>
      </c>
      <c r="L1443" s="518">
        <f ca="1">L1416*('Emission Factors'!$J$218+'Emission Factors'!$K$218)</f>
        <v>0</v>
      </c>
      <c r="M1443" s="518">
        <f ca="1">M1416*('Emission Factors'!$J$218+'Emission Factors'!$K$218)</f>
        <v>0</v>
      </c>
      <c r="N1443" s="518">
        <f ca="1">N1416*('Emission Factors'!$J$218+'Emission Factors'!$K$218)</f>
        <v>0</v>
      </c>
      <c r="O1443" s="518">
        <f ca="1">O1416*('Emission Factors'!$J$218+'Emission Factors'!$K$218)</f>
        <v>0</v>
      </c>
      <c r="P1443" s="518">
        <f ca="1">P1416*('Emission Factors'!$J$218+'Emission Factors'!$K$218)</f>
        <v>0</v>
      </c>
      <c r="Q1443" s="1788">
        <f ca="1">Q1416*('Emission Factors'!$J$218+'Emission Factors'!$K$218)</f>
        <v>0</v>
      </c>
      <c r="R1443" s="518"/>
      <c r="S1443" s="892"/>
      <c r="T1443" s="341"/>
      <c r="U1443" s="341"/>
      <c r="V1443" s="341"/>
      <c r="W1443" s="341"/>
      <c r="X1443" s="341"/>
      <c r="Y1443" s="341"/>
      <c r="Z1443" s="341"/>
      <c r="AA1443" s="341"/>
      <c r="AB1443" s="341"/>
      <c r="AC1443" s="341"/>
      <c r="AD1443" s="341"/>
      <c r="AE1443" s="341"/>
      <c r="AF1443" s="341"/>
    </row>
    <row r="1444" spans="1:32" ht="18.75" customHeight="1" x14ac:dyDescent="0.2">
      <c r="A1444" s="341"/>
      <c r="B1444" s="345"/>
      <c r="C1444" s="1792" t="s">
        <v>90</v>
      </c>
      <c r="D1444" s="518">
        <f ca="1">D1417*('Emission Factors'!$J$76+'Emission Factors'!$K$76)</f>
        <v>987.0419055136864</v>
      </c>
      <c r="E1444" s="518">
        <f ca="1">E1417*('Emission Factors'!$J$76+'Emission Factors'!$K$76)</f>
        <v>464.85103137945219</v>
      </c>
      <c r="F1444" s="518">
        <f ca="1">F1417*('Emission Factors'!$J$76+'Emission Factors'!$K$76)</f>
        <v>211.18871165527403</v>
      </c>
      <c r="G1444" s="518">
        <f ca="1">G1417*('Emission Factors'!$J$76+'Emission Factors'!$K$76)</f>
        <v>0</v>
      </c>
      <c r="H1444" s="518">
        <f ca="1">H1417*('Emission Factors'!$J$76+'Emission Factors'!$K$76)</f>
        <v>0</v>
      </c>
      <c r="I1444" s="518">
        <f ca="1">I1417*('Emission Factors'!$J$76+'Emission Factors'!$K$76)</f>
        <v>0</v>
      </c>
      <c r="J1444" s="518">
        <f ca="1">J1417*('Emission Factors'!$J$76+'Emission Factors'!$K$76)</f>
        <v>0</v>
      </c>
      <c r="K1444" s="518">
        <f ca="1">K1417*('Emission Factors'!$J$76+'Emission Factors'!$K$76)</f>
        <v>0</v>
      </c>
      <c r="L1444" s="518">
        <f ca="1">L1417*('Emission Factors'!$J$76+'Emission Factors'!$K$76)</f>
        <v>0</v>
      </c>
      <c r="M1444" s="518">
        <f ca="1">M1417*('Emission Factors'!$J$76+'Emission Factors'!$K$76)</f>
        <v>0</v>
      </c>
      <c r="N1444" s="518">
        <f ca="1">N1417*('Emission Factors'!$J$76+'Emission Factors'!$K$76)</f>
        <v>0</v>
      </c>
      <c r="O1444" s="518">
        <f ca="1">O1417*('Emission Factors'!$J$76+'Emission Factors'!$K$76)</f>
        <v>0</v>
      </c>
      <c r="P1444" s="518">
        <f ca="1">P1417*('Emission Factors'!$J$76+'Emission Factors'!$K$76)</f>
        <v>0</v>
      </c>
      <c r="Q1444" s="1788">
        <f ca="1">Q1417*('Emission Factors'!$J$76+'Emission Factors'!$K$76)</f>
        <v>1663.0816485484127</v>
      </c>
      <c r="R1444" s="518"/>
      <c r="S1444" s="892"/>
      <c r="T1444" s="341"/>
      <c r="U1444" s="341"/>
      <c r="V1444" s="341"/>
      <c r="W1444" s="341"/>
      <c r="X1444" s="341"/>
      <c r="Y1444" s="341"/>
      <c r="Z1444" s="341"/>
      <c r="AA1444" s="341"/>
      <c r="AB1444" s="341"/>
      <c r="AC1444" s="341"/>
      <c r="AD1444" s="341"/>
      <c r="AE1444" s="341"/>
      <c r="AF1444" s="341"/>
    </row>
    <row r="1445" spans="1:32" ht="18.75" customHeight="1" x14ac:dyDescent="0.2">
      <c r="A1445" s="341"/>
      <c r="B1445" s="345"/>
      <c r="C1445" s="1792" t="s">
        <v>392</v>
      </c>
      <c r="D1445" s="518">
        <f ca="1">D1418*'Emission Factors'!$G$53</f>
        <v>11.22163286810059</v>
      </c>
      <c r="E1445" s="518">
        <f ca="1">E1418*'Emission Factors'!$G$53</f>
        <v>5.2848694501814029</v>
      </c>
      <c r="F1445" s="518">
        <f ca="1">F1418*'Emission Factors'!$G$53</f>
        <v>2.4009945016967476</v>
      </c>
      <c r="G1445" s="518">
        <f ca="1">G1418*'Emission Factors'!$G$53</f>
        <v>0</v>
      </c>
      <c r="H1445" s="518">
        <f ca="1">H1418*'Emission Factors'!$G$53</f>
        <v>0</v>
      </c>
      <c r="I1445" s="518">
        <f ca="1">I1418*'Emission Factors'!$G$53</f>
        <v>0</v>
      </c>
      <c r="J1445" s="518">
        <f ca="1">J1418*'Emission Factors'!$G$53</f>
        <v>0</v>
      </c>
      <c r="K1445" s="518">
        <f ca="1">K1418*'Emission Factors'!$G$53</f>
        <v>0</v>
      </c>
      <c r="L1445" s="518">
        <f ca="1">L1418*'Emission Factors'!$G$53</f>
        <v>0</v>
      </c>
      <c r="M1445" s="518">
        <f ca="1">M1418*'Emission Factors'!$G$53</f>
        <v>0</v>
      </c>
      <c r="N1445" s="518">
        <f ca="1">N1418*'Emission Factors'!$G$53</f>
        <v>0</v>
      </c>
      <c r="O1445" s="518">
        <f ca="1">O1418*'Emission Factors'!$G$53</f>
        <v>0</v>
      </c>
      <c r="P1445" s="518">
        <f ca="1">P1418*'Emission Factors'!$G$53</f>
        <v>0</v>
      </c>
      <c r="Q1445" s="1788">
        <f ca="1">Q1418*'Emission Factors'!$G$53</f>
        <v>18.907496819978743</v>
      </c>
      <c r="R1445" s="518"/>
      <c r="S1445" s="892"/>
      <c r="T1445" s="341"/>
      <c r="U1445" s="341"/>
      <c r="V1445" s="341"/>
      <c r="W1445" s="341"/>
      <c r="X1445" s="341"/>
      <c r="Y1445" s="341"/>
      <c r="Z1445" s="341"/>
      <c r="AA1445" s="341"/>
      <c r="AB1445" s="341"/>
      <c r="AC1445" s="341"/>
      <c r="AD1445" s="341"/>
      <c r="AE1445" s="341"/>
      <c r="AF1445" s="341"/>
    </row>
    <row r="1446" spans="1:32" ht="18.75" customHeight="1" x14ac:dyDescent="0.2">
      <c r="A1446" s="341"/>
      <c r="B1446" s="345"/>
      <c r="C1446" s="1792" t="s">
        <v>1027</v>
      </c>
      <c r="D1446" s="518"/>
      <c r="E1446" s="518"/>
      <c r="F1446" s="518"/>
      <c r="G1446" s="518"/>
      <c r="H1446" s="518"/>
      <c r="I1446" s="518"/>
      <c r="J1446" s="518"/>
      <c r="K1446" s="518"/>
      <c r="L1446" s="518"/>
      <c r="M1446" s="518"/>
      <c r="N1446" s="518"/>
      <c r="O1446" s="518"/>
      <c r="P1446" s="518"/>
      <c r="Q1446" s="1788"/>
      <c r="R1446" s="518"/>
      <c r="S1446" s="892"/>
      <c r="T1446" s="341"/>
      <c r="U1446" s="341"/>
      <c r="V1446" s="341"/>
      <c r="W1446" s="341"/>
      <c r="X1446" s="341"/>
      <c r="Y1446" s="341"/>
      <c r="Z1446" s="341"/>
      <c r="AA1446" s="341"/>
      <c r="AB1446" s="341"/>
      <c r="AC1446" s="341"/>
      <c r="AD1446" s="341"/>
      <c r="AE1446" s="341"/>
      <c r="AF1446" s="341"/>
    </row>
    <row r="1447" spans="1:32" ht="18.75" customHeight="1" x14ac:dyDescent="0.2">
      <c r="A1447" s="341"/>
      <c r="B1447" s="345"/>
      <c r="C1447" s="1792" t="s">
        <v>1036</v>
      </c>
      <c r="D1447" s="518">
        <f ca="1">D1420*('Emission Factors'!$J$218+'Emission Factors'!$K$218)</f>
        <v>0</v>
      </c>
      <c r="E1447" s="518">
        <f ca="1">E1420*('Emission Factors'!$J$218+'Emission Factors'!$K$218)</f>
        <v>0</v>
      </c>
      <c r="F1447" s="518">
        <f ca="1">F1420*('Emission Factors'!$J$218+'Emission Factors'!$K$218)</f>
        <v>0</v>
      </c>
      <c r="G1447" s="518">
        <f ca="1">G1420*('Emission Factors'!$J$218+'Emission Factors'!$K$218)</f>
        <v>0</v>
      </c>
      <c r="H1447" s="518">
        <f ca="1">H1420*('Emission Factors'!$J$218+'Emission Factors'!$K$218)</f>
        <v>0</v>
      </c>
      <c r="I1447" s="518">
        <f ca="1">I1420*('Emission Factors'!$J$218+'Emission Factors'!$K$218)</f>
        <v>0</v>
      </c>
      <c r="J1447" s="518">
        <f ca="1">J1420*('Emission Factors'!$J$218+'Emission Factors'!$K$218)</f>
        <v>0</v>
      </c>
      <c r="K1447" s="518">
        <f ca="1">K1420*('Emission Factors'!$J$218+'Emission Factors'!$K$218)</f>
        <v>0</v>
      </c>
      <c r="L1447" s="518">
        <f ca="1">L1420*('Emission Factors'!$J$218+'Emission Factors'!$K$218)</f>
        <v>0</v>
      </c>
      <c r="M1447" s="518">
        <f ca="1">M1420*('Emission Factors'!$J$218+'Emission Factors'!$K$218)</f>
        <v>0</v>
      </c>
      <c r="N1447" s="518">
        <f ca="1">N1420*('Emission Factors'!$J$218+'Emission Factors'!$K$218)</f>
        <v>0</v>
      </c>
      <c r="O1447" s="518">
        <f ca="1">O1420*('Emission Factors'!$J$218+'Emission Factors'!$K$218)</f>
        <v>0</v>
      </c>
      <c r="P1447" s="518">
        <f ca="1">P1420*('Emission Factors'!$J$218+'Emission Factors'!$K$218)</f>
        <v>0</v>
      </c>
      <c r="Q1447" s="1788">
        <f ca="1">Q1420*('Emission Factors'!$J$218+'Emission Factors'!$K$218)</f>
        <v>0</v>
      </c>
      <c r="R1447" s="518"/>
      <c r="S1447" s="892"/>
      <c r="T1447" s="341"/>
      <c r="U1447" s="341"/>
      <c r="V1447" s="341"/>
      <c r="W1447" s="341"/>
      <c r="X1447" s="341"/>
      <c r="Y1447" s="341"/>
      <c r="Z1447" s="341"/>
      <c r="AA1447" s="341"/>
      <c r="AB1447" s="341"/>
      <c r="AC1447" s="341"/>
      <c r="AD1447" s="341"/>
      <c r="AE1447" s="341"/>
      <c r="AF1447" s="341"/>
    </row>
    <row r="1448" spans="1:32" ht="18.75" customHeight="1" x14ac:dyDescent="0.2">
      <c r="A1448" s="341"/>
      <c r="B1448" s="345"/>
      <c r="C1448" s="1792" t="s">
        <v>1037</v>
      </c>
      <c r="D1448" s="518">
        <f ca="1">D1421*('Emission Factors'!$J$76+'Emission Factors'!$K$76)</f>
        <v>0</v>
      </c>
      <c r="E1448" s="518">
        <f ca="1">E1421*('Emission Factors'!$J$76+'Emission Factors'!$K$76)</f>
        <v>0</v>
      </c>
      <c r="F1448" s="518">
        <f ca="1">F1421*('Emission Factors'!$J$76+'Emission Factors'!$K$76)</f>
        <v>0</v>
      </c>
      <c r="G1448" s="518">
        <f ca="1">G1421*('Emission Factors'!$J$76+'Emission Factors'!$K$76)</f>
        <v>0</v>
      </c>
      <c r="H1448" s="518">
        <f ca="1">H1421*('Emission Factors'!$J$76+'Emission Factors'!$K$76)</f>
        <v>0</v>
      </c>
      <c r="I1448" s="518">
        <f ca="1">I1421*('Emission Factors'!$J$76+'Emission Factors'!$K$76)</f>
        <v>0</v>
      </c>
      <c r="J1448" s="518">
        <f ca="1">J1421*('Emission Factors'!$J$76+'Emission Factors'!$K$76)</f>
        <v>0</v>
      </c>
      <c r="K1448" s="518">
        <f ca="1">K1421*('Emission Factors'!$J$76+'Emission Factors'!$K$76)</f>
        <v>0</v>
      </c>
      <c r="L1448" s="518">
        <f ca="1">L1421*('Emission Factors'!$J$76+'Emission Factors'!$K$76)</f>
        <v>0</v>
      </c>
      <c r="M1448" s="518">
        <f ca="1">M1421*('Emission Factors'!$J$76+'Emission Factors'!$K$76)</f>
        <v>0</v>
      </c>
      <c r="N1448" s="518">
        <f ca="1">N1421*('Emission Factors'!$J$76+'Emission Factors'!$K$76)</f>
        <v>0</v>
      </c>
      <c r="O1448" s="518">
        <f ca="1">O1421*('Emission Factors'!$J$76+'Emission Factors'!$K$76)</f>
        <v>0</v>
      </c>
      <c r="P1448" s="518">
        <f ca="1">P1421*('Emission Factors'!$J$76+'Emission Factors'!$K$76)</f>
        <v>0</v>
      </c>
      <c r="Q1448" s="1788">
        <f ca="1">Q1421*('Emission Factors'!$J$76+'Emission Factors'!$K$76)</f>
        <v>0</v>
      </c>
      <c r="R1448" s="518"/>
      <c r="S1448" s="892"/>
      <c r="T1448" s="341"/>
      <c r="U1448" s="341"/>
      <c r="V1448" s="341"/>
      <c r="W1448" s="341"/>
      <c r="X1448" s="341"/>
      <c r="Y1448" s="341"/>
      <c r="Z1448" s="341"/>
      <c r="AA1448" s="341"/>
      <c r="AB1448" s="341"/>
      <c r="AC1448" s="341"/>
      <c r="AD1448" s="341"/>
      <c r="AE1448" s="341"/>
      <c r="AF1448" s="341"/>
    </row>
    <row r="1449" spans="1:32" ht="18.75" customHeight="1" x14ac:dyDescent="0.2">
      <c r="A1449" s="341"/>
      <c r="B1449" s="345"/>
      <c r="C1449" s="1792" t="s">
        <v>1034</v>
      </c>
      <c r="D1449" s="518">
        <f ca="1">D1422*'Emission Factors'!$G$53</f>
        <v>35.980635342861298</v>
      </c>
      <c r="E1449" s="518">
        <f ca="1">E1422*'Emission Factors'!$G$53</f>
        <v>10.942890404561702</v>
      </c>
      <c r="F1449" s="518">
        <f ca="1">F1422*'Emission Factors'!$G$53</f>
        <v>5.8410817332844127</v>
      </c>
      <c r="G1449" s="518">
        <f ca="1">G1422*'Emission Factors'!$G$53</f>
        <v>0</v>
      </c>
      <c r="H1449" s="518">
        <f ca="1">H1422*'Emission Factors'!$G$53</f>
        <v>0</v>
      </c>
      <c r="I1449" s="518">
        <f ca="1">I1422*'Emission Factors'!$G$53</f>
        <v>0</v>
      </c>
      <c r="J1449" s="518">
        <f ca="1">J1422*'Emission Factors'!$G$53</f>
        <v>0</v>
      </c>
      <c r="K1449" s="518">
        <f ca="1">K1422*'Emission Factors'!$G$53</f>
        <v>0</v>
      </c>
      <c r="L1449" s="518">
        <f ca="1">L1422*'Emission Factors'!$G$53</f>
        <v>0</v>
      </c>
      <c r="M1449" s="518">
        <f ca="1">M1422*'Emission Factors'!$G$53</f>
        <v>0</v>
      </c>
      <c r="N1449" s="518">
        <f ca="1">N1422*'Emission Factors'!$G$53</f>
        <v>0</v>
      </c>
      <c r="O1449" s="518">
        <f ca="1">O1422*'Emission Factors'!$G$53</f>
        <v>0</v>
      </c>
      <c r="P1449" s="518">
        <f ca="1">P1422*'Emission Factors'!$G$53</f>
        <v>0</v>
      </c>
      <c r="Q1449" s="1788">
        <f ca="1">Q1422*'Emission Factors'!$G$53</f>
        <v>52.764607480707411</v>
      </c>
      <c r="R1449" s="518"/>
      <c r="S1449" s="892"/>
      <c r="T1449" s="341"/>
      <c r="U1449" s="341"/>
      <c r="V1449" s="341"/>
      <c r="W1449" s="341"/>
      <c r="X1449" s="341"/>
      <c r="Y1449" s="341"/>
      <c r="Z1449" s="341"/>
      <c r="AA1449" s="341"/>
      <c r="AB1449" s="341"/>
      <c r="AC1449" s="341"/>
      <c r="AD1449" s="341"/>
      <c r="AE1449" s="341"/>
      <c r="AF1449" s="341"/>
    </row>
    <row r="1450" spans="1:32" ht="18.75" customHeight="1" x14ac:dyDescent="0.2">
      <c r="A1450" s="341"/>
      <c r="B1450" s="1824"/>
      <c r="C1450" s="1792" t="s">
        <v>1028</v>
      </c>
      <c r="D1450" s="518">
        <f ca="1">D1423*('Emission Factors'!$J$218+'Emission Factors'!$K$218)</f>
        <v>0</v>
      </c>
      <c r="E1450" s="518">
        <f ca="1">E1423*('Emission Factors'!$J$218+'Emission Factors'!$K$218)</f>
        <v>0</v>
      </c>
      <c r="F1450" s="518">
        <f ca="1">F1423*('Emission Factors'!$J$218+'Emission Factors'!$K$218)</f>
        <v>0</v>
      </c>
      <c r="G1450" s="518">
        <f ca="1">G1423*('Emission Factors'!$J$218+'Emission Factors'!$K$218)</f>
        <v>0</v>
      </c>
      <c r="H1450" s="518">
        <f ca="1">H1423*('Emission Factors'!$J$218+'Emission Factors'!$K$218)</f>
        <v>0</v>
      </c>
      <c r="I1450" s="518">
        <f ca="1">I1423*('Emission Factors'!$J$218+'Emission Factors'!$K$218)</f>
        <v>0</v>
      </c>
      <c r="J1450" s="518">
        <f ca="1">J1423*('Emission Factors'!$J$218+'Emission Factors'!$K$218)</f>
        <v>0</v>
      </c>
      <c r="K1450" s="518">
        <f ca="1">K1423*('Emission Factors'!$J$218+'Emission Factors'!$K$218)</f>
        <v>0</v>
      </c>
      <c r="L1450" s="518">
        <f ca="1">L1423*('Emission Factors'!$J$218+'Emission Factors'!$K$218)</f>
        <v>0</v>
      </c>
      <c r="M1450" s="518">
        <f ca="1">M1423*('Emission Factors'!$J$218+'Emission Factors'!$K$218)</f>
        <v>0</v>
      </c>
      <c r="N1450" s="518">
        <f ca="1">N1423*('Emission Factors'!$J$218+'Emission Factors'!$K$218)</f>
        <v>0</v>
      </c>
      <c r="O1450" s="518">
        <f ca="1">O1423*('Emission Factors'!$J$218+'Emission Factors'!$K$218)</f>
        <v>0</v>
      </c>
      <c r="P1450" s="518">
        <f ca="1">P1423*('Emission Factors'!$J$218+'Emission Factors'!$K$218)</f>
        <v>0</v>
      </c>
      <c r="Q1450" s="1788">
        <f ca="1">Q1423*('Emission Factors'!$J$218+'Emission Factors'!$K$218)</f>
        <v>0</v>
      </c>
      <c r="R1450" s="518"/>
      <c r="S1450" s="892"/>
      <c r="T1450" s="341"/>
      <c r="U1450" s="341"/>
      <c r="V1450" s="341"/>
      <c r="W1450" s="341"/>
      <c r="X1450" s="341"/>
      <c r="Y1450" s="341"/>
      <c r="Z1450" s="341"/>
      <c r="AA1450" s="341"/>
      <c r="AB1450" s="341"/>
      <c r="AC1450" s="341"/>
      <c r="AD1450" s="341"/>
      <c r="AE1450" s="341"/>
      <c r="AF1450" s="341"/>
    </row>
    <row r="1451" spans="1:32" ht="18.75" customHeight="1" x14ac:dyDescent="0.2">
      <c r="A1451" s="341"/>
      <c r="B1451" s="345"/>
      <c r="C1451" s="1792" t="s">
        <v>1029</v>
      </c>
      <c r="D1451" s="518">
        <f ca="1">D1424*('Emission Factors'!$J$76+'Emission Factors'!$K$76)</f>
        <v>1394.1311469517559</v>
      </c>
      <c r="E1451" s="518">
        <f ca="1">E1424*('Emission Factors'!$J$76+'Emission Factors'!$K$76)</f>
        <v>424.00097178122195</v>
      </c>
      <c r="F1451" s="518">
        <f ca="1">F1424*('Emission Factors'!$J$76+'Emission Factors'!$K$76)</f>
        <v>226.32268437356535</v>
      </c>
      <c r="G1451" s="518">
        <f ca="1">G1424*('Emission Factors'!$J$76+'Emission Factors'!$K$76)</f>
        <v>0</v>
      </c>
      <c r="H1451" s="518">
        <f ca="1">H1424*('Emission Factors'!$J$76+'Emission Factors'!$K$76)</f>
        <v>0</v>
      </c>
      <c r="I1451" s="518">
        <f ca="1">I1424*('Emission Factors'!$J$76+'Emission Factors'!$K$76)</f>
        <v>0</v>
      </c>
      <c r="J1451" s="518">
        <f ca="1">J1424*('Emission Factors'!$J$76+'Emission Factors'!$K$76)</f>
        <v>0</v>
      </c>
      <c r="K1451" s="518">
        <f ca="1">K1424*('Emission Factors'!$J$76+'Emission Factors'!$K$76)</f>
        <v>0</v>
      </c>
      <c r="L1451" s="518">
        <f ca="1">L1424*('Emission Factors'!$J$76+'Emission Factors'!$K$76)</f>
        <v>0</v>
      </c>
      <c r="M1451" s="518">
        <f ca="1">M1424*('Emission Factors'!$J$76+'Emission Factors'!$K$76)</f>
        <v>0</v>
      </c>
      <c r="N1451" s="518">
        <f ca="1">N1424*('Emission Factors'!$J$76+'Emission Factors'!$K$76)</f>
        <v>0</v>
      </c>
      <c r="O1451" s="518">
        <f ca="1">O1424*('Emission Factors'!$J$76+'Emission Factors'!$K$76)</f>
        <v>0</v>
      </c>
      <c r="P1451" s="518">
        <f ca="1">P1424*('Emission Factors'!$J$76+'Emission Factors'!$K$76)</f>
        <v>0</v>
      </c>
      <c r="Q1451" s="1788">
        <f ca="1">Q1424*('Emission Factors'!$J$76+'Emission Factors'!$K$76)</f>
        <v>2044.4548031065431</v>
      </c>
      <c r="R1451" s="518"/>
      <c r="S1451" s="892"/>
      <c r="T1451" s="341"/>
      <c r="U1451" s="341"/>
      <c r="V1451" s="341"/>
      <c r="W1451" s="341"/>
      <c r="X1451" s="341"/>
      <c r="Y1451" s="341"/>
      <c r="Z1451" s="341"/>
      <c r="AA1451" s="341"/>
      <c r="AB1451" s="341"/>
      <c r="AC1451" s="341"/>
      <c r="AD1451" s="341"/>
      <c r="AE1451" s="341"/>
      <c r="AF1451" s="341"/>
    </row>
    <row r="1452" spans="1:32" ht="18.75" customHeight="1" x14ac:dyDescent="0.2">
      <c r="A1452" s="341"/>
      <c r="B1452" s="345"/>
      <c r="C1452" s="1792" t="s">
        <v>1038</v>
      </c>
      <c r="D1452" s="518">
        <f ca="1">D1425*('Emission Factors'!$J$218+'Emission Factors'!$J$119)</f>
        <v>0</v>
      </c>
      <c r="E1452" s="518">
        <f ca="1">E1425*('Emission Factors'!$J$218+'Emission Factors'!$J$119)</f>
        <v>0</v>
      </c>
      <c r="F1452" s="518">
        <f ca="1">F1425*('Emission Factors'!$J$218+'Emission Factors'!$J$119)</f>
        <v>0</v>
      </c>
      <c r="G1452" s="518">
        <f ca="1">G1425*('Emission Factors'!$J$218+'Emission Factors'!$J$119)</f>
        <v>0</v>
      </c>
      <c r="H1452" s="518">
        <f ca="1">H1425*('Emission Factors'!$J$218+'Emission Factors'!$J$119)</f>
        <v>0</v>
      </c>
      <c r="I1452" s="518">
        <f ca="1">I1425*('Emission Factors'!$J$218+'Emission Factors'!$J$119)</f>
        <v>0</v>
      </c>
      <c r="J1452" s="518">
        <f ca="1">J1425*('Emission Factors'!$J$218+'Emission Factors'!$J$119)</f>
        <v>0</v>
      </c>
      <c r="K1452" s="518">
        <f ca="1">K1425*('Emission Factors'!$J$218+'Emission Factors'!$J$119)</f>
        <v>0</v>
      </c>
      <c r="L1452" s="518">
        <f ca="1">L1425*('Emission Factors'!$J$218+'Emission Factors'!$J$119)</f>
        <v>0</v>
      </c>
      <c r="M1452" s="518">
        <f ca="1">M1425*('Emission Factors'!$J$218+'Emission Factors'!$J$119)</f>
        <v>0</v>
      </c>
      <c r="N1452" s="518">
        <f ca="1">N1425*('Emission Factors'!$J$218+'Emission Factors'!$J$119)</f>
        <v>0</v>
      </c>
      <c r="O1452" s="518">
        <f ca="1">O1425*('Emission Factors'!$J$218+'Emission Factors'!$J$119)</f>
        <v>0</v>
      </c>
      <c r="P1452" s="518">
        <f ca="1">P1425*('Emission Factors'!$J$218+'Emission Factors'!$J$119)</f>
        <v>0</v>
      </c>
      <c r="Q1452" s="1788">
        <f ca="1">Q1425*('Emission Factors'!$J$218+'Emission Factors'!$J$119)</f>
        <v>0</v>
      </c>
      <c r="R1452" s="518"/>
      <c r="S1452" s="892"/>
      <c r="T1452" s="341"/>
      <c r="U1452" s="341"/>
      <c r="V1452" s="341"/>
      <c r="W1452" s="341"/>
      <c r="X1452" s="341"/>
      <c r="Y1452" s="341"/>
      <c r="Z1452" s="341"/>
      <c r="AA1452" s="341"/>
      <c r="AB1452" s="341"/>
      <c r="AC1452" s="341"/>
      <c r="AD1452" s="341"/>
      <c r="AE1452" s="341"/>
      <c r="AF1452" s="341"/>
    </row>
    <row r="1453" spans="1:32" ht="18.75" customHeight="1" x14ac:dyDescent="0.2">
      <c r="A1453" s="341"/>
      <c r="B1453" s="345"/>
      <c r="C1453" s="1792" t="s">
        <v>1039</v>
      </c>
      <c r="D1453" s="518">
        <f ca="1">D1426*('Emission Factors'!$J$76+IF('Emission Factors'!$D$105=0,0,'Emission Factors'!$F$109/'Emission Factors'!$F$105))</f>
        <v>1229.7945585596578</v>
      </c>
      <c r="E1453" s="518">
        <f ca="1">E1426*('Emission Factors'!$J$76+IF('Emission Factors'!$D$105=0,0,'Emission Factors'!$F$109/'Emission Factors'!$F$105))</f>
        <v>374.02082943248234</v>
      </c>
      <c r="F1453" s="518">
        <f ca="1">F1426*('Emission Factors'!$J$76+IF('Emission Factors'!$D$105=0,0,'Emission Factors'!$F$109/'Emission Factors'!$F$105))</f>
        <v>199.64434933527616</v>
      </c>
      <c r="G1453" s="518">
        <f ca="1">G1426*('Emission Factors'!$J$76+IF('Emission Factors'!$D$105=0,0,'Emission Factors'!$F$109/'Emission Factors'!$F$105))</f>
        <v>0</v>
      </c>
      <c r="H1453" s="518">
        <f ca="1">H1426*('Emission Factors'!$J$76+IF('Emission Factors'!$D$105=0,0,'Emission Factors'!$F$109/'Emission Factors'!$F$105))</f>
        <v>0</v>
      </c>
      <c r="I1453" s="518">
        <f ca="1">I1426*('Emission Factors'!$J$76+IF('Emission Factors'!$D$105=0,0,'Emission Factors'!$F$109/'Emission Factors'!$F$105))</f>
        <v>0</v>
      </c>
      <c r="J1453" s="518">
        <f ca="1">J1426*('Emission Factors'!$J$76+IF('Emission Factors'!$D$105=0,0,'Emission Factors'!$F$109/'Emission Factors'!$F$105))</f>
        <v>0</v>
      </c>
      <c r="K1453" s="518">
        <f ca="1">K1426*('Emission Factors'!$J$76+IF('Emission Factors'!$D$105=0,0,'Emission Factors'!$F$109/'Emission Factors'!$F$105))</f>
        <v>0</v>
      </c>
      <c r="L1453" s="518">
        <f ca="1">L1426*('Emission Factors'!$J$76+IF('Emission Factors'!$D$105=0,0,'Emission Factors'!$F$109/'Emission Factors'!$F$105))</f>
        <v>0</v>
      </c>
      <c r="M1453" s="518">
        <f ca="1">M1426*('Emission Factors'!$J$76+IF('Emission Factors'!$D$105=0,0,'Emission Factors'!$F$109/'Emission Factors'!$F$105))</f>
        <v>0</v>
      </c>
      <c r="N1453" s="518">
        <f ca="1">N1426*('Emission Factors'!$J$76+IF('Emission Factors'!$D$105=0,0,'Emission Factors'!$F$109/'Emission Factors'!$F$105))</f>
        <v>0</v>
      </c>
      <c r="O1453" s="518">
        <f ca="1">O1426*('Emission Factors'!$J$76+IF('Emission Factors'!$D$105=0,0,'Emission Factors'!$F$109/'Emission Factors'!$F$105))</f>
        <v>0</v>
      </c>
      <c r="P1453" s="518">
        <f ca="1">P1426*('Emission Factors'!$J$76+IF('Emission Factors'!$D$105=0,0,'Emission Factors'!$F$109/'Emission Factors'!$F$105))</f>
        <v>0</v>
      </c>
      <c r="Q1453" s="1788">
        <f ca="1">Q1426*('Emission Factors'!$J$76+IF('Emission Factors'!$D$105=0,0,'Emission Factors'!$F$109/'Emission Factors'!$F$105))</f>
        <v>1803.4597373274162</v>
      </c>
      <c r="R1453" s="518"/>
      <c r="S1453" s="892"/>
      <c r="T1453" s="341"/>
      <c r="U1453" s="341"/>
      <c r="V1453" s="341"/>
      <c r="W1453" s="341"/>
      <c r="X1453" s="341"/>
      <c r="Y1453" s="341"/>
      <c r="Z1453" s="341"/>
      <c r="AA1453" s="341"/>
      <c r="AB1453" s="341"/>
      <c r="AC1453" s="341"/>
      <c r="AD1453" s="341"/>
      <c r="AE1453" s="341"/>
      <c r="AF1453" s="341"/>
    </row>
    <row r="1454" spans="1:32" ht="18.75" customHeight="1" x14ac:dyDescent="0.2">
      <c r="A1454" s="341"/>
      <c r="B1454" s="345"/>
      <c r="C1454" s="1792" t="s">
        <v>1053</v>
      </c>
      <c r="D1454" s="518">
        <f ca="1">D1427*'Emission Factors'!$I$262</f>
        <v>0</v>
      </c>
      <c r="E1454" s="518">
        <f ca="1">E1427*'Emission Factors'!$I$262</f>
        <v>0</v>
      </c>
      <c r="F1454" s="518">
        <f ca="1">F1427*'Emission Factors'!$I$262</f>
        <v>0</v>
      </c>
      <c r="G1454" s="518">
        <f ca="1">G1427*'Emission Factors'!$I$262</f>
        <v>0</v>
      </c>
      <c r="H1454" s="518">
        <f ca="1">H1427*'Emission Factors'!$I$262</f>
        <v>0</v>
      </c>
      <c r="I1454" s="518">
        <f ca="1">I1427*'Emission Factors'!$I$262</f>
        <v>0</v>
      </c>
      <c r="J1454" s="518">
        <f ca="1">J1427*'Emission Factors'!$I$262</f>
        <v>0</v>
      </c>
      <c r="K1454" s="518">
        <f ca="1">K1427*'Emission Factors'!$I$262</f>
        <v>0</v>
      </c>
      <c r="L1454" s="518">
        <f ca="1">L1427*'Emission Factors'!$I$262</f>
        <v>0</v>
      </c>
      <c r="M1454" s="518">
        <f ca="1">M1427*'Emission Factors'!$I$262</f>
        <v>0</v>
      </c>
      <c r="N1454" s="518">
        <f ca="1">N1427*'Emission Factors'!$I$262</f>
        <v>0</v>
      </c>
      <c r="O1454" s="518">
        <f ca="1">O1427*'Emission Factors'!$I$262</f>
        <v>0</v>
      </c>
      <c r="P1454" s="518">
        <f ca="1">P1427*'Emission Factors'!$I$262</f>
        <v>0</v>
      </c>
      <c r="Q1454" s="1788">
        <f ca="1">Q1427*'Emission Factors'!$I$262</f>
        <v>0</v>
      </c>
      <c r="R1454" s="518"/>
      <c r="S1454" s="892"/>
      <c r="T1454" s="341"/>
      <c r="U1454" s="341"/>
      <c r="V1454" s="341"/>
      <c r="W1454" s="341"/>
      <c r="X1454" s="341"/>
      <c r="Y1454" s="341"/>
      <c r="Z1454" s="341"/>
      <c r="AA1454" s="341"/>
      <c r="AB1454" s="341"/>
      <c r="AC1454" s="341"/>
      <c r="AD1454" s="341"/>
      <c r="AE1454" s="341"/>
      <c r="AF1454" s="341"/>
    </row>
    <row r="1455" spans="1:32" ht="18.75" customHeight="1" x14ac:dyDescent="0.2">
      <c r="A1455" s="341"/>
      <c r="B1455" s="345"/>
      <c r="C1455" s="1792" t="s">
        <v>1051</v>
      </c>
      <c r="D1455" s="518">
        <f ca="1">D1428*'Emission Factors'!$E$177</f>
        <v>2.9348118393992267E-17</v>
      </c>
      <c r="E1455" s="518">
        <f ca="1">E1428*'Emission Factors'!$E$177</f>
        <v>0</v>
      </c>
      <c r="F1455" s="518">
        <f ca="1">F1428*'Emission Factors'!$E$177</f>
        <v>6.9534375403220486E-18</v>
      </c>
      <c r="G1455" s="518">
        <f ca="1">G1428*'Emission Factors'!$E$177</f>
        <v>0</v>
      </c>
      <c r="H1455" s="518">
        <f ca="1">H1428*'Emission Factors'!$E$177</f>
        <v>0</v>
      </c>
      <c r="I1455" s="518">
        <f ca="1">I1428*'Emission Factors'!$E$177</f>
        <v>0</v>
      </c>
      <c r="J1455" s="518">
        <f ca="1">J1428*'Emission Factors'!$E$177</f>
        <v>0</v>
      </c>
      <c r="K1455" s="518">
        <f ca="1">K1428*'Emission Factors'!$E$177</f>
        <v>0</v>
      </c>
      <c r="L1455" s="518">
        <f ca="1">L1428*'Emission Factors'!$E$177</f>
        <v>0</v>
      </c>
      <c r="M1455" s="518">
        <f ca="1">M1428*'Emission Factors'!$E$177</f>
        <v>0</v>
      </c>
      <c r="N1455" s="518">
        <f ca="1">N1428*'Emission Factors'!$E$177</f>
        <v>0</v>
      </c>
      <c r="O1455" s="518">
        <f ca="1">O1428*'Emission Factors'!$E$177</f>
        <v>0</v>
      </c>
      <c r="P1455" s="518">
        <f ca="1">P1428*'Emission Factors'!$E$177</f>
        <v>0</v>
      </c>
      <c r="Q1455" s="1788">
        <f ca="1">Q1428*'Emission Factors'!$E$177</f>
        <v>3.6301555934314317E-17</v>
      </c>
      <c r="R1455" s="518"/>
      <c r="S1455" s="892"/>
      <c r="T1455" s="341"/>
      <c r="U1455" s="341"/>
      <c r="V1455" s="341"/>
      <c r="W1455" s="341"/>
      <c r="X1455" s="341"/>
      <c r="Y1455" s="341"/>
      <c r="Z1455" s="341"/>
      <c r="AA1455" s="341"/>
      <c r="AB1455" s="341"/>
      <c r="AC1455" s="341"/>
      <c r="AD1455" s="341"/>
      <c r="AE1455" s="341"/>
      <c r="AF1455" s="341"/>
    </row>
    <row r="1456" spans="1:32" ht="18.75" customHeight="1" x14ac:dyDescent="0.2">
      <c r="A1456" s="341"/>
      <c r="B1456" s="345"/>
      <c r="C1456" s="1792" t="s">
        <v>976</v>
      </c>
      <c r="D1456" s="518">
        <f ca="1">D1429*('Emission Factors'!$J$218+'Emission Factors'!$K$218)</f>
        <v>0</v>
      </c>
      <c r="E1456" s="518">
        <f ca="1">E1429*('Emission Factors'!$J$218+'Emission Factors'!$K$218)</f>
        <v>0</v>
      </c>
      <c r="F1456" s="518">
        <f ca="1">F1429*('Emission Factors'!$J$218+'Emission Factors'!$K$218)</f>
        <v>0</v>
      </c>
      <c r="G1456" s="518">
        <f ca="1">G1429*('Emission Factors'!$J$218+'Emission Factors'!$K$218)</f>
        <v>0</v>
      </c>
      <c r="H1456" s="518">
        <f ca="1">H1429*('Emission Factors'!$J$218+'Emission Factors'!$K$218)</f>
        <v>0</v>
      </c>
      <c r="I1456" s="518">
        <f ca="1">I1429*('Emission Factors'!$J$218+'Emission Factors'!$K$218)</f>
        <v>0</v>
      </c>
      <c r="J1456" s="518">
        <f ca="1">J1429*('Emission Factors'!$J$218+'Emission Factors'!$K$218)</f>
        <v>0</v>
      </c>
      <c r="K1456" s="518">
        <f ca="1">K1429*('Emission Factors'!$J$218+'Emission Factors'!$K$218)</f>
        <v>0</v>
      </c>
      <c r="L1456" s="518">
        <f ca="1">L1429*('Emission Factors'!$J$218+'Emission Factors'!$K$218)</f>
        <v>0</v>
      </c>
      <c r="M1456" s="518">
        <f ca="1">M1429*('Emission Factors'!$J$218+'Emission Factors'!$K$218)</f>
        <v>0</v>
      </c>
      <c r="N1456" s="518">
        <f ca="1">N1429*('Emission Factors'!$J$218+'Emission Factors'!$K$218)</f>
        <v>0</v>
      </c>
      <c r="O1456" s="518">
        <f ca="1">O1429*('Emission Factors'!$J$218+'Emission Factors'!$K$218)</f>
        <v>0</v>
      </c>
      <c r="P1456" s="518">
        <f ca="1">P1429*('Emission Factors'!$J$218+'Emission Factors'!$K$218)</f>
        <v>0</v>
      </c>
      <c r="Q1456" s="1788">
        <f ca="1">Q1429*('Emission Factors'!$J$218+'Emission Factors'!$K$218)</f>
        <v>0</v>
      </c>
      <c r="R1456" s="518"/>
      <c r="S1456" s="892"/>
      <c r="T1456" s="341"/>
      <c r="U1456" s="341"/>
      <c r="V1456" s="341"/>
      <c r="W1456" s="341"/>
      <c r="X1456" s="341"/>
      <c r="Y1456" s="341"/>
      <c r="Z1456" s="341"/>
      <c r="AA1456" s="341"/>
      <c r="AB1456" s="341"/>
      <c r="AC1456" s="341"/>
      <c r="AD1456" s="341"/>
      <c r="AE1456" s="341"/>
      <c r="AF1456" s="341"/>
    </row>
    <row r="1457" spans="1:32" ht="18.75" customHeight="1" x14ac:dyDescent="0.2">
      <c r="A1457" s="341"/>
      <c r="B1457" s="345"/>
      <c r="C1457" s="1792" t="s">
        <v>979</v>
      </c>
      <c r="D1457" s="518">
        <f ca="1">D1432*'Emission Factors'!$H$135</f>
        <v>0</v>
      </c>
      <c r="E1457" s="518">
        <f ca="1">E1432*'Emission Factors'!$H$135</f>
        <v>0</v>
      </c>
      <c r="F1457" s="518">
        <f ca="1">F1432*'Emission Factors'!$H$135</f>
        <v>0</v>
      </c>
      <c r="G1457" s="518">
        <f ca="1">G1432*'Emission Factors'!$H$135</f>
        <v>0</v>
      </c>
      <c r="H1457" s="518">
        <f ca="1">H1432*'Emission Factors'!$H$135</f>
        <v>0</v>
      </c>
      <c r="I1457" s="518">
        <f ca="1">I1432*'Emission Factors'!$H$135</f>
        <v>0</v>
      </c>
      <c r="J1457" s="518">
        <f ca="1">J1432*'Emission Factors'!$H$135</f>
        <v>0</v>
      </c>
      <c r="K1457" s="518">
        <f ca="1">K1432*'Emission Factors'!$H$135</f>
        <v>0</v>
      </c>
      <c r="L1457" s="518">
        <f ca="1">L1432*'Emission Factors'!$H$135</f>
        <v>0</v>
      </c>
      <c r="M1457" s="518">
        <f ca="1">M1432*'Emission Factors'!$H$135</f>
        <v>0</v>
      </c>
      <c r="N1457" s="518">
        <f ca="1">N1432*'Emission Factors'!$H$135</f>
        <v>0</v>
      </c>
      <c r="O1457" s="518">
        <f ca="1">O1432*'Emission Factors'!$H$135</f>
        <v>0</v>
      </c>
      <c r="P1457" s="518">
        <f ca="1">P1432*'Emission Factors'!$H$135</f>
        <v>0</v>
      </c>
      <c r="Q1457" s="1788">
        <f ca="1">Q1432*'Emission Factors'!$H$135</f>
        <v>0</v>
      </c>
      <c r="R1457" s="518"/>
      <c r="S1457" s="892"/>
      <c r="T1457" s="341"/>
      <c r="U1457" s="341"/>
      <c r="V1457" s="341"/>
      <c r="W1457" s="341"/>
      <c r="X1457" s="341"/>
      <c r="Y1457" s="341"/>
      <c r="Z1457" s="341"/>
      <c r="AA1457" s="341"/>
      <c r="AB1457" s="341"/>
      <c r="AC1457" s="341"/>
      <c r="AD1457" s="341"/>
      <c r="AE1457" s="341"/>
      <c r="AF1457" s="341"/>
    </row>
    <row r="1458" spans="1:32" ht="18.75" customHeight="1" x14ac:dyDescent="0.2">
      <c r="A1458" s="341"/>
      <c r="B1458" s="345"/>
      <c r="C1458" s="1807" t="s">
        <v>12</v>
      </c>
      <c r="D1458" s="1777">
        <f t="shared" ref="D1458:Q1458" ca="1" si="305">SUM(D1438:D1456)</f>
        <v>12481.261200521891</v>
      </c>
      <c r="E1458" s="1777">
        <f t="shared" ca="1" si="305"/>
        <v>5615.1546905956602</v>
      </c>
      <c r="F1458" s="1777">
        <f t="shared" ca="1" si="305"/>
        <v>2681.3591892276272</v>
      </c>
      <c r="G1458" s="1777">
        <f t="shared" ca="1" si="305"/>
        <v>0</v>
      </c>
      <c r="H1458" s="1777">
        <f t="shared" ca="1" si="305"/>
        <v>0</v>
      </c>
      <c r="I1458" s="1777">
        <f t="shared" ca="1" si="305"/>
        <v>0</v>
      </c>
      <c r="J1458" s="1777">
        <f t="shared" ca="1" si="305"/>
        <v>0</v>
      </c>
      <c r="K1458" s="1777">
        <f t="shared" ca="1" si="305"/>
        <v>0</v>
      </c>
      <c r="L1458" s="1777">
        <f t="shared" ref="L1458" ca="1" si="306">SUM(L1438:L1456)</f>
        <v>0</v>
      </c>
      <c r="M1458" s="1777">
        <f t="shared" ca="1" si="305"/>
        <v>0</v>
      </c>
      <c r="N1458" s="1777">
        <f t="shared" ref="N1458:P1458" ca="1" si="307">SUM(N1438:N1456)</f>
        <v>0</v>
      </c>
      <c r="O1458" s="1777">
        <f t="shared" ca="1" si="307"/>
        <v>0</v>
      </c>
      <c r="P1458" s="1777">
        <f t="shared" ca="1" si="307"/>
        <v>0</v>
      </c>
      <c r="Q1458" s="1808">
        <f t="shared" ca="1" si="305"/>
        <v>20777.775080345178</v>
      </c>
      <c r="R1458" s="518"/>
      <c r="S1458" s="892"/>
      <c r="T1458" s="341"/>
      <c r="U1458" s="341"/>
      <c r="V1458" s="341"/>
      <c r="W1458" s="341"/>
      <c r="X1458" s="341"/>
      <c r="Y1458" s="341"/>
      <c r="Z1458" s="341"/>
      <c r="AA1458" s="341"/>
      <c r="AB1458" s="341"/>
      <c r="AC1458" s="341"/>
      <c r="AD1458" s="341"/>
      <c r="AE1458" s="341"/>
      <c r="AF1458" s="341"/>
    </row>
    <row r="1459" spans="1:32" ht="18.75" customHeight="1" x14ac:dyDescent="0.2">
      <c r="A1459" s="341"/>
      <c r="B1459" s="345"/>
      <c r="C1459" s="1819" t="s">
        <v>13</v>
      </c>
      <c r="D1459" s="1820">
        <f ca="1">D1458*'HydroRefineryPFD '!$E$96/'HydroRefineryPFD '!$E$119</f>
        <v>2.2159628272374121</v>
      </c>
      <c r="E1459" s="1820">
        <f ca="1">E1458*'HydroRefineryPFD '!$E$96/'HydroRefineryPFD '!$E$119</f>
        <v>0.99693243043639557</v>
      </c>
      <c r="F1459" s="1820">
        <f ca="1">F1458*'HydroRefineryPFD '!$E$96/'HydroRefineryPFD '!$E$119</f>
        <v>0.47605704218027406</v>
      </c>
      <c r="G1459" s="1820">
        <f ca="1">G1458*'HydroRefineryPFD '!$E$96/'HydroRefineryPFD '!$E$119</f>
        <v>0</v>
      </c>
      <c r="H1459" s="1820">
        <f ca="1">H1458*'HydroRefineryPFD '!$E$96/'HydroRefineryPFD '!$E$119</f>
        <v>0</v>
      </c>
      <c r="I1459" s="1820">
        <f ca="1">I1458*'HydroRefineryPFD '!$E$96/'HydroRefineryPFD '!$E$119</f>
        <v>0</v>
      </c>
      <c r="J1459" s="1820">
        <f ca="1">J1458*'HydroRefineryPFD '!$E$96/'HydroRefineryPFD '!$E$119</f>
        <v>0</v>
      </c>
      <c r="K1459" s="1820">
        <f ca="1">K1458*'HydroRefineryPFD '!$E$96/'HydroRefineryPFD '!$E$119</f>
        <v>0</v>
      </c>
      <c r="L1459" s="1820">
        <f ca="1">L1458*'HydroRefineryPFD '!$E$96/'HydroRefineryPFD '!$E$119</f>
        <v>0</v>
      </c>
      <c r="M1459" s="1820">
        <f ca="1">M1458*'HydroRefineryPFD '!$E$96/'HydroRefineryPFD '!$E$119</f>
        <v>0</v>
      </c>
      <c r="N1459" s="1820">
        <f ca="1">N1458*'HydroRefineryPFD '!$E$96/'HydroRefineryPFD '!$E$119</f>
        <v>0</v>
      </c>
      <c r="O1459" s="1820">
        <f ca="1">O1458*'HydroRefineryPFD '!$E$96/'HydroRefineryPFD '!$E$119</f>
        <v>0</v>
      </c>
      <c r="P1459" s="1820">
        <f ca="1">P1458*'HydroRefineryPFD '!$E$96/'HydroRefineryPFD '!$E$119</f>
        <v>0</v>
      </c>
      <c r="Q1459" s="1821">
        <f ca="1">Q1458*'HydroRefineryPFD '!$E$96/'HydroRefineryPFD '!$E$119</f>
        <v>3.6889522998540811</v>
      </c>
      <c r="R1459" s="518"/>
      <c r="S1459" s="892"/>
      <c r="T1459" s="341"/>
      <c r="U1459" s="341"/>
      <c r="V1459" s="341"/>
      <c r="W1459" s="341"/>
      <c r="X1459" s="341"/>
      <c r="Y1459" s="341"/>
      <c r="Z1459" s="341"/>
      <c r="AA1459" s="341"/>
      <c r="AB1459" s="341"/>
      <c r="AC1459" s="341"/>
      <c r="AD1459" s="341"/>
      <c r="AE1459" s="341"/>
      <c r="AF1459" s="341"/>
    </row>
    <row r="1460" spans="1:32" ht="18.75" customHeight="1" x14ac:dyDescent="0.2">
      <c r="A1460" s="341"/>
      <c r="B1460" s="345"/>
      <c r="C1460" s="519"/>
      <c r="D1460" s="518"/>
      <c r="E1460" s="518"/>
      <c r="F1460" s="518"/>
      <c r="G1460" s="518"/>
      <c r="H1460" s="518"/>
      <c r="I1460" s="518"/>
      <c r="J1460" s="518"/>
      <c r="K1460" s="518"/>
      <c r="L1460" s="518"/>
      <c r="M1460" s="518"/>
      <c r="N1460" s="518"/>
      <c r="O1460" s="518"/>
      <c r="P1460" s="518"/>
      <c r="Q1460" s="518"/>
      <c r="R1460" s="518"/>
      <c r="S1460" s="892"/>
      <c r="T1460" s="341"/>
      <c r="U1460" s="341"/>
      <c r="V1460" s="341"/>
      <c r="W1460" s="341"/>
      <c r="X1460" s="341"/>
      <c r="Y1460" s="341"/>
      <c r="Z1460" s="341"/>
      <c r="AA1460" s="341"/>
      <c r="AB1460" s="341"/>
      <c r="AC1460" s="341"/>
      <c r="AD1460" s="341"/>
      <c r="AE1460" s="341"/>
      <c r="AF1460" s="341"/>
    </row>
    <row r="1461" spans="1:32" ht="18.75" customHeight="1" x14ac:dyDescent="0.2">
      <c r="A1461" s="341"/>
      <c r="B1461" s="345"/>
      <c r="C1461" s="438" t="s">
        <v>1731</v>
      </c>
      <c r="D1461" s="438"/>
      <c r="E1461" s="518"/>
      <c r="F1461" s="518"/>
      <c r="G1461" s="518"/>
      <c r="H1461" s="518"/>
      <c r="I1461" s="518"/>
      <c r="J1461" s="518"/>
      <c r="K1461" s="518"/>
      <c r="L1461" s="518"/>
      <c r="M1461" s="518"/>
      <c r="N1461" s="518"/>
      <c r="O1461" s="518"/>
      <c r="P1461" s="518"/>
      <c r="Q1461" s="518"/>
      <c r="R1461" s="518"/>
      <c r="S1461" s="892"/>
      <c r="T1461" s="341"/>
      <c r="U1461" s="341"/>
      <c r="V1461" s="341"/>
      <c r="W1461" s="341"/>
      <c r="X1461" s="341"/>
      <c r="Y1461" s="341"/>
      <c r="Z1461" s="341"/>
      <c r="AA1461" s="341"/>
      <c r="AB1461" s="341"/>
      <c r="AC1461" s="341"/>
      <c r="AD1461" s="341"/>
      <c r="AE1461" s="341"/>
      <c r="AF1461" s="341"/>
    </row>
    <row r="1462" spans="1:32" ht="18.75" customHeight="1" x14ac:dyDescent="0.2">
      <c r="A1462" s="341"/>
      <c r="B1462" s="345"/>
      <c r="C1462" s="894"/>
      <c r="D1462" s="518"/>
      <c r="E1462" s="518"/>
      <c r="F1462" s="518"/>
      <c r="G1462" s="518"/>
      <c r="H1462" s="518"/>
      <c r="I1462" s="518"/>
      <c r="J1462" s="518"/>
      <c r="K1462" s="518"/>
      <c r="L1462" s="518"/>
      <c r="M1462" s="518"/>
      <c r="N1462" s="518"/>
      <c r="O1462" s="518"/>
      <c r="P1462" s="518"/>
      <c r="Q1462" s="518"/>
      <c r="R1462" s="518"/>
      <c r="S1462" s="892"/>
      <c r="T1462" s="341"/>
      <c r="U1462" s="341"/>
      <c r="V1462" s="341"/>
      <c r="W1462" s="341"/>
      <c r="X1462" s="341"/>
      <c r="Y1462" s="341"/>
      <c r="Z1462" s="341"/>
      <c r="AA1462" s="341"/>
      <c r="AB1462" s="341"/>
      <c r="AC1462" s="341"/>
      <c r="AD1462" s="341"/>
      <c r="AE1462" s="341"/>
      <c r="AF1462" s="341"/>
    </row>
    <row r="1463" spans="1:32" ht="18.75" customHeight="1" x14ac:dyDescent="0.2">
      <c r="A1463" s="341"/>
      <c r="B1463" s="345"/>
      <c r="C1463" s="440" t="s">
        <v>29</v>
      </c>
      <c r="D1463" s="518"/>
      <c r="E1463" s="518"/>
      <c r="F1463" s="518"/>
      <c r="G1463" s="518"/>
      <c r="H1463" s="518"/>
      <c r="I1463" s="518"/>
      <c r="J1463" s="518"/>
      <c r="K1463" s="518"/>
      <c r="L1463" s="518"/>
      <c r="M1463" s="518"/>
      <c r="N1463" s="518"/>
      <c r="O1463" s="518"/>
      <c r="P1463" s="518"/>
      <c r="Q1463" s="518"/>
      <c r="R1463" s="518"/>
      <c r="S1463" s="892"/>
      <c r="T1463" s="341"/>
      <c r="U1463" s="341"/>
      <c r="V1463" s="341"/>
      <c r="W1463" s="341"/>
      <c r="X1463" s="341"/>
      <c r="Y1463" s="341"/>
      <c r="Z1463" s="341"/>
      <c r="AA1463" s="341"/>
      <c r="AB1463" s="341"/>
      <c r="AC1463" s="341"/>
      <c r="AD1463" s="341"/>
      <c r="AE1463" s="341"/>
      <c r="AF1463" s="341"/>
    </row>
    <row r="1464" spans="1:32" ht="18.75" customHeight="1" x14ac:dyDescent="0.2">
      <c r="A1464" s="184"/>
      <c r="B1464" s="1632"/>
      <c r="C1464" s="1823" t="s">
        <v>17</v>
      </c>
      <c r="D1464" s="1786">
        <f ca="1">D1170/'HydroRefineryPFD '!$E$105/'HydroRefineryPFD '!$U$105</f>
        <v>6124.7676219855557</v>
      </c>
      <c r="E1464" s="1786">
        <f ca="1">E1170/'HydroRefineryPFD '!$E$105/'HydroRefineryPFD '!$U$105</f>
        <v>6614.3432876390052</v>
      </c>
      <c r="F1464" s="1786">
        <f ca="1">F1170/'HydroRefineryPFD '!$E$105/'HydroRefineryPFD '!$U$105</f>
        <v>3160.88909037544</v>
      </c>
      <c r="G1464" s="1786">
        <f ca="1">G1170/'HydroRefineryPFD '!$E$105/'HydroRefineryPFD '!$U$105</f>
        <v>0</v>
      </c>
      <c r="H1464" s="1786">
        <f ca="1">H1170/'HydroRefineryPFD '!$E$105/'HydroRefineryPFD '!$U$105</f>
        <v>0</v>
      </c>
      <c r="I1464" s="1786">
        <f ca="1">I1170/'HydroRefineryPFD '!$E$105/'HydroRefineryPFD '!$U$105</f>
        <v>0</v>
      </c>
      <c r="J1464" s="1786">
        <f ca="1">J1170/'HydroRefineryPFD '!$E$105/'HydroRefineryPFD '!$U$105</f>
        <v>0</v>
      </c>
      <c r="K1464" s="1786">
        <f ca="1">K1170/'HydroRefineryPFD '!$E$105/'HydroRefineryPFD '!$U$105</f>
        <v>0</v>
      </c>
      <c r="L1464" s="1786">
        <f ca="1">L1170/'HydroRefineryPFD '!$E$105/'HydroRefineryPFD '!$U$105</f>
        <v>0</v>
      </c>
      <c r="M1464" s="1786">
        <f ca="1">M1170/'HydroRefineryPFD '!$E$105/'HydroRefineryPFD '!$U$105</f>
        <v>0</v>
      </c>
      <c r="N1464" s="1786">
        <f ca="1">N1170/'HydroRefineryPFD '!$E$105/'HydroRefineryPFD '!$U$105</f>
        <v>0</v>
      </c>
      <c r="O1464" s="1786">
        <f ca="1">O1170/'HydroRefineryPFD '!$E$105/'HydroRefineryPFD '!$U$105</f>
        <v>0</v>
      </c>
      <c r="P1464" s="1786">
        <f ca="1">P1170/'HydroRefineryPFD '!$E$105/'HydroRefineryPFD '!$U$105</f>
        <v>0</v>
      </c>
      <c r="Q1464" s="1787">
        <f ca="1">Q1170/'HydroRefineryPFD '!$E$105/'HydroRefineryPFD '!$U$105</f>
        <v>15899.999999999998</v>
      </c>
      <c r="R1464" s="518"/>
      <c r="S1464" s="892"/>
      <c r="T1464" s="341"/>
      <c r="U1464" s="184"/>
      <c r="V1464" s="184"/>
      <c r="W1464" s="184"/>
      <c r="X1464" s="184"/>
      <c r="Y1464" s="184"/>
      <c r="Z1464" s="184"/>
      <c r="AA1464" s="184"/>
      <c r="AB1464" s="184"/>
      <c r="AC1464" s="184"/>
      <c r="AD1464" s="184"/>
      <c r="AE1464" s="184"/>
    </row>
    <row r="1465" spans="1:32" ht="18.75" customHeight="1" x14ac:dyDescent="0.2">
      <c r="A1465" s="184"/>
      <c r="B1465" s="1632"/>
      <c r="C1465" s="1792"/>
      <c r="D1465" s="518"/>
      <c r="E1465" s="518"/>
      <c r="F1465" s="518"/>
      <c r="G1465" s="518"/>
      <c r="H1465" s="518"/>
      <c r="I1465" s="518"/>
      <c r="J1465" s="518"/>
      <c r="K1465" s="518"/>
      <c r="L1465" s="518"/>
      <c r="M1465" s="518"/>
      <c r="N1465" s="518"/>
      <c r="O1465" s="518"/>
      <c r="P1465" s="518"/>
      <c r="Q1465" s="1788"/>
      <c r="R1465" s="518"/>
      <c r="S1465" s="892"/>
      <c r="T1465" s="341"/>
      <c r="U1465" s="184"/>
      <c r="V1465" s="184"/>
      <c r="W1465" s="184"/>
      <c r="X1465" s="184"/>
      <c r="Y1465" s="184"/>
      <c r="Z1465" s="184"/>
      <c r="AA1465" s="184"/>
      <c r="AB1465" s="184"/>
      <c r="AC1465" s="184"/>
    </row>
    <row r="1466" spans="1:32" ht="18.75" customHeight="1" x14ac:dyDescent="0.2">
      <c r="A1466" s="329"/>
      <c r="B1466" s="2031"/>
      <c r="C1466" s="1792" t="str">
        <f>'Emission Factors'!C267</f>
        <v>Blowdown Systems</v>
      </c>
      <c r="D1466" s="518">
        <f ca="1">D1464*'Emission Factors'!$D$281</f>
        <v>87701.305883773894</v>
      </c>
      <c r="E1466" s="518">
        <f ca="1">E1464*'Emission Factors'!$D$281</f>
        <v>94711.600454395666</v>
      </c>
      <c r="F1466" s="518">
        <f ca="1">F1464*'Emission Factors'!$D$281</f>
        <v>45261.16223325902</v>
      </c>
      <c r="G1466" s="518">
        <f ca="1">G1464*'Emission Factors'!$D$281</f>
        <v>0</v>
      </c>
      <c r="H1466" s="518">
        <f ca="1">H1464*'Emission Factors'!$D$281</f>
        <v>0</v>
      </c>
      <c r="I1466" s="518">
        <f ca="1">I1464*'Emission Factors'!$D$281</f>
        <v>0</v>
      </c>
      <c r="J1466" s="518">
        <f ca="1">J1464*'Emission Factors'!$D$281</f>
        <v>0</v>
      </c>
      <c r="K1466" s="518">
        <f ca="1">K1464*'Emission Factors'!$D$281</f>
        <v>0</v>
      </c>
      <c r="L1466" s="518">
        <f ca="1">L1464*'Emission Factors'!$D$281</f>
        <v>0</v>
      </c>
      <c r="M1466" s="518">
        <f ca="1">M1464*'Emission Factors'!$D$281</f>
        <v>0</v>
      </c>
      <c r="N1466" s="518">
        <f ca="1">N1464*'Emission Factors'!$D$281</f>
        <v>0</v>
      </c>
      <c r="O1466" s="518">
        <f ca="1">O1464*'Emission Factors'!$D$281</f>
        <v>0</v>
      </c>
      <c r="P1466" s="518">
        <f ca="1">P1464*'Emission Factors'!$D$281</f>
        <v>0</v>
      </c>
      <c r="Q1466" s="1788">
        <f ca="1">Q1464*'Emission Factors'!$D$281</f>
        <v>227674.06857142854</v>
      </c>
      <c r="R1466" s="518"/>
      <c r="S1466" s="892"/>
      <c r="T1466" s="341"/>
      <c r="U1466" s="184"/>
      <c r="V1466" s="184"/>
      <c r="W1466" s="184"/>
      <c r="X1466" s="184"/>
      <c r="Y1466" s="184"/>
      <c r="Z1466" s="184"/>
      <c r="AA1466" s="184"/>
      <c r="AB1466" s="184"/>
      <c r="AC1466" s="184"/>
    </row>
    <row r="1467" spans="1:32" ht="18.75" customHeight="1" x14ac:dyDescent="0.2">
      <c r="A1467" s="329"/>
      <c r="B1467" s="1632"/>
      <c r="C1467" s="1792" t="str">
        <f>'Emission Factors'!F267</f>
        <v>Cooling Towers</v>
      </c>
      <c r="D1467" s="518">
        <f ca="1">D1464*'Emission Factors'!$F$269*'Emission Factors'!$F$281/'Energy &amp; Unit Conversions'!$E$93</f>
        <v>22.212490575734286</v>
      </c>
      <c r="E1467" s="518">
        <f ca="1">E1464*'Emission Factors'!$F$269*'Emission Factors'!$F$281/'Energy &amp; Unit Conversions'!$E$93</f>
        <v>23.988018323170795</v>
      </c>
      <c r="F1467" s="518">
        <f ca="1">F1464*'Emission Factors'!$F$269*'Emission Factors'!$F$281/'Energy &amp; Unit Conversions'!$E$93</f>
        <v>11.463491101094929</v>
      </c>
      <c r="G1467" s="518">
        <f ca="1">G1464*'Emission Factors'!$F$269*'Emission Factors'!$F$281/'Energy &amp; Unit Conversions'!$E$93</f>
        <v>0</v>
      </c>
      <c r="H1467" s="518">
        <f ca="1">H1464*'Emission Factors'!$F$269*'Emission Factors'!$F$281/'Energy &amp; Unit Conversions'!$E$93</f>
        <v>0</v>
      </c>
      <c r="I1467" s="518">
        <f ca="1">I1464*'Emission Factors'!$F$269*'Emission Factors'!$F$281/'Energy &amp; Unit Conversions'!$E$93</f>
        <v>0</v>
      </c>
      <c r="J1467" s="518">
        <f ca="1">J1464*'Emission Factors'!$F$269*'Emission Factors'!$F$281/'Energy &amp; Unit Conversions'!$E$93</f>
        <v>0</v>
      </c>
      <c r="K1467" s="518">
        <f ca="1">K1464*'Emission Factors'!$F$269*'Emission Factors'!$F$281/'Energy &amp; Unit Conversions'!$E$93</f>
        <v>0</v>
      </c>
      <c r="L1467" s="518">
        <f ca="1">L1464*'Emission Factors'!$F$269*'Emission Factors'!$F$281/'Energy &amp; Unit Conversions'!$E$93</f>
        <v>0</v>
      </c>
      <c r="M1467" s="518">
        <f ca="1">M1464*'Emission Factors'!$F$269*'Emission Factors'!$F$281/'Energy &amp; Unit Conversions'!$E$93</f>
        <v>0</v>
      </c>
      <c r="N1467" s="518">
        <f ca="1">N1464*'Emission Factors'!$F$269*'Emission Factors'!$F$281/'Energy &amp; Unit Conversions'!$E$93</f>
        <v>0</v>
      </c>
      <c r="O1467" s="518">
        <f ca="1">O1464*'Emission Factors'!$F$269*'Emission Factors'!$F$281/'Energy &amp; Unit Conversions'!$E$93</f>
        <v>0</v>
      </c>
      <c r="P1467" s="518">
        <f ca="1">P1464*'Emission Factors'!$F$269*'Emission Factors'!$F$281/'Energy &amp; Unit Conversions'!$E$93</f>
        <v>0</v>
      </c>
      <c r="Q1467" s="1788">
        <f ca="1">Q1464*'Emission Factors'!$F$269*'Emission Factors'!$F$281/'Energy &amp; Unit Conversions'!$E$93</f>
        <v>57.663999999999994</v>
      </c>
      <c r="R1467" s="518"/>
      <c r="S1467" s="892"/>
      <c r="T1467" s="341"/>
    </row>
    <row r="1468" spans="1:32" ht="18.75" customHeight="1" x14ac:dyDescent="0.2">
      <c r="A1468" s="329"/>
      <c r="B1468" s="1632"/>
      <c r="C1468" s="1792" t="str">
        <f>'Emission Factors'!G267</f>
        <v>Oil/Water separators</v>
      </c>
      <c r="D1468" s="518">
        <f ca="1">D1464*'Emission Factors'!$G$269*'Emission Factors'!$G$281/'Energy &amp; Unit Conversions'!$E$93</f>
        <v>0.15826399535210678</v>
      </c>
      <c r="E1468" s="518">
        <f ca="1">E1464*'Emission Factors'!$G$269*'Emission Factors'!$G$281/'Energy &amp; Unit Conversions'!$E$93</f>
        <v>0.17091463055259193</v>
      </c>
      <c r="F1468" s="518">
        <f ca="1">F1464*'Emission Factors'!$G$269*'Emission Factors'!$G$281/'Energy &amp; Unit Conversions'!$E$93</f>
        <v>8.1677374095301375E-2</v>
      </c>
      <c r="G1468" s="518">
        <f ca="1">G1464*'Emission Factors'!$G$269*'Emission Factors'!$G$281/'Energy &amp; Unit Conversions'!$E$93</f>
        <v>0</v>
      </c>
      <c r="H1468" s="518">
        <f ca="1">H1464*'Emission Factors'!$G$269*'Emission Factors'!$G$281/'Energy &amp; Unit Conversions'!$E$93</f>
        <v>0</v>
      </c>
      <c r="I1468" s="518">
        <f ca="1">I1464*'Emission Factors'!$G$269*'Emission Factors'!$G$281/'Energy &amp; Unit Conversions'!$E$93</f>
        <v>0</v>
      </c>
      <c r="J1468" s="518">
        <f ca="1">J1464*'Emission Factors'!$G$269*'Emission Factors'!$G$281/'Energy &amp; Unit Conversions'!$E$93</f>
        <v>0</v>
      </c>
      <c r="K1468" s="518">
        <f ca="1">K1464*'Emission Factors'!$G$269*'Emission Factors'!$G$281/'Energy &amp; Unit Conversions'!$E$93</f>
        <v>0</v>
      </c>
      <c r="L1468" s="518">
        <f ca="1">L1464*'Emission Factors'!$G$269*'Emission Factors'!$G$281/'Energy &amp; Unit Conversions'!$E$93</f>
        <v>0</v>
      </c>
      <c r="M1468" s="518">
        <f ca="1">M1464*'Emission Factors'!$G$269*'Emission Factors'!$G$281/'Energy &amp; Unit Conversions'!$E$93</f>
        <v>0</v>
      </c>
      <c r="N1468" s="518">
        <f ca="1">N1464*'Emission Factors'!$G$269*'Emission Factors'!$G$281/'Energy &amp; Unit Conversions'!$E$93</f>
        <v>0</v>
      </c>
      <c r="O1468" s="518">
        <f ca="1">O1464*'Emission Factors'!$G$269*'Emission Factors'!$G$281/'Energy &amp; Unit Conversions'!$E$93</f>
        <v>0</v>
      </c>
      <c r="P1468" s="518">
        <f ca="1">P1464*'Emission Factors'!$G$269*'Emission Factors'!$G$281/'Energy &amp; Unit Conversions'!$E$93</f>
        <v>0</v>
      </c>
      <c r="Q1468" s="1788">
        <f ca="1">Q1464*'Emission Factors'!$G$269*'Emission Factors'!$G$281/'Energy &amp; Unit Conversions'!$E$93</f>
        <v>0.410856</v>
      </c>
      <c r="R1468" s="518"/>
      <c r="S1468" s="892"/>
      <c r="T1468" s="341"/>
    </row>
    <row r="1469" spans="1:32" ht="18.75" customHeight="1" x14ac:dyDescent="0.2">
      <c r="A1469" s="329"/>
      <c r="B1469" s="1632"/>
      <c r="C1469" s="1792"/>
      <c r="D1469" s="518"/>
      <c r="E1469" s="518"/>
      <c r="F1469" s="518"/>
      <c r="G1469" s="518"/>
      <c r="H1469" s="518"/>
      <c r="I1469" s="518"/>
      <c r="J1469" s="518"/>
      <c r="K1469" s="518"/>
      <c r="L1469" s="518"/>
      <c r="M1469" s="518"/>
      <c r="N1469" s="518"/>
      <c r="O1469" s="518"/>
      <c r="P1469" s="518"/>
      <c r="Q1469" s="1788"/>
      <c r="R1469" s="518"/>
      <c r="S1469" s="892"/>
      <c r="T1469" s="341"/>
    </row>
    <row r="1470" spans="1:32" ht="18.75" customHeight="1" x14ac:dyDescent="0.2">
      <c r="A1470" s="329"/>
      <c r="B1470" s="1632"/>
      <c r="C1470" s="1791" t="s">
        <v>18</v>
      </c>
      <c r="D1470" s="518">
        <f t="shared" ref="D1470:Q1470" ca="1" si="308">SUM(D1464:D1468)</f>
        <v>93848.444260330536</v>
      </c>
      <c r="E1470" s="518">
        <f t="shared" ca="1" si="308"/>
        <v>101350.10267498839</v>
      </c>
      <c r="F1470" s="518">
        <f t="shared" ca="1" si="308"/>
        <v>48433.596492109646</v>
      </c>
      <c r="G1470" s="518">
        <f t="shared" ca="1" si="308"/>
        <v>0</v>
      </c>
      <c r="H1470" s="518">
        <f t="shared" ca="1" si="308"/>
        <v>0</v>
      </c>
      <c r="I1470" s="518">
        <f t="shared" ca="1" si="308"/>
        <v>0</v>
      </c>
      <c r="J1470" s="518">
        <f t="shared" ca="1" si="308"/>
        <v>0</v>
      </c>
      <c r="K1470" s="518">
        <f t="shared" ca="1" si="308"/>
        <v>0</v>
      </c>
      <c r="L1470" s="518">
        <f t="shared" ref="L1470" ca="1" si="309">SUM(L1464:L1468)</f>
        <v>0</v>
      </c>
      <c r="M1470" s="518">
        <f t="shared" ca="1" si="308"/>
        <v>0</v>
      </c>
      <c r="N1470" s="518">
        <f t="shared" ref="N1470:P1470" ca="1" si="310">SUM(N1464:N1468)</f>
        <v>0</v>
      </c>
      <c r="O1470" s="518">
        <f t="shared" ca="1" si="310"/>
        <v>0</v>
      </c>
      <c r="P1470" s="518">
        <f t="shared" ca="1" si="310"/>
        <v>0</v>
      </c>
      <c r="Q1470" s="1788">
        <f t="shared" ca="1" si="308"/>
        <v>243632.14342742853</v>
      </c>
      <c r="R1470" s="518"/>
      <c r="S1470" s="892"/>
      <c r="T1470" s="341"/>
    </row>
    <row r="1471" spans="1:32" ht="18.75" customHeight="1" x14ac:dyDescent="0.2">
      <c r="A1471" s="329"/>
      <c r="B1471" s="1632"/>
      <c r="C1471" s="1792"/>
      <c r="D1471" s="518"/>
      <c r="E1471" s="518"/>
      <c r="F1471" s="518"/>
      <c r="G1471" s="518"/>
      <c r="H1471" s="518"/>
      <c r="I1471" s="518"/>
      <c r="J1471" s="518"/>
      <c r="K1471" s="518"/>
      <c r="L1471" s="518"/>
      <c r="M1471" s="518"/>
      <c r="N1471" s="518"/>
      <c r="O1471" s="518"/>
      <c r="P1471" s="518"/>
      <c r="Q1471" s="1788"/>
      <c r="R1471" s="518"/>
      <c r="S1471" s="892"/>
      <c r="T1471" s="341"/>
    </row>
    <row r="1472" spans="1:32" ht="18.75" customHeight="1" x14ac:dyDescent="0.2">
      <c r="A1472" s="329"/>
      <c r="B1472" s="1632"/>
      <c r="C1472" s="1791" t="s">
        <v>14</v>
      </c>
      <c r="D1472" s="518">
        <f ca="1">D1470*'Energy &amp; Unit Conversions'!$E$93/D1164</f>
        <v>0.7963245809015439</v>
      </c>
      <c r="E1472" s="518">
        <f ca="1">E1470*'Energy &amp; Unit Conversions'!$E$93/E1164</f>
        <v>0.67578609517482879</v>
      </c>
      <c r="F1472" s="518">
        <f ca="1">F1470*'Energy &amp; Unit Conversions'!$E$93/F1164</f>
        <v>0.66673528001382787</v>
      </c>
      <c r="G1472" s="518">
        <f ca="1">G1470*'Energy &amp; Unit Conversions'!$E$93/G1164</f>
        <v>0</v>
      </c>
      <c r="H1472" s="518">
        <f ca="1">H1470*'Energy &amp; Unit Conversions'!$E$93/H1164</f>
        <v>0</v>
      </c>
      <c r="I1472" s="518">
        <f ca="1">I1470*'Energy &amp; Unit Conversions'!$E$93/I1164</f>
        <v>0</v>
      </c>
      <c r="J1472" s="518">
        <f ca="1">J1470*'Energy &amp; Unit Conversions'!$E$93/J1164</f>
        <v>0</v>
      </c>
      <c r="K1472" s="518">
        <f ca="1">K1470*'Energy &amp; Unit Conversions'!$E$93/K1164</f>
        <v>0</v>
      </c>
      <c r="L1472" s="518" t="e">
        <f ca="1">L1470*'Energy &amp; Unit Conversions'!$E$93/L1164</f>
        <v>#DIV/0!</v>
      </c>
      <c r="M1472" s="518">
        <f ca="1">M1470*'Energy &amp; Unit Conversions'!$E$93/M1165</f>
        <v>0</v>
      </c>
      <c r="N1472" s="518">
        <f ca="1">N1470*'Energy &amp; Unit Conversions'!$E$93/N1164</f>
        <v>0</v>
      </c>
      <c r="O1472" s="518">
        <f ca="1">O1470*'Energy &amp; Unit Conversions'!$E$93/O1164</f>
        <v>0</v>
      </c>
      <c r="P1472" s="518">
        <f ca="1">IF(P1164=0,0,P1470*'Energy &amp; Unit Conversions'!$E$93/P1164)</f>
        <v>0</v>
      </c>
      <c r="Q1472" s="1788">
        <f ca="1">Q1470*'Energy &amp; Unit Conversions'!$E$93/Q1164</f>
        <v>0.42783541018887733</v>
      </c>
      <c r="R1472" s="518"/>
      <c r="S1472" s="892"/>
      <c r="T1472" s="341"/>
    </row>
    <row r="1473" spans="1:30" ht="18.75" customHeight="1" x14ac:dyDescent="0.2">
      <c r="A1473" s="329"/>
      <c r="B1473" s="1632"/>
      <c r="C1473" s="1791" t="s">
        <v>12</v>
      </c>
      <c r="D1473" s="518">
        <f ca="1">D1470*'Energy &amp; Unit Conversions'!$E$93/'HydroRefineryPFD '!$E$96</f>
        <v>946.2661440084338</v>
      </c>
      <c r="E1473" s="518">
        <f ca="1">E1470*'Energy &amp; Unit Conversions'!$E$93/'HydroRefineryPFD '!$E$96</f>
        <v>1021.904748757338</v>
      </c>
      <c r="F1473" s="518">
        <f ca="1">F1470*'Energy &amp; Unit Conversions'!$E$93/'HydroRefineryPFD '!$E$96</f>
        <v>488.35196954268173</v>
      </c>
      <c r="G1473" s="518">
        <f ca="1">G1470*'Energy &amp; Unit Conversions'!$E$93/'HydroRefineryPFD '!$E$96</f>
        <v>0</v>
      </c>
      <c r="H1473" s="518">
        <f ca="1">H1470*'Energy &amp; Unit Conversions'!$E$93/'HydroRefineryPFD '!$E$96</f>
        <v>0</v>
      </c>
      <c r="I1473" s="518">
        <f ca="1">I1470*'Energy &amp; Unit Conversions'!$E$93/'HydroRefineryPFD '!$E$96</f>
        <v>0</v>
      </c>
      <c r="J1473" s="518">
        <f ca="1">J1470*'Energy &amp; Unit Conversions'!$E$93/'HydroRefineryPFD '!$E$96</f>
        <v>0</v>
      </c>
      <c r="K1473" s="518">
        <f ca="1">K1470*'Energy &amp; Unit Conversions'!$E$93/'HydroRefineryPFD '!$E$96</f>
        <v>0</v>
      </c>
      <c r="L1473" s="518">
        <f ca="1">L1470*'Energy &amp; Unit Conversions'!$E$93/'HydroRefineryPFD '!$E$96</f>
        <v>0</v>
      </c>
      <c r="M1473" s="518">
        <f ca="1">M1470*'Energy &amp; Unit Conversions'!$E$93/'HydroRefineryPFD '!$E$96</f>
        <v>0</v>
      </c>
      <c r="N1473" s="518">
        <f ca="1">N1470*'Energy &amp; Unit Conversions'!$E$93/'HydroRefineryPFD '!$E$96</f>
        <v>0</v>
      </c>
      <c r="O1473" s="518">
        <f ca="1">O1470*'Energy &amp; Unit Conversions'!$E$93/'HydroRefineryPFD '!$E$96</f>
        <v>0</v>
      </c>
      <c r="P1473" s="518">
        <f ca="1">P1470*'Energy &amp; Unit Conversions'!$E$93/'HydroRefineryPFD '!$E$96</f>
        <v>0</v>
      </c>
      <c r="Q1473" s="1788">
        <f ca="1">Q1470*'Energy &amp; Unit Conversions'!$E$93/'HydroRefineryPFD '!$E$96</f>
        <v>2456.5228623084527</v>
      </c>
      <c r="R1473" s="518"/>
      <c r="S1473" s="892"/>
      <c r="T1473" s="341"/>
    </row>
    <row r="1474" spans="1:30" ht="18.75" customHeight="1" x14ac:dyDescent="0.2">
      <c r="A1474" s="329"/>
      <c r="B1474" s="1632"/>
      <c r="C1474" s="1817" t="s">
        <v>13</v>
      </c>
      <c r="D1474" s="1789">
        <f ca="1">D1470*'Energy &amp; Unit Conversions'!$E$93/'HydroRefineryPFD '!$U$112</f>
        <v>0.16800310209903258</v>
      </c>
      <c r="E1474" s="1789">
        <f ca="1">E1470*'Energy &amp; Unit Conversions'!$E$93/'HydroRefineryPFD '!$U$112</f>
        <v>0.18143222065803413</v>
      </c>
      <c r="F1474" s="1789">
        <f ca="1">F1470*'Energy &amp; Unit Conversions'!$E$93/'HydroRefineryPFD '!$U$112</f>
        <v>8.6703562542983212E-2</v>
      </c>
      <c r="G1474" s="1789">
        <f ca="1">G1470*'Energy &amp; Unit Conversions'!$E$93/'HydroRefineryPFD '!$U$112</f>
        <v>0</v>
      </c>
      <c r="H1474" s="1789">
        <f ca="1">H1470*'Energy &amp; Unit Conversions'!$E$93/'HydroRefineryPFD '!$U$112</f>
        <v>0</v>
      </c>
      <c r="I1474" s="1789">
        <f ca="1">I1470*'Energy &amp; Unit Conversions'!$E$93/'HydroRefineryPFD '!$U$112</f>
        <v>0</v>
      </c>
      <c r="J1474" s="1789">
        <f ca="1">J1470*'Energy &amp; Unit Conversions'!$E$93/'HydroRefineryPFD '!$U$112</f>
        <v>0</v>
      </c>
      <c r="K1474" s="1789">
        <f ca="1">K1470*'Energy &amp; Unit Conversions'!$E$93/'HydroRefineryPFD '!$U$112</f>
        <v>0</v>
      </c>
      <c r="L1474" s="1789">
        <f ca="1">L1470*'Energy &amp; Unit Conversions'!$E$93/'HydroRefineryPFD '!$U$112</f>
        <v>0</v>
      </c>
      <c r="M1474" s="1789">
        <f ca="1">M1470*'Energy &amp; Unit Conversions'!$E$93/'HydroRefineryPFD '!$U$112</f>
        <v>0</v>
      </c>
      <c r="N1474" s="1789">
        <f ca="1">N1470*'Energy &amp; Unit Conversions'!$E$93/'HydroRefineryPFD '!$U$112</f>
        <v>0</v>
      </c>
      <c r="O1474" s="1789">
        <f ca="1">O1470*'Energy &amp; Unit Conversions'!$E$93/'HydroRefineryPFD '!$U$112</f>
        <v>0</v>
      </c>
      <c r="P1474" s="1789">
        <f ca="1">P1470*'Energy &amp; Unit Conversions'!$E$93/'HydroRefineryPFD '!$U$112</f>
        <v>0</v>
      </c>
      <c r="Q1474" s="1790">
        <f ca="1">Q1470*'Energy &amp; Unit Conversions'!$E$93/'HydroRefineryPFD '!$U$112</f>
        <v>0.43613888530004979</v>
      </c>
      <c r="R1474" s="518"/>
      <c r="S1474" s="892"/>
      <c r="T1474" s="341"/>
    </row>
    <row r="1475" spans="1:30" ht="18.75" customHeight="1" x14ac:dyDescent="0.2">
      <c r="A1475" s="329"/>
      <c r="B1475" s="1632"/>
      <c r="C1475" s="329"/>
      <c r="D1475" s="329"/>
      <c r="E1475" s="329"/>
      <c r="F1475" s="329"/>
      <c r="G1475" s="329"/>
      <c r="H1475" s="329"/>
      <c r="I1475" s="329"/>
      <c r="J1475" s="329"/>
      <c r="K1475" s="329"/>
      <c r="L1475" s="329"/>
      <c r="M1475" s="329"/>
      <c r="N1475" s="329"/>
      <c r="O1475" s="329"/>
      <c r="P1475" s="329"/>
      <c r="Q1475" s="329"/>
      <c r="R1475" s="518"/>
      <c r="S1475" s="892"/>
      <c r="T1475" s="341"/>
    </row>
    <row r="1476" spans="1:30" ht="18.75" customHeight="1" x14ac:dyDescent="0.2">
      <c r="A1476" s="329"/>
      <c r="B1476" s="1632"/>
      <c r="C1476" s="329"/>
      <c r="D1476" s="329"/>
      <c r="E1476" s="329"/>
      <c r="F1476" s="329"/>
      <c r="G1476" s="329"/>
      <c r="H1476" s="329"/>
      <c r="I1476" s="329"/>
      <c r="J1476" s="329"/>
      <c r="K1476" s="329"/>
      <c r="L1476" s="329"/>
      <c r="M1476" s="329"/>
      <c r="N1476" s="329"/>
      <c r="O1476" s="329"/>
      <c r="P1476" s="329"/>
      <c r="Q1476" s="329"/>
      <c r="R1476" s="518"/>
      <c r="S1476" s="892"/>
      <c r="T1476" s="341"/>
    </row>
    <row r="1477" spans="1:30" ht="18.75" customHeight="1" x14ac:dyDescent="0.2">
      <c r="A1477" s="329"/>
      <c r="B1477" s="1632"/>
      <c r="C1477" s="438" t="s">
        <v>1885</v>
      </c>
      <c r="D1477" s="438"/>
      <c r="E1477" s="439"/>
      <c r="F1477" s="1987"/>
      <c r="G1477" s="1987"/>
      <c r="H1477" s="1987"/>
      <c r="I1477" s="1987"/>
      <c r="J1477" s="1987"/>
      <c r="K1477" s="1987"/>
      <c r="L1477" s="1987"/>
      <c r="M1477" s="1987"/>
      <c r="N1477" s="1987"/>
      <c r="O1477" s="2190"/>
      <c r="P1477" s="329"/>
      <c r="Q1477" s="329"/>
      <c r="R1477" s="518"/>
      <c r="S1477" s="892"/>
      <c r="T1477" s="341"/>
    </row>
    <row r="1478" spans="1:30" ht="18.75" customHeight="1" x14ac:dyDescent="0.2">
      <c r="A1478" s="329"/>
      <c r="B1478" s="1632"/>
      <c r="C1478" s="439"/>
      <c r="D1478" s="439"/>
      <c r="E1478" s="439"/>
      <c r="F1478" s="1987"/>
      <c r="G1478" s="1987"/>
      <c r="H1478" s="1987"/>
      <c r="I1478" s="1987"/>
      <c r="J1478" s="1987"/>
      <c r="K1478" s="1987"/>
      <c r="L1478" s="1987"/>
      <c r="M1478" s="1987"/>
      <c r="N1478" s="1987"/>
      <c r="O1478" s="2190"/>
      <c r="P1478" s="329"/>
      <c r="Q1478" s="329"/>
      <c r="R1478" s="518"/>
      <c r="S1478" s="892"/>
      <c r="T1478" s="341"/>
    </row>
    <row r="1479" spans="1:30" ht="18.75" customHeight="1" x14ac:dyDescent="0.2">
      <c r="A1479" s="329"/>
      <c r="B1479" s="1632"/>
      <c r="C1479" s="440" t="s">
        <v>1859</v>
      </c>
      <c r="D1479" s="329"/>
      <c r="E1479" s="2324" t="s">
        <v>1850</v>
      </c>
      <c r="F1479" s="2475"/>
      <c r="G1479" s="2475"/>
      <c r="H1479" s="2475"/>
      <c r="I1479" s="2475"/>
      <c r="J1479" s="2475"/>
      <c r="K1479" s="2475"/>
      <c r="L1479" s="2475"/>
      <c r="M1479" s="2475"/>
      <c r="N1479" s="329"/>
      <c r="O1479" s="329"/>
      <c r="P1479" s="329"/>
      <c r="Q1479" s="329"/>
      <c r="R1479" s="518"/>
      <c r="S1479" s="892"/>
      <c r="T1479" s="341"/>
    </row>
    <row r="1480" spans="1:30" ht="18.75" customHeight="1" x14ac:dyDescent="0.2">
      <c r="A1480" s="329"/>
      <c r="B1480" s="1632"/>
      <c r="C1480" s="1990" t="s">
        <v>170</v>
      </c>
      <c r="D1480" s="1994" t="s">
        <v>1842</v>
      </c>
      <c r="E1480" s="1994" t="s">
        <v>258</v>
      </c>
      <c r="F1480" s="1994" t="s">
        <v>1829</v>
      </c>
      <c r="G1480" s="1994" t="s">
        <v>1830</v>
      </c>
      <c r="H1480" s="1994" t="s">
        <v>1831</v>
      </c>
      <c r="I1480" s="1994" t="s">
        <v>1832</v>
      </c>
      <c r="J1480" s="1994" t="s">
        <v>1833</v>
      </c>
      <c r="K1480" s="1994" t="s">
        <v>1834</v>
      </c>
      <c r="L1480" s="1994" t="s">
        <v>1835</v>
      </c>
      <c r="M1480" s="1995" t="s">
        <v>849</v>
      </c>
      <c r="N1480" s="329"/>
      <c r="O1480" s="329"/>
      <c r="P1480" s="329"/>
      <c r="Q1480" s="329"/>
      <c r="R1480" s="518"/>
      <c r="S1480" s="892"/>
      <c r="T1480" s="341"/>
    </row>
    <row r="1481" spans="1:30" ht="18.75" customHeight="1" x14ac:dyDescent="0.2">
      <c r="A1481" s="329"/>
      <c r="B1481" s="1632"/>
      <c r="C1481" s="1605" t="s">
        <v>539</v>
      </c>
      <c r="D1481" s="1997">
        <f ca="1">H190</f>
        <v>219014.26865078407</v>
      </c>
      <c r="E1481" s="1998">
        <f ca="1">IF(Constants!D389&lt;&gt;"", $D1481*Constants!D389/100, 0)</f>
        <v>32328.257973422558</v>
      </c>
      <c r="F1481" s="1998">
        <f ca="1">IF(Constants!E389&lt;&gt;"", $D1481*Constants!E389/100, 0)</f>
        <v>14518.678730578993</v>
      </c>
      <c r="G1481" s="1998">
        <f ca="1">IF(Constants!F389&lt;&gt;"", $D1481*Constants!F389/100, 0)</f>
        <v>61172.033051506151</v>
      </c>
      <c r="H1481" s="1998">
        <f ca="1">IF(Constants!G389&lt;&gt;"", $D1481*Constants!G389/100, 0)</f>
        <v>9063.8037218043119</v>
      </c>
      <c r="I1481" s="1998">
        <f ca="1">IF(Constants!H389&lt;&gt;"", $D1481*Constants!H389/100, 0)</f>
        <v>71563.258828677688</v>
      </c>
      <c r="J1481" s="1998">
        <f>IF(Constants!I389&lt;&gt;"", $D1481*Constants!I389/100, 0)</f>
        <v>0</v>
      </c>
      <c r="K1481" s="1998">
        <f ca="1">IF(Constants!J389&lt;&gt;"", $D1481*Constants!J389/100, 0)</f>
        <v>30368.23634479439</v>
      </c>
      <c r="L1481" s="1998">
        <f>IF(Constants!K389&lt;&gt;"", $D1481*Constants!K389/100, 0)</f>
        <v>0</v>
      </c>
      <c r="M1481" s="1999">
        <f>IF(Constants!L389&lt;&gt;"", $D1481*Constants!L389/100, 0)</f>
        <v>0</v>
      </c>
      <c r="N1481" s="329"/>
      <c r="O1481" s="329"/>
      <c r="P1481" s="329"/>
      <c r="Q1481" s="329"/>
      <c r="R1481" s="518"/>
      <c r="S1481" s="892"/>
      <c r="T1481" s="341"/>
    </row>
    <row r="1482" spans="1:30" ht="18.75" customHeight="1" x14ac:dyDescent="0.2">
      <c r="A1482" s="329"/>
      <c r="B1482" s="1632"/>
      <c r="C1482" s="1991" t="s">
        <v>172</v>
      </c>
      <c r="D1482" s="1997">
        <f ca="1">L1047</f>
        <v>8544.5148145949242</v>
      </c>
      <c r="E1482" s="1998">
        <f>IF(Constants!D390&lt;&gt;"", $D1482*Constants!D390/100, 0)</f>
        <v>0</v>
      </c>
      <c r="F1482" s="1998">
        <f>IF(Constants!E390&lt;&gt;"", $D1482*Constants!E390/100, 0)</f>
        <v>0</v>
      </c>
      <c r="G1482" s="1998">
        <f>IF(Constants!F390&lt;&gt;"", $D1482*Constants!F390/100, 0)</f>
        <v>0</v>
      </c>
      <c r="H1482" s="1998">
        <f>IF(Constants!G390&lt;&gt;"", $D1482*Constants!G390/100, 0)</f>
        <v>0</v>
      </c>
      <c r="I1482" s="1998">
        <f ca="1">IF(Constants!H390&lt;&gt;"", $D1482*Constants!H390/100, 0)</f>
        <v>1115.7907910815741</v>
      </c>
      <c r="J1482" s="1998">
        <f>IF(Constants!I390&lt;&gt;"", $D1482*Constants!I390/100, 0)</f>
        <v>0</v>
      </c>
      <c r="K1482" s="1998">
        <f ca="1">IF(Constants!J390&lt;&gt;"", $D1482*Constants!J390/100, 0)</f>
        <v>4464.3489143699535</v>
      </c>
      <c r="L1482" s="1998">
        <f ca="1">IF(Constants!K390&lt;&gt;"", $D1482*Constants!K390/100, 0)</f>
        <v>2964.3751091433965</v>
      </c>
      <c r="M1482" s="1999">
        <f>IF(Constants!L390&lt;&gt;"", $D1482*Constants!L390/100, 0)</f>
        <v>0</v>
      </c>
      <c r="N1482" s="329"/>
      <c r="O1482" s="329"/>
      <c r="P1482" s="329"/>
      <c r="Q1482" s="329"/>
      <c r="R1482" s="518"/>
      <c r="S1482" s="892"/>
      <c r="T1482" s="341"/>
    </row>
    <row r="1483" spans="1:30" ht="18.75" customHeight="1" x14ac:dyDescent="0.2">
      <c r="A1483" s="329"/>
      <c r="B1483" s="1632"/>
      <c r="C1483" s="1991" t="s">
        <v>1801</v>
      </c>
      <c r="D1483" s="1997">
        <f ca="1">L1038</f>
        <v>4314.1135318237602</v>
      </c>
      <c r="E1483" s="1998">
        <f ca="1">IF(Constants!D391&lt;&gt;"", $D1483*Constants!D391/100, 0)</f>
        <v>235.2184691224501</v>
      </c>
      <c r="F1483" s="1998">
        <f>IF(Constants!E391&lt;&gt;"", $D1483*Constants!E391/100, 0)</f>
        <v>0</v>
      </c>
      <c r="G1483" s="1998">
        <f ca="1">IF(Constants!F391&lt;&gt;"", $D1483*Constants!F391/100, 0)</f>
        <v>445.08404935745051</v>
      </c>
      <c r="H1483" s="1998">
        <f>IF(Constants!G391&lt;&gt;"", $D1483*Constants!G391/100, 0)</f>
        <v>0</v>
      </c>
      <c r="I1483" s="1998">
        <f ca="1">IF(Constants!H391&lt;&gt;"", $D1483*Constants!H391/100, 0)</f>
        <v>1224.5445332638208</v>
      </c>
      <c r="J1483" s="1998">
        <f>IF(Constants!I391&lt;&gt;"", $D1483*Constants!I391/100, 0)</f>
        <v>0</v>
      </c>
      <c r="K1483" s="1998">
        <f ca="1">IF(Constants!J391&lt;&gt;"", $D1483*Constants!J391/100, 0)</f>
        <v>982.29046570756361</v>
      </c>
      <c r="L1483" s="1998">
        <f ca="1">IF(Constants!K391&lt;&gt;"", $D1483*Constants!K391/100, 0)</f>
        <v>1426.9760143724748</v>
      </c>
      <c r="M1483" s="1999">
        <f>IF(Constants!L391&lt;&gt;"", $D1483*Constants!L391/100, 0)</f>
        <v>0</v>
      </c>
      <c r="N1483" s="329"/>
      <c r="O1483" s="329"/>
      <c r="P1483" s="329"/>
      <c r="Q1483" s="329"/>
      <c r="R1483" s="518"/>
      <c r="S1483" s="892"/>
      <c r="T1483" s="341"/>
    </row>
    <row r="1484" spans="1:30" ht="18.75" customHeight="1" x14ac:dyDescent="0.2">
      <c r="A1484" s="329"/>
      <c r="B1484" s="1632"/>
      <c r="C1484" s="1991" t="s">
        <v>1838</v>
      </c>
      <c r="D1484" s="1997">
        <f ca="1">L1039</f>
        <v>7214.4939445638938</v>
      </c>
      <c r="E1484" s="1998">
        <f ca="1">IF(Constants!D392&lt;&gt;"", $D1484*Constants!D392/100, 0)</f>
        <v>424.50623034465536</v>
      </c>
      <c r="F1484" s="1998">
        <f>IF(Constants!E392&lt;&gt;"", $D1484*Constants!E392/100, 0)</f>
        <v>0</v>
      </c>
      <c r="G1484" s="1998">
        <f ca="1">IF(Constants!F392&lt;&gt;"", $D1484*Constants!F392/100, 0)</f>
        <v>424.50623034465536</v>
      </c>
      <c r="H1484" s="1998">
        <f>IF(Constants!G392&lt;&gt;"", $D1484*Constants!G392/100, 0)</f>
        <v>0</v>
      </c>
      <c r="I1484" s="1998">
        <f ca="1">IF(Constants!H392&lt;&gt;"", $D1484*Constants!H392/100, 0)</f>
        <v>1532.4463718312534</v>
      </c>
      <c r="J1484" s="1998">
        <f>IF(Constants!I392&lt;&gt;"", $D1484*Constants!I392/100, 0)</f>
        <v>0</v>
      </c>
      <c r="K1484" s="1998">
        <f ca="1">IF(Constants!J392&lt;&gt;"", $D1484*Constants!J392/100, 0)</f>
        <v>3192.4558098954276</v>
      </c>
      <c r="L1484" s="1998">
        <f ca="1">IF(Constants!K392&lt;&gt;"", $D1484*Constants!K392/100, 0)</f>
        <v>1640.5793021479019</v>
      </c>
      <c r="M1484" s="1999">
        <f>IF(Constants!L392&lt;&gt;"", $D1484*Constants!L392/100, 0)</f>
        <v>0</v>
      </c>
      <c r="N1484" s="329"/>
      <c r="O1484" s="329"/>
      <c r="P1484" s="329"/>
      <c r="Q1484" s="329"/>
      <c r="R1484" s="518"/>
      <c r="S1484" s="892"/>
      <c r="T1484" s="341"/>
    </row>
    <row r="1485" spans="1:30" ht="18.75" customHeight="1" x14ac:dyDescent="0.2">
      <c r="A1485" s="329"/>
      <c r="B1485" s="1632"/>
      <c r="C1485" s="1991" t="s">
        <v>1839</v>
      </c>
      <c r="D1485" s="1997">
        <f ca="1">L1041</f>
        <v>3.6555541191970266E-8</v>
      </c>
      <c r="E1485" s="1998">
        <f ca="1">IF(Constants!D393&lt;&gt;"", $D1485*Constants!D393/100, 0)</f>
        <v>1.6333679082853272E-8</v>
      </c>
      <c r="F1485" s="1998">
        <f ca="1">IF(Constants!E393&lt;&gt;"", $D1485*Constants!E393/100, 0)</f>
        <v>1.3542433141011461E-9</v>
      </c>
      <c r="G1485" s="1998">
        <f ca="1">IF(Constants!F393&lt;&gt;"", $D1485*Constants!F393/100, 0)</f>
        <v>7.6078379956615492E-9</v>
      </c>
      <c r="H1485" s="1998">
        <f ca="1">IF(Constants!G393&lt;&gt;"", $D1485*Constants!G393/100, 0)</f>
        <v>1.3151207294715576E-9</v>
      </c>
      <c r="I1485" s="1998">
        <f ca="1">IF(Constants!H393&lt;&gt;"", $D1485*Constants!H393/100, 0)</f>
        <v>4.9557781722134716E-9</v>
      </c>
      <c r="J1485" s="1998">
        <f ca="1">IF(Constants!I393&lt;&gt;"", $D1485*Constants!I393/100, 0)</f>
        <v>9.4195146069701953E-10</v>
      </c>
      <c r="K1485" s="1998">
        <f ca="1">IF(Constants!J393&lt;&gt;"", $D1485*Constants!J393/100, 0)</f>
        <v>2.8326255986615633E-9</v>
      </c>
      <c r="L1485" s="1998">
        <f>IF(Constants!K393&lt;&gt;"", $D1485*Constants!K393/100, 0)</f>
        <v>0</v>
      </c>
      <c r="M1485" s="1999">
        <f ca="1">IF(Constants!L393&lt;&gt;"", $D1485*Constants!L393/100, 0)</f>
        <v>1.2143048383106942E-9</v>
      </c>
      <c r="N1485" s="329"/>
      <c r="O1485" s="329"/>
      <c r="P1485" s="329"/>
      <c r="Q1485" s="329"/>
      <c r="R1485" s="518"/>
      <c r="S1485" s="892"/>
      <c r="T1485" s="341"/>
      <c r="X1485" s="184"/>
      <c r="Y1485" s="184"/>
      <c r="Z1485" s="184"/>
      <c r="AA1485" s="184"/>
      <c r="AB1485" s="184"/>
      <c r="AC1485" s="184"/>
      <c r="AD1485" s="184"/>
    </row>
    <row r="1486" spans="1:30" ht="18.75" customHeight="1" x14ac:dyDescent="0.2">
      <c r="A1486" s="329"/>
      <c r="B1486" s="1632"/>
      <c r="C1486" s="1991" t="s">
        <v>1799</v>
      </c>
      <c r="D1486" s="1997">
        <f ca="1">L1040</f>
        <v>3515.4639126487618</v>
      </c>
      <c r="E1486" s="1998">
        <f ca="1">IF(Constants!D394&lt;&gt;"", $D1486*Constants!D394/100, 0)</f>
        <v>206.85253115995351</v>
      </c>
      <c r="F1486" s="1998">
        <f>IF(Constants!E394&lt;&gt;"", $D1486*Constants!E394/100, 0)</f>
        <v>0</v>
      </c>
      <c r="G1486" s="1998">
        <f ca="1">IF(Constants!F394&lt;&gt;"", $D1486*Constants!F394/100, 0)</f>
        <v>206.85253115995351</v>
      </c>
      <c r="H1486" s="1998">
        <f>IF(Constants!G394&lt;&gt;"", $D1486*Constants!G394/100, 0)</f>
        <v>0</v>
      </c>
      <c r="I1486" s="1998">
        <f ca="1">IF(Constants!H394&lt;&gt;"", $D1486*Constants!H394/100, 0)</f>
        <v>746.72734631672768</v>
      </c>
      <c r="J1486" s="1998">
        <f>IF(Constants!I394&lt;&gt;"", $D1486*Constants!I394/100, 0)</f>
        <v>0</v>
      </c>
      <c r="K1486" s="1998">
        <f ca="1">IF(Constants!J394&lt;&gt;"", $D1486*Constants!J394/100, 0)</f>
        <v>1555.6133636884861</v>
      </c>
      <c r="L1486" s="1998">
        <f ca="1">IF(Constants!K394&lt;&gt;"", $D1486*Constants!K394/100, 0)</f>
        <v>799.41814032364118</v>
      </c>
      <c r="M1486" s="1999">
        <f>IF(Constants!L394&lt;&gt;"", $D1486*Constants!L394/100, 0)</f>
        <v>0</v>
      </c>
      <c r="N1486" s="329"/>
      <c r="O1486" s="329"/>
      <c r="P1486" s="329"/>
      <c r="Q1486" s="329"/>
      <c r="R1486" s="518"/>
      <c r="S1486" s="892"/>
      <c r="T1486" s="341"/>
      <c r="X1486" s="184"/>
      <c r="Y1486" s="184"/>
      <c r="Z1486" s="184"/>
      <c r="AA1486" s="184"/>
      <c r="AB1486" s="184"/>
      <c r="AC1486" s="184"/>
      <c r="AD1486" s="184"/>
    </row>
    <row r="1487" spans="1:30" ht="18.75" customHeight="1" x14ac:dyDescent="0.2">
      <c r="A1487" s="329"/>
      <c r="B1487" s="1632"/>
      <c r="C1487" s="1991" t="s">
        <v>1902</v>
      </c>
      <c r="D1487" s="1997">
        <f ca="1">L1042</f>
        <v>8.7633800156215396E-16</v>
      </c>
      <c r="E1487" s="1998">
        <f ca="1">IF(Constants!D395&lt;&gt;"", $D1487*Constants!D395/100, 0)</f>
        <v>3.9156371972327254E-16</v>
      </c>
      <c r="F1487" s="1998">
        <f ca="1">IF(Constants!E395&lt;&gt;"", $D1487*Constants!E395/100, 0)</f>
        <v>3.2464979065034103E-17</v>
      </c>
      <c r="G1487" s="1998">
        <f ca="1">IF(Constants!F395&lt;&gt;"", $D1487*Constants!F395/100, 0)</f>
        <v>1.8238103794756938E-16</v>
      </c>
      <c r="H1487" s="1998">
        <f ca="1">IF(Constants!G395&lt;&gt;"", $D1487*Constants!G395/100, 0)</f>
        <v>3.1527101892044235E-17</v>
      </c>
      <c r="I1487" s="1998">
        <f ca="1">IF(Constants!H395&lt;&gt;"", $D1487*Constants!H395/100, 0)</f>
        <v>1.1880378727854425E-16</v>
      </c>
      <c r="J1487" s="1998">
        <f ca="1">IF(Constants!I395&lt;&gt;"", $D1487*Constants!I395/100, 0)</f>
        <v>2.2581196549679283E-17</v>
      </c>
      <c r="K1487" s="1998">
        <f ca="1">IF(Constants!J395&lt;&gt;"", $D1487*Constants!J395/100, 0)</f>
        <v>6.7905914544363012E-17</v>
      </c>
      <c r="L1487" s="1998">
        <f>IF(Constants!K395&lt;&gt;"", $D1487*Constants!K395/100, 0)</f>
        <v>0</v>
      </c>
      <c r="M1487" s="1999">
        <f ca="1">IF(Constants!L395&lt;&gt;"", $D1487*Constants!L395/100, 0)</f>
        <v>2.9110264561647247E-17</v>
      </c>
      <c r="N1487" s="329"/>
      <c r="O1487" s="329"/>
      <c r="P1487" s="329"/>
      <c r="Q1487" s="329"/>
      <c r="R1487" s="518"/>
      <c r="S1487" s="892"/>
      <c r="T1487" s="341"/>
      <c r="X1487" s="184"/>
      <c r="Y1487" s="184"/>
      <c r="Z1487" s="184"/>
      <c r="AA1487" s="184"/>
      <c r="AB1487" s="184"/>
      <c r="AC1487" s="184"/>
      <c r="AD1487" s="184"/>
    </row>
    <row r="1488" spans="1:30" ht="18.75" customHeight="1" x14ac:dyDescent="0.2">
      <c r="A1488" s="329"/>
      <c r="B1488" s="1632"/>
      <c r="C1488" s="1991" t="s">
        <v>1905</v>
      </c>
      <c r="D1488" s="1997">
        <f ca="1">L1043</f>
        <v>2.4516129032278489E-18</v>
      </c>
      <c r="E1488" s="1998">
        <f ca="1">IF(Constants!D396&lt;&gt;"", $D1488*Constants!D396/100, 0)</f>
        <v>1.3366932272974264E-19</v>
      </c>
      <c r="F1488" s="1998">
        <f>IF(Constants!E396&lt;&gt;"", $D1488*Constants!E396/100, 0)</f>
        <v>0</v>
      </c>
      <c r="G1488" s="1998">
        <f ca="1">IF(Constants!F396&lt;&gt;"", $D1488*Constants!F396/100, 0)</f>
        <v>2.5293117354849502E-19</v>
      </c>
      <c r="H1488" s="1998">
        <f>IF(Constants!G396&lt;&gt;"", $D1488*Constants!G396/100, 0)</f>
        <v>0</v>
      </c>
      <c r="I1488" s="1998">
        <f ca="1">IF(Constants!H396&lt;&gt;"", $D1488*Constants!H396/100, 0)</f>
        <v>6.9588089330082765E-19</v>
      </c>
      <c r="J1488" s="1998">
        <f>IF(Constants!I396&lt;&gt;"", $D1488*Constants!I396/100, 0)</f>
        <v>0</v>
      </c>
      <c r="K1488" s="1998">
        <f ca="1">IF(Constants!J396&lt;&gt;"", $D1488*Constants!J396/100, 0)</f>
        <v>5.5821339950418693E-19</v>
      </c>
      <c r="L1488" s="1998">
        <f ca="1">IF(Constants!K396&lt;&gt;"", $D1488*Constants!K396/100, 0)</f>
        <v>8.1091811414459627E-19</v>
      </c>
      <c r="M1488" s="1999">
        <f>IF(Constants!L396&lt;&gt;"", $D1488*Constants!L396/100, 0)</f>
        <v>0</v>
      </c>
      <c r="N1488" s="329"/>
      <c r="O1488" s="329"/>
      <c r="P1488" s="329"/>
      <c r="Q1488" s="329"/>
      <c r="R1488" s="518"/>
      <c r="S1488" s="892"/>
      <c r="T1488" s="341"/>
      <c r="X1488" s="184"/>
      <c r="Y1488" s="184"/>
      <c r="Z1488" s="184"/>
      <c r="AA1488" s="184"/>
      <c r="AB1488" s="184"/>
      <c r="AC1488" s="184"/>
      <c r="AD1488" s="184"/>
    </row>
    <row r="1489" spans="1:30" ht="18.75" customHeight="1" x14ac:dyDescent="0.2">
      <c r="A1489" s="329"/>
      <c r="B1489" s="1632"/>
      <c r="C1489" s="1991" t="s">
        <v>1841</v>
      </c>
      <c r="D1489" s="1997">
        <f ca="1">L1044</f>
        <v>4.5005376344041782E-17</v>
      </c>
      <c r="E1489" s="1998">
        <f ca="1">IF(Constants!D397&lt;&gt;"", $D1489*Constants!D397/100, 0)</f>
        <v>2.5343497719457564E-18</v>
      </c>
      <c r="F1489" s="1998">
        <f>IF(Constants!E397&lt;&gt;"", $D1489*Constants!E397/100, 0)</f>
        <v>0</v>
      </c>
      <c r="G1489" s="1998">
        <f ca="1">IF(Constants!F397&lt;&gt;"", $D1489*Constants!F397/100, 0)</f>
        <v>4.7955360954183176E-18</v>
      </c>
      <c r="H1489" s="1998">
        <f>IF(Constants!G397&lt;&gt;"", $D1489*Constants!G397/100, 0)</f>
        <v>0</v>
      </c>
      <c r="I1489" s="1998">
        <f ca="1">IF(Constants!H397&lt;&gt;"", $D1489*Constants!H397/100, 0)</f>
        <v>9.0686601343079398E-18</v>
      </c>
      <c r="J1489" s="1998">
        <f>IF(Constants!I397&lt;&gt;"", $D1489*Constants!I397/100, 0)</f>
        <v>0</v>
      </c>
      <c r="K1489" s="1998">
        <f ca="1">IF(Constants!J397&lt;&gt;"", $D1489*Constants!J397/100, 0)</f>
        <v>1.889918602515666E-17</v>
      </c>
      <c r="L1489" s="1998">
        <f ca="1">IF(Constants!K397&lt;&gt;"", $D1489*Constants!K397/100, 0)</f>
        <v>9.7076443172131041E-18</v>
      </c>
      <c r="M1489" s="1999">
        <f>IF(Constants!L397&lt;&gt;"", $D1489*Constants!L397/100, 0)</f>
        <v>0</v>
      </c>
      <c r="N1489" s="329"/>
      <c r="O1489" s="329"/>
      <c r="P1489" s="329"/>
      <c r="Q1489" s="329"/>
      <c r="R1489" s="518"/>
      <c r="S1489" s="892"/>
      <c r="T1489" s="341"/>
      <c r="X1489" s="184"/>
      <c r="Y1489" s="184"/>
      <c r="Z1489" s="184"/>
      <c r="AA1489" s="184"/>
      <c r="AB1489" s="184"/>
      <c r="AC1489" s="184"/>
      <c r="AD1489" s="184"/>
    </row>
    <row r="1490" spans="1:30" ht="18.75" customHeight="1" x14ac:dyDescent="0.2">
      <c r="A1490" s="329"/>
      <c r="B1490" s="1632"/>
      <c r="C1490" s="1991" t="s">
        <v>531</v>
      </c>
      <c r="D1490" s="1997">
        <f ca="1">L1045</f>
        <v>8.3675264494798612E-16</v>
      </c>
      <c r="E1490" s="1998">
        <f ca="1">IF(Constants!D398&lt;&gt;"", $D1490*Constants!D398/100, 0)</f>
        <v>1.5631980334558171E-16</v>
      </c>
      <c r="F1490" s="1998">
        <f ca="1">IF(Constants!E398&lt;&gt;"", $D1490*Constants!E398/100, 0)</f>
        <v>6.1428066434453882E-17</v>
      </c>
      <c r="G1490" s="1998">
        <f ca="1">IF(Constants!F398&lt;&gt;"", $D1490*Constants!F398/100, 0)</f>
        <v>8.3191152828374696E-17</v>
      </c>
      <c r="H1490" s="1998">
        <f ca="1">IF(Constants!G398&lt;&gt;"", $D1490*Constants!G398/100, 0)</f>
        <v>1.9174332165611679E-16</v>
      </c>
      <c r="I1490" s="1998">
        <f ca="1">IF(Constants!H398&lt;&gt;"", $D1490*Constants!H398/100, 0)</f>
        <v>3.4407030068345901E-16</v>
      </c>
      <c r="J1490" s="1998">
        <f>IF(Constants!I398&lt;&gt;"", $D1490*Constants!I398/100, 0)</f>
        <v>0</v>
      </c>
      <c r="K1490" s="1998">
        <f>IF(Constants!J398&lt;&gt;"", $D1490*Constants!J398/100, 0)</f>
        <v>0</v>
      </c>
      <c r="L1490" s="1998">
        <f>IF(Constants!K398&lt;&gt;"", $D1490*Constants!K398/100, 0)</f>
        <v>0</v>
      </c>
      <c r="M1490" s="1999">
        <f>IF(Constants!L398&lt;&gt;"", $D1490*Constants!L398/100, 0)</f>
        <v>0</v>
      </c>
      <c r="N1490" s="329"/>
      <c r="O1490" s="184"/>
      <c r="P1490" s="329"/>
      <c r="Q1490" s="329"/>
      <c r="R1490" s="518"/>
      <c r="S1490" s="892"/>
      <c r="T1490" s="341"/>
      <c r="X1490" s="184"/>
      <c r="Y1490" s="184"/>
      <c r="Z1490" s="184"/>
      <c r="AA1490" s="184"/>
      <c r="AB1490" s="184"/>
      <c r="AC1490" s="184"/>
      <c r="AD1490" s="184"/>
    </row>
    <row r="1491" spans="1:30" ht="18.75" customHeight="1" x14ac:dyDescent="0.2">
      <c r="A1491" s="329"/>
      <c r="B1491" s="1632"/>
      <c r="C1491" s="1991" t="s">
        <v>598</v>
      </c>
      <c r="D1491" s="1997">
        <f t="shared" ref="D1491:M1491" ca="1" si="311">SUM(D1481:D1490)</f>
        <v>242602.85485445199</v>
      </c>
      <c r="E1491" s="1997">
        <f t="shared" ca="1" si="311"/>
        <v>33194.835204065952</v>
      </c>
      <c r="F1491" s="1997">
        <f t="shared" ca="1" si="311"/>
        <v>14518.678730580348</v>
      </c>
      <c r="G1491" s="1997">
        <f t="shared" ca="1" si="311"/>
        <v>62248.475862375817</v>
      </c>
      <c r="H1491" s="1997">
        <f t="shared" ca="1" si="311"/>
        <v>9063.803721805627</v>
      </c>
      <c r="I1491" s="1997">
        <f t="shared" ca="1" si="311"/>
        <v>76182.767871176009</v>
      </c>
      <c r="J1491" s="1997">
        <f t="shared" ca="1" si="311"/>
        <v>9.4195148327821605E-10</v>
      </c>
      <c r="K1491" s="1997">
        <f t="shared" ca="1" si="311"/>
        <v>40562.944898458649</v>
      </c>
      <c r="L1491" s="1997">
        <f t="shared" ca="1" si="311"/>
        <v>6831.348565987415</v>
      </c>
      <c r="M1491" s="2000">
        <f t="shared" ca="1" si="311"/>
        <v>1.2143048674209588E-9</v>
      </c>
      <c r="N1491" s="1988"/>
      <c r="O1491" s="184"/>
      <c r="P1491" s="329"/>
      <c r="Q1491" s="329"/>
      <c r="R1491" s="518"/>
      <c r="S1491" s="892"/>
      <c r="T1491" s="341"/>
      <c r="X1491" s="184"/>
      <c r="Y1491" s="184"/>
      <c r="Z1491" s="184"/>
      <c r="AA1491" s="184"/>
      <c r="AB1491" s="184"/>
      <c r="AC1491" s="184"/>
      <c r="AD1491" s="184"/>
    </row>
    <row r="1492" spans="1:30" ht="18.75" customHeight="1" x14ac:dyDescent="0.2">
      <c r="A1492" s="329"/>
      <c r="B1492" s="1632"/>
      <c r="C1492" s="1991" t="s">
        <v>1844</v>
      </c>
      <c r="D1492" s="731"/>
      <c r="E1492" s="731"/>
      <c r="F1492" s="731"/>
      <c r="G1492" s="731"/>
      <c r="H1492" s="731"/>
      <c r="I1492" s="731"/>
      <c r="J1492" s="731"/>
      <c r="K1492" s="731"/>
      <c r="L1492" s="731"/>
      <c r="M1492" s="2000"/>
      <c r="N1492" s="1988"/>
      <c r="O1492" s="184"/>
      <c r="P1492" s="329"/>
      <c r="Q1492" s="329"/>
      <c r="R1492" s="518"/>
      <c r="S1492" s="892"/>
      <c r="T1492" s="341"/>
      <c r="X1492" s="184"/>
      <c r="Y1492" s="184"/>
      <c r="Z1492" s="184"/>
      <c r="AA1492" s="184"/>
      <c r="AB1492" s="184"/>
      <c r="AC1492" s="184"/>
      <c r="AD1492" s="184"/>
    </row>
    <row r="1493" spans="1:30" ht="18.75" customHeight="1" x14ac:dyDescent="0.2">
      <c r="A1493" s="329"/>
      <c r="B1493" s="1632"/>
      <c r="C1493" s="1992" t="s">
        <v>1845</v>
      </c>
      <c r="D1493" s="731"/>
      <c r="E1493" s="731">
        <v>0.66800000000000004</v>
      </c>
      <c r="F1493" s="731">
        <v>1.2</v>
      </c>
      <c r="G1493" s="731">
        <v>1.264</v>
      </c>
      <c r="H1493" s="731">
        <v>1.748</v>
      </c>
      <c r="I1493" s="731">
        <v>1.8819999999999999</v>
      </c>
      <c r="J1493" s="731">
        <v>2.504</v>
      </c>
      <c r="K1493" s="731">
        <v>2.5099999999999998</v>
      </c>
      <c r="L1493" s="731">
        <v>2.5</v>
      </c>
      <c r="M1493" s="2002">
        <v>3.2280000000000002</v>
      </c>
      <c r="N1493" s="1988"/>
      <c r="O1493" s="184"/>
      <c r="P1493" s="329"/>
      <c r="Q1493" s="329"/>
      <c r="R1493" s="518"/>
      <c r="S1493" s="892"/>
      <c r="T1493" s="341"/>
      <c r="X1493" s="184"/>
      <c r="Y1493" s="184"/>
      <c r="Z1493" s="184"/>
      <c r="AA1493" s="184"/>
      <c r="AB1493" s="184"/>
      <c r="AC1493" s="184"/>
      <c r="AD1493" s="184"/>
    </row>
    <row r="1494" spans="1:30" ht="18.75" customHeight="1" x14ac:dyDescent="0.2">
      <c r="A1494" s="329"/>
      <c r="B1494" s="1632"/>
      <c r="C1494" s="1991" t="s">
        <v>1846</v>
      </c>
      <c r="D1494" s="2003"/>
      <c r="E1494" s="2003">
        <v>25.187032418952622</v>
      </c>
      <c r="F1494" s="2003">
        <v>14.407988587731813</v>
      </c>
      <c r="G1494" s="2003">
        <v>20.159680638722556</v>
      </c>
      <c r="H1494" s="2003">
        <v>14.407988587731813</v>
      </c>
      <c r="I1494" s="2003">
        <v>18.330308529945555</v>
      </c>
      <c r="J1494" s="2003">
        <v>14.407988587731813</v>
      </c>
      <c r="K1494" s="2003">
        <v>17.383820998278829</v>
      </c>
      <c r="L1494" s="2003">
        <v>17.383820998278829</v>
      </c>
      <c r="M1494" s="2004">
        <v>16.805324459234608</v>
      </c>
      <c r="N1494" s="1988"/>
      <c r="O1494" s="184"/>
      <c r="P1494" s="329"/>
      <c r="Q1494" s="329"/>
      <c r="R1494" s="518"/>
      <c r="S1494" s="892"/>
      <c r="T1494" s="341"/>
      <c r="X1494" s="184"/>
      <c r="Y1494" s="184"/>
      <c r="Z1494" s="184"/>
      <c r="AA1494" s="184"/>
      <c r="AB1494" s="184"/>
      <c r="AC1494" s="184"/>
      <c r="AD1494" s="184"/>
    </row>
    <row r="1495" spans="1:30" ht="18.75" customHeight="1" x14ac:dyDescent="0.2">
      <c r="A1495" s="329"/>
      <c r="B1495" s="1632"/>
      <c r="C1495" s="1991" t="s">
        <v>1855</v>
      </c>
      <c r="D1495" s="2003"/>
      <c r="E1495" s="2003"/>
      <c r="F1495" s="2003"/>
      <c r="G1495" s="2003"/>
      <c r="H1495" s="2003"/>
      <c r="I1495" s="2003">
        <v>50.234999999999999</v>
      </c>
      <c r="J1495" s="2003"/>
      <c r="K1495" s="2003"/>
      <c r="L1495" s="2003"/>
      <c r="M1495" s="2004"/>
      <c r="N1495" s="1988"/>
      <c r="O1495" s="184"/>
      <c r="P1495" s="329"/>
      <c r="Q1495" s="329"/>
      <c r="R1495" s="518"/>
      <c r="S1495" s="892"/>
      <c r="X1495" s="184"/>
      <c r="Y1495" s="184"/>
      <c r="Z1495" s="184"/>
      <c r="AA1495" s="184"/>
      <c r="AB1495" s="184"/>
      <c r="AC1495" s="184"/>
      <c r="AD1495" s="184"/>
    </row>
    <row r="1496" spans="1:30" ht="18.75" customHeight="1" x14ac:dyDescent="0.2">
      <c r="A1496" s="329"/>
      <c r="B1496" s="1632"/>
      <c r="C1496" s="1993" t="s">
        <v>1856</v>
      </c>
      <c r="D1496" s="2006"/>
      <c r="E1496" s="2006">
        <v>50.12</v>
      </c>
      <c r="F1496" s="2006">
        <v>47.195</v>
      </c>
      <c r="G1496" s="2006">
        <v>47.59</v>
      </c>
      <c r="H1496" s="2006">
        <v>45.8</v>
      </c>
      <c r="I1496" s="2006">
        <v>46.45</v>
      </c>
      <c r="J1496" s="2006">
        <v>45.09</v>
      </c>
      <c r="K1496" s="2006">
        <v>45.84</v>
      </c>
      <c r="L1496" s="2006">
        <v>45.84</v>
      </c>
      <c r="M1496" s="2007">
        <v>45.36</v>
      </c>
      <c r="N1496" s="1988"/>
      <c r="O1496" s="329"/>
      <c r="P1496" s="329"/>
      <c r="Q1496" s="329"/>
      <c r="R1496" s="518"/>
      <c r="S1496" s="892"/>
      <c r="X1496" s="184"/>
      <c r="Y1496" s="184"/>
      <c r="Z1496" s="184"/>
      <c r="AA1496" s="184"/>
      <c r="AB1496" s="184"/>
      <c r="AC1496" s="184"/>
      <c r="AD1496" s="184"/>
    </row>
    <row r="1497" spans="1:30" ht="18.75" customHeight="1" x14ac:dyDescent="0.2">
      <c r="A1497" s="329"/>
      <c r="B1497" s="1632"/>
      <c r="C1497" s="329"/>
      <c r="D1497" s="329"/>
      <c r="E1497" s="329"/>
      <c r="F1497" s="329"/>
      <c r="G1497" s="329"/>
      <c r="H1497" s="329"/>
      <c r="I1497" s="329"/>
      <c r="J1497" s="329"/>
      <c r="K1497" s="329"/>
      <c r="L1497" s="329"/>
      <c r="M1497" s="329"/>
      <c r="N1497" s="329"/>
      <c r="O1497" s="329"/>
      <c r="P1497" s="329"/>
      <c r="Q1497" s="329"/>
      <c r="R1497" s="518"/>
      <c r="S1497" s="892"/>
      <c r="X1497" s="184"/>
      <c r="Y1497" s="184"/>
      <c r="Z1497" s="184"/>
      <c r="AA1497" s="184"/>
      <c r="AB1497" s="184"/>
      <c r="AC1497" s="184"/>
      <c r="AD1497" s="184"/>
    </row>
    <row r="1498" spans="1:30" ht="18.75" customHeight="1" x14ac:dyDescent="0.2">
      <c r="A1498" s="329"/>
      <c r="B1498" s="1632"/>
      <c r="C1498" s="2034" t="s">
        <v>1901</v>
      </c>
      <c r="D1498" s="2149" t="s">
        <v>1949</v>
      </c>
      <c r="E1498" s="2019" t="s">
        <v>1847</v>
      </c>
      <c r="F1498" s="2172" t="s">
        <v>1988</v>
      </c>
      <c r="G1498" s="2019" t="s">
        <v>1883</v>
      </c>
      <c r="H1498" s="2172" t="s">
        <v>1856</v>
      </c>
      <c r="I1498" s="2172" t="s">
        <v>1852</v>
      </c>
      <c r="J1498" s="2172" t="s">
        <v>1990</v>
      </c>
      <c r="K1498" s="2019" t="s">
        <v>1895</v>
      </c>
      <c r="L1498" s="2172" t="s">
        <v>1954</v>
      </c>
      <c r="M1498" s="2172" t="s">
        <v>1953</v>
      </c>
      <c r="N1498" s="2172" t="s">
        <v>1897</v>
      </c>
      <c r="O1498" s="2172" t="s">
        <v>1887</v>
      </c>
      <c r="P1498" s="2172" t="s">
        <v>1888</v>
      </c>
      <c r="Q1498" s="2107" t="s">
        <v>1889</v>
      </c>
      <c r="R1498" s="518"/>
      <c r="S1498" s="892"/>
      <c r="T1498" s="329"/>
      <c r="U1498" s="329"/>
      <c r="V1498" s="1583"/>
      <c r="W1498" s="1583"/>
      <c r="X1498" s="184"/>
      <c r="Y1498" s="184"/>
      <c r="Z1498" s="184"/>
      <c r="AA1498" s="184"/>
      <c r="AB1498" s="184"/>
      <c r="AC1498" s="184"/>
      <c r="AD1498" s="184"/>
    </row>
    <row r="1499" spans="1:30" ht="18.75" customHeight="1" x14ac:dyDescent="0.2">
      <c r="A1499" s="329"/>
      <c r="B1499" s="1632"/>
      <c r="C1499" s="1991" t="s">
        <v>1849</v>
      </c>
      <c r="D1499" s="2152">
        <f ca="1">I1491+K1491+L1491</f>
        <v>123577.06133562207</v>
      </c>
      <c r="E1499" s="2003">
        <f ca="1">D1499*'Main Input &amp; Output'!E137</f>
        <v>0</v>
      </c>
      <c r="F1499" s="2003">
        <f ca="1">E1499/I1499</f>
        <v>0</v>
      </c>
      <c r="G1499" s="2126">
        <f ca="1">E1499*H1499</f>
        <v>0</v>
      </c>
      <c r="H1499" s="2126">
        <f ca="1">SUM(G1508:G1517)/D1499</f>
        <v>46.216052706701021</v>
      </c>
      <c r="I1499" s="2171">
        <f ca="1">E1518</f>
        <v>2.0813763762271065</v>
      </c>
      <c r="J1499" s="2126">
        <f ca="1">I1499*1000*'Energy &amp; Unit Conversions'!$G$81</f>
        <v>58.93802263916654</v>
      </c>
      <c r="K1499" s="731">
        <f ca="1">E1499/E1518/'Energy &amp; Unit Conversions'!$G$80</f>
        <v>0</v>
      </c>
      <c r="L1499" s="2003">
        <f ca="1">(I1491*I1494+K1491*K1494+L1491*L1494)/D1499</f>
        <v>17.967311487036255</v>
      </c>
      <c r="M1499" s="2003">
        <f ca="1">IF(E1499=0,0,(I1491*I1494+K1491*K1494+L1491*L1494)/E1499)</f>
        <v>0</v>
      </c>
      <c r="N1499" s="2191">
        <f ca="1">Constants!G360*K1499</f>
        <v>0</v>
      </c>
      <c r="O1499" s="2191">
        <f ca="1">SUM(G1508:G1517)</f>
        <v>5711243.9800263345</v>
      </c>
      <c r="P1499" s="2191">
        <f>IF('HydroRefineryPFD '!E29=FALSE, 0, IF(allocationMethod=1, E1499, IF(allocationMethod=2, O1499, IF(allocationMethod=3, N1499, M1499*E1499))))</f>
        <v>0</v>
      </c>
      <c r="Q1499" s="2002">
        <f ca="1">P1499/SUM(P$1499:P$1503)</f>
        <v>0</v>
      </c>
      <c r="R1499" s="518"/>
      <c r="S1499" s="892"/>
      <c r="T1499" s="329"/>
      <c r="U1499" s="329"/>
      <c r="V1499" s="1583"/>
      <c r="W1499" s="1583"/>
      <c r="X1499" s="184"/>
      <c r="Y1499" s="184"/>
      <c r="Z1499" s="184"/>
      <c r="AA1499" s="184"/>
      <c r="AB1499" s="184"/>
      <c r="AC1499" s="184"/>
      <c r="AD1499" s="184"/>
    </row>
    <row r="1500" spans="1:30" ht="18.75" customHeight="1" x14ac:dyDescent="0.2">
      <c r="A1500" s="329"/>
      <c r="B1500" s="1632"/>
      <c r="C1500" s="1991" t="s">
        <v>1848</v>
      </c>
      <c r="D1500" s="2152">
        <f ca="1">F1491+H1491+J1491+G1491</f>
        <v>85830.958314762742</v>
      </c>
      <c r="E1500" s="2003">
        <f ca="1">D1500*'Main Input &amp; Output'!E143</f>
        <v>0</v>
      </c>
      <c r="F1500" s="2003">
        <f ca="1">E1500/I1500</f>
        <v>0</v>
      </c>
      <c r="G1500" s="2126">
        <f ca="1">E1500*H1500</f>
        <v>0</v>
      </c>
      <c r="H1500" s="2126">
        <f ca="1">SUM(K1508:K1517)/D1500</f>
        <v>47.334158900334252</v>
      </c>
      <c r="I1500" s="2171">
        <f ca="1">I1518</f>
        <v>1.2900828572701448</v>
      </c>
      <c r="J1500" s="2126">
        <f ca="1">I1500*1000*'Energy &amp; Unit Conversions'!$G$81</f>
        <v>36.5310827568901</v>
      </c>
      <c r="K1500" s="731">
        <f ca="1">E1500/I1518/'Energy &amp; Unit Conversions'!$G$80</f>
        <v>0</v>
      </c>
      <c r="L1500" s="2003">
        <f ca="1">(F1491*F1494+H1491*H1494+J1491*J1494+G1491*G1494)/D1500</f>
        <v>18.579374656741074</v>
      </c>
      <c r="M1500" s="2003">
        <f ca="1">IF(E1500=0,0,(F1491*F1494+H1491*H1494+J1491*J1494)/E1500)</f>
        <v>0</v>
      </c>
      <c r="N1500" s="2191">
        <f ca="1">Constants!G361*E1500</f>
        <v>0</v>
      </c>
      <c r="O1500" s="2191">
        <f ca="1">SUM(K1508:K1517)</f>
        <v>4062736.2194389449</v>
      </c>
      <c r="P1500" s="2191">
        <f>IF('HydroRefineryPFD '!E30=FALSE, 0, IF(allocationMethod=1, E1500, IF(allocationMethod=2, O1500, IF(allocationMethod=3, N1500, M1500*E1500))))</f>
        <v>0</v>
      </c>
      <c r="Q1500" s="2002">
        <f ca="1">P1500/SUM(P$1499:P$1503)</f>
        <v>0</v>
      </c>
      <c r="R1500" s="518"/>
      <c r="S1500" s="892"/>
      <c r="T1500" s="329"/>
      <c r="U1500" s="329"/>
      <c r="V1500" s="1583"/>
      <c r="W1500" s="1583"/>
      <c r="X1500" s="184"/>
      <c r="Y1500" s="184"/>
      <c r="Z1500" s="184"/>
      <c r="AA1500" s="184"/>
      <c r="AB1500" s="184"/>
      <c r="AC1500" s="184"/>
      <c r="AD1500" s="184"/>
    </row>
    <row r="1501" spans="1:30" ht="18.75" customHeight="1" x14ac:dyDescent="0.2">
      <c r="A1501" s="329"/>
      <c r="B1501" s="1632"/>
      <c r="C1501" s="1991" t="s">
        <v>1926</v>
      </c>
      <c r="D1501" s="1973">
        <f ca="1">IF(CokingRefineryPFD!E32=1,D1491-SUM(D1499:D1500),0)</f>
        <v>33194.835204067174</v>
      </c>
      <c r="E1501" s="2003">
        <f ca="1">IF(CokingRefineryPFD!E32=1,D1491-SUM(E1499:E1500),0)</f>
        <v>242602.85485445199</v>
      </c>
      <c r="F1501" s="2003">
        <f ca="1">D1501/M1518+(D1499-E1499)/I1499+(D1500-E1500)/I1500</f>
        <v>175596.98094940514</v>
      </c>
      <c r="G1501" s="2126">
        <f ca="1">SUM(O1508:O1517)+H1499*(D1499-E1499)+H1500*(D1500-E1500)</f>
        <v>11437705.339893121</v>
      </c>
      <c r="H1501" s="2126">
        <f ca="1">G1501/E1501</f>
        <v>47.145798621187282</v>
      </c>
      <c r="I1501" s="2171">
        <f ca="1">E1501/F1501</f>
        <v>1.3815889859994419</v>
      </c>
      <c r="J1501" s="2126">
        <f ca="1">I1501*1000*'Energy &amp; Unit Conversions'!$G$81</f>
        <v>39.122248078198304</v>
      </c>
      <c r="K1501" s="731">
        <f ca="1">E1501/M1518/'Energy &amp; Unit Conversions'!$G$80</f>
        <v>2284320.3603609209</v>
      </c>
      <c r="L1501" s="2003">
        <f ca="1">IF(E1501=0,0,(E1491*E1494+M1491*M1494)/D1501)</f>
        <v>25.18703241895231</v>
      </c>
      <c r="M1501" s="2126">
        <f ca="1">(D1501*L1501+(D1500-E1500)*L1500+(D1499-E1499)*L1499)/E1501</f>
        <v>19.171713698768436</v>
      </c>
      <c r="N1501" s="2191">
        <f ca="1">Constants!G353*K1501</f>
        <v>77568670.328359649</v>
      </c>
      <c r="O1501" s="2191">
        <f ca="1">'Energy &amp; Unit Conversions'!Q27*E1501</f>
        <v>11377714.671218034</v>
      </c>
      <c r="P1501" s="2191">
        <f ca="1">IF(allocationMethod=1, E1501, IF(allocationMethod=2, O1501,IF(allocationMethod=3, N1501, M1501*E1501)))</f>
        <v>4651112.4757734276</v>
      </c>
      <c r="Q1501" s="2002">
        <f ca="1">IF(D1499+D1500+D1502+D1503=0,0,P1501/SUM(P$1499:P$1503))</f>
        <v>1</v>
      </c>
      <c r="R1501" s="518"/>
      <c r="S1501" s="892"/>
      <c r="T1501" s="329"/>
      <c r="U1501" s="329"/>
      <c r="V1501" s="1583"/>
      <c r="W1501" s="1583"/>
      <c r="X1501" s="184"/>
      <c r="Y1501" s="184"/>
      <c r="Z1501" s="184"/>
      <c r="AA1501" s="184"/>
      <c r="AB1501" s="184"/>
      <c r="AC1501" s="184"/>
      <c r="AD1501" s="184"/>
    </row>
    <row r="1502" spans="1:30" ht="18.75" customHeight="1" x14ac:dyDescent="0.2">
      <c r="A1502" s="329"/>
      <c r="B1502" s="1632"/>
      <c r="C1502" s="1991" t="s">
        <v>1486</v>
      </c>
      <c r="D1502" s="2152">
        <f ca="1">D1491-SUM(E1499:E1501)</f>
        <v>0</v>
      </c>
      <c r="E1502" s="2003">
        <f ca="1">D1491-SUM(E1499:E1501)</f>
        <v>0</v>
      </c>
      <c r="F1502" s="2003"/>
      <c r="G1502" s="2126">
        <f ca="1">E1502*'Energy &amp; Unit Conversions'!$Q$27</f>
        <v>0</v>
      </c>
      <c r="H1502" s="2126"/>
      <c r="I1502" s="2171"/>
      <c r="J1502" s="2126"/>
      <c r="K1502" s="2067">
        <f ca="1">E1502/M1518/'Energy &amp; Unit Conversions'!$G$80</f>
        <v>0</v>
      </c>
      <c r="L1502" s="2003"/>
      <c r="M1502" s="2003">
        <f ca="1">IF(E1502=0,0,(E1491*E1494+G1491*G1494+M1491*M1494)/E1502)</f>
        <v>0</v>
      </c>
      <c r="N1502" s="2191">
        <f ca="1">Constants!G353*K1502</f>
        <v>0</v>
      </c>
      <c r="O1502" s="2072">
        <f ca="1">'Energy &amp; Unit Conversions'!Q27*E1502</f>
        <v>0</v>
      </c>
      <c r="P1502" s="2191">
        <f>IF('HydroRefineryPFD '!E32=FALSE,0,IF(allocationMethod=1, E1502, IF(allocationMethod=2, O1502,IF(allocationMethod=3, N1502, M1502*E1502))))</f>
        <v>0</v>
      </c>
      <c r="Q1502" s="2002">
        <f ca="1">P1502/SUM(P$1499:P$1503)</f>
        <v>0</v>
      </c>
      <c r="R1502" s="518"/>
      <c r="S1502" s="892"/>
      <c r="T1502" s="329"/>
      <c r="U1502" s="329"/>
      <c r="V1502" s="1583"/>
      <c r="W1502" s="1583"/>
      <c r="X1502" s="184"/>
      <c r="Y1502" s="184"/>
      <c r="Z1502" s="184"/>
      <c r="AA1502" s="184"/>
      <c r="AB1502" s="184"/>
      <c r="AC1502" s="184"/>
      <c r="AD1502" s="184"/>
    </row>
    <row r="1503" spans="1:30" ht="18.75" customHeight="1" x14ac:dyDescent="0.2">
      <c r="A1503" s="329"/>
      <c r="B1503" s="1632"/>
      <c r="C1503" s="1993" t="s">
        <v>142</v>
      </c>
      <c r="D1503" s="2151"/>
      <c r="E1503" s="2006"/>
      <c r="F1503" s="2006"/>
      <c r="G1503" s="2020"/>
      <c r="H1503" s="2128"/>
      <c r="I1503" s="2020"/>
      <c r="J1503" s="2128"/>
      <c r="K1503" s="2020"/>
      <c r="L1503" s="2006"/>
      <c r="M1503" s="2006"/>
      <c r="N1503" s="2020"/>
      <c r="O1503" s="2020"/>
      <c r="P1503" s="2020">
        <f>IF(allocationMethod=1, 'HydroRefineryPFD '!EC123,0)</f>
        <v>0</v>
      </c>
      <c r="Q1503" s="2021">
        <f ca="1">P1503/SUM(P$1499:P$1503)</f>
        <v>0</v>
      </c>
      <c r="R1503" s="518"/>
      <c r="S1503" s="892"/>
      <c r="T1503" s="329"/>
      <c r="U1503" s="329"/>
      <c r="V1503" s="1583"/>
      <c r="W1503" s="1583"/>
      <c r="X1503" s="184"/>
      <c r="Y1503" s="184"/>
      <c r="Z1503" s="184"/>
      <c r="AA1503" s="184"/>
      <c r="AB1503" s="184"/>
      <c r="AC1503" s="184"/>
      <c r="AD1503" s="184"/>
    </row>
    <row r="1504" spans="1:30" ht="18.75" customHeight="1" x14ac:dyDescent="0.2">
      <c r="A1504" s="329"/>
      <c r="B1504" s="1632"/>
      <c r="C1504" s="329"/>
      <c r="D1504" s="1989"/>
      <c r="E1504" s="329"/>
      <c r="F1504" s="329"/>
      <c r="G1504" s="329"/>
      <c r="H1504" s="329"/>
      <c r="I1504" s="329"/>
      <c r="J1504" s="329"/>
      <c r="K1504" s="329"/>
      <c r="L1504" s="329"/>
      <c r="M1504" s="329"/>
      <c r="N1504" s="329"/>
      <c r="O1504" s="329"/>
      <c r="P1504" s="329"/>
      <c r="Q1504" s="329"/>
      <c r="R1504" s="518"/>
      <c r="S1504" s="892"/>
      <c r="X1504" s="184"/>
      <c r="Y1504" s="184"/>
      <c r="Z1504" s="184"/>
      <c r="AA1504" s="184"/>
      <c r="AB1504" s="184"/>
      <c r="AC1504" s="184"/>
      <c r="AD1504" s="184"/>
    </row>
    <row r="1505" spans="1:30" ht="18.75" customHeight="1" x14ac:dyDescent="0.2">
      <c r="A1505" s="329"/>
      <c r="B1505" s="1632"/>
      <c r="C1505" s="2035" t="s">
        <v>1913</v>
      </c>
      <c r="D1505" s="2030"/>
      <c r="E1505" s="329"/>
      <c r="F1505" s="329"/>
      <c r="G1505" s="329"/>
      <c r="H1505" s="329"/>
      <c r="I1505" s="329"/>
      <c r="J1505" s="329"/>
      <c r="K1505" s="329"/>
      <c r="L1505" s="329"/>
      <c r="M1505" s="329"/>
      <c r="N1505" s="329"/>
      <c r="O1505" s="329"/>
      <c r="P1505" s="329"/>
      <c r="Q1505" s="329"/>
      <c r="R1505" s="518"/>
      <c r="S1505" s="892"/>
      <c r="X1505" s="184"/>
      <c r="Y1505" s="184"/>
      <c r="Z1505" s="184"/>
      <c r="AA1505" s="184"/>
      <c r="AB1505" s="184"/>
      <c r="AC1505" s="184"/>
      <c r="AD1505" s="184"/>
    </row>
    <row r="1506" spans="1:30" ht="18.75" customHeight="1" x14ac:dyDescent="0.2">
      <c r="A1506" s="329"/>
      <c r="B1506" s="1632"/>
      <c r="C1506" s="1615"/>
      <c r="D1506" s="2435" t="s">
        <v>1851</v>
      </c>
      <c r="E1506" s="2435"/>
      <c r="F1506" s="2435"/>
      <c r="G1506" s="2170"/>
      <c r="H1506" s="2435" t="s">
        <v>1884</v>
      </c>
      <c r="I1506" s="2435"/>
      <c r="J1506" s="2435"/>
      <c r="K1506" s="2170"/>
      <c r="L1506" s="2435" t="s">
        <v>1989</v>
      </c>
      <c r="M1506" s="2435"/>
      <c r="N1506" s="2435"/>
      <c r="O1506" s="2436"/>
      <c r="P1506" s="329"/>
      <c r="Q1506" s="329"/>
      <c r="R1506" s="518"/>
      <c r="S1506" s="892"/>
      <c r="X1506" s="184"/>
      <c r="Y1506" s="184"/>
      <c r="Z1506" s="184"/>
      <c r="AA1506" s="184"/>
      <c r="AB1506" s="184"/>
      <c r="AC1506" s="184"/>
      <c r="AD1506" s="184"/>
    </row>
    <row r="1507" spans="1:30" ht="18.75" customHeight="1" x14ac:dyDescent="0.2">
      <c r="A1507" s="329"/>
      <c r="B1507" s="1632"/>
      <c r="C1507" s="1791" t="s">
        <v>170</v>
      </c>
      <c r="D1507" s="1986" t="s">
        <v>1842</v>
      </c>
      <c r="E1507" s="1986" t="s">
        <v>1852</v>
      </c>
      <c r="F1507" s="1986" t="s">
        <v>1846</v>
      </c>
      <c r="G1507" s="1986" t="s">
        <v>1857</v>
      </c>
      <c r="H1507" s="1986" t="s">
        <v>1842</v>
      </c>
      <c r="I1507" s="1986" t="s">
        <v>1852</v>
      </c>
      <c r="J1507" s="1986" t="s">
        <v>1846</v>
      </c>
      <c r="K1507" s="1986" t="s">
        <v>1857</v>
      </c>
      <c r="L1507" s="2189" t="s">
        <v>1842</v>
      </c>
      <c r="M1507" s="2189" t="s">
        <v>1852</v>
      </c>
      <c r="N1507" s="2189" t="s">
        <v>1846</v>
      </c>
      <c r="O1507" s="2024" t="s">
        <v>1857</v>
      </c>
      <c r="P1507" s="1973" t="s">
        <v>1955</v>
      </c>
      <c r="Q1507" s="1973" t="s">
        <v>1956</v>
      </c>
      <c r="R1507" s="518" t="s">
        <v>1872</v>
      </c>
      <c r="S1507" s="892"/>
      <c r="X1507" s="184"/>
      <c r="Y1507" s="184"/>
      <c r="Z1507" s="184"/>
      <c r="AA1507" s="184"/>
      <c r="AB1507" s="184"/>
      <c r="AC1507" s="184"/>
      <c r="AD1507" s="184"/>
    </row>
    <row r="1508" spans="1:30" ht="18.75" customHeight="1" x14ac:dyDescent="0.2">
      <c r="A1508" s="329"/>
      <c r="B1508" s="1632"/>
      <c r="C1508" s="1605" t="s">
        <v>539</v>
      </c>
      <c r="D1508" s="1997">
        <f t="shared" ref="D1508:D1517" ca="1" si="312">SUM(I1481,K1481,L1481)</f>
        <v>101931.49517347208</v>
      </c>
      <c r="E1508" s="731">
        <f t="shared" ref="E1508:E1517" ca="1" si="313">((I1481/I$1493+K1481/K$1493+L1481/L$1493)/D1508)^-1</f>
        <v>2.033586206896552</v>
      </c>
      <c r="F1508" s="731">
        <f t="shared" ref="F1508:F1518" ca="1" si="314">(I1481*I$1494+K1481*K$1494+L1481*L$1494)/D1508</f>
        <v>18.048323486852251</v>
      </c>
      <c r="G1508" s="731">
        <f t="shared" ref="G1508:G1517" ca="1" si="315">(I1481*I$1496+K1481*K$1496+L1481*L$1496)</f>
        <v>4716193.3266374543</v>
      </c>
      <c r="H1508" s="2015">
        <f ca="1">F1481+H1481+J1481+G1481</f>
        <v>84754.515503889459</v>
      </c>
      <c r="I1508" s="731">
        <f ca="1">IF(H1508=0,0,((F1481/F$1493+H1481/H$1493+J1481/J$1493+G1481/G$1493)/H1508)^-1)</f>
        <v>1.2904210526315791</v>
      </c>
      <c r="J1508" s="731">
        <f ca="1">IF(H1508=0, 0, (F1481*F$1494+H1481*H$1494+J1481*J$1494+G1481*G$1494)/H1508)</f>
        <v>18.559303643377959</v>
      </c>
      <c r="K1508" s="731">
        <f ca="1">(F1481*F$1496+H1481*H$1496+J1481*J$1496+G1481*G$1496)</f>
        <v>4011508.306069491</v>
      </c>
      <c r="L1508" s="2191"/>
      <c r="M1508" s="2191"/>
      <c r="N1508" s="2191"/>
      <c r="O1508" s="2002">
        <f t="shared" ref="O1508:O1517" ca="1" si="316">E1481*E$1496+M1481*M$1496</f>
        <v>1620292.2896279385</v>
      </c>
      <c r="P1508" s="329">
        <f ca="1">IF(allocationMethod=1,D1508,IF(allocationMethod=2, G1508, IF(allocationMethod=3,Constants!$G$360*CokingRefineryCalcs!D1508/CokingRefineryCalcs!E1508/'Energy &amp; Unit Conversions'!$G$80, F1508*D1508/100)))</f>
        <v>18396.92598389343</v>
      </c>
      <c r="Q1508" s="329">
        <f ca="1">IF(allocationMethod=1,H1508,IF(allocationMethod=2, K1508, IF(allocationMethod=3,Constants!$G$361*CokingRefineryCalcs!H1508,J1508*H1508/100)))</f>
        <v>15729.847883840692</v>
      </c>
      <c r="R1508" s="518">
        <f ca="1">P1508*E$1499/D$1499+Q1508*E$1500/D$1500</f>
        <v>0</v>
      </c>
      <c r="S1508" s="892"/>
      <c r="X1508" s="184"/>
      <c r="Y1508" s="184"/>
      <c r="Z1508" s="184"/>
      <c r="AA1508" s="184"/>
      <c r="AB1508" s="184"/>
      <c r="AC1508" s="184"/>
      <c r="AD1508" s="184"/>
    </row>
    <row r="1509" spans="1:30" ht="18.75" customHeight="1" x14ac:dyDescent="0.2">
      <c r="A1509" s="329"/>
      <c r="B1509" s="1632"/>
      <c r="C1509" s="1991" t="s">
        <v>172</v>
      </c>
      <c r="D1509" s="1997">
        <f t="shared" ca="1" si="312"/>
        <v>8544.5148145949242</v>
      </c>
      <c r="E1509" s="731">
        <f t="shared" ca="1" si="313"/>
        <v>2.4019999999999997</v>
      </c>
      <c r="F1509" s="731">
        <f t="shared" ca="1" si="314"/>
        <v>17.507418662350211</v>
      </c>
      <c r="G1509" s="731">
        <f t="shared" ca="1" si="315"/>
        <v>392361.1914835911</v>
      </c>
      <c r="H1509" s="2015">
        <f t="shared" ref="H1509:H1517" si="317">F1482+H1482+J1482+G1482</f>
        <v>0</v>
      </c>
      <c r="I1509" s="2154">
        <f t="shared" ref="I1509:I1518" si="318">IF(H1509=0,0,((F1482/F$1493+H1482/H$1493+J1482/J$1493+G1482/G$1493)/H1509)^-1)</f>
        <v>0</v>
      </c>
      <c r="J1509" s="2154">
        <f t="shared" ref="J1509:J1517" si="319">IF(H1509=0, 0, (F1482*F$1494+H1482*H$1494+J1482*J$1494+G1482*G$1494)/H1509)</f>
        <v>0</v>
      </c>
      <c r="K1509" s="2154">
        <f t="shared" ref="K1509:K1517" si="320">(F1482*F$1496+H1482*H$1496+J1482*J$1496+G1482*G$1496)</f>
        <v>0</v>
      </c>
      <c r="L1509" s="2191"/>
      <c r="M1509" s="2191"/>
      <c r="N1509" s="2191"/>
      <c r="O1509" s="2002">
        <f t="shared" si="316"/>
        <v>0</v>
      </c>
      <c r="P1509" s="329">
        <f ca="1">IF(allocationMethod=1,D1509,IF(allocationMethod=2, G1509, IF(allocationMethod=3,Constants!$G$360*CokingRefineryCalcs!D1509/CokingRefineryCalcs!E1509/'Energy &amp; Unit Conversions'!$G$80, F1509*D1509/100)))</f>
        <v>1495.9239812576704</v>
      </c>
      <c r="Q1509" s="329">
        <f>IF(allocationMethod=1,H1509,IF(allocationMethod=2, K1509, IF(allocationMethod=3,Constants!$G$361*CokingRefineryCalcs!H1509,J1509*H1509/100)))</f>
        <v>0</v>
      </c>
      <c r="R1509" s="518">
        <f t="shared" ref="R1509:R1517" ca="1" si="321">P1509*E$1499/D$1499+Q1509*E$1500/D$1500</f>
        <v>0</v>
      </c>
      <c r="S1509" s="892"/>
      <c r="X1509" s="184"/>
      <c r="Y1509" s="184"/>
      <c r="Z1509" s="184"/>
      <c r="AA1509" s="184"/>
      <c r="AB1509" s="184"/>
      <c r="AC1509" s="184"/>
      <c r="AD1509" s="184"/>
    </row>
    <row r="1510" spans="1:30" ht="18.75" customHeight="1" x14ac:dyDescent="0.2">
      <c r="A1510" s="329"/>
      <c r="B1510" s="1632"/>
      <c r="C1510" s="1991" t="s">
        <v>1801</v>
      </c>
      <c r="D1510" s="1997">
        <f t="shared" ca="1" si="312"/>
        <v>3633.811013343859</v>
      </c>
      <c r="E1510" s="731">
        <f t="shared" ca="1" si="313"/>
        <v>2.2531035748420707</v>
      </c>
      <c r="F1510" s="731">
        <f t="shared" ca="1" si="314"/>
        <v>17.702774330867889</v>
      </c>
      <c r="G1510" s="731">
        <f t="shared" ca="1" si="315"/>
        <v>167320.86901697345</v>
      </c>
      <c r="H1510" s="2015">
        <f t="shared" ca="1" si="317"/>
        <v>445.08404935745051</v>
      </c>
      <c r="I1510" s="2154">
        <f t="shared" ca="1" si="318"/>
        <v>1.264</v>
      </c>
      <c r="J1510" s="2154">
        <f t="shared" ca="1" si="319"/>
        <v>20.159680638722556</v>
      </c>
      <c r="K1510" s="2154">
        <f t="shared" ca="1" si="320"/>
        <v>21181.549908921072</v>
      </c>
      <c r="L1510" s="2191"/>
      <c r="M1510" s="2191"/>
      <c r="N1510" s="2191"/>
      <c r="O1510" s="2002">
        <f t="shared" ca="1" si="316"/>
        <v>11789.149672417199</v>
      </c>
      <c r="P1510" s="329">
        <f ca="1">IF(allocationMethod=1,D1510,IF(allocationMethod=2, G1510, IF(allocationMethod=3,Constants!$G$360*CokingRefineryCalcs!D1510/CokingRefineryCalcs!E1510/'Energy &amp; Unit Conversions'!$G$80, F1510*D1510/100)))</f>
        <v>643.28536330248699</v>
      </c>
      <c r="Q1510" s="329">
        <f ca="1">IF(allocationMethod=1,H1510,IF(allocationMethod=2, K1510, IF(allocationMethod=3,Constants!$G$361*CokingRefineryCalcs!H1510,J1510*H1510/100)))</f>
        <v>89.727522924356293</v>
      </c>
      <c r="R1510" s="518">
        <f t="shared" ca="1" si="321"/>
        <v>0</v>
      </c>
      <c r="S1510" s="892"/>
      <c r="X1510" s="184"/>
      <c r="Y1510" s="184"/>
      <c r="Z1510" s="184"/>
      <c r="AA1510" s="184"/>
      <c r="AB1510" s="184"/>
      <c r="AC1510" s="184"/>
      <c r="AD1510" s="184"/>
    </row>
    <row r="1511" spans="1:30" ht="18.75" customHeight="1" x14ac:dyDescent="0.2">
      <c r="A1511" s="329"/>
      <c r="B1511" s="1632"/>
      <c r="C1511" s="1991" t="s">
        <v>1838</v>
      </c>
      <c r="D1511" s="1997">
        <f t="shared" ca="1" si="312"/>
        <v>6365.4814838745833</v>
      </c>
      <c r="E1511" s="731">
        <f t="shared" ca="1" si="313"/>
        <v>2.3211426978657297</v>
      </c>
      <c r="F1511" s="731">
        <f t="shared" ca="1" si="314"/>
        <v>17.611681433905034</v>
      </c>
      <c r="G1511" s="731">
        <f t="shared" ca="1" si="315"/>
        <v>292728.46350762795</v>
      </c>
      <c r="H1511" s="2015">
        <f t="shared" ca="1" si="317"/>
        <v>424.50623034465536</v>
      </c>
      <c r="I1511" s="2154">
        <f t="shared" ca="1" si="318"/>
        <v>1.2640000000000002</v>
      </c>
      <c r="J1511" s="2154">
        <f t="shared" ca="1" si="319"/>
        <v>20.159680638722556</v>
      </c>
      <c r="K1511" s="2154">
        <f t="shared" ca="1" si="320"/>
        <v>20202.25150210215</v>
      </c>
      <c r="L1511" s="2191"/>
      <c r="M1511" s="2191"/>
      <c r="N1511" s="2191"/>
      <c r="O1511" s="2002">
        <f t="shared" ca="1" si="316"/>
        <v>21276.252264874125</v>
      </c>
      <c r="P1511" s="329">
        <f ca="1">IF(allocationMethod=1,D1511,IF(allocationMethod=2, G1511, IF(allocationMethod=3,Constants!$G$360*CokingRefineryCalcs!D1511/CokingRefineryCalcs!E1511/'Energy &amp; Unit Conversions'!$G$80, F1511*D1511/100)))</f>
        <v>1121.0683206742026</v>
      </c>
      <c r="Q1511" s="329">
        <f ca="1">IF(allocationMethod=1,H1511,IF(allocationMethod=2, K1511, IF(allocationMethod=3,Constants!$G$361*CokingRefineryCalcs!H1511,J1511*H1511/100)))</f>
        <v>85.579100328962468</v>
      </c>
      <c r="R1511" s="518">
        <f t="shared" ca="1" si="321"/>
        <v>0</v>
      </c>
      <c r="S1511" s="892"/>
      <c r="X1511" s="184"/>
      <c r="Y1511" s="184"/>
      <c r="Z1511" s="184"/>
      <c r="AA1511" s="184"/>
      <c r="AB1511" s="184"/>
      <c r="AC1511" s="184"/>
      <c r="AD1511" s="184"/>
    </row>
    <row r="1512" spans="1:30" ht="18.75" customHeight="1" x14ac:dyDescent="0.2">
      <c r="A1512" s="329"/>
      <c r="B1512" s="1632"/>
      <c r="C1512" s="1991" t="s">
        <v>1839</v>
      </c>
      <c r="D1512" s="1997">
        <f t="shared" ca="1" si="312"/>
        <v>7.7884037708750348E-9</v>
      </c>
      <c r="E1512" s="731">
        <f t="shared" ca="1" si="313"/>
        <v>2.0703999999999998</v>
      </c>
      <c r="F1512" s="731">
        <f t="shared" ca="1" si="314"/>
        <v>17.986073062719395</v>
      </c>
      <c r="G1512" s="731">
        <f t="shared" ca="1" si="315"/>
        <v>3.6004345354196187E-7</v>
      </c>
      <c r="H1512" s="2015">
        <f t="shared" ca="1" si="317"/>
        <v>1.1219153499931272E-8</v>
      </c>
      <c r="I1512" s="2154">
        <f t="shared" ca="1" si="318"/>
        <v>1.3556363636363635</v>
      </c>
      <c r="J1512" s="2154">
        <f t="shared" ca="1" si="319"/>
        <v>18.308277618017382</v>
      </c>
      <c r="K1512" s="2154">
        <f t="shared" ca="1" si="320"/>
        <v>5.2867564419516271E-7</v>
      </c>
      <c r="L1512" s="2191"/>
      <c r="M1512" s="2191"/>
      <c r="N1512" s="2191"/>
      <c r="O1512" s="2002">
        <f t="shared" ca="1" si="316"/>
        <v>8.7372486309837904E-7</v>
      </c>
      <c r="P1512" s="329">
        <f ca="1">IF(allocationMethod=1,D1512,IF(allocationMethod=2, G1512, IF(allocationMethod=3,Constants!$G$360*CokingRefineryCalcs!D1512/CokingRefineryCalcs!E1512/'Energy &amp; Unit Conversions'!$G$80, F1512*D1512/100)))</f>
        <v>1.4008279926491763E-9</v>
      </c>
      <c r="Q1512" s="329">
        <f ca="1">IF(allocationMethod=1,H1512,IF(allocationMethod=2, K1512, IF(allocationMethod=3,Constants!$G$361*CokingRefineryCalcs!H1512,J1512*H1512/100)))</f>
        <v>2.0540337691589304E-9</v>
      </c>
      <c r="R1512" s="518">
        <f t="shared" ca="1" si="321"/>
        <v>0</v>
      </c>
      <c r="S1512" s="892"/>
      <c r="X1512" s="184"/>
      <c r="Y1512" s="184"/>
      <c r="Z1512" s="184"/>
      <c r="AA1512" s="184"/>
      <c r="AB1512" s="184"/>
      <c r="AC1512" s="184"/>
      <c r="AD1512" s="184"/>
    </row>
    <row r="1513" spans="1:30" ht="18.75" customHeight="1" x14ac:dyDescent="0.2">
      <c r="A1513" s="329"/>
      <c r="B1513" s="1632"/>
      <c r="C1513" s="1991" t="s">
        <v>1799</v>
      </c>
      <c r="D1513" s="1997">
        <f t="shared" ca="1" si="312"/>
        <v>3101.7588503288548</v>
      </c>
      <c r="E1513" s="731">
        <f t="shared" ca="1" si="313"/>
        <v>2.3211426978657297</v>
      </c>
      <c r="F1513" s="731">
        <f t="shared" ca="1" si="314"/>
        <v>17.611681433905034</v>
      </c>
      <c r="G1513" s="731">
        <f t="shared" ca="1" si="315"/>
        <v>142640.12938032794</v>
      </c>
      <c r="H1513" s="2015">
        <f t="shared" ca="1" si="317"/>
        <v>206.85253115995351</v>
      </c>
      <c r="I1513" s="2154">
        <f t="shared" ca="1" si="318"/>
        <v>1.264</v>
      </c>
      <c r="J1513" s="2154">
        <f t="shared" ca="1" si="319"/>
        <v>20.159680638722556</v>
      </c>
      <c r="K1513" s="2154">
        <f t="shared" ca="1" si="320"/>
        <v>9844.1119579021888</v>
      </c>
      <c r="L1513" s="2191"/>
      <c r="M1513" s="2191"/>
      <c r="N1513" s="2191"/>
      <c r="O1513" s="2002">
        <f t="shared" ca="1" si="316"/>
        <v>10367.44886173687</v>
      </c>
      <c r="P1513" s="329">
        <f ca="1">IF(allocationMethod=1,D1513,IF(allocationMethod=2, G1513, IF(allocationMethod=3,Constants!$G$360*CokingRefineryCalcs!D1513/CokingRefineryCalcs!E1513/'Energy &amp; Unit Conversions'!$G$80, F1513*D1513/100)))</f>
        <v>546.27188756787314</v>
      </c>
      <c r="Q1513" s="329">
        <f ca="1">IF(allocationMethod=1,H1513,IF(allocationMethod=2, K1513, IF(allocationMethod=3,Constants!$G$361*CokingRefineryCalcs!H1513,J1513*H1513/100)))</f>
        <v>41.700809674960695</v>
      </c>
      <c r="R1513" s="518">
        <f t="shared" ca="1" si="321"/>
        <v>0</v>
      </c>
      <c r="S1513" s="892"/>
      <c r="X1513" s="184"/>
      <c r="Y1513" s="184"/>
      <c r="Z1513" s="184"/>
      <c r="AA1513" s="184"/>
      <c r="AB1513" s="184"/>
      <c r="AC1513" s="184"/>
      <c r="AD1513" s="184"/>
    </row>
    <row r="1514" spans="1:30" ht="18.75" customHeight="1" x14ac:dyDescent="0.2">
      <c r="A1514" s="329"/>
      <c r="B1514" s="1632"/>
      <c r="C1514" s="1991" t="s">
        <v>1902</v>
      </c>
      <c r="D1514" s="1997">
        <f t="shared" ca="1" si="312"/>
        <v>1.8670970182290726E-16</v>
      </c>
      <c r="E1514" s="731">
        <f t="shared" ca="1" si="313"/>
        <v>2.0703999999999998</v>
      </c>
      <c r="F1514" s="731">
        <f t="shared" ca="1" si="314"/>
        <v>17.986073062719395</v>
      </c>
      <c r="G1514" s="731">
        <f t="shared" ca="1" si="315"/>
        <v>8.6312430418019812E-15</v>
      </c>
      <c r="H1514" s="2015">
        <f t="shared" ca="1" si="317"/>
        <v>2.6895431545432701E-16</v>
      </c>
      <c r="I1514" s="2154">
        <f t="shared" ca="1" si="318"/>
        <v>1.3556363636363638</v>
      </c>
      <c r="J1514" s="2154">
        <f t="shared" ca="1" si="319"/>
        <v>18.308277618017382</v>
      </c>
      <c r="K1514" s="2154">
        <f t="shared" ca="1" si="320"/>
        <v>1.2673825701979778E-14</v>
      </c>
      <c r="L1514" s="2191"/>
      <c r="M1514" s="2191"/>
      <c r="N1514" s="2191"/>
      <c r="O1514" s="2002">
        <f t="shared" ca="1" si="316"/>
        <v>2.0945615233046739E-14</v>
      </c>
      <c r="P1514" s="329">
        <f ca="1">IF(allocationMethod=1,D1514,IF(allocationMethod=2, G1514, IF(allocationMethod=3,Constants!$G$360*CokingRefineryCalcs!D1514/CokingRefineryCalcs!E1514/'Energy &amp; Unit Conversions'!$G$80, F1514*D1514/100)))</f>
        <v>3.3581743385053626E-17</v>
      </c>
      <c r="Q1514" s="329">
        <f ca="1">IF(allocationMethod=1,H1514,IF(allocationMethod=2, K1514, IF(allocationMethod=3,Constants!$G$361*CokingRefineryCalcs!H1514,J1514*H1514/100)))</f>
        <v>4.9240902739016415E-17</v>
      </c>
      <c r="R1514" s="518">
        <f t="shared" ca="1" si="321"/>
        <v>0</v>
      </c>
      <c r="S1514" s="892"/>
    </row>
    <row r="1515" spans="1:30" ht="18.75" customHeight="1" x14ac:dyDescent="0.2">
      <c r="A1515" s="329"/>
      <c r="B1515" s="1632"/>
      <c r="C1515" s="1991" t="s">
        <v>1905</v>
      </c>
      <c r="D1515" s="1997">
        <f t="shared" ca="1" si="312"/>
        <v>2.065012406949611E-18</v>
      </c>
      <c r="E1515" s="731">
        <f t="shared" ca="1" si="313"/>
        <v>2.2531035748420702</v>
      </c>
      <c r="F1515" s="731">
        <f t="shared" ca="1" si="314"/>
        <v>17.702774330867889</v>
      </c>
      <c r="G1515" s="731">
        <f t="shared" ca="1" si="315"/>
        <v>9.5084656079483669E-17</v>
      </c>
      <c r="H1515" s="2015">
        <f t="shared" ca="1" si="317"/>
        <v>2.5293117354849502E-19</v>
      </c>
      <c r="I1515" s="2154">
        <f t="shared" ca="1" si="318"/>
        <v>1.264</v>
      </c>
      <c r="J1515" s="2154">
        <f t="shared" ca="1" si="319"/>
        <v>20.159680638722556</v>
      </c>
      <c r="K1515" s="2154">
        <f t="shared" ca="1" si="320"/>
        <v>1.2036994549172879E-17</v>
      </c>
      <c r="L1515" s="2191"/>
      <c r="M1515" s="2191"/>
      <c r="N1515" s="2191"/>
      <c r="O1515" s="2002">
        <f t="shared" ca="1" si="316"/>
        <v>6.6995064552147012E-18</v>
      </c>
      <c r="P1515" s="329">
        <f ca="1">IF(allocationMethod=1,D1515,IF(allocationMethod=2, G1515, IF(allocationMethod=3,Constants!$G$360*CokingRefineryCalcs!D1515/CokingRefineryCalcs!E1515/'Energy &amp; Unit Conversions'!$G$80, F1515*D1515/100)))</f>
        <v>3.6556448630671287E-19</v>
      </c>
      <c r="Q1515" s="329">
        <f ca="1">IF(allocationMethod=1,H1515,IF(allocationMethod=2, K1515, IF(allocationMethod=3,Constants!$G$361*CokingRefineryCalcs!H1515,J1515*H1515/100)))</f>
        <v>5.0990116823149696E-20</v>
      </c>
      <c r="R1515" s="518">
        <f t="shared" ca="1" si="321"/>
        <v>0</v>
      </c>
      <c r="S1515" s="892"/>
    </row>
    <row r="1516" spans="1:30" ht="18.75" customHeight="1" x14ac:dyDescent="0.2">
      <c r="A1516" s="329"/>
      <c r="B1516" s="1632"/>
      <c r="C1516" s="1991" t="s">
        <v>1841</v>
      </c>
      <c r="D1516" s="1997">
        <f t="shared" ca="1" si="312"/>
        <v>3.7675490476677702E-17</v>
      </c>
      <c r="E1516" s="731">
        <f t="shared" ca="1" si="313"/>
        <v>2.3211709812370844</v>
      </c>
      <c r="F1516" s="731">
        <f t="shared" ca="1" si="314"/>
        <v>17.611644807271013</v>
      </c>
      <c r="G1516" s="731">
        <f t="shared" ca="1" si="315"/>
        <v>1.7325763661328339E-15</v>
      </c>
      <c r="H1516" s="2015">
        <f t="shared" ca="1" si="317"/>
        <v>4.7955360954183176E-18</v>
      </c>
      <c r="I1516" s="2154">
        <f t="shared" ca="1" si="318"/>
        <v>1.264</v>
      </c>
      <c r="J1516" s="2154">
        <f t="shared" ca="1" si="319"/>
        <v>20.159680638722556</v>
      </c>
      <c r="K1516" s="2154">
        <f t="shared" ca="1" si="320"/>
        <v>2.2821956278095776E-16</v>
      </c>
      <c r="L1516" s="2191"/>
      <c r="M1516" s="2191"/>
      <c r="N1516" s="2191"/>
      <c r="O1516" s="2002">
        <f t="shared" ca="1" si="316"/>
        <v>1.2702161056992131E-16</v>
      </c>
      <c r="P1516" s="329">
        <f ca="1">IF(allocationMethod=1,D1516,IF(allocationMethod=2, G1516, IF(allocationMethod=3,Constants!$G$360*CokingRefineryCalcs!D1516/CokingRefineryCalcs!E1516/'Energy &amp; Unit Conversions'!$G$80, F1516*D1516/100)))</f>
        <v>6.6352735621496941E-18</v>
      </c>
      <c r="Q1516" s="329">
        <f ca="1">IF(allocationMethod=1,H1516,IF(allocationMethod=2, K1516, IF(allocationMethod=3,Constants!$G$361*CokingRefineryCalcs!H1516,J1516*H1516/100)))</f>
        <v>9.6676476175099819E-19</v>
      </c>
      <c r="R1516" s="518">
        <f t="shared" ca="1" si="321"/>
        <v>0</v>
      </c>
      <c r="S1516" s="892"/>
    </row>
    <row r="1517" spans="1:30" ht="18.75" customHeight="1" x14ac:dyDescent="0.2">
      <c r="A1517" s="329"/>
      <c r="B1517" s="1632"/>
      <c r="C1517" s="1991" t="s">
        <v>531</v>
      </c>
      <c r="D1517" s="1997">
        <f t="shared" ca="1" si="312"/>
        <v>3.4407030068345901E-16</v>
      </c>
      <c r="E1517" s="731">
        <f t="shared" ca="1" si="313"/>
        <v>1.8819999999999997</v>
      </c>
      <c r="F1517" s="731">
        <f t="shared" ca="1" si="314"/>
        <v>18.330308529945555</v>
      </c>
      <c r="G1517" s="731">
        <f t="shared" ca="1" si="315"/>
        <v>1.5982065466746672E-14</v>
      </c>
      <c r="H1517" s="2015">
        <f t="shared" ca="1" si="317"/>
        <v>3.3636254091894539E-16</v>
      </c>
      <c r="I1517" s="2154">
        <f t="shared" ca="1" si="318"/>
        <v>1.483741935483871</v>
      </c>
      <c r="J1517" s="2154">
        <f t="shared" ca="1" si="319"/>
        <v>15.830530738616034</v>
      </c>
      <c r="K1517" s="2154">
        <f t="shared" ca="1" si="320"/>
        <v>1.5640008690326551E-14</v>
      </c>
      <c r="L1517" s="2191"/>
      <c r="M1517" s="2191"/>
      <c r="N1517" s="2191"/>
      <c r="O1517" s="2002">
        <f t="shared" ca="1" si="316"/>
        <v>7.8347485436805552E-15</v>
      </c>
      <c r="P1517" s="329">
        <f ca="1">IF(allocationMethod=1,D1517,IF(allocationMethod=2, G1517, IF(allocationMethod=3,Constants!$G$360*CokingRefineryCalcs!D1517/CokingRefineryCalcs!E1517/'Energy &amp; Unit Conversions'!$G$80, F1517*D1517/100)))</f>
        <v>6.3069147675189404E-17</v>
      </c>
      <c r="Q1517" s="329">
        <f ca="1">IF(allocationMethod=1,H1517,IF(allocationMethod=2, K1517, IF(allocationMethod=3,Constants!$G$361*CokingRefineryCalcs!H1517,J1517*H1517/100)))</f>
        <v>5.3247975433363583E-17</v>
      </c>
      <c r="R1517" s="518">
        <f t="shared" ca="1" si="321"/>
        <v>0</v>
      </c>
      <c r="S1517" s="892"/>
    </row>
    <row r="1518" spans="1:30" ht="18.75" customHeight="1" x14ac:dyDescent="0.2">
      <c r="A1518" s="329"/>
      <c r="B1518" s="1632"/>
      <c r="C1518" s="1993" t="s">
        <v>1896</v>
      </c>
      <c r="D1518" s="2025">
        <f ca="1">SUM(D1508:D1517)</f>
        <v>123577.06133562209</v>
      </c>
      <c r="E1518" s="2020">
        <f ca="1">((I1491/I1493+K1491/K1493+L1491/L1493)/D1518)^-1</f>
        <v>2.0813763762271065</v>
      </c>
      <c r="F1518" s="2020">
        <f t="shared" ca="1" si="314"/>
        <v>17.967311487036255</v>
      </c>
      <c r="G1518" s="2020"/>
      <c r="H1518" s="2026">
        <f ca="1">SUM(H1508:H1517)</f>
        <v>85830.958314762742</v>
      </c>
      <c r="I1518" s="2154">
        <f t="shared" ca="1" si="318"/>
        <v>1.2900828572701448</v>
      </c>
      <c r="J1518" s="2154">
        <f ca="1">IF(H1518=0, 0, (F1491*F$1494+H1491*H$1494+J1491*J$1494+G1491*G$1494)/H1518)</f>
        <v>18.579374656741074</v>
      </c>
      <c r="K1518" s="2020"/>
      <c r="L1518" s="2025">
        <f ca="1">E1491+M1491</f>
        <v>33194.835204067167</v>
      </c>
      <c r="M1518" s="2020">
        <f ca="1">((E1491/E1493+M1491/M1493)/L1518)^-1</f>
        <v>0.66800000000001936</v>
      </c>
      <c r="N1518" s="2020"/>
      <c r="O1518" s="2021"/>
      <c r="P1518" s="329"/>
      <c r="Q1518" s="329"/>
      <c r="R1518" s="518"/>
      <c r="S1518" s="892"/>
    </row>
    <row r="1519" spans="1:30" ht="18.75" customHeight="1" x14ac:dyDescent="0.2">
      <c r="A1519" s="329"/>
      <c r="B1519" s="1632"/>
      <c r="C1519" s="329"/>
      <c r="D1519" s="329"/>
      <c r="E1519" s="329"/>
      <c r="F1519" s="329"/>
      <c r="G1519" s="329"/>
      <c r="H1519" s="329"/>
      <c r="I1519" s="329"/>
      <c r="J1519" s="329"/>
      <c r="K1519" s="329"/>
      <c r="L1519" s="329"/>
      <c r="M1519" s="329"/>
      <c r="N1519" s="329"/>
      <c r="O1519" s="329"/>
      <c r="P1519" s="329"/>
      <c r="Q1519" s="329"/>
      <c r="R1519" s="518"/>
      <c r="S1519" s="892"/>
    </row>
    <row r="1520" spans="1:30" ht="18.75" customHeight="1" x14ac:dyDescent="0.2">
      <c r="A1520" s="329"/>
      <c r="B1520" s="1632"/>
      <c r="C1520" s="438" t="s">
        <v>1909</v>
      </c>
      <c r="D1520" s="438"/>
      <c r="E1520" s="438"/>
      <c r="F1520" s="329"/>
      <c r="G1520" s="329"/>
      <c r="H1520" s="329"/>
      <c r="I1520" s="329"/>
      <c r="J1520" s="329"/>
      <c r="K1520" s="329"/>
      <c r="L1520" s="329"/>
      <c r="M1520" s="329"/>
      <c r="N1520" s="329"/>
      <c r="O1520" s="329"/>
      <c r="P1520" s="329"/>
      <c r="Q1520" s="329"/>
      <c r="R1520" s="518"/>
      <c r="S1520" s="892"/>
    </row>
    <row r="1521" spans="1:19" ht="18.75" customHeight="1" x14ac:dyDescent="0.2">
      <c r="A1521" s="329"/>
      <c r="B1521" s="1632"/>
      <c r="C1521" s="2034" t="s">
        <v>1860</v>
      </c>
      <c r="D1521" s="1581"/>
      <c r="E1521" s="329"/>
      <c r="F1521" s="329"/>
      <c r="G1521" s="329"/>
      <c r="H1521" s="329"/>
      <c r="I1521" s="329"/>
      <c r="J1521" s="329"/>
      <c r="K1521" s="329"/>
      <c r="L1521" s="329"/>
      <c r="M1521" s="329"/>
      <c r="N1521" s="329"/>
      <c r="O1521" s="329"/>
      <c r="P1521" s="329"/>
      <c r="Q1521" s="329"/>
      <c r="R1521" s="518"/>
      <c r="S1521" s="892"/>
    </row>
    <row r="1522" spans="1:19" ht="18.75" customHeight="1" x14ac:dyDescent="0.2">
      <c r="A1522" s="329"/>
      <c r="B1522" s="1632"/>
      <c r="C1522" s="1991" t="s">
        <v>1864</v>
      </c>
      <c r="D1522" s="2002">
        <f ca="1">(0.0049*E515-38.424)*1000</f>
        <v>-38424</v>
      </c>
      <c r="E1522" s="329"/>
      <c r="F1522" s="2283" t="s">
        <v>1920</v>
      </c>
      <c r="G1522" s="2284"/>
      <c r="H1522" s="2284"/>
      <c r="I1522" s="2284"/>
      <c r="J1522" s="2284"/>
      <c r="K1522" s="2284"/>
      <c r="L1522" s="329"/>
      <c r="M1522" s="329"/>
      <c r="N1522" s="329"/>
      <c r="O1522" s="329"/>
      <c r="P1522" s="329"/>
      <c r="Q1522" s="329"/>
      <c r="R1522" s="518"/>
      <c r="S1522" s="892"/>
    </row>
    <row r="1523" spans="1:19" ht="18.75" customHeight="1" x14ac:dyDescent="0.2">
      <c r="B1523" s="1632"/>
      <c r="C1523" s="1991" t="s">
        <v>1865</v>
      </c>
      <c r="D1523" s="2002">
        <f ca="1">IF(CokingRefineryConfig=0,0, IF(0.15*E517&lt;0.99*E540,0.15*E517,0.99*E540))</f>
        <v>0</v>
      </c>
      <c r="E1523" s="329"/>
      <c r="F1523" s="2283"/>
      <c r="G1523" s="2284"/>
      <c r="H1523" s="2284"/>
      <c r="I1523" s="2284"/>
      <c r="J1523" s="2284"/>
      <c r="K1523" s="2284"/>
      <c r="L1523" s="329"/>
      <c r="M1523" s="329"/>
      <c r="N1523" s="329"/>
      <c r="O1523" s="329"/>
      <c r="P1523" s="329"/>
      <c r="Q1523" s="329"/>
      <c r="R1523" s="518"/>
      <c r="S1523" s="892"/>
    </row>
    <row r="1524" spans="1:19" ht="18.75" customHeight="1" x14ac:dyDescent="0.2">
      <c r="B1524" s="1632"/>
      <c r="C1524" s="1991" t="s">
        <v>1861</v>
      </c>
      <c r="D1524" s="2002">
        <f ca="1">IF(HydroRefineryConfig=0,0,D1522/D1523*100)</f>
        <v>0</v>
      </c>
      <c r="E1524" s="329"/>
      <c r="F1524" s="329"/>
      <c r="G1524" s="329"/>
      <c r="H1524" s="329"/>
      <c r="I1524" s="329"/>
      <c r="J1524" s="329"/>
      <c r="K1524" s="329"/>
      <c r="L1524" s="329"/>
      <c r="M1524" s="329"/>
      <c r="N1524" s="329"/>
      <c r="O1524" s="329"/>
      <c r="P1524" s="329"/>
      <c r="Q1524" s="329"/>
      <c r="R1524" s="518"/>
      <c r="S1524" s="892"/>
    </row>
    <row r="1525" spans="1:19" ht="18.75" customHeight="1" x14ac:dyDescent="0.2">
      <c r="B1525" s="1632"/>
      <c r="C1525" s="1991" t="s">
        <v>1862</v>
      </c>
      <c r="D1525" s="2002">
        <f>'Main Input &amp; Output'!$E$128</f>
        <v>0</v>
      </c>
      <c r="E1525" s="329"/>
      <c r="F1525" s="329"/>
      <c r="G1525" s="329"/>
      <c r="H1525" s="329"/>
      <c r="I1525" s="329"/>
      <c r="J1525" s="329"/>
      <c r="K1525" s="329"/>
      <c r="L1525" s="329"/>
      <c r="M1525" s="329"/>
      <c r="N1525" s="329"/>
      <c r="O1525" s="329"/>
      <c r="P1525" s="329"/>
      <c r="Q1525" s="329"/>
      <c r="R1525" s="518"/>
      <c r="S1525" s="892"/>
    </row>
    <row r="1526" spans="1:19" ht="18.75" customHeight="1" x14ac:dyDescent="0.2">
      <c r="B1526" s="1632"/>
      <c r="C1526" s="1991" t="s">
        <v>1910</v>
      </c>
      <c r="D1526" s="2002">
        <f ca="1">D1525*D1523/100</f>
        <v>0</v>
      </c>
      <c r="E1526" s="329"/>
      <c r="F1526" s="329"/>
      <c r="G1526" s="329"/>
      <c r="H1526" s="329"/>
      <c r="I1526" s="329"/>
      <c r="J1526" s="329"/>
      <c r="K1526" s="329"/>
      <c r="L1526" s="329"/>
      <c r="M1526" s="329"/>
      <c r="N1526" s="329"/>
      <c r="O1526" s="329"/>
      <c r="P1526" s="329"/>
      <c r="Q1526" s="329"/>
      <c r="R1526" s="518"/>
      <c r="S1526" s="892"/>
    </row>
    <row r="1527" spans="1:19" ht="18.75" customHeight="1" x14ac:dyDescent="0.2">
      <c r="B1527" s="1632"/>
      <c r="C1527" s="1991" t="s">
        <v>1911</v>
      </c>
      <c r="D1527" s="2002">
        <f ca="1">IF(D1530=0, 0, D1526/D1530)</f>
        <v>0</v>
      </c>
      <c r="E1527" s="329"/>
      <c r="F1527" s="329"/>
      <c r="G1527" s="329"/>
      <c r="H1527" s="329"/>
      <c r="I1527" s="329"/>
      <c r="J1527" s="329"/>
      <c r="K1527" s="329"/>
      <c r="L1527" s="329"/>
      <c r="M1527" s="329"/>
      <c r="N1527" s="329"/>
      <c r="O1527" s="329"/>
      <c r="P1527" s="329"/>
      <c r="Q1527" s="329"/>
      <c r="R1527" s="518"/>
      <c r="S1527" s="892"/>
    </row>
    <row r="1528" spans="1:19" ht="18.75" customHeight="1" x14ac:dyDescent="0.2">
      <c r="B1528" s="1632"/>
      <c r="C1528" s="1991" t="s">
        <v>1912</v>
      </c>
      <c r="D1528" s="2002">
        <f ca="1">D1527/'Energy &amp; Unit Conversions'!G80</f>
        <v>0</v>
      </c>
      <c r="E1528" s="329"/>
      <c r="F1528" s="329"/>
      <c r="G1528" s="329"/>
      <c r="H1528" s="329"/>
      <c r="I1528" s="329"/>
      <c r="J1528" s="329"/>
      <c r="K1528" s="329"/>
      <c r="L1528" s="329"/>
      <c r="M1528" s="329"/>
      <c r="N1528" s="329"/>
      <c r="O1528" s="329"/>
      <c r="P1528" s="329"/>
      <c r="Q1528" s="329"/>
      <c r="R1528" s="518"/>
      <c r="S1528" s="892"/>
    </row>
    <row r="1529" spans="1:19" ht="18.75" customHeight="1" x14ac:dyDescent="0.2">
      <c r="B1529" s="1632"/>
      <c r="C1529" s="2036" t="s">
        <v>1863</v>
      </c>
      <c r="D1529" s="2002"/>
      <c r="E1529" s="329"/>
      <c r="F1529" s="329"/>
      <c r="G1529" s="329"/>
      <c r="H1529" s="329"/>
      <c r="I1529" s="329"/>
      <c r="J1529" s="329"/>
      <c r="K1529" s="329"/>
      <c r="L1529" s="329"/>
      <c r="M1529" s="329"/>
      <c r="N1529" s="329"/>
      <c r="O1529" s="329"/>
      <c r="P1529" s="329"/>
      <c r="Q1529" s="329"/>
      <c r="R1529" s="518"/>
      <c r="S1529" s="892"/>
    </row>
    <row r="1530" spans="1:19" ht="18.75" customHeight="1" x14ac:dyDescent="0.2">
      <c r="B1530" s="1632"/>
      <c r="C1530" s="1991" t="s">
        <v>580</v>
      </c>
      <c r="D1530" s="2000">
        <f ca="1">H108</f>
        <v>1055.1979728481299</v>
      </c>
      <c r="E1530" s="329"/>
      <c r="F1530" s="329"/>
      <c r="G1530" s="329"/>
      <c r="H1530" s="329"/>
      <c r="I1530" s="329"/>
      <c r="J1530" s="329"/>
      <c r="K1530" s="329"/>
      <c r="L1530" s="329"/>
      <c r="M1530" s="329"/>
      <c r="N1530" s="329"/>
      <c r="O1530" s="329"/>
      <c r="P1530" s="329"/>
      <c r="Q1530" s="329"/>
      <c r="R1530" s="518"/>
      <c r="S1530" s="892"/>
    </row>
    <row r="1531" spans="1:19" ht="18.75" customHeight="1" x14ac:dyDescent="0.2">
      <c r="B1531" s="1632"/>
      <c r="C1531" s="1993" t="s">
        <v>1846</v>
      </c>
      <c r="D1531" s="2037">
        <f ca="1">H109</f>
        <v>13.775491885583563</v>
      </c>
      <c r="E1531" s="329"/>
      <c r="F1531" s="329"/>
      <c r="G1531" s="329"/>
      <c r="H1531" s="329"/>
      <c r="I1531" s="329"/>
      <c r="J1531" s="329"/>
      <c r="K1531" s="329"/>
      <c r="L1531" s="329"/>
      <c r="M1531" s="329"/>
      <c r="N1531" s="329"/>
      <c r="O1531" s="329"/>
      <c r="P1531" s="329"/>
      <c r="Q1531" s="329"/>
      <c r="R1531" s="518"/>
      <c r="S1531" s="892"/>
    </row>
    <row r="1532" spans="1:19" ht="18.75" customHeight="1" thickBot="1" x14ac:dyDescent="0.25">
      <c r="B1532" s="2033"/>
      <c r="C1532" s="2017"/>
      <c r="D1532" s="2017"/>
      <c r="E1532" s="1976"/>
      <c r="F1532" s="1976"/>
      <c r="G1532" s="1976"/>
      <c r="H1532" s="1976"/>
      <c r="I1532" s="1976"/>
      <c r="J1532" s="1976"/>
      <c r="K1532" s="1976"/>
      <c r="L1532" s="1976"/>
      <c r="M1532" s="1976"/>
      <c r="N1532" s="1976"/>
      <c r="O1532" s="1976"/>
      <c r="P1532" s="1976"/>
      <c r="Q1532" s="1976"/>
      <c r="R1532" s="1976"/>
      <c r="S1532" s="2056"/>
    </row>
    <row r="1533" spans="1:19" ht="18.75" customHeight="1" x14ac:dyDescent="0.2">
      <c r="C1533" s="1973"/>
      <c r="D1533" s="1988"/>
      <c r="E1533" s="329"/>
      <c r="F1533" s="329"/>
      <c r="G1533" s="329"/>
      <c r="H1533" s="329"/>
      <c r="I1533" s="329"/>
      <c r="J1533" s="329"/>
      <c r="K1533" s="329"/>
      <c r="L1533" s="329"/>
      <c r="M1533" s="329"/>
      <c r="N1533" s="329"/>
      <c r="O1533" s="329"/>
      <c r="P1533" s="1583"/>
      <c r="Q1533" s="1583"/>
    </row>
  </sheetData>
  <mergeCells count="15">
    <mergeCell ref="F1522:K1523"/>
    <mergeCell ref="E779:F779"/>
    <mergeCell ref="C2:G3"/>
    <mergeCell ref="V1044:Y1049"/>
    <mergeCell ref="V1038:Y1040"/>
    <mergeCell ref="P1035:S1035"/>
    <mergeCell ref="I309:K309"/>
    <mergeCell ref="J1035:M1035"/>
    <mergeCell ref="L1036:M1036"/>
    <mergeCell ref="N1036:O1036"/>
    <mergeCell ref="E1479:M1479"/>
    <mergeCell ref="D1506:F1506"/>
    <mergeCell ref="H1506:J1506"/>
    <mergeCell ref="L1506:O1506"/>
    <mergeCell ref="C1257:H1257"/>
  </mergeCells>
  <phoneticPr fontId="26"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tabColor rgb="FF0450FF"/>
    <pageSetUpPr autoPageBreaks="0"/>
  </sheetPr>
  <dimension ref="A1:M83"/>
  <sheetViews>
    <sheetView zoomScale="70" zoomScaleNormal="70" zoomScalePageLayoutView="55" workbookViewId="0"/>
  </sheetViews>
  <sheetFormatPr defaultColWidth="8.85546875" defaultRowHeight="12.75" customHeight="1" x14ac:dyDescent="0.2"/>
  <cols>
    <col min="1" max="1" width="39" customWidth="1"/>
    <col min="2" max="2" width="45.7109375" customWidth="1"/>
    <col min="3" max="3" width="9.7109375" customWidth="1"/>
    <col min="4" max="4" width="24.42578125" customWidth="1"/>
    <col min="5" max="5" width="45.7109375" customWidth="1"/>
    <col min="6" max="6" width="11.28515625" customWidth="1"/>
    <col min="7" max="7" width="9.7109375" customWidth="1"/>
    <col min="8" max="8" width="6.28515625" customWidth="1"/>
    <col min="9" max="9" width="5" customWidth="1"/>
    <col min="10" max="10" width="42.7109375" customWidth="1"/>
    <col min="11" max="11" width="27.42578125" customWidth="1"/>
    <col min="12" max="12" width="24.7109375" customWidth="1"/>
    <col min="13" max="13" width="3.7109375" customWidth="1"/>
  </cols>
  <sheetData>
    <row r="1" spans="1:13" ht="38.1" customHeight="1" x14ac:dyDescent="0.2">
      <c r="A1" s="1887" t="s">
        <v>1556</v>
      </c>
      <c r="B1" s="1713"/>
      <c r="C1" s="1714"/>
      <c r="D1" s="1713"/>
      <c r="E1" s="1713"/>
      <c r="F1" s="1713"/>
      <c r="G1" s="1713"/>
      <c r="H1" s="1713"/>
      <c r="I1" s="1713"/>
      <c r="J1" s="1713"/>
      <c r="K1" s="1713"/>
      <c r="L1" s="1713"/>
      <c r="M1" s="1682"/>
    </row>
    <row r="2" spans="1:13" x14ac:dyDescent="0.2">
      <c r="A2" s="1729" t="s">
        <v>1557</v>
      </c>
      <c r="B2" s="1715"/>
      <c r="C2" s="1716"/>
      <c r="D2" s="1715"/>
      <c r="E2" s="1715"/>
      <c r="F2" s="1715"/>
      <c r="G2" s="1715"/>
      <c r="H2" s="1715"/>
      <c r="I2" s="1715"/>
      <c r="J2" s="1715"/>
      <c r="K2" s="1715"/>
      <c r="L2" s="1715"/>
      <c r="M2" s="1684"/>
    </row>
    <row r="3" spans="1:13" x14ac:dyDescent="0.2">
      <c r="A3" s="1729" t="s">
        <v>1558</v>
      </c>
      <c r="B3" s="1715"/>
      <c r="C3" s="1717"/>
      <c r="D3" s="1715"/>
      <c r="E3" s="1715"/>
      <c r="F3" s="1715"/>
      <c r="G3" s="1715"/>
      <c r="H3" s="1715"/>
      <c r="I3" s="1715"/>
      <c r="J3" s="1715"/>
      <c r="K3" s="1715"/>
      <c r="L3" s="1715"/>
      <c r="M3" s="1684"/>
    </row>
    <row r="4" spans="1:13" x14ac:dyDescent="0.2">
      <c r="A4" s="1729"/>
      <c r="B4" s="1715"/>
      <c r="C4" s="1716"/>
      <c r="D4" s="1715"/>
      <c r="E4" s="1715"/>
      <c r="F4" s="1715"/>
      <c r="G4" s="1715"/>
      <c r="H4" s="1715"/>
      <c r="I4" s="1715"/>
      <c r="J4" s="1715"/>
      <c r="K4" s="1715"/>
      <c r="L4" s="1715"/>
      <c r="M4" s="1684"/>
    </row>
    <row r="5" spans="1:13" ht="25.5" x14ac:dyDescent="0.2">
      <c r="A5" s="1736" t="s">
        <v>1559</v>
      </c>
      <c r="B5" s="1734"/>
      <c r="C5" s="1737" t="s">
        <v>1560</v>
      </c>
      <c r="D5" s="1734" t="s">
        <v>1561</v>
      </c>
      <c r="E5" s="1734" t="s">
        <v>1562</v>
      </c>
      <c r="F5" s="1734" t="s">
        <v>1563</v>
      </c>
      <c r="G5" s="1734" t="s">
        <v>1564</v>
      </c>
      <c r="H5" s="1733"/>
      <c r="I5" s="1733"/>
      <c r="J5" s="1734" t="s">
        <v>1565</v>
      </c>
      <c r="K5" s="1734" t="s">
        <v>1566</v>
      </c>
      <c r="L5" s="1734" t="s">
        <v>1567</v>
      </c>
      <c r="M5" s="1735"/>
    </row>
    <row r="6" spans="1:13" x14ac:dyDescent="0.2">
      <c r="A6" s="1730" t="s">
        <v>1306</v>
      </c>
      <c r="B6" s="1715" t="s">
        <v>1568</v>
      </c>
      <c r="C6" s="1715">
        <v>1E-10</v>
      </c>
      <c r="D6" s="1715" t="s">
        <v>1569</v>
      </c>
      <c r="E6" s="1715" t="s">
        <v>1568</v>
      </c>
      <c r="F6" s="1718">
        <v>1E-3</v>
      </c>
      <c r="G6" s="1718">
        <v>10</v>
      </c>
      <c r="H6" s="1715"/>
      <c r="I6" s="1715"/>
      <c r="J6" s="1715" t="s">
        <v>1568</v>
      </c>
      <c r="K6" s="1715">
        <v>1E-10</v>
      </c>
      <c r="L6" s="1715">
        <v>5</v>
      </c>
      <c r="M6" s="1684"/>
    </row>
    <row r="7" spans="1:13" x14ac:dyDescent="0.2">
      <c r="A7" s="1729"/>
      <c r="B7" s="1715" t="s">
        <v>1570</v>
      </c>
      <c r="C7" s="1715">
        <v>0</v>
      </c>
      <c r="D7" s="1715" t="s">
        <v>1569</v>
      </c>
      <c r="E7" s="1715" t="s">
        <v>1570</v>
      </c>
      <c r="F7" s="1718">
        <v>1E-3</v>
      </c>
      <c r="G7" s="1718">
        <v>10</v>
      </c>
      <c r="H7" s="1715"/>
      <c r="I7" s="1715"/>
      <c r="J7" s="1715" t="s">
        <v>1570</v>
      </c>
      <c r="K7" s="1715">
        <v>1E-10</v>
      </c>
      <c r="L7" s="1715">
        <v>5</v>
      </c>
      <c r="M7" s="1684"/>
    </row>
    <row r="8" spans="1:13" x14ac:dyDescent="0.2">
      <c r="A8" s="1729"/>
      <c r="B8" s="1715" t="s">
        <v>1571</v>
      </c>
      <c r="C8" s="1715">
        <v>1E-10</v>
      </c>
      <c r="D8" s="1715" t="s">
        <v>1569</v>
      </c>
      <c r="E8" s="1715" t="s">
        <v>1571</v>
      </c>
      <c r="F8" s="1718">
        <v>1E-3</v>
      </c>
      <c r="G8" s="1718">
        <v>10</v>
      </c>
      <c r="H8" s="1715"/>
      <c r="I8" s="1715"/>
      <c r="J8" s="1715" t="s">
        <v>1571</v>
      </c>
      <c r="K8" s="1715">
        <v>1E-10</v>
      </c>
      <c r="L8" s="1715">
        <v>5</v>
      </c>
      <c r="M8" s="1684"/>
    </row>
    <row r="9" spans="1:13" x14ac:dyDescent="0.2">
      <c r="A9" s="1729"/>
      <c r="B9" s="1715" t="s">
        <v>1572</v>
      </c>
      <c r="C9" s="1715">
        <v>1E-10</v>
      </c>
      <c r="D9" s="1715" t="s">
        <v>1569</v>
      </c>
      <c r="E9" s="1715" t="s">
        <v>1572</v>
      </c>
      <c r="F9" s="1718">
        <v>1E-3</v>
      </c>
      <c r="G9" s="1718">
        <v>10</v>
      </c>
      <c r="H9" s="1715"/>
      <c r="I9" s="1715"/>
      <c r="J9" s="1715" t="s">
        <v>1572</v>
      </c>
      <c r="K9" s="1715">
        <v>1E-10</v>
      </c>
      <c r="L9" s="1715">
        <v>5</v>
      </c>
      <c r="M9" s="1684"/>
    </row>
    <row r="10" spans="1:13" x14ac:dyDescent="0.2">
      <c r="A10" s="1729"/>
      <c r="B10" s="1715" t="s">
        <v>1573</v>
      </c>
      <c r="C10" s="1715">
        <v>50</v>
      </c>
      <c r="D10" s="1715" t="s">
        <v>1574</v>
      </c>
      <c r="E10" s="1715" t="s">
        <v>1573</v>
      </c>
      <c r="F10" s="1718">
        <v>1E-3</v>
      </c>
      <c r="G10" s="1718">
        <v>99.998999999999995</v>
      </c>
      <c r="H10" s="1715"/>
      <c r="I10" s="1715"/>
      <c r="J10" s="1715" t="s">
        <v>1573</v>
      </c>
      <c r="K10" s="1715">
        <v>50</v>
      </c>
      <c r="L10" s="1715">
        <v>50</v>
      </c>
      <c r="M10" s="1684"/>
    </row>
    <row r="11" spans="1:13" x14ac:dyDescent="0.2">
      <c r="A11" s="1729"/>
      <c r="B11" s="1715" t="s">
        <v>1575</v>
      </c>
      <c r="C11" s="1715">
        <v>50</v>
      </c>
      <c r="D11" s="1715" t="s">
        <v>1574</v>
      </c>
      <c r="E11" s="1715" t="s">
        <v>1575</v>
      </c>
      <c r="F11" s="1718">
        <v>1E-3</v>
      </c>
      <c r="G11" s="1718">
        <v>99.998999999999995</v>
      </c>
      <c r="H11" s="1715"/>
      <c r="I11" s="1715"/>
      <c r="J11" s="1715" t="s">
        <v>1575</v>
      </c>
      <c r="K11" s="1715">
        <v>50</v>
      </c>
      <c r="L11" s="1715">
        <v>50</v>
      </c>
      <c r="M11" s="1684"/>
    </row>
    <row r="12" spans="1:13" x14ac:dyDescent="0.2">
      <c r="A12" s="1729"/>
      <c r="B12" s="1715" t="s">
        <v>1576</v>
      </c>
      <c r="C12" s="1715">
        <v>50</v>
      </c>
      <c r="D12" s="1715" t="s">
        <v>1574</v>
      </c>
      <c r="E12" s="1715" t="s">
        <v>1576</v>
      </c>
      <c r="F12" s="1718">
        <v>1E-3</v>
      </c>
      <c r="G12" s="1718">
        <v>99.998999999999995</v>
      </c>
      <c r="H12" s="1715"/>
      <c r="I12" s="1715"/>
      <c r="J12" s="1715" t="s">
        <v>1576</v>
      </c>
      <c r="K12" s="1715">
        <v>50</v>
      </c>
      <c r="L12" s="1715">
        <v>50</v>
      </c>
      <c r="M12" s="1684"/>
    </row>
    <row r="13" spans="1:13" x14ac:dyDescent="0.2">
      <c r="A13" s="1729"/>
      <c r="B13" s="1715" t="s">
        <v>1776</v>
      </c>
      <c r="C13" s="1715">
        <v>50</v>
      </c>
      <c r="D13" s="1715" t="s">
        <v>1574</v>
      </c>
      <c r="E13" s="1715" t="s">
        <v>1776</v>
      </c>
      <c r="F13" s="1718">
        <v>1E-3</v>
      </c>
      <c r="G13" s="1718">
        <v>99.998999999999995</v>
      </c>
      <c r="H13" s="1715"/>
      <c r="I13" s="1715"/>
      <c r="J13" s="1715" t="s">
        <v>1776</v>
      </c>
      <c r="K13" s="1715">
        <v>50</v>
      </c>
      <c r="L13" s="1715">
        <v>50</v>
      </c>
      <c r="M13" s="1684"/>
    </row>
    <row r="14" spans="1:13" x14ac:dyDescent="0.2">
      <c r="A14" s="1730" t="s">
        <v>1307</v>
      </c>
      <c r="B14" s="1715" t="s">
        <v>1578</v>
      </c>
      <c r="C14" s="1715">
        <v>1E-10</v>
      </c>
      <c r="D14" s="1715" t="s">
        <v>1569</v>
      </c>
      <c r="E14" s="1715" t="s">
        <v>1578</v>
      </c>
      <c r="F14" s="1718">
        <v>1E-3</v>
      </c>
      <c r="G14" s="1718">
        <v>10</v>
      </c>
      <c r="H14" s="1715"/>
      <c r="I14" s="1715"/>
      <c r="J14" s="1715" t="s">
        <v>1578</v>
      </c>
      <c r="K14" s="1715">
        <v>1E-10</v>
      </c>
      <c r="L14" s="1715">
        <v>5</v>
      </c>
      <c r="M14" s="1684"/>
    </row>
    <row r="15" spans="1:13" x14ac:dyDescent="0.2">
      <c r="A15" s="1729"/>
      <c r="B15" s="1715" t="s">
        <v>1579</v>
      </c>
      <c r="C15" s="1715">
        <v>1E-10</v>
      </c>
      <c r="D15" s="1715" t="s">
        <v>1569</v>
      </c>
      <c r="E15" s="1715" t="s">
        <v>1579</v>
      </c>
      <c r="F15" s="1718">
        <v>1E-3</v>
      </c>
      <c r="G15" s="1718">
        <v>10</v>
      </c>
      <c r="H15" s="1715"/>
      <c r="I15" s="1715"/>
      <c r="J15" s="1715" t="s">
        <v>1579</v>
      </c>
      <c r="K15" s="1715">
        <v>1E-10</v>
      </c>
      <c r="L15" s="1715">
        <v>5</v>
      </c>
      <c r="M15" s="1684"/>
    </row>
    <row r="16" spans="1:13" x14ac:dyDescent="0.2">
      <c r="A16" s="1729"/>
      <c r="B16" s="1715" t="s">
        <v>1777</v>
      </c>
      <c r="C16" s="1715">
        <v>1E-10</v>
      </c>
      <c r="D16" s="1715" t="s">
        <v>1569</v>
      </c>
      <c r="E16" s="1715" t="s">
        <v>1777</v>
      </c>
      <c r="F16" s="1718">
        <v>1E-3</v>
      </c>
      <c r="G16" s="1718">
        <v>0.5</v>
      </c>
      <c r="H16" s="1715"/>
      <c r="I16" s="1715"/>
      <c r="J16" s="1715" t="s">
        <v>1777</v>
      </c>
      <c r="K16" s="1715">
        <v>1E-10</v>
      </c>
      <c r="L16" s="1715">
        <v>5</v>
      </c>
      <c r="M16" s="1684"/>
    </row>
    <row r="17" spans="1:13" x14ac:dyDescent="0.2">
      <c r="A17" s="1729"/>
      <c r="B17" s="1715" t="s">
        <v>1581</v>
      </c>
      <c r="C17" s="1715">
        <v>50</v>
      </c>
      <c r="D17" s="1715" t="s">
        <v>1574</v>
      </c>
      <c r="E17" s="1715" t="s">
        <v>1581</v>
      </c>
      <c r="F17" s="1718">
        <v>1E-3</v>
      </c>
      <c r="G17" s="1718">
        <v>99.998999999999995</v>
      </c>
      <c r="H17" s="1715"/>
      <c r="I17" s="1715"/>
      <c r="J17" s="1715" t="s">
        <v>1581</v>
      </c>
      <c r="K17" s="1715">
        <v>50</v>
      </c>
      <c r="L17" s="1715">
        <v>50</v>
      </c>
      <c r="M17" s="1684"/>
    </row>
    <row r="18" spans="1:13" x14ac:dyDescent="0.2">
      <c r="A18" s="1729"/>
      <c r="B18" s="1715" t="s">
        <v>1778</v>
      </c>
      <c r="C18" s="1715">
        <v>50</v>
      </c>
      <c r="D18" s="1715" t="s">
        <v>1574</v>
      </c>
      <c r="E18" s="1715" t="s">
        <v>1778</v>
      </c>
      <c r="F18" s="1718">
        <v>1E-3</v>
      </c>
      <c r="G18" s="1718">
        <v>99.998999999999995</v>
      </c>
      <c r="H18" s="1715"/>
      <c r="I18" s="1715"/>
      <c r="J18" s="1715" t="s">
        <v>1778</v>
      </c>
      <c r="K18" s="1715">
        <v>50</v>
      </c>
      <c r="L18" s="1715">
        <v>50</v>
      </c>
      <c r="M18" s="1684"/>
    </row>
    <row r="19" spans="1:13" x14ac:dyDescent="0.2">
      <c r="A19" s="1730" t="s">
        <v>535</v>
      </c>
      <c r="B19" s="1715" t="s">
        <v>1583</v>
      </c>
      <c r="C19" s="1715">
        <v>1E-10</v>
      </c>
      <c r="D19" s="1715" t="s">
        <v>1569</v>
      </c>
      <c r="E19" s="1715" t="s">
        <v>1583</v>
      </c>
      <c r="F19" s="1718">
        <v>1E-3</v>
      </c>
      <c r="G19" s="1718">
        <v>10</v>
      </c>
      <c r="H19" s="1715"/>
      <c r="I19" s="1715"/>
      <c r="J19" s="1715" t="s">
        <v>1583</v>
      </c>
      <c r="K19" s="1715">
        <v>1E-10</v>
      </c>
      <c r="L19" s="1715">
        <v>5</v>
      </c>
      <c r="M19" s="1684"/>
    </row>
    <row r="20" spans="1:13" x14ac:dyDescent="0.2">
      <c r="A20" s="1729"/>
      <c r="B20" s="1715" t="s">
        <v>1584</v>
      </c>
      <c r="C20" s="1715">
        <v>1E-10</v>
      </c>
      <c r="D20" s="1715" t="s">
        <v>1569</v>
      </c>
      <c r="E20" s="1715" t="s">
        <v>1584</v>
      </c>
      <c r="F20" s="1718">
        <v>1E-3</v>
      </c>
      <c r="G20" s="1718">
        <v>10</v>
      </c>
      <c r="H20" s="1715"/>
      <c r="I20" s="1715"/>
      <c r="J20" s="1715" t="s">
        <v>1584</v>
      </c>
      <c r="K20" s="1715">
        <v>1E-10</v>
      </c>
      <c r="L20" s="1715">
        <v>5</v>
      </c>
      <c r="M20" s="1684"/>
    </row>
    <row r="21" spans="1:13" x14ac:dyDescent="0.2">
      <c r="A21" s="1729"/>
      <c r="B21" s="1715" t="s">
        <v>1585</v>
      </c>
      <c r="C21" s="1715">
        <v>50</v>
      </c>
      <c r="D21" s="1715" t="s">
        <v>1574</v>
      </c>
      <c r="E21" s="1715" t="s">
        <v>1586</v>
      </c>
      <c r="F21" s="1718">
        <v>1E-3</v>
      </c>
      <c r="G21" s="1718">
        <v>99.998999999999995</v>
      </c>
      <c r="H21" s="1715"/>
      <c r="I21" s="1715"/>
      <c r="J21" s="1715" t="s">
        <v>1585</v>
      </c>
      <c r="K21" s="1715">
        <v>50</v>
      </c>
      <c r="L21" s="1715">
        <v>50</v>
      </c>
      <c r="M21" s="1684"/>
    </row>
    <row r="22" spans="1:13" x14ac:dyDescent="0.2">
      <c r="A22" s="1730" t="s">
        <v>1587</v>
      </c>
      <c r="B22" s="1715" t="s">
        <v>1588</v>
      </c>
      <c r="C22" s="1715">
        <v>1E-10</v>
      </c>
      <c r="D22" s="1715" t="s">
        <v>1569</v>
      </c>
      <c r="E22" s="1715" t="s">
        <v>1588</v>
      </c>
      <c r="F22" s="1718">
        <v>1E-3</v>
      </c>
      <c r="G22" s="1718">
        <v>10</v>
      </c>
      <c r="H22" s="1715"/>
      <c r="I22" s="1715"/>
      <c r="J22" s="1715" t="s">
        <v>1588</v>
      </c>
      <c r="K22" s="1715">
        <v>1E-10</v>
      </c>
      <c r="L22" s="1715">
        <v>5</v>
      </c>
      <c r="M22" s="1684"/>
    </row>
    <row r="23" spans="1:13" x14ac:dyDescent="0.2">
      <c r="A23" s="1729"/>
      <c r="B23" s="1715" t="s">
        <v>1589</v>
      </c>
      <c r="C23" s="1715">
        <v>1E-10</v>
      </c>
      <c r="D23" s="1715" t="s">
        <v>1569</v>
      </c>
      <c r="E23" s="1715" t="s">
        <v>1589</v>
      </c>
      <c r="F23" s="1718">
        <v>1E-3</v>
      </c>
      <c r="G23" s="1718">
        <v>10</v>
      </c>
      <c r="H23" s="1715"/>
      <c r="I23" s="1715"/>
      <c r="J23" s="1715" t="s">
        <v>1589</v>
      </c>
      <c r="K23" s="1715">
        <v>1E-10</v>
      </c>
      <c r="L23" s="1715">
        <v>5</v>
      </c>
      <c r="M23" s="1684"/>
    </row>
    <row r="24" spans="1:13" x14ac:dyDescent="0.2">
      <c r="A24" s="1729"/>
      <c r="B24" s="1715" t="s">
        <v>1590</v>
      </c>
      <c r="C24" s="1715">
        <v>50</v>
      </c>
      <c r="D24" s="1715" t="s">
        <v>1574</v>
      </c>
      <c r="E24" s="1715" t="s">
        <v>1591</v>
      </c>
      <c r="F24" s="1718">
        <v>1E-3</v>
      </c>
      <c r="G24" s="1718">
        <v>99.998999999999995</v>
      </c>
      <c r="H24" s="1715"/>
      <c r="I24" s="1715"/>
      <c r="J24" s="1715" t="s">
        <v>1590</v>
      </c>
      <c r="K24" s="1715">
        <v>50</v>
      </c>
      <c r="L24" s="1715">
        <v>50</v>
      </c>
      <c r="M24" s="1684"/>
    </row>
    <row r="25" spans="1:13" x14ac:dyDescent="0.2">
      <c r="A25" s="1730" t="s">
        <v>1592</v>
      </c>
      <c r="B25" s="1715" t="s">
        <v>1593</v>
      </c>
      <c r="C25" s="1715">
        <v>1E-10</v>
      </c>
      <c r="D25" s="1715" t="s">
        <v>1569</v>
      </c>
      <c r="E25" s="1715" t="s">
        <v>1593</v>
      </c>
      <c r="F25" s="1718">
        <v>1E-3</v>
      </c>
      <c r="G25" s="1718">
        <v>10</v>
      </c>
      <c r="H25" s="1715"/>
      <c r="I25" s="1715"/>
      <c r="J25" s="1715" t="s">
        <v>1593</v>
      </c>
      <c r="K25" s="1715">
        <v>1E-10</v>
      </c>
      <c r="L25" s="1715">
        <v>5</v>
      </c>
      <c r="M25" s="1684"/>
    </row>
    <row r="26" spans="1:13" x14ac:dyDescent="0.2">
      <c r="A26" s="1729"/>
      <c r="B26" s="1715" t="s">
        <v>1594</v>
      </c>
      <c r="C26" s="1715">
        <v>1E-10</v>
      </c>
      <c r="D26" s="1715" t="s">
        <v>1569</v>
      </c>
      <c r="E26" s="1715" t="s">
        <v>1594</v>
      </c>
      <c r="F26" s="1718">
        <v>1E-3</v>
      </c>
      <c r="G26" s="1718">
        <v>10</v>
      </c>
      <c r="H26" s="1715"/>
      <c r="I26" s="1715"/>
      <c r="J26" s="1715" t="s">
        <v>1594</v>
      </c>
      <c r="K26" s="1715">
        <v>1E-10</v>
      </c>
      <c r="L26" s="1715">
        <v>5</v>
      </c>
      <c r="M26" s="1684"/>
    </row>
    <row r="27" spans="1:13" x14ac:dyDescent="0.2">
      <c r="A27" s="1729"/>
      <c r="B27" s="1715" t="s">
        <v>1595</v>
      </c>
      <c r="C27" s="1715">
        <v>1E-10</v>
      </c>
      <c r="D27" s="1715" t="s">
        <v>1569</v>
      </c>
      <c r="E27" s="1715" t="s">
        <v>1595</v>
      </c>
      <c r="F27" s="1718">
        <v>1E-3</v>
      </c>
      <c r="G27" s="1718">
        <v>10</v>
      </c>
      <c r="H27" s="1715"/>
      <c r="I27" s="1715"/>
      <c r="J27" s="1715" t="s">
        <v>1595</v>
      </c>
      <c r="K27" s="1715">
        <v>1E-10</v>
      </c>
      <c r="L27" s="1715">
        <v>5</v>
      </c>
      <c r="M27" s="1684"/>
    </row>
    <row r="28" spans="1:13" x14ac:dyDescent="0.2">
      <c r="A28" s="1729"/>
      <c r="B28" s="1715" t="s">
        <v>1596</v>
      </c>
      <c r="C28" s="1715">
        <v>50</v>
      </c>
      <c r="D28" s="1715" t="s">
        <v>1574</v>
      </c>
      <c r="E28" s="1715" t="s">
        <v>1597</v>
      </c>
      <c r="F28" s="1718">
        <v>1E-3</v>
      </c>
      <c r="G28" s="1718">
        <v>99.998999999999995</v>
      </c>
      <c r="H28" s="1715"/>
      <c r="I28" s="1715"/>
      <c r="J28" s="1715" t="s">
        <v>1596</v>
      </c>
      <c r="K28" s="1715">
        <v>50</v>
      </c>
      <c r="L28" s="1715">
        <v>50</v>
      </c>
      <c r="M28" s="1684"/>
    </row>
    <row r="29" spans="1:13" x14ac:dyDescent="0.2">
      <c r="A29" s="1729"/>
      <c r="B29" s="1715" t="s">
        <v>1598</v>
      </c>
      <c r="C29" s="1715">
        <v>50</v>
      </c>
      <c r="D29" s="1715" t="s">
        <v>1574</v>
      </c>
      <c r="E29" s="1715" t="s">
        <v>1598</v>
      </c>
      <c r="F29" s="1718">
        <v>1E-3</v>
      </c>
      <c r="G29" s="1718">
        <v>99.998999999999995</v>
      </c>
      <c r="H29" s="1715"/>
      <c r="I29" s="1715"/>
      <c r="J29" s="1715" t="s">
        <v>1598</v>
      </c>
      <c r="K29" s="1715">
        <v>50</v>
      </c>
      <c r="L29" s="1715">
        <v>50</v>
      </c>
      <c r="M29" s="1684"/>
    </row>
    <row r="30" spans="1:13" x14ac:dyDescent="0.2">
      <c r="A30" s="1730" t="s">
        <v>1820</v>
      </c>
      <c r="B30" s="1715" t="s">
        <v>1818</v>
      </c>
      <c r="C30" s="1715">
        <v>50</v>
      </c>
      <c r="D30" s="1715" t="s">
        <v>1599</v>
      </c>
      <c r="E30" s="1715" t="s">
        <v>395</v>
      </c>
      <c r="F30" s="1718">
        <v>1E-3</v>
      </c>
      <c r="G30" s="1718">
        <v>99.998999999999995</v>
      </c>
      <c r="H30" s="1715"/>
      <c r="I30" s="1715"/>
      <c r="J30" s="1715" t="s">
        <v>395</v>
      </c>
      <c r="K30" s="1715">
        <v>50</v>
      </c>
      <c r="L30" s="1715">
        <v>50</v>
      </c>
      <c r="M30" s="1684"/>
    </row>
    <row r="31" spans="1:13" x14ac:dyDescent="0.2">
      <c r="A31" s="1730" t="s">
        <v>1821</v>
      </c>
      <c r="B31" s="1715" t="s">
        <v>410</v>
      </c>
      <c r="C31" s="1715">
        <v>50</v>
      </c>
      <c r="D31" s="1715" t="s">
        <v>1599</v>
      </c>
      <c r="E31" s="1715" t="s">
        <v>410</v>
      </c>
      <c r="F31" s="1718">
        <v>1E-3</v>
      </c>
      <c r="G31" s="1718">
        <v>99.998999999999995</v>
      </c>
      <c r="H31" s="1715"/>
      <c r="I31" s="1715"/>
      <c r="J31" s="1715" t="s">
        <v>410</v>
      </c>
      <c r="K31" s="1715">
        <v>50</v>
      </c>
      <c r="L31" s="1715">
        <v>50</v>
      </c>
      <c r="M31" s="1684"/>
    </row>
    <row r="32" spans="1:13" x14ac:dyDescent="0.2">
      <c r="A32" s="1730" t="s">
        <v>1823</v>
      </c>
      <c r="B32" s="1715" t="s">
        <v>412</v>
      </c>
      <c r="C32" s="1715">
        <v>50</v>
      </c>
      <c r="D32" s="1715" t="s">
        <v>1599</v>
      </c>
      <c r="E32" s="1715" t="s">
        <v>412</v>
      </c>
      <c r="F32" s="1718">
        <v>1E-3</v>
      </c>
      <c r="G32" s="1718">
        <v>99.998999999999995</v>
      </c>
      <c r="H32" s="1715"/>
      <c r="I32" s="1715"/>
      <c r="J32" s="1715" t="s">
        <v>412</v>
      </c>
      <c r="K32" s="1715">
        <v>50</v>
      </c>
      <c r="L32" s="1715">
        <v>50</v>
      </c>
      <c r="M32" s="1684"/>
    </row>
    <row r="33" spans="1:13" x14ac:dyDescent="0.2">
      <c r="A33" s="1730" t="s">
        <v>1824</v>
      </c>
      <c r="B33" s="1715" t="s">
        <v>1601</v>
      </c>
      <c r="C33" s="1715">
        <v>50</v>
      </c>
      <c r="D33" s="1715" t="s">
        <v>1599</v>
      </c>
      <c r="E33" s="1715" t="s">
        <v>1601</v>
      </c>
      <c r="F33" s="1718">
        <v>1E-3</v>
      </c>
      <c r="G33" s="1718">
        <v>99.998999999999995</v>
      </c>
      <c r="H33" s="1715"/>
      <c r="I33" s="1715"/>
      <c r="J33" s="1715" t="s">
        <v>1601</v>
      </c>
      <c r="K33" s="1715">
        <v>50</v>
      </c>
      <c r="L33" s="1715">
        <v>50</v>
      </c>
      <c r="M33" s="1684"/>
    </row>
    <row r="34" spans="1:13" x14ac:dyDescent="0.2">
      <c r="A34" s="1730" t="s">
        <v>1822</v>
      </c>
      <c r="B34" s="1715" t="s">
        <v>1819</v>
      </c>
      <c r="C34" s="1715">
        <f ca="1">IF(OR(CokingRefineryConfig=0,CokingRefineryConfig=1,CokingRefineryConfig=4),0.0000000001,99.9999999999)</f>
        <v>1E-10</v>
      </c>
      <c r="D34" s="1715" t="s">
        <v>1599</v>
      </c>
      <c r="E34" s="1715" t="s">
        <v>395</v>
      </c>
      <c r="F34" s="1718">
        <v>1E-3</v>
      </c>
      <c r="G34" s="1718">
        <v>99.998999999999995</v>
      </c>
      <c r="H34" s="1715"/>
      <c r="I34" s="1715"/>
      <c r="J34" s="1715" t="s">
        <v>395</v>
      </c>
      <c r="K34" s="1715">
        <f ca="1">IF(OR(CokingRefineryConfig=0,CokingRefineryConfig=1,CokingRefineryConfig=4),0.0000000001,99.9999999999)</f>
        <v>1E-10</v>
      </c>
      <c r="L34" s="1715">
        <v>50</v>
      </c>
      <c r="M34" s="1684"/>
    </row>
    <row r="35" spans="1:13" x14ac:dyDescent="0.2">
      <c r="A35" s="1730" t="s">
        <v>397</v>
      </c>
      <c r="B35" s="1715" t="s">
        <v>410</v>
      </c>
      <c r="C35" s="1715">
        <f ca="1">IF(OR(CokingRefineryConfig=0,CokingRefineryConfig=1,CokingRefineryConfig=4),0.0000000001,99.9999999999)</f>
        <v>1E-10</v>
      </c>
      <c r="D35" s="1715" t="s">
        <v>1599</v>
      </c>
      <c r="E35" s="1715" t="s">
        <v>410</v>
      </c>
      <c r="F35" s="1718">
        <v>1E-3</v>
      </c>
      <c r="G35" s="1718">
        <v>99.998999999999995</v>
      </c>
      <c r="H35" s="1715"/>
      <c r="I35" s="1715"/>
      <c r="J35" s="1715" t="s">
        <v>410</v>
      </c>
      <c r="K35" s="1715">
        <f ca="1">IF(OR(CokingRefineryConfig=0,CokingRefineryConfig=1,CokingRefineryConfig=4),0.0000000001,99.9999999999)</f>
        <v>1E-10</v>
      </c>
      <c r="L35" s="1715">
        <v>50</v>
      </c>
      <c r="M35" s="1684"/>
    </row>
    <row r="36" spans="1:13" x14ac:dyDescent="0.2">
      <c r="A36" s="1730" t="s">
        <v>400</v>
      </c>
      <c r="B36" s="1715" t="s">
        <v>412</v>
      </c>
      <c r="C36" s="1715">
        <f ca="1">IF(OR(CokingRefineryConfig=0,CokingRefineryConfig=1,CokingRefineryConfig=4),0.0000000001,99.9999999999)</f>
        <v>1E-10</v>
      </c>
      <c r="D36" s="1715" t="s">
        <v>1599</v>
      </c>
      <c r="E36" s="1715" t="s">
        <v>412</v>
      </c>
      <c r="F36" s="1718">
        <v>1E-3</v>
      </c>
      <c r="G36" s="1718">
        <v>99.998999999999995</v>
      </c>
      <c r="H36" s="1715"/>
      <c r="I36" s="1715"/>
      <c r="J36" s="1715" t="s">
        <v>412</v>
      </c>
      <c r="K36" s="1715">
        <f ca="1">IF(OR(CokingRefineryConfig=0,CokingRefineryConfig=1,CokingRefineryConfig=4),0.0000000001,99.9999999999)</f>
        <v>1E-10</v>
      </c>
      <c r="L36" s="1715">
        <v>50</v>
      </c>
      <c r="M36" s="1684"/>
    </row>
    <row r="37" spans="1:13" x14ac:dyDescent="0.2">
      <c r="A37" s="1730" t="s">
        <v>1600</v>
      </c>
      <c r="B37" s="1715" t="s">
        <v>1601</v>
      </c>
      <c r="C37" s="1715">
        <f ca="1">IF(OR(CokingRefineryConfig=0,CokingRefineryConfig=1,CokingRefineryConfig=4),0.0000000001,99.9999999999)</f>
        <v>1E-10</v>
      </c>
      <c r="D37" s="1715" t="s">
        <v>1599</v>
      </c>
      <c r="E37" s="1715" t="s">
        <v>1601</v>
      </c>
      <c r="F37" s="1718">
        <v>1E-3</v>
      </c>
      <c r="G37" s="1718">
        <v>99.998999999999995</v>
      </c>
      <c r="H37" s="1715"/>
      <c r="I37" s="1715"/>
      <c r="J37" s="1715" t="s">
        <v>1601</v>
      </c>
      <c r="K37" s="1715">
        <f ca="1">IF(OR(CokingRefineryConfig=0,CokingRefineryConfig=1,CokingRefineryConfig=4),0.0000000001,99.9999999999)</f>
        <v>1E-10</v>
      </c>
      <c r="L37" s="1715">
        <v>50</v>
      </c>
      <c r="M37" s="1684"/>
    </row>
    <row r="38" spans="1:13" x14ac:dyDescent="0.2">
      <c r="A38" s="1730"/>
      <c r="B38" s="1715"/>
      <c r="C38" s="1715"/>
      <c r="D38" s="1715"/>
      <c r="E38" s="1715"/>
      <c r="F38" s="1718"/>
      <c r="G38" s="1718"/>
      <c r="H38" s="1715"/>
      <c r="I38" s="1715"/>
      <c r="J38" s="1715"/>
      <c r="K38" s="1715"/>
      <c r="L38" s="1715"/>
      <c r="M38" s="1684"/>
    </row>
    <row r="39" spans="1:13" x14ac:dyDescent="0.2">
      <c r="A39" s="1730"/>
      <c r="B39" s="1715"/>
      <c r="C39" s="1715"/>
      <c r="D39" s="1715"/>
      <c r="E39" s="1715"/>
      <c r="F39" s="1718"/>
      <c r="G39" s="1718"/>
      <c r="H39" s="1715"/>
      <c r="I39" s="1715"/>
      <c r="J39" s="1715"/>
      <c r="K39" s="1715"/>
      <c r="L39" s="1715"/>
      <c r="M39" s="1684"/>
    </row>
    <row r="40" spans="1:13" x14ac:dyDescent="0.2">
      <c r="A40" s="1742" t="s">
        <v>1602</v>
      </c>
      <c r="B40" s="1715"/>
      <c r="C40" s="1716"/>
      <c r="D40" s="1715"/>
      <c r="E40" s="1715"/>
      <c r="F40" s="1715"/>
      <c r="G40" s="1715"/>
      <c r="H40" s="1715"/>
      <c r="I40" s="1715"/>
      <c r="J40" s="1715"/>
      <c r="K40" s="1715"/>
      <c r="L40" s="1715"/>
      <c r="M40" s="1684"/>
    </row>
    <row r="41" spans="1:13" x14ac:dyDescent="0.2">
      <c r="A41" s="1729"/>
      <c r="B41" s="1715" t="s">
        <v>1603</v>
      </c>
      <c r="C41" s="1719">
        <f ca="1">CokingRefineryCalcs!E697</f>
        <v>1.9865467468475886E-16</v>
      </c>
      <c r="D41" s="1715" t="s">
        <v>1604</v>
      </c>
      <c r="E41" s="1715" t="s">
        <v>1603</v>
      </c>
      <c r="F41" s="1718">
        <v>100</v>
      </c>
      <c r="G41" s="1718">
        <v>100000</v>
      </c>
      <c r="H41" s="1715" t="s">
        <v>1604</v>
      </c>
      <c r="I41" s="1715"/>
      <c r="J41" s="1715"/>
      <c r="K41" s="1715"/>
      <c r="L41" s="1715"/>
      <c r="M41" s="1684"/>
    </row>
    <row r="42" spans="1:13" x14ac:dyDescent="0.2">
      <c r="A42" s="1729"/>
      <c r="B42" s="1715" t="s">
        <v>1605</v>
      </c>
      <c r="C42" s="1719">
        <f ca="1">CokingRefineryCalcs!I362</f>
        <v>1.1182517606218385E-8</v>
      </c>
      <c r="D42" s="1715" t="s">
        <v>1604</v>
      </c>
      <c r="E42" s="1715" t="s">
        <v>1605</v>
      </c>
      <c r="F42" s="1718">
        <v>100</v>
      </c>
      <c r="G42" s="1718">
        <v>100000</v>
      </c>
      <c r="H42" s="1715" t="s">
        <v>1604</v>
      </c>
      <c r="I42" s="1715"/>
      <c r="J42" s="1715"/>
      <c r="K42" s="1715"/>
      <c r="L42" s="1715"/>
      <c r="M42" s="1684"/>
    </row>
    <row r="43" spans="1:13" x14ac:dyDescent="0.2">
      <c r="A43" s="1729"/>
      <c r="B43" s="1715"/>
      <c r="C43" s="1716"/>
      <c r="D43" s="1715"/>
      <c r="E43" s="1715"/>
      <c r="F43" s="1715"/>
      <c r="G43" s="1715"/>
      <c r="H43" s="1715"/>
      <c r="I43" s="1715"/>
      <c r="J43" s="1715"/>
      <c r="K43" s="1715"/>
      <c r="L43" s="1715"/>
      <c r="M43" s="1684"/>
    </row>
    <row r="44" spans="1:13" x14ac:dyDescent="0.2">
      <c r="A44" s="1729"/>
      <c r="B44" s="1715"/>
      <c r="C44" s="1716"/>
      <c r="D44" s="1957"/>
      <c r="E44" s="1715"/>
      <c r="F44" s="1715"/>
      <c r="G44" s="1715"/>
      <c r="H44" s="1715"/>
      <c r="I44" s="1715"/>
      <c r="J44" s="1715"/>
      <c r="K44" s="1715"/>
      <c r="L44" s="1715"/>
      <c r="M44" s="1684"/>
    </row>
    <row r="45" spans="1:13" x14ac:dyDescent="0.2">
      <c r="A45" s="1729"/>
      <c r="B45" s="1715"/>
      <c r="C45" s="1716"/>
      <c r="D45" s="1715"/>
      <c r="E45" s="1715"/>
      <c r="F45" s="1715"/>
      <c r="G45" s="1715"/>
      <c r="H45" s="1715"/>
      <c r="I45" s="1715"/>
      <c r="J45" s="1715"/>
      <c r="K45" s="1715"/>
      <c r="L45" s="1715"/>
      <c r="M45" s="1684"/>
    </row>
    <row r="46" spans="1:13" x14ac:dyDescent="0.2">
      <c r="A46" s="1742" t="s">
        <v>1606</v>
      </c>
      <c r="B46" s="1715" t="s">
        <v>1607</v>
      </c>
      <c r="C46" s="1738" t="s">
        <v>1608</v>
      </c>
      <c r="D46" s="1724" t="s">
        <v>430</v>
      </c>
      <c r="E46" s="1707" t="s">
        <v>1609</v>
      </c>
      <c r="F46" s="1708">
        <v>2</v>
      </c>
      <c r="G46" s="1715"/>
      <c r="H46" s="1715"/>
      <c r="I46" s="1715"/>
      <c r="J46" s="1715"/>
      <c r="K46" s="1715"/>
      <c r="L46" s="1715"/>
      <c r="M46" s="1684"/>
    </row>
    <row r="47" spans="1:13" x14ac:dyDescent="0.2">
      <c r="A47" s="1729"/>
      <c r="B47" s="1715" t="s">
        <v>428</v>
      </c>
      <c r="C47" s="1716">
        <f>'Expert Input'!F68</f>
        <v>2</v>
      </c>
      <c r="D47" s="1720">
        <f ca="1">IF(F46=1,CokingRefineryCalcs!D1098,CokingRefineryPFD!DD28)</f>
        <v>24206.28733301266</v>
      </c>
      <c r="E47" s="1709" t="s">
        <v>1610</v>
      </c>
      <c r="F47" s="1710">
        <v>1</v>
      </c>
      <c r="G47" s="1715"/>
      <c r="H47" s="1715"/>
      <c r="I47" s="1715"/>
      <c r="J47" s="1715"/>
      <c r="K47" s="1715"/>
      <c r="L47" s="1715"/>
      <c r="M47" s="1684"/>
    </row>
    <row r="48" spans="1:13" x14ac:dyDescent="0.2">
      <c r="A48" s="1729"/>
      <c r="B48" s="1715" t="s">
        <v>429</v>
      </c>
      <c r="C48" s="1716">
        <f>'Expert Input'!F69</f>
        <v>1</v>
      </c>
      <c r="D48" s="1720">
        <f ca="1">IF(F46=1,CokingRefineryCalcs!F1098,CokingRefineryPFD!DD83)</f>
        <v>13412.605933522691</v>
      </c>
      <c r="E48" s="1711" t="s">
        <v>1611</v>
      </c>
      <c r="F48" s="1712">
        <v>2</v>
      </c>
      <c r="G48" s="1715"/>
      <c r="H48" s="1715"/>
      <c r="I48" s="1715"/>
      <c r="J48" s="1715"/>
      <c r="K48" s="1715"/>
      <c r="L48" s="1715"/>
      <c r="M48" s="1684"/>
    </row>
    <row r="49" spans="1:13" x14ac:dyDescent="0.2">
      <c r="A49" s="1729"/>
      <c r="B49" s="1715" t="s">
        <v>1612</v>
      </c>
      <c r="C49" s="1716">
        <f>C47/C48</f>
        <v>2</v>
      </c>
      <c r="D49" s="1715">
        <f ca="1">D47/D48</f>
        <v>1.8047415582763724</v>
      </c>
      <c r="E49" s="1721"/>
      <c r="F49" s="1715"/>
      <c r="G49" s="1715"/>
      <c r="H49" s="1715"/>
      <c r="I49" s="1715"/>
      <c r="J49" s="1715"/>
      <c r="K49" s="1715"/>
      <c r="L49" s="1715"/>
      <c r="M49" s="1684"/>
    </row>
    <row r="50" spans="1:13" x14ac:dyDescent="0.2">
      <c r="A50" s="1729"/>
      <c r="B50" s="1715"/>
      <c r="C50" s="1715"/>
      <c r="D50" s="1715"/>
      <c r="E50" s="1715"/>
      <c r="F50" s="1715"/>
      <c r="G50" s="1715"/>
      <c r="H50" s="1715"/>
      <c r="I50" s="1715"/>
      <c r="J50" s="1715"/>
      <c r="K50" s="1715"/>
      <c r="L50" s="1715"/>
      <c r="M50" s="1684"/>
    </row>
    <row r="51" spans="1:13" x14ac:dyDescent="0.2">
      <c r="A51" s="1729"/>
      <c r="B51" s="1741" t="s">
        <v>1613</v>
      </c>
      <c r="C51" s="1722">
        <f ca="1">D49-C49</f>
        <v>-0.19525844172362761</v>
      </c>
      <c r="D51" s="1715"/>
      <c r="E51" s="1715"/>
      <c r="F51" s="1715"/>
      <c r="G51" s="1715"/>
      <c r="H51" s="1715"/>
      <c r="I51" s="1715"/>
      <c r="J51" s="1715"/>
      <c r="K51" s="1715"/>
      <c r="L51" s="1715"/>
      <c r="M51" s="1684"/>
    </row>
    <row r="52" spans="1:13" x14ac:dyDescent="0.2">
      <c r="A52" s="1729"/>
      <c r="B52" s="1715"/>
      <c r="C52" s="1715"/>
      <c r="D52" s="1715"/>
      <c r="E52" s="1715"/>
      <c r="F52" s="1715"/>
      <c r="G52" s="1715"/>
      <c r="H52" s="1715"/>
      <c r="I52" s="1715"/>
      <c r="J52" s="1715"/>
      <c r="K52" s="1715"/>
      <c r="L52" s="1715"/>
      <c r="M52" s="1684"/>
    </row>
    <row r="53" spans="1:13" x14ac:dyDescent="0.2">
      <c r="A53" s="1729"/>
      <c r="B53" s="1715"/>
      <c r="C53" s="1716"/>
      <c r="D53" s="1715"/>
      <c r="E53" s="1715"/>
      <c r="F53" s="1715"/>
      <c r="G53" s="1715"/>
      <c r="H53" s="1715"/>
      <c r="I53" s="1715"/>
      <c r="J53" s="1715"/>
      <c r="K53" s="1715"/>
      <c r="L53" s="1715"/>
      <c r="M53" s="1684"/>
    </row>
    <row r="54" spans="1:13" x14ac:dyDescent="0.2">
      <c r="A54" s="1729"/>
      <c r="B54" s="1715"/>
      <c r="C54" s="1716"/>
      <c r="D54" s="1715"/>
      <c r="E54" s="1715"/>
      <c r="F54" s="1715"/>
      <c r="G54" s="1715"/>
      <c r="H54" s="1715"/>
      <c r="I54" s="1715"/>
      <c r="J54" s="1715"/>
      <c r="K54" s="1715"/>
      <c r="L54" s="1715"/>
      <c r="M54" s="1684"/>
    </row>
    <row r="55" spans="1:13" x14ac:dyDescent="0.2">
      <c r="A55" s="1729"/>
      <c r="B55" s="1715"/>
      <c r="C55" s="1716"/>
      <c r="D55" s="1715"/>
      <c r="E55" s="1715"/>
      <c r="F55" s="1715"/>
      <c r="G55" s="1715"/>
      <c r="H55" s="1715"/>
      <c r="I55" s="1715"/>
      <c r="J55" s="1715"/>
      <c r="K55" s="1715"/>
      <c r="L55" s="1715"/>
      <c r="M55" s="1684"/>
    </row>
    <row r="56" spans="1:13" x14ac:dyDescent="0.2">
      <c r="A56" s="1742" t="s">
        <v>1614</v>
      </c>
      <c r="B56" s="1723" t="s">
        <v>1607</v>
      </c>
      <c r="C56" s="1738" t="s">
        <v>1615</v>
      </c>
      <c r="D56" s="1724" t="s">
        <v>1616</v>
      </c>
      <c r="E56" s="1723" t="s">
        <v>1617</v>
      </c>
      <c r="F56" s="1723"/>
      <c r="G56" s="1715"/>
      <c r="H56" s="1715"/>
      <c r="I56" s="1715"/>
      <c r="J56" s="1715"/>
      <c r="K56" s="1715"/>
      <c r="L56" s="1715"/>
      <c r="M56" s="1684"/>
    </row>
    <row r="57" spans="1:13" x14ac:dyDescent="0.2">
      <c r="A57" s="1739" t="s">
        <v>519</v>
      </c>
      <c r="B57" s="1723" t="s">
        <v>428</v>
      </c>
      <c r="C57" s="1725">
        <f ca="1">$D$66*C71</f>
        <v>0</v>
      </c>
      <c r="D57" s="1726">
        <f ca="1">CokingRefineryPFD!DD28</f>
        <v>24206.28733301266</v>
      </c>
      <c r="E57" s="1725">
        <f ca="1">(C57-D57)^2</f>
        <v>585944346.44836915</v>
      </c>
      <c r="F57" s="1723" t="s">
        <v>1618</v>
      </c>
      <c r="G57" s="1715"/>
      <c r="H57" s="1715"/>
      <c r="I57" s="1715"/>
      <c r="J57" s="1715"/>
      <c r="K57" s="1715"/>
      <c r="L57" s="1715"/>
      <c r="M57" s="1684"/>
    </row>
    <row r="58" spans="1:13" x14ac:dyDescent="0.2">
      <c r="A58" s="1739" t="s">
        <v>521</v>
      </c>
      <c r="B58" s="1723" t="s">
        <v>362</v>
      </c>
      <c r="C58" s="1725">
        <f t="shared" ref="C58:C63" ca="1" si="0">$D$66*C72</f>
        <v>0</v>
      </c>
      <c r="D58" s="1726">
        <f ca="1">CokingRefineryPFD!DD63</f>
        <v>28123.302309909086</v>
      </c>
      <c r="E58" s="1725">
        <f t="shared" ref="E58:E61" ca="1" si="1">(C58-D58)^2</f>
        <v>790920132.81453776</v>
      </c>
      <c r="F58" s="1723" t="s">
        <v>1618</v>
      </c>
      <c r="G58" s="1715"/>
      <c r="H58" s="1715"/>
      <c r="I58" s="1715"/>
      <c r="J58" s="1715"/>
      <c r="K58" s="1715"/>
      <c r="L58" s="1715"/>
      <c r="M58" s="1684"/>
    </row>
    <row r="59" spans="1:13" x14ac:dyDescent="0.2">
      <c r="A59" s="1739" t="s">
        <v>489</v>
      </c>
      <c r="B59" s="1723" t="s">
        <v>429</v>
      </c>
      <c r="C59" s="1725">
        <f t="shared" ca="1" si="0"/>
        <v>0</v>
      </c>
      <c r="D59" s="1726">
        <f ca="1">CokingRefineryPFD!DD83</f>
        <v>13412.605933522691</v>
      </c>
      <c r="E59" s="1725">
        <f t="shared" ca="1" si="1"/>
        <v>179897997.92796808</v>
      </c>
      <c r="F59" s="1723" t="s">
        <v>1618</v>
      </c>
      <c r="G59" s="1715"/>
      <c r="H59" s="1715"/>
      <c r="I59" s="1715"/>
      <c r="J59" s="1715"/>
      <c r="K59" s="1715"/>
      <c r="L59" s="1715"/>
      <c r="M59" s="1684"/>
    </row>
    <row r="60" spans="1:13" x14ac:dyDescent="0.2">
      <c r="A60" s="1739" t="s">
        <v>520</v>
      </c>
      <c r="B60" s="1723" t="s">
        <v>574</v>
      </c>
      <c r="C60" s="1725">
        <f t="shared" ca="1" si="0"/>
        <v>0</v>
      </c>
      <c r="D60" s="1726">
        <f ca="1">CokingRefineryPFD!DD151</f>
        <v>11182.517606218385</v>
      </c>
      <c r="E60" s="1725">
        <f t="shared" ca="1" si="1"/>
        <v>125048700.01338416</v>
      </c>
      <c r="F60" s="1723" t="s">
        <v>1618</v>
      </c>
      <c r="G60" s="1715"/>
      <c r="H60" s="1715"/>
      <c r="I60" s="1715"/>
      <c r="J60" s="1715"/>
      <c r="K60" s="1715"/>
      <c r="L60" s="1715"/>
      <c r="M60" s="1684"/>
    </row>
    <row r="61" spans="1:13" x14ac:dyDescent="0.2">
      <c r="A61" s="1739" t="s">
        <v>654</v>
      </c>
      <c r="B61" s="1723" t="s">
        <v>654</v>
      </c>
      <c r="C61" s="1725">
        <f t="shared" ca="1" si="0"/>
        <v>0</v>
      </c>
      <c r="D61" s="1726">
        <f ca="1">CokingRefineryPFD!DD312</f>
        <v>9.5462955872403676E-18</v>
      </c>
      <c r="E61" s="1725">
        <f t="shared" ca="1" si="1"/>
        <v>9.1131759438964913E-35</v>
      </c>
      <c r="F61" s="1723" t="s">
        <v>1618</v>
      </c>
      <c r="G61" s="1715"/>
      <c r="H61" s="1715"/>
      <c r="I61" s="1715"/>
      <c r="J61" s="1715"/>
      <c r="K61" s="1715"/>
      <c r="L61" s="1715"/>
      <c r="M61" s="1684"/>
    </row>
    <row r="62" spans="1:13" x14ac:dyDescent="0.2">
      <c r="A62" s="1739" t="s">
        <v>1939</v>
      </c>
      <c r="B62" s="1723" t="s">
        <v>1940</v>
      </c>
      <c r="C62" s="1725">
        <f ca="1">$D$66*C76</f>
        <v>0</v>
      </c>
      <c r="D62" s="1725">
        <f ca="1">CokingRefineryPFD!DD294</f>
        <v>28238.054386069471</v>
      </c>
      <c r="E62" s="1725">
        <f ca="1">(C62-D62)^2</f>
        <v>797387715.51061726</v>
      </c>
      <c r="F62" s="1723" t="s">
        <v>1618</v>
      </c>
      <c r="G62" s="1715"/>
      <c r="H62" s="1715"/>
      <c r="I62" s="1715"/>
      <c r="J62" s="1715"/>
      <c r="K62" s="1715"/>
      <c r="L62" s="1715"/>
      <c r="M62" s="1684"/>
    </row>
    <row r="63" spans="1:13" x14ac:dyDescent="0.2">
      <c r="A63" s="1739" t="s">
        <v>1619</v>
      </c>
      <c r="B63" s="1723" t="s">
        <v>518</v>
      </c>
      <c r="C63" s="1725">
        <f t="shared" ca="1" si="0"/>
        <v>0</v>
      </c>
      <c r="D63" s="1715">
        <v>0</v>
      </c>
      <c r="E63" s="1725">
        <f ca="1">(C63-D63)^2</f>
        <v>0</v>
      </c>
      <c r="F63" s="1723" t="s">
        <v>1618</v>
      </c>
      <c r="G63" s="1715"/>
      <c r="H63" s="1715"/>
      <c r="I63" s="1715"/>
      <c r="J63" s="1715"/>
      <c r="K63" s="1715"/>
      <c r="L63" s="1715"/>
      <c r="M63" s="1684"/>
    </row>
    <row r="64" spans="1:13" x14ac:dyDescent="0.2">
      <c r="A64" s="1729"/>
      <c r="B64" s="1715"/>
      <c r="C64" s="1716"/>
      <c r="D64" s="1715"/>
      <c r="E64" s="1715"/>
      <c r="F64" s="1715"/>
      <c r="G64" s="1715"/>
      <c r="H64" s="1715"/>
      <c r="I64" s="1715"/>
      <c r="J64" s="1715"/>
      <c r="K64" s="1715"/>
      <c r="L64" s="1715"/>
      <c r="M64" s="1684"/>
    </row>
    <row r="65" spans="1:13" x14ac:dyDescent="0.2">
      <c r="A65" s="1729"/>
      <c r="B65" s="1715"/>
      <c r="C65" s="1716"/>
      <c r="D65" s="1715"/>
      <c r="E65" s="1715"/>
      <c r="F65" s="1715"/>
      <c r="G65" s="1715"/>
      <c r="H65" s="1715"/>
      <c r="I65" s="1715"/>
      <c r="J65" s="1715"/>
      <c r="K65" s="1715"/>
      <c r="L65" s="1715"/>
      <c r="M65" s="1684"/>
    </row>
    <row r="66" spans="1:13" x14ac:dyDescent="0.2">
      <c r="A66" s="1731"/>
      <c r="B66" s="1727" t="s">
        <v>598</v>
      </c>
      <c r="C66" s="1743">
        <f ca="1">SUM(C57:C63)</f>
        <v>0</v>
      </c>
      <c r="D66" s="1744">
        <f ca="1">SUM(D57:D62)</f>
        <v>105162.76756873231</v>
      </c>
      <c r="E66" s="1725">
        <f ca="1">SUM(E57:E63)</f>
        <v>2479198892.7148762</v>
      </c>
      <c r="F66" s="1741" t="s">
        <v>1620</v>
      </c>
      <c r="G66" s="1715"/>
      <c r="H66" s="1715"/>
      <c r="I66" s="1715"/>
      <c r="J66" s="1715"/>
      <c r="K66" s="1715"/>
      <c r="L66" s="1715"/>
      <c r="M66" s="1684"/>
    </row>
    <row r="67" spans="1:13" x14ac:dyDescent="0.2">
      <c r="A67" s="1729"/>
      <c r="B67" s="1715"/>
      <c r="C67" s="1716"/>
      <c r="D67" s="1715"/>
      <c r="E67" s="1715"/>
      <c r="F67" s="1715"/>
      <c r="G67" s="1715"/>
      <c r="H67" s="1715"/>
      <c r="I67" s="1715"/>
      <c r="J67" s="1715"/>
      <c r="K67" s="1715"/>
      <c r="L67" s="1715"/>
      <c r="M67" s="1684"/>
    </row>
    <row r="68" spans="1:13" x14ac:dyDescent="0.2">
      <c r="A68" s="1729"/>
      <c r="B68" s="1715"/>
      <c r="C68" s="1716"/>
      <c r="D68" s="1715"/>
      <c r="E68" s="1715"/>
      <c r="F68" s="1715"/>
      <c r="G68" s="1715"/>
      <c r="H68" s="1715"/>
      <c r="I68" s="1715"/>
      <c r="J68" s="1715"/>
      <c r="K68" s="1715"/>
      <c r="L68" s="1715"/>
      <c r="M68" s="1684"/>
    </row>
    <row r="69" spans="1:13" x14ac:dyDescent="0.2">
      <c r="A69" s="1742" t="s">
        <v>1558</v>
      </c>
      <c r="B69" s="1715"/>
      <c r="C69" s="1716"/>
      <c r="D69" s="1715"/>
      <c r="E69" s="1715"/>
      <c r="F69" s="1715"/>
      <c r="G69" s="1715"/>
      <c r="H69" s="1715"/>
      <c r="I69" s="1715"/>
      <c r="J69" s="1715"/>
      <c r="K69" s="1715"/>
      <c r="L69" s="1715"/>
      <c r="M69" s="1684"/>
    </row>
    <row r="70" spans="1:13" x14ac:dyDescent="0.2">
      <c r="A70" s="1729"/>
      <c r="B70" s="1715"/>
      <c r="C70" s="1716"/>
      <c r="D70" s="1715"/>
      <c r="E70" s="1715"/>
      <c r="F70" s="1715"/>
      <c r="G70" s="1715"/>
      <c r="H70" s="1715"/>
      <c r="I70" s="1715"/>
      <c r="J70" s="1715"/>
      <c r="K70" s="1715"/>
      <c r="L70" s="1715"/>
      <c r="M70" s="1684"/>
    </row>
    <row r="71" spans="1:13" x14ac:dyDescent="0.2">
      <c r="A71" s="1731" t="s">
        <v>519</v>
      </c>
      <c r="B71" s="1723" t="s">
        <v>428</v>
      </c>
      <c r="C71" s="1740">
        <f>'Expert Input'!F88</f>
        <v>0</v>
      </c>
      <c r="D71" s="1740">
        <f ca="1">D57/SUM($D$57:$D$63)</f>
        <v>0.23017925348143686</v>
      </c>
      <c r="E71" s="1715"/>
      <c r="F71" s="1715"/>
      <c r="G71" s="1715"/>
      <c r="H71" s="1715"/>
      <c r="I71" s="1715"/>
      <c r="J71" s="1715"/>
      <c r="K71" s="1715"/>
      <c r="L71" s="1715"/>
      <c r="M71" s="1684"/>
    </row>
    <row r="72" spans="1:13" x14ac:dyDescent="0.2">
      <c r="A72" s="1731" t="s">
        <v>521</v>
      </c>
      <c r="B72" s="1723" t="s">
        <v>362</v>
      </c>
      <c r="C72" s="1740">
        <f>'Expert Input'!F89</f>
        <v>0</v>
      </c>
      <c r="D72" s="1740">
        <f t="shared" ref="D72:D77" ca="1" si="2">D58/SUM($D$57:$D$63)</f>
        <v>0.26742641868499945</v>
      </c>
      <c r="E72" s="1715"/>
      <c r="F72" s="1715"/>
      <c r="G72" s="1715"/>
      <c r="H72" s="1715"/>
      <c r="I72" s="1715"/>
      <c r="J72" s="1715"/>
      <c r="K72" s="1715"/>
      <c r="L72" s="1715"/>
      <c r="M72" s="1684"/>
    </row>
    <row r="73" spans="1:13" x14ac:dyDescent="0.2">
      <c r="A73" s="1731" t="s">
        <v>489</v>
      </c>
      <c r="B73" s="1723" t="s">
        <v>429</v>
      </c>
      <c r="C73" s="1740">
        <f>'Expert Input'!F90</f>
        <v>0</v>
      </c>
      <c r="D73" s="1740">
        <f t="shared" ca="1" si="2"/>
        <v>0.12754139362827702</v>
      </c>
      <c r="E73" s="1715"/>
      <c r="F73" s="1715"/>
      <c r="G73" s="1715"/>
      <c r="H73" s="1715"/>
      <c r="I73" s="1715"/>
      <c r="J73" s="1715"/>
      <c r="K73" s="1715"/>
      <c r="L73" s="1715"/>
      <c r="M73" s="1684"/>
    </row>
    <row r="74" spans="1:13" x14ac:dyDescent="0.2">
      <c r="A74" s="1731" t="s">
        <v>520</v>
      </c>
      <c r="B74" s="1723" t="s">
        <v>574</v>
      </c>
      <c r="C74" s="1740">
        <f>'Expert Input'!F91</f>
        <v>0</v>
      </c>
      <c r="D74" s="1740">
        <f t="shared" ca="1" si="2"/>
        <v>0.10633533012441607</v>
      </c>
      <c r="E74" s="1715"/>
      <c r="F74" s="1715"/>
      <c r="G74" s="1715"/>
      <c r="H74" s="1715"/>
      <c r="I74" s="1715"/>
      <c r="J74" s="1715"/>
      <c r="K74" s="1715"/>
      <c r="L74" s="1715"/>
      <c r="M74" s="1684"/>
    </row>
    <row r="75" spans="1:13" x14ac:dyDescent="0.2">
      <c r="A75" s="1731" t="s">
        <v>654</v>
      </c>
      <c r="B75" s="1723" t="s">
        <v>27</v>
      </c>
      <c r="C75" s="1740">
        <f>'Expert Input'!F92</f>
        <v>0</v>
      </c>
      <c r="D75" s="1740">
        <f t="shared" ca="1" si="2"/>
        <v>9.0776382249555177E-23</v>
      </c>
      <c r="E75" s="1715"/>
      <c r="F75" s="1715"/>
      <c r="G75" s="1715"/>
      <c r="H75" s="1715"/>
      <c r="I75" s="1715"/>
      <c r="J75" s="1715"/>
      <c r="K75" s="1715"/>
      <c r="L75" s="1715"/>
      <c r="M75" s="1684"/>
    </row>
    <row r="76" spans="1:13" x14ac:dyDescent="0.2">
      <c r="A76" s="1731" t="s">
        <v>1939</v>
      </c>
      <c r="B76" s="1723" t="s">
        <v>1940</v>
      </c>
      <c r="C76" s="1740">
        <f>'Expert Input'!F93</f>
        <v>0</v>
      </c>
      <c r="D76" s="1740">
        <f t="shared" ca="1" si="2"/>
        <v>0.2685176040808705</v>
      </c>
      <c r="E76" s="1715"/>
      <c r="F76" s="1715"/>
      <c r="G76" s="1715"/>
      <c r="H76" s="1715"/>
      <c r="I76" s="1715"/>
      <c r="J76" s="1715"/>
      <c r="K76" s="1715"/>
      <c r="L76" s="1715"/>
      <c r="M76" s="1684"/>
    </row>
    <row r="77" spans="1:13" x14ac:dyDescent="0.2">
      <c r="A77" s="1731" t="s">
        <v>1485</v>
      </c>
      <c r="B77" s="1715" t="s">
        <v>28</v>
      </c>
      <c r="C77" s="1740">
        <f>'Expert Input'!F94</f>
        <v>0</v>
      </c>
      <c r="D77" s="1740">
        <f t="shared" ca="1" si="2"/>
        <v>0</v>
      </c>
      <c r="E77" s="1715"/>
      <c r="F77" s="1715"/>
      <c r="G77" s="1715"/>
      <c r="H77" s="1715"/>
      <c r="I77" s="1715"/>
      <c r="J77" s="1715"/>
      <c r="K77" s="1715"/>
      <c r="L77" s="1715"/>
      <c r="M77" s="1684"/>
    </row>
    <row r="78" spans="1:13" x14ac:dyDescent="0.2">
      <c r="A78" s="1731"/>
      <c r="B78" s="1715"/>
      <c r="C78" s="1740"/>
      <c r="D78" s="1740"/>
      <c r="E78" s="1715"/>
      <c r="F78" s="1715"/>
      <c r="G78" s="1715"/>
      <c r="H78" s="1715"/>
      <c r="I78" s="1715"/>
      <c r="J78" s="1715"/>
      <c r="K78" s="1715"/>
      <c r="L78" s="1715"/>
      <c r="M78" s="1684"/>
    </row>
    <row r="79" spans="1:13" x14ac:dyDescent="0.2">
      <c r="A79" s="1742" t="s">
        <v>1812</v>
      </c>
      <c r="B79" s="1715"/>
      <c r="C79" s="1740"/>
      <c r="D79" s="1740"/>
      <c r="E79" s="1715"/>
      <c r="F79" s="1715"/>
      <c r="G79" s="1715"/>
      <c r="H79" s="1715"/>
      <c r="I79" s="1715"/>
      <c r="J79" s="1715"/>
      <c r="K79" s="1715"/>
      <c r="L79" s="1715"/>
      <c r="M79" s="1684"/>
    </row>
    <row r="80" spans="1:13" x14ac:dyDescent="0.2">
      <c r="A80" s="1731" t="s">
        <v>1182</v>
      </c>
      <c r="B80" s="1715" t="s">
        <v>1813</v>
      </c>
      <c r="C80" s="1740"/>
      <c r="D80" s="1740"/>
      <c r="E80" s="1715"/>
      <c r="F80" s="1715"/>
      <c r="G80" s="1715"/>
      <c r="H80" s="1715"/>
      <c r="I80" s="1715"/>
      <c r="J80" s="1715"/>
      <c r="K80" s="1715"/>
      <c r="L80" s="1715"/>
      <c r="M80" s="1684"/>
    </row>
    <row r="81" spans="1:13" x14ac:dyDescent="0.2">
      <c r="A81" s="1731" t="s">
        <v>592</v>
      </c>
      <c r="B81" s="1956">
        <f>'Expert Input'!D81</f>
        <v>0.5</v>
      </c>
      <c r="C81" s="1740"/>
      <c r="D81" s="1740"/>
      <c r="E81" s="1715"/>
      <c r="F81" s="1715"/>
      <c r="G81" s="1715"/>
      <c r="H81" s="1715"/>
      <c r="I81" s="1715"/>
      <c r="J81" s="1715"/>
      <c r="K81" s="1715"/>
      <c r="L81" s="1715"/>
      <c r="M81" s="1684"/>
    </row>
    <row r="82" spans="1:13" x14ac:dyDescent="0.2">
      <c r="A82" s="1731"/>
      <c r="B82" s="1715"/>
      <c r="C82" s="1740"/>
      <c r="D82" s="1740"/>
      <c r="E82" s="1715"/>
      <c r="F82" s="1715"/>
      <c r="G82" s="1715"/>
      <c r="H82" s="1715"/>
      <c r="I82" s="1715"/>
      <c r="J82" s="1715"/>
      <c r="K82" s="1715"/>
      <c r="L82" s="1715"/>
      <c r="M82" s="1684"/>
    </row>
    <row r="83" spans="1:13" ht="12.75" customHeight="1" thickBot="1" x14ac:dyDescent="0.25">
      <c r="A83" s="1732"/>
      <c r="B83" s="1156"/>
      <c r="C83" s="1156"/>
      <c r="D83" s="1156"/>
      <c r="E83" s="1156"/>
      <c r="F83" s="1156"/>
      <c r="G83" s="1156"/>
      <c r="H83" s="1156"/>
      <c r="I83" s="1156"/>
      <c r="J83" s="1156"/>
      <c r="K83" s="1156"/>
      <c r="L83" s="1156"/>
      <c r="M83" s="1728"/>
    </row>
  </sheetData>
  <pageMargins left="0.75" right="0.75" top="1" bottom="1" header="0.5" footer="0.5"/>
  <pageSetup orientation="portrait"/>
  <headerFooter alignWithMargins="0"/>
  <colBreaks count="1" manualBreakCount="1">
    <brk id="29" max="1048575" man="1"/>
  </colBreaks>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0450FF"/>
    <pageSetUpPr autoPageBreaks="0"/>
  </sheetPr>
  <dimension ref="A1:M86"/>
  <sheetViews>
    <sheetView zoomScale="85" zoomScaleNormal="85" zoomScalePageLayoutView="55" workbookViewId="0"/>
  </sheetViews>
  <sheetFormatPr defaultColWidth="8.85546875" defaultRowHeight="12.75" customHeight="1" x14ac:dyDescent="0.2"/>
  <cols>
    <col min="1" max="1" width="39" customWidth="1"/>
    <col min="2" max="2" width="45.7109375" customWidth="1"/>
    <col min="3" max="3" width="9.7109375" customWidth="1"/>
    <col min="4" max="4" width="24.42578125" customWidth="1"/>
    <col min="5" max="5" width="45.7109375" customWidth="1"/>
    <col min="6" max="7" width="9.7109375" customWidth="1"/>
    <col min="9" max="9" width="13.85546875" customWidth="1"/>
    <col min="10" max="10" width="42.7109375" customWidth="1"/>
    <col min="11" max="11" width="28.42578125" customWidth="1"/>
    <col min="12" max="12" width="25.42578125" customWidth="1"/>
    <col min="13" max="13" width="6.28515625" customWidth="1"/>
    <col min="14" max="14" width="4.85546875" customWidth="1"/>
  </cols>
  <sheetData>
    <row r="1" spans="1:13" ht="28.5" x14ac:dyDescent="0.45">
      <c r="A1" s="1749" t="s">
        <v>1762</v>
      </c>
      <c r="B1" s="1750"/>
      <c r="C1" s="1751"/>
      <c r="D1" s="1750"/>
      <c r="E1" s="1750"/>
      <c r="F1" s="1750"/>
      <c r="G1" s="1750"/>
      <c r="H1" s="1750"/>
      <c r="I1" s="1750"/>
      <c r="J1" s="1750"/>
      <c r="K1" s="1750"/>
      <c r="L1" s="1750"/>
      <c r="M1" s="1752"/>
    </row>
    <row r="2" spans="1:13" x14ac:dyDescent="0.2">
      <c r="A2" s="1729"/>
      <c r="B2" s="1715"/>
      <c r="C2" s="1716"/>
      <c r="D2" s="1715"/>
      <c r="E2" s="1715"/>
      <c r="F2" s="1715"/>
      <c r="G2" s="1715"/>
      <c r="H2" s="1715"/>
      <c r="I2" s="1715"/>
      <c r="J2" s="1715"/>
      <c r="K2" s="1715"/>
      <c r="L2" s="1715"/>
      <c r="M2" s="1684"/>
    </row>
    <row r="3" spans="1:13" x14ac:dyDescent="0.2">
      <c r="A3" s="1729"/>
      <c r="B3" s="1715"/>
      <c r="C3" s="1716"/>
      <c r="D3" s="1715"/>
      <c r="E3" s="1715"/>
      <c r="F3" s="1715"/>
      <c r="G3" s="1715"/>
      <c r="H3" s="1715"/>
      <c r="I3" s="1715"/>
      <c r="J3" s="1715"/>
      <c r="K3" s="1715"/>
      <c r="L3" s="1715"/>
      <c r="M3" s="1684"/>
    </row>
    <row r="4" spans="1:13" x14ac:dyDescent="0.2">
      <c r="A4" s="1729"/>
      <c r="B4" s="1715"/>
      <c r="C4" s="1716"/>
      <c r="D4" s="1715"/>
      <c r="E4" s="1715"/>
      <c r="F4" s="1715"/>
      <c r="G4" s="1715"/>
      <c r="H4" s="1715"/>
      <c r="I4" s="1715"/>
      <c r="J4" s="1715"/>
      <c r="K4" s="1715"/>
      <c r="L4" s="1715"/>
      <c r="M4" s="1684"/>
    </row>
    <row r="5" spans="1:13" x14ac:dyDescent="0.2">
      <c r="A5" s="1736" t="s">
        <v>1559</v>
      </c>
      <c r="B5" s="1734"/>
      <c r="C5" s="1737"/>
      <c r="D5" s="1734" t="s">
        <v>623</v>
      </c>
      <c r="E5" s="1734" t="s">
        <v>1562</v>
      </c>
      <c r="F5" s="1734" t="s">
        <v>1563</v>
      </c>
      <c r="G5" s="1734" t="s">
        <v>1564</v>
      </c>
      <c r="H5" s="1754"/>
      <c r="I5" s="1754"/>
      <c r="J5" s="1734" t="s">
        <v>1565</v>
      </c>
      <c r="K5" s="1734" t="s">
        <v>1566</v>
      </c>
      <c r="L5" s="1734" t="s">
        <v>1567</v>
      </c>
      <c r="M5" s="1735"/>
    </row>
    <row r="6" spans="1:13" x14ac:dyDescent="0.2">
      <c r="A6" s="1729" t="s">
        <v>1306</v>
      </c>
      <c r="B6" s="1715" t="s">
        <v>1568</v>
      </c>
      <c r="C6" s="1715">
        <v>1E-10</v>
      </c>
      <c r="D6" s="1715" t="s">
        <v>1569</v>
      </c>
      <c r="E6" s="1715" t="s">
        <v>1568</v>
      </c>
      <c r="F6" s="1718">
        <v>1E-3</v>
      </c>
      <c r="G6" s="1718">
        <v>10</v>
      </c>
      <c r="H6" s="1715"/>
      <c r="I6" s="1715"/>
      <c r="J6" s="1715" t="s">
        <v>1568</v>
      </c>
      <c r="K6" s="1715">
        <v>1E-10</v>
      </c>
      <c r="L6" s="1715">
        <v>5</v>
      </c>
      <c r="M6" s="1684"/>
    </row>
    <row r="7" spans="1:13" x14ac:dyDescent="0.2">
      <c r="A7" s="1729"/>
      <c r="B7" s="1715" t="s">
        <v>1570</v>
      </c>
      <c r="C7" s="1715">
        <v>0</v>
      </c>
      <c r="D7" s="1715" t="s">
        <v>1569</v>
      </c>
      <c r="E7" s="1715" t="s">
        <v>1570</v>
      </c>
      <c r="F7" s="1718">
        <v>1E-3</v>
      </c>
      <c r="G7" s="1718">
        <v>10</v>
      </c>
      <c r="H7" s="1715"/>
      <c r="I7" s="1715"/>
      <c r="J7" s="1715" t="s">
        <v>1570</v>
      </c>
      <c r="K7" s="1715">
        <v>1E-10</v>
      </c>
      <c r="L7" s="1715">
        <v>5</v>
      </c>
      <c r="M7" s="1684"/>
    </row>
    <row r="8" spans="1:13" x14ac:dyDescent="0.2">
      <c r="A8" s="1729"/>
      <c r="B8" s="1715" t="s">
        <v>1571</v>
      </c>
      <c r="C8" s="1715">
        <v>1E-10</v>
      </c>
      <c r="D8" s="1715" t="s">
        <v>1569</v>
      </c>
      <c r="E8" s="1715" t="s">
        <v>1571</v>
      </c>
      <c r="F8" s="1718">
        <v>1E-3</v>
      </c>
      <c r="G8" s="1718">
        <v>10</v>
      </c>
      <c r="H8" s="1715"/>
      <c r="I8" s="1715"/>
      <c r="J8" s="1715" t="s">
        <v>1571</v>
      </c>
      <c r="K8" s="1715">
        <v>1E-10</v>
      </c>
      <c r="L8" s="1715">
        <v>5</v>
      </c>
      <c r="M8" s="1684"/>
    </row>
    <row r="9" spans="1:13" x14ac:dyDescent="0.2">
      <c r="A9" s="1729"/>
      <c r="B9" s="1715" t="s">
        <v>1572</v>
      </c>
      <c r="C9" s="1715">
        <v>1E-10</v>
      </c>
      <c r="D9" s="1715" t="s">
        <v>1569</v>
      </c>
      <c r="E9" s="1715" t="s">
        <v>1572</v>
      </c>
      <c r="F9" s="1718">
        <v>1E-3</v>
      </c>
      <c r="G9" s="1718">
        <v>10</v>
      </c>
      <c r="H9" s="1715"/>
      <c r="I9" s="1715"/>
      <c r="J9" s="1715" t="s">
        <v>1572</v>
      </c>
      <c r="K9" s="1715">
        <v>1E-10</v>
      </c>
      <c r="L9" s="1715">
        <v>5</v>
      </c>
      <c r="M9" s="1684"/>
    </row>
    <row r="10" spans="1:13" x14ac:dyDescent="0.2">
      <c r="A10" s="1729"/>
      <c r="B10" s="1715" t="s">
        <v>1573</v>
      </c>
      <c r="C10" s="1715">
        <v>50</v>
      </c>
      <c r="D10" s="1715" t="s">
        <v>1574</v>
      </c>
      <c r="E10" s="1715" t="s">
        <v>1573</v>
      </c>
      <c r="F10" s="1718">
        <v>1E-3</v>
      </c>
      <c r="G10" s="1718">
        <v>99.998999999999995</v>
      </c>
      <c r="H10" s="1715"/>
      <c r="I10" s="1715"/>
      <c r="J10" s="1715" t="s">
        <v>1573</v>
      </c>
      <c r="K10" s="1715">
        <v>50</v>
      </c>
      <c r="L10" s="1715">
        <v>50</v>
      </c>
      <c r="M10" s="1684"/>
    </row>
    <row r="11" spans="1:13" x14ac:dyDescent="0.2">
      <c r="A11" s="1729"/>
      <c r="B11" s="1715" t="s">
        <v>1575</v>
      </c>
      <c r="C11" s="1715">
        <v>50</v>
      </c>
      <c r="D11" s="1715" t="s">
        <v>1574</v>
      </c>
      <c r="E11" s="1715" t="s">
        <v>1575</v>
      </c>
      <c r="F11" s="1718">
        <v>1E-3</v>
      </c>
      <c r="G11" s="1718">
        <v>99.998999999999995</v>
      </c>
      <c r="H11" s="1715"/>
      <c r="I11" s="1715"/>
      <c r="J11" s="1715" t="s">
        <v>1575</v>
      </c>
      <c r="K11" s="1715">
        <v>50</v>
      </c>
      <c r="L11" s="1715">
        <v>50</v>
      </c>
      <c r="M11" s="1684"/>
    </row>
    <row r="12" spans="1:13" x14ac:dyDescent="0.2">
      <c r="A12" s="1729"/>
      <c r="B12" s="1715" t="s">
        <v>1576</v>
      </c>
      <c r="C12" s="1715">
        <v>50</v>
      </c>
      <c r="D12" s="1715" t="s">
        <v>1574</v>
      </c>
      <c r="E12" s="1715" t="s">
        <v>1576</v>
      </c>
      <c r="F12" s="1718">
        <v>1E-3</v>
      </c>
      <c r="G12" s="1718">
        <v>99.998999999999995</v>
      </c>
      <c r="H12" s="1715"/>
      <c r="I12" s="1715"/>
      <c r="J12" s="1715" t="s">
        <v>1576</v>
      </c>
      <c r="K12" s="1715">
        <v>50</v>
      </c>
      <c r="L12" s="1715">
        <v>50</v>
      </c>
      <c r="M12" s="1684"/>
    </row>
    <row r="13" spans="1:13" x14ac:dyDescent="0.2">
      <c r="A13" s="1729"/>
      <c r="B13" s="1715" t="s">
        <v>1577</v>
      </c>
      <c r="C13" s="1715">
        <v>50</v>
      </c>
      <c r="D13" s="1715" t="s">
        <v>1574</v>
      </c>
      <c r="E13" s="1715" t="s">
        <v>1577</v>
      </c>
      <c r="F13" s="1718">
        <v>1E-3</v>
      </c>
      <c r="G13" s="1718">
        <v>99.998999999999995</v>
      </c>
      <c r="H13" s="1715"/>
      <c r="I13" s="1715"/>
      <c r="J13" s="1715" t="s">
        <v>1577</v>
      </c>
      <c r="K13" s="1715">
        <v>50</v>
      </c>
      <c r="L13" s="1715">
        <v>50</v>
      </c>
      <c r="M13" s="1684"/>
    </row>
    <row r="14" spans="1:13" x14ac:dyDescent="0.2">
      <c r="A14" s="1729" t="s">
        <v>1307</v>
      </c>
      <c r="B14" s="1715" t="s">
        <v>1578</v>
      </c>
      <c r="C14" s="1715">
        <v>1E-10</v>
      </c>
      <c r="D14" s="1715" t="s">
        <v>1569</v>
      </c>
      <c r="E14" s="1715" t="s">
        <v>1578</v>
      </c>
      <c r="F14" s="1718">
        <v>1E-3</v>
      </c>
      <c r="G14" s="1718">
        <v>10</v>
      </c>
      <c r="H14" s="1715"/>
      <c r="I14" s="1715"/>
      <c r="J14" s="1715" t="s">
        <v>1578</v>
      </c>
      <c r="K14" s="1715">
        <v>1E-10</v>
      </c>
      <c r="L14" s="1715">
        <v>5</v>
      </c>
      <c r="M14" s="1684"/>
    </row>
    <row r="15" spans="1:13" x14ac:dyDescent="0.2">
      <c r="A15" s="1729"/>
      <c r="B15" s="1715" t="s">
        <v>1579</v>
      </c>
      <c r="C15" s="1715">
        <v>1E-10</v>
      </c>
      <c r="D15" s="1715" t="s">
        <v>1569</v>
      </c>
      <c r="E15" s="1715" t="s">
        <v>1579</v>
      </c>
      <c r="F15" s="1718">
        <v>1E-3</v>
      </c>
      <c r="G15" s="1718">
        <v>10</v>
      </c>
      <c r="H15" s="1715"/>
      <c r="I15" s="1715"/>
      <c r="J15" s="1715" t="s">
        <v>1579</v>
      </c>
      <c r="K15" s="1715">
        <v>1E-10</v>
      </c>
      <c r="L15" s="1715">
        <v>5</v>
      </c>
      <c r="M15" s="1684"/>
    </row>
    <row r="16" spans="1:13" x14ac:dyDescent="0.2">
      <c r="A16" s="1729"/>
      <c r="B16" s="1715" t="s">
        <v>1580</v>
      </c>
      <c r="C16" s="1715">
        <v>1E-10</v>
      </c>
      <c r="D16" s="1715" t="s">
        <v>1569</v>
      </c>
      <c r="E16" s="1715" t="s">
        <v>1580</v>
      </c>
      <c r="F16" s="1718">
        <v>1E-3</v>
      </c>
      <c r="G16" s="1718">
        <v>0.5</v>
      </c>
      <c r="H16" s="1715"/>
      <c r="I16" s="1715"/>
      <c r="J16" s="1715" t="s">
        <v>1580</v>
      </c>
      <c r="K16" s="1715">
        <v>1E-10</v>
      </c>
      <c r="L16" s="1715">
        <v>5</v>
      </c>
      <c r="M16" s="1684"/>
    </row>
    <row r="17" spans="1:13" x14ac:dyDescent="0.2">
      <c r="A17" s="1729"/>
      <c r="B17" s="1715" t="s">
        <v>1581</v>
      </c>
      <c r="C17" s="1715">
        <v>50</v>
      </c>
      <c r="D17" s="1715" t="s">
        <v>1574</v>
      </c>
      <c r="E17" s="1715" t="s">
        <v>1581</v>
      </c>
      <c r="F17" s="1718">
        <v>1E-3</v>
      </c>
      <c r="G17" s="1718">
        <v>99.998999999999995</v>
      </c>
      <c r="H17" s="1715"/>
      <c r="I17" s="1715"/>
      <c r="J17" s="1715" t="s">
        <v>1581</v>
      </c>
      <c r="K17" s="1715">
        <v>50</v>
      </c>
      <c r="L17" s="1715">
        <v>50</v>
      </c>
      <c r="M17" s="1684"/>
    </row>
    <row r="18" spans="1:13" x14ac:dyDescent="0.2">
      <c r="A18" s="1729"/>
      <c r="B18" s="1715" t="s">
        <v>1582</v>
      </c>
      <c r="C18" s="1715">
        <v>50</v>
      </c>
      <c r="D18" s="1715" t="s">
        <v>1574</v>
      </c>
      <c r="E18" s="1715" t="s">
        <v>1582</v>
      </c>
      <c r="F18" s="1718">
        <v>1E-3</v>
      </c>
      <c r="G18" s="1718">
        <v>99.998999999999995</v>
      </c>
      <c r="H18" s="1715"/>
      <c r="I18" s="1715"/>
      <c r="J18" s="1715" t="s">
        <v>1582</v>
      </c>
      <c r="K18" s="1715">
        <v>50</v>
      </c>
      <c r="L18" s="1715">
        <v>50</v>
      </c>
      <c r="M18" s="1684"/>
    </row>
    <row r="19" spans="1:13" x14ac:dyDescent="0.2">
      <c r="A19" s="1729" t="s">
        <v>535</v>
      </c>
      <c r="B19" s="1715" t="s">
        <v>1583</v>
      </c>
      <c r="C19" s="1715">
        <v>1E-10</v>
      </c>
      <c r="D19" s="1715" t="s">
        <v>1569</v>
      </c>
      <c r="E19" s="1715" t="s">
        <v>1583</v>
      </c>
      <c r="F19" s="1718">
        <v>1E-3</v>
      </c>
      <c r="G19" s="1718">
        <v>10</v>
      </c>
      <c r="H19" s="1715"/>
      <c r="I19" s="1715"/>
      <c r="J19" s="1715" t="s">
        <v>1583</v>
      </c>
      <c r="K19" s="1715">
        <v>1E-10</v>
      </c>
      <c r="L19" s="1715">
        <v>5</v>
      </c>
      <c r="M19" s="1684"/>
    </row>
    <row r="20" spans="1:13" x14ac:dyDescent="0.2">
      <c r="A20" s="1729"/>
      <c r="B20" s="1715" t="s">
        <v>1584</v>
      </c>
      <c r="C20" s="1715">
        <v>1E-10</v>
      </c>
      <c r="D20" s="1715" t="s">
        <v>1569</v>
      </c>
      <c r="E20" s="1715" t="s">
        <v>1584</v>
      </c>
      <c r="F20" s="1718">
        <v>1E-3</v>
      </c>
      <c r="G20" s="1718">
        <v>10</v>
      </c>
      <c r="H20" s="1715"/>
      <c r="I20" s="1715"/>
      <c r="J20" s="1715" t="s">
        <v>1584</v>
      </c>
      <c r="K20" s="1715">
        <v>1E-10</v>
      </c>
      <c r="L20" s="1715">
        <v>5</v>
      </c>
      <c r="M20" s="1684"/>
    </row>
    <row r="21" spans="1:13" x14ac:dyDescent="0.2">
      <c r="A21" s="1729"/>
      <c r="B21" s="1715" t="s">
        <v>1585</v>
      </c>
      <c r="C21" s="1715">
        <v>50</v>
      </c>
      <c r="D21" s="1715" t="s">
        <v>1574</v>
      </c>
      <c r="E21" s="1715" t="s">
        <v>1586</v>
      </c>
      <c r="F21" s="1718">
        <v>1E-3</v>
      </c>
      <c r="G21" s="1718">
        <v>99.998999999999995</v>
      </c>
      <c r="H21" s="1715"/>
      <c r="I21" s="1715"/>
      <c r="J21" s="1715" t="s">
        <v>1585</v>
      </c>
      <c r="K21" s="1715">
        <v>50</v>
      </c>
      <c r="L21" s="1715">
        <v>50</v>
      </c>
      <c r="M21" s="1684"/>
    </row>
    <row r="22" spans="1:13" x14ac:dyDescent="0.2">
      <c r="A22" s="1729" t="s">
        <v>1825</v>
      </c>
      <c r="B22" s="1715" t="s">
        <v>1622</v>
      </c>
      <c r="C22" s="1715">
        <v>50</v>
      </c>
      <c r="D22" s="1715" t="s">
        <v>1569</v>
      </c>
      <c r="E22" s="1715" t="s">
        <v>1622</v>
      </c>
      <c r="F22" s="1718">
        <v>1E-3</v>
      </c>
      <c r="G22" s="1718">
        <v>10</v>
      </c>
      <c r="H22" s="1715"/>
      <c r="I22" s="1715"/>
      <c r="J22" s="1715" t="s">
        <v>1622</v>
      </c>
      <c r="K22" s="1715">
        <v>50</v>
      </c>
      <c r="L22" s="1715">
        <v>5</v>
      </c>
      <c r="M22" s="1684"/>
    </row>
    <row r="23" spans="1:13" x14ac:dyDescent="0.2">
      <c r="A23" s="1729"/>
      <c r="B23" s="1715" t="s">
        <v>1623</v>
      </c>
      <c r="C23" s="1715">
        <v>50</v>
      </c>
      <c r="D23" s="1715" t="s">
        <v>1569</v>
      </c>
      <c r="E23" s="1715" t="s">
        <v>1623</v>
      </c>
      <c r="F23" s="1718">
        <v>1E-3</v>
      </c>
      <c r="G23" s="1718">
        <v>10</v>
      </c>
      <c r="H23" s="1715"/>
      <c r="I23" s="1715"/>
      <c r="J23" s="1715" t="s">
        <v>1623</v>
      </c>
      <c r="K23" s="1715">
        <v>50</v>
      </c>
      <c r="L23" s="1715">
        <v>5</v>
      </c>
      <c r="M23" s="1684"/>
    </row>
    <row r="24" spans="1:13" x14ac:dyDescent="0.2">
      <c r="A24" s="1729"/>
      <c r="B24" s="1715" t="s">
        <v>1624</v>
      </c>
      <c r="C24" s="1715">
        <v>50</v>
      </c>
      <c r="D24" s="1715" t="s">
        <v>1569</v>
      </c>
      <c r="E24" s="1715" t="s">
        <v>1624</v>
      </c>
      <c r="F24" s="1718">
        <v>1E-3</v>
      </c>
      <c r="G24" s="1718">
        <v>10</v>
      </c>
      <c r="H24" s="1715"/>
      <c r="I24" s="1715"/>
      <c r="J24" s="1715" t="s">
        <v>1624</v>
      </c>
      <c r="K24" s="1715">
        <v>50</v>
      </c>
      <c r="L24" s="1715">
        <v>5</v>
      </c>
      <c r="M24" s="1684"/>
    </row>
    <row r="25" spans="1:13" x14ac:dyDescent="0.2">
      <c r="A25" s="1729"/>
      <c r="B25" s="1715" t="s">
        <v>1625</v>
      </c>
      <c r="C25" s="1715">
        <v>50</v>
      </c>
      <c r="D25" s="1715" t="s">
        <v>1574</v>
      </c>
      <c r="E25" s="1715" t="s">
        <v>1625</v>
      </c>
      <c r="F25" s="1718">
        <v>1E-3</v>
      </c>
      <c r="G25" s="1718">
        <v>99.998999999999995</v>
      </c>
      <c r="H25" s="1715"/>
      <c r="I25" s="1715"/>
      <c r="J25" s="1715" t="s">
        <v>1625</v>
      </c>
      <c r="K25" s="1715">
        <v>50</v>
      </c>
      <c r="L25" s="1715">
        <v>50</v>
      </c>
      <c r="M25" s="1684"/>
    </row>
    <row r="26" spans="1:13" x14ac:dyDescent="0.2">
      <c r="A26" s="1729"/>
      <c r="B26" s="1715" t="s">
        <v>1626</v>
      </c>
      <c r="C26" s="1715">
        <v>50</v>
      </c>
      <c r="D26" s="1715" t="s">
        <v>1574</v>
      </c>
      <c r="E26" s="1715" t="s">
        <v>1626</v>
      </c>
      <c r="F26" s="1718">
        <v>1E-3</v>
      </c>
      <c r="G26" s="1718">
        <v>99.998999999999995</v>
      </c>
      <c r="H26" s="1715"/>
      <c r="I26" s="1715"/>
      <c r="J26" s="1715" t="s">
        <v>1626</v>
      </c>
      <c r="K26" s="1715">
        <v>50</v>
      </c>
      <c r="L26" s="1715">
        <v>50</v>
      </c>
      <c r="M26" s="1684"/>
    </row>
    <row r="27" spans="1:13" x14ac:dyDescent="0.2">
      <c r="A27" s="1729" t="s">
        <v>1592</v>
      </c>
      <c r="B27" s="1715" t="s">
        <v>1593</v>
      </c>
      <c r="C27" s="1715">
        <v>1E-10</v>
      </c>
      <c r="D27" s="1715" t="s">
        <v>1569</v>
      </c>
      <c r="E27" s="1715" t="s">
        <v>1593</v>
      </c>
      <c r="F27" s="1718">
        <v>1E-3</v>
      </c>
      <c r="G27" s="1718">
        <v>10</v>
      </c>
      <c r="H27" s="1715"/>
      <c r="I27" s="1715"/>
      <c r="J27" s="1715" t="s">
        <v>1593</v>
      </c>
      <c r="K27" s="1715">
        <v>1E-10</v>
      </c>
      <c r="L27" s="1715">
        <v>5</v>
      </c>
      <c r="M27" s="1684"/>
    </row>
    <row r="28" spans="1:13" x14ac:dyDescent="0.2">
      <c r="A28" s="1729"/>
      <c r="B28" s="1715" t="s">
        <v>1594</v>
      </c>
      <c r="C28" s="1715">
        <v>1E-10</v>
      </c>
      <c r="D28" s="1715" t="s">
        <v>1569</v>
      </c>
      <c r="E28" s="1715" t="s">
        <v>1594</v>
      </c>
      <c r="F28" s="1718">
        <v>1E-3</v>
      </c>
      <c r="G28" s="1718">
        <v>10</v>
      </c>
      <c r="H28" s="1715"/>
      <c r="I28" s="1715"/>
      <c r="J28" s="1715" t="s">
        <v>1594</v>
      </c>
      <c r="K28" s="1715">
        <v>1E-10</v>
      </c>
      <c r="L28" s="1715">
        <v>5</v>
      </c>
      <c r="M28" s="1684"/>
    </row>
    <row r="29" spans="1:13" x14ac:dyDescent="0.2">
      <c r="A29" s="1729"/>
      <c r="B29" s="1715" t="s">
        <v>1595</v>
      </c>
      <c r="C29" s="1715">
        <v>1E-10</v>
      </c>
      <c r="D29" s="1715" t="s">
        <v>1569</v>
      </c>
      <c r="E29" s="1715" t="s">
        <v>1595</v>
      </c>
      <c r="F29" s="1718">
        <v>1E-3</v>
      </c>
      <c r="G29" s="1718">
        <v>10</v>
      </c>
      <c r="H29" s="1715"/>
      <c r="I29" s="1715"/>
      <c r="J29" s="1715" t="s">
        <v>1595</v>
      </c>
      <c r="K29" s="1715">
        <v>1E-10</v>
      </c>
      <c r="L29" s="1715">
        <v>5</v>
      </c>
      <c r="M29" s="1684"/>
    </row>
    <row r="30" spans="1:13" x14ac:dyDescent="0.2">
      <c r="A30" s="1729"/>
      <c r="B30" s="1715" t="s">
        <v>1596</v>
      </c>
      <c r="C30" s="1715">
        <v>50</v>
      </c>
      <c r="D30" s="1715" t="s">
        <v>1574</v>
      </c>
      <c r="E30" s="1715" t="s">
        <v>1597</v>
      </c>
      <c r="F30" s="1718">
        <v>1E-3</v>
      </c>
      <c r="G30" s="1718">
        <v>99.998999999999995</v>
      </c>
      <c r="H30" s="1715"/>
      <c r="I30" s="1715"/>
      <c r="J30" s="1715" t="s">
        <v>1596</v>
      </c>
      <c r="K30" s="1715">
        <v>50</v>
      </c>
      <c r="L30" s="1715">
        <v>50</v>
      </c>
      <c r="M30" s="1684"/>
    </row>
    <row r="31" spans="1:13" x14ac:dyDescent="0.2">
      <c r="A31" s="1729"/>
      <c r="B31" s="1715" t="s">
        <v>1598</v>
      </c>
      <c r="C31" s="1715">
        <v>50</v>
      </c>
      <c r="D31" s="1715" t="s">
        <v>1574</v>
      </c>
      <c r="E31" s="1715" t="s">
        <v>1598</v>
      </c>
      <c r="F31" s="1718">
        <v>1E-3</v>
      </c>
      <c r="G31" s="1718">
        <v>99.998999999999995</v>
      </c>
      <c r="H31" s="1715"/>
      <c r="I31" s="1715"/>
      <c r="J31" s="1715" t="s">
        <v>1598</v>
      </c>
      <c r="K31" s="1715">
        <v>50</v>
      </c>
      <c r="L31" s="1715">
        <v>50</v>
      </c>
      <c r="M31" s="1684"/>
    </row>
    <row r="32" spans="1:13" x14ac:dyDescent="0.2">
      <c r="A32" s="1729" t="s">
        <v>1820</v>
      </c>
      <c r="B32" s="1715" t="s">
        <v>395</v>
      </c>
      <c r="C32" s="1715">
        <v>50</v>
      </c>
      <c r="D32" s="1715" t="s">
        <v>1599</v>
      </c>
      <c r="E32" s="1715" t="s">
        <v>395</v>
      </c>
      <c r="F32" s="1718">
        <v>1E-3</v>
      </c>
      <c r="G32" s="1718">
        <v>99.998999999999995</v>
      </c>
      <c r="H32" s="1715"/>
      <c r="I32" s="1715"/>
      <c r="J32" s="1715" t="s">
        <v>395</v>
      </c>
      <c r="K32" s="1715">
        <v>50</v>
      </c>
      <c r="L32" s="1715">
        <v>50</v>
      </c>
      <c r="M32" s="1684"/>
    </row>
    <row r="33" spans="1:13" x14ac:dyDescent="0.2">
      <c r="A33" s="1729" t="s">
        <v>1821</v>
      </c>
      <c r="B33" s="1715" t="s">
        <v>410</v>
      </c>
      <c r="C33" s="1715">
        <v>50</v>
      </c>
      <c r="D33" s="1715" t="s">
        <v>1599</v>
      </c>
      <c r="E33" s="1715" t="s">
        <v>410</v>
      </c>
      <c r="F33" s="1718">
        <v>1E-3</v>
      </c>
      <c r="G33" s="1718">
        <v>99.998999999999995</v>
      </c>
      <c r="H33" s="1715"/>
      <c r="I33" s="1715"/>
      <c r="J33" s="1715" t="s">
        <v>410</v>
      </c>
      <c r="K33" s="1715">
        <v>50</v>
      </c>
      <c r="L33" s="1715">
        <v>50</v>
      </c>
      <c r="M33" s="1684"/>
    </row>
    <row r="34" spans="1:13" x14ac:dyDescent="0.2">
      <c r="A34" s="1729" t="s">
        <v>1823</v>
      </c>
      <c r="B34" s="1715" t="s">
        <v>412</v>
      </c>
      <c r="C34" s="1715">
        <v>50</v>
      </c>
      <c r="D34" s="1715" t="s">
        <v>1599</v>
      </c>
      <c r="E34" s="1715" t="s">
        <v>412</v>
      </c>
      <c r="F34" s="1718">
        <v>1E-3</v>
      </c>
      <c r="G34" s="1718">
        <v>99.998999999999995</v>
      </c>
      <c r="H34" s="1715"/>
      <c r="I34" s="1715"/>
      <c r="J34" s="1715" t="s">
        <v>412</v>
      </c>
      <c r="K34" s="1715">
        <v>50</v>
      </c>
      <c r="L34" s="1715">
        <v>50</v>
      </c>
      <c r="M34" s="1684"/>
    </row>
    <row r="35" spans="1:13" x14ac:dyDescent="0.2">
      <c r="A35" s="1729" t="s">
        <v>1824</v>
      </c>
      <c r="B35" s="1715" t="s">
        <v>1601</v>
      </c>
      <c r="C35" s="1715">
        <v>50</v>
      </c>
      <c r="D35" s="1715" t="s">
        <v>1599</v>
      </c>
      <c r="E35" s="1715" t="s">
        <v>1601</v>
      </c>
      <c r="F35" s="1718">
        <v>1E-3</v>
      </c>
      <c r="G35" s="1718">
        <v>99.998999999999995</v>
      </c>
      <c r="H35" s="1715"/>
      <c r="I35" s="1715"/>
      <c r="J35" s="1715" t="s">
        <v>1601</v>
      </c>
      <c r="K35" s="1715">
        <v>50</v>
      </c>
      <c r="L35" s="1715">
        <v>50</v>
      </c>
      <c r="M35" s="1684"/>
    </row>
    <row r="36" spans="1:13" x14ac:dyDescent="0.2">
      <c r="A36" s="1729" t="s">
        <v>1621</v>
      </c>
      <c r="B36" s="1715" t="s">
        <v>1622</v>
      </c>
      <c r="C36" s="1715">
        <f t="shared" ref="C36:C42" ca="1" si="0">IF(OR(HydroRefineryConfig=0,HydroRefineryConfig=1,HydroRefineryConfig=7),0.0000000001,99.9999999999)</f>
        <v>1E-10</v>
      </c>
      <c r="D36" s="1715" t="s">
        <v>1569</v>
      </c>
      <c r="E36" s="1715" t="s">
        <v>1622</v>
      </c>
      <c r="F36" s="1718">
        <v>1E-3</v>
      </c>
      <c r="G36" s="1718">
        <v>10</v>
      </c>
      <c r="H36" s="1715"/>
      <c r="I36" s="1715"/>
      <c r="J36" s="1715" t="s">
        <v>1622</v>
      </c>
      <c r="K36" s="1715">
        <f t="shared" ref="K36:K42" ca="1" si="1">IF(OR(HydroRefineryConfig=0,HydroRefineryConfig=1,HydroRefineryConfig=7),0.0000000001,99.9999999999)</f>
        <v>1E-10</v>
      </c>
      <c r="L36" s="1715">
        <v>5</v>
      </c>
      <c r="M36" s="1684"/>
    </row>
    <row r="37" spans="1:13" x14ac:dyDescent="0.2">
      <c r="A37" s="1729"/>
      <c r="B37" s="1715" t="s">
        <v>1623</v>
      </c>
      <c r="C37" s="1715">
        <f t="shared" ca="1" si="0"/>
        <v>1E-10</v>
      </c>
      <c r="D37" s="1715" t="s">
        <v>1569</v>
      </c>
      <c r="E37" s="1715" t="s">
        <v>1623</v>
      </c>
      <c r="F37" s="1718">
        <v>1E-3</v>
      </c>
      <c r="G37" s="1718">
        <v>10</v>
      </c>
      <c r="H37" s="1715"/>
      <c r="I37" s="1715"/>
      <c r="J37" s="1715" t="s">
        <v>1623</v>
      </c>
      <c r="K37" s="1715">
        <f t="shared" ca="1" si="1"/>
        <v>1E-10</v>
      </c>
      <c r="L37" s="1715">
        <v>5</v>
      </c>
      <c r="M37" s="1684"/>
    </row>
    <row r="38" spans="1:13" x14ac:dyDescent="0.2">
      <c r="A38" s="1729"/>
      <c r="B38" s="1715" t="s">
        <v>1624</v>
      </c>
      <c r="C38" s="1715">
        <f t="shared" ca="1" si="0"/>
        <v>1E-10</v>
      </c>
      <c r="D38" s="1715" t="s">
        <v>1569</v>
      </c>
      <c r="E38" s="1715" t="s">
        <v>1624</v>
      </c>
      <c r="F38" s="1718">
        <v>1E-3</v>
      </c>
      <c r="G38" s="1718">
        <v>10</v>
      </c>
      <c r="H38" s="1715"/>
      <c r="I38" s="1715"/>
      <c r="J38" s="1715" t="s">
        <v>1624</v>
      </c>
      <c r="K38" s="1715">
        <f t="shared" ca="1" si="1"/>
        <v>1E-10</v>
      </c>
      <c r="L38" s="1715">
        <v>5</v>
      </c>
      <c r="M38" s="1684"/>
    </row>
    <row r="39" spans="1:13" x14ac:dyDescent="0.2">
      <c r="A39" s="1729" t="s">
        <v>469</v>
      </c>
      <c r="B39" s="1715" t="s">
        <v>395</v>
      </c>
      <c r="C39" s="1715">
        <f t="shared" ca="1" si="0"/>
        <v>1E-10</v>
      </c>
      <c r="D39" s="1715" t="s">
        <v>1599</v>
      </c>
      <c r="E39" s="1715" t="s">
        <v>395</v>
      </c>
      <c r="F39" s="1718">
        <v>1E-3</v>
      </c>
      <c r="G39" s="1718">
        <v>99.998999999999995</v>
      </c>
      <c r="H39" s="1715"/>
      <c r="I39" s="1715"/>
      <c r="J39" s="1715" t="s">
        <v>395</v>
      </c>
      <c r="K39" s="1715">
        <f t="shared" ca="1" si="1"/>
        <v>1E-10</v>
      </c>
      <c r="L39" s="1715">
        <v>50</v>
      </c>
      <c r="M39" s="1684"/>
    </row>
    <row r="40" spans="1:13" x14ac:dyDescent="0.2">
      <c r="A40" s="1729" t="s">
        <v>397</v>
      </c>
      <c r="B40" s="1715" t="s">
        <v>410</v>
      </c>
      <c r="C40" s="1715">
        <f t="shared" ca="1" si="0"/>
        <v>1E-10</v>
      </c>
      <c r="D40" s="1715" t="s">
        <v>1599</v>
      </c>
      <c r="E40" s="1715" t="s">
        <v>410</v>
      </c>
      <c r="F40" s="1718">
        <v>1E-3</v>
      </c>
      <c r="G40" s="1718">
        <v>99.998999999999995</v>
      </c>
      <c r="H40" s="1715"/>
      <c r="I40" s="1715"/>
      <c r="J40" s="1715" t="s">
        <v>410</v>
      </c>
      <c r="K40" s="1715">
        <f t="shared" ca="1" si="1"/>
        <v>1E-10</v>
      </c>
      <c r="L40" s="1715">
        <v>50</v>
      </c>
      <c r="M40" s="1684"/>
    </row>
    <row r="41" spans="1:13" x14ac:dyDescent="0.2">
      <c r="A41" s="1729" t="s">
        <v>400</v>
      </c>
      <c r="B41" s="1715" t="s">
        <v>412</v>
      </c>
      <c r="C41" s="1715">
        <f t="shared" ca="1" si="0"/>
        <v>1E-10</v>
      </c>
      <c r="D41" s="1715" t="s">
        <v>1599</v>
      </c>
      <c r="E41" s="1715" t="s">
        <v>412</v>
      </c>
      <c r="F41" s="1718">
        <v>1E-3</v>
      </c>
      <c r="G41" s="1718">
        <v>99.998999999999995</v>
      </c>
      <c r="H41" s="1715"/>
      <c r="I41" s="1715"/>
      <c r="J41" s="1715" t="s">
        <v>412</v>
      </c>
      <c r="K41" s="1715">
        <f t="shared" ca="1" si="1"/>
        <v>1E-10</v>
      </c>
      <c r="L41" s="1715">
        <v>50</v>
      </c>
      <c r="M41" s="1684"/>
    </row>
    <row r="42" spans="1:13" x14ac:dyDescent="0.2">
      <c r="A42" s="1729" t="s">
        <v>1600</v>
      </c>
      <c r="B42" s="1715" t="s">
        <v>1601</v>
      </c>
      <c r="C42" s="1715">
        <f t="shared" ca="1" si="0"/>
        <v>1E-10</v>
      </c>
      <c r="D42" s="1715" t="s">
        <v>1599</v>
      </c>
      <c r="E42" s="1715" t="s">
        <v>1601</v>
      </c>
      <c r="F42" s="1718">
        <v>1E-3</v>
      </c>
      <c r="G42" s="1718">
        <v>99.998999999999995</v>
      </c>
      <c r="H42" s="1715"/>
      <c r="I42" s="1715"/>
      <c r="J42" s="1715" t="s">
        <v>1601</v>
      </c>
      <c r="K42" s="1715">
        <f t="shared" ca="1" si="1"/>
        <v>1E-10</v>
      </c>
      <c r="L42" s="1715">
        <v>50</v>
      </c>
      <c r="M42" s="1684"/>
    </row>
    <row r="43" spans="1:13" x14ac:dyDescent="0.2">
      <c r="A43" s="1729"/>
      <c r="B43" s="1715"/>
      <c r="C43" s="1715"/>
      <c r="D43" s="1715"/>
      <c r="E43" s="1715"/>
      <c r="F43" s="1718"/>
      <c r="G43" s="1718"/>
      <c r="H43" s="1715"/>
      <c r="I43" s="1715"/>
      <c r="J43" s="1715"/>
      <c r="K43" s="1715"/>
      <c r="L43" s="1715"/>
      <c r="M43" s="1684"/>
    </row>
    <row r="44" spans="1:13" x14ac:dyDescent="0.2">
      <c r="A44" s="1729"/>
      <c r="B44" s="1715"/>
      <c r="C44" s="1716"/>
      <c r="D44" s="1715"/>
      <c r="E44" s="1715"/>
      <c r="F44" s="1715"/>
      <c r="G44" s="1715"/>
      <c r="H44" s="1715"/>
      <c r="I44" s="1715"/>
      <c r="J44" s="1715"/>
      <c r="K44" s="1715"/>
      <c r="L44" s="1715"/>
      <c r="M44" s="1684"/>
    </row>
    <row r="45" spans="1:13" x14ac:dyDescent="0.2">
      <c r="A45" s="1753" t="s">
        <v>1602</v>
      </c>
      <c r="B45" s="1715"/>
      <c r="C45" s="1716"/>
      <c r="D45" s="1715"/>
      <c r="E45" s="1715"/>
      <c r="F45" s="1715"/>
      <c r="G45" s="1715"/>
      <c r="H45" s="1715"/>
      <c r="I45" s="1715"/>
      <c r="J45" s="1715"/>
      <c r="K45" s="1715"/>
      <c r="L45" s="1715"/>
      <c r="M45" s="1684"/>
    </row>
    <row r="46" spans="1:13" x14ac:dyDescent="0.2">
      <c r="A46" s="1729"/>
      <c r="B46" s="1715" t="s">
        <v>1603</v>
      </c>
      <c r="C46" s="1719">
        <f ca="1">HydroRefineryCalcs!E671</f>
        <v>1.7525859575361602E-16</v>
      </c>
      <c r="D46" s="1715" t="s">
        <v>1604</v>
      </c>
      <c r="E46" s="1715" t="s">
        <v>1603</v>
      </c>
      <c r="F46" s="1718">
        <v>100</v>
      </c>
      <c r="G46" s="1718">
        <v>100000</v>
      </c>
      <c r="H46" s="1715" t="s">
        <v>1604</v>
      </c>
      <c r="I46" s="1715"/>
      <c r="J46" s="1715"/>
      <c r="K46" s="1715"/>
      <c r="L46" s="1715"/>
      <c r="M46" s="1684"/>
    </row>
    <row r="47" spans="1:13" x14ac:dyDescent="0.2">
      <c r="A47" s="1729"/>
      <c r="B47" s="1715" t="s">
        <v>1605</v>
      </c>
      <c r="C47" s="1719">
        <f ca="1">HydroRefineryCalcs!I359</f>
        <v>1.1182517606218385E-8</v>
      </c>
      <c r="D47" s="1715" t="s">
        <v>1604</v>
      </c>
      <c r="E47" s="1715" t="s">
        <v>1605</v>
      </c>
      <c r="F47" s="1718">
        <v>100</v>
      </c>
      <c r="G47" s="1718">
        <v>100000</v>
      </c>
      <c r="H47" s="1715" t="s">
        <v>1604</v>
      </c>
      <c r="I47" s="1715"/>
      <c r="J47" s="1715">
        <f>'Main Input &amp; Output'!H9</f>
        <v>0</v>
      </c>
      <c r="K47" s="1715"/>
      <c r="L47" s="1715"/>
      <c r="M47" s="1684"/>
    </row>
    <row r="48" spans="1:13" x14ac:dyDescent="0.2">
      <c r="A48" s="1729"/>
      <c r="B48" s="1715"/>
      <c r="C48" s="1716"/>
      <c r="D48" s="1715"/>
      <c r="E48" s="1715"/>
      <c r="F48" s="1715"/>
      <c r="G48" s="1715"/>
      <c r="H48" s="1715"/>
      <c r="I48" s="1715"/>
      <c r="J48" s="1715"/>
      <c r="K48" s="1715"/>
      <c r="L48" s="1715"/>
      <c r="M48" s="1684"/>
    </row>
    <row r="49" spans="1:13" x14ac:dyDescent="0.2">
      <c r="A49" s="1753" t="s">
        <v>1606</v>
      </c>
      <c r="B49" s="1715" t="s">
        <v>1607</v>
      </c>
      <c r="C49" s="1738" t="s">
        <v>262</v>
      </c>
      <c r="D49" s="1724" t="s">
        <v>430</v>
      </c>
      <c r="E49" s="1707" t="s">
        <v>1627</v>
      </c>
      <c r="F49" s="1708">
        <f>CokingRefineryControls!F46</f>
        <v>2</v>
      </c>
      <c r="G49" s="1715"/>
      <c r="H49" s="1715"/>
      <c r="I49" s="1715"/>
      <c r="J49" s="1715"/>
      <c r="K49" s="1715"/>
      <c r="L49" s="1715"/>
      <c r="M49" s="1684"/>
    </row>
    <row r="50" spans="1:13" x14ac:dyDescent="0.2">
      <c r="A50" s="1729"/>
      <c r="B50" s="1715" t="s">
        <v>428</v>
      </c>
      <c r="C50" s="1745">
        <f>'Expert Input'!F68</f>
        <v>2</v>
      </c>
      <c r="D50" s="1720">
        <f ca="1">IF(F49=1,HydroRefineryCalcs!D1164,'HydroRefineryPFD '!DD29)</f>
        <v>24206.28733301266</v>
      </c>
      <c r="E50" s="1709" t="s">
        <v>1610</v>
      </c>
      <c r="F50" s="1710">
        <v>1</v>
      </c>
      <c r="G50" s="1715"/>
      <c r="H50" s="1715"/>
      <c r="I50" s="1715"/>
      <c r="J50" s="1715"/>
      <c r="K50" s="1715"/>
      <c r="L50" s="1715"/>
      <c r="M50" s="1684"/>
    </row>
    <row r="51" spans="1:13" x14ac:dyDescent="0.2">
      <c r="A51" s="1729"/>
      <c r="B51" s="1715" t="s">
        <v>429</v>
      </c>
      <c r="C51" s="1745">
        <f>'Expert Input'!F69</f>
        <v>1</v>
      </c>
      <c r="D51" s="1720">
        <f ca="1">IF(F49=1,HydroRefineryCalcs!F1164,'HydroRefineryPFD '!DD84)</f>
        <v>13412.605933522691</v>
      </c>
      <c r="E51" s="1711" t="s">
        <v>1611</v>
      </c>
      <c r="F51" s="1712">
        <v>2</v>
      </c>
      <c r="G51" s="1715"/>
      <c r="H51" s="1715"/>
      <c r="I51" s="1715"/>
      <c r="J51" s="1715"/>
      <c r="K51" s="1715"/>
      <c r="L51" s="1715"/>
      <c r="M51" s="1684"/>
    </row>
    <row r="52" spans="1:13" x14ac:dyDescent="0.2">
      <c r="A52" s="1729"/>
      <c r="B52" s="1715" t="s">
        <v>1612</v>
      </c>
      <c r="C52" s="1716">
        <f>C50/C51</f>
        <v>2</v>
      </c>
      <c r="D52" s="1715">
        <f ca="1">D50/D51</f>
        <v>1.8047415582763724</v>
      </c>
      <c r="E52" s="1715"/>
      <c r="F52" s="1716"/>
      <c r="G52" s="1715"/>
      <c r="H52" s="1715"/>
      <c r="I52" s="1715"/>
      <c r="J52" s="1715"/>
      <c r="K52" s="1715"/>
      <c r="L52" s="1715"/>
      <c r="M52" s="1684"/>
    </row>
    <row r="53" spans="1:13" x14ac:dyDescent="0.2">
      <c r="A53" s="1729"/>
      <c r="B53" s="1715"/>
      <c r="C53" s="1715"/>
      <c r="D53" s="1715"/>
      <c r="E53" s="1715"/>
      <c r="F53" s="1716"/>
      <c r="G53" s="1715"/>
      <c r="H53" s="1715"/>
      <c r="I53" s="1715"/>
      <c r="J53" s="1715"/>
      <c r="K53" s="1715"/>
      <c r="L53" s="1715"/>
      <c r="M53" s="1684"/>
    </row>
    <row r="54" spans="1:13" x14ac:dyDescent="0.2">
      <c r="A54" s="1729"/>
      <c r="B54" s="1741" t="s">
        <v>1613</v>
      </c>
      <c r="C54" s="1722">
        <f ca="1">D52-C52</f>
        <v>-0.19525844172362761</v>
      </c>
      <c r="D54" s="1715"/>
      <c r="E54" s="1721"/>
      <c r="F54" s="1715"/>
      <c r="G54" s="1715"/>
      <c r="H54" s="1715"/>
      <c r="I54" s="1715"/>
      <c r="J54" s="1715"/>
      <c r="K54" s="1715"/>
      <c r="L54" s="1715"/>
      <c r="M54" s="1684"/>
    </row>
    <row r="55" spans="1:13" x14ac:dyDescent="0.2">
      <c r="A55" s="1729"/>
      <c r="B55" s="1715"/>
      <c r="C55" s="1715"/>
      <c r="D55" s="1715"/>
      <c r="E55" s="1715"/>
      <c r="F55" s="1715"/>
      <c r="G55" s="1715"/>
      <c r="H55" s="1715"/>
      <c r="I55" s="1715"/>
      <c r="J55" s="1715"/>
      <c r="K55" s="1715"/>
      <c r="L55" s="1715"/>
      <c r="M55" s="1684"/>
    </row>
    <row r="56" spans="1:13" x14ac:dyDescent="0.2">
      <c r="A56" s="1729"/>
      <c r="B56" s="1715"/>
      <c r="C56" s="1715"/>
      <c r="D56" s="1746"/>
      <c r="E56" s="1721"/>
      <c r="F56" s="1715"/>
      <c r="G56" s="1715"/>
      <c r="H56" s="1715"/>
      <c r="I56" s="1715"/>
      <c r="J56" s="1715"/>
      <c r="K56" s="1715"/>
      <c r="L56" s="1715"/>
      <c r="M56" s="1684"/>
    </row>
    <row r="57" spans="1:13" x14ac:dyDescent="0.2">
      <c r="A57" s="1729"/>
      <c r="B57" s="1715"/>
      <c r="C57" s="1715"/>
      <c r="D57" s="1715"/>
      <c r="E57" s="1715"/>
      <c r="F57" s="1715"/>
      <c r="G57" s="1715"/>
      <c r="H57" s="1715"/>
      <c r="I57" s="1715"/>
      <c r="J57" s="1715"/>
      <c r="K57" s="1715"/>
      <c r="L57" s="1715"/>
      <c r="M57" s="1684"/>
    </row>
    <row r="58" spans="1:13" x14ac:dyDescent="0.2">
      <c r="A58" s="1729"/>
      <c r="B58" s="1715"/>
      <c r="C58" s="1716"/>
      <c r="D58" s="1715"/>
      <c r="E58" s="1715"/>
      <c r="F58" s="1715"/>
      <c r="G58" s="1715"/>
      <c r="H58" s="1715"/>
      <c r="I58" s="1715"/>
      <c r="J58" s="1715"/>
      <c r="K58" s="1715"/>
      <c r="L58" s="1715"/>
      <c r="M58" s="1684"/>
    </row>
    <row r="59" spans="1:13" x14ac:dyDescent="0.2">
      <c r="A59" s="1729"/>
      <c r="B59" s="1715"/>
      <c r="C59" s="1716"/>
      <c r="D59" s="1715"/>
      <c r="E59" s="1715"/>
      <c r="F59" s="1715"/>
      <c r="G59" s="1715"/>
      <c r="H59" s="1715"/>
      <c r="I59" s="1715"/>
      <c r="J59" s="1715"/>
      <c r="K59" s="1715"/>
      <c r="L59" s="1715"/>
      <c r="M59" s="1684"/>
    </row>
    <row r="60" spans="1:13" x14ac:dyDescent="0.2">
      <c r="A60" s="1753" t="s">
        <v>1614</v>
      </c>
      <c r="B60" s="1724" t="s">
        <v>1607</v>
      </c>
      <c r="C60" s="1738" t="s">
        <v>1615</v>
      </c>
      <c r="D60" s="1724" t="s">
        <v>1616</v>
      </c>
      <c r="E60" s="1724" t="s">
        <v>1617</v>
      </c>
      <c r="F60" s="1723"/>
      <c r="G60" s="1715"/>
      <c r="H60" s="1715"/>
      <c r="I60" s="1715"/>
      <c r="J60" s="1715"/>
      <c r="K60" s="1715"/>
      <c r="L60" s="1715"/>
      <c r="M60" s="1684"/>
    </row>
    <row r="61" spans="1:13" x14ac:dyDescent="0.2">
      <c r="A61" s="1731" t="s">
        <v>519</v>
      </c>
      <c r="B61" s="1723" t="s">
        <v>428</v>
      </c>
      <c r="C61" s="1725">
        <f t="shared" ref="C61:C67" ca="1" si="2">$D$70*C75</f>
        <v>0</v>
      </c>
      <c r="D61" s="1725">
        <f ca="1">'HydroRefineryPFD '!DD29</f>
        <v>24206.28733301266</v>
      </c>
      <c r="E61" s="1725">
        <f ca="1">(C61-D61)^2</f>
        <v>585944346.44836915</v>
      </c>
      <c r="F61" s="1723" t="s">
        <v>1618</v>
      </c>
      <c r="G61" s="1715"/>
      <c r="H61" s="1715"/>
      <c r="I61" s="1715"/>
      <c r="J61" s="1715"/>
      <c r="K61" s="1715"/>
      <c r="L61" s="1715"/>
      <c r="M61" s="1684"/>
    </row>
    <row r="62" spans="1:13" x14ac:dyDescent="0.2">
      <c r="A62" s="1731" t="s">
        <v>521</v>
      </c>
      <c r="B62" s="1723" t="s">
        <v>362</v>
      </c>
      <c r="C62" s="1725">
        <f ca="1">$D$70*C76</f>
        <v>0</v>
      </c>
      <c r="D62" s="1725">
        <f ca="1">'HydroRefineryPFD '!DD64</f>
        <v>28123.302309909086</v>
      </c>
      <c r="E62" s="1725">
        <f t="shared" ref="E62:E67" ca="1" si="3">(C62-D62)^2</f>
        <v>790920132.81453776</v>
      </c>
      <c r="F62" s="1723" t="s">
        <v>1618</v>
      </c>
      <c r="G62" s="1715"/>
      <c r="H62" s="1715"/>
      <c r="I62" s="1715"/>
      <c r="J62" s="1715"/>
      <c r="K62" s="1715"/>
      <c r="L62" s="1715"/>
      <c r="M62" s="1684"/>
    </row>
    <row r="63" spans="1:13" x14ac:dyDescent="0.2">
      <c r="A63" s="1731" t="s">
        <v>489</v>
      </c>
      <c r="B63" s="1723" t="s">
        <v>429</v>
      </c>
      <c r="C63" s="1725">
        <f t="shared" ca="1" si="2"/>
        <v>0</v>
      </c>
      <c r="D63" s="1725">
        <f ca="1">'HydroRefineryPFD '!DD84</f>
        <v>13412.605933522691</v>
      </c>
      <c r="E63" s="1725">
        <f ca="1">(C63-D63)^2</f>
        <v>179897997.92796808</v>
      </c>
      <c r="F63" s="1723" t="s">
        <v>1618</v>
      </c>
      <c r="G63" s="1715"/>
      <c r="H63" s="1715"/>
      <c r="I63" s="1715"/>
      <c r="J63" s="1715"/>
      <c r="K63" s="1715"/>
      <c r="L63" s="1715"/>
      <c r="M63" s="1684"/>
    </row>
    <row r="64" spans="1:13" x14ac:dyDescent="0.2">
      <c r="A64" s="1731" t="s">
        <v>520</v>
      </c>
      <c r="B64" s="1723" t="s">
        <v>574</v>
      </c>
      <c r="C64" s="1725">
        <f t="shared" ca="1" si="2"/>
        <v>0</v>
      </c>
      <c r="D64" s="1725">
        <f ca="1">'HydroRefineryPFD '!DD152</f>
        <v>11182.517606218385</v>
      </c>
      <c r="E64" s="1725">
        <f t="shared" ca="1" si="3"/>
        <v>125048700.01338416</v>
      </c>
      <c r="F64" s="1723" t="s">
        <v>1618</v>
      </c>
      <c r="G64" s="1715"/>
      <c r="H64" s="1715"/>
      <c r="I64" s="1715"/>
      <c r="J64" s="1715"/>
      <c r="K64" s="1715"/>
      <c r="L64" s="1715"/>
      <c r="M64" s="1684"/>
    </row>
    <row r="65" spans="1:13" x14ac:dyDescent="0.2">
      <c r="A65" s="1731" t="s">
        <v>353</v>
      </c>
      <c r="B65" s="1723" t="s">
        <v>27</v>
      </c>
      <c r="C65" s="1725">
        <f t="shared" ca="1" si="2"/>
        <v>0</v>
      </c>
      <c r="D65" s="1725">
        <f ca="1">'HydroRefineryPFD '!DD313</f>
        <v>1.442844593709182E-17</v>
      </c>
      <c r="E65" s="1725">
        <f t="shared" ca="1" si="3"/>
        <v>2.0818005215958145E-34</v>
      </c>
      <c r="F65" s="1723" t="s">
        <v>1618</v>
      </c>
      <c r="G65" s="1715"/>
      <c r="H65" s="1715"/>
      <c r="I65" s="1715"/>
      <c r="J65" s="1715"/>
      <c r="K65" s="1715"/>
      <c r="L65" s="1715"/>
      <c r="M65" s="1684"/>
    </row>
    <row r="66" spans="1:13" x14ac:dyDescent="0.2">
      <c r="A66" s="1731" t="s">
        <v>1628</v>
      </c>
      <c r="B66" s="1723" t="s">
        <v>28</v>
      </c>
      <c r="C66" s="1725">
        <f t="shared" ca="1" si="2"/>
        <v>0</v>
      </c>
      <c r="D66" s="1723">
        <v>0</v>
      </c>
      <c r="E66" s="1725">
        <f t="shared" ca="1" si="3"/>
        <v>0</v>
      </c>
      <c r="F66" s="1723" t="s">
        <v>1618</v>
      </c>
      <c r="G66" s="1715"/>
      <c r="H66" s="1715"/>
      <c r="I66" s="1715"/>
      <c r="J66" s="1715"/>
      <c r="K66" s="1715"/>
      <c r="L66" s="1715"/>
      <c r="M66" s="1684"/>
    </row>
    <row r="67" spans="1:13" x14ac:dyDescent="0.2">
      <c r="A67" s="1731" t="s">
        <v>1939</v>
      </c>
      <c r="B67" s="1723" t="s">
        <v>1940</v>
      </c>
      <c r="C67" s="1725">
        <f t="shared" ca="1" si="2"/>
        <v>0</v>
      </c>
      <c r="D67" s="1725">
        <f ca="1">'HydroRefineryPFD '!DD295</f>
        <v>28238.054386069471</v>
      </c>
      <c r="E67" s="1725">
        <f t="shared" ca="1" si="3"/>
        <v>797387715.51061726</v>
      </c>
      <c r="F67" s="1723" t="s">
        <v>1618</v>
      </c>
      <c r="G67" s="1715"/>
      <c r="H67" s="1715"/>
      <c r="I67" s="1715"/>
      <c r="J67" s="1715"/>
      <c r="K67" s="1715"/>
      <c r="L67" s="1715"/>
      <c r="M67" s="1684"/>
    </row>
    <row r="68" spans="1:13" x14ac:dyDescent="0.2">
      <c r="A68" s="1729"/>
      <c r="B68" s="1715"/>
      <c r="C68" s="1716"/>
      <c r="D68" s="1715"/>
      <c r="E68" s="1715"/>
      <c r="F68" s="1715"/>
      <c r="G68" s="1715"/>
      <c r="H68" s="1715"/>
      <c r="I68" s="1715"/>
      <c r="J68" s="1715"/>
      <c r="K68" s="1715"/>
      <c r="L68" s="1715"/>
      <c r="M68" s="1684"/>
    </row>
    <row r="69" spans="1:13" x14ac:dyDescent="0.2">
      <c r="A69" s="1729"/>
      <c r="B69" s="1715"/>
      <c r="C69" s="1716"/>
      <c r="D69" s="1715"/>
      <c r="E69" s="1715"/>
      <c r="F69" s="1715"/>
      <c r="G69" s="1715"/>
      <c r="H69" s="1715"/>
      <c r="I69" s="1715"/>
      <c r="J69" s="1715"/>
      <c r="K69" s="1715"/>
      <c r="L69" s="1715"/>
      <c r="M69" s="1684"/>
    </row>
    <row r="70" spans="1:13" x14ac:dyDescent="0.2">
      <c r="A70" s="1731"/>
      <c r="B70" s="1727" t="s">
        <v>598</v>
      </c>
      <c r="C70" s="1738">
        <v>96345.569927789402</v>
      </c>
      <c r="D70" s="1744">
        <f ca="1">SUM(D61:D67)</f>
        <v>105162.76756873231</v>
      </c>
      <c r="E70" s="1725">
        <f ca="1">SUM(E61:E67)</f>
        <v>2479198892.7148762</v>
      </c>
      <c r="F70" s="1741" t="s">
        <v>1620</v>
      </c>
      <c r="G70" s="1715"/>
      <c r="H70" s="1715"/>
      <c r="I70" s="1715"/>
      <c r="J70" s="1715"/>
      <c r="K70" s="1715"/>
      <c r="L70" s="1715"/>
      <c r="M70" s="1684"/>
    </row>
    <row r="71" spans="1:13" x14ac:dyDescent="0.2">
      <c r="A71" s="1729"/>
      <c r="B71" s="1715"/>
      <c r="C71" s="1716"/>
      <c r="D71" s="1715"/>
      <c r="E71" s="1715"/>
      <c r="F71" s="1715"/>
      <c r="G71" s="1715"/>
      <c r="H71" s="1715"/>
      <c r="I71" s="1715"/>
      <c r="J71" s="1715"/>
      <c r="K71" s="1715"/>
      <c r="L71" s="1715"/>
      <c r="M71" s="1684"/>
    </row>
    <row r="72" spans="1:13" x14ac:dyDescent="0.2">
      <c r="A72" s="1729"/>
      <c r="B72" s="1715"/>
      <c r="C72" s="1716"/>
      <c r="D72" s="1715"/>
      <c r="E72" s="1715"/>
      <c r="F72" s="1715"/>
      <c r="G72" s="1715"/>
      <c r="H72" s="1715"/>
      <c r="I72" s="1715"/>
      <c r="J72" s="1715"/>
      <c r="K72" s="1715"/>
      <c r="L72" s="1715"/>
      <c r="M72" s="1684"/>
    </row>
    <row r="73" spans="1:13" x14ac:dyDescent="0.2">
      <c r="A73" s="1753" t="s">
        <v>1558</v>
      </c>
      <c r="B73" s="1715"/>
      <c r="C73" s="1716"/>
      <c r="D73" s="1715"/>
      <c r="E73" s="1715"/>
      <c r="F73" s="1715"/>
      <c r="G73" s="1715"/>
      <c r="H73" s="1715"/>
      <c r="I73" s="1715"/>
      <c r="J73" s="1715"/>
      <c r="K73" s="1715"/>
      <c r="L73" s="1715"/>
      <c r="M73" s="1684"/>
    </row>
    <row r="74" spans="1:13" x14ac:dyDescent="0.2">
      <c r="A74" s="1729"/>
      <c r="B74" s="1715"/>
      <c r="C74" s="1716"/>
      <c r="D74" s="1715"/>
      <c r="E74" s="1715"/>
      <c r="F74" s="1715"/>
      <c r="G74" s="1715"/>
      <c r="H74" s="1715"/>
      <c r="I74" s="1715"/>
      <c r="J74" s="1715"/>
      <c r="K74" s="1715"/>
      <c r="L74" s="1715"/>
      <c r="M74" s="1684"/>
    </row>
    <row r="75" spans="1:13" ht="15" x14ac:dyDescent="0.25">
      <c r="A75" s="1731" t="s">
        <v>519</v>
      </c>
      <c r="B75" s="1747" t="s">
        <v>428</v>
      </c>
      <c r="C75" s="1748">
        <f>'Expert Input'!F88</f>
        <v>0</v>
      </c>
      <c r="D75" s="1740">
        <f ca="1">D61/SUM($D$61:$D$67)</f>
        <v>0.23017925348143686</v>
      </c>
      <c r="E75" s="1715"/>
      <c r="F75" s="1715"/>
      <c r="G75" s="1715"/>
      <c r="H75" s="1715"/>
      <c r="I75" s="1715"/>
      <c r="J75" s="1715"/>
      <c r="K75" s="1715"/>
      <c r="L75" s="1715"/>
      <c r="M75" s="1684"/>
    </row>
    <row r="76" spans="1:13" ht="15" x14ac:dyDescent="0.25">
      <c r="A76" s="1731" t="s">
        <v>521</v>
      </c>
      <c r="B76" s="1747" t="s">
        <v>362</v>
      </c>
      <c r="C76" s="1748">
        <f>'Expert Input'!F89</f>
        <v>0</v>
      </c>
      <c r="D76" s="1740">
        <f t="shared" ref="D76:D79" ca="1" si="4">D62/SUM($D$61:$D$67)</f>
        <v>0.26742641868499945</v>
      </c>
      <c r="E76" s="1715"/>
      <c r="F76" s="1715"/>
      <c r="G76" s="1715"/>
      <c r="H76" s="1715"/>
      <c r="I76" s="1715"/>
      <c r="J76" s="1715"/>
      <c r="K76" s="1715"/>
      <c r="L76" s="1715"/>
      <c r="M76" s="1684"/>
    </row>
    <row r="77" spans="1:13" ht="15" x14ac:dyDescent="0.25">
      <c r="A77" s="1731" t="s">
        <v>489</v>
      </c>
      <c r="B77" s="1747" t="s">
        <v>429</v>
      </c>
      <c r="C77" s="1748">
        <f>'Expert Input'!F90</f>
        <v>0</v>
      </c>
      <c r="D77" s="1740">
        <f t="shared" ca="1" si="4"/>
        <v>0.12754139362827702</v>
      </c>
      <c r="E77" s="1715"/>
      <c r="F77" s="1715"/>
      <c r="G77" s="1715"/>
      <c r="H77" s="1715"/>
      <c r="I77" s="1715"/>
      <c r="J77" s="1715"/>
      <c r="K77" s="1715"/>
      <c r="L77" s="1715"/>
      <c r="M77" s="1684"/>
    </row>
    <row r="78" spans="1:13" ht="15" x14ac:dyDescent="0.25">
      <c r="A78" s="1731" t="s">
        <v>520</v>
      </c>
      <c r="B78" s="1747" t="s">
        <v>574</v>
      </c>
      <c r="C78" s="1748">
        <f>'Expert Input'!F91</f>
        <v>0</v>
      </c>
      <c r="D78" s="1740">
        <f t="shared" ca="1" si="4"/>
        <v>0.10633533012441607</v>
      </c>
      <c r="E78" s="1715"/>
      <c r="F78" s="1715"/>
      <c r="G78" s="1715"/>
      <c r="H78" s="1715"/>
      <c r="I78" s="1715"/>
      <c r="J78" s="1715"/>
      <c r="K78" s="1715"/>
      <c r="L78" s="1715"/>
      <c r="M78" s="1684"/>
    </row>
    <row r="79" spans="1:13" ht="15" x14ac:dyDescent="0.25">
      <c r="A79" s="1731" t="s">
        <v>353</v>
      </c>
      <c r="B79" s="1747" t="s">
        <v>27</v>
      </c>
      <c r="C79" s="1748">
        <f>'Expert Input'!F92</f>
        <v>0</v>
      </c>
      <c r="D79" s="1740">
        <f t="shared" ca="1" si="4"/>
        <v>1.3720108618919403E-22</v>
      </c>
      <c r="E79" s="1715"/>
      <c r="F79" s="1715"/>
      <c r="G79" s="1715"/>
      <c r="H79" s="1715"/>
      <c r="I79" s="1715"/>
      <c r="J79" s="1715"/>
      <c r="K79" s="1715"/>
      <c r="L79" s="1715"/>
      <c r="M79" s="1684"/>
    </row>
    <row r="80" spans="1:13" ht="15" x14ac:dyDescent="0.25">
      <c r="A80" s="1731" t="s">
        <v>1939</v>
      </c>
      <c r="B80" s="1747" t="s">
        <v>1940</v>
      </c>
      <c r="C80" s="1748">
        <f>'Expert Input'!F93</f>
        <v>0</v>
      </c>
      <c r="D80" s="1740">
        <f ca="1">D67/SUM($D$61:$D$67)</f>
        <v>0.2685176040808705</v>
      </c>
      <c r="E80" s="1715"/>
      <c r="F80" s="1715"/>
      <c r="G80" s="1715"/>
      <c r="H80" s="1715"/>
      <c r="I80" s="1715"/>
      <c r="J80" s="1715"/>
      <c r="K80" s="1715"/>
      <c r="L80" s="1715"/>
      <c r="M80" s="1684"/>
    </row>
    <row r="81" spans="1:13" ht="15" x14ac:dyDescent="0.25">
      <c r="A81" s="1731" t="s">
        <v>1485</v>
      </c>
      <c r="B81" s="1715" t="s">
        <v>28</v>
      </c>
      <c r="C81" s="1748">
        <f>'Expert Input'!F94</f>
        <v>0</v>
      </c>
      <c r="D81" s="1740">
        <f ca="1">D66/SUM($D$61:$D$67)</f>
        <v>0</v>
      </c>
      <c r="E81" s="1715"/>
      <c r="F81" s="1715"/>
      <c r="G81" s="1715"/>
      <c r="H81" s="1715"/>
      <c r="I81" s="1715"/>
      <c r="J81" s="1715"/>
      <c r="K81" s="1715"/>
      <c r="L81" s="1715"/>
      <c r="M81" s="1684"/>
    </row>
    <row r="82" spans="1:13" ht="15" x14ac:dyDescent="0.25">
      <c r="A82" s="1731"/>
      <c r="B82" s="1715"/>
      <c r="C82" s="1748"/>
      <c r="E82" s="1715"/>
      <c r="F82" s="1715"/>
      <c r="G82" s="1715"/>
      <c r="H82" s="1715"/>
      <c r="I82" s="1715"/>
      <c r="J82" s="1715"/>
      <c r="K82" s="1715"/>
      <c r="L82" s="1715"/>
      <c r="M82" s="1684"/>
    </row>
    <row r="83" spans="1:13" ht="15" x14ac:dyDescent="0.25">
      <c r="A83" s="1742" t="s">
        <v>1812</v>
      </c>
      <c r="B83" s="1715"/>
      <c r="C83" s="1748"/>
      <c r="D83" s="1715"/>
      <c r="E83" s="1715"/>
      <c r="F83" s="1715"/>
      <c r="G83" s="1715"/>
      <c r="H83" s="1715"/>
      <c r="I83" s="1715"/>
      <c r="J83" s="1715"/>
      <c r="K83" s="1715"/>
      <c r="L83" s="1715"/>
      <c r="M83" s="1684"/>
    </row>
    <row r="84" spans="1:13" ht="15" x14ac:dyDescent="0.25">
      <c r="A84" s="1731" t="s">
        <v>1182</v>
      </c>
      <c r="B84" s="1715" t="s">
        <v>1813</v>
      </c>
      <c r="C84" s="1748"/>
      <c r="D84" s="1715"/>
      <c r="E84" s="1715"/>
      <c r="F84" s="1715"/>
      <c r="G84" s="1715"/>
      <c r="H84" s="1715"/>
      <c r="I84" s="1715"/>
      <c r="J84" s="1715"/>
      <c r="K84" s="1715"/>
      <c r="L84" s="1715"/>
      <c r="M84" s="1684"/>
    </row>
    <row r="85" spans="1:13" ht="15" x14ac:dyDescent="0.25">
      <c r="A85" s="1731" t="s">
        <v>592</v>
      </c>
      <c r="B85" s="1956">
        <f>'Expert Input'!D81</f>
        <v>0.5</v>
      </c>
      <c r="C85" s="1748"/>
      <c r="D85" s="1715"/>
      <c r="E85" s="1715"/>
      <c r="F85" s="1715"/>
      <c r="G85" s="1715"/>
      <c r="H85" s="1715"/>
      <c r="I85" s="1715"/>
      <c r="J85" s="1715"/>
      <c r="K85" s="1715"/>
      <c r="L85" s="1715"/>
      <c r="M85" s="1684"/>
    </row>
    <row r="86" spans="1:13" ht="12.75" customHeight="1" thickBot="1" x14ac:dyDescent="0.25">
      <c r="A86" s="1732"/>
      <c r="B86" s="1156"/>
      <c r="C86" s="1156"/>
      <c r="D86" s="1156"/>
      <c r="E86" s="1156"/>
      <c r="F86" s="1156"/>
      <c r="G86" s="1156"/>
      <c r="H86" s="1156"/>
      <c r="I86" s="1156"/>
      <c r="J86" s="1156"/>
      <c r="K86" s="1156"/>
      <c r="L86" s="1156"/>
      <c r="M86" s="1728"/>
    </row>
  </sheetData>
  <pageMargins left="0.75" right="0.75" top="1" bottom="1" header="0.5" footer="0.5"/>
  <pageSetup orientation="portrait"/>
  <headerFooter alignWithMargins="0"/>
  <colBreaks count="1" manualBreakCount="1">
    <brk id="29" max="1048575" man="1"/>
  </colBreaks>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00B050"/>
  </sheetPr>
  <dimension ref="A1:Y404"/>
  <sheetViews>
    <sheetView zoomScale="55" zoomScaleNormal="55" zoomScalePageLayoutView="40" workbookViewId="0"/>
  </sheetViews>
  <sheetFormatPr defaultColWidth="8.85546875" defaultRowHeight="12.75" customHeight="1" x14ac:dyDescent="0.2"/>
  <cols>
    <col min="1" max="1" width="4.140625" customWidth="1"/>
    <col min="2" max="2" width="4.85546875" customWidth="1"/>
    <col min="3" max="3" width="18.28515625" customWidth="1"/>
    <col min="4" max="4" width="23.140625" customWidth="1"/>
    <col min="5" max="5" width="24.42578125" customWidth="1"/>
    <col min="6" max="14" width="16.42578125" customWidth="1"/>
    <col min="15" max="15" width="15.28515625" customWidth="1"/>
    <col min="16" max="16" width="15.85546875" customWidth="1"/>
    <col min="17" max="17" width="15" bestFit="1" customWidth="1"/>
    <col min="18" max="20" width="15.42578125" customWidth="1"/>
    <col min="21" max="23" width="14.28515625" customWidth="1"/>
    <col min="24" max="24" width="3" customWidth="1"/>
    <col min="25" max="25" width="5" customWidth="1"/>
  </cols>
  <sheetData>
    <row r="1" spans="1:25" ht="15.75" thickBot="1" x14ac:dyDescent="0.3">
      <c r="A1" s="608"/>
      <c r="B1" s="608"/>
      <c r="C1" s="608"/>
      <c r="D1" s="608"/>
      <c r="E1" s="608"/>
      <c r="F1" s="608"/>
      <c r="G1" s="608"/>
      <c r="H1" s="608"/>
      <c r="I1" s="609"/>
      <c r="J1" s="608"/>
      <c r="K1" s="608"/>
      <c r="L1" s="608"/>
      <c r="M1" s="608"/>
      <c r="N1" s="608"/>
      <c r="O1" s="608"/>
      <c r="P1" s="608"/>
      <c r="Q1" s="608"/>
      <c r="R1" s="608"/>
      <c r="S1" s="608"/>
      <c r="T1" s="608"/>
      <c r="U1" s="608"/>
      <c r="V1" s="608"/>
      <c r="W1" s="608"/>
      <c r="X1" s="608"/>
      <c r="Y1" s="608"/>
    </row>
    <row r="2" spans="1:25" ht="14.25" customHeight="1" x14ac:dyDescent="0.25">
      <c r="A2" s="608"/>
      <c r="B2" s="1092"/>
      <c r="C2" s="2432" t="s">
        <v>1684</v>
      </c>
      <c r="D2" s="2432"/>
      <c r="E2" s="2432"/>
      <c r="F2" s="1093"/>
      <c r="G2" s="1093"/>
      <c r="H2" s="1093"/>
      <c r="I2" s="1094"/>
      <c r="J2" s="1093"/>
      <c r="K2" s="1093"/>
      <c r="L2" s="1093"/>
      <c r="M2" s="1093"/>
      <c r="N2" s="1093"/>
      <c r="O2" s="1093"/>
      <c r="P2" s="1093"/>
      <c r="Q2" s="1093"/>
      <c r="R2" s="1093"/>
      <c r="S2" s="1093"/>
      <c r="T2" s="1093"/>
      <c r="U2" s="1093"/>
      <c r="V2" s="1093"/>
      <c r="W2" s="1093"/>
      <c r="X2" s="1660"/>
      <c r="Y2" s="1659"/>
    </row>
    <row r="3" spans="1:25" ht="14.1" customHeight="1" x14ac:dyDescent="0.25">
      <c r="A3" s="608"/>
      <c r="B3" s="1095"/>
      <c r="C3" s="2433"/>
      <c r="D3" s="2433"/>
      <c r="E3" s="2433"/>
      <c r="F3" s="1096"/>
      <c r="G3" s="1096"/>
      <c r="H3" s="1096"/>
      <c r="I3" s="1097"/>
      <c r="J3" s="1096"/>
      <c r="K3" s="1096"/>
      <c r="L3" s="1096"/>
      <c r="M3" s="1096"/>
      <c r="N3" s="1096"/>
      <c r="O3" s="1096"/>
      <c r="P3" s="1096"/>
      <c r="Q3" s="1096"/>
      <c r="R3" s="1096"/>
      <c r="S3" s="1096"/>
      <c r="T3" s="1096"/>
      <c r="U3" s="1096"/>
      <c r="V3" s="1096"/>
      <c r="W3" s="1096"/>
      <c r="X3" s="1661"/>
      <c r="Y3" s="1659"/>
    </row>
    <row r="4" spans="1:25" ht="15" x14ac:dyDescent="0.25">
      <c r="A4" s="608"/>
      <c r="B4" s="1090"/>
      <c r="C4" s="616"/>
      <c r="D4" s="615"/>
      <c r="E4" s="705"/>
      <c r="F4" s="615"/>
      <c r="G4" s="615"/>
      <c r="H4" s="616"/>
      <c r="I4" s="705"/>
      <c r="J4" s="616"/>
      <c r="K4" s="705"/>
      <c r="L4" s="616"/>
      <c r="M4" s="616"/>
      <c r="N4" s="616"/>
      <c r="O4" s="615"/>
      <c r="P4" s="615"/>
      <c r="Q4" s="615"/>
      <c r="R4" s="1089"/>
      <c r="S4" s="615"/>
      <c r="T4" s="615"/>
      <c r="U4" s="615"/>
      <c r="V4" s="615"/>
      <c r="W4" s="616"/>
      <c r="X4" s="1662"/>
      <c r="Y4" s="616"/>
    </row>
    <row r="5" spans="1:25" ht="31.5" customHeight="1" x14ac:dyDescent="0.2">
      <c r="A5" s="341"/>
      <c r="B5" s="345"/>
      <c r="C5" s="617"/>
      <c r="D5" s="618"/>
      <c r="E5" s="619" t="s">
        <v>624</v>
      </c>
      <c r="F5" s="619"/>
      <c r="G5" s="619" t="s">
        <v>623</v>
      </c>
      <c r="H5" s="619" t="s">
        <v>430</v>
      </c>
      <c r="I5" s="619" t="s">
        <v>1057</v>
      </c>
      <c r="J5" s="619" t="s">
        <v>1058</v>
      </c>
      <c r="K5" s="619" t="s">
        <v>1101</v>
      </c>
      <c r="L5" s="619" t="s">
        <v>1102</v>
      </c>
      <c r="M5" s="619" t="s">
        <v>1103</v>
      </c>
      <c r="N5" s="620" t="s">
        <v>1104</v>
      </c>
      <c r="O5" s="184"/>
      <c r="P5" s="184"/>
      <c r="Q5" s="184"/>
      <c r="R5" s="184"/>
      <c r="S5" s="184"/>
      <c r="T5" s="1531"/>
      <c r="U5" s="1531"/>
      <c r="V5" s="1531"/>
      <c r="W5" s="1532"/>
      <c r="X5" s="346"/>
      <c r="Y5" s="1065"/>
    </row>
    <row r="6" spans="1:25" ht="20.25" customHeight="1" x14ac:dyDescent="0.2">
      <c r="A6" s="621"/>
      <c r="B6" s="1091"/>
      <c r="C6" s="622" t="s">
        <v>923</v>
      </c>
      <c r="D6" s="623"/>
      <c r="E6" s="623"/>
      <c r="F6" s="623"/>
      <c r="G6" s="624"/>
      <c r="H6" s="624"/>
      <c r="I6" s="624"/>
      <c r="J6" s="624"/>
      <c r="K6" s="624"/>
      <c r="L6" s="624"/>
      <c r="M6" s="624"/>
      <c r="N6" s="625"/>
      <c r="O6" s="184"/>
      <c r="P6" s="184"/>
      <c r="Q6" s="184"/>
      <c r="R6" s="184"/>
      <c r="S6" s="184"/>
      <c r="T6" s="630"/>
      <c r="U6" s="630"/>
      <c r="V6" s="630"/>
      <c r="W6" s="630"/>
      <c r="X6" s="1663"/>
      <c r="Y6" s="630"/>
    </row>
    <row r="7" spans="1:25" ht="15" x14ac:dyDescent="0.25">
      <c r="A7" s="621"/>
      <c r="B7" s="1091"/>
      <c r="C7" s="626"/>
      <c r="D7" s="926"/>
      <c r="E7" s="627"/>
      <c r="F7" s="627"/>
      <c r="G7" s="391"/>
      <c r="H7" s="391"/>
      <c r="I7" s="391"/>
      <c r="J7" s="391"/>
      <c r="K7" s="391"/>
      <c r="L7" s="391"/>
      <c r="M7" s="391"/>
      <c r="N7" s="611"/>
      <c r="O7" s="184"/>
      <c r="P7" s="184"/>
      <c r="Q7" s="184"/>
      <c r="R7" s="184"/>
      <c r="S7" s="184"/>
      <c r="T7" s="627"/>
      <c r="U7" s="627"/>
      <c r="V7" s="627"/>
      <c r="W7" s="627"/>
      <c r="X7" s="1664"/>
      <c r="Y7" s="627"/>
    </row>
    <row r="8" spans="1:25" ht="18.75" x14ac:dyDescent="0.3">
      <c r="A8" s="621"/>
      <c r="B8" s="1091"/>
      <c r="C8" s="626"/>
      <c r="D8" s="628" t="s">
        <v>1106</v>
      </c>
      <c r="E8" s="627"/>
      <c r="F8" s="627"/>
      <c r="G8" s="391"/>
      <c r="H8" s="391"/>
      <c r="I8" s="391"/>
      <c r="J8" s="391"/>
      <c r="K8" s="391"/>
      <c r="L8" s="391"/>
      <c r="M8" s="391"/>
      <c r="N8" s="611"/>
      <c r="O8" s="184"/>
      <c r="P8" s="184"/>
      <c r="Q8" s="184"/>
      <c r="R8" s="184"/>
      <c r="S8" s="184"/>
      <c r="T8" s="627"/>
      <c r="U8" s="627"/>
      <c r="V8" s="627"/>
      <c r="W8" s="627"/>
      <c r="X8" s="1664"/>
      <c r="Y8" s="627"/>
    </row>
    <row r="9" spans="1:25" ht="15" x14ac:dyDescent="0.2">
      <c r="A9" s="621"/>
      <c r="B9" s="1091"/>
      <c r="C9" s="626"/>
      <c r="D9" s="629" t="s">
        <v>1105</v>
      </c>
      <c r="E9" s="627"/>
      <c r="F9" s="627"/>
      <c r="G9" s="391" t="s">
        <v>1100</v>
      </c>
      <c r="H9" s="657">
        <v>67600</v>
      </c>
      <c r="I9" s="391">
        <v>3300</v>
      </c>
      <c r="J9" s="391">
        <v>584000</v>
      </c>
      <c r="K9" s="391" t="s">
        <v>1107</v>
      </c>
      <c r="L9" s="391">
        <v>137170</v>
      </c>
      <c r="M9" s="391">
        <v>87250</v>
      </c>
      <c r="N9" s="611">
        <v>60000</v>
      </c>
      <c r="O9" s="184"/>
      <c r="P9" s="184"/>
      <c r="Q9" s="184"/>
      <c r="R9" s="184"/>
      <c r="S9" s="184"/>
      <c r="T9" s="627"/>
      <c r="U9" s="627"/>
      <c r="V9" s="627"/>
      <c r="W9" s="627"/>
      <c r="X9" s="1664"/>
      <c r="Y9" s="627"/>
    </row>
    <row r="10" spans="1:25" ht="15" x14ac:dyDescent="0.2">
      <c r="A10" s="621"/>
      <c r="B10" s="1091"/>
      <c r="C10" s="626"/>
      <c r="D10" s="627"/>
      <c r="E10" s="627"/>
      <c r="F10" s="627"/>
      <c r="G10" s="391"/>
      <c r="H10" s="391"/>
      <c r="I10" s="391"/>
      <c r="J10" s="391"/>
      <c r="K10" s="391"/>
      <c r="L10" s="391"/>
      <c r="M10" s="391"/>
      <c r="N10" s="611"/>
      <c r="O10" s="627"/>
      <c r="P10" s="627"/>
      <c r="Q10" s="627"/>
      <c r="R10" s="627"/>
      <c r="S10" s="627"/>
      <c r="T10" s="627"/>
      <c r="U10" s="627"/>
      <c r="V10" s="627"/>
      <c r="W10" s="627"/>
      <c r="X10" s="1664"/>
      <c r="Y10" s="627"/>
    </row>
    <row r="11" spans="1:25" ht="15" x14ac:dyDescent="0.2">
      <c r="A11" s="621"/>
      <c r="B11" s="1091"/>
      <c r="C11" s="626"/>
      <c r="D11" s="630" t="s">
        <v>625</v>
      </c>
      <c r="E11" s="627"/>
      <c r="F11" s="627"/>
      <c r="G11" s="391" t="s">
        <v>665</v>
      </c>
      <c r="H11" s="658">
        <v>1.4999999999999999E-2</v>
      </c>
      <c r="I11" s="391">
        <v>0.01</v>
      </c>
      <c r="J11" s="391">
        <v>0.37</v>
      </c>
      <c r="K11" s="391">
        <v>0.02</v>
      </c>
      <c r="L11" s="391"/>
      <c r="M11" s="391"/>
      <c r="N11" s="611"/>
      <c r="O11" s="627"/>
      <c r="P11" s="1637" t="s">
        <v>1752</v>
      </c>
      <c r="Q11" s="1636"/>
      <c r="R11" s="627"/>
      <c r="S11" s="627"/>
      <c r="T11" s="627"/>
      <c r="U11" s="627"/>
      <c r="V11" s="627"/>
      <c r="W11" s="627"/>
      <c r="X11" s="1664"/>
      <c r="Y11" s="627"/>
    </row>
    <row r="12" spans="1:25" ht="15" x14ac:dyDescent="0.2">
      <c r="A12" s="621"/>
      <c r="B12" s="1091"/>
      <c r="C12" s="626"/>
      <c r="D12" s="627"/>
      <c r="E12" s="627"/>
      <c r="F12" s="627"/>
      <c r="G12" s="391" t="s">
        <v>629</v>
      </c>
      <c r="H12" s="391">
        <f>H11/'Energy &amp; Unit Conversions'!G80</f>
        <v>9.434715854662605E-2</v>
      </c>
      <c r="I12" s="391"/>
      <c r="J12" s="391"/>
      <c r="K12" s="391"/>
      <c r="L12" s="391"/>
      <c r="M12" s="391"/>
      <c r="N12" s="611"/>
      <c r="O12" s="627"/>
      <c r="P12" s="1638"/>
      <c r="Q12" s="679"/>
      <c r="R12" s="679"/>
      <c r="S12" s="679" t="s">
        <v>1156</v>
      </c>
      <c r="T12" s="679"/>
      <c r="U12" s="679"/>
      <c r="V12" s="679"/>
      <c r="W12" s="1652"/>
      <c r="X12" s="1664"/>
      <c r="Y12" s="627"/>
    </row>
    <row r="13" spans="1:25" ht="15" x14ac:dyDescent="0.2">
      <c r="A13" s="621"/>
      <c r="B13" s="1091"/>
      <c r="C13" s="626"/>
      <c r="D13" s="629"/>
      <c r="E13" s="630"/>
      <c r="F13" s="630"/>
      <c r="G13" s="610"/>
      <c r="H13" s="391"/>
      <c r="I13" s="391"/>
      <c r="J13" s="391"/>
      <c r="K13" s="391"/>
      <c r="L13" s="391"/>
      <c r="M13" s="391"/>
      <c r="N13" s="611"/>
      <c r="O13" s="627"/>
      <c r="P13" s="1643"/>
      <c r="Q13" s="1642" t="s">
        <v>1147</v>
      </c>
      <c r="R13" s="1642"/>
      <c r="S13" s="1669" t="s">
        <v>1102</v>
      </c>
      <c r="T13" s="1669" t="s">
        <v>1156</v>
      </c>
      <c r="U13" s="1669" t="s">
        <v>1057</v>
      </c>
      <c r="V13" s="1669" t="s">
        <v>1058</v>
      </c>
      <c r="W13" s="1667" t="s">
        <v>1157</v>
      </c>
      <c r="X13" s="1664"/>
      <c r="Y13" s="627"/>
    </row>
    <row r="14" spans="1:25" ht="15" x14ac:dyDescent="0.2">
      <c r="A14" s="621"/>
      <c r="B14" s="1091"/>
      <c r="C14" s="626"/>
      <c r="D14" s="629" t="s">
        <v>712</v>
      </c>
      <c r="E14" s="630" t="s">
        <v>635</v>
      </c>
      <c r="F14" s="627"/>
      <c r="G14" s="391" t="s">
        <v>637</v>
      </c>
      <c r="H14" s="391">
        <f ca="1">CokingRefineryCalcs!I25</f>
        <v>43.287186724766926</v>
      </c>
      <c r="I14" s="391">
        <v>53</v>
      </c>
      <c r="J14" s="391">
        <v>107.53</v>
      </c>
      <c r="K14" s="391" t="s">
        <v>1107</v>
      </c>
      <c r="L14" s="391"/>
      <c r="M14" s="391"/>
      <c r="N14" s="611"/>
      <c r="O14" s="627"/>
      <c r="P14" s="626" t="s">
        <v>609</v>
      </c>
      <c r="Q14" s="627" t="s">
        <v>1151</v>
      </c>
      <c r="R14" s="627"/>
      <c r="S14" s="652">
        <v>0.30733333333333329</v>
      </c>
      <c r="T14" s="652">
        <v>0</v>
      </c>
      <c r="U14" s="652">
        <v>0</v>
      </c>
      <c r="V14" s="652">
        <v>0.61</v>
      </c>
      <c r="W14" s="1668">
        <v>0.4</v>
      </c>
      <c r="X14" s="1664"/>
      <c r="Y14" s="627"/>
    </row>
    <row r="15" spans="1:25" ht="17.25" x14ac:dyDescent="0.2">
      <c r="A15" s="621"/>
      <c r="B15" s="1091"/>
      <c r="C15" s="626"/>
      <c r="D15" s="627"/>
      <c r="E15" s="627" t="s">
        <v>952</v>
      </c>
      <c r="F15" s="627"/>
      <c r="G15" s="391" t="s">
        <v>1420</v>
      </c>
      <c r="H15" s="658">
        <v>288</v>
      </c>
      <c r="I15" s="391">
        <v>290</v>
      </c>
      <c r="J15" s="391"/>
      <c r="K15" s="391"/>
      <c r="L15" s="391"/>
      <c r="M15" s="391"/>
      <c r="N15" s="611"/>
      <c r="O15" s="634"/>
      <c r="P15" s="626" t="s">
        <v>1159</v>
      </c>
      <c r="Q15" s="627" t="s">
        <v>1154</v>
      </c>
      <c r="R15" s="627"/>
      <c r="S15" s="652">
        <v>4.0000000000000008E-2</v>
      </c>
      <c r="T15" s="652">
        <v>0</v>
      </c>
      <c r="U15" s="652">
        <v>0</v>
      </c>
      <c r="V15" s="652">
        <v>0.12000000000000002</v>
      </c>
      <c r="W15" s="1668">
        <v>0.08</v>
      </c>
      <c r="X15" s="1664"/>
      <c r="Y15" s="627"/>
    </row>
    <row r="16" spans="1:25" ht="17.25" x14ac:dyDescent="0.2">
      <c r="A16" s="621"/>
      <c r="B16" s="1091"/>
      <c r="C16" s="626"/>
      <c r="D16" s="632"/>
      <c r="E16" s="627" t="s">
        <v>953</v>
      </c>
      <c r="F16" s="627"/>
      <c r="G16" s="391" t="s">
        <v>1420</v>
      </c>
      <c r="H16" s="658">
        <v>399</v>
      </c>
      <c r="I16" s="391">
        <v>340</v>
      </c>
      <c r="J16" s="391">
        <v>400</v>
      </c>
      <c r="K16" s="391">
        <v>400</v>
      </c>
      <c r="L16" s="391"/>
      <c r="M16" s="391"/>
      <c r="N16" s="611"/>
      <c r="O16" s="627"/>
      <c r="P16" s="626" t="s">
        <v>1158</v>
      </c>
      <c r="Q16" s="627" t="s">
        <v>1153</v>
      </c>
      <c r="R16" s="627"/>
      <c r="S16" s="652">
        <v>0.19366666666666663</v>
      </c>
      <c r="T16" s="652">
        <v>0.18</v>
      </c>
      <c r="U16" s="652">
        <v>0</v>
      </c>
      <c r="V16" s="652">
        <v>0.26</v>
      </c>
      <c r="W16" s="1668">
        <v>0.19</v>
      </c>
      <c r="X16" s="1664"/>
      <c r="Y16" s="627"/>
    </row>
    <row r="17" spans="1:25" ht="15" x14ac:dyDescent="0.2">
      <c r="A17" s="621"/>
      <c r="B17" s="1091"/>
      <c r="C17" s="626"/>
      <c r="D17" s="627"/>
      <c r="E17" s="627"/>
      <c r="F17" s="627"/>
      <c r="G17" s="391"/>
      <c r="H17" s="391"/>
      <c r="I17" s="391"/>
      <c r="J17" s="391"/>
      <c r="K17" s="391"/>
      <c r="L17" s="391"/>
      <c r="M17" s="391"/>
      <c r="N17" s="611"/>
      <c r="O17" s="634"/>
      <c r="P17" s="626" t="s">
        <v>1160</v>
      </c>
      <c r="Q17" s="627" t="s">
        <v>1149</v>
      </c>
      <c r="R17" s="627"/>
      <c r="S17" s="652">
        <v>4.3333333333333331E-3</v>
      </c>
      <c r="T17" s="652">
        <v>0</v>
      </c>
      <c r="U17" s="652">
        <v>0</v>
      </c>
      <c r="V17" s="652">
        <v>0.13</v>
      </c>
      <c r="W17" s="1668">
        <f>S17</f>
        <v>4.3333333333333331E-3</v>
      </c>
      <c r="X17" s="1664"/>
      <c r="Y17" s="627"/>
    </row>
    <row r="18" spans="1:25" ht="15" x14ac:dyDescent="0.2">
      <c r="A18" s="621"/>
      <c r="B18" s="1091"/>
      <c r="C18" s="626"/>
      <c r="D18" s="629" t="s">
        <v>713</v>
      </c>
      <c r="E18" s="629" t="s">
        <v>451</v>
      </c>
      <c r="F18" s="627"/>
      <c r="G18" s="391" t="s">
        <v>665</v>
      </c>
      <c r="H18" s="658">
        <v>0.09</v>
      </c>
      <c r="I18" s="391">
        <v>0.5</v>
      </c>
      <c r="J18" s="391">
        <v>0.9</v>
      </c>
      <c r="K18" s="391">
        <v>0.9</v>
      </c>
      <c r="L18" s="391"/>
      <c r="M18" s="391"/>
      <c r="N18" s="611"/>
      <c r="O18" s="627"/>
      <c r="P18" s="626" t="s">
        <v>573</v>
      </c>
      <c r="Q18" s="627" t="s">
        <v>1150</v>
      </c>
      <c r="R18" s="627"/>
      <c r="S18" s="652">
        <v>0.25866666666666666</v>
      </c>
      <c r="T18" s="652">
        <v>0.32</v>
      </c>
      <c r="U18" s="652">
        <v>0</v>
      </c>
      <c r="V18" s="652">
        <v>0.43</v>
      </c>
      <c r="W18" s="1668">
        <v>0.23</v>
      </c>
      <c r="X18" s="1664"/>
      <c r="Y18" s="627"/>
    </row>
    <row r="19" spans="1:25" ht="15" x14ac:dyDescent="0.2">
      <c r="A19" s="621"/>
      <c r="B19" s="1091"/>
      <c r="C19" s="626"/>
      <c r="D19" s="627"/>
      <c r="E19" s="627"/>
      <c r="F19" s="627"/>
      <c r="G19" s="391"/>
      <c r="H19" s="391"/>
      <c r="I19" s="391"/>
      <c r="J19" s="391"/>
      <c r="K19" s="391"/>
      <c r="L19" s="391"/>
      <c r="M19" s="391"/>
      <c r="N19" s="611"/>
      <c r="O19" s="652"/>
      <c r="P19" s="626" t="s">
        <v>1162</v>
      </c>
      <c r="Q19" s="627" t="s">
        <v>1152</v>
      </c>
      <c r="R19" s="627"/>
      <c r="S19" s="652">
        <v>0.34500000000000008</v>
      </c>
      <c r="T19" s="652">
        <v>0.35</v>
      </c>
      <c r="U19" s="652">
        <v>0</v>
      </c>
      <c r="V19" s="652">
        <v>0.55000000000000004</v>
      </c>
      <c r="W19" s="1668">
        <v>0.38</v>
      </c>
      <c r="X19" s="1664"/>
      <c r="Y19" s="627"/>
    </row>
    <row r="20" spans="1:25" ht="15" x14ac:dyDescent="0.2">
      <c r="A20" s="621"/>
      <c r="B20" s="1091"/>
      <c r="C20" s="626"/>
      <c r="D20" s="629" t="s">
        <v>713</v>
      </c>
      <c r="E20" s="629" t="s">
        <v>1113</v>
      </c>
      <c r="F20" s="627"/>
      <c r="G20" s="391" t="s">
        <v>933</v>
      </c>
      <c r="H20" s="391">
        <f ca="1">CokingRefineryCalcs!D73/CokingRefineryCalcs!E47/'Energy &amp; Unit Conversions'!G79</f>
        <v>5.2043715657498257</v>
      </c>
      <c r="I20" s="391">
        <v>9.92</v>
      </c>
      <c r="J20" s="391">
        <v>25</v>
      </c>
      <c r="K20" s="391" t="s">
        <v>1107</v>
      </c>
      <c r="L20" s="391"/>
      <c r="M20" s="391"/>
      <c r="N20" s="611"/>
      <c r="O20" s="627"/>
      <c r="P20" s="626"/>
      <c r="Q20" s="627"/>
      <c r="R20" s="627"/>
      <c r="S20" s="652"/>
      <c r="T20" s="652"/>
      <c r="U20" s="652"/>
      <c r="V20" s="652"/>
      <c r="W20" s="1655"/>
      <c r="X20" s="1664"/>
      <c r="Y20" s="627"/>
    </row>
    <row r="21" spans="1:25" ht="15" x14ac:dyDescent="0.2">
      <c r="A21" s="621"/>
      <c r="B21" s="1091"/>
      <c r="C21" s="626"/>
      <c r="D21" s="627"/>
      <c r="E21" s="631" t="s">
        <v>495</v>
      </c>
      <c r="F21" s="627"/>
      <c r="G21" s="391" t="s">
        <v>708</v>
      </c>
      <c r="H21" s="658">
        <v>6</v>
      </c>
      <c r="I21" s="391"/>
      <c r="J21" s="391"/>
      <c r="K21" s="391"/>
      <c r="L21" s="391"/>
      <c r="M21" s="391"/>
      <c r="N21" s="611"/>
      <c r="O21" s="627"/>
      <c r="P21" s="626"/>
      <c r="Q21" s="627" t="s">
        <v>1396</v>
      </c>
      <c r="R21" s="627"/>
      <c r="S21" s="652">
        <v>9.7666666666666666E-2</v>
      </c>
      <c r="T21" s="652">
        <v>0</v>
      </c>
      <c r="U21" s="652">
        <v>0</v>
      </c>
      <c r="V21" s="652">
        <v>0.39</v>
      </c>
      <c r="W21" s="1655">
        <f ca="1">('Assay Inventory'!K12+'Assay Inventory'!L12)/'Assay Inventory'!E12</f>
        <v>0.14815625661734663</v>
      </c>
      <c r="X21" s="1664"/>
      <c r="Y21" s="627"/>
    </row>
    <row r="22" spans="1:25" ht="15" x14ac:dyDescent="0.2">
      <c r="A22" s="621"/>
      <c r="B22" s="1091"/>
      <c r="C22" s="626"/>
      <c r="D22" s="627"/>
      <c r="E22" s="631" t="s">
        <v>498</v>
      </c>
      <c r="F22" s="627"/>
      <c r="G22" s="391" t="s">
        <v>709</v>
      </c>
      <c r="H22" s="658">
        <v>4</v>
      </c>
      <c r="I22" s="391"/>
      <c r="J22" s="391"/>
      <c r="K22" s="391"/>
      <c r="L22" s="391"/>
      <c r="M22" s="391"/>
      <c r="N22" s="611"/>
      <c r="O22" s="627"/>
      <c r="P22" s="626"/>
      <c r="Q22" s="627"/>
      <c r="R22" s="627" t="s">
        <v>1161</v>
      </c>
      <c r="S22" s="652"/>
      <c r="T22" s="652"/>
      <c r="U22" s="652"/>
      <c r="V22" s="652"/>
      <c r="W22" s="1668">
        <v>0.5</v>
      </c>
      <c r="X22" s="1664"/>
      <c r="Y22" s="627"/>
    </row>
    <row r="23" spans="1:25" ht="15" x14ac:dyDescent="0.2">
      <c r="A23" s="621"/>
      <c r="B23" s="1091"/>
      <c r="C23" s="626"/>
      <c r="D23" s="627"/>
      <c r="E23" s="631" t="s">
        <v>500</v>
      </c>
      <c r="F23" s="627"/>
      <c r="G23" s="391" t="s">
        <v>710</v>
      </c>
      <c r="H23" s="658">
        <f>2</f>
        <v>2</v>
      </c>
      <c r="I23" s="391"/>
      <c r="J23" s="391"/>
      <c r="K23" s="391"/>
      <c r="L23" s="391"/>
      <c r="M23" s="391"/>
      <c r="N23" s="611"/>
      <c r="O23" s="627"/>
      <c r="P23" s="626"/>
      <c r="Q23" s="627" t="s">
        <v>1148</v>
      </c>
      <c r="R23" s="627"/>
      <c r="S23" s="652">
        <v>6.8333333333333343E-2</v>
      </c>
      <c r="T23" s="652">
        <v>0</v>
      </c>
      <c r="U23" s="652">
        <v>0</v>
      </c>
      <c r="V23" s="652">
        <v>0.23000000000000004</v>
      </c>
      <c r="W23" s="1655"/>
      <c r="X23" s="1664"/>
      <c r="Y23" s="627"/>
    </row>
    <row r="24" spans="1:25" ht="15" x14ac:dyDescent="0.2">
      <c r="A24" s="621"/>
      <c r="B24" s="1091"/>
      <c r="C24" s="626"/>
      <c r="D24" s="627"/>
      <c r="E24" s="631" t="s">
        <v>502</v>
      </c>
      <c r="F24" s="627"/>
      <c r="G24" s="391" t="s">
        <v>711</v>
      </c>
      <c r="H24" s="658">
        <v>10</v>
      </c>
      <c r="I24" s="391"/>
      <c r="J24" s="391"/>
      <c r="K24" s="391"/>
      <c r="L24" s="391"/>
      <c r="M24" s="391"/>
      <c r="N24" s="611"/>
      <c r="O24" s="627"/>
      <c r="P24" s="654"/>
      <c r="Q24" s="655" t="s">
        <v>1155</v>
      </c>
      <c r="R24" s="655"/>
      <c r="S24" s="1658">
        <v>0.18566666666666667</v>
      </c>
      <c r="T24" s="1658">
        <v>0</v>
      </c>
      <c r="U24" s="1658">
        <v>0</v>
      </c>
      <c r="V24" s="1658">
        <v>0.78999999999999992</v>
      </c>
      <c r="W24" s="1657">
        <f ca="1">H299/H286</f>
        <v>0.42598969924862712</v>
      </c>
      <c r="X24" s="1664"/>
      <c r="Y24" s="627"/>
    </row>
    <row r="25" spans="1:25" ht="15" x14ac:dyDescent="0.2">
      <c r="A25" s="621"/>
      <c r="B25" s="1091"/>
      <c r="C25" s="626"/>
      <c r="D25" s="627"/>
      <c r="E25" s="631"/>
      <c r="F25" s="630"/>
      <c r="G25" s="391"/>
      <c r="H25" s="391"/>
      <c r="I25" s="391"/>
      <c r="J25" s="391"/>
      <c r="K25" s="391"/>
      <c r="L25" s="391"/>
      <c r="M25" s="391"/>
      <c r="N25" s="611"/>
      <c r="O25" s="627"/>
      <c r="P25" s="627"/>
      <c r="Q25" s="627"/>
      <c r="R25" s="627"/>
      <c r="S25" s="627"/>
      <c r="T25" s="627"/>
      <c r="U25" s="627"/>
      <c r="V25" s="627"/>
      <c r="W25" s="627"/>
      <c r="X25" s="1664"/>
      <c r="Y25" s="627"/>
    </row>
    <row r="26" spans="1:25" ht="18.75" x14ac:dyDescent="0.3">
      <c r="A26" s="621"/>
      <c r="B26" s="1091"/>
      <c r="C26" s="626"/>
      <c r="D26" s="628" t="s">
        <v>714</v>
      </c>
      <c r="E26" s="631"/>
      <c r="F26" s="630"/>
      <c r="G26" s="391"/>
      <c r="H26" s="659"/>
      <c r="I26" s="391"/>
      <c r="J26" s="391"/>
      <c r="K26" s="391"/>
      <c r="L26" s="391"/>
      <c r="M26" s="391"/>
      <c r="N26" s="611"/>
      <c r="O26" s="627"/>
      <c r="P26" s="184"/>
      <c r="Q26" s="184"/>
      <c r="R26" s="184"/>
      <c r="S26" s="184"/>
      <c r="T26" s="184"/>
      <c r="U26" s="184"/>
      <c r="V26" s="627"/>
      <c r="W26" s="627"/>
      <c r="X26" s="1664"/>
      <c r="Y26" s="627"/>
    </row>
    <row r="27" spans="1:25" ht="15" x14ac:dyDescent="0.2">
      <c r="A27" s="621"/>
      <c r="B27" s="1091"/>
      <c r="C27" s="626"/>
      <c r="D27" s="629" t="s">
        <v>1105</v>
      </c>
      <c r="E27" s="627"/>
      <c r="F27" s="627"/>
      <c r="G27" s="391" t="s">
        <v>1100</v>
      </c>
      <c r="H27" s="610">
        <f>H9*W14</f>
        <v>27040</v>
      </c>
      <c r="I27" s="391">
        <v>1800</v>
      </c>
      <c r="J27" s="391">
        <v>314000</v>
      </c>
      <c r="K27" s="391" t="s">
        <v>1107</v>
      </c>
      <c r="L27" s="391">
        <v>74581.87</v>
      </c>
      <c r="M27" s="391">
        <v>47000</v>
      </c>
      <c r="N27" s="611">
        <v>30000</v>
      </c>
      <c r="O27" s="627"/>
      <c r="P27" s="184"/>
      <c r="Q27" s="184"/>
      <c r="R27" s="184"/>
      <c r="S27" s="184"/>
      <c r="T27" s="184"/>
      <c r="U27" s="184"/>
      <c r="V27" s="627"/>
      <c r="W27" s="627"/>
      <c r="X27" s="1664"/>
      <c r="Y27" s="627"/>
    </row>
    <row r="28" spans="1:25" ht="15" x14ac:dyDescent="0.2">
      <c r="A28" s="621"/>
      <c r="B28" s="1091"/>
      <c r="C28" s="626"/>
      <c r="D28" s="627"/>
      <c r="E28" s="627"/>
      <c r="F28" s="627"/>
      <c r="G28" s="391"/>
      <c r="H28" s="391"/>
      <c r="I28" s="391"/>
      <c r="J28" s="391"/>
      <c r="K28" s="391"/>
      <c r="L28" s="391"/>
      <c r="M28" s="391"/>
      <c r="N28" s="611"/>
      <c r="O28" s="627"/>
      <c r="P28" s="184"/>
      <c r="Q28" s="184"/>
      <c r="R28" s="184"/>
      <c r="S28" s="184"/>
      <c r="T28" s="184"/>
      <c r="U28" s="184"/>
      <c r="V28" s="627"/>
      <c r="W28" s="627"/>
      <c r="X28" s="1664"/>
      <c r="Y28" s="627"/>
    </row>
    <row r="29" spans="1:25" ht="15" x14ac:dyDescent="0.2">
      <c r="A29" s="621"/>
      <c r="B29" s="1091"/>
      <c r="C29" s="626"/>
      <c r="D29" s="629" t="s">
        <v>712</v>
      </c>
      <c r="E29" s="630" t="s">
        <v>635</v>
      </c>
      <c r="F29" s="627"/>
      <c r="G29" s="391" t="s">
        <v>637</v>
      </c>
      <c r="H29" s="391">
        <f ca="1">CokingRefineryCalcs!I519</f>
        <v>0.67426103874170251</v>
      </c>
      <c r="I29" s="391">
        <v>32.26</v>
      </c>
      <c r="J29" s="391">
        <v>107.53</v>
      </c>
      <c r="K29" s="391" t="s">
        <v>1107</v>
      </c>
      <c r="L29" s="391"/>
      <c r="M29" s="391"/>
      <c r="N29" s="611"/>
      <c r="O29" s="627"/>
      <c r="P29" s="184"/>
      <c r="Q29" s="184"/>
      <c r="R29" s="184"/>
      <c r="S29" s="184"/>
      <c r="T29" s="184"/>
      <c r="U29" s="184"/>
      <c r="V29" s="627"/>
      <c r="W29" s="627"/>
      <c r="X29" s="1664"/>
      <c r="Y29" s="627"/>
    </row>
    <row r="30" spans="1:25" ht="17.25" x14ac:dyDescent="0.2">
      <c r="A30" s="621"/>
      <c r="B30" s="1091"/>
      <c r="C30" s="626"/>
      <c r="D30" s="627"/>
      <c r="E30" s="627" t="s">
        <v>952</v>
      </c>
      <c r="F30" s="627"/>
      <c r="G30" s="391" t="s">
        <v>1420</v>
      </c>
      <c r="H30" s="658">
        <v>399</v>
      </c>
      <c r="I30" s="391"/>
      <c r="J30" s="391"/>
      <c r="K30" s="391"/>
      <c r="L30" s="391"/>
      <c r="M30" s="391"/>
      <c r="N30" s="611"/>
      <c r="O30" s="627"/>
      <c r="P30" s="184"/>
      <c r="Q30" s="184"/>
      <c r="R30" s="184"/>
      <c r="S30" s="184"/>
      <c r="T30" s="184"/>
      <c r="U30" s="184"/>
      <c r="V30" s="627"/>
      <c r="W30" s="627"/>
      <c r="X30" s="1664"/>
      <c r="Y30" s="627"/>
    </row>
    <row r="31" spans="1:25" ht="17.25" x14ac:dyDescent="0.2">
      <c r="A31" s="621"/>
      <c r="B31" s="1091"/>
      <c r="C31" s="626"/>
      <c r="D31" s="632"/>
      <c r="E31" s="627" t="s">
        <v>953</v>
      </c>
      <c r="F31" s="627"/>
      <c r="G31" s="391" t="s">
        <v>1420</v>
      </c>
      <c r="H31" s="658">
        <v>454</v>
      </c>
      <c r="I31" s="391"/>
      <c r="J31" s="391"/>
      <c r="K31" s="391"/>
      <c r="L31" s="391"/>
      <c r="M31" s="391"/>
      <c r="N31" s="611"/>
      <c r="O31" s="627"/>
      <c r="P31" s="627"/>
      <c r="Q31" s="631"/>
      <c r="R31" s="627"/>
      <c r="S31" s="631"/>
      <c r="T31" s="627"/>
      <c r="U31" s="627"/>
      <c r="V31" s="627"/>
      <c r="W31" s="627"/>
      <c r="X31" s="1664"/>
      <c r="Y31" s="627"/>
    </row>
    <row r="32" spans="1:25" ht="15" x14ac:dyDescent="0.2">
      <c r="A32" s="621"/>
      <c r="B32" s="1091"/>
      <c r="C32" s="626"/>
      <c r="D32" s="627"/>
      <c r="E32" s="627"/>
      <c r="F32" s="627"/>
      <c r="G32" s="391"/>
      <c r="H32" s="391"/>
      <c r="I32" s="391"/>
      <c r="J32" s="391"/>
      <c r="K32" s="391"/>
      <c r="L32" s="391"/>
      <c r="M32" s="391"/>
      <c r="N32" s="611"/>
      <c r="O32" s="627"/>
      <c r="P32" s="627"/>
      <c r="Q32" s="627"/>
      <c r="R32" s="627"/>
      <c r="S32" s="627"/>
      <c r="T32" s="627"/>
      <c r="U32" s="627"/>
      <c r="V32" s="627"/>
      <c r="W32" s="627"/>
      <c r="X32" s="1664"/>
      <c r="Y32" s="627"/>
    </row>
    <row r="33" spans="1:25" ht="15" x14ac:dyDescent="0.2">
      <c r="A33" s="621"/>
      <c r="B33" s="1091"/>
      <c r="C33" s="626"/>
      <c r="D33" s="629" t="s">
        <v>713</v>
      </c>
      <c r="E33" s="629" t="s">
        <v>451</v>
      </c>
      <c r="F33" s="627"/>
      <c r="G33" s="391" t="s">
        <v>665</v>
      </c>
      <c r="H33" s="658">
        <v>0.3</v>
      </c>
      <c r="I33" s="391">
        <v>0.3</v>
      </c>
      <c r="J33" s="391">
        <v>0.3</v>
      </c>
      <c r="K33" s="391">
        <v>0.3</v>
      </c>
      <c r="L33" s="391"/>
      <c r="M33" s="391"/>
      <c r="N33" s="611"/>
      <c r="O33" s="627"/>
      <c r="P33" s="627"/>
      <c r="Q33" s="631"/>
      <c r="R33" s="627"/>
      <c r="S33" s="631"/>
      <c r="T33" s="627"/>
      <c r="U33" s="627"/>
      <c r="V33" s="627"/>
      <c r="W33" s="627"/>
      <c r="X33" s="1664"/>
      <c r="Y33" s="627"/>
    </row>
    <row r="34" spans="1:25" ht="15" x14ac:dyDescent="0.2">
      <c r="A34" s="621"/>
      <c r="B34" s="1091"/>
      <c r="C34" s="626"/>
      <c r="D34" s="627"/>
      <c r="E34" s="627"/>
      <c r="F34" s="627"/>
      <c r="G34" s="391"/>
      <c r="H34" s="391"/>
      <c r="I34" s="391"/>
      <c r="J34" s="391"/>
      <c r="K34" s="391"/>
      <c r="L34" s="391"/>
      <c r="M34" s="391"/>
      <c r="N34" s="611"/>
      <c r="O34" s="627"/>
      <c r="P34" s="627"/>
      <c r="Q34" s="631"/>
      <c r="R34" s="627"/>
      <c r="S34" s="631"/>
      <c r="T34" s="627"/>
      <c r="U34" s="627"/>
      <c r="V34" s="627"/>
      <c r="W34" s="627"/>
      <c r="X34" s="1664"/>
      <c r="Y34" s="627"/>
    </row>
    <row r="35" spans="1:25" ht="15" x14ac:dyDescent="0.2">
      <c r="A35" s="621"/>
      <c r="B35" s="1091"/>
      <c r="C35" s="626"/>
      <c r="D35" s="629" t="s">
        <v>713</v>
      </c>
      <c r="E35" s="629" t="s">
        <v>1108</v>
      </c>
      <c r="F35" s="627"/>
      <c r="G35" s="391" t="s">
        <v>933</v>
      </c>
      <c r="H35" s="391">
        <f ca="1">CokingRefineryCalcs!D555/CokingRefineryCalcs!E540/'Energy &amp; Unit Conversions'!G79</f>
        <v>15</v>
      </c>
      <c r="I35" s="391">
        <v>9.92</v>
      </c>
      <c r="J35" s="391">
        <v>50</v>
      </c>
      <c r="K35" s="391" t="s">
        <v>1107</v>
      </c>
      <c r="L35" s="391"/>
      <c r="M35" s="391"/>
      <c r="N35" s="611"/>
      <c r="O35" s="627"/>
      <c r="P35" s="627"/>
      <c r="Q35" s="631"/>
      <c r="R35" s="627"/>
      <c r="S35" s="631"/>
      <c r="T35" s="627"/>
      <c r="U35" s="627"/>
      <c r="V35" s="627"/>
      <c r="W35" s="627"/>
      <c r="X35" s="1664"/>
      <c r="Y35" s="627"/>
    </row>
    <row r="36" spans="1:25" ht="15" x14ac:dyDescent="0.2">
      <c r="A36" s="621"/>
      <c r="B36" s="1091"/>
      <c r="C36" s="626"/>
      <c r="D36" s="627"/>
      <c r="E36" s="631" t="s">
        <v>503</v>
      </c>
      <c r="F36" s="627"/>
      <c r="G36" s="391" t="s">
        <v>715</v>
      </c>
      <c r="H36" s="658">
        <v>15</v>
      </c>
      <c r="I36" s="391"/>
      <c r="J36" s="391"/>
      <c r="K36" s="391"/>
      <c r="L36" s="391"/>
      <c r="M36" s="391"/>
      <c r="N36" s="611"/>
      <c r="O36" s="627"/>
      <c r="P36" s="627"/>
      <c r="Q36" s="627"/>
      <c r="R36" s="627"/>
      <c r="S36" s="627"/>
      <c r="T36" s="627"/>
      <c r="U36" s="627"/>
      <c r="V36" s="627"/>
      <c r="W36" s="627"/>
      <c r="X36" s="1664"/>
      <c r="Y36" s="627"/>
    </row>
    <row r="37" spans="1:25" ht="15" x14ac:dyDescent="0.2">
      <c r="A37" s="621"/>
      <c r="B37" s="1091"/>
      <c r="C37" s="626"/>
      <c r="D37" s="627"/>
      <c r="E37" s="627"/>
      <c r="F37" s="627"/>
      <c r="G37" s="391"/>
      <c r="H37" s="391"/>
      <c r="I37" s="391"/>
      <c r="J37" s="391"/>
      <c r="K37" s="391"/>
      <c r="L37" s="391"/>
      <c r="M37" s="391"/>
      <c r="N37" s="611"/>
      <c r="O37" s="627"/>
      <c r="P37" s="627"/>
      <c r="Q37" s="631"/>
      <c r="R37" s="627"/>
      <c r="S37" s="631"/>
      <c r="T37" s="627"/>
      <c r="U37" s="627"/>
      <c r="V37" s="627"/>
      <c r="W37" s="627"/>
      <c r="X37" s="1664"/>
      <c r="Y37" s="627"/>
    </row>
    <row r="38" spans="1:25" ht="21" customHeight="1" x14ac:dyDescent="0.2">
      <c r="A38" s="621"/>
      <c r="B38" s="1091"/>
      <c r="C38" s="622" t="s">
        <v>922</v>
      </c>
      <c r="D38" s="623"/>
      <c r="E38" s="623"/>
      <c r="F38" s="623"/>
      <c r="G38" s="661"/>
      <c r="H38" s="661"/>
      <c r="I38" s="661"/>
      <c r="J38" s="661"/>
      <c r="K38" s="661"/>
      <c r="L38" s="661"/>
      <c r="M38" s="661"/>
      <c r="N38" s="662"/>
      <c r="O38" s="630"/>
      <c r="P38" s="630"/>
      <c r="Q38" s="630"/>
      <c r="R38" s="630"/>
      <c r="S38" s="630"/>
      <c r="T38" s="630"/>
      <c r="U38" s="630"/>
      <c r="V38" s="630"/>
      <c r="W38" s="630"/>
      <c r="X38" s="1663"/>
      <c r="Y38" s="630"/>
    </row>
    <row r="39" spans="1:25" ht="15" x14ac:dyDescent="0.2">
      <c r="A39" s="621"/>
      <c r="B39" s="1091"/>
      <c r="C39" s="626"/>
      <c r="D39" s="627"/>
      <c r="E39" s="627"/>
      <c r="F39" s="627"/>
      <c r="G39" s="391"/>
      <c r="H39" s="391"/>
      <c r="I39" s="391"/>
      <c r="J39" s="391"/>
      <c r="K39" s="391"/>
      <c r="L39" s="391"/>
      <c r="M39" s="391"/>
      <c r="N39" s="611"/>
      <c r="O39" s="627"/>
      <c r="P39" s="627"/>
      <c r="Q39" s="627"/>
      <c r="R39" s="627"/>
      <c r="S39" s="627"/>
      <c r="T39" s="627"/>
      <c r="U39" s="627"/>
      <c r="V39" s="627"/>
      <c r="W39" s="627"/>
      <c r="X39" s="1664"/>
      <c r="Y39" s="627"/>
    </row>
    <row r="40" spans="1:25" ht="18.75" x14ac:dyDescent="0.3">
      <c r="A40" s="621"/>
      <c r="B40" s="1091"/>
      <c r="C40" s="626"/>
      <c r="D40" s="628" t="s">
        <v>2127</v>
      </c>
      <c r="E40" s="631"/>
      <c r="F40" s="631"/>
      <c r="G40" s="391"/>
      <c r="H40" s="610">
        <f ca="1">CokingRefineryCalcs!F128</f>
        <v>17316.221609700751</v>
      </c>
      <c r="I40" s="391"/>
      <c r="J40" s="391"/>
      <c r="K40" s="391"/>
      <c r="L40" s="391"/>
      <c r="M40" s="391"/>
      <c r="N40" s="611"/>
      <c r="O40" s="184"/>
      <c r="P40" s="184"/>
      <c r="Q40" s="184"/>
      <c r="R40" s="184"/>
      <c r="S40" s="184"/>
      <c r="T40" s="184"/>
      <c r="U40" s="184"/>
      <c r="V40" s="184"/>
      <c r="W40" s="184"/>
      <c r="X40" s="1664"/>
      <c r="Y40" s="627"/>
    </row>
    <row r="41" spans="1:25" ht="15" x14ac:dyDescent="0.2">
      <c r="A41" s="621"/>
      <c r="B41" s="1091"/>
      <c r="C41" s="626"/>
      <c r="D41" s="629" t="s">
        <v>1105</v>
      </c>
      <c r="E41" s="627"/>
      <c r="F41" s="627"/>
      <c r="G41" s="391" t="s">
        <v>1100</v>
      </c>
      <c r="H41" s="657">
        <f>H9*(W15+W16)</f>
        <v>18252</v>
      </c>
      <c r="I41" s="391">
        <v>1100</v>
      </c>
      <c r="J41" s="391">
        <v>169100</v>
      </c>
      <c r="K41" s="391">
        <v>39000</v>
      </c>
      <c r="L41" s="391">
        <v>38545</v>
      </c>
      <c r="M41" s="391">
        <v>28000</v>
      </c>
      <c r="N41" s="611">
        <v>20000</v>
      </c>
      <c r="O41" s="184"/>
      <c r="P41" s="184"/>
      <c r="Q41" s="184"/>
      <c r="R41" s="184"/>
      <c r="S41" s="184"/>
      <c r="T41" s="184"/>
      <c r="U41" s="184"/>
      <c r="V41" s="184"/>
      <c r="W41" s="184"/>
      <c r="X41" s="1664"/>
      <c r="Y41" s="627"/>
    </row>
    <row r="42" spans="1:25" ht="15" x14ac:dyDescent="0.2">
      <c r="A42" s="621"/>
      <c r="B42" s="1091"/>
      <c r="C42" s="626"/>
      <c r="D42" s="627"/>
      <c r="E42" s="627"/>
      <c r="F42" s="627"/>
      <c r="G42" s="391"/>
      <c r="H42" s="391"/>
      <c r="I42" s="391"/>
      <c r="J42" s="391"/>
      <c r="K42" s="391"/>
      <c r="L42" s="391"/>
      <c r="M42" s="391"/>
      <c r="N42" s="611"/>
      <c r="O42" s="184"/>
      <c r="P42" s="184"/>
      <c r="Q42" s="184"/>
      <c r="R42" s="184"/>
      <c r="S42" s="184"/>
      <c r="T42" s="184"/>
      <c r="U42" s="184"/>
      <c r="V42" s="184"/>
      <c r="W42" s="184"/>
      <c r="X42" s="1664"/>
      <c r="Y42" s="627"/>
    </row>
    <row r="43" spans="1:25" ht="15" x14ac:dyDescent="0.2">
      <c r="A43" s="621"/>
      <c r="B43" s="1091"/>
      <c r="C43" s="626"/>
      <c r="D43" s="627"/>
      <c r="E43" s="627" t="s">
        <v>716</v>
      </c>
      <c r="F43" s="627"/>
      <c r="G43" s="391" t="s">
        <v>637</v>
      </c>
      <c r="H43" s="391">
        <f ca="1">CokingRefineryCalcs!D155/CokingRefineryCalcs!F128*'Energy &amp; Unit Conversions'!E93/'Energy &amp; Unit Conversions'!E26</f>
        <v>915.89943759057337</v>
      </c>
      <c r="I43" s="391">
        <v>25</v>
      </c>
      <c r="J43" s="391">
        <v>140</v>
      </c>
      <c r="K43" s="391" t="s">
        <v>1107</v>
      </c>
      <c r="L43" s="391" t="s">
        <v>1099</v>
      </c>
      <c r="M43" s="391" t="s">
        <v>1099</v>
      </c>
      <c r="N43" s="611"/>
      <c r="O43" s="627"/>
      <c r="P43" s="1637" t="s">
        <v>1753</v>
      </c>
      <c r="Q43" s="1637"/>
      <c r="R43" s="329"/>
      <c r="S43" s="329"/>
      <c r="T43" s="329"/>
      <c r="U43" s="329"/>
      <c r="V43" s="329"/>
      <c r="W43" s="329"/>
      <c r="X43" s="1664"/>
      <c r="Y43" s="627"/>
    </row>
    <row r="44" spans="1:25" ht="15" x14ac:dyDescent="0.2">
      <c r="A44" s="621"/>
      <c r="B44" s="1091"/>
      <c r="C44" s="626"/>
      <c r="D44" s="627"/>
      <c r="E44" s="631" t="s">
        <v>635</v>
      </c>
      <c r="F44" s="627"/>
      <c r="G44" s="391" t="s">
        <v>136</v>
      </c>
      <c r="H44" s="391">
        <f ca="1">IF(H43&lt;150,$R$45,IF(H43&lt;400,$S$45,$T$45))</f>
        <v>211</v>
      </c>
      <c r="I44" s="391">
        <v>32</v>
      </c>
      <c r="J44" s="391">
        <v>456.84</v>
      </c>
      <c r="K44" s="391" t="s">
        <v>1107</v>
      </c>
      <c r="L44" s="391">
        <f>U45</f>
        <v>85.248512891695995</v>
      </c>
      <c r="M44" s="391"/>
      <c r="N44" s="611"/>
      <c r="O44" s="627"/>
      <c r="P44" s="1638" t="s">
        <v>716</v>
      </c>
      <c r="Q44" s="679" t="s">
        <v>637</v>
      </c>
      <c r="R44" s="1650" t="s">
        <v>719</v>
      </c>
      <c r="S44" s="1650" t="s">
        <v>718</v>
      </c>
      <c r="T44" s="1650" t="s">
        <v>717</v>
      </c>
      <c r="U44" s="1652"/>
      <c r="V44" s="329"/>
      <c r="W44" s="329"/>
      <c r="X44" s="1664"/>
      <c r="Y44" s="627"/>
    </row>
    <row r="45" spans="1:25" ht="15" x14ac:dyDescent="0.2">
      <c r="A45" s="621"/>
      <c r="B45" s="1091"/>
      <c r="C45" s="626"/>
      <c r="D45" s="627"/>
      <c r="E45" s="631"/>
      <c r="F45" s="627"/>
      <c r="G45" s="391" t="s">
        <v>637</v>
      </c>
      <c r="H45" s="391">
        <f ca="1">IF('Energy &amp; Unit Conversions'!$E$10=1,H44,H44/'Energy &amp; Unit Conversions'!$K$59)/'Energy &amp; Unit Conversions'!$P$25/'Energy &amp; Unit Conversions'!$G$82</f>
        <v>215.04168248129557</v>
      </c>
      <c r="I45" s="391">
        <f>IF('Energy &amp; Unit Conversions'!$E$10=1,I44,I44/'Energy &amp; Unit Conversions'!$K$59)/'Energy &amp; Unit Conversions'!$P$25/'Energy &amp; Unit Conversions'!$G$82</f>
        <v>32.612956584841029</v>
      </c>
      <c r="J45" s="391">
        <f>IF('Energy &amp; Unit Conversions'!$E$10=1,J44,J44/'Energy &amp; Unit Conversions'!$K$59)/'Energy &amp; Unit Conversions'!$P$25/'Energy &amp; Unit Conversions'!$G$82</f>
        <v>465.59072144433674</v>
      </c>
      <c r="K45" s="391"/>
      <c r="L45" s="391">
        <f>IF('Energy &amp; Unit Conversions'!$E$10=1,L44,L44/'Energy &amp; Unit Conversions'!$K$59)/'Energy &amp; Unit Conversions'!$P$25/'Energy &amp; Unit Conversions'!$G$82</f>
        <v>86.881439058098209</v>
      </c>
      <c r="M45" s="391"/>
      <c r="N45" s="611"/>
      <c r="O45" s="627"/>
      <c r="P45" s="1644" t="s">
        <v>635</v>
      </c>
      <c r="Q45" s="627" t="s">
        <v>136</v>
      </c>
      <c r="R45" s="652">
        <v>105</v>
      </c>
      <c r="S45" s="652">
        <v>158</v>
      </c>
      <c r="T45" s="652">
        <v>211</v>
      </c>
      <c r="U45" s="1645">
        <f>80.8/'Energy &amp; Unit Conversions'!$E$93*'Energy &amp; Unit Conversions'!$G$84</f>
        <v>85.248512891695995</v>
      </c>
      <c r="V45" s="329"/>
      <c r="W45" s="329"/>
      <c r="X45" s="1664"/>
      <c r="Y45" s="627"/>
    </row>
    <row r="46" spans="1:25" ht="15" x14ac:dyDescent="0.2">
      <c r="A46" s="621"/>
      <c r="B46" s="1091"/>
      <c r="C46" s="626"/>
      <c r="D46" s="627"/>
      <c r="E46" s="631" t="s">
        <v>451</v>
      </c>
      <c r="F46" s="627"/>
      <c r="G46" s="391" t="s">
        <v>665</v>
      </c>
      <c r="H46" s="391">
        <f ca="1">IF(H43&lt;150,$R$47,IF(H43&lt;400,$S$47,$T$47))</f>
        <v>6</v>
      </c>
      <c r="I46" s="391">
        <f>I47/'Energy &amp; Unit Conversions'!$G$88</f>
        <v>1.2</v>
      </c>
      <c r="J46" s="391">
        <f>J47/'Energy &amp; Unit Conversions'!$G$88</f>
        <v>2</v>
      </c>
      <c r="K46" s="391" t="s">
        <v>1107</v>
      </c>
      <c r="L46" s="391">
        <f>U47</f>
        <v>5.4511219052033342</v>
      </c>
      <c r="M46" s="391"/>
      <c r="N46" s="611"/>
      <c r="O46" s="627"/>
      <c r="P46" s="1644"/>
      <c r="Q46" s="627"/>
      <c r="R46" s="652"/>
      <c r="S46" s="652"/>
      <c r="T46" s="652"/>
      <c r="U46" s="1655"/>
      <c r="V46" s="329"/>
      <c r="W46" s="329"/>
      <c r="X46" s="1664"/>
      <c r="Y46" s="627"/>
    </row>
    <row r="47" spans="1:25" ht="15" x14ac:dyDescent="0.2">
      <c r="A47" s="621"/>
      <c r="B47" s="1091"/>
      <c r="C47" s="626"/>
      <c r="D47" s="627"/>
      <c r="E47" s="627"/>
      <c r="F47" s="627"/>
      <c r="G47" s="391" t="s">
        <v>136</v>
      </c>
      <c r="H47" s="391">
        <f ca="1">H46*'Energy &amp; Unit Conversions'!$G$88</f>
        <v>21.6</v>
      </c>
      <c r="I47" s="391">
        <v>4.32</v>
      </c>
      <c r="J47" s="391">
        <v>7.2</v>
      </c>
      <c r="K47" s="391"/>
      <c r="L47" s="391"/>
      <c r="M47" s="391"/>
      <c r="N47" s="611"/>
      <c r="O47" s="627"/>
      <c r="P47" s="1644" t="s">
        <v>451</v>
      </c>
      <c r="Q47" s="635" t="s">
        <v>665</v>
      </c>
      <c r="R47" s="652">
        <v>2</v>
      </c>
      <c r="S47" s="652">
        <v>3</v>
      </c>
      <c r="T47" s="652">
        <v>6</v>
      </c>
      <c r="U47" s="1645">
        <f>18.6/'Energy &amp; Unit Conversions'!$E$93*'Energy &amp; Unit Conversions'!$G$84/'Energy &amp; Unit Conversions'!$G$88</f>
        <v>5.4511219052033342</v>
      </c>
      <c r="V47" s="329"/>
      <c r="W47" s="329"/>
      <c r="X47" s="1664"/>
      <c r="Y47" s="627"/>
    </row>
    <row r="48" spans="1:25" ht="15" x14ac:dyDescent="0.2">
      <c r="A48" s="621"/>
      <c r="B48" s="1091"/>
      <c r="C48" s="626"/>
      <c r="D48" s="627"/>
      <c r="E48" s="631" t="s">
        <v>485</v>
      </c>
      <c r="F48" s="627"/>
      <c r="G48" s="391" t="s">
        <v>496</v>
      </c>
      <c r="H48" s="391">
        <f ca="1">IF(H43&lt;150,$R$48,IF(H43&lt;400,$S$48,$T$48))</f>
        <v>10</v>
      </c>
      <c r="I48" s="391">
        <f>I49/'Energy &amp; Unit Conversions'!$E$70/'Energy &amp; Unit Conversions'!$G$79</f>
        <v>6.6162780215435593</v>
      </c>
      <c r="J48" s="391">
        <f>J49/'Energy &amp; Unit Conversions'!$E$70/'Energy &amp; Unit Conversions'!$G$79</f>
        <v>30.880478790418252</v>
      </c>
      <c r="K48" s="391" t="s">
        <v>1107</v>
      </c>
      <c r="L48" s="391">
        <f>U48</f>
        <v>-6.1723781021786612</v>
      </c>
      <c r="M48" s="391"/>
      <c r="N48" s="611"/>
      <c r="O48" s="627"/>
      <c r="P48" s="1646" t="s">
        <v>485</v>
      </c>
      <c r="Q48" s="1647" t="s">
        <v>496</v>
      </c>
      <c r="R48" s="1658">
        <v>6</v>
      </c>
      <c r="S48" s="1658">
        <v>8</v>
      </c>
      <c r="T48" s="1658">
        <v>10</v>
      </c>
      <c r="U48" s="1648">
        <f>-31.1/'Energy &amp; Unit Conversions'!$E$93*'Energy &amp; Unit Conversions'!$G$84/'Energy &amp; Unit Conversions'!$G$88/'Energy &amp; Unit Conversions'!E70/'Energy &amp; Unit Conversions'!G79</f>
        <v>-6.1723781021786612</v>
      </c>
      <c r="V48" s="329"/>
      <c r="W48" s="329"/>
      <c r="X48" s="1664"/>
      <c r="Y48" s="627"/>
    </row>
    <row r="49" spans="1:25" ht="15" x14ac:dyDescent="0.2">
      <c r="A49" s="621"/>
      <c r="B49" s="1091"/>
      <c r="C49" s="626"/>
      <c r="D49" s="627"/>
      <c r="E49" s="627"/>
      <c r="F49" s="627"/>
      <c r="G49" s="391" t="s">
        <v>136</v>
      </c>
      <c r="H49" s="391">
        <f ca="1">H48*('Energy &amp; Unit Conversions'!$E$70*'Energy &amp; Unit Conversions'!$G$79)</f>
        <v>14.766610423847766</v>
      </c>
      <c r="I49" s="391">
        <v>9.77</v>
      </c>
      <c r="J49" s="391">
        <v>45.6</v>
      </c>
      <c r="K49" s="391"/>
      <c r="L49" s="391"/>
      <c r="M49" s="391"/>
      <c r="N49" s="611"/>
      <c r="O49" s="627"/>
      <c r="P49" s="627"/>
      <c r="Q49" s="627"/>
      <c r="R49" s="627"/>
      <c r="S49" s="631"/>
      <c r="T49" s="627"/>
      <c r="U49" s="627"/>
      <c r="V49" s="627"/>
      <c r="W49" s="627"/>
      <c r="X49" s="1664"/>
      <c r="Y49" s="627"/>
    </row>
    <row r="50" spans="1:25" ht="15" x14ac:dyDescent="0.2">
      <c r="A50" s="621"/>
      <c r="B50" s="1091"/>
      <c r="C50" s="626"/>
      <c r="D50" s="627"/>
      <c r="E50" s="627"/>
      <c r="F50" s="627"/>
      <c r="G50" s="391"/>
      <c r="H50" s="391"/>
      <c r="I50" s="391"/>
      <c r="J50" s="391"/>
      <c r="K50" s="391"/>
      <c r="L50" s="391"/>
      <c r="M50" s="391"/>
      <c r="N50" s="611"/>
      <c r="O50" s="627"/>
      <c r="P50" s="329"/>
      <c r="Q50" s="329"/>
      <c r="R50" s="329"/>
      <c r="S50" s="329"/>
      <c r="T50" s="329"/>
      <c r="U50" s="329"/>
      <c r="V50" s="627"/>
      <c r="W50" s="627"/>
      <c r="X50" s="1664"/>
      <c r="Y50" s="627"/>
    </row>
    <row r="51" spans="1:25" ht="15" x14ac:dyDescent="0.2">
      <c r="A51" s="621"/>
      <c r="B51" s="1091"/>
      <c r="C51" s="626"/>
      <c r="D51" s="627"/>
      <c r="E51" s="631" t="s">
        <v>1241</v>
      </c>
      <c r="F51" s="627"/>
      <c r="G51" s="391" t="s">
        <v>579</v>
      </c>
      <c r="H51" s="658">
        <v>15</v>
      </c>
      <c r="I51" s="391">
        <v>12</v>
      </c>
      <c r="J51" s="391">
        <v>15</v>
      </c>
      <c r="K51" s="391">
        <v>15.7</v>
      </c>
      <c r="L51" s="391"/>
      <c r="M51" s="391"/>
      <c r="N51" s="611"/>
      <c r="O51" s="627"/>
      <c r="P51" s="627"/>
      <c r="Q51" s="627"/>
      <c r="R51" s="627"/>
      <c r="S51" s="631"/>
      <c r="T51" s="627"/>
      <c r="U51" s="627"/>
      <c r="V51" s="627"/>
      <c r="W51" s="627"/>
      <c r="X51" s="1664"/>
      <c r="Y51" s="627"/>
    </row>
    <row r="52" spans="1:25" ht="15" x14ac:dyDescent="0.2">
      <c r="A52" s="621"/>
      <c r="B52" s="1091"/>
      <c r="C52" s="626"/>
      <c r="D52" s="627"/>
      <c r="E52" s="631" t="s">
        <v>1242</v>
      </c>
      <c r="F52" s="627"/>
      <c r="G52" s="391" t="s">
        <v>579</v>
      </c>
      <c r="H52" s="657">
        <v>22.2</v>
      </c>
      <c r="I52" s="391"/>
      <c r="J52" s="391"/>
      <c r="K52" s="391"/>
      <c r="L52" s="391"/>
      <c r="M52" s="391"/>
      <c r="N52" s="611"/>
      <c r="O52" s="627"/>
      <c r="P52" s="627"/>
      <c r="Q52" s="627"/>
      <c r="R52" s="627"/>
      <c r="S52" s="631"/>
      <c r="T52" s="627"/>
      <c r="U52" s="627"/>
      <c r="V52" s="627"/>
      <c r="W52" s="627"/>
      <c r="X52" s="1664"/>
      <c r="Y52" s="627"/>
    </row>
    <row r="53" spans="1:25" ht="15" x14ac:dyDescent="0.2">
      <c r="A53" s="621"/>
      <c r="B53" s="1091"/>
      <c r="C53" s="626"/>
      <c r="D53" s="627"/>
      <c r="E53" s="627"/>
      <c r="F53" s="627"/>
      <c r="G53" s="391"/>
      <c r="H53" s="391"/>
      <c r="I53" s="391"/>
      <c r="J53" s="391"/>
      <c r="K53" s="391"/>
      <c r="L53" s="391"/>
      <c r="M53" s="391"/>
      <c r="N53" s="611"/>
      <c r="O53" s="627"/>
      <c r="P53" s="184"/>
      <c r="Q53" s="184"/>
      <c r="R53" s="184"/>
      <c r="S53" s="184"/>
      <c r="T53" s="184"/>
      <c r="U53" s="184"/>
      <c r="V53" s="184"/>
      <c r="W53" s="627"/>
      <c r="X53" s="1664"/>
      <c r="Y53" s="627"/>
    </row>
    <row r="54" spans="1:25" ht="18.75" x14ac:dyDescent="0.3">
      <c r="A54" s="621"/>
      <c r="B54" s="1091"/>
      <c r="C54" s="626"/>
      <c r="D54" s="628" t="s">
        <v>2128</v>
      </c>
      <c r="E54" s="631"/>
      <c r="F54" s="631"/>
      <c r="G54" s="391"/>
      <c r="H54" s="610">
        <f ca="1">HydroRefineryCalcs!F117</f>
        <v>17316.221609700751</v>
      </c>
      <c r="I54" s="391"/>
      <c r="J54" s="391"/>
      <c r="K54" s="391"/>
      <c r="L54" s="391"/>
      <c r="M54" s="391"/>
      <c r="N54" s="611"/>
      <c r="O54" s="627"/>
      <c r="P54" s="184"/>
      <c r="Q54" s="184"/>
      <c r="R54" s="184"/>
      <c r="S54" s="184"/>
      <c r="T54" s="184"/>
      <c r="U54" s="184"/>
      <c r="V54" s="184"/>
      <c r="W54" s="627"/>
      <c r="X54" s="1664"/>
      <c r="Y54" s="627"/>
    </row>
    <row r="55" spans="1:25" ht="15" x14ac:dyDescent="0.2">
      <c r="A55" s="621"/>
      <c r="B55" s="1091"/>
      <c r="C55" s="626"/>
      <c r="D55" s="629" t="s">
        <v>1105</v>
      </c>
      <c r="E55" s="627"/>
      <c r="F55" s="627"/>
      <c r="G55" s="391" t="s">
        <v>1100</v>
      </c>
      <c r="H55" s="657">
        <f>H9*(W15+W16)</f>
        <v>18252</v>
      </c>
      <c r="I55" s="391">
        <v>1100</v>
      </c>
      <c r="J55" s="391">
        <v>169100</v>
      </c>
      <c r="K55" s="391">
        <v>39000</v>
      </c>
      <c r="L55" s="391">
        <v>38545</v>
      </c>
      <c r="M55" s="391">
        <v>28000</v>
      </c>
      <c r="N55" s="611">
        <v>20000</v>
      </c>
      <c r="O55" s="627"/>
      <c r="P55" s="184"/>
      <c r="Q55" s="184"/>
      <c r="R55" s="184"/>
      <c r="S55" s="184"/>
      <c r="T55" s="184"/>
      <c r="U55" s="184"/>
      <c r="V55" s="184"/>
      <c r="W55" s="627"/>
      <c r="X55" s="1664"/>
      <c r="Y55" s="627"/>
    </row>
    <row r="56" spans="1:25" ht="15" x14ac:dyDescent="0.2">
      <c r="A56" s="621"/>
      <c r="B56" s="1091"/>
      <c r="C56" s="626"/>
      <c r="D56" s="627"/>
      <c r="E56" s="627"/>
      <c r="F56" s="627"/>
      <c r="G56" s="391"/>
      <c r="H56" s="391"/>
      <c r="I56" s="391"/>
      <c r="J56" s="391"/>
      <c r="K56" s="391"/>
      <c r="L56" s="391"/>
      <c r="M56" s="391"/>
      <c r="N56" s="611"/>
      <c r="O56" s="627"/>
      <c r="P56" s="184"/>
      <c r="Q56" s="184"/>
      <c r="R56" s="184"/>
      <c r="S56" s="184"/>
      <c r="T56" s="184"/>
      <c r="U56" s="184"/>
      <c r="V56" s="184"/>
      <c r="W56" s="627"/>
      <c r="X56" s="1664"/>
      <c r="Y56" s="627"/>
    </row>
    <row r="57" spans="1:25" ht="15" x14ac:dyDescent="0.2">
      <c r="A57" s="621"/>
      <c r="B57" s="1091"/>
      <c r="C57" s="626"/>
      <c r="D57" s="627"/>
      <c r="E57" s="627" t="s">
        <v>716</v>
      </c>
      <c r="F57" s="627"/>
      <c r="G57" s="391" t="s">
        <v>637</v>
      </c>
      <c r="H57" s="391">
        <f ca="1">HydroRefineryCalcs!D145/HydroRefineryCalcs!F117*'Energy &amp; Unit Conversions'!E93/'Energy &amp; Unit Conversions'!E26</f>
        <v>915.89943759057337</v>
      </c>
      <c r="I57" s="391">
        <v>25</v>
      </c>
      <c r="J57" s="391">
        <v>140</v>
      </c>
      <c r="K57" s="391" t="s">
        <v>1107</v>
      </c>
      <c r="L57" s="391" t="s">
        <v>1099</v>
      </c>
      <c r="M57" s="391" t="s">
        <v>1099</v>
      </c>
      <c r="N57" s="611"/>
      <c r="O57" s="627"/>
      <c r="P57" s="184"/>
      <c r="Q57" s="184"/>
      <c r="R57" s="184"/>
      <c r="S57" s="184"/>
      <c r="T57" s="184"/>
      <c r="U57" s="184"/>
      <c r="V57" s="184"/>
      <c r="W57" s="627"/>
      <c r="X57" s="1664"/>
      <c r="Y57" s="627"/>
    </row>
    <row r="58" spans="1:25" ht="15" x14ac:dyDescent="0.2">
      <c r="A58" s="621"/>
      <c r="B58" s="1091"/>
      <c r="C58" s="626"/>
      <c r="D58" s="627"/>
      <c r="E58" s="631" t="s">
        <v>635</v>
      </c>
      <c r="F58" s="627"/>
      <c r="G58" s="391" t="s">
        <v>136</v>
      </c>
      <c r="H58" s="391">
        <f ca="1">IF(H57&lt;150,$R$45,IF(H57&lt;400,$S$45,$T$45))</f>
        <v>211</v>
      </c>
      <c r="I58" s="391">
        <v>32</v>
      </c>
      <c r="J58" s="391">
        <v>456.84</v>
      </c>
      <c r="K58" s="391" t="s">
        <v>1107</v>
      </c>
      <c r="L58" s="391">
        <f>U45</f>
        <v>85.248512891695995</v>
      </c>
      <c r="M58" s="391"/>
      <c r="N58" s="611"/>
      <c r="O58" s="627"/>
      <c r="P58" s="184"/>
      <c r="Q58" s="184"/>
      <c r="R58" s="184"/>
      <c r="S58" s="184"/>
      <c r="T58" s="184"/>
      <c r="U58" s="184"/>
      <c r="V58" s="184"/>
      <c r="W58" s="627"/>
      <c r="X58" s="1664"/>
      <c r="Y58" s="627"/>
    </row>
    <row r="59" spans="1:25" ht="15" x14ac:dyDescent="0.2">
      <c r="A59" s="621"/>
      <c r="B59" s="1091"/>
      <c r="C59" s="626"/>
      <c r="D59" s="627"/>
      <c r="E59" s="631"/>
      <c r="F59" s="627"/>
      <c r="G59" s="391" t="s">
        <v>637</v>
      </c>
      <c r="H59" s="391">
        <f ca="1">IF('Energy &amp; Unit Conversions'!$E$10=1,H58,H58/'Energy &amp; Unit Conversions'!$K$59)/'Energy &amp; Unit Conversions'!$P$25/'Energy &amp; Unit Conversions'!$G$82</f>
        <v>215.04168248129557</v>
      </c>
      <c r="I59" s="391">
        <f>IF('Energy &amp; Unit Conversions'!$E$10=1,I58,I58/'Energy &amp; Unit Conversions'!$K$59)/'Energy &amp; Unit Conversions'!$P$25/'Energy &amp; Unit Conversions'!$G$82</f>
        <v>32.612956584841029</v>
      </c>
      <c r="J59" s="391">
        <f>IF('Energy &amp; Unit Conversions'!$E$10=1,J58,J58/'Energy &amp; Unit Conversions'!$K$59)/'Energy &amp; Unit Conversions'!$P$25/'Energy &amp; Unit Conversions'!$G$82</f>
        <v>465.59072144433674</v>
      </c>
      <c r="K59" s="391"/>
      <c r="L59" s="391">
        <f>IF('Energy &amp; Unit Conversions'!$E$10=1,L58,L58/'Energy &amp; Unit Conversions'!$K$59)/'Energy &amp; Unit Conversions'!$P$25/'Energy &amp; Unit Conversions'!$G$82</f>
        <v>86.881439058098209</v>
      </c>
      <c r="M59" s="391"/>
      <c r="N59" s="611"/>
      <c r="O59" s="627"/>
      <c r="P59" s="184"/>
      <c r="Q59" s="184"/>
      <c r="R59" s="184"/>
      <c r="S59" s="184"/>
      <c r="T59" s="184"/>
      <c r="U59" s="184"/>
      <c r="V59" s="184"/>
      <c r="W59" s="627"/>
      <c r="X59" s="1664"/>
      <c r="Y59" s="627"/>
    </row>
    <row r="60" spans="1:25" ht="15" x14ac:dyDescent="0.2">
      <c r="A60" s="621"/>
      <c r="B60" s="1091"/>
      <c r="C60" s="626"/>
      <c r="D60" s="627"/>
      <c r="E60" s="631" t="s">
        <v>451</v>
      </c>
      <c r="F60" s="627"/>
      <c r="G60" s="391" t="s">
        <v>665</v>
      </c>
      <c r="H60" s="391">
        <f ca="1">IF(H57&lt;150,$R$47,IF(H57&lt;400,$S$47,$T$47))</f>
        <v>6</v>
      </c>
      <c r="I60" s="391">
        <f>I61/'Energy &amp; Unit Conversions'!$G$88</f>
        <v>1.2</v>
      </c>
      <c r="J60" s="391">
        <f>J61/'Energy &amp; Unit Conversions'!$G$88</f>
        <v>2</v>
      </c>
      <c r="K60" s="391" t="s">
        <v>1107</v>
      </c>
      <c r="L60" s="391">
        <f>U47</f>
        <v>5.4511219052033342</v>
      </c>
      <c r="M60" s="391"/>
      <c r="N60" s="611"/>
      <c r="O60" s="627"/>
      <c r="P60" s="184"/>
      <c r="Q60" s="184"/>
      <c r="R60" s="184"/>
      <c r="S60" s="184"/>
      <c r="T60" s="184"/>
      <c r="U60" s="184"/>
      <c r="V60" s="184"/>
      <c r="W60" s="627"/>
      <c r="X60" s="1664"/>
      <c r="Y60" s="627"/>
    </row>
    <row r="61" spans="1:25" ht="15" x14ac:dyDescent="0.2">
      <c r="A61" s="621"/>
      <c r="B61" s="1091"/>
      <c r="C61" s="626"/>
      <c r="D61" s="627"/>
      <c r="E61" s="627"/>
      <c r="F61" s="627"/>
      <c r="G61" s="391" t="s">
        <v>136</v>
      </c>
      <c r="H61" s="391">
        <f ca="1">H60*'Energy &amp; Unit Conversions'!$G$88</f>
        <v>21.6</v>
      </c>
      <c r="I61" s="391">
        <v>4.32</v>
      </c>
      <c r="J61" s="391">
        <v>7.2</v>
      </c>
      <c r="K61" s="391"/>
      <c r="L61" s="391"/>
      <c r="M61" s="391"/>
      <c r="N61" s="611"/>
      <c r="O61" s="627"/>
      <c r="P61" s="184"/>
      <c r="Q61" s="184"/>
      <c r="R61" s="184"/>
      <c r="S61" s="184"/>
      <c r="T61" s="184"/>
      <c r="U61" s="184"/>
      <c r="V61" s="184"/>
      <c r="W61" s="627"/>
      <c r="X61" s="1664"/>
      <c r="Y61" s="627"/>
    </row>
    <row r="62" spans="1:25" ht="15" x14ac:dyDescent="0.2">
      <c r="A62" s="621"/>
      <c r="B62" s="1091"/>
      <c r="C62" s="626"/>
      <c r="D62" s="627"/>
      <c r="E62" s="631" t="s">
        <v>485</v>
      </c>
      <c r="F62" s="627"/>
      <c r="G62" s="391" t="s">
        <v>496</v>
      </c>
      <c r="H62" s="391">
        <f ca="1">IF(H57&lt;150,$R$48,IF(H57&lt;400,$S$48,$T$48))</f>
        <v>10</v>
      </c>
      <c r="I62" s="391">
        <f>I63/'Energy &amp; Unit Conversions'!$E$70/'Energy &amp; Unit Conversions'!$G$79</f>
        <v>6.6162780215435593</v>
      </c>
      <c r="J62" s="391">
        <f>J63/'Energy &amp; Unit Conversions'!$E$70/'Energy &amp; Unit Conversions'!$G$79</f>
        <v>30.880478790418252</v>
      </c>
      <c r="K62" s="391" t="s">
        <v>1107</v>
      </c>
      <c r="L62" s="391">
        <f>U48</f>
        <v>-6.1723781021786612</v>
      </c>
      <c r="M62" s="391"/>
      <c r="N62" s="611"/>
      <c r="O62" s="627"/>
      <c r="P62" s="184"/>
      <c r="Q62" s="184"/>
      <c r="R62" s="184"/>
      <c r="S62" s="184"/>
      <c r="T62" s="184"/>
      <c r="U62" s="184"/>
      <c r="V62" s="184"/>
      <c r="W62" s="627"/>
      <c r="X62" s="1664"/>
      <c r="Y62" s="627"/>
    </row>
    <row r="63" spans="1:25" ht="15" x14ac:dyDescent="0.2">
      <c r="A63" s="621"/>
      <c r="B63" s="1091"/>
      <c r="C63" s="626"/>
      <c r="D63" s="627"/>
      <c r="E63" s="627"/>
      <c r="F63" s="627"/>
      <c r="G63" s="391" t="s">
        <v>136</v>
      </c>
      <c r="H63" s="391">
        <f ca="1">H62*('Energy &amp; Unit Conversions'!$E$70*'Energy &amp; Unit Conversions'!$G$79)</f>
        <v>14.766610423847766</v>
      </c>
      <c r="I63" s="391">
        <v>9.77</v>
      </c>
      <c r="J63" s="391">
        <v>45.6</v>
      </c>
      <c r="K63" s="391"/>
      <c r="L63" s="391"/>
      <c r="M63" s="391"/>
      <c r="N63" s="611"/>
      <c r="O63" s="627"/>
      <c r="P63" s="184"/>
      <c r="Q63" s="184"/>
      <c r="R63" s="184"/>
      <c r="S63" s="184"/>
      <c r="T63" s="184"/>
      <c r="U63" s="184"/>
      <c r="V63" s="184"/>
      <c r="W63" s="627"/>
      <c r="X63" s="1664"/>
      <c r="Y63" s="627"/>
    </row>
    <row r="64" spans="1:25" ht="15" x14ac:dyDescent="0.2">
      <c r="A64" s="621"/>
      <c r="B64" s="1091"/>
      <c r="C64" s="626"/>
      <c r="D64" s="627"/>
      <c r="E64" s="627"/>
      <c r="F64" s="627"/>
      <c r="G64" s="391"/>
      <c r="H64" s="391"/>
      <c r="I64" s="391"/>
      <c r="J64" s="391"/>
      <c r="K64" s="391"/>
      <c r="L64" s="391"/>
      <c r="M64" s="391"/>
      <c r="N64" s="611"/>
      <c r="O64" s="627"/>
      <c r="P64" s="184"/>
      <c r="Q64" s="184"/>
      <c r="R64" s="184"/>
      <c r="S64" s="184"/>
      <c r="T64" s="184"/>
      <c r="U64" s="184"/>
      <c r="V64" s="184"/>
      <c r="W64" s="627"/>
      <c r="X64" s="1664"/>
      <c r="Y64" s="627"/>
    </row>
    <row r="65" spans="1:25" ht="15" x14ac:dyDescent="0.2">
      <c r="A65" s="621"/>
      <c r="B65" s="1091"/>
      <c r="C65" s="626"/>
      <c r="D65" s="627"/>
      <c r="E65" s="631" t="s">
        <v>1241</v>
      </c>
      <c r="F65" s="627"/>
      <c r="G65" s="391" t="s">
        <v>579</v>
      </c>
      <c r="H65" s="658">
        <v>15</v>
      </c>
      <c r="I65" s="391">
        <v>12</v>
      </c>
      <c r="J65" s="391">
        <v>15</v>
      </c>
      <c r="K65" s="391">
        <v>15.7</v>
      </c>
      <c r="L65" s="391"/>
      <c r="M65" s="391"/>
      <c r="N65" s="611"/>
      <c r="O65" s="627"/>
      <c r="P65" s="184"/>
      <c r="Q65" s="184"/>
      <c r="R65" s="184"/>
      <c r="S65" s="184"/>
      <c r="T65" s="184"/>
      <c r="U65" s="184"/>
      <c r="V65" s="184"/>
      <c r="W65" s="627"/>
      <c r="X65" s="1664"/>
      <c r="Y65" s="627"/>
    </row>
    <row r="66" spans="1:25" ht="15" x14ac:dyDescent="0.2">
      <c r="A66" s="621"/>
      <c r="B66" s="1091"/>
      <c r="C66" s="626"/>
      <c r="D66" s="627"/>
      <c r="E66" s="631" t="s">
        <v>1242</v>
      </c>
      <c r="F66" s="627"/>
      <c r="G66" s="391" t="s">
        <v>579</v>
      </c>
      <c r="H66" s="657">
        <v>22.2</v>
      </c>
      <c r="I66" s="391"/>
      <c r="J66" s="391"/>
      <c r="K66" s="391"/>
      <c r="L66" s="391"/>
      <c r="M66" s="391"/>
      <c r="N66" s="611"/>
      <c r="O66" s="627"/>
      <c r="P66" s="184"/>
      <c r="Q66" s="184"/>
      <c r="R66" s="184"/>
      <c r="S66" s="184"/>
      <c r="T66" s="184"/>
      <c r="U66" s="184"/>
      <c r="V66" s="184"/>
      <c r="W66" s="627"/>
      <c r="X66" s="1664"/>
      <c r="Y66" s="627"/>
    </row>
    <row r="67" spans="1:25" ht="15" x14ac:dyDescent="0.2">
      <c r="A67" s="621"/>
      <c r="B67" s="1091"/>
      <c r="C67" s="626"/>
      <c r="D67" s="627"/>
      <c r="E67" s="627"/>
      <c r="F67" s="627"/>
      <c r="G67" s="391"/>
      <c r="H67" s="391"/>
      <c r="I67" s="391"/>
      <c r="J67" s="391"/>
      <c r="K67" s="391"/>
      <c r="L67" s="391"/>
      <c r="M67" s="391"/>
      <c r="N67" s="611"/>
      <c r="O67" s="627"/>
      <c r="P67" s="184"/>
      <c r="Q67" s="184"/>
      <c r="R67" s="184"/>
      <c r="S67" s="184"/>
      <c r="T67" s="184"/>
      <c r="U67" s="184"/>
      <c r="V67" s="184"/>
      <c r="W67" s="627"/>
      <c r="X67" s="1664"/>
      <c r="Y67" s="627"/>
    </row>
    <row r="68" spans="1:25" ht="18.75" x14ac:dyDescent="0.3">
      <c r="A68" s="621"/>
      <c r="B68" s="1091"/>
      <c r="C68" s="626"/>
      <c r="D68" s="628" t="s">
        <v>2129</v>
      </c>
      <c r="E68" s="631"/>
      <c r="F68" s="630"/>
      <c r="G68" s="391"/>
      <c r="H68" s="610">
        <f ca="1">CokingRefineryCalcs!E256</f>
        <v>26885.40784503843</v>
      </c>
      <c r="I68" s="391"/>
      <c r="J68" s="391"/>
      <c r="K68" s="391"/>
      <c r="L68" s="391"/>
      <c r="M68" s="391"/>
      <c r="N68" s="611"/>
      <c r="O68" s="627"/>
      <c r="P68" s="184"/>
      <c r="Q68" s="184"/>
      <c r="R68" s="184"/>
      <c r="S68" s="184"/>
      <c r="T68" s="184"/>
      <c r="U68" s="184"/>
      <c r="V68" s="184"/>
      <c r="W68" s="627"/>
      <c r="X68" s="1664"/>
      <c r="Y68" s="627"/>
    </row>
    <row r="69" spans="1:25" ht="15" x14ac:dyDescent="0.2">
      <c r="A69" s="621"/>
      <c r="B69" s="1091"/>
      <c r="C69" s="626"/>
      <c r="D69" s="629" t="s">
        <v>1105</v>
      </c>
      <c r="E69" s="627"/>
      <c r="F69" s="627"/>
      <c r="G69" s="391" t="s">
        <v>1100</v>
      </c>
      <c r="H69" s="657">
        <f>H9*W17</f>
        <v>292.93333333333334</v>
      </c>
      <c r="I69" s="391">
        <v>1000</v>
      </c>
      <c r="J69" s="391">
        <v>132700</v>
      </c>
      <c r="K69" s="391">
        <v>27000</v>
      </c>
      <c r="L69" s="391">
        <v>26722</v>
      </c>
      <c r="M69" s="391">
        <v>17000</v>
      </c>
      <c r="N69" s="611">
        <v>10000</v>
      </c>
      <c r="O69" s="627"/>
      <c r="P69" s="184"/>
      <c r="Q69" s="184"/>
      <c r="R69" s="184"/>
      <c r="S69" s="184"/>
      <c r="T69" s="184"/>
      <c r="U69" s="184"/>
      <c r="V69" s="184"/>
      <c r="W69" s="627"/>
      <c r="X69" s="1664"/>
      <c r="Y69" s="627"/>
    </row>
    <row r="70" spans="1:25" ht="15" x14ac:dyDescent="0.2">
      <c r="A70" s="621"/>
      <c r="B70" s="1091"/>
      <c r="C70" s="626"/>
      <c r="D70" s="629"/>
      <c r="E70" s="627"/>
      <c r="F70" s="627"/>
      <c r="G70" s="391"/>
      <c r="H70" s="664"/>
      <c r="I70" s="391"/>
      <c r="J70" s="391"/>
      <c r="K70" s="391"/>
      <c r="L70" s="391"/>
      <c r="M70" s="391"/>
      <c r="N70" s="611"/>
      <c r="O70" s="627"/>
      <c r="P70" s="184"/>
      <c r="Q70" s="184"/>
      <c r="R70" s="184"/>
      <c r="S70" s="184"/>
      <c r="T70" s="184"/>
      <c r="U70" s="184"/>
      <c r="V70" s="184"/>
      <c r="W70" s="627"/>
      <c r="X70" s="1664"/>
      <c r="Y70" s="627"/>
    </row>
    <row r="71" spans="1:25" ht="12" customHeight="1" x14ac:dyDescent="0.2">
      <c r="A71" s="621"/>
      <c r="B71" s="1091"/>
      <c r="C71" s="626"/>
      <c r="D71" s="627"/>
      <c r="E71" s="627" t="s">
        <v>716</v>
      </c>
      <c r="F71" s="627"/>
      <c r="G71" s="391" t="s">
        <v>637</v>
      </c>
      <c r="H71" s="391">
        <f ca="1">CokingRefineryCalcs!D283/CokingRefineryCalcs!E256*'Energy &amp; Unit Conversions'!E93/'Energy &amp; Unit Conversions'!E26</f>
        <v>235.0573854963572</v>
      </c>
      <c r="I71" s="391">
        <v>25</v>
      </c>
      <c r="J71" s="391">
        <v>555</v>
      </c>
      <c r="K71" s="391" t="s">
        <v>1107</v>
      </c>
      <c r="L71" s="391" t="s">
        <v>1099</v>
      </c>
      <c r="M71" s="391" t="s">
        <v>1099</v>
      </c>
      <c r="N71" s="611" t="s">
        <v>1112</v>
      </c>
      <c r="O71" s="627"/>
      <c r="P71" s="627"/>
      <c r="Q71" s="627"/>
      <c r="R71" s="627"/>
      <c r="S71" s="627"/>
      <c r="T71" s="627"/>
      <c r="U71" s="627"/>
      <c r="V71" s="627"/>
      <c r="W71" s="627"/>
      <c r="X71" s="1664"/>
      <c r="Y71" s="627"/>
    </row>
    <row r="72" spans="1:25" ht="15" x14ac:dyDescent="0.2">
      <c r="A72" s="621"/>
      <c r="B72" s="1091"/>
      <c r="C72" s="626"/>
      <c r="D72" s="627"/>
      <c r="E72" s="630" t="s">
        <v>308</v>
      </c>
      <c r="F72" s="630" t="s">
        <v>624</v>
      </c>
      <c r="G72" s="610" t="s">
        <v>623</v>
      </c>
      <c r="H72" s="391"/>
      <c r="I72" s="391"/>
      <c r="J72" s="391"/>
      <c r="K72" s="391"/>
      <c r="L72" s="391"/>
      <c r="M72" s="391"/>
      <c r="N72" s="611"/>
      <c r="O72" s="627"/>
      <c r="P72" s="627"/>
      <c r="Q72" s="627"/>
      <c r="R72" s="627"/>
      <c r="S72" s="627"/>
      <c r="T72" s="627"/>
      <c r="U72" s="627"/>
      <c r="V72" s="627"/>
      <c r="W72" s="627"/>
      <c r="X72" s="1664"/>
      <c r="Y72" s="627"/>
    </row>
    <row r="73" spans="1:25" ht="15" x14ac:dyDescent="0.2">
      <c r="A73" s="621"/>
      <c r="B73" s="1091"/>
      <c r="C73" s="626"/>
      <c r="D73" s="627"/>
      <c r="E73" s="631" t="s">
        <v>635</v>
      </c>
      <c r="F73" s="627"/>
      <c r="G73" s="391" t="s">
        <v>136</v>
      </c>
      <c r="H73" s="391">
        <f ca="1">IF(H71&lt;150,$R$45,IF(H71&lt;400,$S$45,$T$45))</f>
        <v>158</v>
      </c>
      <c r="I73" s="391">
        <v>159</v>
      </c>
      <c r="J73" s="391">
        <v>240</v>
      </c>
      <c r="K73" s="391" t="s">
        <v>1107</v>
      </c>
      <c r="L73" s="391"/>
      <c r="M73" s="391"/>
      <c r="N73" s="611">
        <f>49/'Energy &amp; Unit Conversions'!$E$93*'Energy &amp; Unit Conversions'!$G$84</f>
        <v>51.697736778380005</v>
      </c>
      <c r="O73" s="627"/>
      <c r="P73" s="627"/>
      <c r="Q73" s="627"/>
      <c r="R73" s="627"/>
      <c r="S73" s="627"/>
      <c r="T73" s="627"/>
      <c r="U73" s="627"/>
      <c r="V73" s="627"/>
      <c r="W73" s="627"/>
      <c r="X73" s="1664"/>
      <c r="Y73" s="627"/>
    </row>
    <row r="74" spans="1:25" ht="15" x14ac:dyDescent="0.2">
      <c r="A74" s="621"/>
      <c r="B74" s="1091"/>
      <c r="C74" s="626"/>
      <c r="D74" s="627"/>
      <c r="E74" s="631"/>
      <c r="F74" s="627"/>
      <c r="G74" s="391" t="s">
        <v>637</v>
      </c>
      <c r="H74" s="391">
        <f ca="1">IF('Energy &amp; Unit Conversions'!$E$10=1,H73,H73/'Energy &amp; Unit Conversions'!$K$59)/'Energy &amp; Unit Conversions'!$P$25/'Energy &amp; Unit Conversions'!$G$82</f>
        <v>161.0264731376526</v>
      </c>
      <c r="I74" s="391">
        <f>IF('Energy &amp; Unit Conversions'!$E$10=1,I73,I73/'Energy &amp; Unit Conversions'!$K$59)/'Energy &amp; Unit Conversions'!$P$25/'Energy &amp; Unit Conversions'!$G$82</f>
        <v>162.04562803092887</v>
      </c>
      <c r="J74" s="391">
        <f>IF('Energy &amp; Unit Conversions'!$E$10=1,J73,J73/'Energy &amp; Unit Conversions'!$K$59)/'Energy &amp; Unit Conversions'!$P$25/'Energy &amp; Unit Conversions'!$G$82</f>
        <v>244.59717438630773</v>
      </c>
      <c r="K74" s="391"/>
      <c r="L74" s="391"/>
      <c r="M74" s="391"/>
      <c r="N74" s="611"/>
      <c r="O74" s="627"/>
      <c r="P74" s="627"/>
      <c r="Q74" s="627"/>
      <c r="R74" s="627"/>
      <c r="S74" s="627"/>
      <c r="T74" s="627"/>
      <c r="U74" s="627"/>
      <c r="V74" s="627"/>
      <c r="W74" s="627"/>
      <c r="X74" s="1664"/>
      <c r="Y74" s="627"/>
    </row>
    <row r="75" spans="1:25" ht="15" x14ac:dyDescent="0.2">
      <c r="A75" s="621"/>
      <c r="B75" s="1091"/>
      <c r="C75" s="626"/>
      <c r="D75" s="627"/>
      <c r="E75" s="631" t="s">
        <v>451</v>
      </c>
      <c r="F75" s="627"/>
      <c r="G75" s="391" t="s">
        <v>665</v>
      </c>
      <c r="H75" s="391">
        <f ca="1">IF(H71&lt;150,$R$47,IF(H71&lt;400,$S$47,$T$47))</f>
        <v>3</v>
      </c>
      <c r="I75" s="391">
        <f>I76/'Energy &amp; Unit Conversions'!$G$88</f>
        <v>1.7</v>
      </c>
      <c r="J75" s="391">
        <f>J76/'Energy &amp; Unit Conversions'!$G$88</f>
        <v>3</v>
      </c>
      <c r="K75" s="391" t="s">
        <v>1107</v>
      </c>
      <c r="L75" s="391"/>
      <c r="M75" s="391"/>
      <c r="N75" s="611">
        <v>1.2</v>
      </c>
      <c r="O75" s="627"/>
      <c r="P75" s="627"/>
      <c r="Q75" s="627"/>
      <c r="R75" s="627"/>
      <c r="S75" s="627"/>
      <c r="T75" s="627"/>
      <c r="U75" s="627"/>
      <c r="V75" s="627"/>
      <c r="W75" s="627"/>
      <c r="X75" s="1664"/>
      <c r="Y75" s="627"/>
    </row>
    <row r="76" spans="1:25" ht="15" x14ac:dyDescent="0.2">
      <c r="A76" s="621"/>
      <c r="B76" s="1091"/>
      <c r="C76" s="626"/>
      <c r="D76" s="627"/>
      <c r="E76" s="631"/>
      <c r="F76" s="627"/>
      <c r="G76" s="391" t="s">
        <v>136</v>
      </c>
      <c r="H76" s="391">
        <f ca="1">H75*'Energy &amp; Unit Conversions'!$G$88</f>
        <v>10.8</v>
      </c>
      <c r="I76" s="391">
        <v>6.12</v>
      </c>
      <c r="J76" s="391">
        <v>10.8</v>
      </c>
      <c r="K76" s="391"/>
      <c r="L76" s="391"/>
      <c r="M76" s="391"/>
      <c r="N76" s="611"/>
      <c r="O76" s="627"/>
      <c r="P76" s="627"/>
      <c r="Q76" s="627"/>
      <c r="R76" s="627"/>
      <c r="S76" s="627"/>
      <c r="T76" s="627"/>
      <c r="U76" s="627"/>
      <c r="V76" s="627"/>
      <c r="W76" s="627"/>
      <c r="X76" s="1664"/>
      <c r="Y76" s="627"/>
    </row>
    <row r="77" spans="1:25" ht="15" x14ac:dyDescent="0.2">
      <c r="A77" s="621"/>
      <c r="B77" s="1091"/>
      <c r="C77" s="626"/>
      <c r="D77" s="627"/>
      <c r="E77" s="631" t="s">
        <v>485</v>
      </c>
      <c r="F77" s="627"/>
      <c r="G77" s="391" t="s">
        <v>496</v>
      </c>
      <c r="H77" s="391">
        <f ca="1">IF(H71&lt;150,$R$48,IF(H71&lt;400,$S$48,$T$48))</f>
        <v>8</v>
      </c>
      <c r="I77" s="391">
        <f>I78/'Energy &amp; Unit Conversions'!$E$70/'Energy &amp; Unit Conversions'!$G$79</f>
        <v>2.8645707299006409</v>
      </c>
      <c r="J77" s="391">
        <f>J78/'Energy &amp; Unit Conversions'!$E$70/'Energy &amp; Unit Conversions'!$G$79</f>
        <v>8.803645269198185</v>
      </c>
      <c r="K77" s="391" t="s">
        <v>1107</v>
      </c>
      <c r="L77" s="391"/>
      <c r="M77" s="391"/>
      <c r="N77" s="611" t="s">
        <v>1114</v>
      </c>
      <c r="O77" s="627"/>
      <c r="P77" s="627"/>
      <c r="Q77" s="627"/>
      <c r="R77" s="627"/>
      <c r="S77" s="627"/>
      <c r="T77" s="627"/>
      <c r="U77" s="627"/>
      <c r="V77" s="627"/>
      <c r="W77" s="627"/>
      <c r="X77" s="1664"/>
      <c r="Y77" s="627"/>
    </row>
    <row r="78" spans="1:25" ht="15" x14ac:dyDescent="0.2">
      <c r="A78" s="621"/>
      <c r="B78" s="1091"/>
      <c r="C78" s="626"/>
      <c r="D78" s="627"/>
      <c r="E78" s="631"/>
      <c r="F78" s="627"/>
      <c r="G78" s="391" t="s">
        <v>136</v>
      </c>
      <c r="H78" s="391">
        <f ca="1">H77*('Energy &amp; Unit Conversions'!$E$70*'Energy &amp; Unit Conversions'!$G$79)</f>
        <v>11.813288339078213</v>
      </c>
      <c r="I78" s="391">
        <v>4.2300000000000004</v>
      </c>
      <c r="J78" s="391">
        <v>13</v>
      </c>
      <c r="K78" s="391"/>
      <c r="L78" s="391"/>
      <c r="M78" s="391"/>
      <c r="N78" s="611"/>
      <c r="O78" s="627"/>
      <c r="P78" s="627"/>
      <c r="Q78" s="627"/>
      <c r="R78" s="627"/>
      <c r="S78" s="627"/>
      <c r="T78" s="627"/>
      <c r="U78" s="627"/>
      <c r="V78" s="627"/>
      <c r="W78" s="627"/>
      <c r="X78" s="1664"/>
      <c r="Y78" s="627"/>
    </row>
    <row r="79" spans="1:25" ht="15" x14ac:dyDescent="0.2">
      <c r="A79" s="621"/>
      <c r="B79" s="1091"/>
      <c r="C79" s="626"/>
      <c r="D79" s="627"/>
      <c r="E79" s="631"/>
      <c r="F79" s="627"/>
      <c r="G79" s="391"/>
      <c r="H79" s="391"/>
      <c r="I79" s="391"/>
      <c r="J79" s="391"/>
      <c r="K79" s="391"/>
      <c r="L79" s="391"/>
      <c r="M79" s="391"/>
      <c r="N79" s="611"/>
      <c r="O79" s="627"/>
      <c r="P79" s="627"/>
      <c r="Q79" s="627"/>
      <c r="R79" s="627"/>
      <c r="S79" s="627"/>
      <c r="T79" s="627"/>
      <c r="U79" s="627"/>
      <c r="V79" s="627"/>
      <c r="W79" s="627"/>
      <c r="X79" s="1664"/>
      <c r="Y79" s="627"/>
    </row>
    <row r="80" spans="1:25" ht="15" x14ac:dyDescent="0.2">
      <c r="A80" s="621"/>
      <c r="B80" s="1091"/>
      <c r="C80" s="626"/>
      <c r="D80" s="627"/>
      <c r="E80" s="631" t="s">
        <v>1243</v>
      </c>
      <c r="F80" s="627"/>
      <c r="G80" s="391" t="s">
        <v>579</v>
      </c>
      <c r="H80" s="658">
        <v>13</v>
      </c>
      <c r="I80" s="391">
        <v>13.5</v>
      </c>
      <c r="J80" s="391">
        <v>14.1</v>
      </c>
      <c r="K80" s="391">
        <v>13.8</v>
      </c>
      <c r="L80" s="391">
        <v>13.845000000000001</v>
      </c>
      <c r="M80" s="391"/>
      <c r="N80" s="611"/>
      <c r="O80" s="627"/>
      <c r="P80" s="627"/>
      <c r="Q80" s="629"/>
      <c r="R80" s="627"/>
      <c r="S80" s="627"/>
      <c r="T80" s="627"/>
      <c r="U80" s="627"/>
      <c r="V80" s="627"/>
      <c r="W80" s="627"/>
      <c r="X80" s="1664"/>
      <c r="Y80" s="627"/>
    </row>
    <row r="81" spans="1:25" ht="15" x14ac:dyDescent="0.2">
      <c r="A81" s="621"/>
      <c r="B81" s="1091"/>
      <c r="C81" s="626"/>
      <c r="D81" s="627"/>
      <c r="E81" s="631" t="s">
        <v>1242</v>
      </c>
      <c r="F81" s="627"/>
      <c r="G81" s="391" t="s">
        <v>579</v>
      </c>
      <c r="H81" s="657">
        <v>22.2</v>
      </c>
      <c r="I81" s="391"/>
      <c r="J81" s="391"/>
      <c r="K81" s="391"/>
      <c r="L81" s="391"/>
      <c r="M81" s="391"/>
      <c r="N81" s="611"/>
      <c r="O81" s="627"/>
      <c r="P81" s="627"/>
      <c r="Q81" s="627"/>
      <c r="R81" s="627"/>
      <c r="S81" s="627"/>
      <c r="T81" s="627"/>
      <c r="U81" s="627"/>
      <c r="V81" s="627"/>
      <c r="W81" s="627"/>
      <c r="X81" s="1664"/>
      <c r="Y81" s="627"/>
    </row>
    <row r="82" spans="1:25" ht="15" x14ac:dyDescent="0.2">
      <c r="A82" s="621"/>
      <c r="B82" s="1091"/>
      <c r="C82" s="626"/>
      <c r="D82" s="627"/>
      <c r="E82" s="627"/>
      <c r="F82" s="627"/>
      <c r="G82" s="391"/>
      <c r="H82" s="391"/>
      <c r="I82" s="391"/>
      <c r="J82" s="391"/>
      <c r="K82" s="391"/>
      <c r="L82" s="391"/>
      <c r="M82" s="391"/>
      <c r="N82" s="611"/>
      <c r="O82" s="627"/>
      <c r="P82" s="184"/>
      <c r="Q82" s="184"/>
      <c r="R82" s="184"/>
      <c r="S82" s="184"/>
      <c r="T82" s="184"/>
      <c r="U82" s="184"/>
      <c r="V82" s="627"/>
      <c r="W82" s="627"/>
      <c r="X82" s="1664"/>
      <c r="Y82" s="627"/>
    </row>
    <row r="83" spans="1:25" ht="18.75" x14ac:dyDescent="0.3">
      <c r="A83" s="621"/>
      <c r="B83" s="1091"/>
      <c r="C83" s="626"/>
      <c r="D83" s="628" t="s">
        <v>2130</v>
      </c>
      <c r="E83" s="631"/>
      <c r="F83" s="630"/>
      <c r="G83" s="391"/>
      <c r="H83" s="610">
        <f ca="1">HydroRefineryCalcs!E247</f>
        <v>26885.40784503843</v>
      </c>
      <c r="I83" s="391"/>
      <c r="J83" s="391"/>
      <c r="K83" s="391"/>
      <c r="L83" s="391"/>
      <c r="M83" s="391"/>
      <c r="N83" s="611"/>
      <c r="O83" s="627"/>
      <c r="P83" s="184"/>
      <c r="Q83" s="184"/>
      <c r="R83" s="184"/>
      <c r="S83" s="184"/>
      <c r="T83" s="184"/>
      <c r="U83" s="184"/>
      <c r="V83" s="627"/>
      <c r="W83" s="627"/>
      <c r="X83" s="1664"/>
      <c r="Y83" s="627"/>
    </row>
    <row r="84" spans="1:25" ht="15" x14ac:dyDescent="0.2">
      <c r="A84" s="621"/>
      <c r="B84" s="1091"/>
      <c r="C84" s="626"/>
      <c r="D84" s="629" t="s">
        <v>1105</v>
      </c>
      <c r="E84" s="627"/>
      <c r="F84" s="627"/>
      <c r="G84" s="391" t="s">
        <v>1100</v>
      </c>
      <c r="H84" s="657">
        <f>H9*W17</f>
        <v>292.93333333333334</v>
      </c>
      <c r="I84" s="391">
        <v>1000</v>
      </c>
      <c r="J84" s="391">
        <v>132700</v>
      </c>
      <c r="K84" s="391">
        <v>27000</v>
      </c>
      <c r="L84" s="391">
        <v>26722</v>
      </c>
      <c r="M84" s="391">
        <v>17000</v>
      </c>
      <c r="N84" s="611">
        <v>10000</v>
      </c>
      <c r="O84" s="627"/>
      <c r="P84" s="184"/>
      <c r="Q84" s="184"/>
      <c r="R84" s="184"/>
      <c r="S84" s="184"/>
      <c r="T84" s="184"/>
      <c r="U84" s="184"/>
      <c r="V84" s="627"/>
      <c r="W84" s="627"/>
      <c r="X84" s="1664"/>
      <c r="Y84" s="627"/>
    </row>
    <row r="85" spans="1:25" ht="15" x14ac:dyDescent="0.2">
      <c r="A85" s="621"/>
      <c r="B85" s="1091"/>
      <c r="C85" s="626"/>
      <c r="D85" s="629"/>
      <c r="E85" s="627"/>
      <c r="F85" s="627"/>
      <c r="G85" s="391"/>
      <c r="H85" s="664"/>
      <c r="I85" s="391"/>
      <c r="J85" s="391"/>
      <c r="K85" s="391"/>
      <c r="L85" s="391"/>
      <c r="M85" s="391"/>
      <c r="N85" s="611"/>
      <c r="O85" s="627"/>
      <c r="P85" s="184"/>
      <c r="Q85" s="184"/>
      <c r="R85" s="184"/>
      <c r="S85" s="184"/>
      <c r="T85" s="184"/>
      <c r="U85" s="184"/>
      <c r="V85" s="627"/>
      <c r="W85" s="627"/>
      <c r="X85" s="1664"/>
      <c r="Y85" s="627"/>
    </row>
    <row r="86" spans="1:25" ht="15" x14ac:dyDescent="0.2">
      <c r="A86" s="621"/>
      <c r="B86" s="1091"/>
      <c r="C86" s="626"/>
      <c r="D86" s="627"/>
      <c r="E86" s="627" t="s">
        <v>716</v>
      </c>
      <c r="F86" s="627"/>
      <c r="G86" s="391" t="s">
        <v>637</v>
      </c>
      <c r="H86" s="391">
        <f ca="1">HydroRefineryCalcs!D274/HydroRefineryCalcs!E247*'Energy &amp; Unit Conversions'!E93/'Energy &amp; Unit Conversions'!E26</f>
        <v>235.05738549635763</v>
      </c>
      <c r="I86" s="391">
        <v>25</v>
      </c>
      <c r="J86" s="391">
        <v>555</v>
      </c>
      <c r="K86" s="391" t="s">
        <v>1107</v>
      </c>
      <c r="L86" s="391" t="s">
        <v>1099</v>
      </c>
      <c r="M86" s="391" t="s">
        <v>1099</v>
      </c>
      <c r="N86" s="611" t="s">
        <v>1112</v>
      </c>
      <c r="O86" s="627"/>
      <c r="P86" s="184"/>
      <c r="Q86" s="184"/>
      <c r="R86" s="184"/>
      <c r="S86" s="184"/>
      <c r="T86" s="184"/>
      <c r="U86" s="184"/>
      <c r="V86" s="627"/>
      <c r="W86" s="627"/>
      <c r="X86" s="1664"/>
      <c r="Y86" s="627"/>
    </row>
    <row r="87" spans="1:25" ht="15" x14ac:dyDescent="0.2">
      <c r="A87" s="621"/>
      <c r="B87" s="1091"/>
      <c r="C87" s="626"/>
      <c r="D87" s="627"/>
      <c r="E87" s="630" t="s">
        <v>308</v>
      </c>
      <c r="F87" s="630" t="s">
        <v>624</v>
      </c>
      <c r="G87" s="610" t="s">
        <v>623</v>
      </c>
      <c r="H87" s="391"/>
      <c r="I87" s="391"/>
      <c r="J87" s="391"/>
      <c r="K87" s="391"/>
      <c r="L87" s="391"/>
      <c r="M87" s="391"/>
      <c r="N87" s="611"/>
      <c r="O87" s="627"/>
      <c r="P87" s="184"/>
      <c r="Q87" s="184"/>
      <c r="R87" s="184"/>
      <c r="S87" s="184"/>
      <c r="T87" s="184"/>
      <c r="U87" s="184"/>
      <c r="V87" s="627"/>
      <c r="W87" s="627"/>
      <c r="X87" s="1664"/>
      <c r="Y87" s="627"/>
    </row>
    <row r="88" spans="1:25" ht="15" x14ac:dyDescent="0.2">
      <c r="A88" s="621"/>
      <c r="B88" s="1091"/>
      <c r="C88" s="626"/>
      <c r="D88" s="627"/>
      <c r="E88" s="631" t="s">
        <v>635</v>
      </c>
      <c r="F88" s="627"/>
      <c r="G88" s="391" t="s">
        <v>136</v>
      </c>
      <c r="H88" s="391">
        <f ca="1">IF(H86&lt;150,$R$45,IF(H86&lt;400,$S$45,$T$45))</f>
        <v>158</v>
      </c>
      <c r="I88" s="391">
        <v>159</v>
      </c>
      <c r="J88" s="391">
        <v>240</v>
      </c>
      <c r="K88" s="391" t="s">
        <v>1107</v>
      </c>
      <c r="L88" s="391"/>
      <c r="M88" s="391"/>
      <c r="N88" s="611">
        <f>49/'Energy &amp; Unit Conversions'!$E$93*'Energy &amp; Unit Conversions'!$G$84</f>
        <v>51.697736778380005</v>
      </c>
      <c r="O88" s="627"/>
      <c r="P88" s="184"/>
      <c r="Q88" s="184"/>
      <c r="R88" s="184"/>
      <c r="S88" s="184"/>
      <c r="T88" s="184"/>
      <c r="U88" s="184"/>
      <c r="V88" s="627"/>
      <c r="W88" s="627"/>
      <c r="X88" s="1664"/>
      <c r="Y88" s="627"/>
    </row>
    <row r="89" spans="1:25" ht="15" x14ac:dyDescent="0.2">
      <c r="A89" s="621"/>
      <c r="B89" s="1091"/>
      <c r="C89" s="626"/>
      <c r="D89" s="627"/>
      <c r="E89" s="631"/>
      <c r="F89" s="627"/>
      <c r="G89" s="391" t="s">
        <v>637</v>
      </c>
      <c r="H89" s="391">
        <f ca="1">IF('Energy &amp; Unit Conversions'!$E$10=1,H88,H88/'Energy &amp; Unit Conversions'!$K$59)/'Energy &amp; Unit Conversions'!$P$25/'Energy &amp; Unit Conversions'!$G$82</f>
        <v>161.0264731376526</v>
      </c>
      <c r="I89" s="391">
        <f>IF('Energy &amp; Unit Conversions'!$E$10=1,I88,I88/'Energy &amp; Unit Conversions'!$K$59)/'Energy &amp; Unit Conversions'!$P$25/'Energy &amp; Unit Conversions'!$G$82</f>
        <v>162.04562803092887</v>
      </c>
      <c r="J89" s="391">
        <f>IF('Energy &amp; Unit Conversions'!$E$10=1,J88,J88/'Energy &amp; Unit Conversions'!$K$59)/'Energy &amp; Unit Conversions'!$P$25/'Energy &amp; Unit Conversions'!$G$82</f>
        <v>244.59717438630773</v>
      </c>
      <c r="K89" s="391"/>
      <c r="L89" s="391"/>
      <c r="M89" s="391"/>
      <c r="N89" s="611"/>
      <c r="O89" s="627"/>
      <c r="P89" s="184"/>
      <c r="Q89" s="184"/>
      <c r="R89" s="184"/>
      <c r="S89" s="184"/>
      <c r="T89" s="184"/>
      <c r="U89" s="184"/>
      <c r="V89" s="627"/>
      <c r="W89" s="627"/>
      <c r="X89" s="1664"/>
      <c r="Y89" s="627"/>
    </row>
    <row r="90" spans="1:25" ht="15" x14ac:dyDescent="0.2">
      <c r="A90" s="621"/>
      <c r="B90" s="1091"/>
      <c r="C90" s="626"/>
      <c r="D90" s="627"/>
      <c r="E90" s="631" t="s">
        <v>451</v>
      </c>
      <c r="F90" s="627"/>
      <c r="G90" s="391" t="s">
        <v>665</v>
      </c>
      <c r="H90" s="391">
        <f ca="1">IF(H86&lt;150,$R$47,IF(H86&lt;400,$S$47,$T$47))</f>
        <v>3</v>
      </c>
      <c r="I90" s="391">
        <f>I91/'Energy &amp; Unit Conversions'!$G$88</f>
        <v>1.7</v>
      </c>
      <c r="J90" s="391">
        <f>J91/'Energy &amp; Unit Conversions'!$G$88</f>
        <v>3</v>
      </c>
      <c r="K90" s="391" t="s">
        <v>1107</v>
      </c>
      <c r="L90" s="391"/>
      <c r="M90" s="391"/>
      <c r="N90" s="611">
        <v>1.2</v>
      </c>
      <c r="O90" s="627"/>
      <c r="P90" s="184"/>
      <c r="Q90" s="184"/>
      <c r="R90" s="184"/>
      <c r="S90" s="184"/>
      <c r="T90" s="184"/>
      <c r="U90" s="184"/>
      <c r="V90" s="627"/>
      <c r="W90" s="627"/>
      <c r="X90" s="1664"/>
      <c r="Y90" s="627"/>
    </row>
    <row r="91" spans="1:25" ht="15" x14ac:dyDescent="0.2">
      <c r="A91" s="621"/>
      <c r="B91" s="1091"/>
      <c r="C91" s="626"/>
      <c r="D91" s="627"/>
      <c r="E91" s="631"/>
      <c r="F91" s="627"/>
      <c r="G91" s="391" t="s">
        <v>136</v>
      </c>
      <c r="H91" s="391">
        <f ca="1">H90*'Energy &amp; Unit Conversions'!$G$88</f>
        <v>10.8</v>
      </c>
      <c r="I91" s="391">
        <v>6.12</v>
      </c>
      <c r="J91" s="391">
        <v>10.8</v>
      </c>
      <c r="K91" s="391"/>
      <c r="L91" s="391"/>
      <c r="M91" s="391"/>
      <c r="N91" s="611"/>
      <c r="O91" s="627"/>
      <c r="P91" s="184"/>
      <c r="Q91" s="184"/>
      <c r="R91" s="184"/>
      <c r="S91" s="184"/>
      <c r="T91" s="184"/>
      <c r="U91" s="184"/>
      <c r="V91" s="627"/>
      <c r="W91" s="627"/>
      <c r="X91" s="1664"/>
      <c r="Y91" s="627"/>
    </row>
    <row r="92" spans="1:25" ht="15" x14ac:dyDescent="0.2">
      <c r="A92" s="621"/>
      <c r="B92" s="1091"/>
      <c r="C92" s="626"/>
      <c r="D92" s="627"/>
      <c r="E92" s="631" t="s">
        <v>485</v>
      </c>
      <c r="F92" s="627"/>
      <c r="G92" s="391" t="s">
        <v>496</v>
      </c>
      <c r="H92" s="391">
        <f ca="1">IF(H86&lt;150,$R$48,IF(H86&lt;400,$S$48,$T$48))</f>
        <v>8</v>
      </c>
      <c r="I92" s="391">
        <f>I93/'Energy &amp; Unit Conversions'!$E$70/'Energy &amp; Unit Conversions'!$G$79</f>
        <v>2.8645707299006409</v>
      </c>
      <c r="J92" s="391">
        <f>J93/'Energy &amp; Unit Conversions'!$E$70/'Energy &amp; Unit Conversions'!$G$79</f>
        <v>8.803645269198185</v>
      </c>
      <c r="K92" s="391" t="s">
        <v>1107</v>
      </c>
      <c r="L92" s="391"/>
      <c r="M92" s="391"/>
      <c r="N92" s="611" t="s">
        <v>1114</v>
      </c>
      <c r="O92" s="627"/>
      <c r="P92" s="184"/>
      <c r="Q92" s="184"/>
      <c r="R92" s="184"/>
      <c r="S92" s="184"/>
      <c r="T92" s="184"/>
      <c r="U92" s="184"/>
      <c r="V92" s="627"/>
      <c r="W92" s="627"/>
      <c r="X92" s="1664"/>
      <c r="Y92" s="627"/>
    </row>
    <row r="93" spans="1:25" ht="15" x14ac:dyDescent="0.2">
      <c r="A93" s="621"/>
      <c r="B93" s="1091"/>
      <c r="C93" s="626"/>
      <c r="D93" s="627"/>
      <c r="E93" s="631"/>
      <c r="F93" s="627"/>
      <c r="G93" s="391" t="s">
        <v>136</v>
      </c>
      <c r="H93" s="391">
        <f ca="1">H92*('Energy &amp; Unit Conversions'!$E$70*'Energy &amp; Unit Conversions'!$G$79)</f>
        <v>11.813288339078213</v>
      </c>
      <c r="I93" s="391">
        <v>4.2300000000000004</v>
      </c>
      <c r="J93" s="391">
        <v>13</v>
      </c>
      <c r="K93" s="391"/>
      <c r="L93" s="391"/>
      <c r="M93" s="391"/>
      <c r="N93" s="611"/>
      <c r="O93" s="627"/>
      <c r="P93" s="184"/>
      <c r="Q93" s="184"/>
      <c r="R93" s="184"/>
      <c r="S93" s="184"/>
      <c r="T93" s="184"/>
      <c r="U93" s="184"/>
      <c r="V93" s="627"/>
      <c r="W93" s="627"/>
      <c r="X93" s="1664"/>
      <c r="Y93" s="627"/>
    </row>
    <row r="94" spans="1:25" ht="15" x14ac:dyDescent="0.2">
      <c r="A94" s="621"/>
      <c r="B94" s="1091"/>
      <c r="C94" s="626"/>
      <c r="D94" s="627"/>
      <c r="E94" s="631"/>
      <c r="F94" s="627"/>
      <c r="G94" s="391"/>
      <c r="H94" s="391"/>
      <c r="I94" s="391"/>
      <c r="J94" s="391"/>
      <c r="K94" s="391"/>
      <c r="L94" s="391"/>
      <c r="M94" s="391"/>
      <c r="N94" s="611"/>
      <c r="O94" s="627"/>
      <c r="P94" s="184"/>
      <c r="Q94" s="184"/>
      <c r="R94" s="184"/>
      <c r="S94" s="184"/>
      <c r="T94" s="184"/>
      <c r="U94" s="184"/>
      <c r="V94" s="627"/>
      <c r="W94" s="627"/>
      <c r="X94" s="1664"/>
      <c r="Y94" s="627"/>
    </row>
    <row r="95" spans="1:25" ht="15" x14ac:dyDescent="0.2">
      <c r="A95" s="621"/>
      <c r="B95" s="1091"/>
      <c r="C95" s="626"/>
      <c r="D95" s="627"/>
      <c r="E95" s="631" t="s">
        <v>1243</v>
      </c>
      <c r="F95" s="627"/>
      <c r="G95" s="391" t="s">
        <v>579</v>
      </c>
      <c r="H95" s="658">
        <v>13</v>
      </c>
      <c r="I95" s="391">
        <v>13.5</v>
      </c>
      <c r="J95" s="391">
        <v>14.1</v>
      </c>
      <c r="K95" s="391">
        <v>13.8</v>
      </c>
      <c r="L95" s="391">
        <v>13.845000000000001</v>
      </c>
      <c r="M95" s="391"/>
      <c r="N95" s="611"/>
      <c r="O95" s="627"/>
      <c r="P95" s="184"/>
      <c r="Q95" s="184"/>
      <c r="R95" s="184"/>
      <c r="S95" s="184"/>
      <c r="T95" s="184"/>
      <c r="U95" s="184"/>
      <c r="V95" s="627"/>
      <c r="W95" s="627"/>
      <c r="X95" s="1664"/>
      <c r="Y95" s="627"/>
    </row>
    <row r="96" spans="1:25" ht="15" x14ac:dyDescent="0.2">
      <c r="A96" s="621"/>
      <c r="B96" s="1091"/>
      <c r="C96" s="626"/>
      <c r="D96" s="627"/>
      <c r="E96" s="631" t="s">
        <v>1242</v>
      </c>
      <c r="F96" s="627"/>
      <c r="G96" s="391" t="s">
        <v>579</v>
      </c>
      <c r="H96" s="657">
        <v>22.2</v>
      </c>
      <c r="I96" s="391"/>
      <c r="J96" s="391"/>
      <c r="K96" s="391"/>
      <c r="L96" s="391"/>
      <c r="M96" s="391"/>
      <c r="N96" s="611"/>
      <c r="O96" s="627"/>
      <c r="P96" s="184"/>
      <c r="Q96" s="184"/>
      <c r="R96" s="184"/>
      <c r="S96" s="184"/>
      <c r="T96" s="184"/>
      <c r="U96" s="184"/>
      <c r="V96" s="627"/>
      <c r="W96" s="627"/>
      <c r="X96" s="1664"/>
      <c r="Y96" s="627"/>
    </row>
    <row r="97" spans="1:25" ht="15" x14ac:dyDescent="0.2">
      <c r="A97" s="621"/>
      <c r="B97" s="1091"/>
      <c r="C97" s="626"/>
      <c r="D97" s="627"/>
      <c r="E97" s="627"/>
      <c r="F97" s="627"/>
      <c r="G97" s="391"/>
      <c r="H97" s="391"/>
      <c r="I97" s="391"/>
      <c r="J97" s="391"/>
      <c r="K97" s="391"/>
      <c r="L97" s="391"/>
      <c r="M97" s="391"/>
      <c r="N97" s="611"/>
      <c r="O97" s="627"/>
      <c r="P97" s="184"/>
      <c r="Q97" s="184"/>
      <c r="R97" s="184"/>
      <c r="S97" s="184"/>
      <c r="T97" s="184"/>
      <c r="U97" s="184"/>
      <c r="V97" s="627"/>
      <c r="W97" s="627"/>
      <c r="X97" s="1664"/>
      <c r="Y97" s="627"/>
    </row>
    <row r="98" spans="1:25" ht="18.75" x14ac:dyDescent="0.3">
      <c r="A98" s="621"/>
      <c r="B98" s="1091"/>
      <c r="C98" s="626"/>
      <c r="D98" s="628" t="s">
        <v>1782</v>
      </c>
      <c r="E98" s="627"/>
      <c r="F98" s="627"/>
      <c r="G98" s="391"/>
      <c r="H98" s="610">
        <f ca="1">CokingRefineryCalcs!G314</f>
        <v>12524.817625472946</v>
      </c>
      <c r="I98" s="391"/>
      <c r="J98" s="391"/>
      <c r="K98" s="391"/>
      <c r="L98" s="391"/>
      <c r="M98" s="391"/>
      <c r="N98" s="611"/>
      <c r="O98" s="627"/>
      <c r="P98" s="184"/>
      <c r="Q98" s="184"/>
      <c r="R98" s="184"/>
      <c r="S98" s="184"/>
      <c r="T98" s="184"/>
      <c r="U98" s="184"/>
      <c r="V98" s="627"/>
      <c r="W98" s="627"/>
      <c r="X98" s="1664"/>
      <c r="Y98" s="627"/>
    </row>
    <row r="99" spans="1:25" ht="15" x14ac:dyDescent="0.2">
      <c r="A99" s="621"/>
      <c r="B99" s="1091"/>
      <c r="C99" s="626"/>
      <c r="D99" s="629" t="s">
        <v>1105</v>
      </c>
      <c r="E99" s="627"/>
      <c r="F99" s="627"/>
      <c r="G99" s="391" t="s">
        <v>1100</v>
      </c>
      <c r="H99" s="657">
        <f>H9*W18</f>
        <v>15548</v>
      </c>
      <c r="I99" s="391">
        <v>2000</v>
      </c>
      <c r="J99" s="391">
        <v>176000</v>
      </c>
      <c r="K99" s="391">
        <v>41000</v>
      </c>
      <c r="L99" s="391">
        <v>41058</v>
      </c>
      <c r="M99" s="391">
        <v>31981</v>
      </c>
      <c r="N99" s="611">
        <v>32000</v>
      </c>
      <c r="O99" s="627"/>
      <c r="P99" s="184"/>
      <c r="Q99" s="184"/>
      <c r="R99" s="184"/>
      <c r="S99" s="184"/>
      <c r="T99" s="184"/>
      <c r="U99" s="184"/>
      <c r="V99" s="627"/>
      <c r="W99" s="627"/>
      <c r="X99" s="1664"/>
      <c r="Y99" s="627"/>
    </row>
    <row r="100" spans="1:25" ht="15" x14ac:dyDescent="0.2">
      <c r="A100" s="621"/>
      <c r="B100" s="1091"/>
      <c r="C100" s="626"/>
      <c r="D100" s="629"/>
      <c r="E100" s="627"/>
      <c r="F100" s="627"/>
      <c r="G100" s="391"/>
      <c r="H100" s="391"/>
      <c r="I100" s="391"/>
      <c r="J100" s="391"/>
      <c r="K100" s="391"/>
      <c r="L100" s="391"/>
      <c r="M100" s="391"/>
      <c r="N100" s="611"/>
      <c r="O100" s="627"/>
      <c r="P100" s="184"/>
      <c r="Q100" s="184"/>
      <c r="R100" s="184"/>
      <c r="S100" s="184"/>
      <c r="T100" s="184"/>
      <c r="U100" s="184"/>
      <c r="V100" s="627"/>
      <c r="W100" s="627"/>
      <c r="X100" s="1664"/>
      <c r="Y100" s="627"/>
    </row>
    <row r="101" spans="1:25" ht="15" x14ac:dyDescent="0.2">
      <c r="A101" s="621"/>
      <c r="B101" s="1091"/>
      <c r="C101" s="626"/>
      <c r="D101" s="627"/>
      <c r="E101" s="627" t="s">
        <v>716</v>
      </c>
      <c r="F101" s="627"/>
      <c r="G101" s="391" t="s">
        <v>637</v>
      </c>
      <c r="H101" s="391">
        <f ca="1">CokingRefineryCalcs!D345/CokingRefineryCalcs!G314*'Energy &amp; Unit Conversions'!E93/'Energy &amp; Unit Conversions'!E26</f>
        <v>269.32728495787268</v>
      </c>
      <c r="I101" s="391">
        <v>50</v>
      </c>
      <c r="J101" s="391">
        <v>400</v>
      </c>
      <c r="K101" s="391" t="s">
        <v>1107</v>
      </c>
      <c r="L101" s="391" t="s">
        <v>1099</v>
      </c>
      <c r="M101" s="391" t="s">
        <v>1099</v>
      </c>
      <c r="N101" s="611" t="s">
        <v>1115</v>
      </c>
      <c r="O101" s="627"/>
      <c r="P101" s="184"/>
      <c r="Q101" s="184"/>
      <c r="R101" s="184"/>
      <c r="S101" s="184"/>
      <c r="T101" s="184"/>
      <c r="U101" s="184"/>
      <c r="V101" s="627"/>
      <c r="W101" s="627"/>
      <c r="X101" s="1664"/>
      <c r="Y101" s="627"/>
    </row>
    <row r="102" spans="1:25" ht="15" x14ac:dyDescent="0.2">
      <c r="A102" s="621"/>
      <c r="B102" s="1091"/>
      <c r="C102" s="626"/>
      <c r="D102" s="627"/>
      <c r="E102" s="630" t="s">
        <v>308</v>
      </c>
      <c r="F102" s="630" t="s">
        <v>624</v>
      </c>
      <c r="G102" s="610" t="s">
        <v>623</v>
      </c>
      <c r="H102" s="391"/>
      <c r="I102" s="391"/>
      <c r="J102" s="391"/>
      <c r="K102" s="391"/>
      <c r="L102" s="391"/>
      <c r="M102" s="391"/>
      <c r="N102" s="611"/>
      <c r="O102" s="627"/>
      <c r="P102" s="627"/>
      <c r="Q102" s="627"/>
      <c r="R102" s="627"/>
      <c r="S102" s="627"/>
      <c r="T102" s="627"/>
      <c r="U102" s="627"/>
      <c r="V102" s="627"/>
      <c r="W102" s="627"/>
      <c r="X102" s="1664"/>
      <c r="Y102" s="627"/>
    </row>
    <row r="103" spans="1:25" ht="15" x14ac:dyDescent="0.2">
      <c r="A103" s="621"/>
      <c r="B103" s="1091"/>
      <c r="C103" s="626"/>
      <c r="D103" s="627"/>
      <c r="E103" s="631" t="s">
        <v>635</v>
      </c>
      <c r="F103" s="627"/>
      <c r="G103" s="391" t="s">
        <v>136</v>
      </c>
      <c r="H103" s="391">
        <f ca="1">IF(H101&lt;150,$R$45,IF(H101&lt;400,$S$45,$T$45))</f>
        <v>158</v>
      </c>
      <c r="I103" s="391">
        <v>34.799999999999997</v>
      </c>
      <c r="J103" s="391">
        <v>158</v>
      </c>
      <c r="K103" s="391" t="s">
        <v>1107</v>
      </c>
      <c r="L103" s="391"/>
      <c r="M103" s="391"/>
      <c r="N103" s="611">
        <f>61/'Energy &amp; Unit Conversions'!$E$93*'Energy &amp; Unit Conversions'!$G$84</f>
        <v>64.358407009819999</v>
      </c>
      <c r="O103" s="627"/>
      <c r="P103" s="627"/>
      <c r="Q103" s="627"/>
      <c r="R103" s="627"/>
      <c r="S103" s="631"/>
      <c r="T103" s="627"/>
      <c r="U103" s="627"/>
      <c r="V103" s="627"/>
      <c r="W103" s="627"/>
      <c r="X103" s="1664"/>
      <c r="Y103" s="627"/>
    </row>
    <row r="104" spans="1:25" ht="15" x14ac:dyDescent="0.2">
      <c r="A104" s="621"/>
      <c r="B104" s="1091"/>
      <c r="C104" s="626"/>
      <c r="D104" s="627"/>
      <c r="E104" s="631"/>
      <c r="F104" s="627"/>
      <c r="G104" s="391" t="s">
        <v>637</v>
      </c>
      <c r="H104" s="391">
        <f ca="1">IF('Energy &amp; Unit Conversions'!$E$10=1,H103,H103/'Energy &amp; Unit Conversions'!$K$59)/'Energy &amp; Unit Conversions'!$P$25/'Energy &amp; Unit Conversions'!$G$82</f>
        <v>161.0264731376526</v>
      </c>
      <c r="I104" s="391">
        <f>IF('Energy &amp; Unit Conversions'!$E$10=1,I103,I103/'Energy &amp; Unit Conversions'!$K$59)/'Energy &amp; Unit Conversions'!$P$25/'Energy &amp; Unit Conversions'!$G$82</f>
        <v>35.466590286014615</v>
      </c>
      <c r="J104" s="391">
        <f>IF('Energy &amp; Unit Conversions'!$E$10=1,J103,J103/'Energy &amp; Unit Conversions'!$K$59)/'Energy &amp; Unit Conversions'!$P$25/'Energy &amp; Unit Conversions'!$G$82</f>
        <v>161.0264731376526</v>
      </c>
      <c r="K104" s="391"/>
      <c r="L104" s="391"/>
      <c r="M104" s="391"/>
      <c r="N104" s="611"/>
      <c r="O104" s="627"/>
      <c r="P104" s="627"/>
      <c r="Q104" s="627"/>
      <c r="R104" s="627"/>
      <c r="S104" s="631"/>
      <c r="T104" s="627"/>
      <c r="U104" s="627"/>
      <c r="V104" s="627"/>
      <c r="W104" s="627"/>
      <c r="X104" s="1664"/>
      <c r="Y104" s="627"/>
    </row>
    <row r="105" spans="1:25" ht="15" x14ac:dyDescent="0.2">
      <c r="A105" s="621"/>
      <c r="B105" s="1091"/>
      <c r="C105" s="626"/>
      <c r="D105" s="627"/>
      <c r="E105" s="631" t="s">
        <v>451</v>
      </c>
      <c r="F105" s="627"/>
      <c r="G105" s="391" t="s">
        <v>665</v>
      </c>
      <c r="H105" s="391">
        <f ca="1">IF(H101&lt;150,$R$47,IF(H101&lt;400,$S$47,$T$47))</f>
        <v>3</v>
      </c>
      <c r="I105" s="391">
        <f>I106/'Energy &amp; Unit Conversions'!$G$88</f>
        <v>1.7</v>
      </c>
      <c r="J105" s="391">
        <v>2</v>
      </c>
      <c r="K105" s="391" t="s">
        <v>1107</v>
      </c>
      <c r="L105" s="391"/>
      <c r="M105" s="391"/>
      <c r="N105" s="611">
        <v>2</v>
      </c>
      <c r="O105" s="627"/>
      <c r="P105" s="627"/>
      <c r="Q105" s="631"/>
      <c r="R105" s="627"/>
      <c r="S105" s="631"/>
      <c r="T105" s="627"/>
      <c r="U105" s="627"/>
      <c r="V105" s="627"/>
      <c r="W105" s="627"/>
      <c r="X105" s="1664"/>
      <c r="Y105" s="627"/>
    </row>
    <row r="106" spans="1:25" ht="15" x14ac:dyDescent="0.2">
      <c r="A106" s="621"/>
      <c r="B106" s="1091"/>
      <c r="C106" s="626"/>
      <c r="D106" s="627"/>
      <c r="E106" s="631"/>
      <c r="F106" s="627"/>
      <c r="G106" s="391"/>
      <c r="H106" s="391">
        <f ca="1">H105*'Energy &amp; Unit Conversions'!$G$88</f>
        <v>10.8</v>
      </c>
      <c r="I106" s="391">
        <v>6.12</v>
      </c>
      <c r="J106" s="391">
        <v>6.12</v>
      </c>
      <c r="K106" s="391"/>
      <c r="L106" s="391"/>
      <c r="M106" s="391"/>
      <c r="N106" s="611"/>
      <c r="O106" s="627"/>
      <c r="P106" s="627"/>
      <c r="Q106" s="631"/>
      <c r="R106" s="627"/>
      <c r="S106" s="631"/>
      <c r="T106" s="627"/>
      <c r="U106" s="627"/>
      <c r="V106" s="627"/>
      <c r="W106" s="627"/>
      <c r="X106" s="1664"/>
      <c r="Y106" s="627"/>
    </row>
    <row r="107" spans="1:25" ht="15" x14ac:dyDescent="0.2">
      <c r="A107" s="621"/>
      <c r="B107" s="1091"/>
      <c r="C107" s="626"/>
      <c r="D107" s="627"/>
      <c r="E107" s="631" t="s">
        <v>485</v>
      </c>
      <c r="F107" s="627"/>
      <c r="G107" s="391" t="s">
        <v>496</v>
      </c>
      <c r="H107" s="391">
        <f ca="1">IF(H101&lt;150,$R$48,IF(H101&lt;400,$S$48,$T$48))</f>
        <v>8</v>
      </c>
      <c r="I107" s="391">
        <f>I108/'Energy &amp; Unit Conversions'!$E$70/'Energy &amp; Unit Conversions'!$G$79</f>
        <v>7.516958652930759</v>
      </c>
      <c r="J107" s="391"/>
      <c r="K107" s="391" t="s">
        <v>1107</v>
      </c>
      <c r="L107" s="391"/>
      <c r="M107" s="391"/>
      <c r="N107" s="611" t="s">
        <v>1116</v>
      </c>
      <c r="O107" s="627"/>
      <c r="P107" s="627"/>
      <c r="Q107" s="627"/>
      <c r="R107" s="627"/>
      <c r="S107" s="631"/>
      <c r="T107" s="627"/>
      <c r="U107" s="627"/>
      <c r="V107" s="627"/>
      <c r="W107" s="627"/>
      <c r="X107" s="1664"/>
      <c r="Y107" s="627"/>
    </row>
    <row r="108" spans="1:25" ht="15" x14ac:dyDescent="0.2">
      <c r="A108" s="621"/>
      <c r="B108" s="1091"/>
      <c r="C108" s="626"/>
      <c r="D108" s="627"/>
      <c r="E108" s="631"/>
      <c r="F108" s="627"/>
      <c r="G108" s="391" t="s">
        <v>136</v>
      </c>
      <c r="H108" s="391">
        <f ca="1">H107*('Energy &amp; Unit Conversions'!$E$70*'Energy &amp; Unit Conversions'!$G$79)</f>
        <v>11.813288339078213</v>
      </c>
      <c r="I108" s="391">
        <v>11.1</v>
      </c>
      <c r="J108" s="391"/>
      <c r="K108" s="391"/>
      <c r="L108" s="391"/>
      <c r="M108" s="391"/>
      <c r="N108" s="611"/>
      <c r="O108" s="627"/>
      <c r="P108" s="627"/>
      <c r="Q108" s="627"/>
      <c r="R108" s="627"/>
      <c r="S108" s="631"/>
      <c r="T108" s="627"/>
      <c r="U108" s="627"/>
      <c r="V108" s="627"/>
      <c r="W108" s="627"/>
      <c r="X108" s="1664"/>
      <c r="Y108" s="627"/>
    </row>
    <row r="109" spans="1:25" ht="15" x14ac:dyDescent="0.2">
      <c r="A109" s="621"/>
      <c r="B109" s="1091"/>
      <c r="C109" s="626"/>
      <c r="D109" s="627"/>
      <c r="E109" s="631"/>
      <c r="F109" s="627"/>
      <c r="G109" s="391"/>
      <c r="H109" s="663"/>
      <c r="I109" s="391"/>
      <c r="J109" s="391"/>
      <c r="K109" s="391"/>
      <c r="L109" s="391"/>
      <c r="M109" s="391"/>
      <c r="N109" s="611"/>
      <c r="O109" s="627"/>
      <c r="P109" s="627"/>
      <c r="Q109" s="627"/>
      <c r="R109" s="627"/>
      <c r="S109" s="631"/>
      <c r="T109" s="627"/>
      <c r="U109" s="627"/>
      <c r="V109" s="627"/>
      <c r="W109" s="627"/>
      <c r="X109" s="1664"/>
      <c r="Y109" s="627"/>
    </row>
    <row r="110" spans="1:25" ht="15" x14ac:dyDescent="0.2">
      <c r="A110" s="621"/>
      <c r="B110" s="1091"/>
      <c r="C110" s="626"/>
      <c r="D110" s="627"/>
      <c r="E110" s="631" t="s">
        <v>1244</v>
      </c>
      <c r="F110" s="627"/>
      <c r="G110" s="391" t="s">
        <v>579</v>
      </c>
      <c r="H110" s="658">
        <v>12.8</v>
      </c>
      <c r="I110" s="391">
        <v>13</v>
      </c>
      <c r="J110" s="391">
        <v>16</v>
      </c>
      <c r="K110" s="391">
        <v>13.8</v>
      </c>
      <c r="L110" s="391"/>
      <c r="M110" s="391"/>
      <c r="N110" s="611"/>
      <c r="O110" s="627"/>
      <c r="P110" s="627"/>
      <c r="Q110" s="627"/>
      <c r="R110" s="627"/>
      <c r="S110" s="627"/>
      <c r="T110" s="627"/>
      <c r="U110" s="627"/>
      <c r="V110" s="627"/>
      <c r="W110" s="627"/>
      <c r="X110" s="1664"/>
      <c r="Y110" s="627"/>
    </row>
    <row r="111" spans="1:25" ht="15" x14ac:dyDescent="0.2">
      <c r="A111" s="621"/>
      <c r="B111" s="1091"/>
      <c r="C111" s="626"/>
      <c r="D111" s="627"/>
      <c r="E111" s="631" t="s">
        <v>1242</v>
      </c>
      <c r="F111" s="627"/>
      <c r="G111" s="391" t="s">
        <v>579</v>
      </c>
      <c r="H111" s="657">
        <v>22.2</v>
      </c>
      <c r="I111" s="391"/>
      <c r="J111" s="391"/>
      <c r="K111" s="391"/>
      <c r="L111" s="391"/>
      <c r="M111" s="391"/>
      <c r="N111" s="611"/>
      <c r="O111" s="627"/>
      <c r="P111" s="627"/>
      <c r="Q111" s="629"/>
      <c r="R111" s="627"/>
      <c r="S111" s="627"/>
      <c r="T111" s="627"/>
      <c r="U111" s="627"/>
      <c r="V111" s="627"/>
      <c r="W111" s="627"/>
      <c r="X111" s="1664"/>
      <c r="Y111" s="627"/>
    </row>
    <row r="112" spans="1:25" ht="15" x14ac:dyDescent="0.2">
      <c r="A112" s="621"/>
      <c r="B112" s="1091"/>
      <c r="C112" s="626"/>
      <c r="D112" s="627"/>
      <c r="E112" s="627"/>
      <c r="F112" s="627"/>
      <c r="G112" s="391"/>
      <c r="H112" s="391"/>
      <c r="I112" s="391"/>
      <c r="J112" s="391"/>
      <c r="K112" s="391"/>
      <c r="L112" s="391"/>
      <c r="M112" s="391"/>
      <c r="N112" s="611"/>
      <c r="O112" s="627"/>
      <c r="P112" s="627"/>
      <c r="Q112" s="627"/>
      <c r="R112" s="627"/>
      <c r="S112" s="627"/>
      <c r="T112" s="627"/>
      <c r="U112" s="627"/>
      <c r="V112" s="632"/>
      <c r="W112" s="632"/>
      <c r="X112" s="1665"/>
      <c r="Y112" s="627"/>
    </row>
    <row r="113" spans="1:25" ht="18.75" x14ac:dyDescent="0.3">
      <c r="A113" s="621"/>
      <c r="B113" s="1091"/>
      <c r="C113" s="626"/>
      <c r="D113" s="628" t="s">
        <v>1781</v>
      </c>
      <c r="E113" s="631"/>
      <c r="F113" s="627"/>
      <c r="G113" s="391"/>
      <c r="H113" s="391"/>
      <c r="I113" s="391"/>
      <c r="J113" s="391"/>
      <c r="K113" s="391"/>
      <c r="L113" s="391"/>
      <c r="M113" s="391"/>
      <c r="N113" s="611"/>
      <c r="O113" s="627"/>
      <c r="P113" s="627"/>
      <c r="Q113" s="627"/>
      <c r="R113" s="627"/>
      <c r="S113" s="627"/>
      <c r="T113" s="627"/>
      <c r="U113" s="627"/>
      <c r="V113" s="632"/>
      <c r="W113" s="632"/>
      <c r="X113" s="1665"/>
      <c r="Y113" s="627"/>
    </row>
    <row r="114" spans="1:25" ht="15" x14ac:dyDescent="0.2">
      <c r="A114" s="621"/>
      <c r="B114" s="1091"/>
      <c r="C114" s="626"/>
      <c r="D114" s="627"/>
      <c r="E114" s="631"/>
      <c r="F114" s="627"/>
      <c r="G114" s="391"/>
      <c r="H114" s="391"/>
      <c r="I114" s="391"/>
      <c r="J114" s="391"/>
      <c r="K114" s="391"/>
      <c r="L114" s="391"/>
      <c r="M114" s="391"/>
      <c r="N114" s="611"/>
      <c r="O114" s="627"/>
      <c r="P114" s="627"/>
      <c r="Q114" s="627"/>
      <c r="R114" s="627"/>
      <c r="S114" s="627"/>
      <c r="T114" s="627"/>
      <c r="U114" s="627"/>
      <c r="V114" s="632"/>
      <c r="W114" s="632"/>
      <c r="X114" s="1665"/>
      <c r="Y114" s="627"/>
    </row>
    <row r="115" spans="1:25" ht="15" x14ac:dyDescent="0.2">
      <c r="A115" s="621"/>
      <c r="B115" s="1091"/>
      <c r="C115" s="626"/>
      <c r="D115" s="629" t="s">
        <v>1105</v>
      </c>
      <c r="E115" s="627"/>
      <c r="F115" s="627"/>
      <c r="G115" s="391" t="s">
        <v>1100</v>
      </c>
      <c r="H115" s="657">
        <v>15548</v>
      </c>
      <c r="I115" s="391">
        <v>2000</v>
      </c>
      <c r="J115" s="391">
        <v>176000</v>
      </c>
      <c r="K115" s="391">
        <v>41000</v>
      </c>
      <c r="L115" s="391">
        <v>41058</v>
      </c>
      <c r="M115" s="391">
        <v>31981</v>
      </c>
      <c r="N115" s="611">
        <v>32000</v>
      </c>
      <c r="O115" s="627"/>
      <c r="P115" s="627"/>
      <c r="Q115" s="627"/>
      <c r="R115" s="627"/>
      <c r="S115" s="627"/>
      <c r="T115" s="627"/>
      <c r="U115" s="627"/>
      <c r="V115" s="632"/>
      <c r="W115" s="632"/>
      <c r="X115" s="1665"/>
      <c r="Y115" s="627"/>
    </row>
    <row r="116" spans="1:25" ht="15" x14ac:dyDescent="0.2">
      <c r="A116" s="621"/>
      <c r="B116" s="1091"/>
      <c r="C116" s="626"/>
      <c r="D116" s="629"/>
      <c r="E116" s="627"/>
      <c r="F116" s="627"/>
      <c r="G116" s="391"/>
      <c r="H116" s="391"/>
      <c r="I116" s="391"/>
      <c r="J116" s="391"/>
      <c r="K116" s="391"/>
      <c r="L116" s="391"/>
      <c r="M116" s="391"/>
      <c r="N116" s="611"/>
      <c r="O116" s="627"/>
      <c r="P116" s="627"/>
      <c r="Q116" s="627"/>
      <c r="R116" s="627"/>
      <c r="S116" s="627"/>
      <c r="T116" s="627"/>
      <c r="U116" s="627"/>
      <c r="V116" s="632"/>
      <c r="W116" s="632"/>
      <c r="X116" s="1665"/>
      <c r="Y116" s="627"/>
    </row>
    <row r="117" spans="1:25" ht="15" x14ac:dyDescent="0.2">
      <c r="A117" s="621"/>
      <c r="B117" s="1091"/>
      <c r="C117" s="626"/>
      <c r="D117" s="627"/>
      <c r="E117" s="627" t="s">
        <v>716</v>
      </c>
      <c r="F117" s="627"/>
      <c r="G117" s="391" t="s">
        <v>637</v>
      </c>
      <c r="H117" s="391">
        <f ca="1">HydroRefineryCalcs!D342/HydroRefineryCalcs!H311*'Energy &amp; Unit Conversions'!E93/'Energy &amp; Unit Conversions'!E26</f>
        <v>269.32728495787268</v>
      </c>
      <c r="I117" s="391">
        <v>50</v>
      </c>
      <c r="J117" s="391">
        <v>400</v>
      </c>
      <c r="K117" s="391" t="s">
        <v>1107</v>
      </c>
      <c r="L117" s="391" t="s">
        <v>1099</v>
      </c>
      <c r="M117" s="391" t="s">
        <v>1099</v>
      </c>
      <c r="N117" s="611" t="s">
        <v>1115</v>
      </c>
      <c r="O117" s="627"/>
      <c r="P117" s="627"/>
      <c r="Q117" s="627"/>
      <c r="R117" s="627"/>
      <c r="S117" s="627"/>
      <c r="T117" s="627"/>
      <c r="U117" s="627"/>
      <c r="V117" s="632"/>
      <c r="W117" s="632"/>
      <c r="X117" s="1665"/>
      <c r="Y117" s="627"/>
    </row>
    <row r="118" spans="1:25" ht="15" x14ac:dyDescent="0.2">
      <c r="A118" s="621"/>
      <c r="B118" s="1091"/>
      <c r="C118" s="626"/>
      <c r="D118" s="627"/>
      <c r="E118" s="630" t="s">
        <v>308</v>
      </c>
      <c r="F118" s="630" t="s">
        <v>624</v>
      </c>
      <c r="G118" s="610" t="s">
        <v>623</v>
      </c>
      <c r="H118" s="391"/>
      <c r="I118" s="391"/>
      <c r="J118" s="391"/>
      <c r="K118" s="391"/>
      <c r="L118" s="391"/>
      <c r="M118" s="391"/>
      <c r="N118" s="611"/>
      <c r="O118" s="627"/>
      <c r="P118" s="627"/>
      <c r="Q118" s="627"/>
      <c r="R118" s="627"/>
      <c r="S118" s="627"/>
      <c r="T118" s="627"/>
      <c r="U118" s="627"/>
      <c r="V118" s="632"/>
      <c r="W118" s="632"/>
      <c r="X118" s="1665"/>
      <c r="Y118" s="627"/>
    </row>
    <row r="119" spans="1:25" ht="15" x14ac:dyDescent="0.2">
      <c r="A119" s="621"/>
      <c r="B119" s="1091"/>
      <c r="C119" s="626"/>
      <c r="D119" s="627"/>
      <c r="E119" s="631" t="s">
        <v>635</v>
      </c>
      <c r="F119" s="627"/>
      <c r="G119" s="391" t="s">
        <v>136</v>
      </c>
      <c r="H119" s="391">
        <f ca="1">IF(H117&lt;150,$R$45,IF(H117&lt;400,$S$45,$T$45))</f>
        <v>158</v>
      </c>
      <c r="I119" s="391">
        <v>34.799999999999997</v>
      </c>
      <c r="J119" s="391">
        <v>158</v>
      </c>
      <c r="K119" s="391" t="s">
        <v>1107</v>
      </c>
      <c r="L119" s="391"/>
      <c r="M119" s="391"/>
      <c r="N119" s="611">
        <v>64.358407009819999</v>
      </c>
      <c r="O119" s="627"/>
      <c r="P119" s="627"/>
      <c r="Q119" s="627"/>
      <c r="R119" s="627"/>
      <c r="S119" s="627"/>
      <c r="T119" s="627"/>
      <c r="U119" s="627"/>
      <c r="V119" s="632"/>
      <c r="W119" s="632"/>
      <c r="X119" s="1665"/>
      <c r="Y119" s="627"/>
    </row>
    <row r="120" spans="1:25" ht="15" x14ac:dyDescent="0.2">
      <c r="A120" s="621"/>
      <c r="B120" s="1091"/>
      <c r="C120" s="626"/>
      <c r="D120" s="627"/>
      <c r="E120" s="631"/>
      <c r="F120" s="627"/>
      <c r="G120" s="391" t="s">
        <v>637</v>
      </c>
      <c r="H120" s="391">
        <f ca="1">IF('Energy &amp; Unit Conversions'!$E$10=1,H119,H119/'Energy &amp; Unit Conversions'!$K$59)/'Energy &amp; Unit Conversions'!$P$25/'Energy &amp; Unit Conversions'!$G$82</f>
        <v>161.0264731376526</v>
      </c>
      <c r="I120" s="391">
        <v>35.466590286014615</v>
      </c>
      <c r="J120" s="391">
        <v>161.0264731376526</v>
      </c>
      <c r="K120" s="391"/>
      <c r="L120" s="391"/>
      <c r="M120" s="391"/>
      <c r="N120" s="611"/>
      <c r="O120" s="627"/>
      <c r="P120" s="627"/>
      <c r="Q120" s="627"/>
      <c r="R120" s="627"/>
      <c r="S120" s="627"/>
      <c r="T120" s="627"/>
      <c r="U120" s="627"/>
      <c r="V120" s="632"/>
      <c r="W120" s="632"/>
      <c r="X120" s="1665"/>
      <c r="Y120" s="627"/>
    </row>
    <row r="121" spans="1:25" ht="15" x14ac:dyDescent="0.2">
      <c r="A121" s="621"/>
      <c r="B121" s="1091"/>
      <c r="C121" s="626"/>
      <c r="D121" s="627"/>
      <c r="E121" s="631" t="s">
        <v>451</v>
      </c>
      <c r="F121" s="627"/>
      <c r="G121" s="391" t="s">
        <v>665</v>
      </c>
      <c r="H121" s="391">
        <f ca="1">IF(H117&lt;150,$R$47,IF(H117&lt;400,$S$47,$T$47))</f>
        <v>3</v>
      </c>
      <c r="I121" s="391">
        <v>1.7</v>
      </c>
      <c r="J121" s="391">
        <v>2</v>
      </c>
      <c r="K121" s="391" t="s">
        <v>1107</v>
      </c>
      <c r="L121" s="391"/>
      <c r="M121" s="391"/>
      <c r="N121" s="611">
        <v>2</v>
      </c>
      <c r="O121" s="627"/>
      <c r="P121" s="627"/>
      <c r="Q121" s="627"/>
      <c r="R121" s="627"/>
      <c r="S121" s="627"/>
      <c r="T121" s="627"/>
      <c r="U121" s="627"/>
      <c r="V121" s="632"/>
      <c r="W121" s="632"/>
      <c r="X121" s="1665"/>
      <c r="Y121" s="627"/>
    </row>
    <row r="122" spans="1:25" ht="15" x14ac:dyDescent="0.2">
      <c r="A122" s="621"/>
      <c r="B122" s="1091"/>
      <c r="C122" s="626"/>
      <c r="D122" s="627"/>
      <c r="E122" s="631"/>
      <c r="F122" s="627"/>
      <c r="G122" s="391"/>
      <c r="H122" s="391">
        <f ca="1">H121*'Energy &amp; Unit Conversions'!$G$88</f>
        <v>10.8</v>
      </c>
      <c r="I122" s="391">
        <v>6.12</v>
      </c>
      <c r="J122" s="391">
        <v>6.12</v>
      </c>
      <c r="K122" s="391"/>
      <c r="L122" s="391"/>
      <c r="M122" s="391"/>
      <c r="N122" s="611"/>
      <c r="O122" s="627"/>
      <c r="P122" s="627"/>
      <c r="Q122" s="627"/>
      <c r="R122" s="627"/>
      <c r="S122" s="627"/>
      <c r="T122" s="627"/>
      <c r="U122" s="627"/>
      <c r="V122" s="632"/>
      <c r="W122" s="632"/>
      <c r="X122" s="1665"/>
      <c r="Y122" s="627"/>
    </row>
    <row r="123" spans="1:25" ht="15" x14ac:dyDescent="0.2">
      <c r="A123" s="621"/>
      <c r="B123" s="1091"/>
      <c r="C123" s="626"/>
      <c r="D123" s="627"/>
      <c r="E123" s="631" t="s">
        <v>485</v>
      </c>
      <c r="F123" s="627"/>
      <c r="G123" s="391" t="s">
        <v>496</v>
      </c>
      <c r="H123" s="391">
        <f ca="1">IF(H117&lt;150,$R$48,IF(H117&lt;400,$S$48,$T$48))</f>
        <v>8</v>
      </c>
      <c r="I123" s="391">
        <v>7.516958652930759</v>
      </c>
      <c r="J123" s="391"/>
      <c r="K123" s="391" t="s">
        <v>1107</v>
      </c>
      <c r="L123" s="391"/>
      <c r="M123" s="391"/>
      <c r="N123" s="611" t="s">
        <v>1116</v>
      </c>
      <c r="O123" s="627"/>
      <c r="P123" s="627"/>
      <c r="Q123" s="627"/>
      <c r="R123" s="627"/>
      <c r="S123" s="627"/>
      <c r="T123" s="627"/>
      <c r="U123" s="627"/>
      <c r="V123" s="632"/>
      <c r="W123" s="632"/>
      <c r="X123" s="1665"/>
      <c r="Y123" s="627"/>
    </row>
    <row r="124" spans="1:25" ht="15" x14ac:dyDescent="0.2">
      <c r="A124" s="621"/>
      <c r="B124" s="1091"/>
      <c r="C124" s="626"/>
      <c r="D124" s="627"/>
      <c r="E124" s="631"/>
      <c r="F124" s="627"/>
      <c r="G124" s="391" t="s">
        <v>136</v>
      </c>
      <c r="H124" s="391">
        <f ca="1">H123*('Energy &amp; Unit Conversions'!$E$70*'Energy &amp; Unit Conversions'!$G$79)</f>
        <v>11.813288339078213</v>
      </c>
      <c r="I124" s="391">
        <v>11.1</v>
      </c>
      <c r="J124" s="391"/>
      <c r="K124" s="391"/>
      <c r="L124" s="391"/>
      <c r="M124" s="391"/>
      <c r="N124" s="611"/>
      <c r="O124" s="627"/>
      <c r="P124" s="627"/>
      <c r="Q124" s="627"/>
      <c r="R124" s="627"/>
      <c r="S124" s="627"/>
      <c r="T124" s="627"/>
      <c r="U124" s="627"/>
      <c r="V124" s="632"/>
      <c r="W124" s="632"/>
      <c r="X124" s="1665"/>
      <c r="Y124" s="627"/>
    </row>
    <row r="125" spans="1:25" ht="15" x14ac:dyDescent="0.2">
      <c r="A125" s="621"/>
      <c r="B125" s="1091"/>
      <c r="C125" s="626"/>
      <c r="D125" s="627"/>
      <c r="E125" s="631"/>
      <c r="F125" s="627"/>
      <c r="G125" s="391"/>
      <c r="H125" s="663"/>
      <c r="I125" s="391"/>
      <c r="J125" s="391"/>
      <c r="K125" s="391"/>
      <c r="L125" s="391"/>
      <c r="M125" s="391"/>
      <c r="N125" s="611"/>
      <c r="O125" s="627"/>
      <c r="P125" s="627"/>
      <c r="Q125" s="627"/>
      <c r="R125" s="627"/>
      <c r="S125" s="627"/>
      <c r="T125" s="627"/>
      <c r="U125" s="627"/>
      <c r="V125" s="632"/>
      <c r="W125" s="632"/>
      <c r="X125" s="1665"/>
      <c r="Y125" s="627"/>
    </row>
    <row r="126" spans="1:25" ht="15" x14ac:dyDescent="0.2">
      <c r="A126" s="621"/>
      <c r="B126" s="1091"/>
      <c r="C126" s="626"/>
      <c r="D126" s="627"/>
      <c r="E126" s="631" t="s">
        <v>1663</v>
      </c>
      <c r="F126" s="627"/>
      <c r="G126" s="391" t="s">
        <v>579</v>
      </c>
      <c r="H126" s="658">
        <v>12.8</v>
      </c>
      <c r="I126" s="391">
        <v>13</v>
      </c>
      <c r="J126" s="391">
        <v>16</v>
      </c>
      <c r="K126" s="391">
        <v>13.8</v>
      </c>
      <c r="L126" s="391"/>
      <c r="M126" s="391"/>
      <c r="N126" s="611"/>
      <c r="O126" s="627"/>
      <c r="P126" s="627"/>
      <c r="Q126" s="627"/>
      <c r="R126" s="627"/>
      <c r="S126" s="627"/>
      <c r="T126" s="627"/>
      <c r="U126" s="627"/>
      <c r="V126" s="632"/>
      <c r="W126" s="632"/>
      <c r="X126" s="1665"/>
      <c r="Y126" s="627"/>
    </row>
    <row r="127" spans="1:25" ht="15" x14ac:dyDescent="0.2">
      <c r="A127" s="621"/>
      <c r="B127" s="1091"/>
      <c r="C127" s="626"/>
      <c r="D127" s="627"/>
      <c r="E127" s="631" t="s">
        <v>1664</v>
      </c>
      <c r="F127" s="627"/>
      <c r="G127" s="391" t="s">
        <v>579</v>
      </c>
      <c r="H127" s="657">
        <v>22.2</v>
      </c>
      <c r="I127" s="391"/>
      <c r="J127" s="391"/>
      <c r="K127" s="391"/>
      <c r="L127" s="391"/>
      <c r="M127" s="391"/>
      <c r="N127" s="611"/>
      <c r="O127" s="627"/>
      <c r="P127" s="627"/>
      <c r="Q127" s="627"/>
      <c r="R127" s="627"/>
      <c r="S127" s="627"/>
      <c r="T127" s="627"/>
      <c r="U127" s="627"/>
      <c r="V127" s="632"/>
      <c r="W127" s="632"/>
      <c r="X127" s="1665"/>
      <c r="Y127" s="627"/>
    </row>
    <row r="128" spans="1:25" ht="15" x14ac:dyDescent="0.2">
      <c r="A128" s="621"/>
      <c r="B128" s="1091"/>
      <c r="C128" s="626"/>
      <c r="D128" s="627"/>
      <c r="E128" s="627"/>
      <c r="F128" s="627"/>
      <c r="G128" s="391"/>
      <c r="H128" s="391"/>
      <c r="I128" s="391"/>
      <c r="J128" s="391"/>
      <c r="K128" s="391"/>
      <c r="L128" s="391"/>
      <c r="M128" s="391"/>
      <c r="N128" s="611"/>
      <c r="O128" s="627"/>
      <c r="P128" s="627"/>
      <c r="Q128" s="627"/>
      <c r="R128" s="627"/>
      <c r="S128" s="627"/>
      <c r="T128" s="627"/>
      <c r="U128" s="627"/>
      <c r="V128" s="632"/>
      <c r="W128" s="632"/>
      <c r="X128" s="1665"/>
      <c r="Y128" s="627"/>
    </row>
    <row r="129" spans="1:25" ht="18.75" x14ac:dyDescent="0.3">
      <c r="A129" s="621"/>
      <c r="B129" s="1091"/>
      <c r="C129" s="626"/>
      <c r="D129" s="628" t="s">
        <v>1783</v>
      </c>
      <c r="E129" s="627"/>
      <c r="F129" s="627"/>
      <c r="G129" s="391"/>
      <c r="H129" s="610">
        <f ca="1">CokingRefineryCalcs!I644</f>
        <v>2.00392753566836E-14</v>
      </c>
      <c r="I129" s="391"/>
      <c r="J129" s="391"/>
      <c r="K129" s="391"/>
      <c r="L129" s="391"/>
      <c r="M129" s="391"/>
      <c r="N129" s="611"/>
      <c r="O129" s="627"/>
      <c r="P129" s="184"/>
      <c r="Q129" s="184"/>
      <c r="R129" s="184"/>
      <c r="S129" s="184"/>
      <c r="T129" s="184"/>
      <c r="U129" s="184"/>
      <c r="V129" s="627"/>
      <c r="W129" s="627"/>
      <c r="X129" s="1664"/>
      <c r="Y129" s="627"/>
    </row>
    <row r="130" spans="1:25" ht="15" x14ac:dyDescent="0.2">
      <c r="A130" s="621"/>
      <c r="B130" s="1091"/>
      <c r="C130" s="626"/>
      <c r="D130" s="629" t="s">
        <v>1105</v>
      </c>
      <c r="E130" s="627"/>
      <c r="F130" s="627"/>
      <c r="G130" s="391"/>
      <c r="H130" s="657">
        <f>$H$9*$W$19</f>
        <v>25688</v>
      </c>
      <c r="I130" s="391">
        <v>3000</v>
      </c>
      <c r="J130" s="391">
        <v>243000</v>
      </c>
      <c r="K130" s="391">
        <v>63000</v>
      </c>
      <c r="L130" s="391">
        <v>63057</v>
      </c>
      <c r="M130" s="391">
        <v>55555</v>
      </c>
      <c r="N130" s="611">
        <v>25000</v>
      </c>
      <c r="O130" s="627"/>
      <c r="P130" s="184"/>
      <c r="Q130" s="184"/>
      <c r="R130" s="184"/>
      <c r="S130" s="184"/>
      <c r="T130" s="184"/>
      <c r="U130" s="184"/>
      <c r="V130" s="627"/>
      <c r="W130" s="627"/>
      <c r="X130" s="1664"/>
      <c r="Y130" s="627"/>
    </row>
    <row r="131" spans="1:25" ht="15" x14ac:dyDescent="0.2">
      <c r="A131" s="621"/>
      <c r="B131" s="1091"/>
      <c r="C131" s="626"/>
      <c r="D131" s="629"/>
      <c r="E131" s="627"/>
      <c r="F131" s="627"/>
      <c r="G131" s="391"/>
      <c r="H131" s="391"/>
      <c r="I131" s="391"/>
      <c r="J131" s="391"/>
      <c r="K131" s="391"/>
      <c r="L131" s="391"/>
      <c r="M131" s="391"/>
      <c r="N131" s="611"/>
      <c r="O131" s="627"/>
      <c r="P131" s="184"/>
      <c r="Q131" s="184"/>
      <c r="R131" s="184"/>
      <c r="S131" s="184"/>
      <c r="T131" s="184"/>
      <c r="U131" s="184"/>
      <c r="V131" s="627"/>
      <c r="W131" s="627"/>
      <c r="X131" s="1664"/>
      <c r="Y131" s="627"/>
    </row>
    <row r="132" spans="1:25" ht="15" x14ac:dyDescent="0.2">
      <c r="A132" s="621"/>
      <c r="B132" s="1091"/>
      <c r="C132" s="626"/>
      <c r="D132" s="627"/>
      <c r="E132" s="627" t="s">
        <v>716</v>
      </c>
      <c r="F132" s="627"/>
      <c r="G132" s="391" t="s">
        <v>637</v>
      </c>
      <c r="H132" s="391">
        <f ca="1">CokingRefineryCalcs!D657/CokingRefineryCalcs!I644*'Energy &amp; Unit Conversions'!$E$93/'Energy &amp; Unit Conversions'!$E$26</f>
        <v>0</v>
      </c>
      <c r="I132" s="391">
        <v>100</v>
      </c>
      <c r="J132" s="391">
        <v>900</v>
      </c>
      <c r="K132" s="391" t="s">
        <v>1107</v>
      </c>
      <c r="L132" s="391"/>
      <c r="M132" s="391"/>
      <c r="N132" s="611" t="s">
        <v>1117</v>
      </c>
      <c r="O132" s="627"/>
      <c r="P132" s="184"/>
      <c r="Q132" s="184"/>
      <c r="R132" s="184"/>
      <c r="S132" s="184"/>
      <c r="T132" s="184"/>
      <c r="U132" s="184"/>
      <c r="V132" s="627"/>
      <c r="W132" s="627"/>
      <c r="X132" s="1664"/>
      <c r="Y132" s="627"/>
    </row>
    <row r="133" spans="1:25" ht="15" x14ac:dyDescent="0.2">
      <c r="A133" s="621"/>
      <c r="B133" s="1091"/>
      <c r="C133" s="626"/>
      <c r="D133" s="627"/>
      <c r="E133" s="630" t="s">
        <v>308</v>
      </c>
      <c r="F133" s="630" t="s">
        <v>624</v>
      </c>
      <c r="G133" s="610" t="s">
        <v>623</v>
      </c>
      <c r="H133" s="391"/>
      <c r="I133" s="391"/>
      <c r="J133" s="391"/>
      <c r="K133" s="391"/>
      <c r="L133" s="391"/>
      <c r="M133" s="391"/>
      <c r="N133" s="611"/>
      <c r="O133" s="627"/>
      <c r="P133" s="627"/>
      <c r="Q133" s="627"/>
      <c r="R133" s="627"/>
      <c r="S133" s="627"/>
      <c r="T133" s="627"/>
      <c r="U133" s="627"/>
      <c r="V133" s="627"/>
      <c r="W133" s="627"/>
      <c r="X133" s="1664"/>
      <c r="Y133" s="627"/>
    </row>
    <row r="134" spans="1:25" ht="15" x14ac:dyDescent="0.2">
      <c r="A134" s="621"/>
      <c r="B134" s="1091"/>
      <c r="C134" s="626"/>
      <c r="D134" s="627"/>
      <c r="E134" s="631" t="s">
        <v>635</v>
      </c>
      <c r="F134" s="627"/>
      <c r="G134" s="391" t="s">
        <v>136</v>
      </c>
      <c r="H134" s="391">
        <f ca="1">IF(H132&lt;150,$R$45,IF(H132&lt;400,$S$45,$T$45))</f>
        <v>105</v>
      </c>
      <c r="I134" s="391">
        <v>35.799999999999997</v>
      </c>
      <c r="J134" s="391">
        <v>212</v>
      </c>
      <c r="K134" s="391" t="s">
        <v>1107</v>
      </c>
      <c r="L134" s="391"/>
      <c r="M134" s="391"/>
      <c r="N134" s="611">
        <f>30/'Energy &amp; Unit Conversions'!$E$93*'Energy &amp; Unit Conversions'!$G$84</f>
        <v>31.651675578599999</v>
      </c>
      <c r="O134" s="627"/>
      <c r="P134" s="636"/>
      <c r="Q134" s="631"/>
      <c r="R134" s="627"/>
      <c r="S134" s="631"/>
      <c r="T134" s="627"/>
      <c r="U134" s="632"/>
      <c r="V134" s="627"/>
      <c r="W134" s="627"/>
      <c r="X134" s="1664"/>
      <c r="Y134" s="627"/>
    </row>
    <row r="135" spans="1:25" ht="15" x14ac:dyDescent="0.2">
      <c r="A135" s="621"/>
      <c r="B135" s="1091"/>
      <c r="C135" s="626"/>
      <c r="D135" s="627"/>
      <c r="E135" s="631"/>
      <c r="F135" s="627"/>
      <c r="G135" s="391" t="s">
        <v>637</v>
      </c>
      <c r="H135" s="391">
        <f ca="1">IF('Energy &amp; Unit Conversions'!$E$10=1,H134,H134/'Energy &amp; Unit Conversions'!$K$59)/'Energy &amp; Unit Conversions'!$P$25/'Energy &amp; Unit Conversions'!$G$82</f>
        <v>107.01126379400964</v>
      </c>
      <c r="I135" s="391">
        <f>IF('Energy &amp; Unit Conversions'!$E$10=1,I134,I134/'Energy &amp; Unit Conversions'!$K$59)/'Energy &amp; Unit Conversions'!$P$25/'Energy &amp; Unit Conversions'!$G$82</f>
        <v>36.485745179290902</v>
      </c>
      <c r="J135" s="391">
        <f>IF('Energy &amp; Unit Conversions'!$E$10=1,J134,J134/'Energy &amp; Unit Conversions'!$K$59)/'Energy &amp; Unit Conversions'!$P$25/'Energy &amp; Unit Conversions'!$G$82</f>
        <v>216.06083737457183</v>
      </c>
      <c r="K135" s="391"/>
      <c r="L135" s="391"/>
      <c r="M135" s="391"/>
      <c r="N135" s="611"/>
      <c r="O135" s="627"/>
      <c r="P135" s="636"/>
      <c r="Q135" s="631"/>
      <c r="R135" s="627"/>
      <c r="S135" s="631"/>
      <c r="T135" s="627"/>
      <c r="U135" s="632"/>
      <c r="V135" s="627"/>
      <c r="W135" s="627"/>
      <c r="X135" s="1664"/>
      <c r="Y135" s="627"/>
    </row>
    <row r="136" spans="1:25" ht="15" x14ac:dyDescent="0.2">
      <c r="A136" s="621"/>
      <c r="B136" s="1091"/>
      <c r="C136" s="626"/>
      <c r="D136" s="627"/>
      <c r="E136" s="631" t="s">
        <v>451</v>
      </c>
      <c r="F136" s="627"/>
      <c r="G136" s="391" t="s">
        <v>665</v>
      </c>
      <c r="H136" s="391">
        <f ca="1">IF(H132&lt;150,$R$47,IF(H132&lt;400,$S$47,$T$47))</f>
        <v>2</v>
      </c>
      <c r="I136" s="391">
        <f>I137/'Energy &amp; Unit Conversions'!$G$88</f>
        <v>0.9</v>
      </c>
      <c r="J136" s="391">
        <f>J137/'Energy &amp; Unit Conversions'!$G$88</f>
        <v>6</v>
      </c>
      <c r="K136" s="391" t="s">
        <v>1107</v>
      </c>
      <c r="L136" s="391"/>
      <c r="M136" s="391"/>
      <c r="N136" s="611">
        <v>1.9</v>
      </c>
      <c r="O136" s="627"/>
      <c r="P136" s="636"/>
      <c r="Q136" s="627"/>
      <c r="R136" s="627"/>
      <c r="S136" s="631"/>
      <c r="T136" s="627"/>
      <c r="U136" s="632"/>
      <c r="V136" s="627"/>
      <c r="W136" s="627"/>
      <c r="X136" s="1664"/>
      <c r="Y136" s="627"/>
    </row>
    <row r="137" spans="1:25" ht="15" x14ac:dyDescent="0.2">
      <c r="A137" s="621"/>
      <c r="B137" s="1091"/>
      <c r="C137" s="626"/>
      <c r="D137" s="627"/>
      <c r="E137" s="631"/>
      <c r="F137" s="627"/>
      <c r="G137" s="391" t="s">
        <v>136</v>
      </c>
      <c r="H137" s="391">
        <f ca="1">H136*'Energy &amp; Unit Conversions'!$G$88</f>
        <v>7.2</v>
      </c>
      <c r="I137" s="391">
        <v>3.24</v>
      </c>
      <c r="J137" s="391">
        <v>21.6</v>
      </c>
      <c r="K137" s="391"/>
      <c r="L137" s="391"/>
      <c r="M137" s="391"/>
      <c r="N137" s="611"/>
      <c r="O137" s="627"/>
      <c r="P137" s="627"/>
      <c r="Q137" s="627"/>
      <c r="R137" s="627"/>
      <c r="S137" s="631"/>
      <c r="T137" s="627"/>
      <c r="U137" s="632"/>
      <c r="V137" s="627"/>
      <c r="W137" s="627"/>
      <c r="X137" s="1664"/>
      <c r="Y137" s="627"/>
    </row>
    <row r="138" spans="1:25" ht="15" x14ac:dyDescent="0.2">
      <c r="A138" s="621"/>
      <c r="B138" s="1091"/>
      <c r="C138" s="626"/>
      <c r="D138" s="627"/>
      <c r="E138" s="631" t="s">
        <v>485</v>
      </c>
      <c r="F138" s="627"/>
      <c r="G138" s="391" t="s">
        <v>496</v>
      </c>
      <c r="H138" s="391">
        <f ca="1">IF(H132&lt;150,$R$48,IF(H132&lt;400,$S$48,$T$48))</f>
        <v>6</v>
      </c>
      <c r="I138" s="391">
        <f>I139/'Energy &amp; Unit Conversions'!$E$70/'Energy &amp; Unit Conversions'!$G$79</f>
        <v>7.9232807422783669</v>
      </c>
      <c r="J138" s="391">
        <f>J139/'Energy &amp; Unit Conversions'!$E$70/'Energy &amp; Unit Conversions'!$G$79</f>
        <v>11.038416760610033</v>
      </c>
      <c r="K138" s="391" t="s">
        <v>1107</v>
      </c>
      <c r="L138" s="391"/>
      <c r="M138" s="391"/>
      <c r="N138" s="611" t="s">
        <v>1118</v>
      </c>
      <c r="O138" s="627"/>
      <c r="P138" s="627"/>
      <c r="Q138" s="627"/>
      <c r="R138" s="627"/>
      <c r="S138" s="627"/>
      <c r="T138" s="632"/>
      <c r="U138" s="627"/>
      <c r="V138" s="627"/>
      <c r="W138" s="627"/>
      <c r="X138" s="1664"/>
      <c r="Y138" s="627"/>
    </row>
    <row r="139" spans="1:25" ht="15" x14ac:dyDescent="0.2">
      <c r="A139" s="621"/>
      <c r="B139" s="1091"/>
      <c r="C139" s="626"/>
      <c r="D139" s="627"/>
      <c r="E139" s="631"/>
      <c r="F139" s="631"/>
      <c r="G139" s="391" t="s">
        <v>136</v>
      </c>
      <c r="H139" s="391">
        <f ca="1">H138*('Energy &amp; Unit Conversions'!$E$70*'Energy &amp; Unit Conversions'!$G$79)</f>
        <v>8.8599662543086595</v>
      </c>
      <c r="I139" s="391">
        <v>11.7</v>
      </c>
      <c r="J139" s="391">
        <v>16.3</v>
      </c>
      <c r="K139" s="391"/>
      <c r="L139" s="391"/>
      <c r="M139" s="391"/>
      <c r="N139" s="611"/>
      <c r="O139" s="627"/>
      <c r="P139" s="627"/>
      <c r="Q139" s="627"/>
      <c r="R139" s="627"/>
      <c r="S139" s="627"/>
      <c r="T139" s="632"/>
      <c r="U139" s="627"/>
      <c r="V139" s="627"/>
      <c r="W139" s="627"/>
      <c r="X139" s="1664"/>
      <c r="Y139" s="627"/>
    </row>
    <row r="140" spans="1:25" ht="15" x14ac:dyDescent="0.2">
      <c r="A140" s="621"/>
      <c r="B140" s="1091"/>
      <c r="C140" s="626"/>
      <c r="D140" s="627"/>
      <c r="E140" s="631"/>
      <c r="F140" s="631"/>
      <c r="G140" s="391"/>
      <c r="H140" s="391"/>
      <c r="I140" s="391"/>
      <c r="J140" s="391"/>
      <c r="K140" s="391"/>
      <c r="L140" s="391"/>
      <c r="M140" s="391"/>
      <c r="N140" s="611"/>
      <c r="O140" s="627"/>
      <c r="P140" s="627"/>
      <c r="Q140" s="627"/>
      <c r="R140" s="627"/>
      <c r="S140" s="627"/>
      <c r="T140" s="632"/>
      <c r="U140" s="627"/>
      <c r="V140" s="627"/>
      <c r="W140" s="627"/>
      <c r="X140" s="1664"/>
      <c r="Y140" s="627"/>
    </row>
    <row r="141" spans="1:25" ht="15" x14ac:dyDescent="0.2">
      <c r="A141" s="621"/>
      <c r="B141" s="1091"/>
      <c r="C141" s="626"/>
      <c r="D141" s="627"/>
      <c r="E141" s="631" t="s">
        <v>1242</v>
      </c>
      <c r="F141" s="627"/>
      <c r="G141" s="391" t="str">
        <f>G178</f>
        <v>wt%</v>
      </c>
      <c r="H141" s="674">
        <f>H178</f>
        <v>22.2</v>
      </c>
      <c r="I141" s="391"/>
      <c r="J141" s="391"/>
      <c r="K141" s="391"/>
      <c r="L141" s="391"/>
      <c r="M141" s="391"/>
      <c r="N141" s="611"/>
      <c r="O141" s="627"/>
      <c r="P141" s="627"/>
      <c r="Q141" s="629"/>
      <c r="R141" s="627"/>
      <c r="S141" s="627"/>
      <c r="T141" s="632"/>
      <c r="U141" s="627"/>
      <c r="V141" s="627"/>
      <c r="W141" s="627"/>
      <c r="X141" s="1664"/>
      <c r="Y141" s="627"/>
    </row>
    <row r="142" spans="1:25" ht="18.75" x14ac:dyDescent="0.3">
      <c r="A142" s="621"/>
      <c r="B142" s="1091"/>
      <c r="C142" s="626"/>
      <c r="D142" s="628" t="s">
        <v>1784</v>
      </c>
      <c r="E142" s="627"/>
      <c r="F142" s="627"/>
      <c r="G142" s="391"/>
      <c r="H142" s="391"/>
      <c r="I142" s="391"/>
      <c r="J142" s="391"/>
      <c r="K142" s="391"/>
      <c r="L142" s="391"/>
      <c r="M142" s="391"/>
      <c r="N142" s="611"/>
      <c r="O142" s="627"/>
      <c r="P142" s="636"/>
      <c r="Q142" s="627"/>
      <c r="R142" s="627"/>
      <c r="S142" s="631"/>
      <c r="T142" s="627"/>
      <c r="U142" s="627"/>
      <c r="V142" s="627"/>
      <c r="W142" s="627"/>
      <c r="X142" s="1664"/>
      <c r="Y142" s="627"/>
    </row>
    <row r="143" spans="1:25" ht="15" x14ac:dyDescent="0.2">
      <c r="A143" s="621"/>
      <c r="B143" s="1091"/>
      <c r="C143" s="626"/>
      <c r="D143" s="629" t="s">
        <v>1105</v>
      </c>
      <c r="E143" s="627"/>
      <c r="F143" s="627"/>
      <c r="G143" s="391"/>
      <c r="H143" s="657">
        <f>$H$9*$W$19</f>
        <v>25688</v>
      </c>
      <c r="I143" s="391">
        <v>3000</v>
      </c>
      <c r="J143" s="391">
        <v>243000</v>
      </c>
      <c r="K143" s="391">
        <v>63000</v>
      </c>
      <c r="L143" s="391">
        <v>63057</v>
      </c>
      <c r="M143" s="391">
        <v>55555</v>
      </c>
      <c r="N143" s="611">
        <v>25000</v>
      </c>
      <c r="O143" s="627"/>
      <c r="P143" s="636"/>
      <c r="Q143" s="627"/>
      <c r="R143" s="627"/>
      <c r="S143" s="631"/>
      <c r="T143" s="627"/>
      <c r="U143" s="627"/>
      <c r="V143" s="627"/>
      <c r="W143" s="627"/>
      <c r="X143" s="1664"/>
      <c r="Y143" s="627"/>
    </row>
    <row r="144" spans="1:25" ht="15" x14ac:dyDescent="0.2">
      <c r="A144" s="621"/>
      <c r="B144" s="1091"/>
      <c r="C144" s="626"/>
      <c r="D144" s="629"/>
      <c r="E144" s="627"/>
      <c r="F144" s="627"/>
      <c r="G144" s="391"/>
      <c r="H144" s="391"/>
      <c r="I144" s="391"/>
      <c r="J144" s="391"/>
      <c r="K144" s="391"/>
      <c r="L144" s="391"/>
      <c r="M144" s="391"/>
      <c r="N144" s="611"/>
      <c r="O144" s="627"/>
      <c r="P144" s="636"/>
      <c r="Q144" s="627"/>
      <c r="R144" s="627"/>
      <c r="S144" s="631"/>
      <c r="T144" s="627"/>
      <c r="U144" s="627"/>
      <c r="V144" s="627"/>
      <c r="W144" s="627"/>
      <c r="X144" s="1664"/>
      <c r="Y144" s="627"/>
    </row>
    <row r="145" spans="1:25" ht="15" x14ac:dyDescent="0.2">
      <c r="A145" s="621"/>
      <c r="B145" s="1091"/>
      <c r="C145" s="626"/>
      <c r="D145" s="627"/>
      <c r="E145" s="627" t="s">
        <v>716</v>
      </c>
      <c r="F145" s="627"/>
      <c r="G145" s="391" t="s">
        <v>637</v>
      </c>
      <c r="H145" s="391">
        <f ca="1">HydroRefineryCalcs!D632/HydroRefineryCalcs!I620*'Energy &amp; Unit Conversions'!$E$93/'Energy &amp; Unit Conversions'!$E$26</f>
        <v>0</v>
      </c>
      <c r="I145" s="391">
        <v>100</v>
      </c>
      <c r="J145" s="391">
        <v>900</v>
      </c>
      <c r="K145" s="391" t="s">
        <v>1107</v>
      </c>
      <c r="L145" s="391"/>
      <c r="M145" s="391"/>
      <c r="N145" s="611" t="s">
        <v>1117</v>
      </c>
      <c r="O145" s="627"/>
      <c r="P145" s="636"/>
      <c r="Q145" s="627"/>
      <c r="R145" s="627"/>
      <c r="S145" s="631"/>
      <c r="T145" s="627"/>
      <c r="U145" s="627"/>
      <c r="V145" s="627"/>
      <c r="W145" s="627"/>
      <c r="X145" s="1664"/>
      <c r="Y145" s="627"/>
    </row>
    <row r="146" spans="1:25" ht="15" x14ac:dyDescent="0.2">
      <c r="A146" s="621"/>
      <c r="B146" s="1091"/>
      <c r="C146" s="626"/>
      <c r="D146" s="627"/>
      <c r="E146" s="630" t="s">
        <v>308</v>
      </c>
      <c r="F146" s="675" t="s">
        <v>624</v>
      </c>
      <c r="G146" s="676" t="s">
        <v>623</v>
      </c>
      <c r="H146" s="391"/>
      <c r="I146" s="391"/>
      <c r="J146" s="391"/>
      <c r="K146" s="391"/>
      <c r="L146" s="391"/>
      <c r="M146" s="391"/>
      <c r="N146" s="611"/>
      <c r="O146" s="627"/>
      <c r="P146" s="636"/>
      <c r="Q146" s="627"/>
      <c r="R146" s="627"/>
      <c r="S146" s="631"/>
      <c r="T146" s="627"/>
      <c r="U146" s="627"/>
      <c r="V146" s="627"/>
      <c r="W146" s="627"/>
      <c r="X146" s="1664"/>
      <c r="Y146" s="627"/>
    </row>
    <row r="147" spans="1:25" ht="15" x14ac:dyDescent="0.2">
      <c r="A147" s="621"/>
      <c r="B147" s="1091"/>
      <c r="C147" s="626"/>
      <c r="D147" s="627"/>
      <c r="E147" s="631" t="s">
        <v>635</v>
      </c>
      <c r="F147" s="627"/>
      <c r="G147" s="391" t="s">
        <v>136</v>
      </c>
      <c r="H147" s="391">
        <f ca="1">IF(H145&lt;150,$R$45,IF(H145&lt;400,$S$45,$T$45))</f>
        <v>105</v>
      </c>
      <c r="I147" s="391">
        <v>35.799999999999997</v>
      </c>
      <c r="J147" s="391">
        <v>212</v>
      </c>
      <c r="K147" s="391" t="s">
        <v>1107</v>
      </c>
      <c r="L147" s="391"/>
      <c r="M147" s="391"/>
      <c r="N147" s="611">
        <f>30/'Energy &amp; Unit Conversions'!E93*'Energy &amp; Unit Conversions'!G84</f>
        <v>31.651675578599999</v>
      </c>
      <c r="O147" s="627"/>
      <c r="P147" s="636"/>
      <c r="Q147" s="627"/>
      <c r="R147" s="627"/>
      <c r="S147" s="631"/>
      <c r="T147" s="627"/>
      <c r="U147" s="627"/>
      <c r="V147" s="627"/>
      <c r="W147" s="627"/>
      <c r="X147" s="1664"/>
      <c r="Y147" s="627"/>
    </row>
    <row r="148" spans="1:25" ht="15" x14ac:dyDescent="0.2">
      <c r="A148" s="621"/>
      <c r="B148" s="1091"/>
      <c r="C148" s="626"/>
      <c r="D148" s="627"/>
      <c r="E148" s="631"/>
      <c r="F148" s="627"/>
      <c r="G148" s="391" t="s">
        <v>637</v>
      </c>
      <c r="H148" s="391">
        <f ca="1">IF('Energy &amp; Unit Conversions'!$E$10=1,H147,H147/'Energy &amp; Unit Conversions'!$K$59)/'Energy &amp; Unit Conversions'!$P$25/'Energy &amp; Unit Conversions'!$G$82</f>
        <v>107.01126379400964</v>
      </c>
      <c r="I148" s="391">
        <f>IF('Energy &amp; Unit Conversions'!$E$10=1,I147,I147/'Energy &amp; Unit Conversions'!$K$59)/'Energy &amp; Unit Conversions'!$P$25/'Energy &amp; Unit Conversions'!$G$82</f>
        <v>36.485745179290902</v>
      </c>
      <c r="J148" s="391">
        <f>IF('Energy &amp; Unit Conversions'!$E$10=1,J147,J147/'Energy &amp; Unit Conversions'!$K$59)/'Energy &amp; Unit Conversions'!$P$25/'Energy &amp; Unit Conversions'!$G$82</f>
        <v>216.06083737457183</v>
      </c>
      <c r="K148" s="391"/>
      <c r="L148" s="391"/>
      <c r="M148" s="391"/>
      <c r="N148" s="611"/>
      <c r="O148" s="627"/>
      <c r="P148" s="636"/>
      <c r="Q148" s="627"/>
      <c r="R148" s="627"/>
      <c r="S148" s="631"/>
      <c r="T148" s="627"/>
      <c r="U148" s="627"/>
      <c r="V148" s="627"/>
      <c r="W148" s="627"/>
      <c r="X148" s="1664"/>
      <c r="Y148" s="627"/>
    </row>
    <row r="149" spans="1:25" ht="15" x14ac:dyDescent="0.2">
      <c r="A149" s="621"/>
      <c r="B149" s="1091"/>
      <c r="C149" s="626"/>
      <c r="D149" s="627"/>
      <c r="E149" s="631" t="s">
        <v>451</v>
      </c>
      <c r="F149" s="627"/>
      <c r="G149" s="391" t="s">
        <v>665</v>
      </c>
      <c r="H149" s="391">
        <f ca="1">IF(H145&lt;150,$R$47,IF(H145&lt;400,$S$47,$T$47))</f>
        <v>2</v>
      </c>
      <c r="I149" s="391">
        <f>I150/'Energy &amp; Unit Conversions'!G88</f>
        <v>0.9</v>
      </c>
      <c r="J149" s="391">
        <f>J150/'Energy &amp; Unit Conversions'!G88</f>
        <v>6</v>
      </c>
      <c r="K149" s="391" t="s">
        <v>1107</v>
      </c>
      <c r="L149" s="391"/>
      <c r="M149" s="391"/>
      <c r="N149" s="611">
        <v>1.9</v>
      </c>
      <c r="O149" s="627"/>
      <c r="P149" s="636"/>
      <c r="Q149" s="627"/>
      <c r="R149" s="627"/>
      <c r="S149" s="631"/>
      <c r="T149" s="627"/>
      <c r="U149" s="627"/>
      <c r="V149" s="627"/>
      <c r="W149" s="627"/>
      <c r="X149" s="1664"/>
      <c r="Y149" s="627"/>
    </row>
    <row r="150" spans="1:25" ht="15" x14ac:dyDescent="0.2">
      <c r="A150" s="621"/>
      <c r="B150" s="1091"/>
      <c r="C150" s="626"/>
      <c r="D150" s="627"/>
      <c r="E150" s="631"/>
      <c r="F150" s="627"/>
      <c r="G150" s="391" t="s">
        <v>136</v>
      </c>
      <c r="H150" s="391">
        <f ca="1">H149*'Energy &amp; Unit Conversions'!$G$88</f>
        <v>7.2</v>
      </c>
      <c r="I150" s="391">
        <v>3.24</v>
      </c>
      <c r="J150" s="391">
        <v>21.6</v>
      </c>
      <c r="K150" s="391"/>
      <c r="L150" s="391"/>
      <c r="M150" s="391"/>
      <c r="N150" s="611"/>
      <c r="O150" s="627"/>
      <c r="P150" s="636"/>
      <c r="Q150" s="627"/>
      <c r="R150" s="627"/>
      <c r="S150" s="631"/>
      <c r="T150" s="627"/>
      <c r="U150" s="627"/>
      <c r="V150" s="627"/>
      <c r="W150" s="627"/>
      <c r="X150" s="1664"/>
      <c r="Y150" s="627"/>
    </row>
    <row r="151" spans="1:25" ht="15" x14ac:dyDescent="0.2">
      <c r="A151" s="621"/>
      <c r="B151" s="1091"/>
      <c r="C151" s="626"/>
      <c r="D151" s="627"/>
      <c r="E151" s="631" t="s">
        <v>485</v>
      </c>
      <c r="F151" s="627"/>
      <c r="G151" s="391" t="s">
        <v>496</v>
      </c>
      <c r="H151" s="391">
        <f ca="1">IF(H145&lt;150,$R$48,IF(H145&lt;400,$S$48,$T$48))</f>
        <v>6</v>
      </c>
      <c r="I151" s="391">
        <f>I152/'Energy &amp; Unit Conversions'!E70/'Energy &amp; Unit Conversions'!G79</f>
        <v>7.9232807422783669</v>
      </c>
      <c r="J151" s="391">
        <f>J152/'Energy &amp; Unit Conversions'!E70/'Energy &amp; Unit Conversions'!G79</f>
        <v>11.038416760610033</v>
      </c>
      <c r="K151" s="391" t="s">
        <v>1107</v>
      </c>
      <c r="L151" s="391"/>
      <c r="M151" s="391"/>
      <c r="N151" s="611" t="s">
        <v>1118</v>
      </c>
      <c r="O151" s="627"/>
      <c r="P151" s="636"/>
      <c r="Q151" s="627"/>
      <c r="R151" s="627"/>
      <c r="S151" s="631"/>
      <c r="T151" s="627"/>
      <c r="U151" s="627"/>
      <c r="V151" s="627"/>
      <c r="W151" s="627"/>
      <c r="X151" s="1664"/>
      <c r="Y151" s="627"/>
    </row>
    <row r="152" spans="1:25" ht="15" x14ac:dyDescent="0.2">
      <c r="A152" s="621"/>
      <c r="B152" s="1091"/>
      <c r="C152" s="626"/>
      <c r="D152" s="627"/>
      <c r="E152" s="631"/>
      <c r="F152" s="631"/>
      <c r="G152" s="391" t="s">
        <v>136</v>
      </c>
      <c r="H152" s="391">
        <f ca="1">H151*('Energy &amp; Unit Conversions'!$E$70*'Energy &amp; Unit Conversions'!$G$79)</f>
        <v>8.8599662543086595</v>
      </c>
      <c r="I152" s="391">
        <v>11.7</v>
      </c>
      <c r="J152" s="391">
        <v>16.3</v>
      </c>
      <c r="K152" s="391"/>
      <c r="L152" s="391"/>
      <c r="M152" s="391"/>
      <c r="N152" s="611"/>
      <c r="O152" s="627"/>
      <c r="P152" s="636"/>
      <c r="Q152" s="627"/>
      <c r="R152" s="627"/>
      <c r="S152" s="631"/>
      <c r="T152" s="627"/>
      <c r="U152" s="627"/>
      <c r="V152" s="627"/>
      <c r="W152" s="627"/>
      <c r="X152" s="1664"/>
      <c r="Y152" s="627"/>
    </row>
    <row r="153" spans="1:25" ht="15" x14ac:dyDescent="0.2">
      <c r="A153" s="621"/>
      <c r="B153" s="1091"/>
      <c r="C153" s="626"/>
      <c r="D153" s="627"/>
      <c r="E153" s="631"/>
      <c r="F153" s="631"/>
      <c r="G153" s="391"/>
      <c r="H153" s="391"/>
      <c r="I153" s="391"/>
      <c r="J153" s="391"/>
      <c r="K153" s="391"/>
      <c r="L153" s="391"/>
      <c r="M153" s="391"/>
      <c r="N153" s="611"/>
      <c r="O153" s="627"/>
      <c r="P153" s="636"/>
      <c r="Q153" s="627"/>
      <c r="R153" s="627"/>
      <c r="S153" s="631"/>
      <c r="T153" s="627"/>
      <c r="U153" s="627"/>
      <c r="V153" s="627"/>
      <c r="W153" s="627"/>
      <c r="X153" s="1664"/>
      <c r="Y153" s="627"/>
    </row>
    <row r="154" spans="1:25" ht="15" x14ac:dyDescent="0.2">
      <c r="A154" s="621"/>
      <c r="B154" s="1091"/>
      <c r="C154" s="626"/>
      <c r="D154" s="627"/>
      <c r="E154" s="631" t="s">
        <v>1242</v>
      </c>
      <c r="F154" s="627"/>
      <c r="G154" s="391" t="s">
        <v>579</v>
      </c>
      <c r="H154" s="674">
        <f>$F$168</f>
        <v>0</v>
      </c>
      <c r="I154" s="391"/>
      <c r="J154" s="391"/>
      <c r="K154" s="391"/>
      <c r="L154" s="391"/>
      <c r="M154" s="391"/>
      <c r="N154" s="611"/>
      <c r="O154" s="627"/>
      <c r="P154" s="636"/>
      <c r="Q154" s="631"/>
      <c r="R154" s="627"/>
      <c r="S154" s="631"/>
      <c r="T154" s="627"/>
      <c r="U154" s="627"/>
      <c r="V154" s="627"/>
      <c r="W154" s="627"/>
      <c r="X154" s="1664"/>
      <c r="Y154" s="627"/>
    </row>
    <row r="155" spans="1:25" ht="15" x14ac:dyDescent="0.2">
      <c r="A155" s="621"/>
      <c r="B155" s="1091"/>
      <c r="C155" s="626"/>
      <c r="D155" s="627"/>
      <c r="E155" s="627"/>
      <c r="F155" s="627"/>
      <c r="G155" s="391"/>
      <c r="H155" s="391"/>
      <c r="I155" s="391"/>
      <c r="J155" s="391"/>
      <c r="K155" s="391"/>
      <c r="L155" s="391"/>
      <c r="M155" s="391"/>
      <c r="N155" s="611"/>
      <c r="O155" s="627"/>
      <c r="P155" s="637"/>
      <c r="Q155" s="627"/>
      <c r="R155" s="627"/>
      <c r="S155" s="631"/>
      <c r="T155" s="627"/>
      <c r="U155" s="627"/>
      <c r="V155" s="627"/>
      <c r="W155" s="627"/>
      <c r="X155" s="1664"/>
      <c r="Y155" s="627"/>
    </row>
    <row r="156" spans="1:25" ht="18.75" x14ac:dyDescent="0.3">
      <c r="A156" s="621"/>
      <c r="B156" s="1091"/>
      <c r="C156" s="626"/>
      <c r="D156" s="628" t="s">
        <v>910</v>
      </c>
      <c r="E156" s="627"/>
      <c r="F156" s="627"/>
      <c r="G156" s="391"/>
      <c r="H156" s="610">
        <f ca="1">CokingRefineryCalcs!E920</f>
        <v>1.2254854458739841E-17</v>
      </c>
      <c r="I156" s="391"/>
      <c r="J156" s="391"/>
      <c r="K156" s="391"/>
      <c r="L156" s="391"/>
      <c r="M156" s="391"/>
      <c r="N156" s="611"/>
      <c r="O156" s="627"/>
      <c r="P156" s="636"/>
      <c r="Q156" s="631"/>
      <c r="R156" s="627"/>
      <c r="S156" s="631"/>
      <c r="T156" s="627"/>
      <c r="U156" s="627"/>
      <c r="V156" s="627"/>
      <c r="W156" s="627"/>
      <c r="X156" s="1664"/>
      <c r="Y156" s="627"/>
    </row>
    <row r="157" spans="1:25" ht="15" x14ac:dyDescent="0.2">
      <c r="A157" s="621"/>
      <c r="B157" s="1091"/>
      <c r="C157" s="626"/>
      <c r="D157" s="629" t="s">
        <v>1105</v>
      </c>
      <c r="E157" s="627"/>
      <c r="F157" s="627"/>
      <c r="G157" s="391" t="s">
        <v>1100</v>
      </c>
      <c r="H157" s="665"/>
      <c r="I157" s="391" t="s">
        <v>1110</v>
      </c>
      <c r="J157" s="391" t="s">
        <v>1110</v>
      </c>
      <c r="K157" s="391" t="s">
        <v>1107</v>
      </c>
      <c r="L157" s="391" t="s">
        <v>1110</v>
      </c>
      <c r="M157" s="391"/>
      <c r="N157" s="611"/>
      <c r="O157" s="627"/>
      <c r="P157" s="636"/>
      <c r="Q157" s="627"/>
      <c r="R157" s="627"/>
      <c r="S157" s="631"/>
      <c r="T157" s="627"/>
      <c r="U157" s="627"/>
      <c r="V157" s="627"/>
      <c r="W157" s="627"/>
      <c r="X157" s="1664"/>
      <c r="Y157" s="627"/>
    </row>
    <row r="158" spans="1:25" ht="15" x14ac:dyDescent="0.2">
      <c r="A158" s="621"/>
      <c r="B158" s="1091"/>
      <c r="C158" s="626"/>
      <c r="D158" s="627"/>
      <c r="E158" s="627"/>
      <c r="F158" s="627"/>
      <c r="G158" s="391"/>
      <c r="H158" s="665"/>
      <c r="I158" s="391"/>
      <c r="J158" s="391"/>
      <c r="K158" s="391"/>
      <c r="L158" s="391"/>
      <c r="M158" s="391"/>
      <c r="N158" s="611"/>
      <c r="O158" s="627"/>
      <c r="P158" s="627"/>
      <c r="Q158" s="627"/>
      <c r="R158" s="627"/>
      <c r="S158" s="627"/>
      <c r="T158" s="627"/>
      <c r="U158" s="627"/>
      <c r="V158" s="627"/>
      <c r="W158" s="639"/>
      <c r="X158" s="1664"/>
      <c r="Y158" s="627"/>
    </row>
    <row r="159" spans="1:25" ht="15" x14ac:dyDescent="0.2">
      <c r="A159" s="621"/>
      <c r="B159" s="1091"/>
      <c r="C159" s="626"/>
      <c r="D159" s="627"/>
      <c r="E159" s="627" t="s">
        <v>716</v>
      </c>
      <c r="F159" s="627"/>
      <c r="G159" s="391" t="s">
        <v>637</v>
      </c>
      <c r="H159" s="666">
        <f ca="1">CokingRefineryCalcs!D947/CokingRefineryCalcs!E920*'Energy &amp; Unit Conversions'!E93/'Energy &amp; Unit Conversions'!E26</f>
        <v>0</v>
      </c>
      <c r="I159" s="391"/>
      <c r="J159" s="391"/>
      <c r="K159" s="391"/>
      <c r="L159" s="391"/>
      <c r="M159" s="391"/>
      <c r="N159" s="611"/>
      <c r="O159" s="627"/>
      <c r="P159" s="627"/>
      <c r="Q159" s="627"/>
      <c r="R159" s="627"/>
      <c r="S159" s="627"/>
      <c r="T159" s="627"/>
      <c r="U159" s="627"/>
      <c r="V159" s="627"/>
      <c r="W159" s="627"/>
      <c r="X159" s="1664"/>
      <c r="Y159" s="627"/>
    </row>
    <row r="160" spans="1:25" ht="13.5" customHeight="1" x14ac:dyDescent="0.2">
      <c r="A160" s="621"/>
      <c r="B160" s="1091"/>
      <c r="C160" s="626"/>
      <c r="D160" s="627"/>
      <c r="E160" s="631" t="s">
        <v>635</v>
      </c>
      <c r="F160" s="627"/>
      <c r="G160" s="391" t="s">
        <v>136</v>
      </c>
      <c r="H160" s="665">
        <f ca="1">IF(H159&lt;150,$R$45,IF(H159&lt;400,$S$45,$T$45))</f>
        <v>105</v>
      </c>
      <c r="I160" s="391"/>
      <c r="J160" s="391"/>
      <c r="K160" s="391"/>
      <c r="L160" s="391"/>
      <c r="M160" s="391"/>
      <c r="N160" s="611"/>
      <c r="O160" s="627"/>
      <c r="P160" s="627"/>
      <c r="Q160" s="629"/>
      <c r="R160" s="627"/>
      <c r="S160" s="627"/>
      <c r="T160" s="627"/>
      <c r="U160" s="627"/>
      <c r="V160" s="627"/>
      <c r="W160" s="627"/>
      <c r="X160" s="1664"/>
      <c r="Y160" s="627"/>
    </row>
    <row r="161" spans="1:25" ht="13.5" customHeight="1" x14ac:dyDescent="0.2">
      <c r="A161" s="621"/>
      <c r="B161" s="1091"/>
      <c r="C161" s="626"/>
      <c r="D161" s="627"/>
      <c r="E161" s="631"/>
      <c r="F161" s="627"/>
      <c r="G161" s="391" t="s">
        <v>637</v>
      </c>
      <c r="H161" s="665">
        <f ca="1">IF('Energy &amp; Unit Conversions'!$E$10=1,H160,H160/'Energy &amp; Unit Conversions'!$K$59)/'Energy &amp; Unit Conversions'!$P$25/'Energy &amp; Unit Conversions'!$G$82</f>
        <v>107.01126379400964</v>
      </c>
      <c r="I161" s="391"/>
      <c r="J161" s="391"/>
      <c r="K161" s="391"/>
      <c r="L161" s="391"/>
      <c r="M161" s="391"/>
      <c r="N161" s="611"/>
      <c r="O161" s="627"/>
      <c r="P161" s="627"/>
      <c r="Q161" s="629"/>
      <c r="R161" s="627"/>
      <c r="S161" s="627"/>
      <c r="T161" s="627"/>
      <c r="U161" s="627"/>
      <c r="V161" s="627"/>
      <c r="W161" s="627"/>
      <c r="X161" s="1664"/>
      <c r="Y161" s="627"/>
    </row>
    <row r="162" spans="1:25" ht="15" x14ac:dyDescent="0.2">
      <c r="A162" s="621"/>
      <c r="B162" s="1091"/>
      <c r="C162" s="626"/>
      <c r="D162" s="627"/>
      <c r="E162" s="631" t="s">
        <v>451</v>
      </c>
      <c r="F162" s="627"/>
      <c r="G162" s="391" t="s">
        <v>665</v>
      </c>
      <c r="H162" s="665">
        <f ca="1">IF(H159&lt;150,$R$47,IF(H159&lt;400,$S$47,$T$47))</f>
        <v>2</v>
      </c>
      <c r="I162" s="391"/>
      <c r="J162" s="391"/>
      <c r="K162" s="391"/>
      <c r="L162" s="391"/>
      <c r="M162" s="391"/>
      <c r="N162" s="611"/>
      <c r="O162" s="627"/>
      <c r="P162" s="640"/>
      <c r="Q162" s="631"/>
      <c r="R162" s="627"/>
      <c r="S162" s="631"/>
      <c r="T162" s="627"/>
      <c r="U162" s="627"/>
      <c r="V162" s="627"/>
      <c r="W162" s="627"/>
      <c r="X162" s="1664"/>
      <c r="Y162" s="627"/>
    </row>
    <row r="163" spans="1:25" ht="15" x14ac:dyDescent="0.2">
      <c r="A163" s="621"/>
      <c r="B163" s="1091"/>
      <c r="C163" s="626"/>
      <c r="D163" s="627"/>
      <c r="E163" s="631"/>
      <c r="F163" s="627"/>
      <c r="G163" s="391"/>
      <c r="H163" s="665"/>
      <c r="I163" s="391"/>
      <c r="J163" s="391"/>
      <c r="K163" s="391"/>
      <c r="L163" s="391"/>
      <c r="M163" s="391"/>
      <c r="N163" s="611"/>
      <c r="O163" s="627"/>
      <c r="P163" s="640"/>
      <c r="Q163" s="631"/>
      <c r="R163" s="627"/>
      <c r="S163" s="631"/>
      <c r="T163" s="627"/>
      <c r="U163" s="627"/>
      <c r="V163" s="627"/>
      <c r="W163" s="627"/>
      <c r="X163" s="1664"/>
      <c r="Y163" s="627"/>
    </row>
    <row r="164" spans="1:25" ht="15" x14ac:dyDescent="0.2">
      <c r="A164" s="621"/>
      <c r="B164" s="1091"/>
      <c r="C164" s="626"/>
      <c r="D164" s="627"/>
      <c r="E164" s="631" t="s">
        <v>485</v>
      </c>
      <c r="F164" s="627"/>
      <c r="G164" s="391" t="s">
        <v>496</v>
      </c>
      <c r="H164" s="665">
        <f ca="1">IF(H159&lt;150,$R$48,IF(H159&lt;400,$S$48,$T$48))</f>
        <v>6</v>
      </c>
      <c r="I164" s="391"/>
      <c r="J164" s="391"/>
      <c r="K164" s="391"/>
      <c r="L164" s="391"/>
      <c r="M164" s="391"/>
      <c r="N164" s="611"/>
      <c r="O164" s="627"/>
      <c r="P164" s="636"/>
      <c r="Q164" s="631"/>
      <c r="R164" s="627"/>
      <c r="S164" s="631"/>
      <c r="T164" s="627"/>
      <c r="U164" s="627"/>
      <c r="V164" s="627"/>
      <c r="W164" s="639"/>
      <c r="X164" s="1664"/>
      <c r="Y164" s="627"/>
    </row>
    <row r="165" spans="1:25" ht="15" x14ac:dyDescent="0.2">
      <c r="A165" s="621"/>
      <c r="B165" s="1091"/>
      <c r="C165" s="626"/>
      <c r="D165" s="627"/>
      <c r="E165" s="631"/>
      <c r="F165" s="631"/>
      <c r="G165" s="391"/>
      <c r="H165" s="665"/>
      <c r="I165" s="391"/>
      <c r="J165" s="391"/>
      <c r="K165" s="391"/>
      <c r="L165" s="391"/>
      <c r="M165" s="391"/>
      <c r="N165" s="611"/>
      <c r="O165" s="627"/>
      <c r="P165" s="636"/>
      <c r="Q165" s="627"/>
      <c r="R165" s="627"/>
      <c r="S165" s="631"/>
      <c r="T165" s="627"/>
      <c r="U165" s="627"/>
      <c r="V165" s="627"/>
      <c r="W165" s="627"/>
      <c r="X165" s="1664"/>
      <c r="Y165" s="627"/>
    </row>
    <row r="166" spans="1:25" ht="15" x14ac:dyDescent="0.2">
      <c r="A166" s="621"/>
      <c r="B166" s="1091"/>
      <c r="C166" s="626"/>
      <c r="D166" s="627"/>
      <c r="E166" s="631" t="s">
        <v>1242</v>
      </c>
      <c r="F166" s="627"/>
      <c r="G166" s="391" t="str">
        <f>G52</f>
        <v>wt%</v>
      </c>
      <c r="H166" s="665">
        <f>H52</f>
        <v>22.2</v>
      </c>
      <c r="I166" s="391"/>
      <c r="J166" s="391"/>
      <c r="K166" s="391"/>
      <c r="L166" s="391"/>
      <c r="M166" s="391"/>
      <c r="N166" s="611"/>
      <c r="O166" s="627"/>
      <c r="P166" s="627"/>
      <c r="Q166" s="627"/>
      <c r="R166" s="627"/>
      <c r="S166" s="627"/>
      <c r="T166" s="627"/>
      <c r="U166" s="627"/>
      <c r="V166" s="627"/>
      <c r="W166" s="627"/>
      <c r="X166" s="1664"/>
      <c r="Y166" s="627"/>
    </row>
    <row r="167" spans="1:25" ht="15" x14ac:dyDescent="0.2">
      <c r="A167" s="621"/>
      <c r="B167" s="1091"/>
      <c r="C167" s="626"/>
      <c r="D167" s="627"/>
      <c r="E167" s="631"/>
      <c r="F167" s="627"/>
      <c r="G167" s="391"/>
      <c r="H167" s="665"/>
      <c r="I167" s="391"/>
      <c r="J167" s="391"/>
      <c r="K167" s="391"/>
      <c r="L167" s="391"/>
      <c r="M167" s="391"/>
      <c r="N167" s="611"/>
      <c r="O167" s="627"/>
      <c r="P167" s="627"/>
      <c r="Q167" s="629"/>
      <c r="R167" s="627"/>
      <c r="S167" s="627"/>
      <c r="T167" s="627"/>
      <c r="U167" s="627"/>
      <c r="V167" s="627"/>
      <c r="W167" s="627"/>
      <c r="X167" s="1664"/>
      <c r="Y167" s="627"/>
    </row>
    <row r="168" spans="1:25" ht="18.75" x14ac:dyDescent="0.3">
      <c r="A168" s="621"/>
      <c r="B168" s="1091"/>
      <c r="C168" s="626"/>
      <c r="D168" s="628" t="s">
        <v>1111</v>
      </c>
      <c r="E168" s="631"/>
      <c r="F168" s="627"/>
      <c r="G168" s="391"/>
      <c r="H168" s="391"/>
      <c r="I168" s="391"/>
      <c r="J168" s="391"/>
      <c r="K168" s="391"/>
      <c r="L168" s="391"/>
      <c r="M168" s="391"/>
      <c r="N168" s="611"/>
      <c r="O168" s="627"/>
      <c r="P168" s="636"/>
      <c r="Q168" s="631"/>
      <c r="R168" s="627"/>
      <c r="S168" s="631"/>
      <c r="T168" s="627"/>
      <c r="U168" s="627"/>
      <c r="V168" s="627"/>
      <c r="W168" s="639"/>
      <c r="X168" s="1665"/>
      <c r="Y168" s="627"/>
    </row>
    <row r="169" spans="1:25" ht="15" x14ac:dyDescent="0.2">
      <c r="A169" s="621"/>
      <c r="B169" s="1091"/>
      <c r="C169" s="626"/>
      <c r="D169" s="629" t="s">
        <v>1105</v>
      </c>
      <c r="E169" s="631"/>
      <c r="F169" s="627"/>
      <c r="G169" s="391" t="s">
        <v>1100</v>
      </c>
      <c r="H169" s="610">
        <f ca="1">HydroRefineryCalcs!E979</f>
        <v>1.0504210321332737E-17</v>
      </c>
      <c r="I169" s="391" t="s">
        <v>1099</v>
      </c>
      <c r="J169" s="391" t="s">
        <v>1128</v>
      </c>
      <c r="K169" s="391" t="s">
        <v>1107</v>
      </c>
      <c r="L169" s="391" t="s">
        <v>1099</v>
      </c>
      <c r="M169" s="391"/>
      <c r="N169" s="611"/>
      <c r="O169" s="627"/>
      <c r="P169" s="636"/>
      <c r="Q169" s="627"/>
      <c r="R169" s="627"/>
      <c r="S169" s="631"/>
      <c r="T169" s="627"/>
      <c r="U169" s="627"/>
      <c r="V169" s="627"/>
      <c r="W169" s="627"/>
      <c r="X169" s="1664"/>
      <c r="Y169" s="627"/>
    </row>
    <row r="170" spans="1:25" ht="15" x14ac:dyDescent="0.2">
      <c r="A170" s="621"/>
      <c r="B170" s="1091"/>
      <c r="C170" s="626"/>
      <c r="D170" s="629"/>
      <c r="E170" s="631"/>
      <c r="F170" s="627"/>
      <c r="G170" s="391"/>
      <c r="H170" s="665"/>
      <c r="I170" s="391"/>
      <c r="J170" s="391"/>
      <c r="K170" s="391"/>
      <c r="L170" s="391"/>
      <c r="M170" s="391"/>
      <c r="N170" s="611"/>
      <c r="O170" s="627"/>
      <c r="P170" s="636"/>
      <c r="Q170" s="627"/>
      <c r="R170" s="627"/>
      <c r="S170" s="631"/>
      <c r="T170" s="627"/>
      <c r="U170" s="627"/>
      <c r="V170" s="627"/>
      <c r="W170" s="627"/>
      <c r="X170" s="1664"/>
      <c r="Y170" s="627"/>
    </row>
    <row r="171" spans="1:25" ht="15" x14ac:dyDescent="0.2">
      <c r="A171" s="621"/>
      <c r="B171" s="1091"/>
      <c r="C171" s="626"/>
      <c r="D171" s="627"/>
      <c r="E171" s="631" t="s">
        <v>716</v>
      </c>
      <c r="F171" s="627"/>
      <c r="G171" s="391" t="s">
        <v>637</v>
      </c>
      <c r="H171" s="666">
        <f ca="1">HydroRefineryCalcs!D1006/HydroRefineryCalcs!E979*'Energy &amp; Unit Conversions'!E93/'Energy &amp; Unit Conversions'!E26</f>
        <v>0</v>
      </c>
      <c r="I171" s="391"/>
      <c r="J171" s="391"/>
      <c r="K171" s="391"/>
      <c r="L171" s="391"/>
      <c r="M171" s="391"/>
      <c r="N171" s="611"/>
      <c r="O171" s="627"/>
      <c r="P171" s="636"/>
      <c r="Q171" s="631"/>
      <c r="R171" s="627"/>
      <c r="S171" s="631"/>
      <c r="T171" s="627"/>
      <c r="U171" s="627"/>
      <c r="V171" s="627"/>
      <c r="W171" s="627"/>
      <c r="X171" s="1664"/>
      <c r="Y171" s="627"/>
    </row>
    <row r="172" spans="1:25" ht="15" x14ac:dyDescent="0.2">
      <c r="A172" s="621"/>
      <c r="B172" s="1091"/>
      <c r="C172" s="626"/>
      <c r="D172" s="627"/>
      <c r="E172" s="631" t="s">
        <v>635</v>
      </c>
      <c r="F172" s="627"/>
      <c r="G172" s="391" t="s">
        <v>136</v>
      </c>
      <c r="H172" s="665">
        <f ca="1">IF(H171&lt;150,$R$45,IF(H171&lt;400,$S$45,$T$45))</f>
        <v>105</v>
      </c>
      <c r="I172" s="391"/>
      <c r="J172" s="391"/>
      <c r="K172" s="391"/>
      <c r="L172" s="391"/>
      <c r="M172" s="391"/>
      <c r="N172" s="611"/>
      <c r="O172" s="627"/>
      <c r="P172" s="636"/>
      <c r="Q172" s="627"/>
      <c r="R172" s="627"/>
      <c r="S172" s="631"/>
      <c r="T172" s="627"/>
      <c r="U172" s="627"/>
      <c r="V172" s="627"/>
      <c r="W172" s="627"/>
      <c r="X172" s="1664"/>
      <c r="Y172" s="627"/>
    </row>
    <row r="173" spans="1:25" ht="15" x14ac:dyDescent="0.2">
      <c r="A173" s="621"/>
      <c r="B173" s="1091"/>
      <c r="C173" s="626"/>
      <c r="D173" s="627"/>
      <c r="E173" s="631"/>
      <c r="F173" s="627"/>
      <c r="G173" s="391" t="s">
        <v>637</v>
      </c>
      <c r="H173" s="665">
        <f ca="1">IF('Energy &amp; Unit Conversions'!$E$10=1,H172,H172/'Energy &amp; Unit Conversions'!$K$59)/'Energy &amp; Unit Conversions'!$P$25/'Energy &amp; Unit Conversions'!$G$82</f>
        <v>107.01126379400964</v>
      </c>
      <c r="I173" s="391"/>
      <c r="J173" s="391"/>
      <c r="K173" s="391"/>
      <c r="L173" s="391"/>
      <c r="M173" s="391"/>
      <c r="N173" s="611"/>
      <c r="O173" s="627"/>
      <c r="P173" s="627"/>
      <c r="Q173" s="627"/>
      <c r="R173" s="627"/>
      <c r="S173" s="631"/>
      <c r="T173" s="627"/>
      <c r="U173" s="627"/>
      <c r="V173" s="627"/>
      <c r="W173" s="627"/>
      <c r="X173" s="1664"/>
      <c r="Y173" s="627"/>
    </row>
    <row r="174" spans="1:25" ht="15" x14ac:dyDescent="0.2">
      <c r="A174" s="621"/>
      <c r="B174" s="1091"/>
      <c r="C174" s="626"/>
      <c r="D174" s="627"/>
      <c r="E174" s="631" t="s">
        <v>451</v>
      </c>
      <c r="F174" s="627"/>
      <c r="G174" s="391" t="s">
        <v>665</v>
      </c>
      <c r="H174" s="665">
        <f ca="1">IF(H171&lt;150,$R$47,IF(H171&lt;400,$S$47,$T$47))</f>
        <v>2</v>
      </c>
      <c r="I174" s="391"/>
      <c r="J174" s="391"/>
      <c r="K174" s="391"/>
      <c r="L174" s="391"/>
      <c r="M174" s="391"/>
      <c r="N174" s="611"/>
      <c r="O174" s="627"/>
      <c r="P174" s="627"/>
      <c r="Q174" s="627"/>
      <c r="R174" s="627"/>
      <c r="S174" s="627"/>
      <c r="T174" s="627"/>
      <c r="U174" s="627"/>
      <c r="V174" s="627"/>
      <c r="W174" s="627"/>
      <c r="X174" s="1664"/>
      <c r="Y174" s="627"/>
    </row>
    <row r="175" spans="1:25" ht="15" x14ac:dyDescent="0.2">
      <c r="A175" s="621"/>
      <c r="B175" s="1091"/>
      <c r="C175" s="626"/>
      <c r="D175" s="627"/>
      <c r="E175" s="631"/>
      <c r="F175" s="627"/>
      <c r="G175" s="391"/>
      <c r="H175" s="665"/>
      <c r="I175" s="391"/>
      <c r="J175" s="391"/>
      <c r="K175" s="391"/>
      <c r="L175" s="391"/>
      <c r="M175" s="391"/>
      <c r="N175" s="611"/>
      <c r="O175" s="627"/>
      <c r="P175" s="627"/>
      <c r="Q175" s="627"/>
      <c r="R175" s="627"/>
      <c r="S175" s="627"/>
      <c r="T175" s="627"/>
      <c r="U175" s="627"/>
      <c r="V175" s="627"/>
      <c r="W175" s="627"/>
      <c r="X175" s="1664"/>
      <c r="Y175" s="627"/>
    </row>
    <row r="176" spans="1:25" ht="15" x14ac:dyDescent="0.2">
      <c r="A176" s="621"/>
      <c r="B176" s="1091"/>
      <c r="C176" s="626"/>
      <c r="D176" s="627"/>
      <c r="E176" s="631" t="s">
        <v>485</v>
      </c>
      <c r="F176" s="627"/>
      <c r="G176" s="391" t="s">
        <v>496</v>
      </c>
      <c r="H176" s="665">
        <f ca="1">IF(H171&lt;150,$R$48,IF(H171&lt;400,$S$48,$T$48))</f>
        <v>6</v>
      </c>
      <c r="I176" s="391"/>
      <c r="J176" s="391"/>
      <c r="K176" s="391"/>
      <c r="L176" s="391"/>
      <c r="M176" s="391"/>
      <c r="N176" s="611"/>
      <c r="O176" s="627"/>
      <c r="P176" s="627"/>
      <c r="Q176" s="629"/>
      <c r="R176" s="627"/>
      <c r="S176" s="627"/>
      <c r="T176" s="627"/>
      <c r="U176" s="627"/>
      <c r="V176" s="632"/>
      <c r="W176" s="632"/>
      <c r="X176" s="1665"/>
      <c r="Y176" s="627"/>
    </row>
    <row r="177" spans="1:25" ht="15" x14ac:dyDescent="0.2">
      <c r="A177" s="621"/>
      <c r="B177" s="1091"/>
      <c r="C177" s="626"/>
      <c r="D177" s="627"/>
      <c r="E177" s="631"/>
      <c r="F177" s="631"/>
      <c r="G177" s="391"/>
      <c r="H177" s="665"/>
      <c r="I177" s="391"/>
      <c r="J177" s="391"/>
      <c r="K177" s="391"/>
      <c r="L177" s="391"/>
      <c r="M177" s="391"/>
      <c r="N177" s="611"/>
      <c r="O177" s="627"/>
      <c r="P177" s="636"/>
      <c r="Q177" s="631"/>
      <c r="R177" s="627"/>
      <c r="S177" s="631"/>
      <c r="T177" s="627"/>
      <c r="U177" s="627"/>
      <c r="V177" s="632"/>
      <c r="W177" s="632"/>
      <c r="X177" s="1665"/>
      <c r="Y177" s="627"/>
    </row>
    <row r="178" spans="1:25" ht="15" x14ac:dyDescent="0.2">
      <c r="A178" s="621"/>
      <c r="B178" s="1091"/>
      <c r="C178" s="626"/>
      <c r="D178" s="627"/>
      <c r="E178" s="631" t="s">
        <v>1242</v>
      </c>
      <c r="F178" s="627"/>
      <c r="G178" s="391" t="str">
        <f>G166</f>
        <v>wt%</v>
      </c>
      <c r="H178" s="665">
        <f>H166</f>
        <v>22.2</v>
      </c>
      <c r="I178" s="391"/>
      <c r="J178" s="391"/>
      <c r="K178" s="391"/>
      <c r="L178" s="391"/>
      <c r="M178" s="391"/>
      <c r="N178" s="611"/>
      <c r="O178" s="627"/>
      <c r="P178" s="636"/>
      <c r="Q178" s="631"/>
      <c r="R178" s="627"/>
      <c r="S178" s="631"/>
      <c r="T178" s="632"/>
      <c r="U178" s="632"/>
      <c r="V178" s="632"/>
      <c r="W178" s="632"/>
      <c r="X178" s="1665"/>
      <c r="Y178" s="627"/>
    </row>
    <row r="179" spans="1:25" ht="15" x14ac:dyDescent="0.2">
      <c r="A179" s="621"/>
      <c r="B179" s="1091"/>
      <c r="C179" s="626"/>
      <c r="D179" s="627"/>
      <c r="E179" s="627"/>
      <c r="F179" s="627"/>
      <c r="G179" s="391"/>
      <c r="H179" s="391"/>
      <c r="I179" s="391"/>
      <c r="J179" s="391"/>
      <c r="K179" s="391"/>
      <c r="L179" s="391"/>
      <c r="M179" s="391"/>
      <c r="N179" s="611"/>
      <c r="O179" s="627"/>
      <c r="P179" s="636"/>
      <c r="Q179" s="627"/>
      <c r="R179" s="627"/>
      <c r="S179" s="631"/>
      <c r="T179" s="627"/>
      <c r="U179" s="627"/>
      <c r="V179" s="627"/>
      <c r="W179" s="639"/>
      <c r="X179" s="1664"/>
      <c r="Y179" s="627"/>
    </row>
    <row r="180" spans="1:25" ht="19.5" customHeight="1" x14ac:dyDescent="0.2">
      <c r="A180" s="621"/>
      <c r="B180" s="1091"/>
      <c r="C180" s="622" t="s">
        <v>720</v>
      </c>
      <c r="D180" s="623"/>
      <c r="E180" s="623"/>
      <c r="F180" s="623"/>
      <c r="G180" s="661"/>
      <c r="H180" s="661"/>
      <c r="I180" s="661"/>
      <c r="J180" s="661"/>
      <c r="K180" s="661"/>
      <c r="L180" s="661"/>
      <c r="M180" s="661"/>
      <c r="N180" s="662"/>
      <c r="O180" s="630"/>
      <c r="P180" s="630"/>
      <c r="Q180" s="630"/>
      <c r="R180" s="630"/>
      <c r="S180" s="630"/>
      <c r="T180" s="630"/>
      <c r="U180" s="630"/>
      <c r="V180" s="630"/>
      <c r="W180" s="630"/>
      <c r="X180" s="1663"/>
      <c r="Y180" s="630"/>
    </row>
    <row r="181" spans="1:25" ht="15" x14ac:dyDescent="0.2">
      <c r="A181" s="621"/>
      <c r="B181" s="1091"/>
      <c r="C181" s="626"/>
      <c r="D181" s="627"/>
      <c r="E181" s="630"/>
      <c r="F181" s="630"/>
      <c r="G181" s="610"/>
      <c r="H181" s="391"/>
      <c r="I181" s="391"/>
      <c r="J181" s="391"/>
      <c r="K181" s="391"/>
      <c r="L181" s="391"/>
      <c r="M181" s="391"/>
      <c r="N181" s="611"/>
      <c r="O181" s="627"/>
      <c r="P181" s="627"/>
      <c r="Q181" s="627"/>
      <c r="R181" s="627"/>
      <c r="S181" s="627"/>
      <c r="T181" s="627"/>
      <c r="U181" s="642"/>
      <c r="V181" s="627"/>
      <c r="W181" s="631"/>
      <c r="X181" s="1664"/>
      <c r="Y181" s="627"/>
    </row>
    <row r="182" spans="1:25" ht="15" x14ac:dyDescent="0.2">
      <c r="A182" s="621"/>
      <c r="B182" s="1091"/>
      <c r="C182" s="626"/>
      <c r="D182" s="627"/>
      <c r="E182" s="631" t="s">
        <v>451</v>
      </c>
      <c r="F182" s="627"/>
      <c r="G182" s="391" t="s">
        <v>665</v>
      </c>
      <c r="H182" s="658">
        <v>0.1</v>
      </c>
      <c r="I182" s="391"/>
      <c r="J182" s="391"/>
      <c r="K182" s="391" t="s">
        <v>722</v>
      </c>
      <c r="L182" s="391"/>
      <c r="M182" s="391"/>
      <c r="N182" s="611"/>
      <c r="O182" s="627"/>
      <c r="P182" s="627"/>
      <c r="Q182" s="627"/>
      <c r="R182" s="631"/>
      <c r="S182" s="627"/>
      <c r="T182" s="627"/>
      <c r="U182" s="627"/>
      <c r="V182" s="627"/>
      <c r="W182" s="639"/>
      <c r="X182" s="1664"/>
      <c r="Y182" s="627"/>
    </row>
    <row r="183" spans="1:25" ht="15" x14ac:dyDescent="0.2">
      <c r="A183" s="621"/>
      <c r="B183" s="1091"/>
      <c r="C183" s="626"/>
      <c r="D183" s="627"/>
      <c r="E183" s="631"/>
      <c r="F183" s="630"/>
      <c r="G183" s="391"/>
      <c r="H183" s="391"/>
      <c r="I183" s="391"/>
      <c r="J183" s="391"/>
      <c r="K183" s="391"/>
      <c r="L183" s="391"/>
      <c r="M183" s="391"/>
      <c r="N183" s="611"/>
      <c r="O183" s="627"/>
      <c r="P183" s="627"/>
      <c r="Q183" s="631"/>
      <c r="R183" s="627"/>
      <c r="S183" s="627"/>
      <c r="T183" s="627"/>
      <c r="U183" s="633"/>
      <c r="V183" s="627"/>
      <c r="W183" s="639"/>
      <c r="X183" s="1664"/>
      <c r="Y183" s="627"/>
    </row>
    <row r="184" spans="1:25" ht="18.75" customHeight="1" x14ac:dyDescent="0.2">
      <c r="A184" s="621"/>
      <c r="B184" s="1091"/>
      <c r="C184" s="622" t="s">
        <v>534</v>
      </c>
      <c r="D184" s="623"/>
      <c r="E184" s="623"/>
      <c r="F184" s="623"/>
      <c r="G184" s="661"/>
      <c r="H184" s="661"/>
      <c r="I184" s="661"/>
      <c r="J184" s="661"/>
      <c r="K184" s="661"/>
      <c r="L184" s="661"/>
      <c r="M184" s="661"/>
      <c r="N184" s="662"/>
      <c r="O184" s="630"/>
      <c r="P184" s="184"/>
      <c r="Q184" s="184"/>
      <c r="R184" s="184"/>
      <c r="S184" s="184"/>
      <c r="T184" s="184"/>
      <c r="U184" s="184"/>
      <c r="V184" s="630"/>
      <c r="W184" s="630"/>
      <c r="X184" s="1663"/>
      <c r="Y184" s="630"/>
    </row>
    <row r="185" spans="1:25" ht="15" x14ac:dyDescent="0.2">
      <c r="A185" s="621"/>
      <c r="B185" s="1091"/>
      <c r="C185" s="643"/>
      <c r="D185" s="629" t="s">
        <v>1105</v>
      </c>
      <c r="E185" s="631"/>
      <c r="F185" s="627"/>
      <c r="G185" s="391" t="s">
        <v>1126</v>
      </c>
      <c r="H185" s="610">
        <f ca="1">CokingRefineryCalcs!I362</f>
        <v>1.1182517606218385E-8</v>
      </c>
      <c r="I185" s="391">
        <v>8000</v>
      </c>
      <c r="J185" s="391">
        <v>103400</v>
      </c>
      <c r="K185" s="391" t="s">
        <v>1107</v>
      </c>
      <c r="L185" s="391">
        <v>40362</v>
      </c>
      <c r="M185" s="391">
        <v>36000</v>
      </c>
      <c r="N185" s="611">
        <v>26000</v>
      </c>
      <c r="O185" s="630"/>
      <c r="P185" s="184"/>
      <c r="Q185" s="184"/>
      <c r="R185" s="184"/>
      <c r="S185" s="184"/>
      <c r="T185" s="184"/>
      <c r="U185" s="184"/>
      <c r="V185" s="627"/>
      <c r="W185" s="627"/>
      <c r="X185" s="1663"/>
      <c r="Y185" s="630"/>
    </row>
    <row r="186" spans="1:25" ht="15" x14ac:dyDescent="0.2">
      <c r="A186" s="621"/>
      <c r="B186" s="1091"/>
      <c r="C186" s="626"/>
      <c r="D186" s="627"/>
      <c r="E186" s="627"/>
      <c r="F186" s="627"/>
      <c r="G186" s="391" t="s">
        <v>1126</v>
      </c>
      <c r="H186" s="391"/>
      <c r="I186" s="391">
        <v>2000</v>
      </c>
      <c r="J186" s="391">
        <v>65000</v>
      </c>
      <c r="K186" s="391" t="s">
        <v>1107</v>
      </c>
      <c r="L186" s="391">
        <v>30000</v>
      </c>
      <c r="M186" s="391">
        <v>27250</v>
      </c>
      <c r="N186" s="611"/>
      <c r="O186" s="627"/>
      <c r="P186" s="184"/>
      <c r="Q186" s="184"/>
      <c r="R186" s="184"/>
      <c r="S186" s="184"/>
      <c r="T186" s="184"/>
      <c r="U186" s="184"/>
      <c r="V186" s="627"/>
      <c r="W186" s="627"/>
      <c r="X186" s="1664"/>
      <c r="Y186" s="627"/>
    </row>
    <row r="187" spans="1:25" ht="15" x14ac:dyDescent="0.2">
      <c r="A187" s="621"/>
      <c r="B187" s="1091"/>
      <c r="C187" s="626"/>
      <c r="D187" s="627"/>
      <c r="E187" s="627"/>
      <c r="F187" s="627"/>
      <c r="G187" s="391"/>
      <c r="H187" s="391"/>
      <c r="I187" s="391"/>
      <c r="J187" s="391"/>
      <c r="K187" s="391"/>
      <c r="L187" s="391"/>
      <c r="M187" s="391"/>
      <c r="N187" s="611"/>
      <c r="O187" s="627"/>
      <c r="P187" s="184"/>
      <c r="Q187" s="184"/>
      <c r="R187" s="184"/>
      <c r="S187" s="184"/>
      <c r="T187" s="184"/>
      <c r="U187" s="184"/>
      <c r="V187" s="627"/>
      <c r="W187" s="627"/>
      <c r="X187" s="1664"/>
      <c r="Y187" s="627"/>
    </row>
    <row r="188" spans="1:25" ht="15" x14ac:dyDescent="0.2">
      <c r="A188" s="621"/>
      <c r="B188" s="1091"/>
      <c r="C188" s="626"/>
      <c r="D188" s="627" t="s">
        <v>912</v>
      </c>
      <c r="E188" s="627"/>
      <c r="F188" s="627"/>
      <c r="G188" s="391" t="s">
        <v>637</v>
      </c>
      <c r="H188" s="391">
        <f ca="1">CokingRefineryCalcs!D375/CokingRefineryCalcs!I362*'Energy &amp; Unit Conversions'!E93/'Energy &amp; Unit Conversions'!E26</f>
        <v>1512.9315151497231</v>
      </c>
      <c r="I188" s="391">
        <v>1000</v>
      </c>
      <c r="J188" s="391">
        <v>3000</v>
      </c>
      <c r="K188" s="391"/>
      <c r="L188" s="391"/>
      <c r="M188" s="391"/>
      <c r="N188" s="611"/>
      <c r="O188" s="627"/>
      <c r="P188" s="627"/>
      <c r="Q188" s="627"/>
      <c r="R188" s="627"/>
      <c r="S188" s="627"/>
      <c r="T188" s="627"/>
      <c r="U188" s="627"/>
      <c r="V188" s="627"/>
      <c r="W188" s="627"/>
      <c r="X188" s="1664"/>
      <c r="Y188" s="627"/>
    </row>
    <row r="189" spans="1:25" ht="15" x14ac:dyDescent="0.2">
      <c r="A189" s="621"/>
      <c r="B189" s="1091"/>
      <c r="C189" s="626"/>
      <c r="D189" s="627" t="s">
        <v>913</v>
      </c>
      <c r="E189" s="627"/>
      <c r="F189" s="627"/>
      <c r="G189" s="391" t="s">
        <v>637</v>
      </c>
      <c r="H189" s="391">
        <f ca="1">HydroRefineryCalcs!D372/HydroRefineryCalcs!I359*'Energy &amp; Unit Conversions'!E93/'Energy &amp; Unit Conversions'!E26</f>
        <v>1512.9315151497235</v>
      </c>
      <c r="I189" s="391"/>
      <c r="J189" s="391"/>
      <c r="K189" s="610"/>
      <c r="L189" s="391"/>
      <c r="M189" s="391"/>
      <c r="N189" s="611"/>
      <c r="O189" s="627"/>
      <c r="P189" s="627"/>
      <c r="Q189" s="627"/>
      <c r="R189" s="627"/>
      <c r="S189" s="627"/>
      <c r="T189" s="627"/>
      <c r="U189" s="627"/>
      <c r="V189" s="627"/>
      <c r="W189" s="627"/>
      <c r="X189" s="1664"/>
      <c r="Y189" s="627"/>
    </row>
    <row r="190" spans="1:25" ht="15" x14ac:dyDescent="0.2">
      <c r="A190" s="621"/>
      <c r="B190" s="1091"/>
      <c r="C190" s="626"/>
      <c r="D190" s="629"/>
      <c r="E190" s="627"/>
      <c r="F190" s="627"/>
      <c r="G190" s="391"/>
      <c r="H190" s="391"/>
      <c r="I190" s="391"/>
      <c r="J190" s="391"/>
      <c r="K190" s="391"/>
      <c r="L190" s="391"/>
      <c r="M190" s="391"/>
      <c r="N190" s="611"/>
      <c r="O190" s="627"/>
      <c r="P190" s="627"/>
      <c r="Q190" s="631"/>
      <c r="R190" s="627"/>
      <c r="S190" s="627"/>
      <c r="T190" s="627"/>
      <c r="U190" s="627"/>
      <c r="V190" s="627"/>
      <c r="W190" s="627"/>
      <c r="X190" s="1664"/>
      <c r="Y190" s="627"/>
    </row>
    <row r="191" spans="1:25" ht="15" x14ac:dyDescent="0.2">
      <c r="A191" s="621"/>
      <c r="B191" s="1091"/>
      <c r="C191" s="626"/>
      <c r="D191" s="677" t="s">
        <v>929</v>
      </c>
      <c r="E191" s="678" t="s">
        <v>635</v>
      </c>
      <c r="F191" s="679"/>
      <c r="G191" s="680" t="s">
        <v>897</v>
      </c>
      <c r="H191" s="681"/>
      <c r="I191" s="682"/>
      <c r="J191" s="682"/>
      <c r="K191" s="682"/>
      <c r="L191" s="683"/>
      <c r="M191" s="391"/>
      <c r="N191" s="611"/>
      <c r="O191" s="627"/>
      <c r="P191" s="1636" t="s">
        <v>1135</v>
      </c>
      <c r="Q191" s="1636"/>
      <c r="R191" s="627"/>
      <c r="S191" s="627"/>
      <c r="T191" s="627"/>
      <c r="U191" s="329"/>
      <c r="V191" s="329"/>
      <c r="W191" s="627"/>
      <c r="X191" s="1664"/>
      <c r="Y191" s="627"/>
    </row>
    <row r="192" spans="1:25" ht="15" x14ac:dyDescent="0.2">
      <c r="A192" s="621"/>
      <c r="B192" s="1091"/>
      <c r="C192" s="626"/>
      <c r="D192" s="626"/>
      <c r="E192" s="627"/>
      <c r="F192" s="627"/>
      <c r="G192" s="391" t="s">
        <v>136</v>
      </c>
      <c r="H192" s="391">
        <f ca="1">IF(H188&lt;2000,R194,IF(H188&lt;3000,S194,T194))</f>
        <v>105.50558526200001</v>
      </c>
      <c r="I192" s="610">
        <v>106</v>
      </c>
      <c r="J192" s="610">
        <v>498</v>
      </c>
      <c r="K192" s="391" t="s">
        <v>1107</v>
      </c>
      <c r="L192" s="614">
        <f>158900/'Energy &amp; Unit Conversions'!E94*'Energy &amp; Unit Conversions'!G84</f>
        <v>167.648374981318</v>
      </c>
      <c r="M192" s="391"/>
      <c r="N192" s="611"/>
      <c r="O192" s="627"/>
      <c r="P192" s="1638" t="s">
        <v>1109</v>
      </c>
      <c r="Q192" s="679"/>
      <c r="R192" s="679"/>
      <c r="S192" s="679"/>
      <c r="T192" s="1639"/>
      <c r="U192" s="329"/>
      <c r="V192" s="329"/>
      <c r="W192" s="627"/>
      <c r="X192" s="1664"/>
      <c r="Y192" s="627"/>
    </row>
    <row r="193" spans="1:25" ht="15" x14ac:dyDescent="0.2">
      <c r="A193" s="621"/>
      <c r="B193" s="1091"/>
      <c r="C193" s="626"/>
      <c r="D193" s="626"/>
      <c r="E193" s="627"/>
      <c r="F193" s="627"/>
      <c r="G193" s="391" t="s">
        <v>637</v>
      </c>
      <c r="H193" s="391">
        <f ca="1">IF('Energy &amp; Unit Conversions'!$E$10=1,H192,H192/'Energy &amp; Unit Conversions'!$K$59)/'Energy &amp; Unit Conversions'!$P$25/'Energy &amp; Unit Conversions'!$G$82</f>
        <v>107.52653348774533</v>
      </c>
      <c r="I193" s="391">
        <f>IF('Energy &amp; Unit Conversions'!$E$10=1,I192,I192/'Energy &amp; Unit Conversions'!$K$59)/'Energy &amp; Unit Conversions'!$P$25/'Energy &amp; Unit Conversions'!$G$82</f>
        <v>108.03041868728592</v>
      </c>
      <c r="J193" s="391">
        <f>IF('Energy &amp; Unit Conversions'!$E$10=1,J192,J192/'Energy &amp; Unit Conversions'!$K$59)/'Energy &amp; Unit Conversions'!$P$25/'Energy &amp; Unit Conversions'!$G$82</f>
        <v>507.53913685158858</v>
      </c>
      <c r="K193" s="391"/>
      <c r="L193" s="611">
        <f>IF('Energy &amp; Unit Conversions'!$E$10=1,L192,L192/'Energy &amp; Unit Conversions'!$K$59)/'Energy &amp; Unit Conversions'!$P$25/'Energy &amp; Unit Conversions'!$G$82</f>
        <v>170.8596617120273</v>
      </c>
      <c r="M193" s="391"/>
      <c r="N193" s="611"/>
      <c r="O193" s="627"/>
      <c r="P193" s="626" t="s">
        <v>716</v>
      </c>
      <c r="Q193" s="627" t="s">
        <v>637</v>
      </c>
      <c r="R193" s="627">
        <v>1000</v>
      </c>
      <c r="S193" s="627">
        <v>2000</v>
      </c>
      <c r="T193" s="1640">
        <v>3000</v>
      </c>
      <c r="U193" s="329"/>
      <c r="V193" s="329"/>
      <c r="W193" s="627"/>
      <c r="X193" s="1664"/>
      <c r="Y193" s="627"/>
    </row>
    <row r="194" spans="1:25" ht="15" x14ac:dyDescent="0.2">
      <c r="A194" s="621"/>
      <c r="B194" s="1091"/>
      <c r="C194" s="626"/>
      <c r="D194" s="626"/>
      <c r="E194" s="627"/>
      <c r="F194" s="627"/>
      <c r="G194" s="610" t="s">
        <v>1415</v>
      </c>
      <c r="H194" s="391"/>
      <c r="I194" s="391"/>
      <c r="J194" s="391"/>
      <c r="K194" s="391"/>
      <c r="L194" s="611"/>
      <c r="M194" s="391"/>
      <c r="N194" s="611"/>
      <c r="O194" s="627"/>
      <c r="P194" s="1644" t="s">
        <v>635</v>
      </c>
      <c r="Q194" s="627" t="s">
        <v>136</v>
      </c>
      <c r="R194" s="627">
        <f>0.1*'Energy &amp; Unit Conversions'!G84</f>
        <v>105.50558526200001</v>
      </c>
      <c r="S194" s="627">
        <f>0.2*('Energy &amp; Unit Conversions'!G84)</f>
        <v>211.01117052400002</v>
      </c>
      <c r="T194" s="1640">
        <f>0.3*('Energy &amp; Unit Conversions'!G84)</f>
        <v>316.51675578599998</v>
      </c>
      <c r="U194" s="329"/>
      <c r="V194" s="329"/>
      <c r="W194" s="627"/>
      <c r="X194" s="1664"/>
      <c r="Y194" s="627"/>
    </row>
    <row r="195" spans="1:25" ht="15" x14ac:dyDescent="0.2">
      <c r="A195" s="621"/>
      <c r="B195" s="1091"/>
      <c r="C195" s="626"/>
      <c r="D195" s="626"/>
      <c r="E195" s="627"/>
      <c r="F195" s="627"/>
      <c r="G195" s="391" t="s">
        <v>136</v>
      </c>
      <c r="H195" s="391">
        <f ca="1">IF(H189&lt;2000,$R$194,IF(H189&lt;3000,$S$194,$T$194))</f>
        <v>105.50558526200001</v>
      </c>
      <c r="I195" s="610"/>
      <c r="J195" s="610"/>
      <c r="K195" s="391"/>
      <c r="L195" s="614"/>
      <c r="M195" s="391"/>
      <c r="N195" s="611"/>
      <c r="O195" s="627"/>
      <c r="P195" s="1644"/>
      <c r="Q195" s="627"/>
      <c r="R195" s="627"/>
      <c r="S195" s="627"/>
      <c r="T195" s="1640"/>
      <c r="U195" s="329"/>
      <c r="V195" s="329"/>
      <c r="W195" s="627"/>
      <c r="X195" s="1664"/>
      <c r="Y195" s="627"/>
    </row>
    <row r="196" spans="1:25" ht="15" x14ac:dyDescent="0.2">
      <c r="A196" s="621"/>
      <c r="B196" s="1091"/>
      <c r="C196" s="626"/>
      <c r="D196" s="654"/>
      <c r="E196" s="655"/>
      <c r="F196" s="655"/>
      <c r="G196" s="612" t="s">
        <v>637</v>
      </c>
      <c r="H196" s="612">
        <f ca="1">IF('Energy &amp; Unit Conversions'!$E$10=1,H195,H195/'Energy &amp; Unit Conversions'!$K$59)/'Energy &amp; Unit Conversions'!$P$25/'Energy &amp; Unit Conversions'!$G$82</f>
        <v>107.52653348774533</v>
      </c>
      <c r="I196" s="612"/>
      <c r="J196" s="612"/>
      <c r="K196" s="612"/>
      <c r="L196" s="613"/>
      <c r="M196" s="391"/>
      <c r="N196" s="611"/>
      <c r="O196" s="627"/>
      <c r="P196" s="1644" t="s">
        <v>451</v>
      </c>
      <c r="Q196" s="635" t="s">
        <v>665</v>
      </c>
      <c r="R196" s="627">
        <v>8</v>
      </c>
      <c r="S196" s="627">
        <v>13</v>
      </c>
      <c r="T196" s="1640">
        <v>18</v>
      </c>
      <c r="U196" s="329"/>
      <c r="V196" s="329"/>
      <c r="W196" s="627"/>
      <c r="X196" s="1664"/>
      <c r="Y196" s="627"/>
    </row>
    <row r="197" spans="1:25" ht="15" x14ac:dyDescent="0.2">
      <c r="A197" s="621"/>
      <c r="B197" s="1091"/>
      <c r="C197" s="626"/>
      <c r="D197" s="627"/>
      <c r="E197" s="627"/>
      <c r="F197" s="627"/>
      <c r="G197" s="391"/>
      <c r="H197" s="668"/>
      <c r="I197" s="391"/>
      <c r="J197" s="391"/>
      <c r="K197" s="391"/>
      <c r="L197" s="391"/>
      <c r="M197" s="391"/>
      <c r="N197" s="611"/>
      <c r="O197" s="627"/>
      <c r="P197" s="1646" t="s">
        <v>485</v>
      </c>
      <c r="Q197" s="1647" t="s">
        <v>496</v>
      </c>
      <c r="R197" s="655">
        <v>50</v>
      </c>
      <c r="S197" s="655">
        <v>75</v>
      </c>
      <c r="T197" s="1641">
        <v>100</v>
      </c>
      <c r="U197" s="329"/>
      <c r="V197" s="329"/>
      <c r="W197" s="627"/>
      <c r="X197" s="1664"/>
      <c r="Y197" s="627"/>
    </row>
    <row r="198" spans="1:25" ht="15" x14ac:dyDescent="0.2">
      <c r="A198" s="621"/>
      <c r="B198" s="1091"/>
      <c r="C198" s="626"/>
      <c r="D198" s="684" t="s">
        <v>721</v>
      </c>
      <c r="E198" s="678" t="s">
        <v>523</v>
      </c>
      <c r="F198" s="679"/>
      <c r="G198" s="682" t="s">
        <v>930</v>
      </c>
      <c r="H198" s="681">
        <f ca="1">IF(H209=H210,F210,F211)</f>
        <v>50</v>
      </c>
      <c r="I198" s="682"/>
      <c r="J198" s="682"/>
      <c r="K198" s="682"/>
      <c r="L198" s="683"/>
      <c r="M198" s="391"/>
      <c r="N198" s="611"/>
      <c r="O198" s="627"/>
      <c r="P198" s="627"/>
      <c r="Q198" s="627"/>
      <c r="R198" s="329"/>
      <c r="S198" s="329"/>
      <c r="T198" s="329"/>
      <c r="U198" s="329"/>
      <c r="V198" s="329"/>
      <c r="W198" s="627"/>
      <c r="X198" s="1664"/>
      <c r="Y198" s="627"/>
    </row>
    <row r="199" spans="1:25" ht="15" x14ac:dyDescent="0.2">
      <c r="A199" s="621"/>
      <c r="B199" s="1091"/>
      <c r="C199" s="626"/>
      <c r="D199" s="626"/>
      <c r="E199" s="627"/>
      <c r="F199" s="627"/>
      <c r="G199" s="391" t="s">
        <v>932</v>
      </c>
      <c r="H199" s="391">
        <f ca="1">CokingRefineryCalcs!D487/CokingRefineryCalcs!I362/'Energy &amp; Unit Conversions'!$G$79</f>
        <v>58.346222955490752</v>
      </c>
      <c r="I199" s="610">
        <f>I200/'Energy &amp; Unit Conversions'!$E$70/'Energy &amp; Unit Conversions'!$G$79</f>
        <v>55.12436345482557</v>
      </c>
      <c r="J199" s="610">
        <f>J200/'Energy &amp; Unit Conversions'!$E$70/'Energy &amp; Unit Conversions'!$G$79</f>
        <v>110.38416760610033</v>
      </c>
      <c r="K199" s="391" t="s">
        <v>1107</v>
      </c>
      <c r="L199" s="614">
        <f>L200/'Energy &amp; Unit Conversions'!$E$70/'Energy &amp; Unit Conversions'!$G$79</f>
        <v>-51.300202310326057</v>
      </c>
      <c r="M199" s="391"/>
      <c r="N199" s="611"/>
      <c r="O199" s="627"/>
      <c r="P199" s="1158" t="s">
        <v>1119</v>
      </c>
      <c r="Q199" s="1157"/>
      <c r="R199" s="1157"/>
      <c r="S199" s="1157"/>
      <c r="T199" s="1157"/>
      <c r="U199" s="1157"/>
      <c r="V199" s="329"/>
      <c r="W199" s="627"/>
      <c r="X199" s="1664"/>
      <c r="Y199" s="627"/>
    </row>
    <row r="200" spans="1:25" ht="15" x14ac:dyDescent="0.2">
      <c r="A200" s="621"/>
      <c r="B200" s="1091"/>
      <c r="C200" s="626"/>
      <c r="D200" s="626"/>
      <c r="E200" s="627"/>
      <c r="F200" s="627"/>
      <c r="G200" s="391" t="s">
        <v>136</v>
      </c>
      <c r="H200" s="391">
        <f ca="1">H199*'Energy &amp; Unit Conversions'!$E$70*'Energy &amp; Unit Conversions'!$G$79</f>
        <v>86.157594408669553</v>
      </c>
      <c r="I200" s="391">
        <v>81.400000000000006</v>
      </c>
      <c r="J200" s="391">
        <v>163</v>
      </c>
      <c r="K200" s="391"/>
      <c r="L200" s="611">
        <f>-71800*'Energy &amp; Unit Conversions'!G84/'Energy &amp; Unit Conversions'!E94</f>
        <v>-75.753010218116003</v>
      </c>
      <c r="M200" s="391"/>
      <c r="N200" s="611"/>
      <c r="O200" s="627"/>
      <c r="P200" s="1158" t="s">
        <v>1245</v>
      </c>
      <c r="Q200" s="1157"/>
      <c r="R200" s="1157"/>
      <c r="S200" s="1157"/>
      <c r="T200" s="1157"/>
      <c r="U200" s="1157"/>
      <c r="V200" s="329"/>
      <c r="W200" s="627"/>
      <c r="X200" s="1664"/>
      <c r="Y200" s="627"/>
    </row>
    <row r="201" spans="1:25" ht="15" x14ac:dyDescent="0.2">
      <c r="A201" s="621"/>
      <c r="B201" s="1091"/>
      <c r="C201" s="626"/>
      <c r="D201" s="626"/>
      <c r="E201" s="627"/>
      <c r="F201" s="627"/>
      <c r="G201" s="391"/>
      <c r="H201" s="391"/>
      <c r="I201" s="391"/>
      <c r="J201" s="391"/>
      <c r="K201" s="391"/>
      <c r="L201" s="611"/>
      <c r="M201" s="391"/>
      <c r="N201" s="611"/>
      <c r="O201" s="627"/>
      <c r="P201" s="1158" t="s">
        <v>1122</v>
      </c>
      <c r="Q201" s="1157"/>
      <c r="R201" s="1157"/>
      <c r="S201" s="1157"/>
      <c r="T201" s="1157"/>
      <c r="U201" s="1157"/>
      <c r="V201" s="329"/>
      <c r="W201" s="627"/>
      <c r="X201" s="1664"/>
      <c r="Y201" s="627"/>
    </row>
    <row r="202" spans="1:25" ht="15" x14ac:dyDescent="0.2">
      <c r="A202" s="621"/>
      <c r="B202" s="1091"/>
      <c r="C202" s="626"/>
      <c r="D202" s="626"/>
      <c r="E202" s="630" t="s">
        <v>451</v>
      </c>
      <c r="F202" s="627"/>
      <c r="G202" s="391" t="s">
        <v>665</v>
      </c>
      <c r="H202" s="391">
        <f ca="1">IF(H188&lt;2000,R196,IF(H188&lt;3000,S196,T196))</f>
        <v>8</v>
      </c>
      <c r="I202" s="610">
        <f>I203/'Energy &amp; Unit Conversions'!$G$88</f>
        <v>3.3888888888888884</v>
      </c>
      <c r="J202" s="610">
        <f>J203/'Energy &amp; Unit Conversions'!$G$88</f>
        <v>18</v>
      </c>
      <c r="K202" s="391" t="s">
        <v>1107</v>
      </c>
      <c r="L202" s="614">
        <f>L203/'Energy &amp; Unit Conversions'!$G$88</f>
        <v>11.400464629699444</v>
      </c>
      <c r="M202" s="391"/>
      <c r="N202" s="611"/>
      <c r="O202" s="627"/>
      <c r="P202" s="627"/>
      <c r="Q202" s="627"/>
      <c r="R202" s="329"/>
      <c r="S202" s="329"/>
      <c r="T202" s="329"/>
      <c r="U202" s="329"/>
      <c r="V202" s="329"/>
      <c r="W202" s="627"/>
      <c r="X202" s="1664"/>
      <c r="Y202" s="627"/>
    </row>
    <row r="203" spans="1:25" ht="15" x14ac:dyDescent="0.2">
      <c r="A203" s="621"/>
      <c r="B203" s="1091"/>
      <c r="C203" s="626"/>
      <c r="D203" s="626"/>
      <c r="E203" s="627"/>
      <c r="F203" s="627"/>
      <c r="G203" s="391"/>
      <c r="H203" s="391">
        <f ca="1">H202*'Energy &amp; Unit Conversions'!$G$88</f>
        <v>28.8</v>
      </c>
      <c r="I203" s="391">
        <v>12.2</v>
      </c>
      <c r="J203" s="391">
        <v>64.8</v>
      </c>
      <c r="K203" s="391"/>
      <c r="L203" s="611">
        <f>38900/'Energy &amp; Unit Conversions'!E94*'Energy &amp; Unit Conversions'!G84</f>
        <v>41.041672666917997</v>
      </c>
      <c r="M203" s="391"/>
      <c r="N203" s="611"/>
      <c r="O203" s="627"/>
      <c r="P203" s="2479" t="s">
        <v>1754</v>
      </c>
      <c r="Q203" s="2479"/>
      <c r="R203" s="1653"/>
      <c r="S203" s="1653"/>
      <c r="T203" s="329"/>
      <c r="U203" s="329"/>
      <c r="V203" s="329"/>
      <c r="W203" s="329"/>
      <c r="X203" s="1664"/>
      <c r="Y203" s="627"/>
    </row>
    <row r="204" spans="1:25" ht="15" x14ac:dyDescent="0.2">
      <c r="A204" s="621"/>
      <c r="B204" s="1091"/>
      <c r="C204" s="626"/>
      <c r="D204" s="626"/>
      <c r="E204" s="645" t="s">
        <v>929</v>
      </c>
      <c r="F204" s="685">
        <v>0.8</v>
      </c>
      <c r="G204" s="391" t="s">
        <v>665</v>
      </c>
      <c r="H204" s="391">
        <f ca="1">H202*0.8</f>
        <v>6.4</v>
      </c>
      <c r="I204" s="391"/>
      <c r="J204" s="391"/>
      <c r="K204" s="391"/>
      <c r="L204" s="611"/>
      <c r="M204" s="391"/>
      <c r="N204" s="611"/>
      <c r="O204" s="627"/>
      <c r="P204" s="2479"/>
      <c r="Q204" s="2479"/>
      <c r="R204" s="627"/>
      <c r="S204" s="329"/>
      <c r="T204" s="1654" t="s">
        <v>1120</v>
      </c>
      <c r="U204" s="1654"/>
      <c r="V204" s="627"/>
      <c r="W204" s="329"/>
      <c r="X204" s="1664"/>
      <c r="Y204" s="627"/>
    </row>
    <row r="205" spans="1:25" ht="15" x14ac:dyDescent="0.2">
      <c r="A205" s="621"/>
      <c r="B205" s="1091"/>
      <c r="C205" s="626"/>
      <c r="D205" s="643"/>
      <c r="E205" s="645" t="s">
        <v>721</v>
      </c>
      <c r="F205" s="627"/>
      <c r="G205" s="391" t="s">
        <v>931</v>
      </c>
      <c r="H205" s="391">
        <f ca="1">H202*0.2</f>
        <v>1.6</v>
      </c>
      <c r="I205" s="391"/>
      <c r="J205" s="391"/>
      <c r="K205" s="391"/>
      <c r="L205" s="611"/>
      <c r="M205" s="391"/>
      <c r="N205" s="611"/>
      <c r="O205" s="627"/>
      <c r="P205" s="1651" t="s">
        <v>924</v>
      </c>
      <c r="Q205" s="1650" t="s">
        <v>1136</v>
      </c>
      <c r="R205" s="1652" t="s">
        <v>133</v>
      </c>
      <c r="S205" s="329"/>
      <c r="T205" s="1651" t="s">
        <v>485</v>
      </c>
      <c r="U205" s="1652" t="s">
        <v>1023</v>
      </c>
      <c r="V205" s="627"/>
      <c r="W205" s="329"/>
      <c r="X205" s="1664"/>
      <c r="Y205" s="627"/>
    </row>
    <row r="206" spans="1:25" ht="15" x14ac:dyDescent="0.2">
      <c r="A206" s="621"/>
      <c r="B206" s="1091"/>
      <c r="C206" s="626"/>
      <c r="D206" s="626"/>
      <c r="E206" s="627"/>
      <c r="F206" s="627"/>
      <c r="G206" s="391"/>
      <c r="H206" s="391"/>
      <c r="I206" s="391"/>
      <c r="J206" s="391"/>
      <c r="K206" s="391"/>
      <c r="L206" s="611"/>
      <c r="M206" s="391"/>
      <c r="N206" s="611"/>
      <c r="O206" s="627"/>
      <c r="P206" s="1649" t="s">
        <v>637</v>
      </c>
      <c r="Q206" s="652" t="s">
        <v>637</v>
      </c>
      <c r="R206" s="1655" t="s">
        <v>665</v>
      </c>
      <c r="S206" s="627"/>
      <c r="T206" s="1649" t="s">
        <v>637</v>
      </c>
      <c r="U206" s="1655" t="s">
        <v>637</v>
      </c>
      <c r="V206" s="627"/>
      <c r="W206" s="627"/>
      <c r="X206" s="1664"/>
      <c r="Y206" s="627"/>
    </row>
    <row r="207" spans="1:25" ht="15" x14ac:dyDescent="0.2">
      <c r="A207" s="621"/>
      <c r="B207" s="1091"/>
      <c r="C207" s="626"/>
      <c r="D207" s="626"/>
      <c r="E207" s="631" t="s">
        <v>1242</v>
      </c>
      <c r="F207" s="627"/>
      <c r="G207" s="391" t="s">
        <v>579</v>
      </c>
      <c r="H207" s="658">
        <v>22.2</v>
      </c>
      <c r="I207" s="391"/>
      <c r="J207" s="391"/>
      <c r="K207" s="391"/>
      <c r="L207" s="611"/>
      <c r="M207" s="391"/>
      <c r="N207" s="611"/>
      <c r="O207" s="627"/>
      <c r="P207" s="1649">
        <v>1000</v>
      </c>
      <c r="Q207" s="652">
        <f>92.7/1000*'Energy &amp; Unit Conversions'!P25/'Energy &amp; Unit Conversions'!G82</f>
        <v>126.73249505986716</v>
      </c>
      <c r="R207" s="1655">
        <v>8.4</v>
      </c>
      <c r="S207" s="329"/>
      <c r="T207" s="1649">
        <f t="shared" ref="T207:T217" si="0">(0.0000000204*POWER(P207,2)-0.000126*P207+0.481)*Q207</f>
        <v>47.575378645474125</v>
      </c>
      <c r="U207" s="1655">
        <f t="shared" ref="U207:U217" si="1">Q207-R207</f>
        <v>118.33249505986716</v>
      </c>
      <c r="V207" s="627"/>
      <c r="W207" s="627"/>
      <c r="X207" s="1664"/>
      <c r="Y207" s="627"/>
    </row>
    <row r="208" spans="1:25" ht="15" x14ac:dyDescent="0.2">
      <c r="A208" s="621"/>
      <c r="B208" s="1091"/>
      <c r="C208" s="626"/>
      <c r="D208" s="626"/>
      <c r="E208" s="627"/>
      <c r="F208" s="627"/>
      <c r="G208" s="391"/>
      <c r="H208" s="391"/>
      <c r="I208" s="391"/>
      <c r="J208" s="391"/>
      <c r="K208" s="391"/>
      <c r="L208" s="611"/>
      <c r="M208" s="391"/>
      <c r="N208" s="611"/>
      <c r="O208" s="627"/>
      <c r="P208" s="1649">
        <v>1200</v>
      </c>
      <c r="Q208" s="652">
        <f>116.9/1000*'Energy &amp; Unit Conversions'!P25/'Energy &amp; Unit Conversions'!G82</f>
        <v>159.81692203342473</v>
      </c>
      <c r="R208" s="1655">
        <v>9.3000000000000007</v>
      </c>
      <c r="S208" s="329"/>
      <c r="T208" s="1649">
        <f t="shared" si="0"/>
        <v>57.402402788277364</v>
      </c>
      <c r="U208" s="1655">
        <f t="shared" si="1"/>
        <v>150.51692203342472</v>
      </c>
      <c r="V208" s="627"/>
      <c r="W208" s="329"/>
      <c r="X208" s="1626"/>
      <c r="Y208" s="627"/>
    </row>
    <row r="209" spans="1:25" ht="15" x14ac:dyDescent="0.2">
      <c r="A209" s="621"/>
      <c r="B209" s="1091"/>
      <c r="C209" s="626"/>
      <c r="D209" s="626"/>
      <c r="E209" s="627" t="s">
        <v>911</v>
      </c>
      <c r="F209" s="627"/>
      <c r="G209" s="391"/>
      <c r="H209" s="686">
        <v>2</v>
      </c>
      <c r="I209" s="391"/>
      <c r="J209" s="391"/>
      <c r="K209" s="391"/>
      <c r="L209" s="611"/>
      <c r="M209" s="391"/>
      <c r="N209" s="611"/>
      <c r="O209" s="627"/>
      <c r="P209" s="1649">
        <v>1400</v>
      </c>
      <c r="Q209" s="652">
        <f>141.2/1000*'Energy &amp; Unit Conversions'!P25/'Energy &amp; Unit Conversions'!G82</f>
        <v>193.03806151513743</v>
      </c>
      <c r="R209" s="1655">
        <v>10.3</v>
      </c>
      <c r="S209" s="329"/>
      <c r="T209" s="1649">
        <f t="shared" si="0"/>
        <v>66.517827389132123</v>
      </c>
      <c r="U209" s="1655">
        <f t="shared" si="1"/>
        <v>182.73806151513742</v>
      </c>
      <c r="V209" s="627"/>
      <c r="W209" s="329"/>
      <c r="X209" s="1626"/>
      <c r="Y209" s="627"/>
    </row>
    <row r="210" spans="1:25" ht="15" x14ac:dyDescent="0.2">
      <c r="A210" s="621"/>
      <c r="B210" s="1091"/>
      <c r="C210" s="626"/>
      <c r="D210" s="626"/>
      <c r="E210" s="645" t="s">
        <v>879</v>
      </c>
      <c r="F210" s="685">
        <v>5</v>
      </c>
      <c r="G210" s="391" t="s">
        <v>930</v>
      </c>
      <c r="H210" s="391">
        <v>1</v>
      </c>
      <c r="I210" s="391"/>
      <c r="J210" s="391"/>
      <c r="K210" s="391"/>
      <c r="L210" s="611"/>
      <c r="M210" s="391"/>
      <c r="N210" s="611"/>
      <c r="O210" s="627"/>
      <c r="P210" s="1649">
        <v>1600</v>
      </c>
      <c r="Q210" s="652">
        <f>165.4/1000*'Energy &amp; Unit Conversions'!P25/'Energy &amp; Unit Conversions'!G82</f>
        <v>226.12248848869504</v>
      </c>
      <c r="R210" s="1655">
        <v>11.2</v>
      </c>
      <c r="S210" s="329"/>
      <c r="T210" s="1649">
        <f t="shared" si="0"/>
        <v>74.987644122574991</v>
      </c>
      <c r="U210" s="1655">
        <f t="shared" si="1"/>
        <v>214.92248848869505</v>
      </c>
      <c r="V210" s="627"/>
      <c r="W210" s="329"/>
      <c r="X210" s="1626"/>
      <c r="Y210" s="627"/>
    </row>
    <row r="211" spans="1:25" ht="15" x14ac:dyDescent="0.2">
      <c r="A211" s="621"/>
      <c r="B211" s="1091"/>
      <c r="C211" s="626"/>
      <c r="D211" s="626"/>
      <c r="E211" s="645" t="s">
        <v>1416</v>
      </c>
      <c r="F211" s="685">
        <f ca="1">IF(H188&lt;2000,R197,IF(H188&lt;3000,S197,T197))</f>
        <v>50</v>
      </c>
      <c r="G211" s="391" t="s">
        <v>707</v>
      </c>
      <c r="H211" s="391">
        <v>2</v>
      </c>
      <c r="I211" s="391"/>
      <c r="J211" s="391"/>
      <c r="K211" s="391"/>
      <c r="L211" s="611"/>
      <c r="M211" s="391"/>
      <c r="N211" s="611"/>
      <c r="O211" s="627"/>
      <c r="P211" s="1649">
        <v>1800</v>
      </c>
      <c r="Q211" s="652">
        <f>189.7/1000*'Energy &amp; Unit Conversions'!P25/'Energy &amp; Unit Conversions'!G82</f>
        <v>259.34362797040774</v>
      </c>
      <c r="R211" s="1655">
        <v>12.2</v>
      </c>
      <c r="S211" s="329"/>
      <c r="T211" s="1649">
        <f t="shared" si="0"/>
        <v>83.066726664409714</v>
      </c>
      <c r="U211" s="1655">
        <f t="shared" si="1"/>
        <v>247.14362797040775</v>
      </c>
      <c r="V211" s="627"/>
      <c r="W211" s="329"/>
      <c r="X211" s="1626"/>
      <c r="Y211" s="627"/>
    </row>
    <row r="212" spans="1:25" ht="15" x14ac:dyDescent="0.2">
      <c r="A212" s="621"/>
      <c r="B212" s="1091"/>
      <c r="C212" s="626"/>
      <c r="D212" s="626"/>
      <c r="E212" s="645" t="s">
        <v>1417</v>
      </c>
      <c r="F212" s="685">
        <f ca="1">IF(H189&lt;2000,$R$197,IF(H189&lt;3000,$S$197,$T$197))</f>
        <v>50</v>
      </c>
      <c r="G212" s="391"/>
      <c r="H212" s="391"/>
      <c r="I212" s="391"/>
      <c r="J212" s="391"/>
      <c r="K212" s="391"/>
      <c r="L212" s="611"/>
      <c r="M212" s="391"/>
      <c r="N212" s="611"/>
      <c r="O212" s="627"/>
      <c r="P212" s="1649">
        <v>2000</v>
      </c>
      <c r="Q212" s="652">
        <f>213.9/1000*'Energy &amp; Unit Conversions'!P25/'Energy &amp; Unit Conversions'!G82</f>
        <v>292.42805494396532</v>
      </c>
      <c r="R212" s="1655">
        <v>13.1</v>
      </c>
      <c r="S212" s="329"/>
      <c r="T212" s="1649">
        <f t="shared" si="0"/>
        <v>90.828153865595624</v>
      </c>
      <c r="U212" s="1655">
        <f t="shared" si="1"/>
        <v>279.3280549439653</v>
      </c>
      <c r="V212" s="627"/>
      <c r="W212" s="329"/>
      <c r="X212" s="1626"/>
      <c r="Y212" s="627"/>
    </row>
    <row r="213" spans="1:25" ht="15" x14ac:dyDescent="0.2">
      <c r="A213" s="621"/>
      <c r="B213" s="1091"/>
      <c r="C213" s="626"/>
      <c r="D213" s="643" t="s">
        <v>721</v>
      </c>
      <c r="E213" s="630" t="s">
        <v>523</v>
      </c>
      <c r="F213" s="627" t="s">
        <v>1418</v>
      </c>
      <c r="G213" s="391" t="s">
        <v>930</v>
      </c>
      <c r="H213" s="391">
        <f ca="1">IF($H$209=$H$210,$F$210,$F$212)</f>
        <v>50</v>
      </c>
      <c r="I213" s="391"/>
      <c r="J213" s="391"/>
      <c r="K213" s="391"/>
      <c r="L213" s="611"/>
      <c r="M213" s="391"/>
      <c r="N213" s="611"/>
      <c r="O213" s="627"/>
      <c r="P213" s="1649">
        <v>2200</v>
      </c>
      <c r="Q213" s="652">
        <f>238.2/1000*'Energy &amp; Unit Conversions'!P25/'Energy &amp; Unit Conversions'!G82</f>
        <v>325.64919442567805</v>
      </c>
      <c r="R213" s="1655">
        <v>14.1</v>
      </c>
      <c r="S213" s="329"/>
      <c r="T213" s="1649">
        <f t="shared" si="0"/>
        <v>98.520604684766923</v>
      </c>
      <c r="U213" s="1655">
        <f t="shared" si="1"/>
        <v>311.54919442567802</v>
      </c>
      <c r="V213" s="627"/>
      <c r="W213" s="329"/>
      <c r="X213" s="1626"/>
      <c r="Y213" s="627"/>
    </row>
    <row r="214" spans="1:25" ht="15" x14ac:dyDescent="0.2">
      <c r="A214" s="621"/>
      <c r="B214" s="1091"/>
      <c r="C214" s="626"/>
      <c r="D214" s="626" t="s">
        <v>899</v>
      </c>
      <c r="E214" s="627"/>
      <c r="F214" s="627"/>
      <c r="G214" s="391" t="s">
        <v>932</v>
      </c>
      <c r="H214" s="391">
        <f ca="1">HydroRefineryCalcs!D462/HydroRefineryCalcs!I359/'Energy &amp; Unit Conversions'!$G$79</f>
        <v>58.346222955490752</v>
      </c>
      <c r="I214" s="391"/>
      <c r="J214" s="391"/>
      <c r="K214" s="391"/>
      <c r="L214" s="611"/>
      <c r="M214" s="391"/>
      <c r="N214" s="611"/>
      <c r="O214" s="627"/>
      <c r="P214" s="1649">
        <v>2400</v>
      </c>
      <c r="Q214" s="652">
        <f>262.5/1000*'Energy &amp; Unit Conversions'!P25/'Energy &amp; Unit Conversions'!G82</f>
        <v>358.87033390739083</v>
      </c>
      <c r="R214" s="1655">
        <v>15</v>
      </c>
      <c r="S214" s="329"/>
      <c r="T214" s="1649">
        <f t="shared" si="0"/>
        <v>106.26294135131404</v>
      </c>
      <c r="U214" s="1655">
        <f t="shared" si="1"/>
        <v>343.87033390739083</v>
      </c>
      <c r="V214" s="627"/>
      <c r="W214" s="329"/>
      <c r="X214" s="1626"/>
      <c r="Y214" s="627"/>
    </row>
    <row r="215" spans="1:25" ht="15" x14ac:dyDescent="0.2">
      <c r="A215" s="621"/>
      <c r="B215" s="1091"/>
      <c r="C215" s="626"/>
      <c r="D215" s="626"/>
      <c r="E215" s="627"/>
      <c r="F215" s="627"/>
      <c r="G215" s="391" t="s">
        <v>136</v>
      </c>
      <c r="H215" s="391">
        <f ca="1">H214*'Energy &amp; Unit Conversions'!$E$70*'Energy &amp; Unit Conversions'!$G$79</f>
        <v>86.157594408669553</v>
      </c>
      <c r="I215" s="391"/>
      <c r="J215" s="391"/>
      <c r="K215" s="391"/>
      <c r="L215" s="611"/>
      <c r="M215" s="391"/>
      <c r="N215" s="611"/>
      <c r="O215" s="627"/>
      <c r="P215" s="1649">
        <v>2600</v>
      </c>
      <c r="Q215" s="652">
        <f>286.7/1000*'Energy &amp; Unit Conversions'!P25/'Energy &amp; Unit Conversions'!G82</f>
        <v>391.95476088094841</v>
      </c>
      <c r="R215" s="1655">
        <v>16</v>
      </c>
      <c r="S215" s="329"/>
      <c r="T215" s="1649">
        <f t="shared" si="0"/>
        <v>114.17798966366379</v>
      </c>
      <c r="U215" s="1655">
        <f t="shared" si="1"/>
        <v>375.95476088094841</v>
      </c>
      <c r="V215" s="627"/>
      <c r="W215" s="329"/>
      <c r="X215" s="1626"/>
      <c r="Y215" s="627"/>
    </row>
    <row r="216" spans="1:25" ht="15" x14ac:dyDescent="0.2">
      <c r="A216" s="621"/>
      <c r="B216" s="1091"/>
      <c r="C216" s="626"/>
      <c r="D216" s="626"/>
      <c r="E216" s="627"/>
      <c r="F216" s="627"/>
      <c r="G216" s="391"/>
      <c r="H216" s="391"/>
      <c r="I216" s="391"/>
      <c r="J216" s="391"/>
      <c r="K216" s="391"/>
      <c r="L216" s="611"/>
      <c r="M216" s="391"/>
      <c r="N216" s="611"/>
      <c r="O216" s="627"/>
      <c r="P216" s="1649">
        <v>2800</v>
      </c>
      <c r="Q216" s="652">
        <f>311/1000*'Energy &amp; Unit Conversions'!P25/'Energy &amp; Unit Conversions'!G82</f>
        <v>425.17590036266114</v>
      </c>
      <c r="R216" s="1655">
        <v>16.899999999999999</v>
      </c>
      <c r="S216" s="329"/>
      <c r="T216" s="1649">
        <f t="shared" si="0"/>
        <v>122.50848322689571</v>
      </c>
      <c r="U216" s="1655">
        <f t="shared" si="1"/>
        <v>408.27590036266116</v>
      </c>
      <c r="V216" s="627"/>
      <c r="W216" s="329"/>
      <c r="X216" s="1626"/>
      <c r="Y216" s="627"/>
    </row>
    <row r="217" spans="1:25" ht="15" x14ac:dyDescent="0.2">
      <c r="A217" s="621"/>
      <c r="B217" s="1091"/>
      <c r="C217" s="626"/>
      <c r="D217" s="626"/>
      <c r="E217" s="630" t="s">
        <v>451</v>
      </c>
      <c r="F217" s="627"/>
      <c r="G217" s="391" t="s">
        <v>665</v>
      </c>
      <c r="H217" s="391">
        <f ca="1">IF(H189&lt;2000,$R$196,IF(H189&lt;3000,$S$196,$T$196))</f>
        <v>8</v>
      </c>
      <c r="I217" s="391"/>
      <c r="J217" s="391"/>
      <c r="K217" s="391"/>
      <c r="L217" s="611"/>
      <c r="M217" s="391"/>
      <c r="N217" s="611"/>
      <c r="O217" s="627"/>
      <c r="P217" s="1656">
        <v>3000</v>
      </c>
      <c r="Q217" s="1658">
        <f>335.2/1000*'Energy &amp; Unit Conversions'!P25/'Energy &amp; Unit Conversions'!G82</f>
        <v>458.26032733621867</v>
      </c>
      <c r="R217" s="1657">
        <v>17.899999999999999</v>
      </c>
      <c r="S217" s="329"/>
      <c r="T217" s="1656">
        <f t="shared" si="0"/>
        <v>131.33740981456026</v>
      </c>
      <c r="U217" s="1657">
        <f t="shared" si="1"/>
        <v>440.36032733621869</v>
      </c>
      <c r="V217" s="627"/>
      <c r="W217" s="329"/>
      <c r="X217" s="1626"/>
      <c r="Y217" s="627"/>
    </row>
    <row r="218" spans="1:25" ht="15" x14ac:dyDescent="0.2">
      <c r="A218" s="621"/>
      <c r="B218" s="1091"/>
      <c r="C218" s="626"/>
      <c r="D218" s="626"/>
      <c r="E218" s="627"/>
      <c r="F218" s="627"/>
      <c r="G218" s="391"/>
      <c r="H218" s="391">
        <f ca="1">H217*'Energy &amp; Unit Conversions'!$G$88</f>
        <v>28.8</v>
      </c>
      <c r="I218" s="391"/>
      <c r="J218" s="391"/>
      <c r="K218" s="391"/>
      <c r="L218" s="611"/>
      <c r="M218" s="391"/>
      <c r="N218" s="611"/>
      <c r="O218" s="627"/>
      <c r="P218" s="634"/>
      <c r="Q218" s="627"/>
      <c r="R218" s="329"/>
      <c r="S218" s="329"/>
      <c r="T218" s="329"/>
      <c r="U218" s="627"/>
      <c r="V218" s="329"/>
      <c r="W218" s="329"/>
      <c r="X218" s="1626"/>
      <c r="Y218" s="627"/>
    </row>
    <row r="219" spans="1:25" ht="15" x14ac:dyDescent="0.2">
      <c r="A219" s="621"/>
      <c r="B219" s="1091"/>
      <c r="C219" s="626"/>
      <c r="D219" s="626"/>
      <c r="E219" s="645" t="s">
        <v>929</v>
      </c>
      <c r="F219" s="685">
        <v>0.8</v>
      </c>
      <c r="G219" s="391" t="s">
        <v>665</v>
      </c>
      <c r="H219" s="391">
        <f ca="1">H217*0.8</f>
        <v>6.4</v>
      </c>
      <c r="I219" s="391"/>
      <c r="J219" s="391"/>
      <c r="K219" s="391"/>
      <c r="L219" s="611"/>
      <c r="M219" s="391"/>
      <c r="N219" s="611"/>
      <c r="O219" s="627"/>
      <c r="P219" s="634"/>
      <c r="Q219" s="627"/>
      <c r="R219" s="329"/>
      <c r="S219" s="329"/>
      <c r="T219" s="329"/>
      <c r="U219" s="627"/>
      <c r="V219" s="329"/>
      <c r="W219" s="329"/>
      <c r="X219" s="1626"/>
      <c r="Y219" s="627"/>
    </row>
    <row r="220" spans="1:25" ht="15" x14ac:dyDescent="0.2">
      <c r="A220" s="621"/>
      <c r="B220" s="1091"/>
      <c r="C220" s="626"/>
      <c r="D220" s="687"/>
      <c r="E220" s="688" t="s">
        <v>721</v>
      </c>
      <c r="F220" s="655"/>
      <c r="G220" s="612" t="s">
        <v>931</v>
      </c>
      <c r="H220" s="612">
        <f ca="1">H217*0.2</f>
        <v>1.6</v>
      </c>
      <c r="I220" s="612"/>
      <c r="J220" s="612"/>
      <c r="K220" s="612"/>
      <c r="L220" s="613"/>
      <c r="M220" s="391"/>
      <c r="N220" s="611"/>
      <c r="O220" s="627"/>
      <c r="P220" s="627"/>
      <c r="Q220" s="627"/>
      <c r="R220" s="329"/>
      <c r="S220" s="329"/>
      <c r="T220" s="329"/>
      <c r="U220" s="627"/>
      <c r="V220" s="329"/>
      <c r="W220" s="329"/>
      <c r="X220" s="1626"/>
      <c r="Y220" s="627"/>
    </row>
    <row r="221" spans="1:25" ht="15" x14ac:dyDescent="0.2">
      <c r="A221" s="621"/>
      <c r="B221" s="1091"/>
      <c r="C221" s="626"/>
      <c r="D221" s="627"/>
      <c r="E221" s="627"/>
      <c r="F221" s="627"/>
      <c r="G221" s="391"/>
      <c r="H221" s="391"/>
      <c r="I221" s="391"/>
      <c r="J221" s="391"/>
      <c r="K221" s="391"/>
      <c r="L221" s="391"/>
      <c r="M221" s="391"/>
      <c r="N221" s="611"/>
      <c r="O221" s="627"/>
      <c r="P221" s="627"/>
      <c r="Q221" s="627"/>
      <c r="R221" s="329"/>
      <c r="S221" s="329"/>
      <c r="T221" s="329"/>
      <c r="U221" s="627"/>
      <c r="V221" s="329"/>
      <c r="W221" s="329"/>
      <c r="X221" s="1626"/>
      <c r="Y221" s="627"/>
    </row>
    <row r="222" spans="1:25" ht="19.5" customHeight="1" x14ac:dyDescent="0.2">
      <c r="A222" s="621"/>
      <c r="B222" s="1091"/>
      <c r="C222" s="622" t="s">
        <v>1138</v>
      </c>
      <c r="D222" s="623"/>
      <c r="E222" s="623"/>
      <c r="F222" s="623"/>
      <c r="G222" s="661"/>
      <c r="H222" s="661"/>
      <c r="I222" s="661"/>
      <c r="J222" s="661"/>
      <c r="K222" s="661"/>
      <c r="L222" s="661"/>
      <c r="M222" s="661"/>
      <c r="N222" s="662"/>
      <c r="O222" s="630"/>
      <c r="P222" s="630"/>
      <c r="Q222" s="630"/>
      <c r="R222" s="630"/>
      <c r="S222" s="630"/>
      <c r="T222" s="630"/>
      <c r="U222" s="630"/>
      <c r="V222" s="630"/>
      <c r="W222" s="630"/>
      <c r="X222" s="1663"/>
      <c r="Y222" s="630"/>
    </row>
    <row r="223" spans="1:25" ht="15" x14ac:dyDescent="0.2">
      <c r="A223" s="621"/>
      <c r="B223" s="1091"/>
      <c r="C223" s="643"/>
      <c r="D223" s="630"/>
      <c r="E223" s="630"/>
      <c r="F223" s="630"/>
      <c r="G223" s="610"/>
      <c r="H223" s="610"/>
      <c r="I223" s="610"/>
      <c r="J223" s="610"/>
      <c r="K223" s="610"/>
      <c r="L223" s="610"/>
      <c r="M223" s="610"/>
      <c r="N223" s="614"/>
      <c r="O223" s="630"/>
      <c r="P223" s="630"/>
      <c r="Q223" s="630"/>
      <c r="R223" s="630"/>
      <c r="S223" s="630"/>
      <c r="T223" s="630"/>
      <c r="U223" s="630"/>
      <c r="V223" s="630"/>
      <c r="W223" s="630"/>
      <c r="X223" s="1663"/>
      <c r="Y223" s="630"/>
    </row>
    <row r="224" spans="1:25" ht="18.75" x14ac:dyDescent="0.3">
      <c r="A224" s="621"/>
      <c r="B224" s="1091"/>
      <c r="C224" s="643"/>
      <c r="D224" s="628" t="s">
        <v>1139</v>
      </c>
      <c r="E224" s="630"/>
      <c r="F224" s="630"/>
      <c r="G224" s="610"/>
      <c r="H224" s="610">
        <f ca="1">CokingRefineryCalcs!E697</f>
        <v>1.9865467468475886E-16</v>
      </c>
      <c r="I224" s="610"/>
      <c r="J224" s="610"/>
      <c r="K224" s="610"/>
      <c r="L224" s="610"/>
      <c r="M224" s="610"/>
      <c r="N224" s="614"/>
      <c r="O224" s="630"/>
      <c r="P224" s="630"/>
      <c r="Q224" s="630"/>
      <c r="R224" s="630"/>
      <c r="S224" s="630"/>
      <c r="T224" s="630"/>
      <c r="U224" s="630"/>
      <c r="V224" s="630"/>
      <c r="W224" s="630"/>
      <c r="X224" s="1663"/>
      <c r="Y224" s="630"/>
    </row>
    <row r="225" spans="1:25" ht="18.75" x14ac:dyDescent="0.3">
      <c r="A225" s="621"/>
      <c r="B225" s="1091"/>
      <c r="C225" s="643"/>
      <c r="D225" s="628"/>
      <c r="E225" s="630"/>
      <c r="F225" s="630"/>
      <c r="G225" s="610"/>
      <c r="H225" s="660"/>
      <c r="I225" s="610"/>
      <c r="J225" s="610"/>
      <c r="K225" s="610"/>
      <c r="L225" s="610"/>
      <c r="M225" s="610"/>
      <c r="N225" s="614"/>
      <c r="O225" s="630"/>
      <c r="P225" s="630"/>
      <c r="Q225" s="630"/>
      <c r="R225" s="630"/>
      <c r="S225" s="630"/>
      <c r="T225" s="630"/>
      <c r="U225" s="630"/>
      <c r="V225" s="630"/>
      <c r="W225" s="630"/>
      <c r="X225" s="1663"/>
      <c r="Y225" s="630"/>
    </row>
    <row r="226" spans="1:25" ht="15" x14ac:dyDescent="0.2">
      <c r="A226" s="621"/>
      <c r="B226" s="1091"/>
      <c r="C226" s="626"/>
      <c r="D226" s="629" t="s">
        <v>1105</v>
      </c>
      <c r="E226" s="627"/>
      <c r="F226" s="627"/>
      <c r="G226" s="391" t="s">
        <v>1126</v>
      </c>
      <c r="H226" s="391">
        <f>H130</f>
        <v>25688</v>
      </c>
      <c r="I226" s="391">
        <v>3000</v>
      </c>
      <c r="J226" s="391">
        <v>243000</v>
      </c>
      <c r="K226" s="391">
        <v>63000</v>
      </c>
      <c r="L226" s="391">
        <v>63057</v>
      </c>
      <c r="M226" s="391">
        <v>55555</v>
      </c>
      <c r="N226" s="611">
        <v>25000</v>
      </c>
      <c r="O226" s="627"/>
      <c r="P226" s="184"/>
      <c r="Q226" s="286"/>
      <c r="R226" s="286"/>
      <c r="S226" s="286"/>
      <c r="T226" s="286"/>
      <c r="U226" s="627"/>
      <c r="V226" s="627"/>
      <c r="W226" s="627"/>
      <c r="X226" s="1664"/>
      <c r="Y226" s="627"/>
    </row>
    <row r="227" spans="1:25" ht="15" x14ac:dyDescent="0.2">
      <c r="A227" s="621"/>
      <c r="B227" s="1091"/>
      <c r="C227" s="626"/>
      <c r="D227" s="627"/>
      <c r="E227" s="627"/>
      <c r="F227" s="627"/>
      <c r="G227" s="391"/>
      <c r="H227" s="391"/>
      <c r="I227" s="391"/>
      <c r="J227" s="391"/>
      <c r="K227" s="391"/>
      <c r="L227" s="391"/>
      <c r="M227" s="391"/>
      <c r="N227" s="611"/>
      <c r="O227" s="627"/>
      <c r="P227" s="633"/>
      <c r="Q227" s="631"/>
      <c r="R227" s="627"/>
      <c r="S227" s="627"/>
      <c r="T227" s="627"/>
      <c r="U227" s="633"/>
      <c r="V227" s="627"/>
      <c r="W227" s="639"/>
      <c r="X227" s="1664"/>
      <c r="Y227" s="627"/>
    </row>
    <row r="228" spans="1:25" ht="15" x14ac:dyDescent="0.2">
      <c r="A228" s="621"/>
      <c r="B228" s="1091"/>
      <c r="C228" s="626"/>
      <c r="D228" s="629" t="s">
        <v>929</v>
      </c>
      <c r="E228" s="630" t="s">
        <v>635</v>
      </c>
      <c r="F228" s="627"/>
      <c r="G228" s="391" t="s">
        <v>136</v>
      </c>
      <c r="H228" s="658">
        <v>105</v>
      </c>
      <c r="I228" s="391">
        <v>0</v>
      </c>
      <c r="J228" s="391">
        <v>105</v>
      </c>
      <c r="K228" s="391">
        <v>105</v>
      </c>
      <c r="L228" s="391">
        <f>74.5/'Energy &amp; Unit Conversions'!$E$93*'Energy &amp; Unit Conversions'!$G$84</f>
        <v>78.601661020189994</v>
      </c>
      <c r="M228" s="391"/>
      <c r="N228" s="611"/>
      <c r="O228" s="627"/>
      <c r="P228" s="644"/>
      <c r="Q228" s="631"/>
      <c r="R228" s="627"/>
      <c r="S228" s="631"/>
      <c r="T228" s="627"/>
      <c r="U228" s="633"/>
      <c r="V228" s="627"/>
      <c r="W228" s="631"/>
      <c r="X228" s="1664"/>
      <c r="Y228" s="627"/>
    </row>
    <row r="229" spans="1:25" ht="15" x14ac:dyDescent="0.2">
      <c r="A229" s="621"/>
      <c r="B229" s="1091"/>
      <c r="C229" s="626"/>
      <c r="D229" s="627"/>
      <c r="E229" s="627"/>
      <c r="F229" s="627"/>
      <c r="G229" s="391" t="s">
        <v>637</v>
      </c>
      <c r="H229" s="391">
        <f>IF('Energy &amp; Unit Conversions'!$E$10=1,H228,H228/'Energy &amp; Unit Conversions'!$K$59)/'Energy &amp; Unit Conversions'!$P$25/'Energy &amp; Unit Conversions'!$G$82</f>
        <v>107.01126379400964</v>
      </c>
      <c r="I229" s="391">
        <f>IF('Energy &amp; Unit Conversions'!$E$10=1,I228,I228/'Energy &amp; Unit Conversions'!$K$59)/'Energy &amp; Unit Conversions'!$P$25/'Energy &amp; Unit Conversions'!$G$82</f>
        <v>0</v>
      </c>
      <c r="J229" s="391">
        <f>IF('Energy &amp; Unit Conversions'!$E$10=1,J228,J228/'Energy &amp; Unit Conversions'!$K$59)/'Energy &amp; Unit Conversions'!$P$25/'Energy &amp; Unit Conversions'!$G$82</f>
        <v>107.01126379400964</v>
      </c>
      <c r="K229" s="391">
        <v>108</v>
      </c>
      <c r="L229" s="391"/>
      <c r="M229" s="391"/>
      <c r="N229" s="611"/>
      <c r="O229" s="627"/>
      <c r="P229" s="636"/>
      <c r="Q229" s="631"/>
      <c r="R229" s="627"/>
      <c r="S229" s="631"/>
      <c r="T229" s="627"/>
      <c r="U229" s="633"/>
      <c r="V229" s="627"/>
      <c r="W229" s="631"/>
      <c r="X229" s="1664"/>
      <c r="Y229" s="627"/>
    </row>
    <row r="230" spans="1:25" ht="15" x14ac:dyDescent="0.2">
      <c r="A230" s="621"/>
      <c r="B230" s="1091"/>
      <c r="C230" s="626"/>
      <c r="D230" s="630" t="s">
        <v>721</v>
      </c>
      <c r="E230" s="630" t="s">
        <v>674</v>
      </c>
      <c r="F230" s="627"/>
      <c r="G230" s="391" t="s">
        <v>496</v>
      </c>
      <c r="H230" s="658">
        <v>0.97</v>
      </c>
      <c r="I230" s="391">
        <v>0</v>
      </c>
      <c r="J230" s="391">
        <v>20</v>
      </c>
      <c r="K230" s="391">
        <v>0</v>
      </c>
      <c r="L230" s="391">
        <f>-97.7/'Energy &amp; Unit Conversions'!$E$93*'Energy &amp; Unit Conversions'!G$84</f>
        <v>-103.07895680097401</v>
      </c>
      <c r="M230" s="391"/>
      <c r="N230" s="611">
        <v>-30</v>
      </c>
      <c r="O230" s="627"/>
      <c r="P230" s="636"/>
      <c r="Q230" s="631"/>
      <c r="R230" s="631"/>
      <c r="S230" s="627"/>
      <c r="T230" s="631"/>
      <c r="U230" s="633"/>
      <c r="V230" s="627"/>
      <c r="W230" s="639"/>
      <c r="X230" s="1664"/>
      <c r="Y230" s="627"/>
    </row>
    <row r="231" spans="1:25" ht="15" x14ac:dyDescent="0.2">
      <c r="A231" s="621"/>
      <c r="B231" s="1091"/>
      <c r="C231" s="626"/>
      <c r="D231" s="630"/>
      <c r="E231" s="630"/>
      <c r="F231" s="627"/>
      <c r="G231" s="391" t="s">
        <v>136</v>
      </c>
      <c r="H231" s="391"/>
      <c r="I231" s="391">
        <f>I230*'Energy &amp; Unit Conversions'!$E$70*'Energy &amp; Unit Conversions'!$G$79</f>
        <v>0</v>
      </c>
      <c r="J231" s="391">
        <f>J230*'Energy &amp; Unit Conversions'!$E$70*'Energy &amp; Unit Conversions'!$G$79</f>
        <v>29.533220847695532</v>
      </c>
      <c r="K231" s="391"/>
      <c r="L231" s="391"/>
      <c r="M231" s="391"/>
      <c r="N231" s="611"/>
      <c r="O231" s="627"/>
      <c r="P231" s="636"/>
      <c r="Q231" s="631"/>
      <c r="R231" s="631"/>
      <c r="S231" s="627"/>
      <c r="T231" s="631"/>
      <c r="U231" s="633"/>
      <c r="V231" s="627"/>
      <c r="W231" s="639"/>
      <c r="X231" s="1664"/>
      <c r="Y231" s="627"/>
    </row>
    <row r="232" spans="1:25" ht="15" x14ac:dyDescent="0.2">
      <c r="A232" s="621"/>
      <c r="B232" s="1091"/>
      <c r="C232" s="626"/>
      <c r="D232" s="627"/>
      <c r="E232" s="630" t="s">
        <v>451</v>
      </c>
      <c r="F232" s="627"/>
      <c r="G232" s="391" t="s">
        <v>665</v>
      </c>
      <c r="H232" s="658">
        <v>1.5</v>
      </c>
      <c r="I232" s="391">
        <v>0.75</v>
      </c>
      <c r="J232" s="391">
        <v>6</v>
      </c>
      <c r="K232" s="391">
        <v>0</v>
      </c>
      <c r="L232" s="391">
        <f>12.5/'Energy &amp; Unit Conversions'!$E$93*'Energy &amp; Unit Conversions'!$G$84/'Energy &amp; Unit Conversions'!$G$88</f>
        <v>3.6633883771527782</v>
      </c>
      <c r="M232" s="391"/>
      <c r="N232" s="611"/>
      <c r="O232" s="627"/>
      <c r="P232" s="644"/>
      <c r="Q232" s="627"/>
      <c r="R232" s="627"/>
      <c r="S232" s="631"/>
      <c r="T232" s="627"/>
      <c r="U232" s="633"/>
      <c r="V232" s="627"/>
      <c r="W232" s="639"/>
      <c r="X232" s="1664"/>
      <c r="Y232" s="627"/>
    </row>
    <row r="233" spans="1:25" ht="15" x14ac:dyDescent="0.2">
      <c r="A233" s="621"/>
      <c r="B233" s="1091"/>
      <c r="C233" s="626"/>
      <c r="D233" s="627"/>
      <c r="E233" s="645" t="s">
        <v>929</v>
      </c>
      <c r="F233" s="646">
        <v>0.7</v>
      </c>
      <c r="G233" s="391" t="s">
        <v>665</v>
      </c>
      <c r="H233" s="391">
        <f>F233*H232</f>
        <v>1.0499999999999998</v>
      </c>
      <c r="I233" s="391"/>
      <c r="J233" s="391"/>
      <c r="K233" s="391"/>
      <c r="L233" s="391"/>
      <c r="M233" s="391"/>
      <c r="N233" s="611"/>
      <c r="O233" s="627"/>
      <c r="P233" s="627"/>
      <c r="Q233" s="627"/>
      <c r="R233" s="627"/>
      <c r="S233" s="627"/>
      <c r="T233" s="631"/>
      <c r="U233" s="633"/>
      <c r="V233" s="627"/>
      <c r="W233" s="639"/>
      <c r="X233" s="1664"/>
      <c r="Y233" s="627"/>
    </row>
    <row r="234" spans="1:25" ht="15" x14ac:dyDescent="0.2">
      <c r="A234" s="621"/>
      <c r="B234" s="1091"/>
      <c r="C234" s="626"/>
      <c r="D234" s="627"/>
      <c r="E234" s="645" t="s">
        <v>721</v>
      </c>
      <c r="F234" s="627"/>
      <c r="G234" s="391" t="s">
        <v>665</v>
      </c>
      <c r="H234" s="391">
        <f>(1-F233)*H232</f>
        <v>0.45000000000000007</v>
      </c>
      <c r="I234" s="391"/>
      <c r="J234" s="391"/>
      <c r="K234" s="391"/>
      <c r="L234" s="391"/>
      <c r="M234" s="391"/>
      <c r="N234" s="611"/>
      <c r="O234" s="627"/>
      <c r="P234" s="627"/>
      <c r="Q234" s="627"/>
      <c r="R234" s="627"/>
      <c r="S234" s="627"/>
      <c r="T234" s="631"/>
      <c r="U234" s="633"/>
      <c r="V234" s="627"/>
      <c r="W234" s="639"/>
      <c r="X234" s="1664"/>
      <c r="Y234" s="627"/>
    </row>
    <row r="235" spans="1:25" ht="15" x14ac:dyDescent="0.2">
      <c r="A235" s="621"/>
      <c r="B235" s="1091"/>
      <c r="C235" s="626"/>
      <c r="D235" s="627"/>
      <c r="E235" s="638"/>
      <c r="F235" s="638"/>
      <c r="G235" s="391"/>
      <c r="H235" s="391"/>
      <c r="I235" s="391"/>
      <c r="J235" s="391"/>
      <c r="K235" s="391"/>
      <c r="L235" s="391"/>
      <c r="M235" s="391"/>
      <c r="N235" s="611"/>
      <c r="O235" s="627"/>
      <c r="P235" s="633"/>
      <c r="Q235" s="627"/>
      <c r="R235" s="627"/>
      <c r="S235" s="627"/>
      <c r="T235" s="627"/>
      <c r="U235" s="633"/>
      <c r="V235" s="627"/>
      <c r="W235" s="639"/>
      <c r="X235" s="1664"/>
      <c r="Y235" s="627"/>
    </row>
    <row r="236" spans="1:25" ht="15" x14ac:dyDescent="0.2">
      <c r="A236" s="621"/>
      <c r="B236" s="1091"/>
      <c r="C236" s="626"/>
      <c r="D236" s="627"/>
      <c r="E236" s="627" t="s">
        <v>911</v>
      </c>
      <c r="F236" s="627"/>
      <c r="G236" s="391"/>
      <c r="H236" s="658">
        <v>1</v>
      </c>
      <c r="I236" s="391"/>
      <c r="J236" s="391"/>
      <c r="K236" s="391"/>
      <c r="L236" s="391"/>
      <c r="M236" s="391"/>
      <c r="N236" s="611"/>
      <c r="O236" s="627"/>
      <c r="P236" s="636"/>
      <c r="Q236" s="631"/>
      <c r="R236" s="631"/>
      <c r="S236" s="627"/>
      <c r="T236" s="631"/>
      <c r="U236" s="627"/>
      <c r="V236" s="627"/>
      <c r="W236" s="627"/>
      <c r="X236" s="1664"/>
      <c r="Y236" s="627"/>
    </row>
    <row r="237" spans="1:25" ht="15" x14ac:dyDescent="0.2">
      <c r="A237" s="621"/>
      <c r="B237" s="1091"/>
      <c r="C237" s="626"/>
      <c r="D237" s="627"/>
      <c r="E237" s="645" t="s">
        <v>1123</v>
      </c>
      <c r="F237" s="627"/>
      <c r="G237" s="391"/>
      <c r="H237" s="391">
        <v>1</v>
      </c>
      <c r="I237" s="391"/>
      <c r="J237" s="391"/>
      <c r="K237" s="391"/>
      <c r="L237" s="391"/>
      <c r="M237" s="391"/>
      <c r="N237" s="611"/>
      <c r="O237" s="627"/>
      <c r="P237" s="636"/>
      <c r="Q237" s="627"/>
      <c r="R237" s="627"/>
      <c r="S237" s="627"/>
      <c r="T237" s="631"/>
      <c r="U237" s="633"/>
      <c r="V237" s="627"/>
      <c r="W237" s="639"/>
      <c r="X237" s="1664"/>
      <c r="Y237" s="627"/>
    </row>
    <row r="238" spans="1:25" ht="15" x14ac:dyDescent="0.2">
      <c r="A238" s="621"/>
      <c r="B238" s="1091"/>
      <c r="C238" s="626"/>
      <c r="D238" s="627"/>
      <c r="E238" s="645" t="s">
        <v>878</v>
      </c>
      <c r="F238" s="627"/>
      <c r="G238" s="391"/>
      <c r="H238" s="391">
        <v>2</v>
      </c>
      <c r="I238" s="391"/>
      <c r="J238" s="391"/>
      <c r="K238" s="391"/>
      <c r="L238" s="391"/>
      <c r="M238" s="391"/>
      <c r="N238" s="611"/>
      <c r="O238" s="627"/>
      <c r="P238" s="627"/>
      <c r="Q238" s="627"/>
      <c r="R238" s="627"/>
      <c r="S238" s="627"/>
      <c r="T238" s="627"/>
      <c r="U238" s="633"/>
      <c r="V238" s="627"/>
      <c r="W238" s="639"/>
      <c r="X238" s="1664"/>
      <c r="Y238" s="627"/>
    </row>
    <row r="239" spans="1:25" ht="15" x14ac:dyDescent="0.2">
      <c r="A239" s="621"/>
      <c r="B239" s="1091"/>
      <c r="C239" s="626"/>
      <c r="D239" s="627"/>
      <c r="E239" s="647" t="s">
        <v>590</v>
      </c>
      <c r="F239" s="638"/>
      <c r="G239" s="391" t="s">
        <v>579</v>
      </c>
      <c r="H239" s="391">
        <f>CokingRefineryCalcs!H709</f>
        <v>4.8</v>
      </c>
      <c r="I239" s="391"/>
      <c r="J239" s="391"/>
      <c r="K239" s="391"/>
      <c r="L239" s="391"/>
      <c r="M239" s="391"/>
      <c r="N239" s="611"/>
      <c r="O239" s="627"/>
      <c r="P239" s="636"/>
      <c r="Q239" s="631"/>
      <c r="R239" s="631"/>
      <c r="S239" s="627"/>
      <c r="T239" s="631"/>
      <c r="U239" s="633"/>
      <c r="V239" s="627"/>
      <c r="W239" s="639"/>
      <c r="X239" s="1664"/>
      <c r="Y239" s="627"/>
    </row>
    <row r="240" spans="1:25" ht="15" x14ac:dyDescent="0.2">
      <c r="A240" s="621"/>
      <c r="B240" s="1091"/>
      <c r="C240" s="626"/>
      <c r="D240" s="627"/>
      <c r="E240" s="627"/>
      <c r="F240" s="627"/>
      <c r="G240" s="391"/>
      <c r="H240" s="391"/>
      <c r="I240" s="391"/>
      <c r="J240" s="391"/>
      <c r="K240" s="391"/>
      <c r="L240" s="391"/>
      <c r="M240" s="391"/>
      <c r="N240" s="611"/>
      <c r="O240" s="627"/>
      <c r="P240" s="636"/>
      <c r="Q240" s="631"/>
      <c r="R240" s="631"/>
      <c r="S240" s="627"/>
      <c r="T240" s="631"/>
      <c r="U240" s="633"/>
      <c r="V240" s="627"/>
      <c r="W240" s="639"/>
      <c r="X240" s="1664"/>
      <c r="Y240" s="627"/>
    </row>
    <row r="241" spans="1:25" ht="18.75" x14ac:dyDescent="0.3">
      <c r="A241" s="621"/>
      <c r="B241" s="1091"/>
      <c r="C241" s="626"/>
      <c r="D241" s="628" t="s">
        <v>1140</v>
      </c>
      <c r="E241" s="630"/>
      <c r="F241" s="630"/>
      <c r="G241" s="610"/>
      <c r="H241" s="610"/>
      <c r="I241" s="391"/>
      <c r="J241" s="391"/>
      <c r="K241" s="391"/>
      <c r="L241" s="391"/>
      <c r="M241" s="391"/>
      <c r="N241" s="611"/>
      <c r="O241" s="627"/>
      <c r="P241" s="636"/>
      <c r="Q241" s="631"/>
      <c r="R241" s="627"/>
      <c r="S241" s="627"/>
      <c r="T241" s="627"/>
      <c r="U241" s="633"/>
      <c r="V241" s="627"/>
      <c r="W241" s="639"/>
      <c r="X241" s="1664"/>
      <c r="Y241" s="627"/>
    </row>
    <row r="242" spans="1:25" ht="15" x14ac:dyDescent="0.2">
      <c r="A242" s="621"/>
      <c r="B242" s="1091"/>
      <c r="C242" s="626"/>
      <c r="D242" s="629"/>
      <c r="E242" s="627"/>
      <c r="F242" s="627"/>
      <c r="G242" s="391"/>
      <c r="H242" s="660"/>
      <c r="I242" s="391"/>
      <c r="J242" s="391"/>
      <c r="K242" s="391"/>
      <c r="L242" s="391"/>
      <c r="M242" s="391"/>
      <c r="N242" s="611"/>
      <c r="O242" s="184"/>
      <c r="P242" s="184"/>
      <c r="Q242" s="184"/>
      <c r="R242" s="184"/>
      <c r="S242" s="184"/>
      <c r="T242" s="184"/>
      <c r="U242" s="184"/>
      <c r="V242" s="184"/>
      <c r="W242" s="184"/>
      <c r="X242" s="1664"/>
      <c r="Y242" s="627"/>
    </row>
    <row r="243" spans="1:25" ht="15" x14ac:dyDescent="0.2">
      <c r="A243" s="621"/>
      <c r="B243" s="1091"/>
      <c r="C243" s="626"/>
      <c r="D243" s="629" t="s">
        <v>1105</v>
      </c>
      <c r="E243" s="627"/>
      <c r="F243" s="627"/>
      <c r="G243" s="391"/>
      <c r="H243" s="669">
        <f ca="1">CokingRefineryCalcs!E816</f>
        <v>1.4462060317050446E-17</v>
      </c>
      <c r="I243" s="391">
        <v>1000</v>
      </c>
      <c r="J243" s="391">
        <v>39700</v>
      </c>
      <c r="K243" s="391" t="s">
        <v>1107</v>
      </c>
      <c r="L243" s="391">
        <v>13348</v>
      </c>
      <c r="M243" s="391">
        <v>11950</v>
      </c>
      <c r="N243" s="611">
        <v>5000</v>
      </c>
      <c r="O243" s="184"/>
      <c r="P243" s="184"/>
      <c r="Q243" s="184"/>
      <c r="R243" s="184"/>
      <c r="S243" s="184"/>
      <c r="T243" s="184"/>
      <c r="U243" s="184"/>
      <c r="V243" s="184"/>
      <c r="W243" s="184"/>
      <c r="X243" s="1664"/>
      <c r="Y243" s="627"/>
    </row>
    <row r="244" spans="1:25" ht="15" x14ac:dyDescent="0.2">
      <c r="A244" s="621"/>
      <c r="B244" s="1091"/>
      <c r="C244" s="626"/>
      <c r="D244" s="629"/>
      <c r="E244" s="627"/>
      <c r="F244" s="627"/>
      <c r="G244" s="391"/>
      <c r="H244" s="391"/>
      <c r="I244" s="391"/>
      <c r="J244" s="391"/>
      <c r="K244" s="391"/>
      <c r="L244" s="391"/>
      <c r="M244" s="391"/>
      <c r="N244" s="611"/>
      <c r="O244" s="184"/>
      <c r="P244" s="184"/>
      <c r="Q244" s="184"/>
      <c r="R244" s="184"/>
      <c r="S244" s="184"/>
      <c r="T244" s="184"/>
      <c r="U244" s="184"/>
      <c r="V244" s="184"/>
      <c r="W244" s="184"/>
      <c r="X244" s="1664"/>
      <c r="Y244" s="627"/>
    </row>
    <row r="245" spans="1:25" ht="15" x14ac:dyDescent="0.2">
      <c r="A245" s="621"/>
      <c r="B245" s="1091"/>
      <c r="C245" s="626"/>
      <c r="D245" s="627"/>
      <c r="E245" s="631" t="s">
        <v>451</v>
      </c>
      <c r="F245" s="627"/>
      <c r="G245" s="391" t="s">
        <v>665</v>
      </c>
      <c r="H245" s="658">
        <v>4.12</v>
      </c>
      <c r="I245" s="391">
        <f>I246/'Energy &amp; Unit Conversions'!$G$88</f>
        <v>2.8055555555555554</v>
      </c>
      <c r="J245" s="391">
        <f>J246/'Energy &amp; Unit Conversions'!$G$88</f>
        <v>11</v>
      </c>
      <c r="K245" s="391">
        <v>4.12</v>
      </c>
      <c r="L245" s="391"/>
      <c r="M245" s="391"/>
      <c r="N245" s="611"/>
      <c r="O245" s="184"/>
      <c r="P245" s="184"/>
      <c r="Q245" s="184"/>
      <c r="R245" s="184"/>
      <c r="S245" s="184"/>
      <c r="T245" s="184"/>
      <c r="U245" s="184"/>
      <c r="V245" s="184"/>
      <c r="W245" s="184"/>
      <c r="X245" s="1664"/>
      <c r="Y245" s="627"/>
    </row>
    <row r="246" spans="1:25" ht="15" x14ac:dyDescent="0.2">
      <c r="A246" s="621"/>
      <c r="B246" s="1091"/>
      <c r="C246" s="626"/>
      <c r="D246" s="627"/>
      <c r="E246" s="627"/>
      <c r="F246" s="627"/>
      <c r="G246" s="391" t="s">
        <v>136</v>
      </c>
      <c r="H246" s="391"/>
      <c r="I246" s="391">
        <v>10.1</v>
      </c>
      <c r="J246" s="391">
        <v>39.6</v>
      </c>
      <c r="K246" s="391"/>
      <c r="L246" s="391"/>
      <c r="M246" s="391"/>
      <c r="N246" s="611"/>
      <c r="O246" s="184"/>
      <c r="P246" s="184"/>
      <c r="Q246" s="184"/>
      <c r="R246" s="184"/>
      <c r="S246" s="184"/>
      <c r="T246" s="184"/>
      <c r="U246" s="184"/>
      <c r="V246" s="184"/>
      <c r="W246" s="184"/>
      <c r="X246" s="1664"/>
      <c r="Y246" s="627"/>
    </row>
    <row r="247" spans="1:25" ht="15" x14ac:dyDescent="0.2">
      <c r="A247" s="621"/>
      <c r="B247" s="1091"/>
      <c r="C247" s="626"/>
      <c r="D247" s="627"/>
      <c r="E247" s="631" t="s">
        <v>1121</v>
      </c>
      <c r="F247" s="627"/>
      <c r="G247" s="391" t="s">
        <v>496</v>
      </c>
      <c r="H247" s="658">
        <v>179</v>
      </c>
      <c r="I247" s="391">
        <f>I248/'Energy &amp; Unit Conversions'!$E$70/'Energy &amp; Unit Conversions'!$G$79</f>
        <v>39.684124059616437</v>
      </c>
      <c r="J247" s="391">
        <f>J248/'Energy &amp; Unit Conversions'!$E$70/'Energy &amp; Unit Conversions'!$G$79</f>
        <v>198.42062029808218</v>
      </c>
      <c r="K247" s="391">
        <v>179</v>
      </c>
      <c r="L247" s="391"/>
      <c r="M247" s="391"/>
      <c r="N247" s="611"/>
      <c r="O247" s="184"/>
      <c r="P247" s="184"/>
      <c r="Q247" s="184"/>
      <c r="R247" s="184"/>
      <c r="S247" s="184"/>
      <c r="T247" s="184"/>
      <c r="U247" s="184"/>
      <c r="V247" s="184"/>
      <c r="W247" s="184"/>
      <c r="X247" s="1664"/>
      <c r="Y247" s="627"/>
    </row>
    <row r="248" spans="1:25" ht="15" x14ac:dyDescent="0.2">
      <c r="A248" s="621"/>
      <c r="B248" s="1091"/>
      <c r="C248" s="626"/>
      <c r="D248" s="627"/>
      <c r="E248" s="627"/>
      <c r="F248" s="627"/>
      <c r="G248" s="391" t="s">
        <v>136</v>
      </c>
      <c r="H248" s="391"/>
      <c r="I248" s="391">
        <v>58.6</v>
      </c>
      <c r="J248" s="391">
        <v>293</v>
      </c>
      <c r="K248" s="391"/>
      <c r="L248" s="391"/>
      <c r="M248" s="391"/>
      <c r="N248" s="611"/>
      <c r="O248" s="184"/>
      <c r="P248" s="184"/>
      <c r="Q248" s="184"/>
      <c r="R248" s="184"/>
      <c r="S248" s="184"/>
      <c r="T248" s="184"/>
      <c r="U248" s="184"/>
      <c r="V248" s="184"/>
      <c r="W248" s="184"/>
      <c r="X248" s="1664"/>
      <c r="Y248" s="627"/>
    </row>
    <row r="249" spans="1:25" ht="15" x14ac:dyDescent="0.2">
      <c r="A249" s="621"/>
      <c r="B249" s="1091"/>
      <c r="C249" s="626"/>
      <c r="D249" s="627"/>
      <c r="E249" s="627"/>
      <c r="F249" s="633"/>
      <c r="G249" s="391"/>
      <c r="H249" s="391"/>
      <c r="I249" s="391"/>
      <c r="J249" s="663"/>
      <c r="K249" s="391"/>
      <c r="L249" s="391"/>
      <c r="M249" s="391"/>
      <c r="N249" s="611"/>
      <c r="O249" s="184"/>
      <c r="P249" s="184"/>
      <c r="Q249" s="184"/>
      <c r="R249" s="184"/>
      <c r="S249" s="184"/>
      <c r="T249" s="184"/>
      <c r="U249" s="184"/>
      <c r="V249" s="184"/>
      <c r="W249" s="184"/>
      <c r="X249" s="1664"/>
      <c r="Y249" s="627"/>
    </row>
    <row r="250" spans="1:25" ht="21" customHeight="1" x14ac:dyDescent="0.2">
      <c r="A250" s="621"/>
      <c r="B250" s="1091"/>
      <c r="C250" s="622" t="s">
        <v>723</v>
      </c>
      <c r="D250" s="623"/>
      <c r="E250" s="623"/>
      <c r="F250" s="623"/>
      <c r="G250" s="661"/>
      <c r="H250" s="661"/>
      <c r="I250" s="661"/>
      <c r="J250" s="661"/>
      <c r="K250" s="661"/>
      <c r="L250" s="661"/>
      <c r="M250" s="661"/>
      <c r="N250" s="662"/>
      <c r="O250" s="184"/>
      <c r="P250" s="184"/>
      <c r="Q250" s="184"/>
      <c r="R250" s="184"/>
      <c r="S250" s="184"/>
      <c r="T250" s="184"/>
      <c r="U250" s="184"/>
      <c r="V250" s="184"/>
      <c r="W250" s="184"/>
      <c r="X250" s="1663"/>
      <c r="Y250" s="630"/>
    </row>
    <row r="251" spans="1:25" ht="15" x14ac:dyDescent="0.2">
      <c r="A251" s="621"/>
      <c r="B251" s="1091"/>
      <c r="C251" s="643"/>
      <c r="D251" s="630"/>
      <c r="E251" s="630"/>
      <c r="F251" s="630"/>
      <c r="G251" s="610"/>
      <c r="H251" s="610"/>
      <c r="I251" s="610"/>
      <c r="J251" s="610"/>
      <c r="K251" s="610"/>
      <c r="L251" s="610"/>
      <c r="M251" s="610"/>
      <c r="N251" s="614"/>
      <c r="O251" s="184"/>
      <c r="P251" s="184"/>
      <c r="Q251" s="184"/>
      <c r="R251" s="184"/>
      <c r="S251" s="184"/>
      <c r="T251" s="184"/>
      <c r="U251" s="184"/>
      <c r="V251" s="184"/>
      <c r="W251" s="184"/>
      <c r="X251" s="1663"/>
      <c r="Y251" s="630"/>
    </row>
    <row r="252" spans="1:25" ht="15" x14ac:dyDescent="0.2">
      <c r="A252" s="621"/>
      <c r="B252" s="1091"/>
      <c r="C252" s="626"/>
      <c r="D252" s="629" t="s">
        <v>1105</v>
      </c>
      <c r="E252" s="627"/>
      <c r="F252" s="627"/>
      <c r="G252" s="391" t="s">
        <v>1126</v>
      </c>
      <c r="H252" s="658">
        <v>0</v>
      </c>
      <c r="I252" s="391">
        <v>6500</v>
      </c>
      <c r="J252" s="391">
        <v>122000</v>
      </c>
      <c r="K252" s="391">
        <v>45000</v>
      </c>
      <c r="L252" s="391">
        <v>44717</v>
      </c>
      <c r="M252" s="391">
        <v>37000</v>
      </c>
      <c r="N252" s="611">
        <v>58000</v>
      </c>
      <c r="O252" s="184"/>
      <c r="P252" s="184"/>
      <c r="Q252" s="184"/>
      <c r="R252" s="184"/>
      <c r="S252" s="184"/>
      <c r="T252" s="184"/>
      <c r="U252" s="184"/>
      <c r="V252" s="184"/>
      <c r="W252" s="184"/>
      <c r="X252" s="1664"/>
      <c r="Y252" s="627"/>
    </row>
    <row r="253" spans="1:25" ht="15" x14ac:dyDescent="0.2">
      <c r="A253" s="621"/>
      <c r="B253" s="1091"/>
      <c r="C253" s="626"/>
      <c r="D253" s="629"/>
      <c r="E253" s="630"/>
      <c r="F253" s="630"/>
      <c r="G253" s="610"/>
      <c r="H253" s="610">
        <f ca="1">CokingRefineryCalcs!E830</f>
        <v>1E-14</v>
      </c>
      <c r="I253" s="391"/>
      <c r="J253" s="391"/>
      <c r="K253" s="391" t="s">
        <v>1107</v>
      </c>
      <c r="L253" s="391"/>
      <c r="M253" s="391"/>
      <c r="N253" s="611"/>
      <c r="O253" s="184"/>
      <c r="P253" s="184"/>
      <c r="Q253" s="184"/>
      <c r="R253" s="184"/>
      <c r="S253" s="184"/>
      <c r="T253" s="184"/>
      <c r="U253" s="184"/>
      <c r="V253" s="184"/>
      <c r="W253" s="184"/>
      <c r="X253" s="1664"/>
      <c r="Y253" s="627"/>
    </row>
    <row r="254" spans="1:25" ht="15" x14ac:dyDescent="0.2">
      <c r="A254" s="621"/>
      <c r="B254" s="1091"/>
      <c r="C254" s="626"/>
      <c r="D254" s="629" t="s">
        <v>712</v>
      </c>
      <c r="E254" s="630" t="s">
        <v>635</v>
      </c>
      <c r="F254" s="627"/>
      <c r="G254" s="391" t="s">
        <v>136</v>
      </c>
      <c r="H254" s="658">
        <v>148</v>
      </c>
      <c r="I254" s="391">
        <v>114</v>
      </c>
      <c r="J254" s="391">
        <v>178</v>
      </c>
      <c r="K254" s="391">
        <v>148</v>
      </c>
      <c r="L254" s="391">
        <f>140.5/'Energy &amp; Unit Conversions'!$E$93*'Energy &amp; Unit Conversions'!$G$84</f>
        <v>148.23534729311001</v>
      </c>
      <c r="M254" s="391"/>
      <c r="N254" s="611"/>
      <c r="O254" s="184"/>
      <c r="P254" s="184"/>
      <c r="Q254" s="184"/>
      <c r="R254" s="184"/>
      <c r="S254" s="184"/>
      <c r="T254" s="184"/>
      <c r="U254" s="184"/>
      <c r="V254" s="184"/>
      <c r="W254" s="184"/>
      <c r="X254" s="1664"/>
      <c r="Y254" s="627"/>
    </row>
    <row r="255" spans="1:25" ht="15" x14ac:dyDescent="0.2">
      <c r="A255" s="621"/>
      <c r="B255" s="1091"/>
      <c r="C255" s="626"/>
      <c r="D255" s="627"/>
      <c r="E255" s="627"/>
      <c r="F255" s="627"/>
      <c r="G255" s="391" t="s">
        <v>637</v>
      </c>
      <c r="H255" s="391">
        <f>IF('Energy &amp; Unit Conversions'!$E$10=1,H254,H254/'Energy &amp; Unit Conversions'!$K$59)/'Energy &amp; Unit Conversions'!$P$25/'Energy &amp; Unit Conversions'!$G$82</f>
        <v>150.83492420488977</v>
      </c>
      <c r="I255" s="391">
        <f>IF('Energy &amp; Unit Conversions'!$E$10=1,I254,I254/'Energy &amp; Unit Conversions'!$K$59)/'Energy &amp; Unit Conversions'!$P$25/'Energy &amp; Unit Conversions'!$G$82</f>
        <v>116.18365783349617</v>
      </c>
      <c r="J255" s="391">
        <f>IF('Energy &amp; Unit Conversions'!$E$10=1,J254,J254/'Energy &amp; Unit Conversions'!$K$59)/'Energy &amp; Unit Conversions'!$P$25/'Energy &amp; Unit Conversions'!$G$82</f>
        <v>181.40957100317826</v>
      </c>
      <c r="K255" s="391"/>
      <c r="L255" s="391"/>
      <c r="M255" s="391"/>
      <c r="N255" s="611"/>
      <c r="O255" s="184"/>
      <c r="P255" s="184"/>
      <c r="Q255" s="184"/>
      <c r="R255" s="184"/>
      <c r="S255" s="184"/>
      <c r="T255" s="184"/>
      <c r="U255" s="184"/>
      <c r="V255" s="184"/>
      <c r="W255" s="184"/>
      <c r="X255" s="1664"/>
      <c r="Y255" s="627"/>
    </row>
    <row r="256" spans="1:25" ht="15" x14ac:dyDescent="0.2">
      <c r="A256" s="621"/>
      <c r="B256" s="1091"/>
      <c r="C256" s="626"/>
      <c r="D256" s="627"/>
      <c r="E256" s="630" t="s">
        <v>451</v>
      </c>
      <c r="F256" s="627"/>
      <c r="G256" s="391" t="s">
        <v>726</v>
      </c>
      <c r="H256" s="391">
        <f ca="1">H258+H259*CokingRefineryCalcs!I845/CokingRefineryCalcs!E845</f>
        <v>30.002576510558118</v>
      </c>
      <c r="I256" s="391">
        <f>I257/'Energy &amp; Unit Conversions'!$G$88</f>
        <v>1.2</v>
      </c>
      <c r="J256" s="391">
        <f>J257/'Energy &amp; Unit Conversions'!$G$88</f>
        <v>3.6111111111111112</v>
      </c>
      <c r="K256" s="391"/>
      <c r="L256" s="391">
        <f>12.4/'Energy &amp; Unit Conversions'!$E$93*'Energy &amp; Unit Conversions'!$G$84/'Energy &amp; Unit Conversions'!$G$88</f>
        <v>3.6340812701355554</v>
      </c>
      <c r="M256" s="391"/>
      <c r="N256" s="611"/>
      <c r="O256" s="184"/>
      <c r="P256" s="184"/>
      <c r="Q256" s="184"/>
      <c r="R256" s="184"/>
      <c r="S256" s="184"/>
      <c r="T256" s="184"/>
      <c r="U256" s="184"/>
      <c r="V256" s="184"/>
      <c r="W256" s="184"/>
      <c r="X256" s="1664"/>
      <c r="Y256" s="627"/>
    </row>
    <row r="257" spans="1:25" ht="15" x14ac:dyDescent="0.2">
      <c r="A257" s="621"/>
      <c r="B257" s="1091"/>
      <c r="C257" s="626"/>
      <c r="D257" s="627"/>
      <c r="E257" s="627"/>
      <c r="F257" s="627"/>
      <c r="G257" s="391"/>
      <c r="H257" s="391"/>
      <c r="I257" s="391">
        <v>4.32</v>
      </c>
      <c r="J257" s="391">
        <v>13</v>
      </c>
      <c r="K257" s="391"/>
      <c r="L257" s="391"/>
      <c r="M257" s="391"/>
      <c r="N257" s="611"/>
      <c r="O257" s="184"/>
      <c r="P257" s="184"/>
      <c r="Q257" s="184"/>
      <c r="R257" s="184"/>
      <c r="S257" s="184"/>
      <c r="T257" s="184"/>
      <c r="U257" s="184"/>
      <c r="V257" s="184"/>
      <c r="W257" s="184"/>
      <c r="X257" s="1664"/>
      <c r="Y257" s="627"/>
    </row>
    <row r="258" spans="1:25" ht="15" x14ac:dyDescent="0.2">
      <c r="A258" s="621"/>
      <c r="B258" s="1091"/>
      <c r="C258" s="626"/>
      <c r="D258" s="627"/>
      <c r="E258" s="648" t="s">
        <v>473</v>
      </c>
      <c r="F258" s="627"/>
      <c r="G258" s="391" t="s">
        <v>988</v>
      </c>
      <c r="H258" s="658">
        <v>30</v>
      </c>
      <c r="I258" s="391"/>
      <c r="J258" s="391"/>
      <c r="K258" s="391">
        <v>30</v>
      </c>
      <c r="L258" s="391"/>
      <c r="M258" s="391"/>
      <c r="N258" s="611"/>
      <c r="O258" s="184"/>
      <c r="P258" s="184"/>
      <c r="Q258" s="184"/>
      <c r="R258" s="184"/>
      <c r="S258" s="184"/>
      <c r="T258" s="184"/>
      <c r="U258" s="184"/>
      <c r="V258" s="184"/>
      <c r="W258" s="184"/>
      <c r="X258" s="1664"/>
      <c r="Y258" s="627"/>
    </row>
    <row r="259" spans="1:25" ht="15" x14ac:dyDescent="0.2">
      <c r="A259" s="621"/>
      <c r="B259" s="1091"/>
      <c r="C259" s="626"/>
      <c r="D259" s="627"/>
      <c r="E259" s="649" t="s">
        <v>721</v>
      </c>
      <c r="F259" s="627"/>
      <c r="G259" s="391" t="s">
        <v>725</v>
      </c>
      <c r="H259" s="658">
        <v>0.5</v>
      </c>
      <c r="I259" s="391"/>
      <c r="J259" s="391"/>
      <c r="K259" s="391">
        <v>0.5</v>
      </c>
      <c r="L259" s="391"/>
      <c r="M259" s="391"/>
      <c r="N259" s="611"/>
      <c r="O259" s="184"/>
      <c r="P259" s="184"/>
      <c r="Q259" s="184"/>
      <c r="R259" s="184"/>
      <c r="S259" s="184"/>
      <c r="T259" s="184"/>
      <c r="U259" s="184"/>
      <c r="V259" s="184"/>
      <c r="W259" s="184"/>
      <c r="X259" s="1664"/>
      <c r="Y259" s="627"/>
    </row>
    <row r="260" spans="1:25" ht="15" x14ac:dyDescent="0.2">
      <c r="A260" s="621"/>
      <c r="B260" s="1091"/>
      <c r="C260" s="626"/>
      <c r="D260" s="627"/>
      <c r="E260" s="629" t="s">
        <v>485</v>
      </c>
      <c r="F260" s="627"/>
      <c r="G260" s="391" t="s">
        <v>496</v>
      </c>
      <c r="H260" s="391">
        <f ca="1">CokingRefineryCalcs!D865/CokingRefineryCalcs!E830/'Energy &amp; Unit Conversions'!G79</f>
        <v>1.9637879858029481E-2</v>
      </c>
      <c r="I260" s="391">
        <f>I261/'Energy &amp; Unit Conversions'!$E$70/'Energy &amp; Unit Conversions'!$G$79</f>
        <v>-20.045223074482024</v>
      </c>
      <c r="J260" s="391">
        <f>J261/'Energy &amp; Unit Conversions'!$E$70/'Energy &amp; Unit Conversions'!$G$79</f>
        <v>44.085946694215529</v>
      </c>
      <c r="K260" s="391"/>
      <c r="L260" s="391"/>
      <c r="M260" s="391"/>
      <c r="N260" s="611"/>
      <c r="O260" s="184"/>
      <c r="P260" s="184"/>
      <c r="Q260" s="184"/>
      <c r="R260" s="184"/>
      <c r="S260" s="184"/>
      <c r="T260" s="184"/>
      <c r="U260" s="184"/>
      <c r="V260" s="184"/>
      <c r="W260" s="184"/>
      <c r="X260" s="1664"/>
      <c r="Y260" s="627"/>
    </row>
    <row r="261" spans="1:25" ht="15" x14ac:dyDescent="0.2">
      <c r="A261" s="621"/>
      <c r="B261" s="1091"/>
      <c r="C261" s="626"/>
      <c r="D261" s="627"/>
      <c r="E261" s="627"/>
      <c r="F261" s="627"/>
      <c r="G261" s="391"/>
      <c r="H261" s="391"/>
      <c r="I261" s="391">
        <v>-29.6</v>
      </c>
      <c r="J261" s="391">
        <v>65.099999999999994</v>
      </c>
      <c r="K261" s="391"/>
      <c r="L261" s="391"/>
      <c r="M261" s="391"/>
      <c r="N261" s="611"/>
      <c r="O261" s="184"/>
      <c r="P261" s="184"/>
      <c r="Q261" s="184"/>
      <c r="R261" s="184"/>
      <c r="S261" s="184"/>
      <c r="T261" s="184"/>
      <c r="U261" s="184"/>
      <c r="V261" s="184"/>
      <c r="W261" s="184"/>
      <c r="X261" s="1664"/>
      <c r="Y261" s="627"/>
    </row>
    <row r="262" spans="1:25" ht="15" x14ac:dyDescent="0.2">
      <c r="A262" s="621"/>
      <c r="B262" s="1091"/>
      <c r="C262" s="626"/>
      <c r="D262" s="627"/>
      <c r="E262" s="649" t="s">
        <v>721</v>
      </c>
      <c r="F262" s="627"/>
      <c r="G262" s="391"/>
      <c r="H262" s="391"/>
      <c r="I262" s="391"/>
      <c r="J262" s="391"/>
      <c r="K262" s="391"/>
      <c r="L262" s="391"/>
      <c r="M262" s="391"/>
      <c r="N262" s="611"/>
      <c r="O262" s="184"/>
      <c r="P262" s="184"/>
      <c r="Q262" s="184"/>
      <c r="R262" s="184"/>
      <c r="S262" s="184"/>
      <c r="T262" s="184"/>
      <c r="U262" s="184"/>
      <c r="V262" s="184"/>
      <c r="W262" s="184"/>
      <c r="X262" s="1664"/>
      <c r="Y262" s="627"/>
    </row>
    <row r="263" spans="1:25" ht="15" x14ac:dyDescent="0.2">
      <c r="A263" s="621"/>
      <c r="B263" s="1091"/>
      <c r="C263" s="626"/>
      <c r="D263" s="629"/>
      <c r="E263" s="648" t="s">
        <v>671</v>
      </c>
      <c r="F263" s="627"/>
      <c r="G263" s="391" t="s">
        <v>724</v>
      </c>
      <c r="H263" s="658">
        <v>5</v>
      </c>
      <c r="I263" s="391"/>
      <c r="J263" s="391"/>
      <c r="K263" s="391">
        <v>5</v>
      </c>
      <c r="L263" s="391"/>
      <c r="M263" s="391"/>
      <c r="N263" s="611"/>
      <c r="O263" s="184"/>
      <c r="P263" s="184"/>
      <c r="Q263" s="184"/>
      <c r="R263" s="184"/>
      <c r="S263" s="184"/>
      <c r="T263" s="184"/>
      <c r="U263" s="184"/>
      <c r="V263" s="184"/>
      <c r="W263" s="184"/>
      <c r="X263" s="1664"/>
      <c r="Y263" s="627"/>
    </row>
    <row r="264" spans="1:25" ht="15" x14ac:dyDescent="0.2">
      <c r="A264" s="621"/>
      <c r="B264" s="1091"/>
      <c r="C264" s="626"/>
      <c r="D264" s="627"/>
      <c r="E264" s="627"/>
      <c r="F264" s="627"/>
      <c r="G264" s="391"/>
      <c r="H264" s="391"/>
      <c r="I264" s="391"/>
      <c r="J264" s="391"/>
      <c r="K264" s="391"/>
      <c r="L264" s="391"/>
      <c r="M264" s="391"/>
      <c r="N264" s="611"/>
      <c r="O264" s="184"/>
      <c r="P264" s="184"/>
      <c r="Q264" s="184"/>
      <c r="R264" s="184"/>
      <c r="S264" s="184"/>
      <c r="T264" s="184"/>
      <c r="U264" s="184"/>
      <c r="V264" s="184"/>
      <c r="W264" s="184"/>
      <c r="X264" s="1664"/>
      <c r="Y264" s="627"/>
    </row>
    <row r="265" spans="1:25" ht="22.5" customHeight="1" x14ac:dyDescent="0.2">
      <c r="A265" s="621"/>
      <c r="B265" s="1091"/>
      <c r="C265" s="622" t="s">
        <v>359</v>
      </c>
      <c r="D265" s="623"/>
      <c r="E265" s="623"/>
      <c r="F265" s="623"/>
      <c r="G265" s="661"/>
      <c r="H265" s="661"/>
      <c r="I265" s="661"/>
      <c r="J265" s="661"/>
      <c r="K265" s="661"/>
      <c r="L265" s="661"/>
      <c r="M265" s="661"/>
      <c r="N265" s="662"/>
      <c r="O265" s="184"/>
      <c r="P265" s="184"/>
      <c r="Q265" s="184"/>
      <c r="R265" s="184"/>
      <c r="S265" s="184"/>
      <c r="T265" s="184"/>
      <c r="U265" s="184"/>
      <c r="V265" s="184"/>
      <c r="W265" s="184"/>
      <c r="X265" s="1663"/>
      <c r="Y265" s="630"/>
    </row>
    <row r="266" spans="1:25" ht="15" x14ac:dyDescent="0.2">
      <c r="A266" s="621"/>
      <c r="B266" s="1091"/>
      <c r="C266" s="626"/>
      <c r="D266" s="629" t="s">
        <v>1105</v>
      </c>
      <c r="E266" s="627"/>
      <c r="F266" s="627"/>
      <c r="G266" s="391" t="s">
        <v>1126</v>
      </c>
      <c r="H266" s="610">
        <f ca="1">HydroRefineryCalcs!E826</f>
        <v>1E-14</v>
      </c>
      <c r="I266" s="391">
        <v>23000</v>
      </c>
      <c r="J266" s="391">
        <v>70000</v>
      </c>
      <c r="K266" s="391" t="s">
        <v>1107</v>
      </c>
      <c r="L266" s="391">
        <v>36250</v>
      </c>
      <c r="M266" s="391"/>
      <c r="N266" s="611"/>
      <c r="O266" s="184"/>
      <c r="P266" s="184"/>
      <c r="Q266" s="184"/>
      <c r="R266" s="184"/>
      <c r="S266" s="184"/>
      <c r="T266" s="184"/>
      <c r="U266" s="184"/>
      <c r="V266" s="184"/>
      <c r="W266" s="184"/>
      <c r="X266" s="1666"/>
      <c r="Y266" s="621"/>
    </row>
    <row r="267" spans="1:25" ht="15" x14ac:dyDescent="0.2">
      <c r="A267" s="621"/>
      <c r="B267" s="1091"/>
      <c r="C267" s="626"/>
      <c r="D267" s="627"/>
      <c r="E267" s="630" t="s">
        <v>769</v>
      </c>
      <c r="F267" s="627"/>
      <c r="G267" s="391" t="s">
        <v>637</v>
      </c>
      <c r="H267" s="610">
        <f ca="1">HydroRefineryCalcs!D838*'Energy &amp; Unit Conversions'!E93/'Energy &amp; Unit Conversions'!E26/HydroRefineryCalcs!E826</f>
        <v>15.627995761424954</v>
      </c>
      <c r="I267" s="391"/>
      <c r="J267" s="391"/>
      <c r="K267" s="610"/>
      <c r="L267" s="391"/>
      <c r="M267" s="391"/>
      <c r="N267" s="611"/>
      <c r="O267" s="184"/>
      <c r="P267" s="184"/>
      <c r="Q267" s="184"/>
      <c r="R267" s="184"/>
      <c r="S267" s="184"/>
      <c r="T267" s="184"/>
      <c r="U267" s="184"/>
      <c r="V267" s="184"/>
      <c r="W267" s="184"/>
      <c r="X267" s="1664"/>
      <c r="Y267" s="627"/>
    </row>
    <row r="268" spans="1:25" ht="15" x14ac:dyDescent="0.2">
      <c r="A268" s="621"/>
      <c r="B268" s="1091"/>
      <c r="C268" s="626"/>
      <c r="D268" s="627"/>
      <c r="E268" s="627"/>
      <c r="F268" s="627"/>
      <c r="G268" s="391"/>
      <c r="H268" s="391"/>
      <c r="I268" s="391"/>
      <c r="J268" s="391"/>
      <c r="K268" s="610"/>
      <c r="L268" s="391"/>
      <c r="M268" s="391"/>
      <c r="N268" s="611"/>
      <c r="O268" s="184"/>
      <c r="P268" s="184"/>
      <c r="Q268" s="184"/>
      <c r="R268" s="184"/>
      <c r="S268" s="184"/>
      <c r="T268" s="184"/>
      <c r="U268" s="184"/>
      <c r="V268" s="184"/>
      <c r="W268" s="184"/>
      <c r="X268" s="1664"/>
      <c r="Y268" s="627"/>
    </row>
    <row r="269" spans="1:25" ht="15" x14ac:dyDescent="0.2">
      <c r="A269" s="621"/>
      <c r="B269" s="1091"/>
      <c r="C269" s="626"/>
      <c r="D269" s="627"/>
      <c r="E269" s="631"/>
      <c r="F269" s="627"/>
      <c r="G269" s="391"/>
      <c r="H269" s="610"/>
      <c r="I269" s="391"/>
      <c r="J269" s="667"/>
      <c r="K269" s="391"/>
      <c r="L269" s="391"/>
      <c r="M269" s="391"/>
      <c r="N269" s="611"/>
      <c r="O269" s="627"/>
      <c r="P269" s="627"/>
      <c r="Q269" s="627"/>
      <c r="R269" s="627"/>
      <c r="S269" s="627"/>
      <c r="T269" s="627"/>
      <c r="U269" s="633"/>
      <c r="V269" s="627"/>
      <c r="W269" s="639"/>
      <c r="X269" s="1664"/>
      <c r="Y269" s="627"/>
    </row>
    <row r="270" spans="1:25" ht="15" x14ac:dyDescent="0.2">
      <c r="A270" s="621"/>
      <c r="B270" s="1091"/>
      <c r="C270" s="626"/>
      <c r="D270" s="650" t="s">
        <v>712</v>
      </c>
      <c r="E270" s="630" t="s">
        <v>635</v>
      </c>
      <c r="F270" s="627"/>
      <c r="G270" s="391" t="s">
        <v>637</v>
      </c>
      <c r="H270" s="658">
        <v>45</v>
      </c>
      <c r="I270" s="391"/>
      <c r="J270" s="391"/>
      <c r="K270" s="391"/>
      <c r="L270" s="391"/>
      <c r="M270" s="391"/>
      <c r="N270" s="611"/>
      <c r="O270" s="627"/>
      <c r="P270" s="627"/>
      <c r="Q270" s="627"/>
      <c r="R270" s="627"/>
      <c r="S270" s="627"/>
      <c r="T270" s="627"/>
      <c r="U270" s="633"/>
      <c r="V270" s="627"/>
      <c r="W270" s="639"/>
      <c r="X270" s="1664"/>
      <c r="Y270" s="627"/>
    </row>
    <row r="271" spans="1:25" ht="15" x14ac:dyDescent="0.2">
      <c r="A271" s="621"/>
      <c r="B271" s="1091"/>
      <c r="C271" s="626"/>
      <c r="D271" s="627"/>
      <c r="E271" s="627"/>
      <c r="F271" s="627"/>
      <c r="G271" s="391" t="s">
        <v>136</v>
      </c>
      <c r="H271" s="391">
        <f>IF('Energy &amp; Unit Conversions'!$E$10=1,H270,H270/'Energy &amp; Unit Conversions'!$K$59)*'Energy &amp; Unit Conversions'!$P$25*'Energy &amp; Unit Conversions'!$G$82</f>
        <v>44.154230428446731</v>
      </c>
      <c r="I271" s="391"/>
      <c r="J271" s="391"/>
      <c r="K271" s="391"/>
      <c r="L271" s="391"/>
      <c r="M271" s="391"/>
      <c r="N271" s="611"/>
      <c r="O271" s="627"/>
      <c r="P271" s="627"/>
      <c r="Q271" s="627"/>
      <c r="R271" s="627"/>
      <c r="S271" s="627"/>
      <c r="T271" s="627"/>
      <c r="U271" s="633"/>
      <c r="V271" s="627"/>
      <c r="W271" s="639"/>
      <c r="X271" s="1664"/>
      <c r="Y271" s="627"/>
    </row>
    <row r="272" spans="1:25" ht="14.25" customHeight="1" x14ac:dyDescent="0.2">
      <c r="A272" s="621"/>
      <c r="B272" s="1091"/>
      <c r="C272" s="626"/>
      <c r="D272" s="627"/>
      <c r="E272" s="627"/>
      <c r="F272" s="627"/>
      <c r="G272" s="391"/>
      <c r="H272" s="391"/>
      <c r="I272" s="391"/>
      <c r="J272" s="391"/>
      <c r="K272" s="391"/>
      <c r="L272" s="391"/>
      <c r="M272" s="391"/>
      <c r="N272" s="611"/>
      <c r="O272" s="627"/>
      <c r="P272" s="627"/>
      <c r="Q272" s="627"/>
      <c r="R272" s="627"/>
      <c r="S272" s="627"/>
      <c r="T272" s="627"/>
      <c r="U272" s="633"/>
      <c r="V272" s="627"/>
      <c r="W272" s="639"/>
      <c r="X272" s="1664"/>
      <c r="Y272" s="627"/>
    </row>
    <row r="273" spans="1:25" ht="15" x14ac:dyDescent="0.2">
      <c r="A273" s="621"/>
      <c r="B273" s="1091"/>
      <c r="C273" s="626"/>
      <c r="D273" s="629" t="s">
        <v>929</v>
      </c>
      <c r="E273" s="630" t="s">
        <v>635</v>
      </c>
      <c r="F273" s="627"/>
      <c r="G273" s="391" t="s">
        <v>926</v>
      </c>
      <c r="H273" s="658">
        <v>45</v>
      </c>
      <c r="I273" s="391"/>
      <c r="J273" s="391"/>
      <c r="K273" s="391"/>
      <c r="L273" s="391"/>
      <c r="M273" s="391"/>
      <c r="N273" s="611"/>
      <c r="O273" s="627"/>
      <c r="P273" s="627"/>
      <c r="Q273" s="627"/>
      <c r="R273" s="627"/>
      <c r="S273" s="627"/>
      <c r="T273" s="627"/>
      <c r="U273" s="633"/>
      <c r="V273" s="627"/>
      <c r="W273" s="639"/>
      <c r="X273" s="1664"/>
      <c r="Y273" s="627"/>
    </row>
    <row r="274" spans="1:25" ht="15" x14ac:dyDescent="0.2">
      <c r="A274" s="621"/>
      <c r="B274" s="1091"/>
      <c r="C274" s="626"/>
      <c r="D274" s="627"/>
      <c r="E274" s="627"/>
      <c r="F274" s="627"/>
      <c r="G274" s="391" t="s">
        <v>136</v>
      </c>
      <c r="H274" s="391">
        <f>IF('Energy &amp; Unit Conversions'!$E$10=1,H273,H273/'Energy &amp; Unit Conversions'!$K$59)*'Energy &amp; Unit Conversions'!$P$25*'Energy &amp; Unit Conversions'!$G$82</f>
        <v>44.154230428446731</v>
      </c>
      <c r="I274" s="391"/>
      <c r="J274" s="2478" t="s">
        <v>1137</v>
      </c>
      <c r="K274" s="2478"/>
      <c r="L274" s="2478"/>
      <c r="M274" s="2478"/>
      <c r="N274" s="611"/>
      <c r="O274" s="627"/>
      <c r="P274" s="633"/>
      <c r="Q274" s="631"/>
      <c r="R274" s="627"/>
      <c r="S274" s="627"/>
      <c r="T274" s="627"/>
      <c r="U274" s="633"/>
      <c r="V274" s="627"/>
      <c r="W274" s="639"/>
      <c r="X274" s="1664"/>
      <c r="Y274" s="627"/>
    </row>
    <row r="275" spans="1:25" ht="15" x14ac:dyDescent="0.2">
      <c r="A275" s="621"/>
      <c r="B275" s="1091"/>
      <c r="C275" s="626"/>
      <c r="D275" s="627"/>
      <c r="E275" s="627"/>
      <c r="F275" s="627"/>
      <c r="G275" s="391"/>
      <c r="H275" s="391"/>
      <c r="I275" s="391"/>
      <c r="J275" s="2478"/>
      <c r="K275" s="2478"/>
      <c r="L275" s="2478"/>
      <c r="M275" s="2478"/>
      <c r="N275" s="611"/>
      <c r="O275" s="627"/>
      <c r="P275" s="633"/>
      <c r="Q275" s="631"/>
      <c r="R275" s="627"/>
      <c r="S275" s="627"/>
      <c r="T275" s="627"/>
      <c r="U275" s="633"/>
      <c r="V275" s="627"/>
      <c r="W275" s="639"/>
      <c r="X275" s="1664"/>
      <c r="Y275" s="627"/>
    </row>
    <row r="276" spans="1:25" ht="15" x14ac:dyDescent="0.2">
      <c r="A276" s="621"/>
      <c r="B276" s="1091"/>
      <c r="C276" s="626"/>
      <c r="D276" s="627"/>
      <c r="E276" s="630" t="s">
        <v>451</v>
      </c>
      <c r="F276" s="627"/>
      <c r="G276" s="391" t="s">
        <v>665</v>
      </c>
      <c r="H276" s="658">
        <v>2</v>
      </c>
      <c r="I276" s="391"/>
      <c r="J276" s="2478"/>
      <c r="K276" s="2478"/>
      <c r="L276" s="2478"/>
      <c r="M276" s="2478"/>
      <c r="N276" s="611"/>
      <c r="O276" s="627"/>
      <c r="P276" s="633"/>
      <c r="Q276" s="631"/>
      <c r="R276" s="627"/>
      <c r="S276" s="627"/>
      <c r="T276" s="627"/>
      <c r="U276" s="633"/>
      <c r="V276" s="627"/>
      <c r="W276" s="639"/>
      <c r="X276" s="1664"/>
      <c r="Y276" s="627"/>
    </row>
    <row r="277" spans="1:25" ht="15" x14ac:dyDescent="0.2">
      <c r="A277" s="621"/>
      <c r="B277" s="1091"/>
      <c r="C277" s="626"/>
      <c r="D277" s="627"/>
      <c r="E277" s="627"/>
      <c r="F277" s="627"/>
      <c r="G277" s="391"/>
      <c r="H277" s="391"/>
      <c r="I277" s="391"/>
      <c r="J277" s="2478"/>
      <c r="K277" s="2478"/>
      <c r="L277" s="2478"/>
      <c r="M277" s="2478"/>
      <c r="N277" s="611"/>
      <c r="O277" s="627"/>
      <c r="P277" s="633"/>
      <c r="Q277" s="631"/>
      <c r="R277" s="627"/>
      <c r="S277" s="627"/>
      <c r="T277" s="627"/>
      <c r="U277" s="633"/>
      <c r="V277" s="627"/>
      <c r="W277" s="639"/>
      <c r="X277" s="1664"/>
      <c r="Y277" s="627"/>
    </row>
    <row r="278" spans="1:25" ht="15" x14ac:dyDescent="0.2">
      <c r="A278" s="621"/>
      <c r="B278" s="1091"/>
      <c r="C278" s="626"/>
      <c r="D278" s="629" t="s">
        <v>721</v>
      </c>
      <c r="E278" s="630" t="s">
        <v>671</v>
      </c>
      <c r="F278" s="627"/>
      <c r="G278" s="391" t="s">
        <v>724</v>
      </c>
      <c r="H278" s="658">
        <v>5</v>
      </c>
      <c r="I278" s="391"/>
      <c r="J278" s="391"/>
      <c r="K278" s="391"/>
      <c r="L278" s="391"/>
      <c r="M278" s="391"/>
      <c r="N278" s="611"/>
      <c r="O278" s="627"/>
      <c r="P278" s="633"/>
      <c r="Q278" s="631"/>
      <c r="R278" s="627"/>
      <c r="S278" s="627"/>
      <c r="T278" s="627"/>
      <c r="U278" s="633"/>
      <c r="V278" s="627"/>
      <c r="W278" s="639"/>
      <c r="X278" s="1664"/>
      <c r="Y278" s="627"/>
    </row>
    <row r="279" spans="1:25" ht="15" x14ac:dyDescent="0.2">
      <c r="A279" s="621"/>
      <c r="B279" s="1091"/>
      <c r="C279" s="626"/>
      <c r="D279" s="627"/>
      <c r="E279" s="630" t="s">
        <v>451</v>
      </c>
      <c r="F279" s="627"/>
      <c r="G279" s="391" t="s">
        <v>951</v>
      </c>
      <c r="H279" s="658">
        <v>0.5</v>
      </c>
      <c r="I279" s="391"/>
      <c r="J279" s="391"/>
      <c r="K279" s="391"/>
      <c r="L279" s="391"/>
      <c r="M279" s="391"/>
      <c r="N279" s="611"/>
      <c r="O279" s="627"/>
      <c r="P279" s="633"/>
      <c r="Q279" s="631"/>
      <c r="R279" s="627"/>
      <c r="S279" s="627"/>
      <c r="T279" s="627"/>
      <c r="U279" s="633"/>
      <c r="V279" s="627"/>
      <c r="W279" s="639"/>
      <c r="X279" s="1664"/>
      <c r="Y279" s="627"/>
    </row>
    <row r="280" spans="1:25" ht="15" x14ac:dyDescent="0.2">
      <c r="A280" s="621"/>
      <c r="B280" s="1091"/>
      <c r="C280" s="626"/>
      <c r="D280" s="627"/>
      <c r="E280" s="631"/>
      <c r="F280" s="633"/>
      <c r="G280" s="391"/>
      <c r="H280" s="391"/>
      <c r="I280" s="391"/>
      <c r="J280" s="391"/>
      <c r="K280" s="391"/>
      <c r="L280" s="391"/>
      <c r="M280" s="391"/>
      <c r="N280" s="611"/>
      <c r="O280" s="627"/>
      <c r="P280" s="633"/>
      <c r="Q280" s="631"/>
      <c r="R280" s="627"/>
      <c r="S280" s="627"/>
      <c r="T280" s="627"/>
      <c r="U280" s="633"/>
      <c r="V280" s="627"/>
      <c r="W280" s="639"/>
      <c r="X280" s="1664"/>
      <c r="Y280" s="627"/>
    </row>
    <row r="281" spans="1:25" ht="15" x14ac:dyDescent="0.2">
      <c r="A281" s="621"/>
      <c r="B281" s="1091"/>
      <c r="C281" s="626"/>
      <c r="D281" s="627"/>
      <c r="E281" s="631" t="s">
        <v>1389</v>
      </c>
      <c r="F281" s="627"/>
      <c r="G281" s="391" t="s">
        <v>579</v>
      </c>
      <c r="H281" s="658">
        <v>40</v>
      </c>
      <c r="I281" s="391"/>
      <c r="J281" s="391"/>
      <c r="K281" s="391"/>
      <c r="L281" s="391"/>
      <c r="M281" s="391"/>
      <c r="N281" s="611"/>
      <c r="O281" s="627"/>
      <c r="P281" s="633"/>
      <c r="Q281" s="631"/>
      <c r="R281" s="627"/>
      <c r="S281" s="627"/>
      <c r="T281" s="627"/>
      <c r="U281" s="633"/>
      <c r="V281" s="627"/>
      <c r="W281" s="639"/>
      <c r="X281" s="1664"/>
      <c r="Y281" s="627"/>
    </row>
    <row r="282" spans="1:25" ht="15" x14ac:dyDescent="0.2">
      <c r="A282" s="621"/>
      <c r="B282" s="1091"/>
      <c r="C282" s="626"/>
      <c r="D282" s="627"/>
      <c r="E282" s="631" t="s">
        <v>343</v>
      </c>
      <c r="F282" s="627"/>
      <c r="G282" s="391" t="s">
        <v>579</v>
      </c>
      <c r="H282" s="658">
        <v>5</v>
      </c>
      <c r="I282" s="391"/>
      <c r="J282" s="391"/>
      <c r="K282" s="391"/>
      <c r="L282" s="391"/>
      <c r="M282" s="391"/>
      <c r="N282" s="611"/>
      <c r="O282" s="627"/>
      <c r="P282" s="633"/>
      <c r="Q282" s="631"/>
      <c r="R282" s="627"/>
      <c r="S282" s="627"/>
      <c r="T282" s="627"/>
      <c r="U282" s="633"/>
      <c r="V282" s="627"/>
      <c r="W282" s="639"/>
      <c r="X282" s="1664"/>
      <c r="Y282" s="627"/>
    </row>
    <row r="283" spans="1:25" ht="15" x14ac:dyDescent="0.2">
      <c r="A283" s="621"/>
      <c r="B283" s="1091"/>
      <c r="C283" s="626"/>
      <c r="D283" s="627"/>
      <c r="E283" s="631" t="s">
        <v>346</v>
      </c>
      <c r="F283" s="627"/>
      <c r="G283" s="391" t="s">
        <v>579</v>
      </c>
      <c r="H283" s="658">
        <v>22.2</v>
      </c>
      <c r="I283" s="391"/>
      <c r="J283" s="391"/>
      <c r="K283" s="391"/>
      <c r="L283" s="391"/>
      <c r="M283" s="391"/>
      <c r="N283" s="611"/>
      <c r="O283" s="627"/>
      <c r="P283" s="633"/>
      <c r="Q283" s="631"/>
      <c r="R283" s="627"/>
      <c r="S283" s="627"/>
      <c r="T283" s="627"/>
      <c r="U283" s="633"/>
      <c r="V283" s="627"/>
      <c r="W283" s="639"/>
      <c r="X283" s="1664"/>
      <c r="Y283" s="627"/>
    </row>
    <row r="284" spans="1:25" ht="15" x14ac:dyDescent="0.2">
      <c r="A284" s="621"/>
      <c r="B284" s="1091"/>
      <c r="C284" s="626"/>
      <c r="D284" s="627"/>
      <c r="E284" s="627"/>
      <c r="F284" s="627"/>
      <c r="G284" s="391"/>
      <c r="H284" s="391"/>
      <c r="I284" s="391"/>
      <c r="J284" s="391"/>
      <c r="K284" s="391"/>
      <c r="L284" s="391"/>
      <c r="M284" s="391"/>
      <c r="N284" s="611"/>
      <c r="O284" s="627"/>
      <c r="P284" s="627"/>
      <c r="Q284" s="627"/>
      <c r="R284" s="627"/>
      <c r="S284" s="627"/>
      <c r="T284" s="627"/>
      <c r="U284" s="633"/>
      <c r="V284" s="627"/>
      <c r="W284" s="639"/>
      <c r="X284" s="1664"/>
      <c r="Y284" s="627"/>
    </row>
    <row r="285" spans="1:25" ht="22.5" customHeight="1" x14ac:dyDescent="0.2">
      <c r="A285" s="621"/>
      <c r="B285" s="1091"/>
      <c r="C285" s="622" t="s">
        <v>1375</v>
      </c>
      <c r="D285" s="623"/>
      <c r="E285" s="623"/>
      <c r="F285" s="623"/>
      <c r="G285" s="661"/>
      <c r="H285" s="661"/>
      <c r="I285" s="661"/>
      <c r="J285" s="661"/>
      <c r="K285" s="661"/>
      <c r="L285" s="661"/>
      <c r="M285" s="661"/>
      <c r="N285" s="662"/>
      <c r="O285" s="184"/>
      <c r="P285" s="184"/>
      <c r="Q285" s="184"/>
      <c r="R285" s="184"/>
      <c r="S285" s="184"/>
      <c r="T285" s="184"/>
      <c r="U285" s="184"/>
      <c r="V285" s="184"/>
      <c r="W285" s="184"/>
      <c r="X285" s="1663"/>
      <c r="Y285" s="630"/>
    </row>
    <row r="286" spans="1:25" ht="15" x14ac:dyDescent="0.2">
      <c r="A286" s="621"/>
      <c r="B286" s="1091"/>
      <c r="C286" s="643"/>
      <c r="D286" s="630"/>
      <c r="E286" s="630"/>
      <c r="F286" s="630"/>
      <c r="G286" s="610"/>
      <c r="H286" s="610">
        <f ca="1">CokingRefineryCalcs!E198</f>
        <v>17697.585317090663</v>
      </c>
      <c r="I286" s="610"/>
      <c r="J286" s="610"/>
      <c r="K286" s="610"/>
      <c r="L286" s="610"/>
      <c r="M286" s="610"/>
      <c r="N286" s="614"/>
      <c r="O286" s="184"/>
      <c r="P286" s="184"/>
      <c r="Q286" s="184"/>
      <c r="R286" s="184"/>
      <c r="S286" s="184"/>
      <c r="T286" s="184"/>
      <c r="U286" s="184"/>
      <c r="V286" s="184"/>
      <c r="W286" s="184"/>
      <c r="X286" s="1663"/>
      <c r="Y286" s="630"/>
    </row>
    <row r="287" spans="1:25" ht="15" x14ac:dyDescent="0.2">
      <c r="A287" s="621"/>
      <c r="B287" s="1091"/>
      <c r="C287" s="626"/>
      <c r="D287" s="629" t="s">
        <v>1105</v>
      </c>
      <c r="E287" s="627"/>
      <c r="F287" s="627"/>
      <c r="G287" s="391" t="s">
        <v>1126</v>
      </c>
      <c r="H287" s="658">
        <f>H9*W16</f>
        <v>12844</v>
      </c>
      <c r="I287" s="391">
        <v>1000</v>
      </c>
      <c r="J287" s="391">
        <v>146000</v>
      </c>
      <c r="K287" s="391" t="s">
        <v>1107</v>
      </c>
      <c r="L287" s="391">
        <v>29443</v>
      </c>
      <c r="M287" s="391">
        <v>22500</v>
      </c>
      <c r="N287" s="611">
        <v>18000</v>
      </c>
      <c r="O287" s="184"/>
      <c r="P287" s="184"/>
      <c r="Q287" s="184"/>
      <c r="R287" s="184"/>
      <c r="S287" s="184"/>
      <c r="T287" s="184"/>
      <c r="U287" s="184"/>
      <c r="V287" s="184"/>
      <c r="W287" s="184"/>
      <c r="X287" s="1664"/>
      <c r="Y287" s="627"/>
    </row>
    <row r="288" spans="1:25" ht="15" x14ac:dyDescent="0.2">
      <c r="A288" s="621"/>
      <c r="B288" s="1091"/>
      <c r="C288" s="626"/>
      <c r="D288" s="627"/>
      <c r="E288" s="630" t="s">
        <v>624</v>
      </c>
      <c r="F288" s="631"/>
      <c r="G288" s="610" t="s">
        <v>623</v>
      </c>
      <c r="H288" s="391"/>
      <c r="I288" s="391"/>
      <c r="J288" s="391"/>
      <c r="K288" s="391"/>
      <c r="L288" s="391"/>
      <c r="M288" s="391"/>
      <c r="N288" s="611"/>
      <c r="O288" s="184"/>
      <c r="P288" s="184"/>
      <c r="Q288" s="184"/>
      <c r="R288" s="184"/>
      <c r="S288" s="184"/>
      <c r="T288" s="184"/>
      <c r="U288" s="184"/>
      <c r="V288" s="184"/>
      <c r="W288" s="184"/>
      <c r="X288" s="1664"/>
      <c r="Y288" s="627"/>
    </row>
    <row r="289" spans="1:25" ht="15" x14ac:dyDescent="0.2">
      <c r="A289" s="621"/>
      <c r="B289" s="1091"/>
      <c r="C289" s="626"/>
      <c r="D289" s="627"/>
      <c r="E289" s="631" t="s">
        <v>635</v>
      </c>
      <c r="F289" s="627"/>
      <c r="G289" s="391" t="s">
        <v>136</v>
      </c>
      <c r="H289" s="658">
        <v>317</v>
      </c>
      <c r="I289" s="391">
        <v>276</v>
      </c>
      <c r="J289" s="391">
        <v>323</v>
      </c>
      <c r="K289" s="391">
        <v>323</v>
      </c>
      <c r="L289" s="391"/>
      <c r="M289" s="391"/>
      <c r="N289" s="611"/>
      <c r="O289" s="184"/>
      <c r="P289" s="184"/>
      <c r="Q289" s="184"/>
      <c r="R289" s="184"/>
      <c r="S289" s="184"/>
      <c r="T289" s="184"/>
      <c r="U289" s="184"/>
      <c r="V289" s="184"/>
      <c r="W289" s="184"/>
      <c r="X289" s="1664"/>
      <c r="Y289" s="627"/>
    </row>
    <row r="290" spans="1:25" ht="15" x14ac:dyDescent="0.2">
      <c r="A290" s="621"/>
      <c r="B290" s="1091"/>
      <c r="C290" s="626"/>
      <c r="D290" s="627"/>
      <c r="E290" s="631"/>
      <c r="F290" s="627"/>
      <c r="G290" s="391" t="s">
        <v>637</v>
      </c>
      <c r="H290" s="391">
        <f>IF('Energy &amp; Unit Conversions'!$E$10=1,H289,H289/'Energy &amp; Unit Conversions'!$K$59)/'Energy &amp; Unit Conversions'!$P$25/'Energy &amp; Unit Conversions'!$G$82</f>
        <v>323.07210116858147</v>
      </c>
      <c r="I290" s="391">
        <f>IF('Energy &amp; Unit Conversions'!$E$10=1,I289,I289/'Energy &amp; Unit Conversions'!$K$59)/'Energy &amp; Unit Conversions'!$P$25/'Energy &amp; Unit Conversions'!$G$82</f>
        <v>281.28675054425389</v>
      </c>
      <c r="J290" s="391">
        <f>IF('Energy &amp; Unit Conversions'!$E$10=1,J289,J289/'Energy &amp; Unit Conversions'!$K$59)/'Energy &amp; Unit Conversions'!$P$25/'Energy &amp; Unit Conversions'!$G$82</f>
        <v>329.18703052823918</v>
      </c>
      <c r="K290" s="391">
        <f>IF('Energy &amp; Unit Conversions'!$E$10=1,K289,K289/'Energy &amp; Unit Conversions'!$K$59)/'Energy &amp; Unit Conversions'!$P$25/'Energy &amp; Unit Conversions'!$G$82</f>
        <v>329.18703052823918</v>
      </c>
      <c r="L290" s="391"/>
      <c r="M290" s="391"/>
      <c r="N290" s="611"/>
      <c r="O290" s="184"/>
      <c r="P290" s="184"/>
      <c r="Q290" s="184"/>
      <c r="R290" s="184"/>
      <c r="S290" s="184"/>
      <c r="T290" s="184"/>
      <c r="U290" s="184"/>
      <c r="V290" s="184"/>
      <c r="W290" s="184"/>
      <c r="X290" s="1664"/>
      <c r="Y290" s="627"/>
    </row>
    <row r="291" spans="1:25" ht="15" x14ac:dyDescent="0.2">
      <c r="A291" s="621"/>
      <c r="B291" s="1091"/>
      <c r="C291" s="626"/>
      <c r="D291" s="627"/>
      <c r="E291" s="631" t="s">
        <v>451</v>
      </c>
      <c r="F291" s="627"/>
      <c r="G291" s="391" t="s">
        <v>665</v>
      </c>
      <c r="H291" s="658">
        <v>3</v>
      </c>
      <c r="I291" s="391">
        <v>0.59</v>
      </c>
      <c r="J291" s="391">
        <v>3</v>
      </c>
      <c r="K291" s="391">
        <v>3</v>
      </c>
      <c r="L291" s="391"/>
      <c r="M291" s="391"/>
      <c r="N291" s="611"/>
      <c r="O291" s="184"/>
      <c r="P291" s="184"/>
      <c r="Q291" s="184"/>
      <c r="R291" s="184"/>
      <c r="S291" s="184"/>
      <c r="T291" s="184"/>
      <c r="U291" s="184"/>
      <c r="V291" s="184"/>
      <c r="W291" s="184"/>
      <c r="X291" s="1664"/>
      <c r="Y291" s="627"/>
    </row>
    <row r="292" spans="1:25" ht="15" x14ac:dyDescent="0.2">
      <c r="A292" s="621"/>
      <c r="B292" s="1091"/>
      <c r="C292" s="626"/>
      <c r="D292" s="627"/>
      <c r="E292" s="631"/>
      <c r="F292" s="627"/>
      <c r="G292" s="391" t="s">
        <v>136</v>
      </c>
      <c r="H292" s="391">
        <f>H291*'Energy &amp; Unit Conversions'!$G$88</f>
        <v>10.8</v>
      </c>
      <c r="I292" s="391">
        <f>I291*'Energy &amp; Unit Conversions'!$G$88</f>
        <v>2.1240000000000001</v>
      </c>
      <c r="J292" s="391">
        <f>J291*'Energy &amp; Unit Conversions'!$G$88</f>
        <v>10.8</v>
      </c>
      <c r="K292" s="391">
        <f>K291*'Energy &amp; Unit Conversions'!$G$88</f>
        <v>10.8</v>
      </c>
      <c r="L292" s="391"/>
      <c r="M292" s="391"/>
      <c r="N292" s="611"/>
      <c r="O292" s="184"/>
      <c r="P292" s="184"/>
      <c r="Q292" s="184"/>
      <c r="R292" s="184"/>
      <c r="S292" s="184"/>
      <c r="T292" s="184"/>
      <c r="U292" s="184"/>
      <c r="V292" s="184"/>
      <c r="W292" s="184"/>
      <c r="X292" s="1664"/>
      <c r="Y292" s="627"/>
    </row>
    <row r="293" spans="1:25" ht="15" x14ac:dyDescent="0.2">
      <c r="A293" s="621"/>
      <c r="B293" s="1091"/>
      <c r="C293" s="626"/>
      <c r="D293" s="627"/>
      <c r="E293" s="631" t="s">
        <v>753</v>
      </c>
      <c r="F293" s="627"/>
      <c r="G293" s="391" t="s">
        <v>496</v>
      </c>
      <c r="H293" s="658">
        <v>30</v>
      </c>
      <c r="I293" s="391">
        <v>30</v>
      </c>
      <c r="J293" s="391">
        <v>40</v>
      </c>
      <c r="K293" s="391">
        <v>30</v>
      </c>
      <c r="L293" s="391"/>
      <c r="M293" s="391"/>
      <c r="N293" s="611"/>
      <c r="O293" s="184"/>
      <c r="P293" s="184"/>
      <c r="Q293" s="184"/>
      <c r="R293" s="184"/>
      <c r="S293" s="184"/>
      <c r="T293" s="184"/>
      <c r="U293" s="184"/>
      <c r="V293" s="184"/>
      <c r="W293" s="184"/>
      <c r="X293" s="1664"/>
      <c r="Y293" s="627"/>
    </row>
    <row r="294" spans="1:25" ht="15" x14ac:dyDescent="0.2">
      <c r="A294" s="621"/>
      <c r="B294" s="1091"/>
      <c r="C294" s="626"/>
      <c r="D294" s="627"/>
      <c r="E294" s="631"/>
      <c r="F294" s="627"/>
      <c r="G294" s="391" t="s">
        <v>136</v>
      </c>
      <c r="H294" s="391">
        <f>H293*'Energy &amp; Unit Conversions'!$E$70*'Energy &amp; Unit Conversions'!$G$79</f>
        <v>44.299831271543297</v>
      </c>
      <c r="I294" s="391">
        <f>I293*'Energy &amp; Unit Conversions'!$E$70*'Energy &amp; Unit Conversions'!$G$79</f>
        <v>44.299831271543297</v>
      </c>
      <c r="J294" s="391">
        <f>J293*'Energy &amp; Unit Conversions'!$E$70*'Energy &amp; Unit Conversions'!$G$79</f>
        <v>59.066441695391063</v>
      </c>
      <c r="K294" s="391">
        <f>K293*'Energy &amp; Unit Conversions'!$E$70*'Energy &amp; Unit Conversions'!$G$79</f>
        <v>44.299831271543297</v>
      </c>
      <c r="L294" s="391"/>
      <c r="M294" s="391"/>
      <c r="N294" s="611"/>
      <c r="O294" s="184"/>
      <c r="P294" s="184"/>
      <c r="Q294" s="184"/>
      <c r="R294" s="184"/>
      <c r="S294" s="184"/>
      <c r="T294" s="184"/>
      <c r="U294" s="184"/>
      <c r="V294" s="184"/>
      <c r="W294" s="184"/>
      <c r="X294" s="1664"/>
      <c r="Y294" s="627"/>
    </row>
    <row r="295" spans="1:25" ht="15" x14ac:dyDescent="0.2">
      <c r="A295" s="621"/>
      <c r="B295" s="1091"/>
      <c r="C295" s="626"/>
      <c r="D295" s="627"/>
      <c r="E295" s="631"/>
      <c r="F295" s="627"/>
      <c r="G295" s="391"/>
      <c r="H295" s="663"/>
      <c r="I295" s="391"/>
      <c r="J295" s="391"/>
      <c r="K295" s="391"/>
      <c r="L295" s="391"/>
      <c r="M295" s="391"/>
      <c r="N295" s="611"/>
      <c r="O295" s="184"/>
      <c r="P295" s="184"/>
      <c r="Q295" s="184"/>
      <c r="R295" s="184"/>
      <c r="S295" s="184"/>
      <c r="T295" s="184"/>
      <c r="U295" s="184"/>
      <c r="V295" s="184"/>
      <c r="W295" s="184"/>
      <c r="X295" s="1664"/>
      <c r="Y295" s="627"/>
    </row>
    <row r="296" spans="1:25" ht="15" x14ac:dyDescent="0.2">
      <c r="A296" s="621"/>
      <c r="B296" s="1091"/>
      <c r="C296" s="626"/>
      <c r="D296" s="627"/>
      <c r="E296" s="631" t="s">
        <v>613</v>
      </c>
      <c r="F296" s="627"/>
      <c r="G296" s="391" t="s">
        <v>633</v>
      </c>
      <c r="H296" s="658">
        <v>10</v>
      </c>
      <c r="I296" s="670">
        <v>8.5</v>
      </c>
      <c r="J296" s="670">
        <v>11.5</v>
      </c>
      <c r="K296" s="670">
        <v>10</v>
      </c>
      <c r="L296" s="391"/>
      <c r="M296" s="391"/>
      <c r="N296" s="611"/>
      <c r="O296" s="184"/>
      <c r="P296" s="184"/>
      <c r="Q296" s="184"/>
      <c r="R296" s="184"/>
      <c r="S296" s="184"/>
      <c r="T296" s="184"/>
      <c r="U296" s="184"/>
      <c r="V296" s="184"/>
      <c r="W296" s="184"/>
      <c r="X296" s="1664"/>
      <c r="Y296" s="627"/>
    </row>
    <row r="297" spans="1:25" ht="15" x14ac:dyDescent="0.2">
      <c r="A297" s="621"/>
      <c r="B297" s="1091"/>
      <c r="C297" s="626"/>
      <c r="D297" s="627"/>
      <c r="E297" s="627"/>
      <c r="F297" s="627"/>
      <c r="G297" s="391"/>
      <c r="H297" s="391"/>
      <c r="I297" s="391"/>
      <c r="J297" s="391"/>
      <c r="K297" s="391"/>
      <c r="L297" s="391"/>
      <c r="M297" s="391"/>
      <c r="N297" s="611"/>
      <c r="O297" s="184"/>
      <c r="P297" s="184"/>
      <c r="Q297" s="184"/>
      <c r="R297" s="184"/>
      <c r="S297" s="184"/>
      <c r="T297" s="184"/>
      <c r="U297" s="184"/>
      <c r="V297" s="184"/>
      <c r="W297" s="184"/>
      <c r="X297" s="1664"/>
      <c r="Y297" s="627"/>
    </row>
    <row r="298" spans="1:25" ht="20.25" customHeight="1" x14ac:dyDescent="0.2">
      <c r="A298" s="621"/>
      <c r="B298" s="1091"/>
      <c r="C298" s="622" t="s">
        <v>172</v>
      </c>
      <c r="D298" s="623"/>
      <c r="E298" s="623"/>
      <c r="F298" s="623"/>
      <c r="G298" s="661"/>
      <c r="H298" s="661"/>
      <c r="I298" s="661"/>
      <c r="J298" s="661"/>
      <c r="K298" s="661"/>
      <c r="L298" s="661"/>
      <c r="M298" s="661"/>
      <c r="N298" s="662"/>
      <c r="O298" s="184"/>
      <c r="P298" s="184"/>
      <c r="Q298" s="184"/>
      <c r="R298" s="184"/>
      <c r="S298" s="184"/>
      <c r="T298" s="184"/>
      <c r="U298" s="184"/>
      <c r="V298" s="184"/>
      <c r="W298" s="184"/>
      <c r="X298" s="1663"/>
      <c r="Y298" s="630"/>
    </row>
    <row r="299" spans="1:25" ht="15" x14ac:dyDescent="0.2">
      <c r="A299" s="621"/>
      <c r="B299" s="1091"/>
      <c r="C299" s="643"/>
      <c r="D299" s="630"/>
      <c r="E299" s="630"/>
      <c r="F299" s="630"/>
      <c r="G299" s="610"/>
      <c r="H299" s="610">
        <f ca="1">CokingRefineryCalcs!E172</f>
        <v>7538.9890466543711</v>
      </c>
      <c r="I299" s="610"/>
      <c r="J299" s="610"/>
      <c r="K299" s="610"/>
      <c r="L299" s="610"/>
      <c r="M299" s="610"/>
      <c r="N299" s="614"/>
      <c r="O299" s="184"/>
      <c r="P299" s="184"/>
      <c r="Q299" s="184"/>
      <c r="R299" s="184"/>
      <c r="S299" s="184"/>
      <c r="T299" s="184"/>
      <c r="U299" s="184"/>
      <c r="V299" s="184"/>
      <c r="W299" s="184"/>
      <c r="X299" s="1663"/>
      <c r="Y299" s="630"/>
    </row>
    <row r="300" spans="1:25" ht="15" x14ac:dyDescent="0.2">
      <c r="A300" s="621"/>
      <c r="B300" s="1091"/>
      <c r="C300" s="626"/>
      <c r="D300" s="629" t="s">
        <v>1105</v>
      </c>
      <c r="E300" s="627"/>
      <c r="F300" s="627"/>
      <c r="G300" s="391" t="s">
        <v>1126</v>
      </c>
      <c r="H300" s="658">
        <f>H9*W15</f>
        <v>5408</v>
      </c>
      <c r="I300" s="391">
        <v>0</v>
      </c>
      <c r="J300" s="391">
        <v>46000</v>
      </c>
      <c r="K300" s="391">
        <v>7859</v>
      </c>
      <c r="L300" s="391">
        <v>7859</v>
      </c>
      <c r="M300" s="391">
        <v>4350</v>
      </c>
      <c r="N300" s="611">
        <v>4000</v>
      </c>
      <c r="O300" s="184"/>
      <c r="P300" s="184"/>
      <c r="Q300" s="184"/>
      <c r="R300" s="184"/>
      <c r="S300" s="184"/>
      <c r="T300" s="184"/>
      <c r="U300" s="184"/>
      <c r="V300" s="184"/>
      <c r="W300" s="184"/>
      <c r="X300" s="1664"/>
      <c r="Y300" s="627"/>
    </row>
    <row r="301" spans="1:25" ht="15" x14ac:dyDescent="0.2">
      <c r="A301" s="621"/>
      <c r="B301" s="1091"/>
      <c r="C301" s="643"/>
      <c r="D301" s="630"/>
      <c r="E301" s="630"/>
      <c r="F301" s="630"/>
      <c r="G301" s="610"/>
      <c r="H301" s="610"/>
      <c r="I301" s="610"/>
      <c r="J301" s="610"/>
      <c r="K301" s="610"/>
      <c r="L301" s="610"/>
      <c r="M301" s="610"/>
      <c r="N301" s="614"/>
      <c r="O301" s="184"/>
      <c r="P301" s="184"/>
      <c r="Q301" s="184"/>
      <c r="R301" s="184"/>
      <c r="S301" s="184"/>
      <c r="T301" s="184"/>
      <c r="U301" s="184"/>
      <c r="V301" s="184"/>
      <c r="W301" s="184"/>
      <c r="X301" s="1663"/>
      <c r="Y301" s="630"/>
    </row>
    <row r="302" spans="1:25" ht="15" x14ac:dyDescent="0.2">
      <c r="A302" s="621"/>
      <c r="B302" s="1091"/>
      <c r="C302" s="643"/>
      <c r="D302" s="630"/>
      <c r="E302" s="631" t="s">
        <v>635</v>
      </c>
      <c r="F302" s="627"/>
      <c r="G302" s="391" t="s">
        <v>136</v>
      </c>
      <c r="H302" s="658">
        <v>211</v>
      </c>
      <c r="I302" s="391">
        <v>190</v>
      </c>
      <c r="J302" s="391">
        <v>211</v>
      </c>
      <c r="K302" s="391">
        <v>211</v>
      </c>
      <c r="L302" s="391"/>
      <c r="M302" s="391"/>
      <c r="N302" s="611"/>
      <c r="O302" s="184"/>
      <c r="P302" s="184"/>
      <c r="Q302" s="184"/>
      <c r="R302" s="184"/>
      <c r="S302" s="184"/>
      <c r="T302" s="184"/>
      <c r="U302" s="184"/>
      <c r="V302" s="184"/>
      <c r="W302" s="184"/>
      <c r="X302" s="1664"/>
      <c r="Y302" s="627"/>
    </row>
    <row r="303" spans="1:25" ht="15" x14ac:dyDescent="0.2">
      <c r="A303" s="621"/>
      <c r="B303" s="1091"/>
      <c r="C303" s="643"/>
      <c r="D303" s="630"/>
      <c r="E303" s="631"/>
      <c r="F303" s="627"/>
      <c r="G303" s="391" t="s">
        <v>637</v>
      </c>
      <c r="H303" s="391">
        <f>IF('Energy &amp; Unit Conversions'!$E$10=1,H302,H302/'Energy &amp; Unit Conversions'!$K$59)/'Energy &amp; Unit Conversions'!$P$25/'Energy &amp; Unit Conversions'!$G$82</f>
        <v>215.04168248129557</v>
      </c>
      <c r="I303" s="391">
        <f>IF('Energy &amp; Unit Conversions'!$E$10=1,I302,I302/'Energy &amp; Unit Conversions'!$K$59)/'Energy &amp; Unit Conversions'!$P$25/'Energy &amp; Unit Conversions'!$G$82</f>
        <v>193.63942972249362</v>
      </c>
      <c r="J303" s="391">
        <f>IF('Energy &amp; Unit Conversions'!$E$10=1,J302,J302/'Energy &amp; Unit Conversions'!$K$59)/'Energy &amp; Unit Conversions'!$P$25/'Energy &amp; Unit Conversions'!$G$82</f>
        <v>215.04168248129557</v>
      </c>
      <c r="K303" s="391">
        <f>IF('Energy &amp; Unit Conversions'!$E$10=1,K302,K302/'Energy &amp; Unit Conversions'!$K$59)/'Energy &amp; Unit Conversions'!$P$25/'Energy &amp; Unit Conversions'!$G$82</f>
        <v>215.04168248129557</v>
      </c>
      <c r="L303" s="391"/>
      <c r="M303" s="391"/>
      <c r="N303" s="611"/>
      <c r="O303" s="184"/>
      <c r="P303" s="184"/>
      <c r="Q303" s="184"/>
      <c r="R303" s="184"/>
      <c r="S303" s="184"/>
      <c r="T303" s="184"/>
      <c r="U303" s="184"/>
      <c r="V303" s="184"/>
      <c r="W303" s="184"/>
      <c r="X303" s="1664"/>
      <c r="Y303" s="627"/>
    </row>
    <row r="304" spans="1:25" ht="15" x14ac:dyDescent="0.2">
      <c r="A304" s="621"/>
      <c r="B304" s="1091"/>
      <c r="C304" s="643"/>
      <c r="D304" s="630"/>
      <c r="E304" s="631" t="s">
        <v>451</v>
      </c>
      <c r="F304" s="627"/>
      <c r="G304" s="391" t="s">
        <v>665</v>
      </c>
      <c r="H304" s="658">
        <v>1</v>
      </c>
      <c r="I304" s="391">
        <v>0.75</v>
      </c>
      <c r="J304" s="391">
        <v>1</v>
      </c>
      <c r="K304" s="391">
        <v>1</v>
      </c>
      <c r="L304" s="391"/>
      <c r="M304" s="391"/>
      <c r="N304" s="611"/>
      <c r="O304" s="627"/>
      <c r="P304" s="636"/>
      <c r="Q304" s="631"/>
      <c r="R304" s="627"/>
      <c r="S304" s="631"/>
      <c r="T304" s="627"/>
      <c r="U304" s="627"/>
      <c r="V304" s="627"/>
      <c r="W304" s="627"/>
      <c r="X304" s="1664"/>
      <c r="Y304" s="627"/>
    </row>
    <row r="305" spans="1:25" ht="15" x14ac:dyDescent="0.2">
      <c r="A305" s="621"/>
      <c r="B305" s="1091"/>
      <c r="C305" s="643"/>
      <c r="D305" s="630"/>
      <c r="E305" s="631"/>
      <c r="F305" s="627"/>
      <c r="G305" s="391"/>
      <c r="H305" s="391">
        <f>H304*'Energy &amp; Unit Conversions'!$G$88</f>
        <v>3.6</v>
      </c>
      <c r="I305" s="391">
        <f>I304*'Energy &amp; Unit Conversions'!$G$88</f>
        <v>2.7</v>
      </c>
      <c r="J305" s="391">
        <f>J304*'Energy &amp; Unit Conversions'!$G$88</f>
        <v>3.6</v>
      </c>
      <c r="K305" s="391">
        <f>K304*'Energy &amp; Unit Conversions'!$G$88</f>
        <v>3.6</v>
      </c>
      <c r="L305" s="391"/>
      <c r="M305" s="391"/>
      <c r="N305" s="611"/>
      <c r="O305" s="627"/>
      <c r="P305" s="636"/>
      <c r="Q305" s="631"/>
      <c r="R305" s="627"/>
      <c r="S305" s="631"/>
      <c r="T305" s="627"/>
      <c r="U305" s="627"/>
      <c r="V305" s="627"/>
      <c r="W305" s="627"/>
      <c r="X305" s="1664"/>
      <c r="Y305" s="627"/>
    </row>
    <row r="306" spans="1:25" ht="15" x14ac:dyDescent="0.2">
      <c r="A306" s="621"/>
      <c r="B306" s="1091"/>
      <c r="C306" s="643"/>
      <c r="D306" s="630"/>
      <c r="E306" s="631"/>
      <c r="F306" s="627"/>
      <c r="G306" s="391"/>
      <c r="H306" s="663"/>
      <c r="I306" s="391"/>
      <c r="J306" s="391"/>
      <c r="K306" s="391"/>
      <c r="L306" s="391"/>
      <c r="M306" s="391"/>
      <c r="N306" s="611"/>
      <c r="O306" s="627"/>
      <c r="P306" s="636"/>
      <c r="Q306" s="631"/>
      <c r="R306" s="627"/>
      <c r="S306" s="631"/>
      <c r="T306" s="627"/>
      <c r="U306" s="627"/>
      <c r="V306" s="627"/>
      <c r="W306" s="627"/>
      <c r="X306" s="1664"/>
      <c r="Y306" s="627"/>
    </row>
    <row r="307" spans="1:25" ht="15" x14ac:dyDescent="0.2">
      <c r="A307" s="621"/>
      <c r="B307" s="1091"/>
      <c r="C307" s="643"/>
      <c r="D307" s="627"/>
      <c r="E307" s="631" t="s">
        <v>517</v>
      </c>
      <c r="F307" s="627"/>
      <c r="G307" s="391" t="s">
        <v>633</v>
      </c>
      <c r="H307" s="671">
        <v>1</v>
      </c>
      <c r="I307" s="391"/>
      <c r="J307" s="391"/>
      <c r="K307" s="391"/>
      <c r="L307" s="391"/>
      <c r="M307" s="391"/>
      <c r="N307" s="611"/>
      <c r="O307" s="627"/>
      <c r="P307" s="636"/>
      <c r="Q307" s="631"/>
      <c r="R307" s="627"/>
      <c r="S307" s="627"/>
      <c r="T307" s="627"/>
      <c r="U307" s="627"/>
      <c r="V307" s="627"/>
      <c r="W307" s="627"/>
      <c r="X307" s="1664"/>
      <c r="Y307" s="627"/>
    </row>
    <row r="308" spans="1:25" ht="15" x14ac:dyDescent="0.2">
      <c r="A308" s="621"/>
      <c r="B308" s="1091"/>
      <c r="C308" s="626"/>
      <c r="D308" s="627"/>
      <c r="E308" s="627"/>
      <c r="F308" s="627"/>
      <c r="G308" s="391"/>
      <c r="H308" s="391"/>
      <c r="I308" s="391"/>
      <c r="J308" s="391"/>
      <c r="K308" s="391"/>
      <c r="L308" s="391"/>
      <c r="M308" s="391"/>
      <c r="N308" s="611"/>
      <c r="O308" s="627"/>
      <c r="P308" s="651"/>
      <c r="Q308" s="633"/>
      <c r="R308" s="627"/>
      <c r="S308" s="627"/>
      <c r="T308" s="627"/>
      <c r="U308" s="627"/>
      <c r="V308" s="627"/>
      <c r="W308" s="627"/>
      <c r="X308" s="1664"/>
      <c r="Y308" s="627"/>
    </row>
    <row r="309" spans="1:25" ht="21.75" customHeight="1" x14ac:dyDescent="0.2">
      <c r="A309" s="621"/>
      <c r="B309" s="1091"/>
      <c r="C309" s="622" t="s">
        <v>727</v>
      </c>
      <c r="D309" s="623"/>
      <c r="E309" s="623"/>
      <c r="F309" s="623"/>
      <c r="G309" s="661"/>
      <c r="H309" s="661"/>
      <c r="I309" s="661"/>
      <c r="J309" s="661"/>
      <c r="K309" s="661"/>
      <c r="L309" s="661"/>
      <c r="M309" s="661"/>
      <c r="N309" s="662"/>
      <c r="O309" s="630"/>
      <c r="P309" s="630"/>
      <c r="Q309" s="630"/>
      <c r="R309" s="630"/>
      <c r="S309" s="630"/>
      <c r="T309" s="630"/>
      <c r="U309" s="630"/>
      <c r="V309" s="630"/>
      <c r="W309" s="630"/>
      <c r="X309" s="1663"/>
      <c r="Y309" s="630"/>
    </row>
    <row r="310" spans="1:25" ht="15" x14ac:dyDescent="0.2">
      <c r="A310" s="621"/>
      <c r="B310" s="1091"/>
      <c r="C310" s="643"/>
      <c r="D310" s="630"/>
      <c r="E310" s="630"/>
      <c r="F310" s="630"/>
      <c r="G310" s="610"/>
      <c r="H310" s="610"/>
      <c r="I310" s="610"/>
      <c r="J310" s="610"/>
      <c r="K310" s="610"/>
      <c r="L310" s="610"/>
      <c r="M310" s="610"/>
      <c r="N310" s="614"/>
      <c r="O310" s="630"/>
      <c r="P310" s="630"/>
      <c r="Q310" s="630"/>
      <c r="R310" s="630"/>
      <c r="S310" s="630"/>
      <c r="T310" s="630"/>
      <c r="U310" s="630"/>
      <c r="V310" s="630"/>
      <c r="W310" s="630"/>
      <c r="X310" s="1663"/>
      <c r="Y310" s="630"/>
    </row>
    <row r="311" spans="1:25" ht="15" x14ac:dyDescent="0.2">
      <c r="A311" s="621"/>
      <c r="B311" s="1091"/>
      <c r="C311" s="643"/>
      <c r="D311" s="630"/>
      <c r="E311" s="630"/>
      <c r="F311" s="630"/>
      <c r="G311" s="610"/>
      <c r="H311" s="610"/>
      <c r="I311" s="610"/>
      <c r="J311" s="610"/>
      <c r="K311" s="610"/>
      <c r="L311" s="610"/>
      <c r="M311" s="610"/>
      <c r="N311" s="614"/>
      <c r="O311" s="184"/>
      <c r="P311" s="184"/>
      <c r="Q311" s="184"/>
      <c r="R311" s="184"/>
      <c r="S311" s="184"/>
      <c r="T311" s="184"/>
      <c r="U311" s="630"/>
      <c r="V311" s="630"/>
      <c r="W311" s="630"/>
      <c r="X311" s="1663"/>
      <c r="Y311" s="630"/>
    </row>
    <row r="312" spans="1:25" ht="15" x14ac:dyDescent="0.2">
      <c r="A312" s="621"/>
      <c r="B312" s="1091"/>
      <c r="C312" s="626"/>
      <c r="D312" s="629" t="s">
        <v>1105</v>
      </c>
      <c r="E312" s="627"/>
      <c r="F312" s="627"/>
      <c r="G312" s="391" t="s">
        <v>1127</v>
      </c>
      <c r="H312" s="610">
        <f ca="1">CokingRefineryCalcs!E1062/1000000</f>
        <v>11.254483219969973</v>
      </c>
      <c r="I312" s="391"/>
      <c r="J312" s="391"/>
      <c r="K312" s="391"/>
      <c r="L312" s="391"/>
      <c r="M312" s="391"/>
      <c r="N312" s="611"/>
      <c r="O312" s="184"/>
      <c r="P312" s="184"/>
      <c r="Q312" s="184"/>
      <c r="R312" s="184"/>
      <c r="S312" s="184"/>
      <c r="T312" s="184"/>
      <c r="U312" s="286"/>
      <c r="V312" s="286"/>
      <c r="W312" s="286"/>
      <c r="X312" s="1664"/>
      <c r="Y312" s="627"/>
    </row>
    <row r="313" spans="1:25" ht="15" x14ac:dyDescent="0.2">
      <c r="A313" s="621"/>
      <c r="B313" s="1091"/>
      <c r="C313" s="626"/>
      <c r="D313" s="627"/>
      <c r="E313" s="627"/>
      <c r="F313" s="627"/>
      <c r="G313" s="391"/>
      <c r="H313" s="391"/>
      <c r="I313" s="391"/>
      <c r="J313" s="391"/>
      <c r="K313" s="391"/>
      <c r="L313" s="391"/>
      <c r="M313" s="391"/>
      <c r="N313" s="611"/>
      <c r="O313" s="627"/>
      <c r="P313" s="627"/>
      <c r="Q313" s="627"/>
      <c r="R313" s="627"/>
      <c r="S313" s="627"/>
      <c r="T313" s="627"/>
      <c r="U313" s="633"/>
      <c r="V313" s="627"/>
      <c r="W313" s="639"/>
      <c r="X313" s="1664"/>
      <c r="Y313" s="627"/>
    </row>
    <row r="314" spans="1:25" ht="15" x14ac:dyDescent="0.2">
      <c r="A314" s="621"/>
      <c r="B314" s="1091"/>
      <c r="C314" s="626"/>
      <c r="D314" s="627"/>
      <c r="E314" s="631" t="s">
        <v>160</v>
      </c>
      <c r="F314" s="627"/>
      <c r="G314" s="391" t="s">
        <v>1982</v>
      </c>
      <c r="H314" s="658">
        <v>0.22828692834321099</v>
      </c>
      <c r="I314" s="391"/>
      <c r="J314" s="391"/>
      <c r="K314" s="391"/>
      <c r="L314" s="391"/>
      <c r="M314" s="391"/>
      <c r="N314" s="611"/>
      <c r="O314" s="627"/>
      <c r="P314" s="627"/>
      <c r="Q314" s="631"/>
      <c r="R314" s="627"/>
      <c r="S314" s="627"/>
      <c r="T314" s="627"/>
      <c r="U314" s="627"/>
      <c r="V314" s="627"/>
      <c r="W314" s="627"/>
      <c r="X314" s="1664"/>
      <c r="Y314" s="627"/>
    </row>
    <row r="315" spans="1:25" ht="15" x14ac:dyDescent="0.2">
      <c r="A315" s="621"/>
      <c r="B315" s="1091"/>
      <c r="C315" s="626"/>
      <c r="D315" s="627"/>
      <c r="E315" s="631" t="s">
        <v>916</v>
      </c>
      <c r="F315" s="627"/>
      <c r="G315" s="391" t="s">
        <v>1982</v>
      </c>
      <c r="H315" s="658">
        <v>0.25769398568870638</v>
      </c>
      <c r="I315" s="391"/>
      <c r="J315" s="391"/>
      <c r="K315" s="391"/>
      <c r="L315" s="391"/>
      <c r="M315" s="391"/>
      <c r="N315" s="611"/>
      <c r="O315" s="627"/>
      <c r="P315" s="627"/>
      <c r="Q315" s="631"/>
      <c r="R315" s="627"/>
      <c r="S315" s="627"/>
      <c r="T315" s="627"/>
      <c r="U315" s="627"/>
      <c r="V315" s="627"/>
      <c r="W315" s="627"/>
      <c r="X315" s="1664"/>
      <c r="Y315" s="627"/>
    </row>
    <row r="316" spans="1:25" ht="15" x14ac:dyDescent="0.2">
      <c r="A316" s="621"/>
      <c r="B316" s="1091"/>
      <c r="C316" s="626"/>
      <c r="D316" s="627"/>
      <c r="E316" s="631" t="s">
        <v>133</v>
      </c>
      <c r="F316" s="627"/>
      <c r="G316" s="391" t="s">
        <v>917</v>
      </c>
      <c r="H316" s="658">
        <v>7.946734975578663E-4</v>
      </c>
      <c r="I316" s="391"/>
      <c r="J316" s="391"/>
      <c r="K316" s="391"/>
      <c r="L316" s="391"/>
      <c r="M316" s="391"/>
      <c r="N316" s="611"/>
      <c r="O316" s="627"/>
      <c r="P316" s="627"/>
      <c r="Q316" s="631"/>
      <c r="R316" s="627"/>
      <c r="S316" s="632"/>
      <c r="T316" s="627"/>
      <c r="U316" s="627"/>
      <c r="V316" s="627"/>
      <c r="W316" s="627"/>
      <c r="X316" s="1664"/>
      <c r="Y316" s="627"/>
    </row>
    <row r="317" spans="1:25" ht="15" x14ac:dyDescent="0.2">
      <c r="A317" s="621"/>
      <c r="B317" s="1091"/>
      <c r="C317" s="626"/>
      <c r="D317" s="627"/>
      <c r="E317" s="631" t="s">
        <v>485</v>
      </c>
      <c r="F317" s="627"/>
      <c r="G317" s="391" t="s">
        <v>758</v>
      </c>
      <c r="H317" s="658">
        <v>0</v>
      </c>
      <c r="I317" s="391"/>
      <c r="J317" s="391"/>
      <c r="K317" s="391"/>
      <c r="L317" s="391"/>
      <c r="M317" s="391"/>
      <c r="N317" s="611"/>
      <c r="O317" s="627"/>
      <c r="P317" s="627"/>
      <c r="Q317" s="627"/>
      <c r="R317" s="627"/>
      <c r="S317" s="627"/>
      <c r="T317" s="627"/>
      <c r="U317" s="627"/>
      <c r="V317" s="627"/>
      <c r="W317" s="627"/>
      <c r="X317" s="1664"/>
      <c r="Y317" s="627"/>
    </row>
    <row r="318" spans="1:25" ht="18" x14ac:dyDescent="0.2">
      <c r="A318" s="621"/>
      <c r="B318" s="1091"/>
      <c r="C318" s="626"/>
      <c r="D318" s="627"/>
      <c r="E318" s="631" t="s">
        <v>918</v>
      </c>
      <c r="F318" s="627"/>
      <c r="G318" s="391" t="s">
        <v>1421</v>
      </c>
      <c r="H318" s="658">
        <v>0</v>
      </c>
      <c r="I318" s="391"/>
      <c r="J318" s="391"/>
      <c r="K318" s="391"/>
      <c r="L318" s="391"/>
      <c r="M318" s="391"/>
      <c r="N318" s="611"/>
      <c r="O318" s="627"/>
      <c r="P318" s="627"/>
      <c r="Q318" s="631"/>
      <c r="R318" s="627"/>
      <c r="S318" s="627"/>
      <c r="T318" s="627"/>
      <c r="U318" s="627"/>
      <c r="V318" s="627"/>
      <c r="W318" s="639"/>
      <c r="X318" s="1664"/>
      <c r="Y318" s="627"/>
    </row>
    <row r="319" spans="1:25" ht="15" x14ac:dyDescent="0.2">
      <c r="A319" s="621"/>
      <c r="B319" s="1091"/>
      <c r="C319" s="626"/>
      <c r="D319" s="627"/>
      <c r="E319" s="627"/>
      <c r="F319" s="627"/>
      <c r="G319" s="391"/>
      <c r="H319" s="391"/>
      <c r="I319" s="391"/>
      <c r="J319" s="391"/>
      <c r="K319" s="391"/>
      <c r="L319" s="391"/>
      <c r="M319" s="391"/>
      <c r="N319" s="611"/>
      <c r="O319" s="627"/>
      <c r="P319" s="627"/>
      <c r="Q319" s="639"/>
      <c r="R319" s="627"/>
      <c r="S319" s="627"/>
      <c r="T319" s="627"/>
      <c r="U319" s="633"/>
      <c r="V319" s="627"/>
      <c r="W319" s="639"/>
      <c r="X319" s="1664"/>
      <c r="Y319" s="627"/>
    </row>
    <row r="320" spans="1:25" ht="15" x14ac:dyDescent="0.2">
      <c r="A320" s="621"/>
      <c r="B320" s="1091"/>
      <c r="C320" s="626"/>
      <c r="D320" s="627"/>
      <c r="E320" s="631" t="s">
        <v>1124</v>
      </c>
      <c r="F320" s="627"/>
      <c r="G320" s="391" t="s">
        <v>622</v>
      </c>
      <c r="H320" s="672">
        <v>0.05</v>
      </c>
      <c r="I320" s="391"/>
      <c r="J320" s="391"/>
      <c r="K320" s="391"/>
      <c r="L320" s="391"/>
      <c r="M320" s="391"/>
      <c r="N320" s="611"/>
      <c r="O320" s="627"/>
      <c r="P320" s="627"/>
      <c r="Q320" s="627"/>
      <c r="R320" s="627"/>
      <c r="S320" s="627"/>
      <c r="T320" s="627"/>
      <c r="U320" s="627"/>
      <c r="V320" s="627"/>
      <c r="W320" s="627"/>
      <c r="X320" s="1664"/>
      <c r="Y320" s="627"/>
    </row>
    <row r="321" spans="1:25" ht="15" x14ac:dyDescent="0.2">
      <c r="A321" s="621"/>
      <c r="B321" s="1091"/>
      <c r="C321" s="626"/>
      <c r="D321" s="627"/>
      <c r="E321" s="627"/>
      <c r="F321" s="627"/>
      <c r="G321" s="391"/>
      <c r="H321" s="391"/>
      <c r="I321" s="391"/>
      <c r="J321" s="391"/>
      <c r="K321" s="391"/>
      <c r="L321" s="391"/>
      <c r="M321" s="610"/>
      <c r="N321" s="611"/>
      <c r="O321" s="627"/>
      <c r="P321" s="627"/>
      <c r="Q321" s="627"/>
      <c r="R321" s="627"/>
      <c r="S321" s="627"/>
      <c r="T321" s="627"/>
      <c r="U321" s="627"/>
      <c r="V321" s="627"/>
      <c r="W321" s="627"/>
      <c r="X321" s="1664"/>
      <c r="Y321" s="627"/>
    </row>
    <row r="322" spans="1:25" ht="15" x14ac:dyDescent="0.2">
      <c r="A322" s="621"/>
      <c r="B322" s="1091"/>
      <c r="C322" s="626"/>
      <c r="D322" s="627"/>
      <c r="E322" s="641"/>
      <c r="F322" s="653"/>
      <c r="G322" s="391"/>
      <c r="H322" s="673"/>
      <c r="I322" s="391"/>
      <c r="J322" s="391"/>
      <c r="K322" s="391"/>
      <c r="L322" s="391"/>
      <c r="M322" s="391"/>
      <c r="N322" s="611"/>
      <c r="O322" s="627"/>
      <c r="P322" s="627"/>
      <c r="Q322" s="627"/>
      <c r="R322" s="627"/>
      <c r="S322" s="627"/>
      <c r="T322" s="627"/>
      <c r="U322" s="627"/>
      <c r="V322" s="627"/>
      <c r="W322" s="627"/>
      <c r="X322" s="1664"/>
      <c r="Y322" s="627"/>
    </row>
    <row r="323" spans="1:25" ht="15" x14ac:dyDescent="0.2">
      <c r="A323" s="621"/>
      <c r="B323" s="1091"/>
      <c r="C323" s="626"/>
      <c r="D323" s="627"/>
      <c r="E323" s="627"/>
      <c r="F323" s="627"/>
      <c r="G323" s="391"/>
      <c r="H323" s="391"/>
      <c r="I323" s="391"/>
      <c r="J323" s="391"/>
      <c r="K323" s="391"/>
      <c r="L323" s="391"/>
      <c r="M323" s="391"/>
      <c r="N323" s="611"/>
      <c r="O323" s="627"/>
      <c r="P323" s="627"/>
      <c r="Q323" s="627"/>
      <c r="R323" s="627"/>
      <c r="S323" s="627"/>
      <c r="T323" s="632"/>
      <c r="U323" s="633"/>
      <c r="V323" s="627"/>
      <c r="W323" s="639"/>
      <c r="X323" s="1664"/>
      <c r="Y323" s="627"/>
    </row>
    <row r="324" spans="1:25" ht="15" x14ac:dyDescent="0.2">
      <c r="A324" s="621"/>
      <c r="B324" s="1091"/>
      <c r="C324" s="626"/>
      <c r="D324" s="627"/>
      <c r="E324" s="627"/>
      <c r="F324" s="627"/>
      <c r="G324" s="391"/>
      <c r="H324" s="391"/>
      <c r="I324" s="391"/>
      <c r="J324" s="391"/>
      <c r="K324" s="391"/>
      <c r="L324" s="391"/>
      <c r="M324" s="391"/>
      <c r="N324" s="611"/>
      <c r="O324" s="627"/>
      <c r="P324" s="627"/>
      <c r="Q324" s="627"/>
      <c r="R324" s="627"/>
      <c r="S324" s="627"/>
      <c r="T324" s="627"/>
      <c r="U324" s="627"/>
      <c r="V324" s="627"/>
      <c r="W324" s="639"/>
      <c r="X324" s="1664"/>
      <c r="Y324" s="627"/>
    </row>
    <row r="325" spans="1:25" ht="15" x14ac:dyDescent="0.2">
      <c r="A325" s="621"/>
      <c r="B325" s="1091"/>
      <c r="C325" s="626"/>
      <c r="D325" s="627"/>
      <c r="E325" s="627"/>
      <c r="F325" s="633"/>
      <c r="G325" s="391"/>
      <c r="H325" s="391"/>
      <c r="I325" s="391"/>
      <c r="J325" s="391"/>
      <c r="K325" s="391"/>
      <c r="L325" s="391"/>
      <c r="M325" s="391"/>
      <c r="N325" s="611"/>
      <c r="O325" s="627"/>
      <c r="P325" s="627"/>
      <c r="Q325" s="627"/>
      <c r="R325" s="627"/>
      <c r="S325" s="627"/>
      <c r="T325" s="627"/>
      <c r="U325" s="627"/>
      <c r="V325" s="627"/>
      <c r="W325" s="639"/>
      <c r="X325" s="1664"/>
      <c r="Y325" s="627"/>
    </row>
    <row r="326" spans="1:25" ht="15" x14ac:dyDescent="0.2">
      <c r="A326" s="621"/>
      <c r="B326" s="1091"/>
      <c r="C326" s="626"/>
      <c r="D326" s="627"/>
      <c r="E326" s="627"/>
      <c r="F326" s="627"/>
      <c r="G326" s="391"/>
      <c r="H326" s="2168"/>
      <c r="I326" s="391"/>
      <c r="J326" s="391"/>
      <c r="K326" s="391"/>
      <c r="L326" s="391"/>
      <c r="M326" s="391"/>
      <c r="N326" s="611"/>
      <c r="O326" s="627"/>
      <c r="P326" s="627"/>
      <c r="Q326" s="627"/>
      <c r="R326" s="627"/>
      <c r="S326" s="631"/>
      <c r="T326" s="627"/>
      <c r="U326" s="627"/>
      <c r="V326" s="627"/>
      <c r="W326" s="627"/>
      <c r="X326" s="1664"/>
      <c r="Y326" s="627"/>
    </row>
    <row r="327" spans="1:25" ht="15" x14ac:dyDescent="0.2">
      <c r="A327" s="621"/>
      <c r="B327" s="1091"/>
      <c r="C327" s="626"/>
      <c r="D327" s="627"/>
      <c r="E327" s="627"/>
      <c r="F327" s="633"/>
      <c r="G327" s="391"/>
      <c r="H327" s="2168"/>
      <c r="I327" s="391"/>
      <c r="J327" s="391"/>
      <c r="K327" s="391"/>
      <c r="L327" s="391"/>
      <c r="M327" s="391"/>
      <c r="N327" s="611"/>
      <c r="O327" s="627"/>
      <c r="P327" s="627"/>
      <c r="Q327" s="627"/>
      <c r="R327" s="629"/>
      <c r="S327" s="631"/>
      <c r="T327" s="627"/>
      <c r="U327" s="627"/>
      <c r="V327" s="627"/>
      <c r="W327" s="627"/>
      <c r="X327" s="1664"/>
      <c r="Y327" s="627"/>
    </row>
    <row r="328" spans="1:25" ht="15" x14ac:dyDescent="0.2">
      <c r="A328" s="621"/>
      <c r="B328" s="1091"/>
      <c r="C328" s="626"/>
      <c r="D328" s="627"/>
      <c r="E328" s="631"/>
      <c r="F328" s="633"/>
      <c r="G328" s="391"/>
      <c r="H328" s="2168"/>
      <c r="I328" s="391"/>
      <c r="J328" s="391"/>
      <c r="K328" s="391"/>
      <c r="L328" s="391"/>
      <c r="M328" s="391"/>
      <c r="N328" s="611"/>
      <c r="O328" s="627"/>
      <c r="P328" s="627"/>
      <c r="Q328" s="627"/>
      <c r="R328" s="627"/>
      <c r="S328" s="631"/>
      <c r="T328" s="627"/>
      <c r="U328" s="627"/>
      <c r="V328" s="627"/>
      <c r="W328" s="627"/>
      <c r="X328" s="1664"/>
      <c r="Y328" s="627"/>
    </row>
    <row r="329" spans="1:25" ht="15" x14ac:dyDescent="0.2">
      <c r="A329" s="621"/>
      <c r="B329" s="1091"/>
      <c r="C329" s="626"/>
      <c r="D329" s="627"/>
      <c r="E329" s="631"/>
      <c r="F329" s="633"/>
      <c r="G329" s="391"/>
      <c r="H329" s="2168"/>
      <c r="I329" s="391"/>
      <c r="J329" s="391"/>
      <c r="K329" s="391"/>
      <c r="L329" s="391"/>
      <c r="M329" s="391"/>
      <c r="N329" s="611"/>
      <c r="O329" s="627"/>
      <c r="P329" s="627"/>
      <c r="Q329" s="631"/>
      <c r="R329" s="627"/>
      <c r="S329" s="631"/>
      <c r="T329" s="627"/>
      <c r="U329" s="627"/>
      <c r="V329" s="627"/>
      <c r="W329" s="627"/>
      <c r="X329" s="1664"/>
      <c r="Y329" s="627"/>
    </row>
    <row r="330" spans="1:25" ht="15" x14ac:dyDescent="0.2">
      <c r="A330" s="621"/>
      <c r="B330" s="1091"/>
      <c r="C330" s="626"/>
      <c r="D330" s="627"/>
      <c r="E330" s="627"/>
      <c r="F330" s="627"/>
      <c r="G330" s="391"/>
      <c r="H330" s="2168"/>
      <c r="I330" s="391"/>
      <c r="J330" s="391"/>
      <c r="K330" s="391"/>
      <c r="L330" s="391"/>
      <c r="M330" s="391"/>
      <c r="N330" s="611"/>
      <c r="O330" s="627"/>
      <c r="P330" s="627"/>
      <c r="Q330" s="627"/>
      <c r="R330" s="627"/>
      <c r="S330" s="627"/>
      <c r="T330" s="627"/>
      <c r="U330" s="627"/>
      <c r="V330" s="627"/>
      <c r="W330" s="627"/>
      <c r="X330" s="1664"/>
      <c r="Y330" s="627"/>
    </row>
    <row r="331" spans="1:25" ht="15" x14ac:dyDescent="0.2">
      <c r="A331" s="621"/>
      <c r="B331" s="1091"/>
      <c r="C331" s="626"/>
      <c r="D331" s="627"/>
      <c r="E331" s="627"/>
      <c r="F331" s="627"/>
      <c r="G331" s="391"/>
      <c r="H331" s="391"/>
      <c r="I331" s="391"/>
      <c r="J331" s="391"/>
      <c r="K331" s="391"/>
      <c r="L331" s="391"/>
      <c r="M331" s="391"/>
      <c r="N331" s="611"/>
      <c r="O331" s="627"/>
      <c r="P331" s="627"/>
      <c r="Q331" s="627"/>
      <c r="R331" s="627"/>
      <c r="S331" s="627"/>
      <c r="T331" s="627"/>
      <c r="U331" s="627"/>
      <c r="V331" s="627"/>
      <c r="W331" s="639"/>
      <c r="X331" s="1664"/>
      <c r="Y331" s="627"/>
    </row>
    <row r="332" spans="1:25" x14ac:dyDescent="0.2">
      <c r="A332" s="621"/>
      <c r="B332" s="1091"/>
      <c r="C332" s="654"/>
      <c r="D332" s="655"/>
      <c r="E332" s="655"/>
      <c r="F332" s="655"/>
      <c r="G332" s="841"/>
      <c r="H332" s="841"/>
      <c r="I332" s="841"/>
      <c r="J332" s="841"/>
      <c r="K332" s="841"/>
      <c r="L332" s="841"/>
      <c r="M332" s="841"/>
      <c r="N332" s="430"/>
      <c r="O332" s="627"/>
      <c r="P332" s="627"/>
      <c r="Q332" s="627"/>
      <c r="R332" s="627"/>
      <c r="S332" s="631"/>
      <c r="T332" s="627"/>
      <c r="U332" s="633"/>
      <c r="V332" s="627"/>
      <c r="W332" s="627"/>
      <c r="X332" s="1664"/>
      <c r="Y332" s="627"/>
    </row>
    <row r="333" spans="1:25" x14ac:dyDescent="0.2">
      <c r="A333" s="621"/>
      <c r="B333" s="1091"/>
      <c r="C333" s="627"/>
      <c r="D333" s="627"/>
      <c r="E333" s="627"/>
      <c r="F333" s="627"/>
      <c r="G333" s="627"/>
      <c r="H333" s="627"/>
      <c r="I333" s="652"/>
      <c r="J333" s="627"/>
      <c r="K333" s="652"/>
      <c r="L333" s="627"/>
      <c r="M333" s="631"/>
      <c r="N333" s="627"/>
      <c r="O333" s="627"/>
      <c r="P333" s="627"/>
      <c r="Q333" s="627"/>
      <c r="R333" s="629"/>
      <c r="S333" s="631"/>
      <c r="T333" s="627"/>
      <c r="U333" s="633"/>
      <c r="V333" s="627"/>
      <c r="W333" s="627"/>
      <c r="X333" s="1664"/>
      <c r="Y333" s="627"/>
    </row>
    <row r="334" spans="1:25" ht="26.25" x14ac:dyDescent="0.4">
      <c r="A334" s="621"/>
      <c r="B334" s="1091"/>
      <c r="C334" s="703" t="s">
        <v>1424</v>
      </c>
      <c r="D334" s="700"/>
      <c r="E334" s="700"/>
      <c r="F334" s="700"/>
      <c r="G334" s="700"/>
      <c r="H334" s="700"/>
      <c r="I334" s="701"/>
      <c r="J334" s="700"/>
      <c r="K334" s="701"/>
      <c r="L334" s="700"/>
      <c r="M334" s="700"/>
      <c r="N334" s="702"/>
      <c r="O334" s="627"/>
      <c r="P334" s="627"/>
      <c r="Q334" s="627"/>
      <c r="R334" s="627"/>
      <c r="S334" s="631"/>
      <c r="T334" s="627"/>
      <c r="U334" s="627"/>
      <c r="V334" s="627"/>
      <c r="W334" s="627"/>
      <c r="X334" s="1664"/>
      <c r="Y334" s="627"/>
    </row>
    <row r="335" spans="1:25" ht="15" x14ac:dyDescent="0.25">
      <c r="A335" s="621"/>
      <c r="B335" s="1091"/>
      <c r="C335" s="704"/>
      <c r="D335" s="616"/>
      <c r="E335" s="616"/>
      <c r="F335" s="616"/>
      <c r="G335" s="616"/>
      <c r="H335" s="616"/>
      <c r="I335" s="705"/>
      <c r="J335" s="616"/>
      <c r="K335" s="705"/>
      <c r="L335" s="616"/>
      <c r="M335" s="616"/>
      <c r="N335" s="706"/>
      <c r="O335" s="627"/>
      <c r="P335" s="627"/>
      <c r="Q335" s="631"/>
      <c r="R335" s="627"/>
      <c r="S335" s="631"/>
      <c r="T335" s="627"/>
      <c r="U335" s="627"/>
      <c r="V335" s="627"/>
      <c r="W335" s="627"/>
      <c r="X335" s="1664"/>
      <c r="Y335" s="627"/>
    </row>
    <row r="336" spans="1:25" ht="15" x14ac:dyDescent="0.25">
      <c r="A336" s="621"/>
      <c r="B336" s="1091"/>
      <c r="C336" s="707" t="s">
        <v>1182</v>
      </c>
      <c r="D336" s="708"/>
      <c r="E336" s="709" t="s">
        <v>1057</v>
      </c>
      <c r="F336" s="709" t="s">
        <v>1058</v>
      </c>
      <c r="G336" s="709" t="s">
        <v>1020</v>
      </c>
      <c r="H336" s="710" t="s">
        <v>1426</v>
      </c>
      <c r="I336" s="708"/>
      <c r="J336" s="711"/>
      <c r="K336" s="711"/>
      <c r="L336" s="711"/>
      <c r="M336" s="711"/>
      <c r="N336" s="712"/>
      <c r="O336" s="627"/>
      <c r="P336" s="627"/>
      <c r="Q336" s="631"/>
      <c r="R336" s="629"/>
      <c r="S336" s="627"/>
      <c r="T336" s="627"/>
      <c r="U336" s="627"/>
      <c r="V336" s="627"/>
      <c r="W336" s="627"/>
      <c r="X336" s="1664"/>
      <c r="Y336" s="627"/>
    </row>
    <row r="337" spans="1:25" ht="15" x14ac:dyDescent="0.25">
      <c r="A337" s="621"/>
      <c r="B337" s="1091"/>
      <c r="C337" s="713" t="s">
        <v>950</v>
      </c>
      <c r="D337" s="616"/>
      <c r="E337" s="391">
        <v>68.650000000000006</v>
      </c>
      <c r="F337" s="391">
        <v>76.989999999999995</v>
      </c>
      <c r="G337" s="714">
        <f>AVERAGE(E337:F337)</f>
        <v>72.819999999999993</v>
      </c>
      <c r="H337" s="11" t="s">
        <v>1085</v>
      </c>
      <c r="I337" s="11"/>
      <c r="J337" s="616"/>
      <c r="K337" s="705"/>
      <c r="L337" s="616"/>
      <c r="M337" s="715"/>
      <c r="N337" s="706"/>
      <c r="O337" s="627"/>
      <c r="P337" s="627"/>
      <c r="Q337" s="631"/>
      <c r="R337" s="627"/>
      <c r="S337" s="627"/>
      <c r="T337" s="627"/>
      <c r="U337" s="627"/>
      <c r="V337" s="627"/>
      <c r="W337" s="627"/>
      <c r="X337" s="1664"/>
      <c r="Y337" s="627"/>
    </row>
    <row r="338" spans="1:25" ht="15" x14ac:dyDescent="0.25">
      <c r="A338" s="621"/>
      <c r="B338" s="1091"/>
      <c r="C338" s="713" t="s">
        <v>230</v>
      </c>
      <c r="D338" s="616"/>
      <c r="E338" s="391">
        <v>69.77</v>
      </c>
      <c r="F338" s="391">
        <v>71.17</v>
      </c>
      <c r="G338" s="714">
        <f>AVERAGE(E338:F338)</f>
        <v>70.47</v>
      </c>
      <c r="H338" s="11" t="s">
        <v>1062</v>
      </c>
      <c r="I338" s="11"/>
      <c r="J338" s="616"/>
      <c r="K338" s="705"/>
      <c r="L338" s="616"/>
      <c r="M338" s="616"/>
      <c r="N338" s="706"/>
      <c r="O338" s="627"/>
      <c r="P338" s="634"/>
      <c r="Q338" s="631"/>
      <c r="R338" s="627"/>
      <c r="S338" s="627"/>
      <c r="T338" s="627"/>
      <c r="U338" s="627"/>
      <c r="V338" s="627"/>
      <c r="W338" s="627"/>
      <c r="X338" s="1664"/>
      <c r="Y338" s="627"/>
    </row>
    <row r="339" spans="1:25" ht="15" x14ac:dyDescent="0.25">
      <c r="A339" s="621"/>
      <c r="B339" s="1091"/>
      <c r="C339" s="713" t="s">
        <v>231</v>
      </c>
      <c r="D339" s="616"/>
      <c r="E339" s="391">
        <v>69.77</v>
      </c>
      <c r="F339" s="391">
        <v>71.81</v>
      </c>
      <c r="G339" s="714">
        <f>AVERAGE(E339:F339)</f>
        <v>70.789999999999992</v>
      </c>
      <c r="H339" s="11" t="s">
        <v>1086</v>
      </c>
      <c r="I339" s="11"/>
      <c r="J339" s="616"/>
      <c r="K339" s="705"/>
      <c r="L339" s="616"/>
      <c r="M339" s="616"/>
      <c r="N339" s="706"/>
      <c r="O339" s="627"/>
      <c r="P339" s="634"/>
      <c r="Q339" s="627"/>
      <c r="R339" s="627"/>
      <c r="S339" s="627"/>
      <c r="T339" s="627"/>
      <c r="U339" s="627"/>
      <c r="V339" s="627"/>
      <c r="W339" s="627"/>
      <c r="X339" s="1664"/>
      <c r="Y339" s="627"/>
    </row>
    <row r="340" spans="1:25" ht="15" x14ac:dyDescent="0.25">
      <c r="A340" s="621"/>
      <c r="B340" s="1091"/>
      <c r="C340" s="713" t="s">
        <v>574</v>
      </c>
      <c r="D340" s="713"/>
      <c r="E340" s="391">
        <v>86.12</v>
      </c>
      <c r="F340" s="391"/>
      <c r="G340" s="714">
        <f>E340</f>
        <v>86.12</v>
      </c>
      <c r="H340" s="11"/>
      <c r="I340" s="11"/>
      <c r="J340" s="616"/>
      <c r="K340" s="705"/>
      <c r="L340" s="616"/>
      <c r="M340" s="616"/>
      <c r="N340" s="706"/>
      <c r="O340" s="627"/>
      <c r="P340" s="627"/>
      <c r="Q340" s="627"/>
      <c r="R340" s="627"/>
      <c r="S340" s="627"/>
      <c r="T340" s="631"/>
      <c r="U340" s="627"/>
      <c r="V340" s="627"/>
      <c r="W340" s="627"/>
      <c r="X340" s="1664"/>
      <c r="Y340" s="627"/>
    </row>
    <row r="341" spans="1:25" ht="15" x14ac:dyDescent="0.25">
      <c r="A341" s="621"/>
      <c r="B341" s="1091"/>
      <c r="C341" s="713" t="s">
        <v>609</v>
      </c>
      <c r="D341" s="713"/>
      <c r="E341" s="391">
        <v>68.910003662109375</v>
      </c>
      <c r="F341" s="391">
        <v>69.691650390625</v>
      </c>
      <c r="G341" s="716">
        <f t="shared" ref="G341:G359" si="2">AVERAGE(E341:F341)</f>
        <v>69.300827026367188</v>
      </c>
      <c r="H341" s="11"/>
      <c r="I341" s="616"/>
      <c r="J341" s="616"/>
      <c r="K341" s="705"/>
      <c r="L341" s="616"/>
      <c r="M341" s="715"/>
      <c r="N341" s="706"/>
      <c r="O341" s="627"/>
      <c r="P341" s="656"/>
      <c r="Q341" s="631"/>
      <c r="R341" s="627"/>
      <c r="S341" s="631"/>
      <c r="T341" s="627"/>
      <c r="U341" s="627"/>
      <c r="V341" s="627"/>
      <c r="W341" s="627"/>
      <c r="X341" s="1664"/>
      <c r="Y341" s="627"/>
    </row>
    <row r="342" spans="1:25" ht="15" x14ac:dyDescent="0.25">
      <c r="A342" s="621"/>
      <c r="B342" s="1091"/>
      <c r="C342" s="713" t="s">
        <v>575</v>
      </c>
      <c r="D342" s="713"/>
      <c r="E342" s="391">
        <v>80.660003662109304</v>
      </c>
      <c r="F342" s="391">
        <v>90.580001831054688</v>
      </c>
      <c r="G342" s="716">
        <f t="shared" si="2"/>
        <v>85.620002746582003</v>
      </c>
      <c r="H342" s="11" t="s">
        <v>1059</v>
      </c>
      <c r="I342" s="616"/>
      <c r="J342" s="616"/>
      <c r="K342" s="705"/>
      <c r="L342" s="616"/>
      <c r="M342" s="616"/>
      <c r="N342" s="706"/>
      <c r="O342" s="627"/>
      <c r="P342" s="656"/>
      <c r="Q342" s="627"/>
      <c r="R342" s="627"/>
      <c r="S342" s="631"/>
      <c r="T342" s="627"/>
      <c r="U342" s="627"/>
      <c r="V342" s="627"/>
      <c r="W342" s="627"/>
      <c r="X342" s="1664"/>
      <c r="Y342" s="627"/>
    </row>
    <row r="343" spans="1:25" ht="15" x14ac:dyDescent="0.25">
      <c r="A343" s="621"/>
      <c r="B343" s="1091"/>
      <c r="C343" s="713" t="s">
        <v>576</v>
      </c>
      <c r="D343" s="713"/>
      <c r="E343" s="391">
        <v>82.560005187988281</v>
      </c>
      <c r="F343" s="391">
        <v>87.610000610351563</v>
      </c>
      <c r="G343" s="716">
        <f t="shared" si="2"/>
        <v>85.085002899169922</v>
      </c>
      <c r="H343" s="11" t="s">
        <v>1087</v>
      </c>
      <c r="I343" s="616"/>
      <c r="J343" s="616"/>
      <c r="K343" s="705"/>
      <c r="L343" s="616"/>
      <c r="M343" s="616"/>
      <c r="N343" s="706"/>
      <c r="O343" s="627"/>
      <c r="P343" s="656"/>
      <c r="Q343" s="627"/>
      <c r="R343" s="627"/>
      <c r="S343" s="631"/>
      <c r="T343" s="627"/>
      <c r="U343" s="627"/>
      <c r="V343" s="627"/>
      <c r="W343" s="627"/>
      <c r="X343" s="1664"/>
      <c r="Y343" s="627"/>
    </row>
    <row r="344" spans="1:25" ht="15" x14ac:dyDescent="0.25">
      <c r="A344" s="621"/>
      <c r="B344" s="1091"/>
      <c r="C344" s="713" t="s">
        <v>1060</v>
      </c>
      <c r="D344" s="713"/>
      <c r="E344" s="391">
        <v>61.590000152587891</v>
      </c>
      <c r="F344" s="391">
        <v>68.421646118164063</v>
      </c>
      <c r="G344" s="716">
        <f t="shared" si="2"/>
        <v>65.005823135375977</v>
      </c>
      <c r="H344" s="11"/>
      <c r="I344" s="616"/>
      <c r="J344" s="616"/>
      <c r="K344" s="705"/>
      <c r="L344" s="616"/>
      <c r="M344" s="616"/>
      <c r="N344" s="706"/>
      <c r="O344" s="627"/>
      <c r="P344" s="627"/>
      <c r="Q344" s="627"/>
      <c r="R344" s="627"/>
      <c r="S344" s="627"/>
      <c r="T344" s="627"/>
      <c r="U344" s="627"/>
      <c r="V344" s="627"/>
      <c r="W344" s="627"/>
      <c r="X344" s="1664"/>
      <c r="Y344" s="627"/>
    </row>
    <row r="345" spans="1:25" ht="15" x14ac:dyDescent="0.25">
      <c r="A345" s="621"/>
      <c r="B345" s="1091"/>
      <c r="C345" s="713" t="s">
        <v>426</v>
      </c>
      <c r="D345" s="713"/>
      <c r="E345" s="391">
        <v>77.290000915527344</v>
      </c>
      <c r="F345" s="391">
        <v>91.819999694824219</v>
      </c>
      <c r="G345" s="716">
        <f t="shared" si="2"/>
        <v>84.555000305175781</v>
      </c>
      <c r="H345" s="11" t="s">
        <v>1083</v>
      </c>
      <c r="I345" s="616"/>
      <c r="J345" s="616"/>
      <c r="K345" s="705"/>
      <c r="L345" s="616"/>
      <c r="M345" s="616"/>
      <c r="N345" s="706"/>
      <c r="O345" s="627"/>
      <c r="P345" s="627"/>
      <c r="Q345" s="627"/>
      <c r="R345" s="627"/>
      <c r="S345" s="627"/>
      <c r="T345" s="627"/>
      <c r="U345" s="627"/>
      <c r="V345" s="627"/>
      <c r="W345" s="627"/>
      <c r="X345" s="1664"/>
      <c r="Y345" s="627"/>
    </row>
    <row r="346" spans="1:25" ht="15" x14ac:dyDescent="0.25">
      <c r="A346" s="621"/>
      <c r="B346" s="1091"/>
      <c r="C346" s="713" t="s">
        <v>612</v>
      </c>
      <c r="D346" s="713"/>
      <c r="E346" s="391">
        <v>100.85250091552734</v>
      </c>
      <c r="F346" s="391">
        <v>121.74750518798828</v>
      </c>
      <c r="G346" s="716">
        <f t="shared" si="2"/>
        <v>111.30000305175781</v>
      </c>
      <c r="H346" s="11"/>
      <c r="I346" s="616"/>
      <c r="J346" s="616"/>
      <c r="K346" s="705"/>
      <c r="L346" s="616"/>
      <c r="M346" s="616"/>
      <c r="N346" s="706"/>
      <c r="O346" s="627"/>
      <c r="P346" s="627"/>
      <c r="Q346" s="627"/>
      <c r="R346" s="627"/>
      <c r="S346" s="627"/>
      <c r="T346" s="627"/>
      <c r="U346" s="627"/>
      <c r="V346" s="627"/>
      <c r="W346" s="627"/>
      <c r="X346" s="1664"/>
      <c r="Y346" s="627"/>
    </row>
    <row r="347" spans="1:25" ht="15" x14ac:dyDescent="0.25">
      <c r="A347" s="621"/>
      <c r="B347" s="1091"/>
      <c r="C347" s="713" t="s">
        <v>541</v>
      </c>
      <c r="D347" s="616"/>
      <c r="E347" s="391">
        <v>71.435699462890625</v>
      </c>
      <c r="F347" s="391">
        <v>102.84164428710938</v>
      </c>
      <c r="G347" s="714">
        <f t="shared" si="2"/>
        <v>87.138671875</v>
      </c>
      <c r="H347" s="11"/>
      <c r="I347" s="11"/>
      <c r="J347" s="616"/>
      <c r="K347" s="705"/>
      <c r="L347" s="616"/>
      <c r="M347" s="616"/>
      <c r="N347" s="706"/>
      <c r="O347" s="627"/>
      <c r="P347" s="627"/>
      <c r="Q347" s="627"/>
      <c r="R347" s="627"/>
      <c r="S347" s="627"/>
      <c r="T347" s="627"/>
      <c r="U347" s="627"/>
      <c r="V347" s="627"/>
      <c r="W347" s="627"/>
      <c r="X347" s="1664"/>
      <c r="Y347" s="627"/>
    </row>
    <row r="348" spans="1:25" ht="15" x14ac:dyDescent="0.25">
      <c r="A348" s="621"/>
      <c r="B348" s="1091"/>
      <c r="C348" s="713" t="s">
        <v>1061</v>
      </c>
      <c r="D348" s="616"/>
      <c r="E348" s="391">
        <v>66.790000915527344</v>
      </c>
      <c r="F348" s="391">
        <v>71.798355102539063</v>
      </c>
      <c r="G348" s="714">
        <f t="shared" si="2"/>
        <v>69.294178009033203</v>
      </c>
      <c r="H348" s="11"/>
      <c r="I348" s="11"/>
      <c r="J348" s="616"/>
      <c r="K348" s="705"/>
      <c r="L348" s="616"/>
      <c r="M348" s="616"/>
      <c r="N348" s="706"/>
      <c r="O348" s="627"/>
      <c r="P348" s="627"/>
      <c r="Q348" s="627"/>
      <c r="R348" s="627"/>
      <c r="S348" s="627"/>
      <c r="T348" s="627"/>
      <c r="U348" s="627"/>
      <c r="V348" s="627"/>
      <c r="W348" s="627"/>
      <c r="X348" s="1664"/>
      <c r="Y348" s="627"/>
    </row>
    <row r="349" spans="1:25" ht="15" x14ac:dyDescent="0.25">
      <c r="A349" s="621"/>
      <c r="B349" s="1091"/>
      <c r="C349" s="713" t="s">
        <v>610</v>
      </c>
      <c r="D349" s="616"/>
      <c r="E349" s="391">
        <v>92.5838623046875</v>
      </c>
      <c r="F349" s="391">
        <v>131.54998779296875</v>
      </c>
      <c r="G349" s="714">
        <f t="shared" si="2"/>
        <v>112.06692504882813</v>
      </c>
      <c r="H349" s="11"/>
      <c r="I349" s="11"/>
      <c r="J349" s="616"/>
      <c r="K349" s="705"/>
      <c r="L349" s="616"/>
      <c r="M349" s="616"/>
      <c r="N349" s="706"/>
      <c r="O349" s="627"/>
      <c r="P349" s="627"/>
      <c r="Q349" s="627"/>
      <c r="R349" s="627"/>
      <c r="S349" s="627"/>
      <c r="T349" s="627"/>
      <c r="U349" s="627"/>
      <c r="V349" s="627"/>
      <c r="W349" s="627"/>
      <c r="X349" s="1664"/>
      <c r="Y349" s="627"/>
    </row>
    <row r="350" spans="1:25" ht="15" x14ac:dyDescent="0.25">
      <c r="A350" s="621"/>
      <c r="B350" s="1091"/>
      <c r="C350" s="713" t="s">
        <v>492</v>
      </c>
      <c r="D350" s="616"/>
      <c r="E350" s="391">
        <v>68.080001831054688</v>
      </c>
      <c r="F350" s="391">
        <v>75.290000915527344</v>
      </c>
      <c r="G350" s="714">
        <f t="shared" si="2"/>
        <v>71.685001373291016</v>
      </c>
      <c r="H350" s="11" t="s">
        <v>1063</v>
      </c>
      <c r="I350" s="11"/>
      <c r="J350" s="616"/>
      <c r="K350" s="705"/>
      <c r="L350" s="616"/>
      <c r="M350" s="616"/>
      <c r="N350" s="706"/>
      <c r="O350" s="627"/>
      <c r="P350" s="627"/>
      <c r="Q350" s="627"/>
      <c r="R350" s="627"/>
      <c r="S350" s="627"/>
      <c r="T350" s="627"/>
      <c r="U350" s="627"/>
      <c r="V350" s="627"/>
      <c r="W350" s="627"/>
      <c r="X350" s="1664"/>
      <c r="Y350" s="627"/>
    </row>
    <row r="351" spans="1:25" ht="15" x14ac:dyDescent="0.25">
      <c r="A351" s="621"/>
      <c r="B351" s="1091"/>
      <c r="C351" s="713" t="s">
        <v>482</v>
      </c>
      <c r="D351" s="616"/>
      <c r="E351" s="391">
        <v>80.781646728515625</v>
      </c>
      <c r="F351" s="391">
        <v>90.668350219726563</v>
      </c>
      <c r="G351" s="714">
        <f t="shared" si="2"/>
        <v>85.724998474121094</v>
      </c>
      <c r="H351" s="11"/>
      <c r="I351" s="11"/>
      <c r="J351" s="616"/>
      <c r="K351" s="705"/>
      <c r="L351" s="616"/>
      <c r="M351" s="616"/>
      <c r="N351" s="706"/>
      <c r="O351" s="627"/>
      <c r="P351" s="627"/>
      <c r="Q351" s="627"/>
      <c r="R351" s="627"/>
      <c r="S351" s="627"/>
      <c r="T351" s="627"/>
      <c r="U351" s="627"/>
      <c r="V351" s="627"/>
      <c r="W351" s="627"/>
      <c r="X351" s="1664"/>
      <c r="Y351" s="627"/>
    </row>
    <row r="352" spans="1:25" ht="15" x14ac:dyDescent="0.25">
      <c r="A352" s="621"/>
      <c r="B352" s="1091"/>
      <c r="C352" s="713" t="s">
        <v>605</v>
      </c>
      <c r="D352" s="616"/>
      <c r="E352" s="391">
        <v>82.308349609375</v>
      </c>
      <c r="F352" s="391">
        <v>85.571640014648438</v>
      </c>
      <c r="G352" s="714">
        <f t="shared" si="2"/>
        <v>83.939994812011719</v>
      </c>
      <c r="H352" s="11"/>
      <c r="I352" s="11"/>
      <c r="J352" s="616"/>
      <c r="K352" s="705"/>
      <c r="L352" s="616"/>
      <c r="M352" s="616"/>
      <c r="N352" s="706"/>
      <c r="O352" s="627"/>
      <c r="P352" s="627"/>
      <c r="Q352" s="627"/>
      <c r="R352" s="627"/>
      <c r="S352" s="627"/>
      <c r="T352" s="627"/>
      <c r="U352" s="627"/>
      <c r="V352" s="627"/>
      <c r="W352" s="627"/>
      <c r="X352" s="1664"/>
      <c r="Y352" s="627"/>
    </row>
    <row r="353" spans="1:25" ht="15" x14ac:dyDescent="0.25">
      <c r="A353" s="621"/>
      <c r="B353" s="1091"/>
      <c r="C353" s="713" t="s">
        <v>971</v>
      </c>
      <c r="D353" s="616"/>
      <c r="E353" s="391">
        <v>23.814001083374023</v>
      </c>
      <c r="F353" s="391">
        <v>44.100002288818359</v>
      </c>
      <c r="G353" s="714">
        <f t="shared" si="2"/>
        <v>33.957001686096191</v>
      </c>
      <c r="H353" s="11"/>
      <c r="I353" s="11"/>
      <c r="J353" s="616"/>
      <c r="K353" s="705"/>
      <c r="L353" s="616"/>
      <c r="M353" s="616"/>
      <c r="N353" s="706"/>
      <c r="O353" s="627"/>
      <c r="P353" s="627"/>
      <c r="Q353" s="627"/>
      <c r="R353" s="627"/>
      <c r="S353" s="627"/>
      <c r="T353" s="627"/>
      <c r="U353" s="627"/>
      <c r="V353" s="627"/>
      <c r="W353" s="627"/>
      <c r="X353" s="1664"/>
      <c r="Y353" s="627"/>
    </row>
    <row r="354" spans="1:25" ht="15" x14ac:dyDescent="0.25">
      <c r="A354" s="621"/>
      <c r="B354" s="1091"/>
      <c r="C354" s="713" t="s">
        <v>1921</v>
      </c>
      <c r="D354" s="616"/>
      <c r="E354" s="391">
        <v>55.5</v>
      </c>
      <c r="F354" s="391">
        <v>59.5</v>
      </c>
      <c r="G354" s="714">
        <f t="shared" si="2"/>
        <v>57.5</v>
      </c>
      <c r="H354" s="11" t="s">
        <v>1922</v>
      </c>
      <c r="I354" s="11"/>
      <c r="J354" s="616"/>
      <c r="K354" s="705"/>
      <c r="L354" s="616"/>
      <c r="M354" s="616"/>
      <c r="N354" s="706"/>
      <c r="O354" s="627"/>
      <c r="P354" s="627"/>
      <c r="Q354" s="627"/>
      <c r="R354" s="627"/>
      <c r="S354" s="627"/>
      <c r="T354" s="627"/>
      <c r="U354" s="627"/>
      <c r="V354" s="627"/>
      <c r="W354" s="627"/>
      <c r="X354" s="1664"/>
      <c r="Y354" s="627"/>
    </row>
    <row r="355" spans="1:25" ht="15" x14ac:dyDescent="0.25">
      <c r="A355" s="621"/>
      <c r="B355" s="1091"/>
      <c r="C355" s="713" t="s">
        <v>1080</v>
      </c>
      <c r="D355" s="616"/>
      <c r="E355" s="391">
        <v>81.31268310546875</v>
      </c>
      <c r="F355" s="391">
        <v>113.97084045410156</v>
      </c>
      <c r="G355" s="714">
        <f t="shared" si="2"/>
        <v>97.641761779785156</v>
      </c>
      <c r="H355" s="11"/>
      <c r="I355" s="11"/>
      <c r="J355" s="616"/>
      <c r="K355" s="705"/>
      <c r="L355" s="616"/>
      <c r="M355" s="616"/>
      <c r="N355" s="706"/>
      <c r="O355" s="627"/>
      <c r="P355" s="627"/>
      <c r="Q355" s="627"/>
      <c r="R355" s="627"/>
      <c r="S355" s="627"/>
      <c r="T355" s="627"/>
      <c r="U355" s="627"/>
      <c r="V355" s="627"/>
      <c r="W355" s="627"/>
      <c r="X355" s="1664"/>
      <c r="Y355" s="627"/>
    </row>
    <row r="356" spans="1:25" ht="15" x14ac:dyDescent="0.25">
      <c r="A356" s="621"/>
      <c r="B356" s="1091"/>
      <c r="C356" s="713" t="s">
        <v>1079</v>
      </c>
      <c r="D356" s="616"/>
      <c r="E356" s="391">
        <v>84.329147338867188</v>
      </c>
      <c r="F356" s="391">
        <v>95.919998168945313</v>
      </c>
      <c r="G356" s="714">
        <f t="shared" si="2"/>
        <v>90.12457275390625</v>
      </c>
      <c r="H356" s="11" t="s">
        <v>1081</v>
      </c>
      <c r="I356" s="11"/>
      <c r="J356" s="616"/>
      <c r="K356" s="705"/>
      <c r="L356" s="616"/>
      <c r="M356" s="616"/>
      <c r="N356" s="706"/>
      <c r="O356" s="627"/>
      <c r="P356" s="627"/>
      <c r="Q356" s="627"/>
      <c r="R356" s="627"/>
      <c r="S356" s="627"/>
      <c r="T356" s="627"/>
      <c r="U356" s="627"/>
      <c r="V356" s="627"/>
      <c r="W356" s="627"/>
      <c r="X356" s="1664"/>
      <c r="Y356" s="627"/>
    </row>
    <row r="357" spans="1:25" ht="15" x14ac:dyDescent="0.25">
      <c r="A357" s="621"/>
      <c r="B357" s="1091"/>
      <c r="C357" s="713" t="s">
        <v>489</v>
      </c>
      <c r="D357" s="616"/>
      <c r="E357" s="391">
        <v>85.493789672851563</v>
      </c>
      <c r="F357" s="391">
        <v>93.227989196777344</v>
      </c>
      <c r="G357" s="714">
        <f t="shared" si="2"/>
        <v>89.360889434814453</v>
      </c>
      <c r="H357" s="11" t="s">
        <v>1082</v>
      </c>
      <c r="I357" s="11"/>
      <c r="J357" s="616"/>
      <c r="K357" s="705"/>
      <c r="L357" s="616"/>
      <c r="M357" s="616"/>
      <c r="N357" s="706"/>
      <c r="O357" s="627"/>
      <c r="P357" s="627"/>
      <c r="Q357" s="627"/>
      <c r="R357" s="627"/>
      <c r="S357" s="627"/>
      <c r="T357" s="627"/>
      <c r="U357" s="627"/>
      <c r="V357" s="627"/>
      <c r="W357" s="627"/>
      <c r="X357" s="1664"/>
      <c r="Y357" s="627"/>
    </row>
    <row r="358" spans="1:25" ht="15" x14ac:dyDescent="0.25">
      <c r="A358" s="621"/>
      <c r="B358" s="1091"/>
      <c r="C358" s="713" t="s">
        <v>520</v>
      </c>
      <c r="D358" s="616"/>
      <c r="E358" s="391">
        <v>83.120002746582031</v>
      </c>
      <c r="F358" s="391">
        <v>87.584037780761719</v>
      </c>
      <c r="G358" s="714">
        <f t="shared" si="2"/>
        <v>85.352020263671875</v>
      </c>
      <c r="H358" s="11"/>
      <c r="I358" s="11"/>
      <c r="J358" s="616"/>
      <c r="K358" s="705"/>
      <c r="L358" s="616"/>
      <c r="M358" s="616"/>
      <c r="N358" s="706"/>
      <c r="O358" s="627"/>
      <c r="P358" s="627"/>
      <c r="Q358" s="627"/>
      <c r="R358" s="627"/>
      <c r="S358" s="627"/>
      <c r="T358" s="627"/>
      <c r="U358" s="627"/>
      <c r="V358" s="627"/>
      <c r="W358" s="627"/>
      <c r="X358" s="1664"/>
      <c r="Y358" s="627"/>
    </row>
    <row r="359" spans="1:25" ht="15" x14ac:dyDescent="0.25">
      <c r="A359" s="621"/>
      <c r="B359" s="1091"/>
      <c r="C359" s="713" t="s">
        <v>1942</v>
      </c>
      <c r="D359" s="616"/>
      <c r="E359" s="391">
        <v>32.256000518798828</v>
      </c>
      <c r="F359" s="391">
        <v>74.776657104492188</v>
      </c>
      <c r="G359" s="714">
        <f t="shared" si="2"/>
        <v>53.516328811645508</v>
      </c>
      <c r="H359" s="11" t="s">
        <v>1084</v>
      </c>
      <c r="I359" s="11"/>
      <c r="J359" s="616"/>
      <c r="K359" s="705"/>
      <c r="L359" s="616"/>
      <c r="M359" s="616"/>
      <c r="N359" s="706"/>
      <c r="O359" s="627"/>
      <c r="P359" s="627"/>
      <c r="Q359" s="627"/>
      <c r="R359" s="627"/>
      <c r="S359" s="627"/>
      <c r="T359" s="627"/>
      <c r="U359" s="627"/>
      <c r="V359" s="627"/>
      <c r="W359" s="627"/>
      <c r="X359" s="1664"/>
      <c r="Y359" s="627"/>
    </row>
    <row r="360" spans="1:25" ht="15" x14ac:dyDescent="0.25">
      <c r="A360" s="621"/>
      <c r="B360" s="1091"/>
      <c r="C360" s="713" t="s">
        <v>1854</v>
      </c>
      <c r="D360" s="616"/>
      <c r="E360" s="391"/>
      <c r="F360" s="391"/>
      <c r="G360" s="714">
        <f>0.56/0.0062898</f>
        <v>89.033037616458401</v>
      </c>
      <c r="H360" s="11" t="s">
        <v>1890</v>
      </c>
      <c r="I360" s="11"/>
      <c r="J360" s="616"/>
      <c r="K360" s="705"/>
      <c r="L360" s="616"/>
      <c r="M360" s="616"/>
      <c r="N360" s="706"/>
      <c r="O360" s="627"/>
      <c r="P360" s="627"/>
      <c r="Q360" s="627"/>
      <c r="R360" s="627"/>
      <c r="S360" s="627"/>
      <c r="T360" s="627"/>
      <c r="U360" s="627"/>
      <c r="V360" s="627"/>
      <c r="W360" s="627"/>
      <c r="X360" s="1664"/>
      <c r="Y360" s="627"/>
    </row>
    <row r="361" spans="1:25" ht="15" x14ac:dyDescent="0.25">
      <c r="A361" s="621"/>
      <c r="B361" s="1091"/>
      <c r="C361" s="713" t="s">
        <v>1892</v>
      </c>
      <c r="D361" s="616"/>
      <c r="E361" s="391">
        <v>0.78500000000000003</v>
      </c>
      <c r="F361" s="391">
        <v>1.2050000000000001</v>
      </c>
      <c r="G361" s="714">
        <f>AVERAGE(E361:F361)</f>
        <v>0.99500000000000011</v>
      </c>
      <c r="H361" s="11" t="s">
        <v>1891</v>
      </c>
      <c r="I361" s="11"/>
      <c r="J361" s="616"/>
      <c r="K361" s="705"/>
      <c r="L361" s="616"/>
      <c r="M361" s="616"/>
      <c r="N361" s="706"/>
      <c r="O361" s="627"/>
      <c r="P361" s="627"/>
      <c r="Q361" s="627"/>
      <c r="R361" s="627"/>
      <c r="S361" s="627"/>
      <c r="T361" s="627"/>
      <c r="U361" s="627"/>
      <c r="V361" s="627"/>
      <c r="W361" s="627"/>
      <c r="X361" s="1664"/>
      <c r="Y361" s="627"/>
    </row>
    <row r="362" spans="1:25" ht="15" x14ac:dyDescent="0.25">
      <c r="A362" s="621"/>
      <c r="B362" s="1091"/>
      <c r="C362" s="704"/>
      <c r="D362" s="717"/>
      <c r="E362" s="11"/>
      <c r="F362" s="11"/>
      <c r="G362" s="11"/>
      <c r="H362" s="11"/>
      <c r="I362" s="11"/>
      <c r="J362" s="616"/>
      <c r="K362" s="705"/>
      <c r="L362" s="616"/>
      <c r="M362" s="616"/>
      <c r="N362" s="706"/>
      <c r="O362" s="627"/>
      <c r="P362" s="627"/>
      <c r="Q362" s="627"/>
      <c r="R362" s="627"/>
      <c r="S362" s="627"/>
      <c r="T362" s="627"/>
      <c r="U362" s="627"/>
      <c r="V362" s="627"/>
      <c r="W362" s="627"/>
      <c r="X362" s="1664"/>
      <c r="Y362" s="627"/>
    </row>
    <row r="363" spans="1:25" ht="12.75" customHeight="1" x14ac:dyDescent="0.25">
      <c r="A363" s="621"/>
      <c r="B363" s="1091"/>
      <c r="C363" s="704"/>
      <c r="D363" s="2283" t="s">
        <v>1425</v>
      </c>
      <c r="E363" s="2284"/>
      <c r="F363" s="2284"/>
      <c r="G363" s="2284"/>
      <c r="H363" s="2284"/>
      <c r="I363" s="2284"/>
      <c r="J363" s="2284"/>
      <c r="K363" s="2284"/>
      <c r="L363" s="2284"/>
      <c r="M363" s="2284"/>
      <c r="N363" s="706"/>
      <c r="O363" s="627"/>
      <c r="P363" s="627"/>
      <c r="Q363" s="627"/>
      <c r="R363" s="627"/>
      <c r="S363" s="627"/>
      <c r="T363" s="627"/>
      <c r="U363" s="627"/>
      <c r="V363" s="627"/>
      <c r="W363" s="627"/>
      <c r="X363" s="1664"/>
      <c r="Y363" s="627"/>
    </row>
    <row r="364" spans="1:25" ht="12.75" customHeight="1" x14ac:dyDescent="0.25">
      <c r="A364" s="621"/>
      <c r="B364" s="1091"/>
      <c r="C364" s="704"/>
      <c r="D364" s="2283"/>
      <c r="E364" s="2284"/>
      <c r="F364" s="2284"/>
      <c r="G364" s="2284"/>
      <c r="H364" s="2284"/>
      <c r="I364" s="2284"/>
      <c r="J364" s="2284"/>
      <c r="K364" s="2284"/>
      <c r="L364" s="2284"/>
      <c r="M364" s="2284"/>
      <c r="N364" s="706"/>
      <c r="O364" s="627"/>
      <c r="P364" s="627"/>
      <c r="Q364" s="627"/>
      <c r="R364" s="627"/>
      <c r="S364" s="627"/>
      <c r="T364" s="627"/>
      <c r="U364" s="627"/>
      <c r="V364" s="627"/>
      <c r="W364" s="627"/>
      <c r="X364" s="1664"/>
      <c r="Y364" s="627"/>
    </row>
    <row r="365" spans="1:25" ht="12.75" customHeight="1" x14ac:dyDescent="0.2">
      <c r="A365" s="184"/>
      <c r="B365" s="1632"/>
      <c r="C365" s="1609"/>
      <c r="D365" s="1611"/>
      <c r="E365" s="1611"/>
      <c r="F365" s="1611"/>
      <c r="G365" s="1611"/>
      <c r="H365" s="1611"/>
      <c r="I365" s="1611"/>
      <c r="J365" s="1611"/>
      <c r="K365" s="1611"/>
      <c r="L365" s="1611"/>
      <c r="M365" s="1611"/>
      <c r="N365" s="1616"/>
      <c r="O365" s="329"/>
      <c r="P365" s="329"/>
      <c r="Q365" s="329"/>
      <c r="R365" s="627"/>
      <c r="S365" s="627"/>
      <c r="T365" s="627"/>
      <c r="U365" s="627"/>
      <c r="V365" s="627"/>
      <c r="W365" s="627"/>
      <c r="X365" s="1664"/>
      <c r="Y365" s="627"/>
    </row>
    <row r="366" spans="1:25" ht="12.75" customHeight="1" x14ac:dyDescent="0.2">
      <c r="A366" s="184"/>
      <c r="B366" s="1632"/>
      <c r="C366" s="329"/>
      <c r="D366" s="329"/>
      <c r="E366" s="329"/>
      <c r="F366" s="329"/>
      <c r="G366" s="329"/>
      <c r="H366" s="329"/>
      <c r="I366" s="329"/>
      <c r="J366" s="329"/>
      <c r="K366" s="329"/>
      <c r="L366" s="329"/>
      <c r="M366" s="329"/>
      <c r="N366" s="329"/>
      <c r="O366" s="329"/>
      <c r="P366" s="329"/>
      <c r="Q366" s="329"/>
      <c r="R366" s="627"/>
      <c r="S366" s="627"/>
      <c r="T366" s="627"/>
      <c r="U366" s="627"/>
      <c r="V366" s="627"/>
      <c r="W366" s="627"/>
      <c r="X366" s="1664"/>
      <c r="Y366" s="627"/>
    </row>
    <row r="367" spans="1:25" ht="12.75" customHeight="1" x14ac:dyDescent="0.2">
      <c r="A367" s="184"/>
      <c r="B367" s="1091"/>
      <c r="C367" s="329"/>
      <c r="D367" s="329"/>
      <c r="E367" s="329"/>
      <c r="F367" s="329"/>
      <c r="G367" s="329"/>
      <c r="H367" s="329"/>
      <c r="I367" s="329"/>
      <c r="J367" s="329"/>
      <c r="K367" s="329"/>
      <c r="L367" s="329"/>
      <c r="M367" s="329"/>
      <c r="N367" s="329"/>
      <c r="O367" s="329"/>
      <c r="P367" s="329"/>
      <c r="Q367" s="329"/>
      <c r="R367" s="627"/>
      <c r="S367" s="627"/>
      <c r="T367" s="627"/>
      <c r="U367" s="627"/>
      <c r="V367" s="627"/>
      <c r="W367" s="627"/>
      <c r="X367" s="1664"/>
      <c r="Y367" s="627"/>
    </row>
    <row r="368" spans="1:25" ht="4.5" customHeight="1" x14ac:dyDescent="0.2">
      <c r="A368" s="184"/>
      <c r="B368" s="1091"/>
      <c r="C368" s="329"/>
      <c r="D368" s="329"/>
      <c r="E368" s="329"/>
      <c r="F368" s="329"/>
      <c r="G368" s="329"/>
      <c r="H368" s="329"/>
      <c r="I368" s="329"/>
      <c r="J368" s="329"/>
      <c r="K368" s="329"/>
      <c r="L368" s="329"/>
      <c r="M368" s="329"/>
      <c r="N368" s="329"/>
      <c r="O368" s="329"/>
      <c r="P368" s="329"/>
      <c r="Q368" s="329"/>
      <c r="R368" s="627"/>
      <c r="S368" s="627"/>
      <c r="T368" s="627"/>
      <c r="U368" s="627"/>
      <c r="V368" s="627"/>
      <c r="W368" s="627"/>
      <c r="X368" s="1664"/>
      <c r="Y368" s="627"/>
    </row>
    <row r="369" spans="1:25" ht="22.5" customHeight="1" x14ac:dyDescent="0.4">
      <c r="A369" s="184"/>
      <c r="B369" s="1091"/>
      <c r="C369" s="2038" t="s">
        <v>1903</v>
      </c>
      <c r="D369" s="2041"/>
      <c r="E369" s="2041"/>
      <c r="F369" s="2041"/>
      <c r="G369" s="2041"/>
      <c r="H369" s="2042"/>
      <c r="I369" s="2042"/>
      <c r="J369" s="16"/>
      <c r="K369" s="16"/>
      <c r="L369" s="16"/>
      <c r="M369" s="16"/>
      <c r="N369" s="16"/>
      <c r="O369" s="16"/>
      <c r="P369" s="16"/>
      <c r="Q369" s="184"/>
      <c r="R369" s="627"/>
      <c r="S369" s="627"/>
      <c r="T369" s="627"/>
      <c r="U369" s="627"/>
      <c r="V369" s="627"/>
      <c r="W369" s="627"/>
      <c r="X369" s="1664"/>
      <c r="Y369" s="627"/>
    </row>
    <row r="370" spans="1:25" ht="12.75" customHeight="1" x14ac:dyDescent="0.2">
      <c r="A370" s="184"/>
      <c r="B370" s="1091"/>
      <c r="C370" s="159"/>
      <c r="D370" s="2476" t="s">
        <v>661</v>
      </c>
      <c r="E370" s="2476"/>
      <c r="F370" s="2476"/>
      <c r="G370" s="2476"/>
      <c r="H370" s="2476"/>
      <c r="I370" s="2476"/>
      <c r="J370" s="2476"/>
      <c r="K370" s="2476"/>
      <c r="L370" s="2476"/>
      <c r="M370" s="2476"/>
      <c r="N370" s="2476"/>
      <c r="O370" s="2476"/>
      <c r="P370" s="2477"/>
      <c r="Q370" s="184"/>
      <c r="R370" s="627"/>
      <c r="S370" s="627"/>
      <c r="T370" s="627"/>
      <c r="U370" s="627"/>
      <c r="V370" s="627"/>
      <c r="W370" s="627"/>
      <c r="X370" s="1664"/>
      <c r="Y370" s="627"/>
    </row>
    <row r="371" spans="1:25" ht="12.75" customHeight="1" x14ac:dyDescent="0.2">
      <c r="B371" s="1091"/>
      <c r="C371" s="77"/>
      <c r="D371" s="2044" t="s">
        <v>258</v>
      </c>
      <c r="E371" s="2044" t="s">
        <v>1829</v>
      </c>
      <c r="F371" s="2044" t="s">
        <v>1830</v>
      </c>
      <c r="G371" s="2044" t="s">
        <v>1831</v>
      </c>
      <c r="H371" s="2044" t="s">
        <v>1832</v>
      </c>
      <c r="I371" s="2044" t="s">
        <v>1833</v>
      </c>
      <c r="J371" s="2044" t="s">
        <v>1834</v>
      </c>
      <c r="K371" s="2044" t="s">
        <v>1835</v>
      </c>
      <c r="L371" s="2044" t="s">
        <v>849</v>
      </c>
      <c r="M371" s="2044" t="s">
        <v>598</v>
      </c>
      <c r="N371" s="2044" t="s">
        <v>1846</v>
      </c>
      <c r="O371" s="2044" t="s">
        <v>909</v>
      </c>
      <c r="P371" s="1009"/>
      <c r="Q371" s="184"/>
      <c r="R371" s="627"/>
      <c r="S371" s="627"/>
      <c r="T371" s="627"/>
      <c r="U371" s="627"/>
      <c r="V371" s="627"/>
      <c r="W371" s="627"/>
      <c r="X371" s="1664"/>
      <c r="Y371" s="627"/>
    </row>
    <row r="372" spans="1:25" ht="12.75" customHeight="1" x14ac:dyDescent="0.2">
      <c r="B372" s="1091"/>
      <c r="C372" s="77" t="s">
        <v>539</v>
      </c>
      <c r="D372" s="2043">
        <v>14.760799911611979</v>
      </c>
      <c r="E372" s="2043">
        <v>6.6291017567119663</v>
      </c>
      <c r="F372" s="2043">
        <v>27.930615401613085</v>
      </c>
      <c r="G372" s="2043">
        <v>4.138453525261613</v>
      </c>
      <c r="H372" s="2043">
        <v>32.675158230345502</v>
      </c>
      <c r="I372" s="2043"/>
      <c r="J372" s="2043">
        <v>13.865871174455862</v>
      </c>
      <c r="K372" s="2043"/>
      <c r="L372" s="2043"/>
      <c r="M372" s="2043">
        <v>100</v>
      </c>
      <c r="N372" s="2167">
        <f>(D372*D$384+E372*E$384+F372*F$384+G372*G$384+H372*H$384+I372*I$384+J372*J$384+K372*K$384+L372*L$384)/M372</f>
        <v>19.299794001723541</v>
      </c>
      <c r="O372" s="1086" t="s">
        <v>1836</v>
      </c>
      <c r="P372" s="1009"/>
      <c r="Q372" s="184"/>
      <c r="R372" s="627" t="s">
        <v>1917</v>
      </c>
      <c r="S372" s="627"/>
      <c r="T372" s="627"/>
      <c r="U372" s="627"/>
      <c r="V372" s="627"/>
      <c r="W372" s="627"/>
      <c r="X372" s="1664"/>
      <c r="Y372" s="627"/>
    </row>
    <row r="373" spans="1:25" ht="12.75" customHeight="1" x14ac:dyDescent="0.2">
      <c r="B373" s="1091"/>
      <c r="C373" s="77" t="s">
        <v>172</v>
      </c>
      <c r="D373" s="2043"/>
      <c r="E373" s="2043"/>
      <c r="F373" s="2043"/>
      <c r="G373" s="2043"/>
      <c r="H373" s="2043">
        <v>13.058562309186788</v>
      </c>
      <c r="I373" s="2043"/>
      <c r="J373" s="2043">
        <v>52.248126561198994</v>
      </c>
      <c r="K373" s="2043">
        <v>34.693311129614216</v>
      </c>
      <c r="L373" s="2043"/>
      <c r="M373" s="2043">
        <v>100</v>
      </c>
      <c r="N373" s="2167">
        <f t="shared" ref="N373:N381" si="3">(D373*D$384+E373*E$384+F373*F$384+G373*G$384+H373*H$384+I373*I$384+J373*J$384+K373*K$384+L373*L$384)/M373</f>
        <v>17.507418662350211</v>
      </c>
      <c r="O373" s="1086" t="s">
        <v>1837</v>
      </c>
      <c r="P373" s="1009"/>
      <c r="Q373" s="184"/>
      <c r="R373" s="627"/>
      <c r="S373" s="627"/>
      <c r="T373" s="627"/>
      <c r="U373" s="627"/>
      <c r="V373" s="627"/>
      <c r="W373" s="627"/>
      <c r="X373" s="1664"/>
      <c r="Y373" s="627"/>
    </row>
    <row r="374" spans="1:25" ht="12.75" customHeight="1" x14ac:dyDescent="0.2">
      <c r="B374" s="1091"/>
      <c r="C374" s="77" t="s">
        <v>1801</v>
      </c>
      <c r="D374" s="2043">
        <v>5.452301321866539</v>
      </c>
      <c r="E374" s="2043"/>
      <c r="F374" s="2043">
        <v>10.316929447364229</v>
      </c>
      <c r="G374" s="2043"/>
      <c r="H374" s="2043">
        <v>28.384615384615376</v>
      </c>
      <c r="I374" s="2043"/>
      <c r="J374" s="2043">
        <v>22.769230769230763</v>
      </c>
      <c r="K374" s="2043">
        <v>33.07692307692308</v>
      </c>
      <c r="L374" s="2043"/>
      <c r="M374" s="2043">
        <v>99.999999999999986</v>
      </c>
      <c r="N374" s="2167">
        <f t="shared" si="3"/>
        <v>18.364315923905643</v>
      </c>
      <c r="O374" s="1086" t="s">
        <v>1837</v>
      </c>
      <c r="P374" s="1009"/>
      <c r="Q374" s="184"/>
      <c r="R374" s="627"/>
      <c r="S374" s="627"/>
      <c r="T374" s="627"/>
      <c r="U374" s="627"/>
      <c r="V374" s="627"/>
      <c r="W374" s="627"/>
      <c r="X374" s="1664"/>
      <c r="Y374" s="627"/>
    </row>
    <row r="375" spans="1:25" ht="12.75" customHeight="1" x14ac:dyDescent="0.2">
      <c r="B375" s="1091"/>
      <c r="C375" s="77" t="s">
        <v>1838</v>
      </c>
      <c r="D375" s="2043">
        <v>5.8840749414519911</v>
      </c>
      <c r="E375" s="2043"/>
      <c r="F375" s="2043">
        <v>5.8840749414519911</v>
      </c>
      <c r="G375" s="2043"/>
      <c r="H375" s="2043">
        <v>21.24121779859485</v>
      </c>
      <c r="I375" s="2043"/>
      <c r="J375" s="2043">
        <v>44.250585480093676</v>
      </c>
      <c r="K375" s="2043">
        <v>22.740046838407494</v>
      </c>
      <c r="L375" s="2043"/>
      <c r="M375" s="2043">
        <v>100</v>
      </c>
      <c r="N375" s="2167">
        <f t="shared" si="3"/>
        <v>18.207346945662319</v>
      </c>
      <c r="O375" s="1086" t="s">
        <v>1837</v>
      </c>
      <c r="P375" s="1009"/>
      <c r="Q375" s="184"/>
      <c r="R375" s="627"/>
      <c r="S375" s="627"/>
      <c r="T375" s="627"/>
      <c r="U375" s="627"/>
      <c r="V375" s="627"/>
      <c r="W375" s="627"/>
      <c r="X375" s="1664"/>
      <c r="Y375" s="627"/>
    </row>
    <row r="376" spans="1:25" ht="12.75" customHeight="1" x14ac:dyDescent="0.2">
      <c r="B376" s="1091"/>
      <c r="C376" s="77" t="s">
        <v>1839</v>
      </c>
      <c r="D376" s="2043">
        <v>44.68181443977938</v>
      </c>
      <c r="E376" s="2043">
        <v>3.7046184243022968</v>
      </c>
      <c r="F376" s="2043">
        <v>20.811723059191571</v>
      </c>
      <c r="G376" s="2043">
        <v>3.5975961142668975</v>
      </c>
      <c r="H376" s="2043">
        <v>13.556845311599572</v>
      </c>
      <c r="I376" s="2043">
        <v>2.5767679262369314</v>
      </c>
      <c r="J376" s="2043">
        <v>7.7488268708323043</v>
      </c>
      <c r="K376" s="2043"/>
      <c r="L376" s="2043">
        <v>3.3218078537910598</v>
      </c>
      <c r="M376" s="2043">
        <v>100</v>
      </c>
      <c r="N376" s="2167">
        <f t="shared" si="3"/>
        <v>21.263257011562782</v>
      </c>
      <c r="O376" s="1086" t="s">
        <v>1836</v>
      </c>
      <c r="P376" s="1009"/>
      <c r="Q376" s="184"/>
      <c r="R376" s="627"/>
      <c r="S376" s="627"/>
      <c r="T376" s="627"/>
      <c r="U376" s="627"/>
      <c r="V376" s="627"/>
      <c r="W376" s="627"/>
      <c r="X376" s="1664"/>
      <c r="Y376" s="627"/>
    </row>
    <row r="377" spans="1:25" ht="12.75" customHeight="1" x14ac:dyDescent="0.2">
      <c r="B377" s="1091"/>
      <c r="C377" s="77" t="s">
        <v>1799</v>
      </c>
      <c r="D377" s="2043">
        <v>5.8840749414519911</v>
      </c>
      <c r="E377" s="2043"/>
      <c r="F377" s="2043">
        <v>5.8840749414519911</v>
      </c>
      <c r="G377" s="2043"/>
      <c r="H377" s="2043">
        <v>21.24121779859485</v>
      </c>
      <c r="I377" s="2043"/>
      <c r="J377" s="2043">
        <v>44.250585480093676</v>
      </c>
      <c r="K377" s="2043">
        <v>22.740046838407494</v>
      </c>
      <c r="L377" s="2043"/>
      <c r="M377" s="2043">
        <v>100</v>
      </c>
      <c r="N377" s="2167">
        <f t="shared" si="3"/>
        <v>18.207346945662319</v>
      </c>
      <c r="O377" s="1086" t="s">
        <v>1837</v>
      </c>
      <c r="P377" s="1009"/>
      <c r="Q377" s="184"/>
      <c r="R377" s="627"/>
      <c r="S377" s="627"/>
      <c r="T377" s="627"/>
      <c r="U377" s="627"/>
      <c r="V377" s="627"/>
      <c r="W377" s="627"/>
      <c r="X377" s="1664"/>
      <c r="Y377" s="627"/>
    </row>
    <row r="378" spans="1:25" ht="12.75" customHeight="1" x14ac:dyDescent="0.2">
      <c r="B378" s="1091"/>
      <c r="C378" s="77" t="s">
        <v>473</v>
      </c>
      <c r="D378" s="2043">
        <v>22.018953440461477</v>
      </c>
      <c r="E378" s="2043">
        <v>2.9666254635352285</v>
      </c>
      <c r="F378" s="2043">
        <v>21.873918417799754</v>
      </c>
      <c r="G378" s="2043">
        <v>1.4404614750721056</v>
      </c>
      <c r="H378" s="2043">
        <v>37.221260815821999</v>
      </c>
      <c r="I378" s="2043"/>
      <c r="J378" s="2043">
        <v>14.478780387309435</v>
      </c>
      <c r="K378" s="2043"/>
      <c r="L378" s="2043"/>
      <c r="M378" s="2043">
        <v>100</v>
      </c>
      <c r="N378" s="2167">
        <f t="shared" si="3"/>
        <v>19.930342832271901</v>
      </c>
      <c r="O378" s="1086" t="s">
        <v>1836</v>
      </c>
      <c r="P378" s="1009"/>
      <c r="Q378" s="184"/>
      <c r="R378" s="627"/>
      <c r="S378" s="627"/>
      <c r="T378" s="627"/>
      <c r="U378" s="627"/>
      <c r="V378" s="627"/>
      <c r="W378" s="627"/>
      <c r="X378" s="1664"/>
      <c r="Y378" s="627"/>
    </row>
    <row r="379" spans="1:25" ht="12.75" customHeight="1" x14ac:dyDescent="0.2">
      <c r="B379" s="1091"/>
      <c r="C379" s="77" t="s">
        <v>1840</v>
      </c>
      <c r="D379" s="2043">
        <v>5.452301321866539</v>
      </c>
      <c r="E379" s="2043"/>
      <c r="F379" s="2043">
        <v>10.316929447364229</v>
      </c>
      <c r="G379" s="2043"/>
      <c r="H379" s="2043">
        <v>28.384615384615376</v>
      </c>
      <c r="I379" s="2043"/>
      <c r="J379" s="2043">
        <v>22.769230769230763</v>
      </c>
      <c r="K379" s="2043">
        <v>33.07692307692308</v>
      </c>
      <c r="L379" s="2043"/>
      <c r="M379" s="2043">
        <v>99.999999999999986</v>
      </c>
      <c r="N379" s="2167">
        <f t="shared" si="3"/>
        <v>18.364315923905643</v>
      </c>
      <c r="O379" s="1086" t="s">
        <v>1837</v>
      </c>
      <c r="P379" s="1009"/>
      <c r="Q379" s="184"/>
      <c r="R379" s="627"/>
      <c r="S379" s="627"/>
      <c r="T379" s="627"/>
      <c r="U379" s="627"/>
      <c r="V379" s="627"/>
      <c r="W379" s="627"/>
      <c r="X379" s="1664"/>
      <c r="Y379" s="627"/>
    </row>
    <row r="380" spans="1:25" ht="12.75" customHeight="1" x14ac:dyDescent="0.2">
      <c r="B380" s="1091"/>
      <c r="C380" s="77" t="s">
        <v>1841</v>
      </c>
      <c r="D380" s="2043">
        <v>5.6312155964923427</v>
      </c>
      <c r="E380" s="2043"/>
      <c r="F380" s="2043">
        <v>10.655473823302877</v>
      </c>
      <c r="G380" s="2043"/>
      <c r="H380" s="2043">
        <v>20.150170648464158</v>
      </c>
      <c r="I380" s="2043"/>
      <c r="J380" s="2043">
        <v>41.99317406143345</v>
      </c>
      <c r="K380" s="2043">
        <v>21.569965870307161</v>
      </c>
      <c r="L380" s="2043"/>
      <c r="M380" s="2043">
        <v>99.999999999999986</v>
      </c>
      <c r="N380" s="2167">
        <f t="shared" si="3"/>
        <v>18.309736506983477</v>
      </c>
      <c r="O380" s="1086" t="s">
        <v>1837</v>
      </c>
      <c r="P380" s="1009"/>
      <c r="Q380" s="184"/>
      <c r="R380" s="627"/>
      <c r="S380" s="627"/>
      <c r="T380" s="627"/>
      <c r="U380" s="627"/>
      <c r="V380" s="627"/>
      <c r="W380" s="627"/>
      <c r="X380" s="1664"/>
      <c r="Y380" s="627"/>
    </row>
    <row r="381" spans="1:25" ht="12.75" customHeight="1" x14ac:dyDescent="0.2">
      <c r="B381" s="1091"/>
      <c r="C381" s="77" t="s">
        <v>531</v>
      </c>
      <c r="D381" s="2043">
        <v>18.681722046459598</v>
      </c>
      <c r="E381" s="2043">
        <v>7.3412455646641375</v>
      </c>
      <c r="F381" s="2043">
        <v>9.9421439932880027</v>
      </c>
      <c r="G381" s="2043">
        <v>22.915173655415916</v>
      </c>
      <c r="H381" s="2043">
        <v>41.119714740172341</v>
      </c>
      <c r="I381" s="2043"/>
      <c r="J381" s="2043"/>
      <c r="K381" s="2043"/>
      <c r="L381" s="2043"/>
      <c r="M381" s="2043">
        <v>100</v>
      </c>
      <c r="N381" s="2167">
        <f t="shared" si="3"/>
        <v>18.606387872741717</v>
      </c>
      <c r="O381" s="1086" t="s">
        <v>1836</v>
      </c>
      <c r="P381" s="1009"/>
      <c r="Q381" s="184"/>
      <c r="R381" s="627"/>
      <c r="S381" s="627"/>
      <c r="T381" s="627"/>
      <c r="U381" s="627"/>
      <c r="V381" s="627"/>
      <c r="W381" s="627"/>
      <c r="X381" s="1664"/>
      <c r="Y381" s="627"/>
    </row>
    <row r="382" spans="1:25" ht="12.75" customHeight="1" x14ac:dyDescent="0.2">
      <c r="B382" s="1091"/>
      <c r="C382" s="2045" t="s">
        <v>1844</v>
      </c>
      <c r="D382" s="1086"/>
      <c r="E382" s="1086"/>
      <c r="F382" s="1086"/>
      <c r="G382" s="1086"/>
      <c r="H382" s="1086"/>
      <c r="I382" s="1086"/>
      <c r="J382" s="1086"/>
      <c r="K382" s="1086"/>
      <c r="L382" s="1086"/>
      <c r="M382" s="1086"/>
      <c r="N382" s="1086"/>
      <c r="O382" s="1086"/>
      <c r="P382" s="1009"/>
      <c r="Q382" s="184"/>
      <c r="R382" s="627"/>
      <c r="S382" s="627"/>
      <c r="T382" s="627"/>
      <c r="U382" s="627"/>
      <c r="V382" s="627"/>
      <c r="W382" s="627"/>
      <c r="X382" s="1664"/>
      <c r="Y382" s="627"/>
    </row>
    <row r="383" spans="1:25" ht="24.75" customHeight="1" x14ac:dyDescent="0.2">
      <c r="B383" s="1091"/>
      <c r="C383" s="2046" t="s">
        <v>1845</v>
      </c>
      <c r="D383" s="1086">
        <v>0.66800000000000004</v>
      </c>
      <c r="E383" s="1086">
        <v>1.2</v>
      </c>
      <c r="F383" s="1086">
        <v>1.264</v>
      </c>
      <c r="G383" s="1086">
        <v>1.748</v>
      </c>
      <c r="H383" s="1086">
        <v>1.8819999999999999</v>
      </c>
      <c r="I383" s="1086">
        <v>2.504</v>
      </c>
      <c r="J383" s="1086">
        <v>2.5099999999999998</v>
      </c>
      <c r="K383" s="1086">
        <v>2.5</v>
      </c>
      <c r="L383" s="1086">
        <v>3.2280000000000002</v>
      </c>
      <c r="M383" s="1086"/>
      <c r="N383" s="1086"/>
      <c r="O383" s="1086"/>
      <c r="P383" s="1009"/>
      <c r="Q383" s="184"/>
      <c r="R383" s="627"/>
      <c r="S383" s="627"/>
      <c r="T383" s="627"/>
      <c r="U383" s="627"/>
      <c r="V383" s="627"/>
      <c r="W383" s="627"/>
      <c r="X383" s="1664"/>
      <c r="Y383" s="627"/>
    </row>
    <row r="384" spans="1:25" ht="12.75" customHeight="1" x14ac:dyDescent="0.2">
      <c r="B384" s="1091"/>
      <c r="C384" s="66" t="s">
        <v>1846</v>
      </c>
      <c r="D384" s="2047">
        <v>25.187032418952622</v>
      </c>
      <c r="E384" s="2047">
        <v>14.407988587731813</v>
      </c>
      <c r="F384" s="2047">
        <v>20.159680638722556</v>
      </c>
      <c r="G384" s="2047">
        <v>14.407988587731813</v>
      </c>
      <c r="H384" s="2047">
        <v>18.330308529945555</v>
      </c>
      <c r="I384" s="2047">
        <v>14.407988587731813</v>
      </c>
      <c r="J384" s="2047">
        <v>17.383820998278829</v>
      </c>
      <c r="K384" s="2047">
        <v>17.383820998278829</v>
      </c>
      <c r="L384" s="2047">
        <v>16.805324459234608</v>
      </c>
      <c r="M384" s="2048"/>
      <c r="N384" s="2048"/>
      <c r="O384" s="2048"/>
      <c r="P384" s="2049"/>
      <c r="Q384" s="184"/>
      <c r="R384" s="627"/>
      <c r="S384" s="627"/>
      <c r="T384" s="627"/>
      <c r="U384" s="627"/>
      <c r="V384" s="627"/>
      <c r="W384" s="627"/>
      <c r="X384" s="1664"/>
      <c r="Y384" s="627"/>
    </row>
    <row r="385" spans="2:25" ht="12.75" customHeight="1" x14ac:dyDescent="0.2">
      <c r="B385" s="1091"/>
      <c r="C385" s="16"/>
      <c r="D385" s="57"/>
      <c r="E385" s="57"/>
      <c r="F385" s="57"/>
      <c r="G385" s="57"/>
      <c r="H385" s="57"/>
      <c r="I385" s="57"/>
      <c r="J385" s="57"/>
      <c r="K385" s="57"/>
      <c r="L385" s="57"/>
      <c r="M385" s="16"/>
      <c r="N385" s="16"/>
      <c r="O385" s="16"/>
      <c r="P385" s="16"/>
      <c r="Q385" s="184"/>
      <c r="R385" s="627"/>
      <c r="S385" s="627"/>
      <c r="T385" s="627"/>
      <c r="U385" s="627"/>
      <c r="V385" s="627"/>
      <c r="W385" s="627"/>
      <c r="X385" s="1664"/>
      <c r="Y385" s="627"/>
    </row>
    <row r="386" spans="2:25" ht="24.75" customHeight="1" x14ac:dyDescent="0.4">
      <c r="B386" s="1091"/>
      <c r="C386" s="2038" t="s">
        <v>1904</v>
      </c>
      <c r="D386" s="2038"/>
      <c r="E386" s="2038"/>
      <c r="F386" s="2038"/>
      <c r="G386" s="2038"/>
      <c r="H386" s="2038"/>
      <c r="I386" s="2039"/>
      <c r="J386" s="2040"/>
      <c r="K386" s="2040"/>
      <c r="L386" s="2040"/>
      <c r="M386" s="2040"/>
      <c r="N386" s="2040"/>
      <c r="O386" s="2040"/>
      <c r="P386" s="2040"/>
      <c r="Q386" s="184"/>
      <c r="R386" s="627"/>
      <c r="S386" s="627"/>
      <c r="T386" s="627"/>
      <c r="U386" s="627"/>
      <c r="V386" s="627"/>
      <c r="W386" s="627"/>
      <c r="X386" s="1664"/>
      <c r="Y386" s="627"/>
    </row>
    <row r="387" spans="2:25" ht="20.25" customHeight="1" x14ac:dyDescent="0.4">
      <c r="B387" s="1091"/>
      <c r="C387" s="2050"/>
      <c r="D387" s="2476" t="s">
        <v>661</v>
      </c>
      <c r="E387" s="2476"/>
      <c r="F387" s="2476"/>
      <c r="G387" s="2476"/>
      <c r="H387" s="2476"/>
      <c r="I387" s="2476"/>
      <c r="J387" s="2476"/>
      <c r="K387" s="2476"/>
      <c r="L387" s="2476"/>
      <c r="M387" s="2476"/>
      <c r="N387" s="2476"/>
      <c r="O387" s="2476"/>
      <c r="P387" s="2477"/>
      <c r="Q387" s="184"/>
      <c r="R387" s="627"/>
      <c r="S387" s="627"/>
      <c r="T387" s="627"/>
      <c r="U387" s="627"/>
      <c r="V387" s="627"/>
      <c r="W387" s="627"/>
      <c r="X387" s="1664"/>
      <c r="Y387" s="627"/>
    </row>
    <row r="388" spans="2:25" ht="12.75" customHeight="1" x14ac:dyDescent="0.2">
      <c r="B388" s="1091"/>
      <c r="C388" s="77"/>
      <c r="D388" s="2044" t="s">
        <v>258</v>
      </c>
      <c r="E388" s="2044" t="s">
        <v>1829</v>
      </c>
      <c r="F388" s="2044" t="s">
        <v>1830</v>
      </c>
      <c r="G388" s="2044" t="s">
        <v>1831</v>
      </c>
      <c r="H388" s="2044" t="s">
        <v>1832</v>
      </c>
      <c r="I388" s="2044" t="s">
        <v>1833</v>
      </c>
      <c r="J388" s="2044" t="s">
        <v>1834</v>
      </c>
      <c r="K388" s="2044" t="s">
        <v>1835</v>
      </c>
      <c r="L388" s="2044" t="s">
        <v>849</v>
      </c>
      <c r="M388" s="2044" t="s">
        <v>598</v>
      </c>
      <c r="N388" s="2044" t="s">
        <v>1846</v>
      </c>
      <c r="O388" s="2044" t="s">
        <v>909</v>
      </c>
      <c r="P388" s="1009"/>
      <c r="Q388" s="184"/>
      <c r="R388" s="627"/>
      <c r="S388" s="627"/>
      <c r="T388" s="627"/>
      <c r="U388" s="627"/>
      <c r="V388" s="627"/>
      <c r="W388" s="627"/>
      <c r="X388" s="1664"/>
      <c r="Y388" s="627"/>
    </row>
    <row r="389" spans="2:25" ht="12.75" customHeight="1" x14ac:dyDescent="0.2">
      <c r="B389" s="1091"/>
      <c r="C389" s="77" t="s">
        <v>539</v>
      </c>
      <c r="D389" s="2043">
        <v>14.760799911611979</v>
      </c>
      <c r="E389" s="2043">
        <v>6.6291017567119663</v>
      </c>
      <c r="F389" s="2043">
        <v>27.930615401613085</v>
      </c>
      <c r="G389" s="2043">
        <v>4.138453525261613</v>
      </c>
      <c r="H389" s="2043">
        <v>32.675158230345502</v>
      </c>
      <c r="I389" s="2043"/>
      <c r="J389" s="2043">
        <v>13.865871174455862</v>
      </c>
      <c r="K389" s="2043"/>
      <c r="L389" s="2043"/>
      <c r="M389" s="2043">
        <v>100</v>
      </c>
      <c r="N389" s="2167">
        <f>(D389*D$384+E389*E$384+F389*F$384+G389*G$384+H389*H$384+I389*I$384+J389*J$384+K389*K$384+L389*L$384)/M389</f>
        <v>19.299794001723541</v>
      </c>
      <c r="O389" s="1086" t="s">
        <v>1836</v>
      </c>
      <c r="P389" s="1009"/>
      <c r="Q389" s="184"/>
      <c r="R389" s="627"/>
      <c r="S389" s="627"/>
      <c r="T389" s="627"/>
      <c r="U389" s="627"/>
      <c r="V389" s="627"/>
      <c r="W389" s="627"/>
      <c r="X389" s="1664"/>
      <c r="Y389" s="627"/>
    </row>
    <row r="390" spans="2:25" ht="12.75" customHeight="1" x14ac:dyDescent="0.2">
      <c r="B390" s="1091"/>
      <c r="C390" s="77" t="s">
        <v>172</v>
      </c>
      <c r="D390" s="2043"/>
      <c r="E390" s="2043"/>
      <c r="F390" s="2043"/>
      <c r="G390" s="2043"/>
      <c r="H390" s="2043">
        <v>13.058562309186788</v>
      </c>
      <c r="I390" s="2043"/>
      <c r="J390" s="2043">
        <v>52.248126561198994</v>
      </c>
      <c r="K390" s="2043">
        <v>34.693311129614216</v>
      </c>
      <c r="L390" s="2043"/>
      <c r="M390" s="2043">
        <v>100</v>
      </c>
      <c r="N390" s="2167">
        <f t="shared" ref="N390:N398" si="4">(D390*D$384+E390*E$384+F390*F$384+G390*G$384+H390*H$384+I390*I$384+J390*J$384+K390*K$384+L390*L$384)/M390</f>
        <v>17.507418662350211</v>
      </c>
      <c r="O390" s="1086" t="s">
        <v>1837</v>
      </c>
      <c r="P390" s="1009"/>
      <c r="Q390" s="184"/>
      <c r="R390" s="627"/>
      <c r="S390" s="627"/>
      <c r="T390" s="627"/>
      <c r="U390" s="627"/>
      <c r="V390" s="627"/>
      <c r="W390" s="627"/>
      <c r="X390" s="1664"/>
      <c r="Y390" s="627"/>
    </row>
    <row r="391" spans="2:25" ht="12.75" customHeight="1" x14ac:dyDescent="0.2">
      <c r="B391" s="1091"/>
      <c r="C391" s="77" t="s">
        <v>1801</v>
      </c>
      <c r="D391" s="2043">
        <v>5.452301321866539</v>
      </c>
      <c r="E391" s="2043"/>
      <c r="F391" s="2043">
        <v>10.316929447364229</v>
      </c>
      <c r="G391" s="2043"/>
      <c r="H391" s="2043">
        <v>28.384615384615376</v>
      </c>
      <c r="I391" s="2043"/>
      <c r="J391" s="2043">
        <v>22.769230769230763</v>
      </c>
      <c r="K391" s="2043">
        <v>33.07692307692308</v>
      </c>
      <c r="L391" s="2043"/>
      <c r="M391" s="2043">
        <v>99.999999999999986</v>
      </c>
      <c r="N391" s="2167">
        <f t="shared" si="4"/>
        <v>18.364315923905643</v>
      </c>
      <c r="O391" s="1086" t="s">
        <v>1837</v>
      </c>
      <c r="P391" s="1009"/>
      <c r="Q391" s="184"/>
      <c r="R391" s="627"/>
      <c r="S391" s="627"/>
      <c r="T391" s="627"/>
      <c r="U391" s="627"/>
      <c r="V391" s="627"/>
      <c r="W391" s="627"/>
      <c r="X391" s="1664"/>
      <c r="Y391" s="627"/>
    </row>
    <row r="392" spans="2:25" ht="12.75" customHeight="1" x14ac:dyDescent="0.2">
      <c r="B392" s="1091"/>
      <c r="C392" s="77" t="s">
        <v>1838</v>
      </c>
      <c r="D392" s="2043">
        <v>5.8840749414519911</v>
      </c>
      <c r="E392" s="2043"/>
      <c r="F392" s="2043">
        <v>5.8840749414519911</v>
      </c>
      <c r="G392" s="2043"/>
      <c r="H392" s="2043">
        <v>21.24121779859485</v>
      </c>
      <c r="I392" s="2043"/>
      <c r="J392" s="2043">
        <v>44.250585480093676</v>
      </c>
      <c r="K392" s="2043">
        <v>22.740046838407494</v>
      </c>
      <c r="L392" s="2043"/>
      <c r="M392" s="2043">
        <v>100</v>
      </c>
      <c r="N392" s="2167">
        <f t="shared" si="4"/>
        <v>18.207346945662319</v>
      </c>
      <c r="O392" s="1086" t="s">
        <v>1837</v>
      </c>
      <c r="P392" s="1009"/>
      <c r="Q392" s="184"/>
      <c r="R392" s="627"/>
      <c r="S392" s="627"/>
      <c r="T392" s="627"/>
      <c r="U392" s="627"/>
      <c r="V392" s="627"/>
      <c r="W392" s="627"/>
      <c r="X392" s="1664"/>
      <c r="Y392" s="627"/>
    </row>
    <row r="393" spans="2:25" ht="12.75" customHeight="1" x14ac:dyDescent="0.2">
      <c r="B393" s="1091"/>
      <c r="C393" s="77" t="s">
        <v>1839</v>
      </c>
      <c r="D393" s="2043">
        <v>44.68181443977938</v>
      </c>
      <c r="E393" s="2043">
        <v>3.7046184243022968</v>
      </c>
      <c r="F393" s="2043">
        <v>20.811723059191571</v>
      </c>
      <c r="G393" s="2043">
        <v>3.5975961142668975</v>
      </c>
      <c r="H393" s="2043">
        <v>13.556845311599572</v>
      </c>
      <c r="I393" s="2043">
        <v>2.5767679262369314</v>
      </c>
      <c r="J393" s="2043">
        <v>7.7488268708323043</v>
      </c>
      <c r="K393" s="2043"/>
      <c r="L393" s="2043">
        <v>3.3218078537910598</v>
      </c>
      <c r="M393" s="2043">
        <v>100</v>
      </c>
      <c r="N393" s="2167">
        <f t="shared" si="4"/>
        <v>21.263257011562782</v>
      </c>
      <c r="O393" s="1086" t="s">
        <v>1836</v>
      </c>
      <c r="P393" s="1009"/>
      <c r="Q393" s="184"/>
      <c r="R393" s="627"/>
      <c r="S393" s="627"/>
      <c r="T393" s="627"/>
      <c r="U393" s="627"/>
      <c r="V393" s="627"/>
      <c r="W393" s="627"/>
      <c r="X393" s="1664"/>
      <c r="Y393" s="627"/>
    </row>
    <row r="394" spans="2:25" ht="12.75" customHeight="1" x14ac:dyDescent="0.2">
      <c r="B394" s="1091"/>
      <c r="C394" s="77" t="s">
        <v>1799</v>
      </c>
      <c r="D394" s="2043">
        <v>5.8840749414519911</v>
      </c>
      <c r="E394" s="2043"/>
      <c r="F394" s="2043">
        <v>5.8840749414519911</v>
      </c>
      <c r="G394" s="2043"/>
      <c r="H394" s="2043">
        <v>21.24121779859485</v>
      </c>
      <c r="I394" s="2043"/>
      <c r="J394" s="2043">
        <v>44.250585480093676</v>
      </c>
      <c r="K394" s="2043">
        <v>22.740046838407494</v>
      </c>
      <c r="L394" s="2043"/>
      <c r="M394" s="2043">
        <v>100</v>
      </c>
      <c r="N394" s="2167">
        <f t="shared" si="4"/>
        <v>18.207346945662319</v>
      </c>
      <c r="O394" s="1086" t="s">
        <v>1837</v>
      </c>
      <c r="P394" s="1009"/>
      <c r="Q394" s="184"/>
      <c r="R394" s="627"/>
      <c r="S394" s="627"/>
      <c r="T394" s="627"/>
      <c r="U394" s="627"/>
      <c r="V394" s="627"/>
      <c r="W394" s="627"/>
      <c r="X394" s="1664"/>
      <c r="Y394" s="627"/>
    </row>
    <row r="395" spans="2:25" ht="12.75" customHeight="1" x14ac:dyDescent="0.2">
      <c r="B395" s="1091"/>
      <c r="C395" s="77" t="s">
        <v>1902</v>
      </c>
      <c r="D395" s="2043">
        <v>44.68181443977938</v>
      </c>
      <c r="E395" s="2043">
        <v>3.7046184243022968</v>
      </c>
      <c r="F395" s="2043">
        <v>20.811723059191571</v>
      </c>
      <c r="G395" s="2043">
        <v>3.5975961142668975</v>
      </c>
      <c r="H395" s="2043">
        <v>13.556845311599572</v>
      </c>
      <c r="I395" s="2043">
        <v>2.5767679262369314</v>
      </c>
      <c r="J395" s="2043">
        <v>7.7488268708323043</v>
      </c>
      <c r="K395" s="2043"/>
      <c r="L395" s="2043">
        <v>3.3218078537910598</v>
      </c>
      <c r="M395" s="2043">
        <v>100</v>
      </c>
      <c r="N395" s="2167">
        <f t="shared" si="4"/>
        <v>21.263257011562782</v>
      </c>
      <c r="O395" s="1086" t="s">
        <v>1836</v>
      </c>
      <c r="P395" s="1009"/>
      <c r="Q395" s="184"/>
      <c r="R395" s="627"/>
      <c r="S395" s="627"/>
      <c r="T395" s="627"/>
      <c r="U395" s="627"/>
      <c r="V395" s="627"/>
      <c r="W395" s="627"/>
      <c r="X395" s="1664"/>
      <c r="Y395" s="627"/>
    </row>
    <row r="396" spans="2:25" ht="12.75" customHeight="1" x14ac:dyDescent="0.2">
      <c r="B396" s="1091"/>
      <c r="C396" s="77" t="s">
        <v>1905</v>
      </c>
      <c r="D396" s="2043">
        <v>5.452301321866539</v>
      </c>
      <c r="E396" s="2043"/>
      <c r="F396" s="2043">
        <v>10.316929447364229</v>
      </c>
      <c r="G396" s="2043"/>
      <c r="H396" s="2043">
        <v>28.384615384615376</v>
      </c>
      <c r="I396" s="2043"/>
      <c r="J396" s="2043">
        <v>22.769230769230763</v>
      </c>
      <c r="K396" s="2043">
        <v>33.07692307692308</v>
      </c>
      <c r="L396" s="2043"/>
      <c r="M396" s="2043">
        <v>99.999999999999986</v>
      </c>
      <c r="N396" s="2167">
        <f t="shared" si="4"/>
        <v>18.364315923905643</v>
      </c>
      <c r="O396" s="1086" t="s">
        <v>1837</v>
      </c>
      <c r="P396" s="1009"/>
      <c r="Q396" s="184"/>
      <c r="R396" s="627"/>
      <c r="S396" s="627"/>
      <c r="T396" s="627"/>
      <c r="U396" s="627"/>
      <c r="V396" s="627"/>
      <c r="W396" s="627"/>
      <c r="X396" s="1664"/>
      <c r="Y396" s="627"/>
    </row>
    <row r="397" spans="2:25" ht="12.75" customHeight="1" x14ac:dyDescent="0.2">
      <c r="B397" s="1091"/>
      <c r="C397" s="77" t="s">
        <v>1841</v>
      </c>
      <c r="D397" s="2043">
        <v>5.6312155964923427</v>
      </c>
      <c r="E397" s="2043"/>
      <c r="F397" s="2043">
        <v>10.655473823302877</v>
      </c>
      <c r="G397" s="2043"/>
      <c r="H397" s="2043">
        <v>20.150170648464158</v>
      </c>
      <c r="I397" s="2043"/>
      <c r="J397" s="2043">
        <v>41.99317406143345</v>
      </c>
      <c r="K397" s="2043">
        <v>21.569965870307161</v>
      </c>
      <c r="L397" s="2043"/>
      <c r="M397" s="2043">
        <v>99.999999999999986</v>
      </c>
      <c r="N397" s="2167">
        <f t="shared" si="4"/>
        <v>18.309736506983477</v>
      </c>
      <c r="O397" s="1086" t="s">
        <v>1837</v>
      </c>
      <c r="P397" s="1009"/>
      <c r="Q397" s="184"/>
      <c r="R397" s="627"/>
      <c r="S397" s="627"/>
      <c r="T397" s="627"/>
      <c r="U397" s="627"/>
      <c r="V397" s="627"/>
      <c r="W397" s="627"/>
      <c r="X397" s="1664"/>
      <c r="Y397" s="627"/>
    </row>
    <row r="398" spans="2:25" ht="12.75" customHeight="1" x14ac:dyDescent="0.2">
      <c r="B398" s="1091"/>
      <c r="C398" s="77" t="s">
        <v>531</v>
      </c>
      <c r="D398" s="2043">
        <v>18.681722046459598</v>
      </c>
      <c r="E398" s="2043">
        <v>7.3412455646641375</v>
      </c>
      <c r="F398" s="2043">
        <v>9.9421439932880027</v>
      </c>
      <c r="G398" s="2043">
        <v>22.915173655415916</v>
      </c>
      <c r="H398" s="2043">
        <v>41.119714740172341</v>
      </c>
      <c r="I398" s="2043"/>
      <c r="J398" s="2043"/>
      <c r="K398" s="2043"/>
      <c r="L398" s="2043"/>
      <c r="M398" s="2043">
        <v>100</v>
      </c>
      <c r="N398" s="2167">
        <f t="shared" si="4"/>
        <v>18.606387872741717</v>
      </c>
      <c r="O398" s="1086" t="s">
        <v>1836</v>
      </c>
      <c r="P398" s="1009"/>
      <c r="Q398" s="184"/>
      <c r="R398" s="627"/>
      <c r="S398" s="627"/>
      <c r="T398" s="627"/>
      <c r="U398" s="627"/>
      <c r="V398" s="627"/>
      <c r="W398" s="627"/>
      <c r="X398" s="1664"/>
      <c r="Y398" s="627"/>
    </row>
    <row r="399" spans="2:25" ht="12.75" customHeight="1" x14ac:dyDescent="0.2">
      <c r="B399" s="1091"/>
      <c r="C399" s="2045" t="s">
        <v>1844</v>
      </c>
      <c r="D399" s="1086"/>
      <c r="E399" s="1086"/>
      <c r="F399" s="1086"/>
      <c r="G399" s="1086"/>
      <c r="H399" s="1086"/>
      <c r="I399" s="1086"/>
      <c r="J399" s="1086"/>
      <c r="K399" s="1086"/>
      <c r="L399" s="1086"/>
      <c r="M399" s="1086"/>
      <c r="N399" s="1086"/>
      <c r="O399" s="1086"/>
      <c r="P399" s="1009"/>
      <c r="Q399" s="184"/>
      <c r="R399" s="627"/>
      <c r="S399" s="627"/>
      <c r="T399" s="627"/>
      <c r="U399" s="627"/>
      <c r="V399" s="627"/>
      <c r="W399" s="627"/>
      <c r="X399" s="1664"/>
      <c r="Y399" s="627"/>
    </row>
    <row r="400" spans="2:25" ht="28.5" customHeight="1" x14ac:dyDescent="0.2">
      <c r="B400" s="1091"/>
      <c r="C400" s="2046" t="s">
        <v>1845</v>
      </c>
      <c r="D400" s="1086">
        <v>0.66800000000000004</v>
      </c>
      <c r="E400" s="1086">
        <v>1.2</v>
      </c>
      <c r="F400" s="1086">
        <v>1.264</v>
      </c>
      <c r="G400" s="1086">
        <v>1.748</v>
      </c>
      <c r="H400" s="1086">
        <v>1.8819999999999999</v>
      </c>
      <c r="I400" s="1086">
        <v>2.504</v>
      </c>
      <c r="J400" s="1086">
        <v>2.5099999999999998</v>
      </c>
      <c r="K400" s="1086">
        <v>2.5</v>
      </c>
      <c r="L400" s="1086">
        <v>3.2280000000000002</v>
      </c>
      <c r="M400" s="1086"/>
      <c r="N400" s="1086"/>
      <c r="O400" s="1086"/>
      <c r="P400" s="1009"/>
      <c r="Q400" s="184"/>
      <c r="R400" s="627"/>
      <c r="S400" s="627"/>
      <c r="T400" s="627"/>
      <c r="U400" s="627"/>
      <c r="V400" s="627"/>
      <c r="W400" s="627"/>
      <c r="X400" s="1664"/>
      <c r="Y400" s="627"/>
    </row>
    <row r="401" spans="2:25" ht="21.75" customHeight="1" x14ac:dyDescent="0.2">
      <c r="B401" s="1091"/>
      <c r="C401" s="66" t="s">
        <v>1846</v>
      </c>
      <c r="D401" s="2047">
        <v>25.187032418952622</v>
      </c>
      <c r="E401" s="2047">
        <v>14.407988587731813</v>
      </c>
      <c r="F401" s="2047">
        <v>20.159680638722556</v>
      </c>
      <c r="G401" s="2047">
        <v>14.407988587731813</v>
      </c>
      <c r="H401" s="2047">
        <v>18.330308529945555</v>
      </c>
      <c r="I401" s="2047">
        <v>14.407988587731813</v>
      </c>
      <c r="J401" s="2047">
        <v>17.383820998278829</v>
      </c>
      <c r="K401" s="2047">
        <v>17.383820998278829</v>
      </c>
      <c r="L401" s="2047">
        <v>16.805324459234608</v>
      </c>
      <c r="M401" s="2048"/>
      <c r="N401" s="2048"/>
      <c r="O401" s="2048"/>
      <c r="P401" s="2049"/>
      <c r="Q401" s="184"/>
      <c r="R401" s="627"/>
      <c r="S401" s="627"/>
      <c r="T401" s="627"/>
      <c r="U401" s="627"/>
      <c r="V401" s="627"/>
      <c r="W401" s="627"/>
      <c r="X401" s="1664"/>
      <c r="Y401" s="627"/>
    </row>
    <row r="402" spans="2:25" ht="12.75" customHeight="1" x14ac:dyDescent="0.2">
      <c r="B402" s="1091"/>
      <c r="C402" s="16"/>
      <c r="D402" s="16"/>
      <c r="E402" s="16"/>
      <c r="F402" s="16"/>
      <c r="G402" s="16"/>
      <c r="H402" s="16"/>
      <c r="I402" s="16"/>
      <c r="J402" s="16"/>
      <c r="K402" s="16"/>
      <c r="L402" s="16"/>
      <c r="M402" s="16"/>
      <c r="N402" s="16"/>
      <c r="O402" s="16"/>
      <c r="P402" s="16"/>
      <c r="Q402" s="184"/>
      <c r="R402" s="627"/>
      <c r="S402" s="627"/>
      <c r="T402" s="627"/>
      <c r="U402" s="627"/>
      <c r="V402" s="627"/>
      <c r="W402" s="627"/>
      <c r="X402" s="1664"/>
      <c r="Y402" s="627"/>
    </row>
    <row r="403" spans="2:25" ht="12.75" customHeight="1" thickBot="1" x14ac:dyDescent="0.25">
      <c r="B403" s="1633"/>
      <c r="C403" s="1634"/>
      <c r="D403" s="1634"/>
      <c r="E403" s="1634"/>
      <c r="F403" s="1634"/>
      <c r="G403" s="1634"/>
      <c r="H403" s="1634"/>
      <c r="I403" s="1634"/>
      <c r="J403" s="1634"/>
      <c r="K403" s="1634"/>
      <c r="L403" s="1634"/>
      <c r="M403" s="1634"/>
      <c r="N403" s="1634"/>
      <c r="O403" s="1634"/>
      <c r="P403" s="1634"/>
      <c r="Q403" s="1634"/>
      <c r="R403" s="1634"/>
      <c r="S403" s="1634"/>
      <c r="T403" s="1634"/>
      <c r="U403" s="1634"/>
      <c r="V403" s="1634"/>
      <c r="W403" s="1634"/>
      <c r="X403" s="1635"/>
    </row>
    <row r="404" spans="2:25" ht="12.75" customHeight="1" x14ac:dyDescent="0.2">
      <c r="B404" s="1583"/>
      <c r="C404" s="1583"/>
      <c r="D404" s="1583"/>
      <c r="E404" s="1583"/>
      <c r="F404" s="1583"/>
      <c r="G404" s="1583"/>
      <c r="H404" s="1583"/>
      <c r="I404" s="1583"/>
      <c r="J404" s="1583"/>
      <c r="K404" s="1583"/>
      <c r="L404" s="1583"/>
      <c r="M404" s="1583"/>
      <c r="N404" s="1583"/>
      <c r="O404" s="1583"/>
      <c r="P404" s="1583"/>
    </row>
  </sheetData>
  <mergeCells count="6">
    <mergeCell ref="D387:P387"/>
    <mergeCell ref="D363:M364"/>
    <mergeCell ref="C2:E3"/>
    <mergeCell ref="J274:M277"/>
    <mergeCell ref="P203:Q204"/>
    <mergeCell ref="D370:P370"/>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tabColor rgb="FF00B050"/>
  </sheetPr>
  <dimension ref="A1:T107"/>
  <sheetViews>
    <sheetView zoomScale="70" zoomScaleNormal="70" zoomScalePageLayoutView="55" workbookViewId="0"/>
  </sheetViews>
  <sheetFormatPr defaultColWidth="8.85546875" defaultRowHeight="18" customHeight="1" x14ac:dyDescent="0.2"/>
  <cols>
    <col min="1" max="3" width="3.42578125" customWidth="1"/>
    <col min="4" max="4" width="29.85546875" customWidth="1"/>
    <col min="5" max="5" width="31.42578125" customWidth="1"/>
    <col min="6" max="6" width="15.85546875" customWidth="1"/>
    <col min="7" max="9" width="20" customWidth="1"/>
    <col min="10" max="10" width="41.140625" bestFit="1" customWidth="1"/>
    <col min="11" max="16" width="20" customWidth="1"/>
    <col min="17" max="17" width="22.7109375" customWidth="1"/>
    <col min="18" max="18" width="8.85546875" customWidth="1"/>
    <col min="19" max="19" width="7.140625" customWidth="1"/>
    <col min="20" max="20" width="8.85546875" customWidth="1"/>
    <col min="25" max="25" width="8.85546875" customWidth="1"/>
  </cols>
  <sheetData>
    <row r="1" spans="1:20" ht="18" customHeight="1" thickBot="1" x14ac:dyDescent="0.25">
      <c r="A1" s="1160"/>
      <c r="B1" s="1160"/>
      <c r="C1" s="1160"/>
      <c r="D1" s="1160"/>
      <c r="E1" s="1160"/>
      <c r="F1" s="1160"/>
      <c r="G1" s="1160"/>
      <c r="H1" s="1160"/>
      <c r="I1" s="1160"/>
      <c r="J1" s="1160"/>
      <c r="K1" s="1160"/>
      <c r="L1" s="1160"/>
      <c r="M1" s="1160"/>
      <c r="N1" s="1160"/>
      <c r="O1" s="1160"/>
      <c r="P1" s="1160"/>
      <c r="Q1" s="1160"/>
      <c r="R1" s="1160"/>
      <c r="S1" s="1160"/>
      <c r="T1" s="184"/>
    </row>
    <row r="2" spans="1:20" ht="18" customHeight="1" x14ac:dyDescent="0.2">
      <c r="A2" s="1160"/>
      <c r="B2" s="1098"/>
      <c r="C2" s="2480" t="s">
        <v>1685</v>
      </c>
      <c r="D2" s="2480"/>
      <c r="E2" s="2480"/>
      <c r="F2" s="2480"/>
      <c r="G2" s="2480"/>
      <c r="H2" s="1672"/>
      <c r="I2" s="1672"/>
      <c r="J2" s="1099"/>
      <c r="K2" s="1099"/>
      <c r="L2" s="1099"/>
      <c r="M2" s="1099"/>
      <c r="N2" s="1099"/>
      <c r="O2" s="1099"/>
      <c r="P2" s="1099"/>
      <c r="Q2" s="1099"/>
      <c r="R2" s="1099"/>
      <c r="S2" s="1670"/>
      <c r="T2" s="184"/>
    </row>
    <row r="3" spans="1:20" ht="18" customHeight="1" x14ac:dyDescent="0.2">
      <c r="A3" s="1160"/>
      <c r="B3" s="1100"/>
      <c r="C3" s="2481"/>
      <c r="D3" s="2481"/>
      <c r="E3" s="2481"/>
      <c r="F3" s="2481"/>
      <c r="G3" s="2481"/>
      <c r="H3" s="1673"/>
      <c r="I3" s="1673"/>
      <c r="J3" s="1101"/>
      <c r="K3" s="1101"/>
      <c r="L3" s="1101"/>
      <c r="M3" s="1101"/>
      <c r="N3" s="1101"/>
      <c r="O3" s="1101"/>
      <c r="P3" s="1101"/>
      <c r="Q3" s="1101"/>
      <c r="R3" s="1101"/>
      <c r="S3" s="1671"/>
      <c r="T3" s="184"/>
    </row>
    <row r="4" spans="1:20" ht="18" customHeight="1" x14ac:dyDescent="0.2">
      <c r="A4" s="1160"/>
      <c r="B4" s="1147"/>
      <c r="C4" s="1102"/>
      <c r="D4" s="1102"/>
      <c r="E4" s="1102"/>
      <c r="F4" s="1102"/>
      <c r="G4" s="1102"/>
      <c r="H4" s="1102"/>
      <c r="I4" s="1102"/>
      <c r="J4" s="1102"/>
      <c r="K4" s="1102"/>
      <c r="L4" s="1102"/>
      <c r="M4" s="1102"/>
      <c r="N4" s="1102"/>
      <c r="O4" s="1102"/>
      <c r="P4" s="1102"/>
      <c r="Q4" s="1102"/>
      <c r="R4" s="329"/>
      <c r="S4" s="1626"/>
      <c r="T4" s="184"/>
    </row>
    <row r="5" spans="1:20" ht="18" customHeight="1" x14ac:dyDescent="0.2">
      <c r="A5" s="1160"/>
      <c r="B5" s="1147"/>
      <c r="C5" s="2482" t="s">
        <v>1346</v>
      </c>
      <c r="D5" s="2483"/>
      <c r="E5" s="2484"/>
      <c r="F5" s="1102"/>
      <c r="G5" s="1102"/>
      <c r="H5" s="1102"/>
      <c r="I5" s="1102"/>
      <c r="J5" s="1102"/>
      <c r="K5" s="1102"/>
      <c r="L5" s="1102"/>
      <c r="M5" s="1102"/>
      <c r="N5" s="1102"/>
      <c r="O5" s="1102"/>
      <c r="P5" s="1102"/>
      <c r="Q5" s="1102"/>
      <c r="R5" s="329"/>
      <c r="S5" s="1626"/>
      <c r="T5" s="184"/>
    </row>
    <row r="6" spans="1:20" ht="18" customHeight="1" x14ac:dyDescent="0.2">
      <c r="A6" s="1160"/>
      <c r="B6" s="1147"/>
      <c r="C6" s="2485"/>
      <c r="D6" s="2486"/>
      <c r="E6" s="2487"/>
      <c r="F6" s="1102"/>
      <c r="G6" s="1102"/>
      <c r="H6" s="1102"/>
      <c r="I6" s="1102"/>
      <c r="J6" s="1102"/>
      <c r="K6" s="1102"/>
      <c r="L6" s="1102"/>
      <c r="M6" s="1102"/>
      <c r="N6" s="1102"/>
      <c r="O6" s="1102"/>
      <c r="P6" s="1102"/>
      <c r="Q6" s="1102"/>
      <c r="R6" s="329"/>
      <c r="S6" s="1626"/>
      <c r="T6" s="184"/>
    </row>
    <row r="7" spans="1:20" ht="18" customHeight="1" x14ac:dyDescent="0.2">
      <c r="A7" s="1160"/>
      <c r="B7" s="1147"/>
      <c r="C7" s="1103"/>
      <c r="D7" s="1308"/>
      <c r="E7" s="1308"/>
      <c r="F7" s="1308"/>
      <c r="G7" s="1308"/>
      <c r="H7" s="1308"/>
      <c r="I7" s="1308"/>
      <c r="J7" s="1308"/>
      <c r="K7" s="1308"/>
      <c r="L7" s="1308"/>
      <c r="M7" s="1308"/>
      <c r="N7" s="1308"/>
      <c r="O7" s="1308"/>
      <c r="P7" s="1308"/>
      <c r="Q7" s="1308"/>
      <c r="R7" s="1581"/>
      <c r="S7" s="1626"/>
      <c r="T7" s="184"/>
    </row>
    <row r="8" spans="1:20" ht="18" customHeight="1" x14ac:dyDescent="0.35">
      <c r="A8" s="1160"/>
      <c r="B8" s="1147"/>
      <c r="C8" s="2508" t="s">
        <v>1427</v>
      </c>
      <c r="D8" s="2509"/>
      <c r="E8" s="1102"/>
      <c r="F8" s="1102"/>
      <c r="G8" s="1102"/>
      <c r="H8" s="1102"/>
      <c r="I8" s="1102"/>
      <c r="J8" s="1102"/>
      <c r="K8" s="1102"/>
      <c r="L8" s="1102"/>
      <c r="M8" s="1102"/>
      <c r="N8" s="1102"/>
      <c r="O8" s="1102"/>
      <c r="P8" s="1102"/>
      <c r="Q8" s="1102"/>
      <c r="R8" s="1582"/>
      <c r="S8" s="1626"/>
      <c r="T8" s="184"/>
    </row>
    <row r="9" spans="1:20" ht="18" customHeight="1" x14ac:dyDescent="0.2">
      <c r="A9" s="1160"/>
      <c r="B9" s="1147"/>
      <c r="C9" s="1104"/>
      <c r="D9" s="1102"/>
      <c r="E9" s="1102"/>
      <c r="F9" s="1102"/>
      <c r="G9" s="1102"/>
      <c r="H9" s="1102"/>
      <c r="I9" s="1102"/>
      <c r="J9" s="1102"/>
      <c r="K9" s="1102"/>
      <c r="L9" s="1102"/>
      <c r="M9" s="1102"/>
      <c r="N9" s="1102"/>
      <c r="O9" s="1102"/>
      <c r="P9" s="1102"/>
      <c r="Q9" s="1102"/>
      <c r="R9" s="1582"/>
      <c r="S9" s="1626"/>
      <c r="T9" s="184"/>
    </row>
    <row r="10" spans="1:20" ht="18" customHeight="1" x14ac:dyDescent="0.2">
      <c r="A10" s="1160"/>
      <c r="B10" s="1147"/>
      <c r="C10" s="1104"/>
      <c r="D10" s="1310" t="s">
        <v>683</v>
      </c>
      <c r="E10" s="1311">
        <v>1</v>
      </c>
      <c r="F10" s="1102"/>
      <c r="G10" s="1102"/>
      <c r="H10" s="1102"/>
      <c r="I10" s="1102"/>
      <c r="J10" s="1102"/>
      <c r="K10" s="1102"/>
      <c r="L10" s="1102"/>
      <c r="M10" s="1102"/>
      <c r="N10" s="1102"/>
      <c r="O10" s="1102"/>
      <c r="P10" s="1102"/>
      <c r="Q10" s="1102"/>
      <c r="R10" s="1582"/>
      <c r="S10" s="1626"/>
      <c r="T10" s="184"/>
    </row>
    <row r="11" spans="1:20" ht="18" customHeight="1" x14ac:dyDescent="0.2">
      <c r="A11" s="1160"/>
      <c r="B11" s="1147"/>
      <c r="C11" s="1104"/>
      <c r="D11" s="1211" t="s">
        <v>1431</v>
      </c>
      <c r="E11" s="1189">
        <v>1</v>
      </c>
      <c r="F11" s="1102"/>
      <c r="G11" s="1102"/>
      <c r="H11" s="1102"/>
      <c r="I11" s="1102"/>
      <c r="J11" s="1102"/>
      <c r="K11" s="1102"/>
      <c r="L11" s="1102"/>
      <c r="M11" s="1102"/>
      <c r="N11" s="1102"/>
      <c r="O11" s="1102"/>
      <c r="P11" s="1102"/>
      <c r="Q11" s="1102"/>
      <c r="R11" s="1582"/>
      <c r="S11" s="1626"/>
      <c r="T11" s="184"/>
    </row>
    <row r="12" spans="1:20" ht="18" customHeight="1" x14ac:dyDescent="0.2">
      <c r="A12" s="1160"/>
      <c r="B12" s="1147"/>
      <c r="C12" s="1104"/>
      <c r="D12" s="1211" t="s">
        <v>1432</v>
      </c>
      <c r="E12" s="1189">
        <v>2</v>
      </c>
      <c r="F12" s="1102"/>
      <c r="G12" s="1102"/>
      <c r="H12" s="1102"/>
      <c r="I12" s="1102"/>
      <c r="J12" s="1102"/>
      <c r="K12" s="1102"/>
      <c r="L12" s="1312"/>
      <c r="M12" s="1102"/>
      <c r="N12" s="1102"/>
      <c r="O12" s="1102"/>
      <c r="P12" s="1102"/>
      <c r="Q12" s="1102"/>
      <c r="R12" s="1582"/>
      <c r="S12" s="1626"/>
      <c r="T12" s="184"/>
    </row>
    <row r="13" spans="1:20" ht="18" customHeight="1" x14ac:dyDescent="0.2">
      <c r="A13" s="1160"/>
      <c r="B13" s="1147"/>
      <c r="C13" s="1104"/>
      <c r="D13" s="1211"/>
      <c r="E13" s="1211"/>
      <c r="F13" s="1102"/>
      <c r="G13" s="1102"/>
      <c r="H13" s="1102"/>
      <c r="I13" s="1102"/>
      <c r="J13" s="1102"/>
      <c r="K13" s="1102"/>
      <c r="L13" s="1102"/>
      <c r="M13" s="1102"/>
      <c r="N13" s="1102"/>
      <c r="O13" s="1102"/>
      <c r="P13" s="1102"/>
      <c r="Q13" s="1102"/>
      <c r="R13" s="1582"/>
      <c r="S13" s="1626"/>
      <c r="T13" s="184"/>
    </row>
    <row r="14" spans="1:20" ht="18" customHeight="1" x14ac:dyDescent="0.35">
      <c r="A14" s="1160"/>
      <c r="B14" s="1147"/>
      <c r="C14" s="1539" t="s">
        <v>217</v>
      </c>
      <c r="D14" s="1540"/>
      <c r="E14" s="1313"/>
      <c r="F14" s="1540"/>
      <c r="G14" s="1102"/>
      <c r="H14" s="1102"/>
      <c r="I14" s="1102"/>
      <c r="J14" s="1102"/>
      <c r="K14" s="1102"/>
      <c r="L14" s="1102"/>
      <c r="M14" s="1102"/>
      <c r="N14" s="1102"/>
      <c r="O14" s="1102"/>
      <c r="P14" s="1102"/>
      <c r="Q14" s="1102"/>
      <c r="R14" s="1582"/>
      <c r="S14" s="1626"/>
      <c r="T14" s="184"/>
    </row>
    <row r="15" spans="1:20" ht="18" customHeight="1" x14ac:dyDescent="0.35">
      <c r="A15" s="1160"/>
      <c r="B15" s="1147"/>
      <c r="C15" s="1314"/>
      <c r="D15" s="1315"/>
      <c r="E15" s="1315"/>
      <c r="F15" s="1315"/>
      <c r="G15" s="1102"/>
      <c r="H15" s="1102"/>
      <c r="I15" s="1102"/>
      <c r="J15" s="1102"/>
      <c r="K15" s="1102"/>
      <c r="L15" s="1102"/>
      <c r="M15" s="1102"/>
      <c r="N15" s="1102"/>
      <c r="O15" s="1102"/>
      <c r="P15" s="1102"/>
      <c r="Q15" s="1102"/>
      <c r="R15" s="1582"/>
      <c r="S15" s="1626"/>
      <c r="T15" s="184"/>
    </row>
    <row r="16" spans="1:20" ht="18" customHeight="1" x14ac:dyDescent="0.2">
      <c r="A16" s="1160"/>
      <c r="B16" s="1147"/>
      <c r="C16" s="1104"/>
      <c r="D16" s="1316"/>
      <c r="E16" s="2504" t="s">
        <v>315</v>
      </c>
      <c r="F16" s="2505"/>
      <c r="G16" s="2505"/>
      <c r="H16" s="2505"/>
      <c r="I16" s="2505"/>
      <c r="J16" s="2505"/>
      <c r="K16" s="2505"/>
      <c r="L16" s="2505"/>
      <c r="M16" s="2505"/>
      <c r="N16" s="2506"/>
      <c r="O16" s="1102"/>
      <c r="P16" s="2499" t="s">
        <v>316</v>
      </c>
      <c r="Q16" s="2500"/>
      <c r="R16" s="1582"/>
      <c r="S16" s="1626"/>
      <c r="T16" s="184"/>
    </row>
    <row r="17" spans="1:20" ht="18" customHeight="1" x14ac:dyDescent="0.2">
      <c r="A17" s="1160"/>
      <c r="B17" s="1147"/>
      <c r="C17" s="1104"/>
      <c r="D17" s="1103"/>
      <c r="E17" s="1537" t="s">
        <v>580</v>
      </c>
      <c r="F17" s="1538" t="s">
        <v>109</v>
      </c>
      <c r="G17" s="2501" t="s">
        <v>705</v>
      </c>
      <c r="H17" s="2502"/>
      <c r="I17" s="2502"/>
      <c r="J17" s="2503"/>
      <c r="K17" s="2501" t="s">
        <v>706</v>
      </c>
      <c r="L17" s="2502"/>
      <c r="M17" s="2502"/>
      <c r="N17" s="2503"/>
      <c r="O17" s="1102"/>
      <c r="P17" s="2516" t="str">
        <f>IF('Energy &amp; Unit Conversions'!$E$10=1,G17,K17)</f>
        <v>Lower Heating Value [1]</v>
      </c>
      <c r="Q17" s="2517"/>
      <c r="R17" s="1582"/>
      <c r="S17" s="1626"/>
      <c r="T17" s="184"/>
    </row>
    <row r="18" spans="1:20" ht="18" customHeight="1" x14ac:dyDescent="0.2">
      <c r="A18" s="1160"/>
      <c r="B18" s="1147"/>
      <c r="C18" s="1104"/>
      <c r="D18" s="1104"/>
      <c r="E18" s="1535"/>
      <c r="F18" s="1534"/>
      <c r="G18" s="2491" t="s">
        <v>312</v>
      </c>
      <c r="H18" s="2493"/>
      <c r="I18" s="2493"/>
      <c r="J18" s="2492"/>
      <c r="K18" s="2491" t="s">
        <v>313</v>
      </c>
      <c r="L18" s="2493"/>
      <c r="M18" s="2493"/>
      <c r="N18" s="2492"/>
      <c r="O18" s="1102"/>
      <c r="P18" s="2491" t="str">
        <f>IF('Energy &amp; Unit Conversions'!$E$10=1,G18,K18)</f>
        <v>LHV</v>
      </c>
      <c r="Q18" s="2492"/>
      <c r="R18" s="1582"/>
      <c r="S18" s="1626"/>
      <c r="T18" s="184"/>
    </row>
    <row r="19" spans="1:20" ht="18" customHeight="1" x14ac:dyDescent="0.2">
      <c r="A19" s="1160"/>
      <c r="B19" s="1147"/>
      <c r="C19" s="1104"/>
      <c r="D19" s="1317"/>
      <c r="E19" s="1535" t="s">
        <v>269</v>
      </c>
      <c r="F19" s="1534" t="s">
        <v>110</v>
      </c>
      <c r="G19" s="1533" t="s">
        <v>268</v>
      </c>
      <c r="H19" s="1535" t="s">
        <v>265</v>
      </c>
      <c r="I19" s="1535" t="s">
        <v>245</v>
      </c>
      <c r="J19" s="1534" t="s">
        <v>266</v>
      </c>
      <c r="K19" s="1533" t="s">
        <v>268</v>
      </c>
      <c r="L19" s="1535" t="s">
        <v>265</v>
      </c>
      <c r="M19" s="1535" t="s">
        <v>245</v>
      </c>
      <c r="N19" s="1534" t="s">
        <v>266</v>
      </c>
      <c r="O19" s="1102"/>
      <c r="P19" s="1533" t="s">
        <v>245</v>
      </c>
      <c r="Q19" s="1534" t="s">
        <v>266</v>
      </c>
      <c r="R19" s="1582"/>
      <c r="S19" s="1626"/>
      <c r="T19" s="184"/>
    </row>
    <row r="20" spans="1:20" ht="18" customHeight="1" x14ac:dyDescent="0.2">
      <c r="A20" s="1160"/>
      <c r="B20" s="1147"/>
      <c r="C20" s="1104"/>
      <c r="D20" s="1508" t="s">
        <v>270</v>
      </c>
      <c r="E20" s="1318">
        <v>2819</v>
      </c>
      <c r="F20" s="1319"/>
      <c r="G20" s="1320">
        <v>116090</v>
      </c>
      <c r="H20" s="1321">
        <f>G20/$E20*'Energy &amp; Unit Conversions'!$E$93*'Energy &amp; Unit Conversions'!$G$79</f>
        <v>18679.509837992195</v>
      </c>
      <c r="I20" s="1321">
        <f>G20*('Energy &amp; Unit Conversions'!$G$84/'Energy &amp; Unit Conversions'!$E$94)/'Energy &amp; Unit Conversions'!$G$83</f>
        <v>32356.169930949603</v>
      </c>
      <c r="J20" s="1322">
        <f>H20*'Energy &amp; Unit Conversions'!$G$84/'Energy &amp; Unit Conversions'!$E$94/'Energy &amp; Unit Conversions'!$G$79</f>
        <v>43.448539883169843</v>
      </c>
      <c r="K20" s="1320">
        <v>124340</v>
      </c>
      <c r="L20" s="1321">
        <f>K20/$E20*'Energy &amp; Unit Conversions'!$E$93*'Energy &amp; Unit Conversions'!$G$79</f>
        <v>20006.979526711602</v>
      </c>
      <c r="M20" s="1321">
        <f>K20*('Energy &amp; Unit Conversions'!$G$84/'Energy &amp; Unit Conversions'!$E$94)/'Energy &amp; Unit Conversions'!$G$83</f>
        <v>34655.579026740234</v>
      </c>
      <c r="N20" s="1322">
        <f>L20*'Energy &amp; Unit Conversions'!$G$84/'Energy &amp; Unit Conversions'!$E$94/'Energy &amp; Unit Conversions'!$G$79</f>
        <v>46.53623437913118</v>
      </c>
      <c r="O20" s="1102"/>
      <c r="P20" s="1323">
        <f>IF('Energy &amp; Unit Conversions'!$E$10=1,I20,M20)</f>
        <v>32356.169930949603</v>
      </c>
      <c r="Q20" s="1322">
        <f>IF('Energy &amp; Unit Conversions'!$E$10=1,J20,N20)</f>
        <v>43.448539883169843</v>
      </c>
      <c r="R20" s="1582"/>
      <c r="S20" s="1626"/>
      <c r="T20" s="184"/>
    </row>
    <row r="21" spans="1:20" ht="18" customHeight="1" x14ac:dyDescent="0.2">
      <c r="A21" s="1160"/>
      <c r="B21" s="1147"/>
      <c r="C21" s="1104"/>
      <c r="D21" s="1508" t="s">
        <v>271</v>
      </c>
      <c r="E21" s="1318">
        <v>3206</v>
      </c>
      <c r="F21" s="1319"/>
      <c r="G21" s="1320">
        <v>129487.84757606639</v>
      </c>
      <c r="H21" s="1321">
        <f>G21/$E21*'Energy &amp; Unit Conversions'!$E$93*'Energy &amp; Unit Conversions'!$G$79</f>
        <v>18320.243190338962</v>
      </c>
      <c r="I21" s="1321">
        <f>G21*('Energy &amp; Unit Conversions'!$G$84/'Energy &amp; Unit Conversions'!$E$94)/'Energy &amp; Unit Conversions'!$G$83</f>
        <v>36090.367819485786</v>
      </c>
      <c r="J21" s="1322">
        <f>H21*'Energy &amp; Unit Conversions'!$G$84/'Energy &amp; Unit Conversions'!$E$94/'Energy &amp; Unit Conversions'!$G$79</f>
        <v>42.612885660728423</v>
      </c>
      <c r="K21" s="1320">
        <v>138490</v>
      </c>
      <c r="L21" s="1321">
        <f>K21/$E21*'Energy &amp; Unit Conversions'!$E$93*'Energy &amp; Unit Conversions'!$G$79</f>
        <v>19593.888746506553</v>
      </c>
      <c r="M21" s="1321">
        <f>K21*('Energy &amp; Unit Conversions'!$G$84/'Energy &amp; Unit Conversions'!$E$94)/'Energy &amp; Unit Conversions'!$G$83</f>
        <v>38599.414021338707</v>
      </c>
      <c r="N21" s="1322">
        <f>L21*'Energy &amp; Unit Conversions'!$G$84/'Energy &amp; Unit Conversions'!$E$94/'Energy &amp; Unit Conversions'!$G$79</f>
        <v>45.575385224374244</v>
      </c>
      <c r="O21" s="1102"/>
      <c r="P21" s="1323">
        <f>IF('Energy &amp; Unit Conversions'!$E$10=1,I21,M21)</f>
        <v>36090.367819485786</v>
      </c>
      <c r="Q21" s="1322">
        <f>IF('Energy &amp; Unit Conversions'!$E$10=1,J21,N21)</f>
        <v>42.612885660728423</v>
      </c>
      <c r="R21" s="1582"/>
      <c r="S21" s="1626"/>
      <c r="T21" s="184"/>
    </row>
    <row r="22" spans="1:20" ht="18" customHeight="1" x14ac:dyDescent="0.2">
      <c r="A22" s="1160"/>
      <c r="B22" s="1147"/>
      <c r="C22" s="1104"/>
      <c r="D22" s="1508" t="s">
        <v>272</v>
      </c>
      <c r="E22" s="1318">
        <v>3752</v>
      </c>
      <c r="F22" s="1319"/>
      <c r="G22" s="1320">
        <v>140352.52220119376</v>
      </c>
      <c r="H22" s="1321">
        <f>G22/$E22*'Energy &amp; Unit Conversions'!$E$93*'Energy &amp; Unit Conversions'!$G$79</f>
        <v>16967.706071619697</v>
      </c>
      <c r="I22" s="1321">
        <f>G22*('Energy &amp; Unit Conversions'!$G$84/'Energy &amp; Unit Conversions'!$E$94)/'Energy &amp; Unit Conversions'!$G$83</f>
        <v>39118.529232312882</v>
      </c>
      <c r="J22" s="1322">
        <f>H22*'Energy &amp; Unit Conversions'!$G$84/'Energy &amp; Unit Conversions'!$E$94/'Energy &amp; Unit Conversions'!$G$79</f>
        <v>39.466884322587418</v>
      </c>
      <c r="K22" s="1320">
        <v>150110</v>
      </c>
      <c r="L22" s="1321">
        <f>K22/$E22*'Energy &amp; Unit Conversions'!$E$93*'Energy &amp; Unit Conversions'!$G$79</f>
        <v>18147.321604664179</v>
      </c>
      <c r="M22" s="1321">
        <f>K22*('Energy &amp; Unit Conversions'!$G$84/'Energy &amp; Unit Conversions'!$E$94)/'Energy &amp; Unit Conversions'!$G$83</f>
        <v>41838.096893228059</v>
      </c>
      <c r="N22" s="1322">
        <f>L22*'Energy &amp; Unit Conversions'!$G$84/'Energy &amp; Unit Conversions'!$E$94/'Energy &amp; Unit Conversions'!$G$79</f>
        <v>42.210670052448876</v>
      </c>
      <c r="O22" s="1102"/>
      <c r="P22" s="1323">
        <f>IF('Energy &amp; Unit Conversions'!$E$10=1,I22,M22)</f>
        <v>39118.529232312882</v>
      </c>
      <c r="Q22" s="1322">
        <f>IF('Energy &amp; Unit Conversions'!$E$10=1,J22,N22)</f>
        <v>39.466884322587418</v>
      </c>
      <c r="R22" s="1582"/>
      <c r="S22" s="1626"/>
      <c r="T22" s="184"/>
    </row>
    <row r="23" spans="1:20" ht="18" customHeight="1" x14ac:dyDescent="0.2">
      <c r="A23" s="1160"/>
      <c r="B23" s="1147"/>
      <c r="C23" s="1104"/>
      <c r="D23" s="2520" t="s">
        <v>247</v>
      </c>
      <c r="E23" s="1324"/>
      <c r="F23" s="1319"/>
      <c r="G23" s="1320"/>
      <c r="H23" s="1321"/>
      <c r="I23" s="1324"/>
      <c r="J23" s="1322"/>
      <c r="K23" s="1320"/>
      <c r="L23" s="1324"/>
      <c r="M23" s="1324"/>
      <c r="N23" s="1322"/>
      <c r="O23" s="1102"/>
      <c r="P23" s="1323"/>
      <c r="Q23" s="1322"/>
      <c r="R23" s="1582"/>
      <c r="S23" s="1626"/>
      <c r="T23" s="184"/>
    </row>
    <row r="24" spans="1:20" ht="18" customHeight="1" x14ac:dyDescent="0.2">
      <c r="A24" s="1160"/>
      <c r="B24" s="1147"/>
      <c r="C24" s="1104"/>
      <c r="D24" s="2520"/>
      <c r="E24" s="1535" t="s">
        <v>267</v>
      </c>
      <c r="F24" s="1534" t="s">
        <v>110</v>
      </c>
      <c r="G24" s="1533" t="s">
        <v>264</v>
      </c>
      <c r="H24" s="1535" t="s">
        <v>265</v>
      </c>
      <c r="I24" s="1535" t="s">
        <v>245</v>
      </c>
      <c r="J24" s="1534" t="s">
        <v>266</v>
      </c>
      <c r="K24" s="1533" t="s">
        <v>264</v>
      </c>
      <c r="L24" s="1535" t="s">
        <v>265</v>
      </c>
      <c r="M24" s="1535" t="s">
        <v>245</v>
      </c>
      <c r="N24" s="1534" t="s">
        <v>266</v>
      </c>
      <c r="O24" s="1102"/>
      <c r="P24" s="1533" t="s">
        <v>245</v>
      </c>
      <c r="Q24" s="1534" t="s">
        <v>266</v>
      </c>
      <c r="R24" s="1582"/>
      <c r="S24" s="1626"/>
      <c r="T24" s="184"/>
    </row>
    <row r="25" spans="1:20" ht="18" customHeight="1" x14ac:dyDescent="0.2">
      <c r="A25" s="1160"/>
      <c r="B25" s="1147"/>
      <c r="C25" s="1104"/>
      <c r="D25" s="1508" t="s">
        <v>314</v>
      </c>
      <c r="E25" s="1324">
        <v>22</v>
      </c>
      <c r="F25" s="1325">
        <v>0.72399999999999998</v>
      </c>
      <c r="G25" s="1320">
        <v>983</v>
      </c>
      <c r="H25" s="1321">
        <f>G25/$E25*'Energy &amp; Unit Conversions'!$E$93*'Energy &amp; Unit Conversions'!$G$79</f>
        <v>20267.331804999998</v>
      </c>
      <c r="I25" s="1324">
        <f>G25*('Energy &amp; Unit Conversions'!$G$84/'Energy &amp; Unit Conversions'!$E$94)/'Energy &amp; Unit Conversions'!$G$81</f>
        <v>36.625539321127178</v>
      </c>
      <c r="J25" s="1322">
        <f>H25*'Energy &amp; Unit Conversions'!$G$84/'Energy &amp; Unit Conversions'!$E$94/'Energy &amp; Unit Conversions'!$G$79</f>
        <v>47.141813778429992</v>
      </c>
      <c r="K25" s="1320">
        <v>1089</v>
      </c>
      <c r="L25" s="1321">
        <f>K25/$E25*'Energy &amp; Unit Conversions'!$E$93*'Energy &amp; Unit Conversions'!$G$79</f>
        <v>22452.822315000001</v>
      </c>
      <c r="M25" s="1324">
        <f>K25*('Energy &amp; Unit Conversions'!$G$84/'Energy &amp; Unit Conversions'!$E$94)/'Energy &amp; Unit Conversions'!$G$81</f>
        <v>40.57498710143183</v>
      </c>
      <c r="N25" s="1322">
        <f>L25*'Energy &amp; Unit Conversions'!$G$84/'Energy &amp; Unit Conversions'!$E$94/'Energy &amp; Unit Conversions'!$G$79</f>
        <v>52.225264704689998</v>
      </c>
      <c r="O25" s="1102"/>
      <c r="P25" s="1323">
        <f>IF('Energy &amp; Unit Conversions'!$E$10=1,I25,M25)</f>
        <v>36.625539321127178</v>
      </c>
      <c r="Q25" s="1322">
        <f>IF('Energy &amp; Unit Conversions'!$E$10=1,J25,N25)</f>
        <v>47.141813778429992</v>
      </c>
      <c r="R25" s="1582"/>
      <c r="S25" s="1626"/>
      <c r="T25" s="184"/>
    </row>
    <row r="26" spans="1:20" ht="18" customHeight="1" x14ac:dyDescent="0.2">
      <c r="A26" s="1160"/>
      <c r="B26" s="1147"/>
      <c r="C26" s="1104"/>
      <c r="D26" s="1508" t="s">
        <v>695</v>
      </c>
      <c r="E26" s="1324">
        <f>2.40810150775111</f>
        <v>2.4081015077511099</v>
      </c>
      <c r="F26" s="1319"/>
      <c r="G26" s="1320">
        <v>290</v>
      </c>
      <c r="H26" s="1321">
        <f>G26/$E26*'Energy &amp; Unit Conversions'!$E$93*'Energy &amp; Unit Conversions'!$G$79</f>
        <v>54624.685411556806</v>
      </c>
      <c r="I26" s="1324">
        <f>G26*('Energy &amp; Unit Conversions'!$G$84/'Energy &amp; Unit Conversions'!$E$94)/'Energy &amp; Unit Conversions'!$G$81</f>
        <v>10.80509298385237</v>
      </c>
      <c r="J26" s="1322">
        <f>H26*'Energy &amp; Unit Conversions'!$G$84/'Energy &amp; Unit Conversions'!$E$94/'Energy &amp; Unit Conversions'!$G$79</f>
        <v>127.05701826728111</v>
      </c>
      <c r="K26" s="1320">
        <v>343</v>
      </c>
      <c r="L26" s="1321">
        <f>K26/$E26*'Energy &amp; Unit Conversions'!$E$93*'Energy &amp; Unit Conversions'!$G$79</f>
        <v>64607.817572979257</v>
      </c>
      <c r="M26" s="1324">
        <f>K26*('Energy &amp; Unit Conversions'!$G$84/'Energy &amp; Unit Conversions'!$E$94)/'Energy &amp; Unit Conversions'!$G$81</f>
        <v>12.779816874004702</v>
      </c>
      <c r="N26" s="1322">
        <f>L26*'Energy &amp; Unit Conversions'!$G$84/'Energy &amp; Unit Conversions'!$E$94/'Energy &amp; Unit Conversions'!$G$79</f>
        <v>150.27778367474977</v>
      </c>
      <c r="O26" s="1102"/>
      <c r="P26" s="1323">
        <f>IF('Energy &amp; Unit Conversions'!$E$10=1,I26,M26)</f>
        <v>10.80509298385237</v>
      </c>
      <c r="Q26" s="1322">
        <f>IF('Energy &amp; Unit Conversions'!$E$10=1,J26,N26)</f>
        <v>127.05701826728111</v>
      </c>
      <c r="R26" s="1582"/>
      <c r="S26" s="1626"/>
      <c r="T26" s="184"/>
    </row>
    <row r="27" spans="1:20" ht="18" customHeight="1" x14ac:dyDescent="0.2">
      <c r="A27" s="1160"/>
      <c r="B27" s="1147"/>
      <c r="C27" s="1104"/>
      <c r="D27" s="1508" t="s">
        <v>1554</v>
      </c>
      <c r="E27" s="1324">
        <v>32.799999999999997</v>
      </c>
      <c r="F27" s="1319"/>
      <c r="G27" s="1320">
        <v>1458</v>
      </c>
      <c r="H27" s="1321">
        <f>G27/$E27*'Energy &amp; Unit Conversions'!$E$93*'Energy &amp; Unit Conversions'!$G$79</f>
        <v>20162.734007926829</v>
      </c>
      <c r="I27" s="1324">
        <f>G27*('Energy &amp; Unit Conversions'!$G$84/'Energy &amp; Unit Conversions'!$E$94)/'Energy &amp; Unit Conversions'!$G$81</f>
        <v>54.323536449850884</v>
      </c>
      <c r="J27" s="1322">
        <f>H27*'Energy &amp; Unit Conversions'!$G$84/'Energy &amp; Unit Conversions'!$E$94/'Energy &amp; Unit Conversions'!$G$79</f>
        <v>46.898519302437805</v>
      </c>
      <c r="K27" s="1320">
        <v>1584</v>
      </c>
      <c r="L27" s="1321">
        <f>K27/$E27*'Energy &amp; Unit Conversions'!$E$93*'Energy &amp; Unit Conversions'!$G$79</f>
        <v>21905.192502439026</v>
      </c>
      <c r="M27" s="1324">
        <f>K27*('Energy &amp; Unit Conversions'!$G$84/'Energy &amp; Unit Conversions'!$E$94)/'Energy &amp; Unit Conversions'!$G$81</f>
        <v>59.018163056628119</v>
      </c>
      <c r="N27" s="1322">
        <f>L27*'Energy &amp; Unit Conversions'!$G$84/'Energy &amp; Unit Conversions'!$E$94/'Energy &amp; Unit Conversions'!$G$79</f>
        <v>50.951477760673171</v>
      </c>
      <c r="O27" s="1102"/>
      <c r="P27" s="1323">
        <f>IF('Energy &amp; Unit Conversions'!$E$10=1,I27,M27)</f>
        <v>54.323536449850884</v>
      </c>
      <c r="Q27" s="1322">
        <f>IF('Energy &amp; Unit Conversions'!$E$10=1,J27,N27)</f>
        <v>46.898519302437805</v>
      </c>
      <c r="R27" s="1582"/>
      <c r="S27" s="1626"/>
      <c r="T27" s="184"/>
    </row>
    <row r="28" spans="1:20" ht="18" customHeight="1" x14ac:dyDescent="0.2">
      <c r="A28" s="1160"/>
      <c r="B28" s="1147"/>
      <c r="C28" s="1104"/>
      <c r="D28" s="1104" t="s">
        <v>246</v>
      </c>
      <c r="E28" s="1189"/>
      <c r="F28" s="1319"/>
      <c r="G28" s="1326"/>
      <c r="H28" s="1189"/>
      <c r="I28" s="1189"/>
      <c r="J28" s="1319"/>
      <c r="K28" s="1326"/>
      <c r="L28" s="1189"/>
      <c r="M28" s="1189"/>
      <c r="N28" s="1319"/>
      <c r="O28" s="1102"/>
      <c r="P28" s="1326"/>
      <c r="Q28" s="1319"/>
      <c r="R28" s="1582"/>
      <c r="S28" s="1626"/>
      <c r="T28" s="184"/>
    </row>
    <row r="29" spans="1:20" ht="18" customHeight="1" x14ac:dyDescent="0.2">
      <c r="A29" s="1160"/>
      <c r="B29" s="1147"/>
      <c r="C29" s="1104"/>
      <c r="D29" s="1509" t="s">
        <v>273</v>
      </c>
      <c r="E29" s="1535"/>
      <c r="F29" s="1534" t="s">
        <v>110</v>
      </c>
      <c r="G29" s="1533" t="s">
        <v>248</v>
      </c>
      <c r="H29" s="1535" t="s">
        <v>275</v>
      </c>
      <c r="I29" s="1535"/>
      <c r="J29" s="1534" t="s">
        <v>266</v>
      </c>
      <c r="K29" s="1533" t="s">
        <v>274</v>
      </c>
      <c r="L29" s="1535" t="s">
        <v>275</v>
      </c>
      <c r="M29" s="1535"/>
      <c r="N29" s="1534" t="s">
        <v>266</v>
      </c>
      <c r="O29" s="1102"/>
      <c r="P29" s="1533"/>
      <c r="Q29" s="1534" t="s">
        <v>266</v>
      </c>
      <c r="R29" s="1582"/>
      <c r="S29" s="1626"/>
      <c r="T29" s="184"/>
    </row>
    <row r="30" spans="1:20" ht="18" customHeight="1" x14ac:dyDescent="0.2">
      <c r="A30" s="1160"/>
      <c r="B30" s="1147"/>
      <c r="C30" s="1104"/>
      <c r="D30" s="1327" t="s">
        <v>276</v>
      </c>
      <c r="E30" s="1328"/>
      <c r="F30" s="1325">
        <v>0.79900000000000004</v>
      </c>
      <c r="G30" s="1320">
        <v>25370000</v>
      </c>
      <c r="H30" s="1321">
        <f>G30/2000</f>
        <v>12685</v>
      </c>
      <c r="I30" s="1324"/>
      <c r="J30" s="1322">
        <f>H30*'Energy &amp; Unit Conversions'!$G$84/'Energy &amp; Unit Conversions'!$E$94/'Energy &amp; Unit Conversions'!$G$79</f>
        <v>29.505309999999998</v>
      </c>
      <c r="K30" s="1320">
        <v>26920000</v>
      </c>
      <c r="L30" s="1321">
        <f>K30/2000</f>
        <v>13460</v>
      </c>
      <c r="M30" s="1189"/>
      <c r="N30" s="1322">
        <f>L30/'Energy &amp; Unit Conversions'!$G$79*'Energy &amp; Unit Conversions'!$G$84/'Energy &amp; Unit Conversions'!$E$94</f>
        <v>31.307960000000001</v>
      </c>
      <c r="O30" s="1102"/>
      <c r="P30" s="1323">
        <f>IF('Energy &amp; Unit Conversions'!$E$10=1,I30,M30)</f>
        <v>0</v>
      </c>
      <c r="Q30" s="1322">
        <f>IF('Energy &amp; Unit Conversions'!$E$10=1,J30,N30)</f>
        <v>29.505309999999998</v>
      </c>
      <c r="R30" s="1582"/>
      <c r="S30" s="1626"/>
      <c r="T30" s="184"/>
    </row>
    <row r="31" spans="1:20" ht="18" customHeight="1" x14ac:dyDescent="0.2">
      <c r="A31" s="1160"/>
      <c r="B31" s="1147"/>
      <c r="C31" s="1104"/>
      <c r="D31" s="1329" t="s">
        <v>697</v>
      </c>
      <c r="E31" s="1330"/>
      <c r="F31" s="1331">
        <v>0.85</v>
      </c>
      <c r="G31" s="1332">
        <f>H31*2000</f>
        <v>24111000</v>
      </c>
      <c r="H31" s="1333">
        <f>0.95*L31</f>
        <v>12055.5</v>
      </c>
      <c r="I31" s="1334"/>
      <c r="J31" s="1335">
        <f>H31*'Energy &amp; Unit Conversions'!$G$84/'Energy &amp; Unit Conversions'!$E$94/'Energy &amp; Unit Conversions'!$G$79</f>
        <v>28.041092999999996</v>
      </c>
      <c r="K31" s="1332">
        <v>25380000</v>
      </c>
      <c r="L31" s="1333">
        <f>K31/2000</f>
        <v>12690</v>
      </c>
      <c r="M31" s="1334"/>
      <c r="N31" s="1335">
        <f>L31/'Energy &amp; Unit Conversions'!$G$79*'Energy &amp; Unit Conversions'!$G$84/'Energy &amp; Unit Conversions'!$E$94</f>
        <v>29.516940000000002</v>
      </c>
      <c r="O31" s="1336"/>
      <c r="P31" s="1337">
        <f>IF('Energy &amp; Unit Conversions'!$E$10=1,I31,M31)</f>
        <v>0</v>
      </c>
      <c r="Q31" s="1335">
        <f>IF('Energy &amp; Unit Conversions'!$E$10=1,J31,N31)</f>
        <v>28.041092999999996</v>
      </c>
      <c r="R31" s="1582"/>
      <c r="S31" s="1626"/>
      <c r="T31" s="184"/>
    </row>
    <row r="32" spans="1:20" ht="18" customHeight="1" x14ac:dyDescent="0.2">
      <c r="A32" s="1160"/>
      <c r="B32" s="1147"/>
      <c r="C32" s="1104"/>
      <c r="D32" s="1102"/>
      <c r="E32" s="1102"/>
      <c r="F32" s="1102"/>
      <c r="G32" s="1102"/>
      <c r="H32" s="1102"/>
      <c r="I32" s="1102"/>
      <c r="J32" s="1102"/>
      <c r="K32" s="1102"/>
      <c r="L32" s="1102"/>
      <c r="M32" s="1102"/>
      <c r="N32" s="1338"/>
      <c r="O32" s="1102"/>
      <c r="P32" s="1102"/>
      <c r="Q32" s="1102"/>
      <c r="R32" s="1582"/>
      <c r="S32" s="1626"/>
      <c r="T32" s="184"/>
    </row>
    <row r="33" spans="1:20" ht="18" customHeight="1" x14ac:dyDescent="0.2">
      <c r="A33" s="1160"/>
      <c r="B33" s="1147"/>
      <c r="C33" s="1104"/>
      <c r="D33" s="2490" t="s">
        <v>1705</v>
      </c>
      <c r="E33" s="2490"/>
      <c r="F33" s="2490"/>
      <c r="G33" s="2490"/>
      <c r="H33" s="2490"/>
      <c r="I33" s="2490"/>
      <c r="J33" s="2490"/>
      <c r="K33" s="2490"/>
      <c r="L33" s="2490"/>
      <c r="M33" s="2490"/>
      <c r="N33" s="2490"/>
      <c r="O33" s="2490"/>
      <c r="P33" s="2490"/>
      <c r="Q33" s="2490"/>
      <c r="R33" s="1582"/>
      <c r="S33" s="1626"/>
      <c r="T33" s="184"/>
    </row>
    <row r="34" spans="1:20" ht="18" customHeight="1" x14ac:dyDescent="0.2">
      <c r="A34" s="1160"/>
      <c r="B34" s="1147"/>
      <c r="C34" s="1104"/>
      <c r="D34" s="2490" t="s">
        <v>277</v>
      </c>
      <c r="E34" s="2490"/>
      <c r="F34" s="2490"/>
      <c r="G34" s="2490"/>
      <c r="H34" s="2490"/>
      <c r="I34" s="2490"/>
      <c r="J34" s="2490"/>
      <c r="K34" s="2490"/>
      <c r="L34" s="2490"/>
      <c r="M34" s="2490"/>
      <c r="N34" s="2490"/>
      <c r="O34" s="2490"/>
      <c r="P34" s="2490"/>
      <c r="Q34" s="2490"/>
      <c r="R34" s="1582"/>
      <c r="S34" s="1626"/>
      <c r="T34" s="184"/>
    </row>
    <row r="35" spans="1:20" ht="18" customHeight="1" x14ac:dyDescent="0.2">
      <c r="A35" s="1160"/>
      <c r="B35" s="1147"/>
      <c r="C35" s="1104"/>
      <c r="D35" s="2490" t="s">
        <v>278</v>
      </c>
      <c r="E35" s="2490"/>
      <c r="F35" s="2490"/>
      <c r="G35" s="2490"/>
      <c r="H35" s="2490"/>
      <c r="I35" s="2490"/>
      <c r="J35" s="2490"/>
      <c r="K35" s="2490"/>
      <c r="L35" s="2490"/>
      <c r="M35" s="2490"/>
      <c r="N35" s="2490"/>
      <c r="O35" s="2490"/>
      <c r="P35" s="2490"/>
      <c r="Q35" s="2490"/>
      <c r="R35" s="1582"/>
      <c r="S35" s="1626"/>
      <c r="T35" s="184"/>
    </row>
    <row r="36" spans="1:20" ht="18" customHeight="1" x14ac:dyDescent="0.2">
      <c r="A36" s="1160"/>
      <c r="B36" s="1147"/>
      <c r="C36" s="1104"/>
      <c r="D36" s="2490" t="s">
        <v>279</v>
      </c>
      <c r="E36" s="2490"/>
      <c r="F36" s="2490"/>
      <c r="G36" s="2490"/>
      <c r="H36" s="2490"/>
      <c r="I36" s="2490"/>
      <c r="J36" s="2490"/>
      <c r="K36" s="2490"/>
      <c r="L36" s="2490"/>
      <c r="M36" s="2490"/>
      <c r="N36" s="2490"/>
      <c r="O36" s="2490"/>
      <c r="P36" s="2490"/>
      <c r="Q36" s="2490"/>
      <c r="R36" s="1582"/>
      <c r="S36" s="1626"/>
      <c r="T36" s="184"/>
    </row>
    <row r="37" spans="1:20" ht="18" customHeight="1" x14ac:dyDescent="0.2">
      <c r="A37" s="1160"/>
      <c r="B37" s="1147"/>
      <c r="C37" s="1104"/>
      <c r="D37" s="2490" t="s">
        <v>280</v>
      </c>
      <c r="E37" s="2490"/>
      <c r="F37" s="2490"/>
      <c r="G37" s="2490"/>
      <c r="H37" s="2490"/>
      <c r="I37" s="2490"/>
      <c r="J37" s="2490"/>
      <c r="K37" s="2490"/>
      <c r="L37" s="2490"/>
      <c r="M37" s="2490"/>
      <c r="N37" s="2490"/>
      <c r="O37" s="2490"/>
      <c r="P37" s="2490"/>
      <c r="Q37" s="2490"/>
      <c r="R37" s="1582"/>
      <c r="S37" s="1626"/>
      <c r="T37" s="184"/>
    </row>
    <row r="38" spans="1:20" ht="18" customHeight="1" x14ac:dyDescent="0.2">
      <c r="A38" s="1160"/>
      <c r="B38" s="1147"/>
      <c r="C38" s="1104"/>
      <c r="D38" s="1340"/>
      <c r="E38" s="1340"/>
      <c r="F38" s="1340"/>
      <c r="G38" s="1340"/>
      <c r="H38" s="1340"/>
      <c r="I38" s="1340"/>
      <c r="J38" s="1340"/>
      <c r="K38" s="1340"/>
      <c r="L38" s="1340"/>
      <c r="M38" s="1340"/>
      <c r="N38" s="1340"/>
      <c r="O38" s="1340"/>
      <c r="P38" s="1340"/>
      <c r="Q38" s="1340"/>
      <c r="R38" s="1582"/>
      <c r="S38" s="1626"/>
      <c r="T38" s="184"/>
    </row>
    <row r="39" spans="1:20" ht="18" customHeight="1" x14ac:dyDescent="0.2">
      <c r="A39" s="1160"/>
      <c r="B39" s="1147"/>
      <c r="C39" s="1104"/>
      <c r="D39" s="1541" t="s">
        <v>698</v>
      </c>
      <c r="E39" s="1339"/>
      <c r="F39" s="1339"/>
      <c r="G39" s="1339"/>
      <c r="H39" s="1339"/>
      <c r="I39" s="1339"/>
      <c r="J39" s="1339"/>
      <c r="K39" s="1339"/>
      <c r="L39" s="1339"/>
      <c r="M39" s="1339"/>
      <c r="N39" s="1339"/>
      <c r="O39" s="1339"/>
      <c r="P39" s="1339"/>
      <c r="Q39" s="1340"/>
      <c r="R39" s="1582"/>
      <c r="S39" s="1626"/>
      <c r="T39" s="184"/>
    </row>
    <row r="40" spans="1:20" ht="18" customHeight="1" x14ac:dyDescent="0.2">
      <c r="A40" s="1160"/>
      <c r="B40" s="1147"/>
      <c r="C40" s="1104"/>
      <c r="D40" s="1341" t="s">
        <v>240</v>
      </c>
      <c r="E40" s="1339"/>
      <c r="F40" s="1339"/>
      <c r="G40" s="1339"/>
      <c r="H40" s="1339"/>
      <c r="I40" s="1339"/>
      <c r="J40" s="1339"/>
      <c r="K40" s="1339"/>
      <c r="L40" s="1339"/>
      <c r="M40" s="1339"/>
      <c r="N40" s="1339"/>
      <c r="O40" s="1339"/>
      <c r="P40" s="1339"/>
      <c r="Q40" s="1342"/>
      <c r="R40" s="1582"/>
      <c r="S40" s="1626"/>
      <c r="T40" s="184"/>
    </row>
    <row r="41" spans="1:20" ht="18" customHeight="1" x14ac:dyDescent="0.2">
      <c r="A41" s="1160"/>
      <c r="B41" s="1147"/>
      <c r="C41" s="1104"/>
      <c r="D41" s="1341" t="s">
        <v>696</v>
      </c>
      <c r="E41" s="1339"/>
      <c r="F41" s="1339"/>
      <c r="G41" s="1339"/>
      <c r="H41" s="1339"/>
      <c r="I41" s="1339"/>
      <c r="J41" s="1339"/>
      <c r="K41" s="1339"/>
      <c r="L41" s="1339"/>
      <c r="M41" s="1339"/>
      <c r="N41" s="1339"/>
      <c r="O41" s="1339"/>
      <c r="P41" s="1339"/>
      <c r="Q41" s="1343"/>
      <c r="R41" s="1582"/>
      <c r="S41" s="1626"/>
      <c r="T41" s="184"/>
    </row>
    <row r="42" spans="1:20" ht="18" customHeight="1" x14ac:dyDescent="0.2">
      <c r="A42" s="1160"/>
      <c r="B42" s="1147"/>
      <c r="C42" s="1104"/>
      <c r="D42" s="1341" t="s">
        <v>699</v>
      </c>
      <c r="E42" s="1339"/>
      <c r="F42" s="1339"/>
      <c r="G42" s="1339"/>
      <c r="H42" s="1339"/>
      <c r="I42" s="1339"/>
      <c r="J42" s="1339"/>
      <c r="K42" s="1339"/>
      <c r="L42" s="1339"/>
      <c r="M42" s="1339"/>
      <c r="N42" s="1339"/>
      <c r="O42" s="1339"/>
      <c r="P42" s="1339"/>
      <c r="Q42" s="1343"/>
      <c r="R42" s="1582"/>
      <c r="S42" s="1626"/>
      <c r="T42" s="184"/>
    </row>
    <row r="43" spans="1:20" ht="18" customHeight="1" x14ac:dyDescent="0.2">
      <c r="A43" s="1160"/>
      <c r="B43" s="1147"/>
      <c r="C43" s="1104"/>
      <c r="D43" s="1344"/>
      <c r="E43" s="1344"/>
      <c r="F43" s="1344"/>
      <c r="G43" s="1344"/>
      <c r="H43" s="1344"/>
      <c r="I43" s="1344"/>
      <c r="J43" s="1344"/>
      <c r="K43" s="1344"/>
      <c r="L43" s="1344"/>
      <c r="M43" s="1344"/>
      <c r="N43" s="1344"/>
      <c r="O43" s="1102"/>
      <c r="P43" s="1102"/>
      <c r="Q43" s="1102"/>
      <c r="R43" s="1582"/>
      <c r="S43" s="1626"/>
      <c r="T43" s="184"/>
    </row>
    <row r="44" spans="1:20" ht="18" customHeight="1" x14ac:dyDescent="0.35">
      <c r="A44" s="1160"/>
      <c r="B44" s="1147"/>
      <c r="C44" s="1539" t="s">
        <v>1719</v>
      </c>
      <c r="D44" s="1540"/>
      <c r="E44" s="1313"/>
      <c r="F44" s="1540"/>
      <c r="G44" s="1540"/>
      <c r="H44" s="1540"/>
      <c r="I44" s="1315"/>
      <c r="J44" s="1315"/>
      <c r="K44" s="1344"/>
      <c r="L44" s="1344"/>
      <c r="M44" s="1344"/>
      <c r="N44" s="1344"/>
      <c r="O44" s="1102"/>
      <c r="P44" s="1102"/>
      <c r="Q44" s="1102"/>
      <c r="R44" s="1582"/>
      <c r="S44" s="1626"/>
      <c r="T44" s="184"/>
    </row>
    <row r="45" spans="1:20" ht="18" customHeight="1" x14ac:dyDescent="0.2">
      <c r="A45" s="1160"/>
      <c r="B45" s="1147"/>
      <c r="C45" s="1104"/>
      <c r="D45" s="1115"/>
      <c r="E45" s="1102"/>
      <c r="F45" s="1102"/>
      <c r="G45" s="1102"/>
      <c r="H45" s="1102"/>
      <c r="I45" s="1102"/>
      <c r="J45" s="1102"/>
      <c r="K45" s="1102"/>
      <c r="L45" s="1102"/>
      <c r="M45" s="1102"/>
      <c r="N45" s="1102"/>
      <c r="O45" s="1102"/>
      <c r="P45" s="1102"/>
      <c r="Q45" s="1102"/>
      <c r="R45" s="1582"/>
      <c r="S45" s="1626"/>
      <c r="T45" s="184"/>
    </row>
    <row r="46" spans="1:20" ht="18" customHeight="1" x14ac:dyDescent="0.2">
      <c r="A46" s="1160"/>
      <c r="B46" s="1147"/>
      <c r="C46" s="1104"/>
      <c r="D46" s="1391" t="s">
        <v>683</v>
      </c>
      <c r="E46" s="1396"/>
      <c r="F46" s="1395">
        <v>1</v>
      </c>
      <c r="G46" s="1211"/>
      <c r="H46" s="1211"/>
      <c r="I46" s="1211"/>
      <c r="J46" s="1211"/>
      <c r="K46" s="1211"/>
      <c r="L46" s="1211"/>
      <c r="M46" s="1211"/>
      <c r="N46" s="1211"/>
      <c r="O46" s="1211"/>
      <c r="P46" s="1102"/>
      <c r="Q46" s="1102"/>
      <c r="R46" s="1582"/>
      <c r="S46" s="1626"/>
      <c r="T46" s="184"/>
    </row>
    <row r="47" spans="1:20" ht="18" customHeight="1" x14ac:dyDescent="0.2">
      <c r="A47" s="1160"/>
      <c r="B47" s="1147"/>
      <c r="C47" s="1104"/>
      <c r="D47" s="1412"/>
      <c r="E47" s="1211"/>
      <c r="F47" s="1215"/>
      <c r="G47" s="1211"/>
      <c r="H47" s="1211"/>
      <c r="I47" s="1211"/>
      <c r="J47" s="1211"/>
      <c r="K47" s="1211"/>
      <c r="L47" s="1211"/>
      <c r="M47" s="1211"/>
      <c r="N47" s="1211"/>
      <c r="O47" s="1211"/>
      <c r="P47" s="1102"/>
      <c r="Q47" s="1102"/>
      <c r="R47" s="1582"/>
      <c r="S47" s="1626"/>
      <c r="T47" s="184"/>
    </row>
    <row r="48" spans="1:20" ht="18" customHeight="1" x14ac:dyDescent="0.2">
      <c r="A48" s="1160"/>
      <c r="B48" s="1147"/>
      <c r="C48" s="1104"/>
      <c r="D48" s="1755" t="s">
        <v>216</v>
      </c>
      <c r="E48" s="1756"/>
      <c r="F48" s="1756"/>
      <c r="G48" s="1756"/>
      <c r="H48" s="1756"/>
      <c r="I48" s="1757"/>
      <c r="J48" s="1211"/>
      <c r="K48" s="1755" t="s">
        <v>40</v>
      </c>
      <c r="L48" s="1758"/>
      <c r="M48" s="1756"/>
      <c r="N48" s="1756"/>
      <c r="O48" s="1756"/>
      <c r="P48" s="1689"/>
      <c r="Q48" s="1759"/>
      <c r="R48" s="1582"/>
      <c r="S48" s="1626"/>
      <c r="T48" s="184"/>
    </row>
    <row r="49" spans="1:20" ht="18" customHeight="1" x14ac:dyDescent="0.2">
      <c r="A49" s="1160"/>
      <c r="B49" s="1147"/>
      <c r="C49" s="1104"/>
      <c r="D49" s="1413" t="s">
        <v>215</v>
      </c>
      <c r="E49" s="1211"/>
      <c r="F49" s="1189">
        <v>1</v>
      </c>
      <c r="G49" s="1398"/>
      <c r="H49" s="1398"/>
      <c r="I49" s="1414"/>
      <c r="J49" s="1211"/>
      <c r="K49" s="1426" t="s">
        <v>41</v>
      </c>
      <c r="L49" s="1397"/>
      <c r="M49" s="1211"/>
      <c r="N49" s="1211"/>
      <c r="O49" s="1211"/>
      <c r="P49" s="1122">
        <v>2</v>
      </c>
      <c r="Q49" s="1309"/>
      <c r="R49" s="1582"/>
      <c r="S49" s="1626"/>
      <c r="T49" s="184"/>
    </row>
    <row r="50" spans="1:20" ht="18" customHeight="1" x14ac:dyDescent="0.2">
      <c r="A50" s="1160"/>
      <c r="B50" s="1147"/>
      <c r="C50" s="1104"/>
      <c r="D50" s="1415"/>
      <c r="E50" s="1211"/>
      <c r="F50" s="1211"/>
      <c r="G50" s="1211"/>
      <c r="H50" s="1211"/>
      <c r="I50" s="1371"/>
      <c r="J50" s="1211"/>
      <c r="K50" s="1427" t="s">
        <v>42</v>
      </c>
      <c r="L50" s="1211"/>
      <c r="M50" s="1211"/>
      <c r="N50" s="1211"/>
      <c r="O50" s="1211"/>
      <c r="P50" s="1102"/>
      <c r="Q50" s="1309"/>
      <c r="R50" s="1582"/>
      <c r="S50" s="1626"/>
      <c r="T50" s="184"/>
    </row>
    <row r="51" spans="1:20" ht="18" customHeight="1" x14ac:dyDescent="0.2">
      <c r="A51" s="1160"/>
      <c r="B51" s="1147"/>
      <c r="C51" s="1104"/>
      <c r="D51" s="1416" t="s">
        <v>309</v>
      </c>
      <c r="E51" s="1399">
        <v>999.01499999999999</v>
      </c>
      <c r="F51" s="1399" t="s">
        <v>310</v>
      </c>
      <c r="G51" s="1211"/>
      <c r="H51" s="1211"/>
      <c r="I51" s="1371"/>
      <c r="J51" s="1211"/>
      <c r="K51" s="1427" t="s">
        <v>43</v>
      </c>
      <c r="L51" s="1211"/>
      <c r="M51" s="1211"/>
      <c r="N51" s="1211"/>
      <c r="O51" s="1211"/>
      <c r="P51" s="1102"/>
      <c r="Q51" s="1309"/>
      <c r="R51" s="1582"/>
      <c r="S51" s="1626"/>
      <c r="T51" s="184"/>
    </row>
    <row r="52" spans="1:20" ht="18" customHeight="1" x14ac:dyDescent="0.2">
      <c r="A52" s="1160"/>
      <c r="B52" s="1147"/>
      <c r="C52" s="1104"/>
      <c r="D52" s="1416" t="s">
        <v>311</v>
      </c>
      <c r="E52" s="1399">
        <v>998.2</v>
      </c>
      <c r="F52" s="1399" t="s">
        <v>310</v>
      </c>
      <c r="G52" s="2518" t="s">
        <v>1718</v>
      </c>
      <c r="H52" s="2519"/>
      <c r="I52" s="1432"/>
      <c r="J52" s="1211"/>
      <c r="K52" s="1427" t="s">
        <v>45</v>
      </c>
      <c r="L52" s="1211"/>
      <c r="M52" s="1211"/>
      <c r="N52" s="1211"/>
      <c r="O52" s="1211"/>
      <c r="P52" s="1102"/>
      <c r="Q52" s="1309"/>
      <c r="R52" s="1582"/>
      <c r="S52" s="1626"/>
      <c r="T52" s="184"/>
    </row>
    <row r="53" spans="1:20" ht="18" customHeight="1" x14ac:dyDescent="0.2">
      <c r="A53" s="1160"/>
      <c r="B53" s="1147"/>
      <c r="C53" s="1104"/>
      <c r="D53" s="1415" t="s">
        <v>212</v>
      </c>
      <c r="E53" s="1389"/>
      <c r="F53" s="1389"/>
      <c r="G53" s="2518"/>
      <c r="H53" s="2519"/>
      <c r="I53" s="1432"/>
      <c r="J53" s="1389"/>
      <c r="K53" s="1426" t="s">
        <v>44</v>
      </c>
      <c r="L53" s="1389"/>
      <c r="M53" s="1389"/>
      <c r="N53" s="1389"/>
      <c r="O53" s="1389"/>
      <c r="P53" s="1216"/>
      <c r="Q53" s="1429"/>
      <c r="R53" s="1582"/>
      <c r="S53" s="1626"/>
      <c r="T53" s="184"/>
    </row>
    <row r="54" spans="1:20" ht="18" customHeight="1" x14ac:dyDescent="0.2">
      <c r="A54" s="1160"/>
      <c r="B54" s="1147"/>
      <c r="C54" s="1104"/>
      <c r="D54" s="1415" t="s">
        <v>311</v>
      </c>
      <c r="E54" s="1389">
        <v>998.2</v>
      </c>
      <c r="F54" s="1389" t="s">
        <v>310</v>
      </c>
      <c r="G54" s="2518"/>
      <c r="H54" s="2519"/>
      <c r="I54" s="1417"/>
      <c r="J54" s="1389"/>
      <c r="K54" s="1415" t="s">
        <v>46</v>
      </c>
      <c r="L54" s="1389"/>
      <c r="M54" s="1389"/>
      <c r="N54" s="1389"/>
      <c r="O54" s="1389"/>
      <c r="P54" s="1216"/>
      <c r="Q54" s="1429"/>
      <c r="R54" s="1582"/>
      <c r="S54" s="1626"/>
      <c r="T54" s="184"/>
    </row>
    <row r="55" spans="1:20" ht="18" customHeight="1" x14ac:dyDescent="0.2">
      <c r="A55" s="1160"/>
      <c r="B55" s="1147"/>
      <c r="C55" s="1104"/>
      <c r="D55" s="1413" t="s">
        <v>213</v>
      </c>
      <c r="E55" s="1211"/>
      <c r="F55" s="1389"/>
      <c r="G55" s="1389"/>
      <c r="H55" s="1211"/>
      <c r="I55" s="1417"/>
      <c r="J55" s="1389"/>
      <c r="K55" s="1427"/>
      <c r="L55" s="1400">
        <v>39067</v>
      </c>
      <c r="M55" s="1401">
        <v>126.8</v>
      </c>
      <c r="N55" s="1402">
        <v>0.505</v>
      </c>
      <c r="O55" s="1403">
        <v>4.4200000000000003E-3</v>
      </c>
      <c r="P55" s="1216"/>
      <c r="Q55" s="1429"/>
      <c r="R55" s="1582"/>
      <c r="S55" s="1626"/>
      <c r="T55" s="184"/>
    </row>
    <row r="56" spans="1:20" ht="18" customHeight="1" x14ac:dyDescent="0.2">
      <c r="A56" s="1160"/>
      <c r="B56" s="1147"/>
      <c r="C56" s="1104"/>
      <c r="D56" s="1415" t="s">
        <v>214</v>
      </c>
      <c r="E56" s="1211"/>
      <c r="F56" s="1211"/>
      <c r="G56" s="1389"/>
      <c r="H56" s="1389"/>
      <c r="I56" s="1417"/>
      <c r="J56" s="1404"/>
      <c r="K56" s="1428" t="s">
        <v>1224</v>
      </c>
      <c r="L56" s="1211"/>
      <c r="M56" s="1211"/>
      <c r="N56" s="1211"/>
      <c r="O56" s="1211"/>
      <c r="P56" s="1216"/>
      <c r="Q56" s="1429"/>
      <c r="R56" s="1582"/>
      <c r="S56" s="1626"/>
      <c r="T56" s="184"/>
    </row>
    <row r="57" spans="1:20" ht="18" customHeight="1" x14ac:dyDescent="0.2">
      <c r="A57" s="1160"/>
      <c r="B57" s="1147"/>
      <c r="C57" s="1104"/>
      <c r="D57" s="1418">
        <v>12400</v>
      </c>
      <c r="E57" s="1401">
        <v>2100</v>
      </c>
      <c r="F57" s="1389"/>
      <c r="G57" s="1389"/>
      <c r="H57" s="1389"/>
      <c r="I57" s="1371"/>
      <c r="J57" s="1211"/>
      <c r="K57" s="1415"/>
      <c r="L57" s="1405">
        <v>1179.8874000000001</v>
      </c>
      <c r="M57" s="1406">
        <v>8.3451599999999999</v>
      </c>
      <c r="N57" s="1407">
        <v>1.01578E-2</v>
      </c>
      <c r="O57" s="1408">
        <v>131.5</v>
      </c>
      <c r="P57" s="1216"/>
      <c r="Q57" s="1429"/>
      <c r="R57" s="1582"/>
      <c r="S57" s="1626"/>
      <c r="T57" s="184"/>
    </row>
    <row r="58" spans="1:20" ht="18" customHeight="1" x14ac:dyDescent="0.2">
      <c r="A58" s="1160"/>
      <c r="B58" s="1147"/>
      <c r="C58" s="1104"/>
      <c r="D58" s="1419">
        <v>0.9</v>
      </c>
      <c r="E58" s="1389"/>
      <c r="F58" s="1389"/>
      <c r="G58" s="1389"/>
      <c r="H58" s="1389"/>
      <c r="I58" s="1417"/>
      <c r="J58" s="1390"/>
      <c r="K58" s="1428" t="s">
        <v>1225</v>
      </c>
      <c r="L58" s="1389"/>
      <c r="M58" s="1389"/>
      <c r="N58" s="1389"/>
      <c r="O58" s="1389"/>
      <c r="P58" s="1216"/>
      <c r="Q58" s="1429"/>
      <c r="R58" s="1582"/>
      <c r="S58" s="1626"/>
      <c r="T58" s="184"/>
    </row>
    <row r="59" spans="1:20" ht="18" customHeight="1" x14ac:dyDescent="0.2">
      <c r="A59" s="1160"/>
      <c r="B59" s="1147"/>
      <c r="C59" s="1104"/>
      <c r="D59" s="1418">
        <f>D57*D58</f>
        <v>11160</v>
      </c>
      <c r="E59" s="1401">
        <f>+E57*D58</f>
        <v>1890</v>
      </c>
      <c r="F59" s="1389"/>
      <c r="G59" s="1389"/>
      <c r="H59" s="1389"/>
      <c r="I59" s="1417"/>
      <c r="J59" s="1389"/>
      <c r="K59" s="1419">
        <f>D58</f>
        <v>0.9</v>
      </c>
      <c r="L59" s="1211"/>
      <c r="M59" s="1211"/>
      <c r="N59" s="1211"/>
      <c r="O59" s="1211"/>
      <c r="P59" s="1102"/>
      <c r="Q59" s="1309"/>
      <c r="R59" s="1582"/>
      <c r="S59" s="1626"/>
      <c r="T59" s="184"/>
    </row>
    <row r="60" spans="1:20" ht="18" customHeight="1" x14ac:dyDescent="0.2">
      <c r="A60" s="1160"/>
      <c r="B60" s="1147"/>
      <c r="C60" s="1104"/>
      <c r="D60" s="1420" t="s">
        <v>316</v>
      </c>
      <c r="E60" s="1211"/>
      <c r="F60" s="1211"/>
      <c r="G60" s="1389"/>
      <c r="H60" s="1389"/>
      <c r="I60" s="1417"/>
      <c r="J60" s="1389"/>
      <c r="K60" s="1427"/>
      <c r="L60" s="1409"/>
      <c r="M60" s="1211"/>
      <c r="N60" s="1211"/>
      <c r="O60" s="1211"/>
      <c r="P60" s="1102"/>
      <c r="Q60" s="1309"/>
      <c r="R60" s="1582"/>
      <c r="S60" s="1626"/>
      <c r="T60" s="184"/>
    </row>
    <row r="61" spans="1:20" ht="18" customHeight="1" x14ac:dyDescent="0.2">
      <c r="A61" s="1160"/>
      <c r="B61" s="1147"/>
      <c r="C61" s="1104"/>
      <c r="D61" s="1415" t="str">
        <f>P18</f>
        <v>LHV</v>
      </c>
      <c r="E61" s="1389"/>
      <c r="F61" s="1389"/>
      <c r="G61" s="1389"/>
      <c r="H61" s="1389"/>
      <c r="I61" s="1417"/>
      <c r="J61" s="1389"/>
      <c r="K61" s="1427"/>
      <c r="L61" s="1211"/>
      <c r="M61" s="1211"/>
      <c r="N61" s="1211"/>
      <c r="O61" s="1211"/>
      <c r="P61" s="1102"/>
      <c r="Q61" s="1309"/>
      <c r="R61" s="1582"/>
      <c r="S61" s="1626"/>
      <c r="T61" s="184"/>
    </row>
    <row r="62" spans="1:20" ht="18" customHeight="1" x14ac:dyDescent="0.2">
      <c r="A62" s="1160"/>
      <c r="B62" s="1147"/>
      <c r="C62" s="1104"/>
      <c r="D62" s="1418">
        <f>IF('Energy &amp; Unit Conversions'!$E$10=1,D59,D57)</f>
        <v>11160</v>
      </c>
      <c r="E62" s="1401">
        <f>IF('Energy &amp; Unit Conversions'!$E$10=1,E59,E57)</f>
        <v>1890</v>
      </c>
      <c r="F62" s="1389" t="s">
        <v>219</v>
      </c>
      <c r="G62" s="1389"/>
      <c r="H62" s="1389"/>
      <c r="I62" s="1417"/>
      <c r="J62" s="1389"/>
      <c r="K62" s="1428" t="s">
        <v>1226</v>
      </c>
      <c r="L62" s="1410">
        <f ca="1">'Assay Inventory'!E18/'Energy &amp; Unit Conversions'!E93</f>
        <v>0.86083830000000017</v>
      </c>
      <c r="M62" s="1411" t="s">
        <v>38</v>
      </c>
      <c r="N62" s="1410">
        <f ca="1">(L57/(M57*L62+N57))-O57</f>
        <v>32.510126755442542</v>
      </c>
      <c r="O62" s="1389" t="s">
        <v>39</v>
      </c>
      <c r="P62" s="1388">
        <f ca="1">L55+M55*N62-N55*POWER(N62,2)+O55*POWER(N62,3)</f>
        <v>42807.41755082427</v>
      </c>
      <c r="Q62" s="1417" t="s">
        <v>456</v>
      </c>
      <c r="R62" s="1582"/>
      <c r="S62" s="1626"/>
      <c r="T62" s="184"/>
    </row>
    <row r="63" spans="1:20" ht="18" customHeight="1" x14ac:dyDescent="0.2">
      <c r="A63" s="1160"/>
      <c r="B63" s="1147"/>
      <c r="C63" s="1104"/>
      <c r="D63" s="1418">
        <f>D62*'Energy &amp; Unit Conversions'!G85/'Energy &amp; Unit Conversions'!E95</f>
        <v>46.693440000000002</v>
      </c>
      <c r="E63" s="1401">
        <f>E62*'Energy &amp; Unit Conversions'!G85/'Energy &amp; Unit Conversions'!E95</f>
        <v>7.9077600000000006</v>
      </c>
      <c r="F63" s="1389" t="s">
        <v>447</v>
      </c>
      <c r="G63" s="1389"/>
      <c r="H63" s="1389"/>
      <c r="I63" s="1417"/>
      <c r="J63" s="1389"/>
      <c r="K63" s="1427"/>
      <c r="L63" s="1389"/>
      <c r="M63" s="1389"/>
      <c r="N63" s="1389"/>
      <c r="O63" s="1389"/>
      <c r="P63" s="1216"/>
      <c r="Q63" s="1429"/>
      <c r="R63" s="1582"/>
      <c r="S63" s="1626"/>
      <c r="T63" s="184"/>
    </row>
    <row r="64" spans="1:20" ht="18" customHeight="1" x14ac:dyDescent="0.2">
      <c r="A64" s="1160"/>
      <c r="B64" s="1147"/>
      <c r="C64" s="1104"/>
      <c r="D64" s="1415"/>
      <c r="E64" s="1389"/>
      <c r="F64" s="1389"/>
      <c r="G64" s="1389"/>
      <c r="H64" s="1389"/>
      <c r="I64" s="1417"/>
      <c r="J64" s="1389"/>
      <c r="K64" s="1427"/>
      <c r="L64" s="1211"/>
      <c r="M64" s="1389"/>
      <c r="N64" s="1389"/>
      <c r="O64" s="1389"/>
      <c r="P64" s="1216"/>
      <c r="Q64" s="1429"/>
      <c r="R64" s="1582"/>
      <c r="S64" s="1626"/>
      <c r="T64" s="184"/>
    </row>
    <row r="65" spans="1:20" ht="18" customHeight="1" x14ac:dyDescent="0.2">
      <c r="A65" s="1160"/>
      <c r="B65" s="1147"/>
      <c r="C65" s="1104"/>
      <c r="D65" s="1421" t="s">
        <v>37</v>
      </c>
      <c r="E65" s="1422">
        <f ca="1">('Energy &amp; Unit Conversions'!$D$63-('Energy &amp; Unit Conversions'!$E$63*POWER(('Assay Inventory'!E18/'Energy &amp; Unit Conversions'!$E$54),2)))</f>
        <v>40.812300088701129</v>
      </c>
      <c r="F65" s="1423" t="s">
        <v>36</v>
      </c>
      <c r="G65" s="1424"/>
      <c r="H65" s="1424"/>
      <c r="I65" s="1425"/>
      <c r="J65" s="1389"/>
      <c r="K65" s="1421" t="s">
        <v>37</v>
      </c>
      <c r="L65" s="1422">
        <f ca="1">IF('Energy &amp; Unit Conversions'!$E$10=1,P62/'Energy &amp; Unit Conversions'!E95,P62/'Energy &amp; Unit Conversions'!E95/K59)</f>
        <v>42.807417550824269</v>
      </c>
      <c r="M65" s="1423" t="s">
        <v>36</v>
      </c>
      <c r="N65" s="1424"/>
      <c r="O65" s="1424"/>
      <c r="P65" s="1430"/>
      <c r="Q65" s="1431"/>
      <c r="R65" s="1582"/>
      <c r="S65" s="1626"/>
      <c r="T65" s="184"/>
    </row>
    <row r="66" spans="1:20" ht="18" customHeight="1" x14ac:dyDescent="0.2">
      <c r="A66" s="1160"/>
      <c r="B66" s="1147"/>
      <c r="C66" s="1104"/>
      <c r="D66" s="1211"/>
      <c r="E66" s="1211"/>
      <c r="F66" s="1211"/>
      <c r="G66" s="1211"/>
      <c r="H66" s="1211"/>
      <c r="I66" s="1211"/>
      <c r="J66" s="1211"/>
      <c r="K66" s="1211"/>
      <c r="L66" s="1211"/>
      <c r="M66" s="1211"/>
      <c r="N66" s="1211"/>
      <c r="O66" s="1211"/>
      <c r="P66" s="1102"/>
      <c r="Q66" s="1102"/>
      <c r="R66" s="1582"/>
      <c r="S66" s="1626"/>
      <c r="T66" s="184"/>
    </row>
    <row r="67" spans="1:20" ht="18" customHeight="1" x14ac:dyDescent="0.35">
      <c r="A67" s="1160"/>
      <c r="B67" s="1147"/>
      <c r="C67" s="1539" t="s">
        <v>218</v>
      </c>
      <c r="D67" s="1313"/>
      <c r="E67" s="1540"/>
      <c r="F67" s="1102"/>
      <c r="G67" s="1102"/>
      <c r="H67" s="1102"/>
      <c r="I67" s="1102"/>
      <c r="J67" s="1102"/>
      <c r="K67" s="1102"/>
      <c r="L67" s="1102"/>
      <c r="M67" s="1102"/>
      <c r="N67" s="1102"/>
      <c r="O67" s="1102"/>
      <c r="P67" s="1102"/>
      <c r="Q67" s="1102"/>
      <c r="R67" s="1582"/>
      <c r="S67" s="1626"/>
      <c r="T67" s="184"/>
    </row>
    <row r="68" spans="1:20" ht="12.75" x14ac:dyDescent="0.2">
      <c r="A68" s="1160"/>
      <c r="B68" s="1147"/>
      <c r="C68" s="1104"/>
      <c r="D68" s="1102"/>
      <c r="E68" s="1102"/>
      <c r="F68" s="1102"/>
      <c r="G68" s="1102"/>
      <c r="H68" s="1102"/>
      <c r="I68" s="1102"/>
      <c r="J68" s="1102"/>
      <c r="K68" s="1102"/>
      <c r="L68" s="1102"/>
      <c r="M68" s="1102"/>
      <c r="N68" s="1102"/>
      <c r="O68" s="1102"/>
      <c r="P68" s="1102"/>
      <c r="Q68" s="1102"/>
      <c r="R68" s="1582"/>
      <c r="S68" s="1626"/>
      <c r="T68" s="184"/>
    </row>
    <row r="69" spans="1:20" ht="86.25" customHeight="1" x14ac:dyDescent="0.2">
      <c r="A69" s="1160"/>
      <c r="B69" s="1147"/>
      <c r="C69" s="1104"/>
      <c r="D69" s="1894" t="s">
        <v>1774</v>
      </c>
      <c r="E69" s="1345" t="s">
        <v>222</v>
      </c>
      <c r="F69" s="1102"/>
      <c r="G69" s="1102"/>
      <c r="H69" s="1102"/>
      <c r="I69" s="1102"/>
      <c r="J69" s="1102"/>
      <c r="K69" s="1102"/>
      <c r="L69" s="1102"/>
      <c r="M69" s="1102"/>
      <c r="N69" s="1102"/>
      <c r="O69" s="1102"/>
      <c r="P69" s="1102"/>
      <c r="Q69" s="1102"/>
      <c r="R69" s="1582"/>
      <c r="S69" s="1626"/>
      <c r="T69" s="184"/>
    </row>
    <row r="70" spans="1:20" ht="18" customHeight="1" x14ac:dyDescent="0.2">
      <c r="A70" s="1160"/>
      <c r="B70" s="1147"/>
      <c r="C70" s="1105"/>
      <c r="D70" s="1346" t="s">
        <v>260</v>
      </c>
      <c r="E70" s="1347">
        <f>CokingRefineryCalcs!D1030</f>
        <v>3.2554803388442721</v>
      </c>
      <c r="F70" s="1346"/>
      <c r="G70" s="1346"/>
      <c r="H70" s="1346"/>
      <c r="I70" s="1346"/>
      <c r="J70" s="1346"/>
      <c r="K70" s="1346"/>
      <c r="L70" s="1346"/>
      <c r="M70" s="1346"/>
      <c r="N70" s="1346"/>
      <c r="O70" s="1346"/>
      <c r="P70" s="1346"/>
      <c r="Q70" s="1346"/>
      <c r="R70" s="1616"/>
      <c r="S70" s="1626"/>
      <c r="T70" s="184"/>
    </row>
    <row r="71" spans="1:20" ht="18" customHeight="1" x14ac:dyDescent="0.2">
      <c r="A71" s="1160"/>
      <c r="B71" s="1147"/>
      <c r="C71" s="1102"/>
      <c r="D71" s="1102"/>
      <c r="E71" s="1102"/>
      <c r="F71" s="1102"/>
      <c r="G71" s="1102"/>
      <c r="H71" s="1102"/>
      <c r="I71" s="1102"/>
      <c r="J71" s="1102"/>
      <c r="K71" s="1102"/>
      <c r="L71" s="1102"/>
      <c r="M71" s="1102"/>
      <c r="N71" s="1102"/>
      <c r="O71" s="1102"/>
      <c r="P71" s="1102"/>
      <c r="Q71" s="1102"/>
      <c r="R71" s="329"/>
      <c r="S71" s="1626"/>
      <c r="T71" s="184"/>
    </row>
    <row r="72" spans="1:20" ht="18" customHeight="1" x14ac:dyDescent="0.2">
      <c r="A72" s="1160"/>
      <c r="B72" s="1147"/>
      <c r="C72" s="2482" t="s">
        <v>1345</v>
      </c>
      <c r="D72" s="2483"/>
      <c r="E72" s="2484"/>
      <c r="F72" s="1102"/>
      <c r="G72" s="1102"/>
      <c r="H72" s="1102"/>
      <c r="I72" s="1102"/>
      <c r="J72" s="1102"/>
      <c r="K72" s="1102"/>
      <c r="L72" s="1102"/>
      <c r="M72" s="1102"/>
      <c r="N72" s="1102"/>
      <c r="O72" s="1102"/>
      <c r="P72" s="1102"/>
      <c r="Q72" s="1102"/>
      <c r="R72" s="329"/>
      <c r="S72" s="1626"/>
      <c r="T72" s="184"/>
    </row>
    <row r="73" spans="1:20" ht="18" customHeight="1" x14ac:dyDescent="0.2">
      <c r="A73" s="1160"/>
      <c r="B73" s="1147"/>
      <c r="C73" s="2485"/>
      <c r="D73" s="2486"/>
      <c r="E73" s="2487"/>
      <c r="F73" s="1102"/>
      <c r="G73" s="1102"/>
      <c r="H73" s="1102"/>
      <c r="I73" s="1102"/>
      <c r="J73" s="1102"/>
      <c r="K73" s="1102"/>
      <c r="L73" s="1102"/>
      <c r="M73" s="1102"/>
      <c r="N73" s="1102"/>
      <c r="O73" s="1102"/>
      <c r="P73" s="1102"/>
      <c r="Q73" s="1102"/>
      <c r="R73" s="329"/>
      <c r="S73" s="1626"/>
      <c r="T73" s="184"/>
    </row>
    <row r="74" spans="1:20" ht="18" customHeight="1" x14ac:dyDescent="0.2">
      <c r="A74" s="1160"/>
      <c r="B74" s="1147"/>
      <c r="C74" s="1103"/>
      <c r="D74" s="1349"/>
      <c r="E74" s="1349"/>
      <c r="F74" s="1349"/>
      <c r="G74" s="1349"/>
      <c r="H74" s="1349"/>
      <c r="I74" s="1349"/>
      <c r="J74" s="1349"/>
      <c r="K74" s="1349"/>
      <c r="L74" s="1349"/>
      <c r="M74" s="1349"/>
      <c r="N74" s="1349"/>
      <c r="O74" s="1349"/>
      <c r="P74" s="1349"/>
      <c r="Q74" s="1349"/>
      <c r="R74" s="1581"/>
      <c r="S74" s="1626"/>
      <c r="T74" s="184"/>
    </row>
    <row r="75" spans="1:20" ht="18" customHeight="1" x14ac:dyDescent="0.2">
      <c r="A75" s="1160"/>
      <c r="B75" s="1147"/>
      <c r="C75" s="1104"/>
      <c r="D75" s="2494" t="s">
        <v>329</v>
      </c>
      <c r="E75" s="2495"/>
      <c r="F75" s="2495"/>
      <c r="G75" s="2495"/>
      <c r="H75" s="2495"/>
      <c r="I75" s="2495"/>
      <c r="J75" s="2496"/>
      <c r="K75" s="1350"/>
      <c r="L75" s="1102"/>
      <c r="M75" s="1102"/>
      <c r="N75" s="1102"/>
      <c r="O75" s="1102"/>
      <c r="P75" s="1102"/>
      <c r="Q75" s="1102"/>
      <c r="R75" s="1582"/>
      <c r="S75" s="1626"/>
      <c r="T75" s="184"/>
    </row>
    <row r="76" spans="1:20" ht="18" customHeight="1" x14ac:dyDescent="0.2">
      <c r="A76" s="1160"/>
      <c r="B76" s="1147"/>
      <c r="C76" s="1104"/>
      <c r="D76" s="2497" t="s">
        <v>330</v>
      </c>
      <c r="E76" s="2498" t="s">
        <v>527</v>
      </c>
      <c r="F76" s="2498" t="s">
        <v>331</v>
      </c>
      <c r="G76" s="2498" t="s">
        <v>332</v>
      </c>
      <c r="H76" s="1536"/>
      <c r="I76" s="2498" t="s">
        <v>333</v>
      </c>
      <c r="J76" s="2513" t="s">
        <v>334</v>
      </c>
      <c r="K76" s="1351"/>
      <c r="L76" s="1102"/>
      <c r="M76" s="1102"/>
      <c r="N76" s="1102"/>
      <c r="O76" s="1102"/>
      <c r="P76" s="1102"/>
      <c r="Q76" s="1102"/>
      <c r="R76" s="1582"/>
      <c r="S76" s="1626"/>
      <c r="T76" s="184"/>
    </row>
    <row r="77" spans="1:20" ht="18" customHeight="1" x14ac:dyDescent="0.2">
      <c r="A77" s="1160"/>
      <c r="B77" s="1147"/>
      <c r="C77" s="1104"/>
      <c r="D77" s="2497"/>
      <c r="E77" s="2498"/>
      <c r="F77" s="2498"/>
      <c r="G77" s="2498"/>
      <c r="H77" s="1536"/>
      <c r="I77" s="2498"/>
      <c r="J77" s="2513"/>
      <c r="K77" s="1351"/>
      <c r="L77" s="1102"/>
      <c r="M77" s="1102"/>
      <c r="N77" s="1102"/>
      <c r="O77" s="1102"/>
      <c r="P77" s="1102"/>
      <c r="Q77" s="1102"/>
      <c r="R77" s="1582"/>
      <c r="S77" s="1626"/>
      <c r="T77" s="184"/>
    </row>
    <row r="78" spans="1:20" ht="18" customHeight="1" x14ac:dyDescent="0.2">
      <c r="A78" s="1160"/>
      <c r="B78" s="1147"/>
      <c r="C78" s="1104"/>
      <c r="D78" s="1352" t="s">
        <v>1706</v>
      </c>
      <c r="E78" s="1353" t="s">
        <v>335</v>
      </c>
      <c r="F78" s="1353" t="s">
        <v>336</v>
      </c>
      <c r="G78" s="1354">
        <v>0.90718469999999996</v>
      </c>
      <c r="H78" s="1353"/>
      <c r="I78" s="1353" t="s">
        <v>337</v>
      </c>
      <c r="J78" s="1355" t="s">
        <v>338</v>
      </c>
      <c r="K78" s="1230"/>
      <c r="L78" s="1341" t="s">
        <v>1707</v>
      </c>
      <c r="M78" s="1339"/>
      <c r="N78" s="1339"/>
      <c r="O78" s="1339"/>
      <c r="P78" s="1339"/>
      <c r="Q78" s="1339"/>
      <c r="R78" s="1582"/>
      <c r="S78" s="1626"/>
      <c r="T78" s="184"/>
    </row>
    <row r="79" spans="1:20" ht="18" customHeight="1" x14ac:dyDescent="0.2">
      <c r="A79" s="1160"/>
      <c r="B79" s="1147"/>
      <c r="C79" s="1104"/>
      <c r="D79" s="1352"/>
      <c r="E79" s="1353" t="s">
        <v>339</v>
      </c>
      <c r="F79" s="1353" t="s">
        <v>336</v>
      </c>
      <c r="G79" s="1354">
        <v>0.45359237000000002</v>
      </c>
      <c r="H79" s="1356" t="s">
        <v>340</v>
      </c>
      <c r="I79" s="1353" t="s">
        <v>337</v>
      </c>
      <c r="J79" s="1355" t="s">
        <v>341</v>
      </c>
      <c r="K79" s="1230"/>
      <c r="L79" s="1341" t="s">
        <v>1708</v>
      </c>
      <c r="M79" s="1339"/>
      <c r="N79" s="1339"/>
      <c r="O79" s="1339"/>
      <c r="P79" s="1339"/>
      <c r="Q79" s="1339"/>
      <c r="R79" s="1582"/>
      <c r="S79" s="1626"/>
      <c r="T79" s="184"/>
    </row>
    <row r="80" spans="1:20" ht="18" customHeight="1" x14ac:dyDescent="0.2">
      <c r="A80" s="1160"/>
      <c r="B80" s="1147"/>
      <c r="C80" s="1104"/>
      <c r="D80" s="1352" t="s">
        <v>1709</v>
      </c>
      <c r="E80" s="1353" t="s">
        <v>342</v>
      </c>
      <c r="F80" s="1353" t="s">
        <v>336</v>
      </c>
      <c r="G80" s="1354">
        <v>0.1589873</v>
      </c>
      <c r="H80" s="1353"/>
      <c r="I80" s="1353" t="s">
        <v>337</v>
      </c>
      <c r="J80" s="1355" t="s">
        <v>297</v>
      </c>
      <c r="K80" s="1230"/>
      <c r="L80" s="2518" t="s">
        <v>1710</v>
      </c>
      <c r="M80" s="2519"/>
      <c r="N80" s="2519"/>
      <c r="O80" s="2519"/>
      <c r="P80" s="2519"/>
      <c r="Q80" s="2519"/>
      <c r="R80" s="1582"/>
      <c r="S80" s="1626"/>
      <c r="T80" s="184"/>
    </row>
    <row r="81" spans="1:20" ht="18" customHeight="1" x14ac:dyDescent="0.2">
      <c r="A81" s="1160"/>
      <c r="B81" s="1147"/>
      <c r="C81" s="1104"/>
      <c r="D81" s="1357"/>
      <c r="E81" s="1353" t="s">
        <v>298</v>
      </c>
      <c r="F81" s="1353" t="s">
        <v>336</v>
      </c>
      <c r="G81" s="1354">
        <v>2.8316850000000001E-2</v>
      </c>
      <c r="H81" s="1353"/>
      <c r="I81" s="1353" t="s">
        <v>337</v>
      </c>
      <c r="J81" s="1355" t="s">
        <v>297</v>
      </c>
      <c r="K81" s="1230"/>
      <c r="L81" s="2518"/>
      <c r="M81" s="2519"/>
      <c r="N81" s="2519"/>
      <c r="O81" s="2519"/>
      <c r="P81" s="2519"/>
      <c r="Q81" s="2519"/>
      <c r="R81" s="1582"/>
      <c r="S81" s="1626"/>
      <c r="T81" s="184"/>
    </row>
    <row r="82" spans="1:20" ht="18" customHeight="1" x14ac:dyDescent="0.2">
      <c r="A82" s="1160"/>
      <c r="B82" s="1147"/>
      <c r="C82" s="1104"/>
      <c r="D82" s="1357"/>
      <c r="E82" s="1353" t="s">
        <v>478</v>
      </c>
      <c r="F82" s="1353" t="s">
        <v>336</v>
      </c>
      <c r="G82" s="1354">
        <v>2.6790188999787599E-2</v>
      </c>
      <c r="H82" s="1356" t="s">
        <v>299</v>
      </c>
      <c r="I82" s="1353" t="s">
        <v>337</v>
      </c>
      <c r="J82" s="1355" t="s">
        <v>300</v>
      </c>
      <c r="K82" s="1358"/>
      <c r="L82" s="1341" t="s">
        <v>305</v>
      </c>
      <c r="M82" s="1339"/>
      <c r="N82" s="1339"/>
      <c r="O82" s="1339"/>
      <c r="P82" s="1339"/>
      <c r="Q82" s="1339"/>
      <c r="R82" s="1582"/>
      <c r="S82" s="1626"/>
      <c r="T82" s="184"/>
    </row>
    <row r="83" spans="1:20" ht="18" customHeight="1" x14ac:dyDescent="0.2">
      <c r="A83" s="1160"/>
      <c r="B83" s="1147"/>
      <c r="C83" s="1104"/>
      <c r="D83" s="1357"/>
      <c r="E83" s="1353" t="s">
        <v>301</v>
      </c>
      <c r="F83" s="1353" t="s">
        <v>336</v>
      </c>
      <c r="G83" s="1359">
        <f>3.785412/E93</f>
        <v>3.7854120000000002E-3</v>
      </c>
      <c r="H83" s="1353"/>
      <c r="I83" s="1353" t="s">
        <v>337</v>
      </c>
      <c r="J83" s="1355" t="s">
        <v>297</v>
      </c>
      <c r="K83" s="1230"/>
      <c r="L83" s="2518" t="s">
        <v>1711</v>
      </c>
      <c r="M83" s="2519"/>
      <c r="N83" s="2519"/>
      <c r="O83" s="2519"/>
      <c r="P83" s="2519"/>
      <c r="Q83" s="2519"/>
      <c r="R83" s="1582"/>
      <c r="S83" s="1626"/>
      <c r="T83" s="184"/>
    </row>
    <row r="84" spans="1:20" ht="18" customHeight="1" x14ac:dyDescent="0.2">
      <c r="A84" s="1160"/>
      <c r="B84" s="1147"/>
      <c r="C84" s="1104"/>
      <c r="D84" s="1352" t="s">
        <v>1712</v>
      </c>
      <c r="E84" s="1353" t="s">
        <v>302</v>
      </c>
      <c r="F84" s="1353" t="s">
        <v>336</v>
      </c>
      <c r="G84" s="1360">
        <v>1055.05585262</v>
      </c>
      <c r="H84" s="1356" t="s">
        <v>303</v>
      </c>
      <c r="I84" s="1353" t="s">
        <v>337</v>
      </c>
      <c r="J84" s="1355" t="s">
        <v>304</v>
      </c>
      <c r="K84" s="1230"/>
      <c r="L84" s="2518"/>
      <c r="M84" s="2519"/>
      <c r="N84" s="2519"/>
      <c r="O84" s="2519"/>
      <c r="P84" s="2519"/>
      <c r="Q84" s="2519"/>
      <c r="R84" s="1582"/>
      <c r="S84" s="1626"/>
      <c r="T84" s="184"/>
    </row>
    <row r="85" spans="1:20" ht="18" customHeight="1" x14ac:dyDescent="0.2">
      <c r="A85" s="1160"/>
      <c r="B85" s="1147"/>
      <c r="C85" s="1104"/>
      <c r="D85" s="1361"/>
      <c r="E85" s="1230" t="s">
        <v>220</v>
      </c>
      <c r="F85" s="1353" t="s">
        <v>336</v>
      </c>
      <c r="G85" s="1360">
        <v>4.1840000000000002</v>
      </c>
      <c r="H85" s="1230"/>
      <c r="I85" s="1353" t="s">
        <v>337</v>
      </c>
      <c r="J85" s="1362" t="s">
        <v>1697</v>
      </c>
      <c r="K85" s="1230"/>
      <c r="L85" s="2518"/>
      <c r="M85" s="2519"/>
      <c r="N85" s="2519"/>
      <c r="O85" s="2519"/>
      <c r="P85" s="2519"/>
      <c r="Q85" s="2519"/>
      <c r="R85" s="1582"/>
      <c r="S85" s="1626"/>
      <c r="T85" s="184"/>
    </row>
    <row r="86" spans="1:20" ht="18" customHeight="1" x14ac:dyDescent="0.2">
      <c r="A86" s="1160"/>
      <c r="B86" s="1147"/>
      <c r="C86" s="1104"/>
      <c r="D86" s="1352" t="s">
        <v>1713</v>
      </c>
      <c r="E86" s="1353" t="s">
        <v>306</v>
      </c>
      <c r="F86" s="1353" t="s">
        <v>336</v>
      </c>
      <c r="G86" s="1363">
        <v>1</v>
      </c>
      <c r="H86" s="1353"/>
      <c r="I86" s="1353" t="s">
        <v>337</v>
      </c>
      <c r="J86" s="1355" t="s">
        <v>281</v>
      </c>
      <c r="K86" s="1230"/>
      <c r="L86" s="1102"/>
      <c r="M86" s="1102"/>
      <c r="N86" s="1102"/>
      <c r="O86" s="1102"/>
      <c r="P86" s="1102"/>
      <c r="Q86" s="1102"/>
      <c r="R86" s="1582"/>
      <c r="S86" s="1626"/>
      <c r="T86" s="184"/>
    </row>
    <row r="87" spans="1:20" ht="18" customHeight="1" x14ac:dyDescent="0.2">
      <c r="A87" s="1160"/>
      <c r="B87" s="1147"/>
      <c r="C87" s="1104"/>
      <c r="D87" s="1364"/>
      <c r="E87" s="1353" t="s">
        <v>282</v>
      </c>
      <c r="F87" s="1353" t="s">
        <v>336</v>
      </c>
      <c r="G87" s="1363">
        <f>(G86/(24*3600))*(E94/E94)</f>
        <v>1.1574074074074073E-5</v>
      </c>
      <c r="H87" s="1353"/>
      <c r="I87" s="1353" t="s">
        <v>337</v>
      </c>
      <c r="J87" s="1355" t="s">
        <v>307</v>
      </c>
      <c r="K87" s="1230"/>
      <c r="L87" s="1102"/>
      <c r="M87" s="1102"/>
      <c r="N87" s="1102"/>
      <c r="O87" s="1102"/>
      <c r="P87" s="1102"/>
      <c r="Q87" s="1102"/>
      <c r="R87" s="1582"/>
      <c r="S87" s="1626"/>
      <c r="T87" s="184"/>
    </row>
    <row r="88" spans="1:20" ht="18" customHeight="1" x14ac:dyDescent="0.2">
      <c r="A88" s="1160"/>
      <c r="B88" s="1147"/>
      <c r="C88" s="1104"/>
      <c r="D88" s="1365"/>
      <c r="E88" s="1366" t="s">
        <v>205</v>
      </c>
      <c r="F88" s="1366" t="s">
        <v>336</v>
      </c>
      <c r="G88" s="1367">
        <v>3.6</v>
      </c>
      <c r="H88" s="1368"/>
      <c r="I88" s="1366" t="s">
        <v>337</v>
      </c>
      <c r="J88" s="1369" t="s">
        <v>204</v>
      </c>
      <c r="K88" s="1230"/>
      <c r="L88" s="1102"/>
      <c r="M88" s="1102"/>
      <c r="N88" s="1102"/>
      <c r="O88" s="1102"/>
      <c r="P88" s="1102"/>
      <c r="Q88" s="1102"/>
      <c r="R88" s="1582"/>
      <c r="S88" s="1626"/>
      <c r="T88" s="184"/>
    </row>
    <row r="89" spans="1:20" ht="18" customHeight="1" x14ac:dyDescent="0.2">
      <c r="A89" s="1160"/>
      <c r="B89" s="1147"/>
      <c r="C89" s="1104"/>
      <c r="D89" s="1102"/>
      <c r="E89" s="1102"/>
      <c r="F89" s="1102"/>
      <c r="G89" s="1102"/>
      <c r="H89" s="1102"/>
      <c r="I89" s="1102"/>
      <c r="J89" s="1102"/>
      <c r="K89" s="1102"/>
      <c r="L89" s="1370"/>
      <c r="M89" s="1370"/>
      <c r="N89" s="1370"/>
      <c r="O89" s="1370"/>
      <c r="P89" s="1370"/>
      <c r="Q89" s="1211"/>
      <c r="R89" s="1582"/>
      <c r="S89" s="1626"/>
      <c r="T89" s="184"/>
    </row>
    <row r="90" spans="1:20" ht="18" customHeight="1" x14ac:dyDescent="0.2">
      <c r="A90" s="1160"/>
      <c r="B90" s="1147"/>
      <c r="C90" s="1104"/>
      <c r="D90" s="2494" t="s">
        <v>1246</v>
      </c>
      <c r="E90" s="2495"/>
      <c r="F90" s="2495"/>
      <c r="G90" s="2496"/>
      <c r="H90" s="1350"/>
      <c r="I90" s="2494" t="s">
        <v>1095</v>
      </c>
      <c r="J90" s="2495"/>
      <c r="K90" s="2496"/>
      <c r="L90" s="1370"/>
      <c r="M90" s="1370"/>
      <c r="N90" s="1370"/>
      <c r="O90" s="1370"/>
      <c r="P90" s="1370"/>
      <c r="Q90" s="1370"/>
      <c r="R90" s="1582"/>
      <c r="S90" s="1626"/>
      <c r="T90" s="184"/>
    </row>
    <row r="91" spans="1:20" ht="18" customHeight="1" x14ac:dyDescent="0.2">
      <c r="A91" s="1160"/>
      <c r="B91" s="1147"/>
      <c r="C91" s="1104"/>
      <c r="D91" s="2514" t="s">
        <v>322</v>
      </c>
      <c r="E91" s="2515" t="s">
        <v>323</v>
      </c>
      <c r="F91" s="2515"/>
      <c r="G91" s="2510" t="s">
        <v>317</v>
      </c>
      <c r="H91" s="1189"/>
      <c r="I91" s="2511" t="s">
        <v>1247</v>
      </c>
      <c r="J91" s="2512" t="s">
        <v>430</v>
      </c>
      <c r="K91" s="2507" t="s">
        <v>527</v>
      </c>
      <c r="L91" s="1102"/>
      <c r="M91" s="1102"/>
      <c r="N91" s="1102"/>
      <c r="O91" s="1102"/>
      <c r="P91" s="1102"/>
      <c r="Q91" s="1102"/>
      <c r="R91" s="1582"/>
      <c r="S91" s="1626"/>
      <c r="T91" s="184"/>
    </row>
    <row r="92" spans="1:20" ht="18" customHeight="1" x14ac:dyDescent="0.2">
      <c r="A92" s="1160"/>
      <c r="B92" s="1147"/>
      <c r="C92" s="1104"/>
      <c r="D92" s="2514"/>
      <c r="E92" s="2515"/>
      <c r="F92" s="2515"/>
      <c r="G92" s="2510"/>
      <c r="H92" s="1189"/>
      <c r="I92" s="2511"/>
      <c r="J92" s="2512"/>
      <c r="K92" s="2507"/>
      <c r="L92" s="1102"/>
      <c r="M92" s="1102"/>
      <c r="N92" s="1102"/>
      <c r="O92" s="1102"/>
      <c r="P92" s="1102"/>
      <c r="Q92" s="1102"/>
      <c r="R92" s="1582"/>
      <c r="S92" s="1626"/>
      <c r="T92" s="184"/>
    </row>
    <row r="93" spans="1:20" ht="18" customHeight="1" x14ac:dyDescent="0.2">
      <c r="A93" s="1160"/>
      <c r="B93" s="1147"/>
      <c r="C93" s="1104"/>
      <c r="D93" s="1372" t="s">
        <v>1714</v>
      </c>
      <c r="E93" s="1373">
        <v>1000</v>
      </c>
      <c r="F93" s="1374" t="s">
        <v>318</v>
      </c>
      <c r="G93" s="1375" t="s">
        <v>324</v>
      </c>
      <c r="H93" s="1211"/>
      <c r="I93" s="1376" t="s">
        <v>730</v>
      </c>
      <c r="J93" s="1377">
        <v>0.99901499999999999</v>
      </c>
      <c r="K93" s="1378" t="s">
        <v>731</v>
      </c>
      <c r="L93" s="1102"/>
      <c r="M93" s="1102"/>
      <c r="N93" s="1102"/>
      <c r="O93" s="1102"/>
      <c r="P93" s="1102"/>
      <c r="Q93" s="1102"/>
      <c r="R93" s="1582"/>
      <c r="S93" s="1626"/>
      <c r="T93" s="184"/>
    </row>
    <row r="94" spans="1:20" ht="18" customHeight="1" x14ac:dyDescent="0.2">
      <c r="A94" s="1160"/>
      <c r="B94" s="1147"/>
      <c r="C94" s="1104"/>
      <c r="D94" s="1372" t="s">
        <v>1715</v>
      </c>
      <c r="E94" s="1373">
        <v>1000000</v>
      </c>
      <c r="F94" s="1374" t="s">
        <v>319</v>
      </c>
      <c r="G94" s="1375" t="s">
        <v>324</v>
      </c>
      <c r="H94" s="1211"/>
      <c r="I94" s="1379" t="s">
        <v>732</v>
      </c>
      <c r="J94" s="1230">
        <v>0.159</v>
      </c>
      <c r="K94" s="1380" t="s">
        <v>628</v>
      </c>
      <c r="L94" s="1102"/>
      <c r="M94" s="1102"/>
      <c r="N94" s="1102"/>
      <c r="O94" s="1102"/>
      <c r="P94" s="1102"/>
      <c r="Q94" s="1102"/>
      <c r="R94" s="1582"/>
      <c r="S94" s="1626"/>
      <c r="T94" s="184"/>
    </row>
    <row r="95" spans="1:20" ht="18" customHeight="1" x14ac:dyDescent="0.2">
      <c r="A95" s="1160"/>
      <c r="B95" s="1147"/>
      <c r="C95" s="1104"/>
      <c r="D95" s="1372" t="s">
        <v>1715</v>
      </c>
      <c r="E95" s="1373">
        <f>E94/E93</f>
        <v>1000</v>
      </c>
      <c r="F95" s="1374" t="s">
        <v>318</v>
      </c>
      <c r="G95" s="1375" t="s">
        <v>325</v>
      </c>
      <c r="H95" s="1211"/>
      <c r="I95" s="1381"/>
      <c r="J95" s="1382"/>
      <c r="K95" s="1383"/>
      <c r="L95" s="1102"/>
      <c r="M95" s="1102"/>
      <c r="N95" s="1102"/>
      <c r="O95" s="1102"/>
      <c r="P95" s="1102"/>
      <c r="Q95" s="1102"/>
      <c r="R95" s="1582"/>
      <c r="S95" s="1626"/>
      <c r="T95" s="184"/>
    </row>
    <row r="96" spans="1:20" ht="18" customHeight="1" x14ac:dyDescent="0.2">
      <c r="A96" s="1160"/>
      <c r="B96" s="1147"/>
      <c r="C96" s="1104"/>
      <c r="D96" s="1372" t="s">
        <v>1716</v>
      </c>
      <c r="E96" s="1373">
        <v>1000000000</v>
      </c>
      <c r="F96" s="1374" t="s">
        <v>320</v>
      </c>
      <c r="G96" s="1375" t="s">
        <v>324</v>
      </c>
      <c r="H96" s="1211"/>
      <c r="I96" s="1211" t="s">
        <v>1187</v>
      </c>
      <c r="J96" s="1211"/>
      <c r="K96" s="1211"/>
      <c r="L96" s="1102"/>
      <c r="M96" s="1102"/>
      <c r="N96" s="1102"/>
      <c r="O96" s="1102"/>
      <c r="P96" s="1102"/>
      <c r="Q96" s="1102"/>
      <c r="R96" s="1582"/>
      <c r="S96" s="1626"/>
      <c r="T96" s="184"/>
    </row>
    <row r="97" spans="1:20" ht="18" customHeight="1" x14ac:dyDescent="0.2">
      <c r="A97" s="1160"/>
      <c r="B97" s="1147"/>
      <c r="C97" s="1104"/>
      <c r="D97" s="1372" t="s">
        <v>1716</v>
      </c>
      <c r="E97" s="1373">
        <f>E96/E93</f>
        <v>1000000</v>
      </c>
      <c r="F97" s="1374" t="s">
        <v>319</v>
      </c>
      <c r="G97" s="1375" t="s">
        <v>325</v>
      </c>
      <c r="H97" s="1211"/>
      <c r="I97" s="1211"/>
      <c r="J97" s="1211"/>
      <c r="K97" s="1211"/>
      <c r="L97" s="1102"/>
      <c r="M97" s="1102"/>
      <c r="N97" s="1102"/>
      <c r="O97" s="1102"/>
      <c r="P97" s="1102"/>
      <c r="Q97" s="1102"/>
      <c r="R97" s="1582"/>
      <c r="S97" s="1626"/>
      <c r="T97" s="184"/>
    </row>
    <row r="98" spans="1:20" ht="18" customHeight="1" x14ac:dyDescent="0.2">
      <c r="A98" s="1160"/>
      <c r="B98" s="1147"/>
      <c r="C98" s="1104"/>
      <c r="D98" s="1372" t="s">
        <v>1716</v>
      </c>
      <c r="E98" s="1373">
        <f>E96/E94</f>
        <v>1000</v>
      </c>
      <c r="F98" s="1374" t="s">
        <v>318</v>
      </c>
      <c r="G98" s="1375" t="s">
        <v>326</v>
      </c>
      <c r="H98" s="1211"/>
      <c r="I98" s="1211"/>
      <c r="J98" s="1211"/>
      <c r="K98" s="1211"/>
      <c r="L98" s="1102"/>
      <c r="M98" s="1102"/>
      <c r="N98" s="1102"/>
      <c r="O98" s="1102"/>
      <c r="P98" s="1102"/>
      <c r="Q98" s="1102"/>
      <c r="R98" s="1582"/>
      <c r="S98" s="1626"/>
      <c r="T98" s="184"/>
    </row>
    <row r="99" spans="1:20" ht="18" customHeight="1" x14ac:dyDescent="0.2">
      <c r="A99" s="1160"/>
      <c r="B99" s="1147"/>
      <c r="C99" s="1104"/>
      <c r="D99" s="1372" t="s">
        <v>1717</v>
      </c>
      <c r="E99" s="1373">
        <v>1000000000000</v>
      </c>
      <c r="F99" s="1374" t="s">
        <v>321</v>
      </c>
      <c r="G99" s="1375" t="s">
        <v>324</v>
      </c>
      <c r="H99" s="1211"/>
      <c r="I99" s="1211"/>
      <c r="J99" s="1211"/>
      <c r="K99" s="1211"/>
      <c r="L99" s="1102"/>
      <c r="M99" s="1102"/>
      <c r="N99" s="1102"/>
      <c r="O99" s="1102"/>
      <c r="P99" s="1102"/>
      <c r="Q99" s="1102"/>
      <c r="R99" s="1582"/>
      <c r="S99" s="1626"/>
      <c r="T99" s="184"/>
    </row>
    <row r="100" spans="1:20" ht="18" customHeight="1" x14ac:dyDescent="0.2">
      <c r="A100" s="1160"/>
      <c r="B100" s="1147"/>
      <c r="C100" s="1104"/>
      <c r="D100" s="1372" t="s">
        <v>1717</v>
      </c>
      <c r="E100" s="1373">
        <f>E99/E93</f>
        <v>1000000000</v>
      </c>
      <c r="F100" s="1374" t="s">
        <v>320</v>
      </c>
      <c r="G100" s="1375" t="s">
        <v>325</v>
      </c>
      <c r="H100" s="1211"/>
      <c r="I100" s="1211"/>
      <c r="J100" s="1211"/>
      <c r="K100" s="1211"/>
      <c r="L100" s="1102"/>
      <c r="M100" s="1102"/>
      <c r="N100" s="1102"/>
      <c r="O100" s="1102"/>
      <c r="P100" s="1102"/>
      <c r="Q100" s="1102"/>
      <c r="R100" s="1582"/>
      <c r="S100" s="1626"/>
      <c r="T100" s="184"/>
    </row>
    <row r="101" spans="1:20" ht="18" customHeight="1" x14ac:dyDescent="0.2">
      <c r="A101" s="1160"/>
      <c r="B101" s="1147"/>
      <c r="C101" s="1104"/>
      <c r="D101" s="1372" t="s">
        <v>1717</v>
      </c>
      <c r="E101" s="1373">
        <f>E99/E94</f>
        <v>1000000</v>
      </c>
      <c r="F101" s="1374" t="s">
        <v>319</v>
      </c>
      <c r="G101" s="1375" t="s">
        <v>326</v>
      </c>
      <c r="H101" s="1211"/>
      <c r="I101" s="1211"/>
      <c r="J101" s="1211"/>
      <c r="K101" s="1211"/>
      <c r="L101" s="1102"/>
      <c r="M101" s="1102"/>
      <c r="N101" s="1102"/>
      <c r="O101" s="1102"/>
      <c r="P101" s="1102"/>
      <c r="Q101" s="1102"/>
      <c r="R101" s="1582"/>
      <c r="S101" s="1626"/>
      <c r="T101" s="184"/>
    </row>
    <row r="102" spans="1:20" ht="18" customHeight="1" x14ac:dyDescent="0.2">
      <c r="A102" s="1160"/>
      <c r="B102" s="1147"/>
      <c r="C102" s="1104"/>
      <c r="D102" s="1372" t="s">
        <v>1717</v>
      </c>
      <c r="E102" s="1373">
        <f>E99/E96</f>
        <v>1000</v>
      </c>
      <c r="F102" s="1374" t="s">
        <v>318</v>
      </c>
      <c r="G102" s="1375" t="s">
        <v>328</v>
      </c>
      <c r="H102" s="1211"/>
      <c r="I102" s="1211"/>
      <c r="J102" s="1211"/>
      <c r="K102" s="1211"/>
      <c r="L102" s="1102"/>
      <c r="M102" s="1102"/>
      <c r="N102" s="1102"/>
      <c r="O102" s="1102"/>
      <c r="P102" s="1102"/>
      <c r="Q102" s="1102"/>
      <c r="R102" s="1582"/>
      <c r="S102" s="1626"/>
      <c r="T102" s="184"/>
    </row>
    <row r="103" spans="1:20" ht="18" customHeight="1" x14ac:dyDescent="0.2">
      <c r="A103" s="1160"/>
      <c r="B103" s="1147"/>
      <c r="C103" s="1104"/>
      <c r="D103" s="1384"/>
      <c r="E103" s="1385"/>
      <c r="F103" s="1385"/>
      <c r="G103" s="1386"/>
      <c r="H103" s="1211"/>
      <c r="I103" s="1211"/>
      <c r="J103" s="1211"/>
      <c r="K103" s="1211"/>
      <c r="L103" s="1102"/>
      <c r="M103" s="1102"/>
      <c r="N103" s="1102"/>
      <c r="O103" s="1102"/>
      <c r="P103" s="1102"/>
      <c r="Q103" s="1102"/>
      <c r="R103" s="1582"/>
      <c r="S103" s="1626"/>
      <c r="T103" s="184"/>
    </row>
    <row r="104" spans="1:20" ht="18" customHeight="1" x14ac:dyDescent="0.2">
      <c r="A104" s="1160"/>
      <c r="B104" s="1147"/>
      <c r="C104" s="1104"/>
      <c r="D104" s="2488" t="s">
        <v>327</v>
      </c>
      <c r="E104" s="2488"/>
      <c r="F104" s="2488"/>
      <c r="G104" s="2488"/>
      <c r="H104" s="1370"/>
      <c r="I104" s="1211"/>
      <c r="J104" s="1211"/>
      <c r="K104" s="1211"/>
      <c r="L104" s="1102"/>
      <c r="M104" s="1102"/>
      <c r="N104" s="1102"/>
      <c r="O104" s="1102"/>
      <c r="P104" s="1102"/>
      <c r="Q104" s="1102"/>
      <c r="R104" s="1582"/>
      <c r="S104" s="1626"/>
      <c r="T104" s="184"/>
    </row>
    <row r="105" spans="1:20" ht="18" customHeight="1" x14ac:dyDescent="0.2">
      <c r="A105" s="1160"/>
      <c r="B105" s="1147"/>
      <c r="C105" s="1105"/>
      <c r="D105" s="2489"/>
      <c r="E105" s="2489"/>
      <c r="F105" s="2489"/>
      <c r="G105" s="2489"/>
      <c r="H105" s="1387"/>
      <c r="I105" s="1382"/>
      <c r="J105" s="1382"/>
      <c r="K105" s="1382"/>
      <c r="L105" s="1346"/>
      <c r="M105" s="1346"/>
      <c r="N105" s="1346"/>
      <c r="O105" s="1346"/>
      <c r="P105" s="1346"/>
      <c r="Q105" s="1346"/>
      <c r="R105" s="1616"/>
      <c r="S105" s="1626"/>
      <c r="T105" s="184"/>
    </row>
    <row r="106" spans="1:20" ht="18" customHeight="1" thickBot="1" x14ac:dyDescent="0.25">
      <c r="A106" s="184"/>
      <c r="B106" s="1633"/>
      <c r="C106" s="1634"/>
      <c r="D106" s="1634"/>
      <c r="E106" s="1634"/>
      <c r="F106" s="1634"/>
      <c r="G106" s="1634"/>
      <c r="H106" s="1634"/>
      <c r="I106" s="1634"/>
      <c r="J106" s="1634"/>
      <c r="K106" s="1634"/>
      <c r="L106" s="1634"/>
      <c r="M106" s="1634"/>
      <c r="N106" s="1634"/>
      <c r="O106" s="1634"/>
      <c r="P106" s="1634"/>
      <c r="Q106" s="1634"/>
      <c r="R106" s="1634"/>
      <c r="S106" s="1635"/>
      <c r="T106" s="184"/>
    </row>
    <row r="107" spans="1:20" ht="18" customHeight="1" x14ac:dyDescent="0.2">
      <c r="A107" s="184"/>
      <c r="B107" s="184"/>
      <c r="C107" s="184"/>
      <c r="D107" s="184"/>
      <c r="E107" s="184"/>
      <c r="F107" s="184"/>
      <c r="G107" s="184"/>
      <c r="H107" s="184"/>
      <c r="I107" s="184"/>
      <c r="J107" s="184"/>
      <c r="K107" s="184"/>
      <c r="L107" s="184"/>
      <c r="M107" s="184"/>
      <c r="N107" s="184"/>
      <c r="O107" s="184"/>
      <c r="P107" s="184"/>
      <c r="Q107" s="184"/>
      <c r="R107" s="184"/>
      <c r="S107" s="184"/>
      <c r="T107" s="184"/>
    </row>
  </sheetData>
  <mergeCells count="37">
    <mergeCell ref="L80:Q81"/>
    <mergeCell ref="L83:Q85"/>
    <mergeCell ref="G52:H54"/>
    <mergeCell ref="D35:Q35"/>
    <mergeCell ref="D23:D24"/>
    <mergeCell ref="K91:K92"/>
    <mergeCell ref="C5:E6"/>
    <mergeCell ref="C8:D8"/>
    <mergeCell ref="G91:G92"/>
    <mergeCell ref="I91:I92"/>
    <mergeCell ref="J91:J92"/>
    <mergeCell ref="G76:G77"/>
    <mergeCell ref="I76:I77"/>
    <mergeCell ref="J76:J77"/>
    <mergeCell ref="D91:D92"/>
    <mergeCell ref="E91:F92"/>
    <mergeCell ref="K17:N17"/>
    <mergeCell ref="D37:Q37"/>
    <mergeCell ref="P17:Q17"/>
    <mergeCell ref="D33:Q33"/>
    <mergeCell ref="D34:Q34"/>
    <mergeCell ref="C2:G3"/>
    <mergeCell ref="C72:E73"/>
    <mergeCell ref="D104:G105"/>
    <mergeCell ref="D36:Q36"/>
    <mergeCell ref="P18:Q18"/>
    <mergeCell ref="G18:J18"/>
    <mergeCell ref="K18:N18"/>
    <mergeCell ref="D75:J75"/>
    <mergeCell ref="I90:K90"/>
    <mergeCell ref="D90:G90"/>
    <mergeCell ref="D76:D77"/>
    <mergeCell ref="E76:E77"/>
    <mergeCell ref="F76:F77"/>
    <mergeCell ref="P16:Q16"/>
    <mergeCell ref="G17:J17"/>
    <mergeCell ref="E16:N16"/>
  </mergeCells>
  <phoneticPr fontId="24" type="noConversion"/>
  <pageMargins left="0.7" right="0.7" top="0.75" bottom="0.75" header="0.3" footer="0.3"/>
  <pageSetup orientation="portrait" horizontalDpi="4294967292" verticalDpi="4294967292"/>
  <ignoredErrors>
    <ignoredError sqref="P30:P31" emptyCellReference="1"/>
  </ignoredErrors>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tabColor rgb="FF00B050"/>
  </sheetPr>
  <dimension ref="A1:AL215"/>
  <sheetViews>
    <sheetView zoomScale="70" zoomScaleNormal="70" zoomScalePageLayoutView="40" workbookViewId="0"/>
  </sheetViews>
  <sheetFormatPr defaultColWidth="9.140625" defaultRowHeight="12.75" customHeight="1" x14ac:dyDescent="0.2"/>
  <cols>
    <col min="1" max="1" width="3.28515625" customWidth="1"/>
    <col min="2" max="2" width="1.42578125" customWidth="1"/>
    <col min="3" max="3" width="14" customWidth="1"/>
    <col min="4" max="6" width="10.7109375" customWidth="1"/>
    <col min="7" max="7" width="11.85546875" customWidth="1"/>
    <col min="8" max="9" width="10.7109375" customWidth="1"/>
    <col min="10" max="10" width="13" customWidth="1"/>
    <col min="11" max="12" width="10.7109375" customWidth="1"/>
    <col min="13" max="13" width="11.28515625" customWidth="1"/>
    <col min="14" max="15" width="10.7109375" customWidth="1"/>
    <col min="16" max="16" width="11.140625" customWidth="1"/>
    <col min="17" max="17" width="11.85546875" customWidth="1"/>
    <col min="18" max="36" width="10.7109375" customWidth="1"/>
    <col min="37" max="37" width="4.28515625" customWidth="1"/>
    <col min="38" max="38" width="5.7109375" customWidth="1"/>
  </cols>
  <sheetData>
    <row r="1" spans="1:38" ht="13.5" thickBot="1" x14ac:dyDescent="0.25">
      <c r="A1" s="14"/>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row>
    <row r="2" spans="1:38" ht="14.1" customHeight="1" x14ac:dyDescent="0.2">
      <c r="A2" s="14"/>
      <c r="B2" s="1617"/>
      <c r="C2" s="2465" t="s">
        <v>1669</v>
      </c>
      <c r="D2" s="2465"/>
      <c r="E2" s="2465"/>
      <c r="F2" s="2465"/>
      <c r="G2" s="2465"/>
      <c r="H2" s="2465"/>
      <c r="I2" s="2465"/>
      <c r="J2" s="2465"/>
      <c r="K2" s="2465"/>
      <c r="L2" s="1618"/>
      <c r="M2" s="1618"/>
      <c r="N2" s="1618"/>
      <c r="O2" s="1618"/>
      <c r="P2" s="1618"/>
      <c r="Q2" s="1618"/>
      <c r="R2" s="1618"/>
      <c r="S2" s="1618"/>
      <c r="T2" s="1618"/>
      <c r="U2" s="1618"/>
      <c r="V2" s="1618"/>
      <c r="W2" s="1618"/>
      <c r="X2" s="1618"/>
      <c r="Y2" s="1618"/>
      <c r="Z2" s="1618"/>
      <c r="AA2" s="1618"/>
      <c r="AB2" s="1618"/>
      <c r="AC2" s="1618"/>
      <c r="AD2" s="1618"/>
      <c r="AE2" s="1618"/>
      <c r="AF2" s="1618"/>
      <c r="AG2" s="1618"/>
      <c r="AH2" s="1618"/>
      <c r="AI2" s="1618"/>
      <c r="AJ2" s="1618"/>
      <c r="AK2" s="1619"/>
      <c r="AL2" s="16"/>
    </row>
    <row r="3" spans="1:38" ht="14.1" customHeight="1" x14ac:dyDescent="0.2">
      <c r="A3" s="14"/>
      <c r="B3" s="1620"/>
      <c r="C3" s="2466"/>
      <c r="D3" s="2466"/>
      <c r="E3" s="2466"/>
      <c r="F3" s="2466"/>
      <c r="G3" s="2466"/>
      <c r="H3" s="2466"/>
      <c r="I3" s="2466"/>
      <c r="J3" s="2466"/>
      <c r="K3" s="2466"/>
      <c r="L3" s="1016"/>
      <c r="M3" s="1016"/>
      <c r="N3" s="1016"/>
      <c r="O3" s="1016"/>
      <c r="P3" s="1016"/>
      <c r="Q3" s="1016"/>
      <c r="R3" s="1016"/>
      <c r="S3" s="1016"/>
      <c r="T3" s="1016"/>
      <c r="U3" s="1016"/>
      <c r="V3" s="1016"/>
      <c r="W3" s="1016"/>
      <c r="X3" s="1016"/>
      <c r="Y3" s="1016"/>
      <c r="Z3" s="1016"/>
      <c r="AA3" s="1016"/>
      <c r="AB3" s="1016"/>
      <c r="AC3" s="1016"/>
      <c r="AD3" s="1016"/>
      <c r="AE3" s="1016"/>
      <c r="AF3" s="1016"/>
      <c r="AG3" s="1016"/>
      <c r="AH3" s="1016"/>
      <c r="AI3" s="1016"/>
      <c r="AJ3" s="1016"/>
      <c r="AK3" s="1621"/>
      <c r="AL3" s="16"/>
    </row>
    <row r="4" spans="1:38" ht="15" customHeight="1" x14ac:dyDescent="0.2">
      <c r="A4" s="14"/>
      <c r="B4" s="15"/>
      <c r="C4" s="1015"/>
      <c r="D4" s="1015"/>
      <c r="E4" s="1015"/>
      <c r="F4" s="1015"/>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7"/>
      <c r="AL4" s="16"/>
    </row>
    <row r="5" spans="1:38" ht="14.25" x14ac:dyDescent="0.25">
      <c r="A5" s="14"/>
      <c r="B5" s="15"/>
      <c r="C5" s="1703" t="s">
        <v>826</v>
      </c>
      <c r="D5" s="1703"/>
      <c r="E5" s="16"/>
      <c r="F5" s="16"/>
      <c r="G5" s="998" t="s">
        <v>1227</v>
      </c>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7"/>
      <c r="AL5" s="16"/>
    </row>
    <row r="6" spans="1:38" ht="15" x14ac:dyDescent="0.25">
      <c r="A6" s="14"/>
      <c r="B6" s="15"/>
      <c r="C6" s="1704" t="s">
        <v>827</v>
      </c>
      <c r="D6" s="1705"/>
      <c r="E6" s="16"/>
      <c r="F6" s="16"/>
      <c r="G6" s="16"/>
      <c r="H6" s="16"/>
      <c r="I6" s="16"/>
      <c r="J6" s="16"/>
      <c r="K6" s="16"/>
      <c r="L6" s="16"/>
      <c r="M6" s="16"/>
      <c r="N6" s="16"/>
      <c r="O6" s="16"/>
      <c r="P6" s="16"/>
      <c r="Q6" s="16"/>
      <c r="R6" s="16"/>
      <c r="S6" s="16"/>
      <c r="T6" s="16"/>
      <c r="U6" s="16"/>
      <c r="V6" s="16"/>
      <c r="W6" s="16"/>
      <c r="X6" s="16"/>
      <c r="Y6" s="16"/>
      <c r="Z6" s="16"/>
      <c r="AA6" s="16"/>
      <c r="AB6" s="16"/>
      <c r="AC6" s="16"/>
      <c r="AD6" s="16"/>
      <c r="AE6" s="16"/>
      <c r="AF6" s="16"/>
      <c r="AG6" s="16"/>
      <c r="AH6" s="16"/>
      <c r="AI6" s="16"/>
      <c r="AJ6" s="16"/>
      <c r="AK6" s="17"/>
      <c r="AL6" s="16"/>
    </row>
    <row r="7" spans="1:38" ht="15" x14ac:dyDescent="0.25">
      <c r="A7" s="14"/>
      <c r="B7" s="15"/>
      <c r="C7" s="1706" t="s">
        <v>212</v>
      </c>
      <c r="D7" s="1706"/>
      <c r="E7" s="16"/>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c r="AH7" s="16"/>
      <c r="AI7" s="16"/>
      <c r="AJ7" s="16"/>
      <c r="AK7" s="17"/>
      <c r="AL7" s="16"/>
    </row>
    <row r="8" spans="1:38" x14ac:dyDescent="0.2">
      <c r="A8" s="14"/>
      <c r="B8" s="15"/>
      <c r="C8" s="172"/>
      <c r="D8" s="16"/>
      <c r="E8" s="16"/>
      <c r="F8" s="16"/>
      <c r="G8" s="16"/>
      <c r="H8" s="16"/>
      <c r="I8" s="16"/>
      <c r="J8" s="16"/>
      <c r="K8" s="16"/>
      <c r="L8" s="16"/>
      <c r="M8" s="16"/>
      <c r="N8" s="16"/>
      <c r="O8" s="16"/>
      <c r="P8" s="16"/>
      <c r="Q8" s="16"/>
      <c r="R8" s="16"/>
      <c r="S8" s="16"/>
      <c r="T8" s="16"/>
      <c r="U8" s="16"/>
      <c r="V8" s="16"/>
      <c r="W8" s="16"/>
      <c r="X8" s="16"/>
      <c r="Y8" s="16"/>
      <c r="Z8" s="16"/>
      <c r="AA8" s="16"/>
      <c r="AB8" s="16"/>
      <c r="AC8" s="16"/>
      <c r="AD8" s="16"/>
      <c r="AE8" s="16"/>
      <c r="AF8" s="16"/>
      <c r="AG8" s="16"/>
      <c r="AH8" s="16"/>
      <c r="AI8" s="16"/>
      <c r="AJ8" s="16"/>
      <c r="AK8" s="17"/>
      <c r="AL8" s="16"/>
    </row>
    <row r="9" spans="1:38" x14ac:dyDescent="0.2">
      <c r="A9" s="14"/>
      <c r="B9" s="15"/>
      <c r="C9" s="16"/>
      <c r="D9" s="16"/>
      <c r="E9" s="16"/>
      <c r="F9" s="16"/>
      <c r="G9" s="16" t="s">
        <v>1670</v>
      </c>
      <c r="H9" s="16"/>
      <c r="I9" s="16"/>
      <c r="J9" s="16"/>
      <c r="K9" s="16"/>
      <c r="L9" s="16"/>
      <c r="M9" s="16"/>
      <c r="N9" s="16"/>
      <c r="O9" s="16"/>
      <c r="P9" s="16"/>
      <c r="Q9" s="16"/>
      <c r="R9" s="16"/>
      <c r="S9" s="16"/>
      <c r="T9" s="16"/>
      <c r="U9" s="16"/>
      <c r="V9" s="16"/>
      <c r="W9" s="16"/>
      <c r="X9" s="16"/>
      <c r="Y9" s="16"/>
      <c r="Z9" s="16"/>
      <c r="AA9" s="16"/>
      <c r="AB9" s="16"/>
      <c r="AC9" s="16"/>
      <c r="AD9" s="16"/>
      <c r="AE9" s="16"/>
      <c r="AF9" s="16"/>
      <c r="AG9" s="16"/>
      <c r="AH9" s="16"/>
      <c r="AI9" s="16"/>
      <c r="AJ9" s="16"/>
      <c r="AK9" s="17"/>
      <c r="AL9" s="16"/>
    </row>
    <row r="10" spans="1:38" x14ac:dyDescent="0.2">
      <c r="A10" s="14"/>
      <c r="B10" s="15"/>
      <c r="C10" s="16"/>
      <c r="D10" s="16"/>
      <c r="E10" s="16"/>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c r="AE10" s="16"/>
      <c r="AF10" s="16"/>
      <c r="AG10" s="16"/>
      <c r="AH10" s="16"/>
      <c r="AI10" s="16"/>
      <c r="AJ10" s="16"/>
      <c r="AK10" s="17"/>
      <c r="AL10" s="16"/>
    </row>
    <row r="11" spans="1:38" ht="26.25" x14ac:dyDescent="0.2">
      <c r="A11" s="14"/>
      <c r="B11" s="1622"/>
      <c r="C11" s="603" t="s">
        <v>1671</v>
      </c>
      <c r="D11" s="1017"/>
      <c r="E11" s="1017"/>
      <c r="F11" s="1017"/>
      <c r="G11" s="1017"/>
      <c r="H11" s="1017"/>
      <c r="I11" s="1017"/>
      <c r="J11" s="1017"/>
      <c r="K11" s="1017"/>
      <c r="L11" s="1017"/>
      <c r="M11" s="1017"/>
      <c r="N11" s="1017"/>
      <c r="O11" s="1017"/>
      <c r="P11" s="1017"/>
      <c r="Q11" s="1017"/>
      <c r="R11" s="1017"/>
      <c r="S11" s="1017"/>
      <c r="T11" s="1017"/>
      <c r="U11" s="1017"/>
      <c r="V11" s="1017"/>
      <c r="W11" s="1017"/>
      <c r="X11" s="1017"/>
      <c r="Y11" s="1017"/>
      <c r="Z11" s="1017"/>
      <c r="AA11" s="1017"/>
      <c r="AB11" s="1017"/>
      <c r="AC11" s="1017"/>
      <c r="AD11" s="1017"/>
      <c r="AE11" s="1017"/>
      <c r="AF11" s="1017"/>
      <c r="AG11" s="1017"/>
      <c r="AH11" s="1017"/>
      <c r="AI11" s="1017"/>
      <c r="AJ11" s="1017"/>
      <c r="AK11" s="1623"/>
      <c r="AL11" s="16"/>
    </row>
    <row r="12" spans="1:38" x14ac:dyDescent="0.2">
      <c r="A12" s="14"/>
      <c r="B12" s="15"/>
      <c r="C12" s="73"/>
      <c r="D12" s="16"/>
      <c r="E12" s="16"/>
      <c r="F12" s="16"/>
      <c r="G12" s="16"/>
      <c r="H12" s="16"/>
      <c r="I12" s="16"/>
      <c r="J12" s="16"/>
      <c r="K12" s="16"/>
      <c r="L12" s="16"/>
      <c r="M12" s="16"/>
      <c r="N12" s="16"/>
      <c r="O12" s="73"/>
      <c r="P12" s="16"/>
      <c r="Q12" s="16"/>
      <c r="R12" s="16"/>
      <c r="S12" s="16"/>
      <c r="T12" s="16"/>
      <c r="U12" s="16"/>
      <c r="V12" s="16"/>
      <c r="W12" s="16"/>
      <c r="X12" s="16"/>
      <c r="Y12" s="16"/>
      <c r="Z12" s="16"/>
      <c r="AA12" s="16"/>
      <c r="AB12" s="16"/>
      <c r="AC12" s="16"/>
      <c r="AD12" s="16"/>
      <c r="AE12" s="16"/>
      <c r="AF12" s="16"/>
      <c r="AG12" s="16"/>
      <c r="AH12" s="16"/>
      <c r="AI12" s="16"/>
      <c r="AJ12" s="16"/>
      <c r="AK12" s="17"/>
      <c r="AL12" s="16"/>
    </row>
    <row r="13" spans="1:38" ht="15" x14ac:dyDescent="0.25">
      <c r="A13" s="14"/>
      <c r="B13" s="15"/>
      <c r="C13" s="172"/>
      <c r="D13" s="16"/>
      <c r="E13" s="16"/>
      <c r="F13" s="16"/>
      <c r="G13" s="16"/>
      <c r="H13" s="172"/>
      <c r="I13" s="16"/>
      <c r="J13" s="16"/>
      <c r="K13" s="16"/>
      <c r="L13" s="16"/>
      <c r="M13" s="16"/>
      <c r="N13" s="172"/>
      <c r="O13" s="302"/>
      <c r="P13" s="16"/>
      <c r="Q13" s="16"/>
      <c r="R13" s="16"/>
      <c r="S13" s="16"/>
      <c r="T13" s="172"/>
      <c r="U13" s="16"/>
      <c r="V13" s="16"/>
      <c r="W13" s="16"/>
      <c r="X13" s="16"/>
      <c r="Y13" s="16"/>
      <c r="Z13" s="16"/>
      <c r="AA13" s="16"/>
      <c r="AB13" s="16"/>
      <c r="AC13" s="16"/>
      <c r="AD13" s="16"/>
      <c r="AE13" s="16"/>
      <c r="AF13" s="16"/>
      <c r="AG13" s="16"/>
      <c r="AH13" s="16"/>
      <c r="AI13" s="16"/>
      <c r="AJ13" s="16"/>
      <c r="AK13" s="17"/>
      <c r="AL13" s="16"/>
    </row>
    <row r="14" spans="1:38" x14ac:dyDescent="0.2">
      <c r="A14" s="14"/>
      <c r="B14" s="15"/>
      <c r="C14" s="843" t="s">
        <v>1668</v>
      </c>
      <c r="D14" s="843"/>
      <c r="E14" s="843"/>
      <c r="F14" s="16"/>
      <c r="G14" s="16"/>
      <c r="H14" s="843" t="s">
        <v>1665</v>
      </c>
      <c r="I14" s="843"/>
      <c r="J14" s="843"/>
      <c r="K14" s="16"/>
      <c r="L14" s="16"/>
      <c r="M14" s="16"/>
      <c r="N14" s="843" t="s">
        <v>1666</v>
      </c>
      <c r="O14" s="843"/>
      <c r="P14" s="843"/>
      <c r="Q14" s="16"/>
      <c r="R14" s="16"/>
      <c r="S14" s="16"/>
      <c r="T14" s="843" t="s">
        <v>1667</v>
      </c>
      <c r="U14" s="843"/>
      <c r="V14" s="843"/>
      <c r="W14" s="16"/>
      <c r="X14" s="16"/>
      <c r="Y14" s="16"/>
      <c r="Z14" s="16"/>
      <c r="AA14" s="16"/>
      <c r="AB14" s="16"/>
      <c r="AC14" s="16"/>
      <c r="AD14" s="16"/>
      <c r="AE14" s="16"/>
      <c r="AF14" s="16"/>
      <c r="AG14" s="16"/>
      <c r="AH14" s="16"/>
      <c r="AI14" s="16"/>
      <c r="AJ14" s="16"/>
      <c r="AK14" s="17"/>
      <c r="AL14" s="16"/>
    </row>
    <row r="15" spans="1:38" ht="17.25" customHeight="1" x14ac:dyDescent="0.35">
      <c r="A15" s="14"/>
      <c r="B15" s="15"/>
      <c r="C15" s="1026">
        <f ca="1">CokingRefineryCalcs!I367</f>
        <v>24.81107377782493</v>
      </c>
      <c r="D15" s="164" t="s">
        <v>1228</v>
      </c>
      <c r="E15" s="164"/>
      <c r="F15" s="160"/>
      <c r="G15" s="16"/>
      <c r="H15" s="159" t="s">
        <v>1229</v>
      </c>
      <c r="I15" s="164"/>
      <c r="J15" s="164"/>
      <c r="K15" s="1030">
        <f ca="1">H34+(C15-H32)*(H35-H34)/(H33-H32)</f>
        <v>14.126136597478855</v>
      </c>
      <c r="L15" s="160"/>
      <c r="M15" s="16"/>
      <c r="N15" s="159"/>
      <c r="O15" s="1035">
        <f ca="1">HydroRefineryCalcs!I364</f>
        <v>24.81107377782493</v>
      </c>
      <c r="P15" s="164" t="s">
        <v>1228</v>
      </c>
      <c r="Q15" s="164"/>
      <c r="R15" s="160"/>
      <c r="S15" s="16"/>
      <c r="T15" s="159" t="s">
        <v>1229</v>
      </c>
      <c r="U15" s="164"/>
      <c r="V15" s="164"/>
      <c r="W15" s="1030">
        <f ca="1">N34+(O15-N32)*(N35-N34)/(N33-N32)</f>
        <v>14.126136597478855</v>
      </c>
      <c r="X15" s="160"/>
      <c r="Y15" s="16"/>
      <c r="Z15" s="16"/>
      <c r="AA15" s="16"/>
      <c r="AB15" s="16"/>
      <c r="AC15" s="16"/>
      <c r="AD15" s="16"/>
      <c r="AE15" s="16"/>
      <c r="AF15" s="16"/>
      <c r="AG15" s="16"/>
      <c r="AH15" s="16"/>
      <c r="AI15" s="16"/>
      <c r="AJ15" s="16"/>
      <c r="AK15" s="17"/>
      <c r="AL15" s="16"/>
    </row>
    <row r="16" spans="1:38" ht="15" customHeight="1" x14ac:dyDescent="0.25">
      <c r="A16" s="14"/>
      <c r="B16" s="15"/>
      <c r="C16" s="1064">
        <f ca="1">CokingRefineryCalcs!I371</f>
        <v>11.585905176337844</v>
      </c>
      <c r="D16" s="50" t="s">
        <v>785</v>
      </c>
      <c r="E16" s="50"/>
      <c r="F16" s="1023"/>
      <c r="G16" s="16"/>
      <c r="H16" s="77" t="s">
        <v>1230</v>
      </c>
      <c r="I16" s="16"/>
      <c r="J16" s="16"/>
      <c r="K16" s="1027">
        <f ca="1">T34+(K15-T32)*(T35-T34)/(T33-T32)</f>
        <v>37.455192316425411</v>
      </c>
      <c r="L16" s="997"/>
      <c r="M16" s="57"/>
      <c r="N16" s="66"/>
      <c r="O16" s="1077">
        <f ca="1">HydroRefineryCalcs!I368</f>
        <v>11.585905176337844</v>
      </c>
      <c r="P16" s="50" t="s">
        <v>785</v>
      </c>
      <c r="Q16" s="50"/>
      <c r="R16" s="1023"/>
      <c r="S16" s="16"/>
      <c r="T16" s="77" t="s">
        <v>1230</v>
      </c>
      <c r="U16" s="16"/>
      <c r="V16" s="16"/>
      <c r="W16" s="1027">
        <f ca="1">T43+(W15-T41)*(T44-T43)/(T42-T41)</f>
        <v>37.455192316425411</v>
      </c>
      <c r="X16" s="997"/>
      <c r="Y16" s="16"/>
      <c r="Z16" s="16"/>
      <c r="AA16" s="16"/>
      <c r="AB16" s="16"/>
      <c r="AC16" s="16"/>
      <c r="AD16" s="16"/>
      <c r="AE16" s="16"/>
      <c r="AF16" s="16"/>
      <c r="AG16" s="16"/>
      <c r="AH16" s="16"/>
      <c r="AI16" s="16"/>
      <c r="AJ16" s="16"/>
      <c r="AK16" s="17"/>
      <c r="AL16" s="16"/>
    </row>
    <row r="17" spans="1:38" ht="15" customHeight="1" x14ac:dyDescent="0.2">
      <c r="A17" s="14"/>
      <c r="B17" s="15"/>
      <c r="C17" s="16"/>
      <c r="D17" s="16"/>
      <c r="E17" s="16"/>
      <c r="F17" s="16"/>
      <c r="G17" s="16"/>
      <c r="H17" s="77" t="s">
        <v>786</v>
      </c>
      <c r="I17" s="16"/>
      <c r="J17" s="16"/>
      <c r="K17" s="1027">
        <f ca="1">1+0.09*K15</f>
        <v>2.2713522937730968</v>
      </c>
      <c r="L17" s="997"/>
      <c r="M17" s="16"/>
      <c r="N17" s="16"/>
      <c r="O17" s="16"/>
      <c r="P17" s="16"/>
      <c r="Q17" s="16"/>
      <c r="R17" s="16"/>
      <c r="S17" s="16"/>
      <c r="T17" s="77" t="s">
        <v>786</v>
      </c>
      <c r="U17" s="16"/>
      <c r="V17" s="16"/>
      <c r="W17" s="1027">
        <f ca="1">1+0.09*W15</f>
        <v>2.2713522937730968</v>
      </c>
      <c r="X17" s="997"/>
      <c r="Y17" s="16"/>
      <c r="Z17" s="16"/>
      <c r="AA17" s="16"/>
      <c r="AB17" s="16"/>
      <c r="AC17" s="16"/>
      <c r="AD17" s="16"/>
      <c r="AE17" s="16"/>
      <c r="AF17" s="16"/>
      <c r="AG17" s="16"/>
      <c r="AH17" s="16"/>
      <c r="AI17" s="16"/>
      <c r="AJ17" s="16"/>
      <c r="AK17" s="17"/>
      <c r="AL17" s="16"/>
    </row>
    <row r="18" spans="1:38" ht="15" customHeight="1" x14ac:dyDescent="0.35">
      <c r="A18" s="14"/>
      <c r="B18" s="15"/>
      <c r="C18" s="16"/>
      <c r="D18" s="16"/>
      <c r="E18" s="16"/>
      <c r="F18" s="16"/>
      <c r="G18" s="16"/>
      <c r="H18" s="77" t="s">
        <v>787</v>
      </c>
      <c r="I18" s="16"/>
      <c r="J18" s="16"/>
      <c r="K18" s="1027">
        <f ca="1">0.377*K15</f>
        <v>5.325553497249528</v>
      </c>
      <c r="L18" s="997"/>
      <c r="M18" s="16"/>
      <c r="N18" s="16"/>
      <c r="O18" s="16"/>
      <c r="P18" s="16"/>
      <c r="Q18" s="16"/>
      <c r="R18" s="16"/>
      <c r="S18" s="16"/>
      <c r="T18" s="77" t="s">
        <v>787</v>
      </c>
      <c r="U18" s="16"/>
      <c r="V18" s="16"/>
      <c r="W18" s="1027">
        <f ca="1">0.377*W15</f>
        <v>5.325553497249528</v>
      </c>
      <c r="X18" s="997"/>
      <c r="Y18" s="16"/>
      <c r="Z18" s="16"/>
      <c r="AA18" s="16"/>
      <c r="AB18" s="16"/>
      <c r="AC18" s="16"/>
      <c r="AD18" s="16"/>
      <c r="AE18" s="16"/>
      <c r="AF18" s="16"/>
      <c r="AG18" s="16"/>
      <c r="AH18" s="16"/>
      <c r="AI18" s="16"/>
      <c r="AJ18" s="16"/>
      <c r="AK18" s="17"/>
      <c r="AL18" s="16"/>
    </row>
    <row r="19" spans="1:38" ht="15" customHeight="1" x14ac:dyDescent="0.35">
      <c r="A19" s="14"/>
      <c r="B19" s="15"/>
      <c r="C19" s="16"/>
      <c r="D19" s="16"/>
      <c r="E19" s="16"/>
      <c r="F19" s="16"/>
      <c r="G19" s="16"/>
      <c r="H19" s="77" t="s">
        <v>788</v>
      </c>
      <c r="I19" s="16"/>
      <c r="J19" s="16"/>
      <c r="K19" s="1027">
        <f ca="1">0.186*K15</f>
        <v>2.6274614071310669</v>
      </c>
      <c r="L19" s="997"/>
      <c r="M19" s="16"/>
      <c r="N19" s="16"/>
      <c r="O19" s="16"/>
      <c r="P19" s="16"/>
      <c r="Q19" s="16"/>
      <c r="R19" s="16"/>
      <c r="S19" s="16"/>
      <c r="T19" s="77" t="s">
        <v>788</v>
      </c>
      <c r="U19" s="16"/>
      <c r="V19" s="16"/>
      <c r="W19" s="1027">
        <f ca="1">0.186*W15</f>
        <v>2.6274614071310669</v>
      </c>
      <c r="X19" s="997"/>
      <c r="Y19" s="16"/>
      <c r="Z19" s="16"/>
      <c r="AA19" s="16"/>
      <c r="AB19" s="16"/>
      <c r="AC19" s="16"/>
      <c r="AD19" s="16"/>
      <c r="AE19" s="16"/>
      <c r="AF19" s="16"/>
      <c r="AG19" s="16"/>
      <c r="AH19" s="16"/>
      <c r="AI19" s="16"/>
      <c r="AJ19" s="16"/>
      <c r="AK19" s="17"/>
      <c r="AL19" s="16"/>
    </row>
    <row r="20" spans="1:38" ht="15" customHeight="1" x14ac:dyDescent="0.25">
      <c r="A20" s="14"/>
      <c r="B20" s="15"/>
      <c r="C20" s="16"/>
      <c r="D20" s="16"/>
      <c r="E20" s="16"/>
      <c r="F20" s="16"/>
      <c r="G20" s="16"/>
      <c r="H20" s="77" t="s">
        <v>1231</v>
      </c>
      <c r="I20" s="16"/>
      <c r="J20" s="16"/>
      <c r="K20" s="16" t="s">
        <v>886</v>
      </c>
      <c r="L20" s="997"/>
      <c r="M20" s="16"/>
      <c r="N20" s="16"/>
      <c r="O20" s="16"/>
      <c r="P20" s="16"/>
      <c r="Q20" s="16"/>
      <c r="R20" s="16"/>
      <c r="S20" s="16"/>
      <c r="T20" s="77" t="s">
        <v>1231</v>
      </c>
      <c r="U20" s="16"/>
      <c r="V20" s="16"/>
      <c r="W20" s="16" t="s">
        <v>886</v>
      </c>
      <c r="X20" s="997"/>
      <c r="Y20" s="16"/>
      <c r="Z20" s="16"/>
      <c r="AA20" s="16"/>
      <c r="AB20" s="16"/>
      <c r="AC20" s="16"/>
      <c r="AD20" s="16"/>
      <c r="AE20" s="16"/>
      <c r="AF20" s="16"/>
      <c r="AG20" s="16"/>
      <c r="AH20" s="16"/>
      <c r="AI20" s="16"/>
      <c r="AJ20" s="16"/>
      <c r="AK20" s="17"/>
      <c r="AL20" s="16"/>
    </row>
    <row r="21" spans="1:38" ht="15" customHeight="1" x14ac:dyDescent="0.2">
      <c r="A21" s="14"/>
      <c r="B21" s="15"/>
      <c r="C21" s="843" t="s">
        <v>212</v>
      </c>
      <c r="D21" s="16"/>
      <c r="E21" s="16"/>
      <c r="F21" s="16"/>
      <c r="G21" s="57"/>
      <c r="H21" s="77"/>
      <c r="I21" s="16"/>
      <c r="J21" s="16"/>
      <c r="K21" s="16"/>
      <c r="L21" s="997"/>
      <c r="M21" s="16"/>
      <c r="N21" s="843" t="s">
        <v>212</v>
      </c>
      <c r="O21" s="73"/>
      <c r="P21" s="16"/>
      <c r="Q21" s="16"/>
      <c r="R21" s="16"/>
      <c r="S21" s="57"/>
      <c r="T21" s="77"/>
      <c r="U21" s="16"/>
      <c r="V21" s="16"/>
      <c r="W21" s="16"/>
      <c r="X21" s="997"/>
      <c r="Y21" s="16"/>
      <c r="Z21" s="16"/>
      <c r="AA21" s="16"/>
      <c r="AB21" s="16"/>
      <c r="AC21" s="16"/>
      <c r="AD21" s="16"/>
      <c r="AE21" s="16"/>
      <c r="AF21" s="16"/>
      <c r="AG21" s="16"/>
      <c r="AH21" s="16"/>
      <c r="AI21" s="16"/>
      <c r="AJ21" s="16"/>
      <c r="AK21" s="17"/>
      <c r="AL21" s="16"/>
    </row>
    <row r="22" spans="1:38" ht="15" customHeight="1" x14ac:dyDescent="0.2">
      <c r="A22" s="14"/>
      <c r="B22" s="15"/>
      <c r="C22" s="159" t="s">
        <v>789</v>
      </c>
      <c r="D22" s="164"/>
      <c r="E22" s="1018">
        <v>1500</v>
      </c>
      <c r="F22" s="1019" t="s">
        <v>790</v>
      </c>
      <c r="G22" s="16"/>
      <c r="H22" s="77"/>
      <c r="I22" s="16"/>
      <c r="J22" s="16"/>
      <c r="K22" s="16"/>
      <c r="L22" s="997"/>
      <c r="M22" s="16"/>
      <c r="N22" s="159"/>
      <c r="O22" s="164" t="s">
        <v>789</v>
      </c>
      <c r="P22" s="164"/>
      <c r="Q22" s="1018">
        <f>E22</f>
        <v>1500</v>
      </c>
      <c r="R22" s="1019" t="s">
        <v>790</v>
      </c>
      <c r="S22" s="16"/>
      <c r="T22" s="77"/>
      <c r="U22" s="16"/>
      <c r="V22" s="16"/>
      <c r="W22" s="16"/>
      <c r="X22" s="997"/>
      <c r="Y22" s="16"/>
      <c r="Z22" s="16"/>
      <c r="AA22" s="16"/>
      <c r="AB22" s="16"/>
      <c r="AC22" s="16"/>
      <c r="AD22" s="16"/>
      <c r="AE22" s="16"/>
      <c r="AF22" s="16"/>
      <c r="AG22" s="16"/>
      <c r="AH22" s="16"/>
      <c r="AI22" s="16"/>
      <c r="AJ22" s="16"/>
      <c r="AK22" s="17"/>
      <c r="AL22" s="16"/>
    </row>
    <row r="23" spans="1:38" ht="29.25" customHeight="1" x14ac:dyDescent="0.2">
      <c r="A23" s="14"/>
      <c r="B23" s="180"/>
      <c r="C23" s="1000" t="s">
        <v>791</v>
      </c>
      <c r="D23" s="171"/>
      <c r="E23" s="171"/>
      <c r="F23" s="1001"/>
      <c r="G23" s="171"/>
      <c r="H23" s="1024" t="s">
        <v>792</v>
      </c>
      <c r="I23" s="162" t="s">
        <v>793</v>
      </c>
      <c r="J23" s="162" t="s">
        <v>567</v>
      </c>
      <c r="K23" s="162" t="s">
        <v>580</v>
      </c>
      <c r="L23" s="1001"/>
      <c r="M23" s="171"/>
      <c r="N23" s="1000"/>
      <c r="O23" s="171" t="s">
        <v>791</v>
      </c>
      <c r="P23" s="171"/>
      <c r="Q23" s="171"/>
      <c r="R23" s="1001"/>
      <c r="S23" s="171"/>
      <c r="T23" s="1024" t="s">
        <v>792</v>
      </c>
      <c r="U23" s="162" t="s">
        <v>793</v>
      </c>
      <c r="V23" s="162" t="s">
        <v>567</v>
      </c>
      <c r="W23" s="162" t="s">
        <v>580</v>
      </c>
      <c r="X23" s="1001"/>
      <c r="Y23" s="171"/>
      <c r="Z23" s="171"/>
      <c r="AA23" s="171"/>
      <c r="AB23" s="171"/>
      <c r="AC23" s="171"/>
      <c r="AD23" s="171"/>
      <c r="AE23" s="171"/>
      <c r="AF23" s="171"/>
      <c r="AG23" s="171"/>
      <c r="AH23" s="171"/>
      <c r="AI23" s="171"/>
      <c r="AJ23" s="171"/>
      <c r="AK23" s="181"/>
      <c r="AL23" s="171"/>
    </row>
    <row r="24" spans="1:38" ht="18" customHeight="1" x14ac:dyDescent="0.35">
      <c r="A24" s="14"/>
      <c r="B24" s="15"/>
      <c r="C24" s="77" t="s">
        <v>1232</v>
      </c>
      <c r="D24" s="16"/>
      <c r="E24" s="999">
        <v>131</v>
      </c>
      <c r="F24" s="1020" t="s">
        <v>1233</v>
      </c>
      <c r="G24" s="16"/>
      <c r="H24" s="1031">
        <f ca="1">IF(C16&lt;=F91,E57,IF(C16&gt;=N91,E57,E57+(C16-E48)*(H57-E57)/(H48-E48)))</f>
        <v>12.625060937074974</v>
      </c>
      <c r="I24" s="1028">
        <f ca="1">R50+(H24-Q50)*(T50-R50)/(S50-Q50)</f>
        <v>16.007324225096358</v>
      </c>
      <c r="J24" s="1029">
        <f ca="1">(141.5/(POWER((E24+459.67),(1/3))/H24))-131.5</f>
        <v>81.415993313447444</v>
      </c>
      <c r="K24" s="57">
        <f ca="1">(141.5/(J24+131.5))*'Energy &amp; Unit Conversions'!$E$51</f>
        <v>663.92674547418267</v>
      </c>
      <c r="L24" s="997"/>
      <c r="M24" s="16"/>
      <c r="N24" s="77"/>
      <c r="O24" s="16" t="s">
        <v>1232</v>
      </c>
      <c r="P24" s="16"/>
      <c r="Q24" s="999">
        <v>131</v>
      </c>
      <c r="R24" s="1020" t="s">
        <v>1233</v>
      </c>
      <c r="S24" s="16"/>
      <c r="T24" s="1031">
        <f ca="1">IF(O16&lt;=F91,K57,IF(O16&gt;=N91,K57,K57+(O16-K48)*(N57-K57)/(N48-K48)))</f>
        <v>12.625060937074974</v>
      </c>
      <c r="U24" s="1028">
        <f ca="1">R59+(T24-Q59)*(T59-R59)/(S59-Q59)</f>
        <v>16.007324225096358</v>
      </c>
      <c r="V24" s="1029">
        <f ca="1">(141.5/(POWER((Q24+459.67),(1/3))/T24))-131.5</f>
        <v>81.415993313447444</v>
      </c>
      <c r="W24" s="57">
        <f ca="1">(141.5/(V24+131.5))*'Energy &amp; Unit Conversions'!$E$51</f>
        <v>663.92674547418267</v>
      </c>
      <c r="X24" s="997"/>
      <c r="Y24" s="16"/>
      <c r="Z24" s="16"/>
      <c r="AA24" s="16"/>
      <c r="AB24" s="16"/>
      <c r="AC24" s="16"/>
      <c r="AD24" s="16"/>
      <c r="AE24" s="16"/>
      <c r="AF24" s="16"/>
      <c r="AG24" s="16"/>
      <c r="AH24" s="16"/>
      <c r="AI24" s="16"/>
      <c r="AJ24" s="16"/>
      <c r="AK24" s="17"/>
      <c r="AL24" s="16"/>
    </row>
    <row r="25" spans="1:38" ht="15" customHeight="1" x14ac:dyDescent="0.25">
      <c r="A25" s="14"/>
      <c r="B25" s="15"/>
      <c r="C25" s="77" t="s">
        <v>1234</v>
      </c>
      <c r="D25" s="16"/>
      <c r="E25" s="999">
        <v>281</v>
      </c>
      <c r="F25" s="1020" t="s">
        <v>1233</v>
      </c>
      <c r="G25" s="16"/>
      <c r="H25" s="1031">
        <f ca="1">IF(C16&lt;=F91,E58,IF(C16&gt;=N91,E58,E58+(C16-E48)*(H58-E58)/(H48-E48)))</f>
        <v>11.776893661063626</v>
      </c>
      <c r="I25" s="1028">
        <f ca="1">R51+(H25-Q51)*(T51-R51)/(S51-Q51)</f>
        <v>13.791550313065304</v>
      </c>
      <c r="J25" s="1029">
        <f ca="1">(141.5/(POWER((E25+459.67),(1/3))/H25))-131.5</f>
        <v>52.681331671220448</v>
      </c>
      <c r="K25" s="57">
        <f ca="1">(141.5/(J25+131.5))*'Energy &amp; Unit Conversions'!$E$51</f>
        <v>767.50787507791995</v>
      </c>
      <c r="L25" s="997"/>
      <c r="M25" s="16"/>
      <c r="N25" s="77"/>
      <c r="O25" s="16" t="s">
        <v>1234</v>
      </c>
      <c r="P25" s="16"/>
      <c r="Q25" s="999">
        <v>281</v>
      </c>
      <c r="R25" s="1020" t="s">
        <v>1233</v>
      </c>
      <c r="S25" s="16"/>
      <c r="T25" s="1031">
        <f ca="1">IF(O16&lt;=F91,K58,IF(O16&gt;=N91,K58,K58+(O16-K48)*(N58-K58)/(N48-K48)))</f>
        <v>11.776893661063626</v>
      </c>
      <c r="U25" s="1028">
        <f ca="1">R60+(T25-Q60)*(T60-R60)/(S60-Q60)</f>
        <v>13.791550313065304</v>
      </c>
      <c r="V25" s="1029">
        <f ca="1">(141.5/(POWER((Q25+459.67),(1/3))/T25))-131.5</f>
        <v>52.681331671220448</v>
      </c>
      <c r="W25" s="57">
        <f ca="1">(141.5/(V25+131.5))*'Energy &amp; Unit Conversions'!$E$51</f>
        <v>767.50787507791995</v>
      </c>
      <c r="X25" s="997"/>
      <c r="Y25" s="16"/>
      <c r="Z25" s="16"/>
      <c r="AA25" s="16"/>
      <c r="AB25" s="16"/>
      <c r="AC25" s="16"/>
      <c r="AD25" s="16"/>
      <c r="AE25" s="16"/>
      <c r="AF25" s="16"/>
      <c r="AG25" s="16"/>
      <c r="AH25" s="16"/>
      <c r="AI25" s="16"/>
      <c r="AJ25" s="16"/>
      <c r="AK25" s="17"/>
      <c r="AL25" s="16"/>
    </row>
    <row r="26" spans="1:38" ht="15" customHeight="1" x14ac:dyDescent="0.25">
      <c r="A26" s="14"/>
      <c r="B26" s="15"/>
      <c r="C26" s="66" t="s">
        <v>1231</v>
      </c>
      <c r="D26" s="50"/>
      <c r="E26" s="1021">
        <v>460</v>
      </c>
      <c r="F26" s="1022" t="s">
        <v>1233</v>
      </c>
      <c r="G26" s="16"/>
      <c r="H26" s="1032">
        <f ca="1">IF(C16&lt;=F91,E59,IF(C16&gt;=N91,E59,E59+(C16-E48)*(H59-E59)/(H48-E48)))</f>
        <v>11.704895230656186</v>
      </c>
      <c r="I26" s="1033">
        <f ca="1">R52+(H26-Q52)*(T52-R52)/(S52-Q52)</f>
        <v>13.386945726864486</v>
      </c>
      <c r="J26" s="1034">
        <f ca="1">(141.5/(POWER((E26+459.67),(1/3))/H26))-131.5</f>
        <v>38.812541833438331</v>
      </c>
      <c r="K26" s="1025">
        <f ca="1">(141.5/(J26+131.5))*'Energy &amp; Unit Conversions'!$E$51</f>
        <v>830.00712089804506</v>
      </c>
      <c r="L26" s="1023"/>
      <c r="M26" s="16"/>
      <c r="N26" s="66"/>
      <c r="O26" s="50" t="s">
        <v>1231</v>
      </c>
      <c r="P26" s="50"/>
      <c r="Q26" s="1021">
        <v>460</v>
      </c>
      <c r="R26" s="1022" t="s">
        <v>1233</v>
      </c>
      <c r="S26" s="16"/>
      <c r="T26" s="1032">
        <f ca="1">IF(O16&lt;=F91,K59,IF(O16&gt;=N91,K59,K59+(O16-K48)*(N59-K59)/(N48-K48)))</f>
        <v>11.704895230656186</v>
      </c>
      <c r="U26" s="1033">
        <f ca="1">R61+(T26-Q61)*(T61-R61)/(S61-Q61)</f>
        <v>13.386945726864486</v>
      </c>
      <c r="V26" s="1034">
        <f ca="1">(141.5/(POWER((Q26+459.67),(1/3))/T26))-131.5</f>
        <v>38.812541833438331</v>
      </c>
      <c r="W26" s="1025">
        <f ca="1">(141.5/(V26+131.5))*'Energy &amp; Unit Conversions'!$E$51</f>
        <v>830.00712089804506</v>
      </c>
      <c r="X26" s="1023"/>
      <c r="Y26" s="16"/>
      <c r="Z26" s="16"/>
      <c r="AA26" s="16"/>
      <c r="AB26" s="16"/>
      <c r="AC26" s="16"/>
      <c r="AD26" s="16"/>
      <c r="AE26" s="16"/>
      <c r="AF26" s="16"/>
      <c r="AG26" s="16"/>
      <c r="AH26" s="16"/>
      <c r="AI26" s="16"/>
      <c r="AJ26" s="16"/>
      <c r="AK26" s="17"/>
      <c r="AL26" s="16"/>
    </row>
    <row r="27" spans="1:38" ht="15" customHeight="1" x14ac:dyDescent="0.2">
      <c r="A27" s="14"/>
      <c r="B27" s="15"/>
      <c r="C27" s="16"/>
      <c r="D27" s="16"/>
      <c r="E27" s="16"/>
      <c r="F27" s="16"/>
      <c r="G27" s="16"/>
      <c r="H27" s="16"/>
      <c r="I27" s="16"/>
      <c r="J27" s="16"/>
      <c r="K27" s="16"/>
      <c r="L27" s="16"/>
      <c r="M27" s="16"/>
      <c r="N27" s="16"/>
      <c r="O27" s="16"/>
      <c r="P27" s="16"/>
      <c r="Q27" s="16"/>
      <c r="R27" s="16"/>
      <c r="S27" s="16"/>
      <c r="T27" s="16"/>
      <c r="U27" s="16"/>
      <c r="V27" s="16"/>
      <c r="W27" s="16"/>
      <c r="X27" s="16"/>
      <c r="Y27" s="16"/>
      <c r="Z27" s="16"/>
      <c r="AA27" s="16"/>
      <c r="AB27" s="16"/>
      <c r="AC27" s="16"/>
      <c r="AD27" s="16"/>
      <c r="AE27" s="16"/>
      <c r="AF27" s="16"/>
      <c r="AG27" s="16"/>
      <c r="AH27" s="16"/>
      <c r="AI27" s="16"/>
      <c r="AJ27" s="16"/>
      <c r="AK27" s="17"/>
      <c r="AL27" s="16"/>
    </row>
    <row r="28" spans="1:38" ht="15" customHeight="1" x14ac:dyDescent="0.2">
      <c r="A28" s="14"/>
      <c r="B28" s="1624"/>
      <c r="C28" s="843" t="s">
        <v>1672</v>
      </c>
      <c r="D28" s="843"/>
      <c r="E28" s="843"/>
      <c r="F28" s="1086"/>
      <c r="G28" s="1086"/>
      <c r="H28" s="1086"/>
      <c r="I28" s="1086"/>
      <c r="J28" s="1086"/>
      <c r="K28" s="1086"/>
      <c r="L28" s="1086"/>
      <c r="M28" s="1086"/>
      <c r="N28" s="1086"/>
      <c r="O28" s="1086"/>
      <c r="P28" s="1086"/>
      <c r="Q28" s="1086"/>
      <c r="R28" s="1086"/>
      <c r="S28" s="1086"/>
      <c r="T28" s="1086"/>
      <c r="U28" s="1086"/>
      <c r="V28" s="1086"/>
      <c r="W28" s="1086"/>
      <c r="X28" s="1086"/>
      <c r="Y28" s="1086"/>
      <c r="Z28" s="1086"/>
      <c r="AA28" s="1086"/>
      <c r="AB28" s="1086"/>
      <c r="AC28" s="1086"/>
      <c r="AD28" s="1086"/>
      <c r="AE28" s="1086"/>
      <c r="AF28" s="1086"/>
      <c r="AG28" s="1086"/>
      <c r="AH28" s="1086"/>
      <c r="AI28" s="1086"/>
      <c r="AJ28" s="1086"/>
      <c r="AK28" s="1625"/>
      <c r="AL28" s="1086"/>
    </row>
    <row r="29" spans="1:38" ht="15" customHeight="1" x14ac:dyDescent="0.2">
      <c r="A29" s="14"/>
      <c r="B29" s="1624"/>
      <c r="C29" s="1036"/>
      <c r="D29" s="1039"/>
      <c r="E29" s="1039"/>
      <c r="F29" s="1039"/>
      <c r="G29" s="1039"/>
      <c r="H29" s="1039"/>
      <c r="I29" s="1039"/>
      <c r="J29" s="1039"/>
      <c r="K29" s="1039"/>
      <c r="L29" s="1039"/>
      <c r="M29" s="1039"/>
      <c r="N29" s="1039"/>
      <c r="O29" s="1039"/>
      <c r="P29" s="1039"/>
      <c r="Q29" s="1039"/>
      <c r="R29" s="1039"/>
      <c r="S29" s="1039"/>
      <c r="T29" s="1039"/>
      <c r="U29" s="1581"/>
      <c r="V29" s="329"/>
      <c r="W29" s="329"/>
      <c r="X29" s="1543"/>
      <c r="Y29" s="42"/>
      <c r="Z29" s="42"/>
      <c r="AA29" s="42"/>
      <c r="AB29" s="42"/>
      <c r="AC29" s="42"/>
      <c r="AD29" s="329"/>
      <c r="AE29" s="329"/>
      <c r="AF29" s="329"/>
      <c r="AG29" s="329"/>
      <c r="AH29" s="329"/>
      <c r="AI29" s="329"/>
      <c r="AJ29" s="329"/>
      <c r="AK29" s="1626"/>
      <c r="AL29" s="329"/>
    </row>
    <row r="30" spans="1:38" ht="15" customHeight="1" x14ac:dyDescent="0.2">
      <c r="A30" s="14"/>
      <c r="B30" s="1624"/>
      <c r="C30" s="1542"/>
      <c r="D30" s="1545" t="s">
        <v>897</v>
      </c>
      <c r="E30" s="42"/>
      <c r="F30" s="42"/>
      <c r="G30" s="42"/>
      <c r="H30" s="42"/>
      <c r="I30" s="42"/>
      <c r="J30" s="1584" t="s">
        <v>898</v>
      </c>
      <c r="K30" s="42"/>
      <c r="L30" s="42"/>
      <c r="M30" s="42"/>
      <c r="N30" s="42"/>
      <c r="O30" s="42"/>
      <c r="P30" s="1545" t="s">
        <v>897</v>
      </c>
      <c r="Q30" s="1543"/>
      <c r="R30" s="42"/>
      <c r="S30" s="42"/>
      <c r="T30" s="42"/>
      <c r="U30" s="1582"/>
      <c r="V30" s="42"/>
      <c r="W30" s="329"/>
      <c r="X30" s="329"/>
      <c r="Y30" s="329"/>
      <c r="Z30" s="329"/>
      <c r="AA30" s="329"/>
      <c r="AB30" s="42"/>
      <c r="AC30" s="42"/>
      <c r="AD30" s="329"/>
      <c r="AE30" s="329"/>
      <c r="AF30" s="329"/>
      <c r="AG30" s="329"/>
      <c r="AH30" s="329"/>
      <c r="AI30" s="329"/>
      <c r="AJ30" s="329"/>
      <c r="AK30" s="1626"/>
      <c r="AL30" s="329"/>
    </row>
    <row r="31" spans="1:38" ht="15" customHeight="1" x14ac:dyDescent="0.2">
      <c r="A31" s="14"/>
      <c r="B31" s="1624"/>
      <c r="C31" s="1002"/>
      <c r="D31" s="1546" t="s">
        <v>804</v>
      </c>
      <c r="E31" s="1079" t="s">
        <v>805</v>
      </c>
      <c r="F31" s="42"/>
      <c r="G31" s="1585" t="s">
        <v>1235</v>
      </c>
      <c r="H31" s="1528"/>
      <c r="I31" s="42"/>
      <c r="J31" s="1546" t="s">
        <v>804</v>
      </c>
      <c r="K31" s="1079" t="s">
        <v>805</v>
      </c>
      <c r="L31" s="42"/>
      <c r="M31" s="1585" t="s">
        <v>1235</v>
      </c>
      <c r="N31" s="1528"/>
      <c r="O31" s="42"/>
      <c r="P31" s="1546" t="s">
        <v>808</v>
      </c>
      <c r="Q31" s="1079" t="s">
        <v>809</v>
      </c>
      <c r="R31" s="42"/>
      <c r="S31" s="301" t="s">
        <v>1236</v>
      </c>
      <c r="T31" s="42"/>
      <c r="U31" s="1582"/>
      <c r="V31" s="42"/>
      <c r="W31" s="329"/>
      <c r="X31" s="329"/>
      <c r="Y31" s="329"/>
      <c r="Z31" s="329"/>
      <c r="AA31" s="329"/>
      <c r="AB31" s="42"/>
      <c r="AC31" s="42"/>
      <c r="AD31" s="329"/>
      <c r="AE31" s="329"/>
      <c r="AF31" s="329"/>
      <c r="AG31" s="329"/>
      <c r="AH31" s="329"/>
      <c r="AI31" s="329"/>
      <c r="AJ31" s="329"/>
      <c r="AK31" s="1626"/>
      <c r="AL31" s="329"/>
    </row>
    <row r="32" spans="1:38" ht="15" customHeight="1" x14ac:dyDescent="0.2">
      <c r="A32" s="14"/>
      <c r="B32" s="1624"/>
      <c r="C32" s="1002"/>
      <c r="D32" s="1547">
        <f t="shared" ref="D32:D40" ca="1" si="0">IF($C$16&lt;$F$69,IF($E$22=$F$70,E73,IF($E$22=$I$70,I73,M73)),IF($E$22=$F$70,G73,IF($E$22=$I$70,K73,O73)))</f>
        <v>7.5631300000000001</v>
      </c>
      <c r="E32" s="1548">
        <f t="shared" ref="E32:E40" ca="1" si="1">IF($C$16&lt;$F$69,IF($E$22=$F$70,F73,IF($E$22=$I$70,J73,N73)),IF($E$22=$F$70,H73,IF($E$22=$I$70,L73,P73)))</f>
        <v>3.4072100000000001</v>
      </c>
      <c r="F32" s="1528"/>
      <c r="G32" s="1080" t="s">
        <v>800</v>
      </c>
      <c r="H32" s="1528">
        <f ca="1">VLOOKUP(C15, D32:E44, 1, TRUE)</f>
        <v>22.5</v>
      </c>
      <c r="I32" s="1528"/>
      <c r="J32" s="1547">
        <f t="shared" ref="J32:J40" ca="1" si="2">IF($O$16&lt;$F$69,IF($Q$22=$F$70,E73,IF($Q$22=$I$70,I73,M73)),IF($Q$22=$F$70,G73,IF($Q$22=$I$70,K73,O73)))</f>
        <v>7.5631300000000001</v>
      </c>
      <c r="K32" s="1548">
        <f t="shared" ref="K32:K40" ca="1" si="3">IF($O$16&lt;$F$69,IF($Q$22=$F$70,F73,IF($Q$22=$I$70,J73,N73)),IF($Q$22=$F$70,H73,IF($Q$22=$I$70,L73,P73)))</f>
        <v>3.4072100000000001</v>
      </c>
      <c r="L32" s="1528"/>
      <c r="M32" s="1080" t="s">
        <v>800</v>
      </c>
      <c r="N32" s="1528">
        <f ca="1">VLOOKUP(O15, J32:K44, 1, TRUE)</f>
        <v>22.5</v>
      </c>
      <c r="O32" s="42"/>
      <c r="P32" s="1529">
        <f t="shared" ref="P32:Q36" ca="1" si="4">IF($C$16&lt;$S$69, IF($C$16&lt;$V$69,IF($C$16&lt;$X$69,Y72,W72),U72),S72)</f>
        <v>0</v>
      </c>
      <c r="Q32" s="1530">
        <f t="shared" ca="1" si="4"/>
        <v>0</v>
      </c>
      <c r="R32" s="42"/>
      <c r="S32" s="1080" t="s">
        <v>800</v>
      </c>
      <c r="T32" s="1528">
        <f ca="1">VLOOKUP(K15, P32:Q36, 1, TRUE)</f>
        <v>0</v>
      </c>
      <c r="U32" s="1582"/>
      <c r="V32" s="42"/>
      <c r="W32" s="329"/>
      <c r="X32" s="329"/>
      <c r="Y32" s="329"/>
      <c r="Z32" s="329"/>
      <c r="AA32" s="329"/>
      <c r="AB32" s="42"/>
      <c r="AC32" s="42"/>
      <c r="AD32" s="329"/>
      <c r="AE32" s="329"/>
      <c r="AF32" s="329"/>
      <c r="AG32" s="329"/>
      <c r="AH32" s="329"/>
      <c r="AI32" s="329"/>
      <c r="AJ32" s="329"/>
      <c r="AK32" s="1626"/>
      <c r="AL32" s="329"/>
    </row>
    <row r="33" spans="1:38" ht="15" customHeight="1" x14ac:dyDescent="0.2">
      <c r="A33" s="14"/>
      <c r="B33" s="1624"/>
      <c r="C33" s="1002"/>
      <c r="D33" s="1547">
        <f t="shared" ca="1" si="0"/>
        <v>10.0379</v>
      </c>
      <c r="E33" s="1548">
        <f t="shared" ca="1" si="1"/>
        <v>4.0036100000000001</v>
      </c>
      <c r="F33" s="1528"/>
      <c r="G33" s="1080" t="s">
        <v>801</v>
      </c>
      <c r="H33" s="1528">
        <f ca="1">INDEX(D32:E44,MATCH(H32,D32:D44,0)+1,1)</f>
        <v>24.974699999999999</v>
      </c>
      <c r="I33" s="1528"/>
      <c r="J33" s="1547">
        <f t="shared" ca="1" si="2"/>
        <v>10.0379</v>
      </c>
      <c r="K33" s="1548">
        <f t="shared" ca="1" si="3"/>
        <v>4.0036100000000001</v>
      </c>
      <c r="L33" s="1528"/>
      <c r="M33" s="1080" t="s">
        <v>801</v>
      </c>
      <c r="N33" s="1528">
        <f ca="1">INDEX(J32:K44,MATCH(N32,J32:J44,0)+1,1)</f>
        <v>24.974699999999999</v>
      </c>
      <c r="O33" s="42"/>
      <c r="P33" s="1529">
        <f t="shared" ca="1" si="4"/>
        <v>27.472300000000001</v>
      </c>
      <c r="Q33" s="1530">
        <f t="shared" ca="1" si="4"/>
        <v>72.842299999999994</v>
      </c>
      <c r="R33" s="42"/>
      <c r="S33" s="1080" t="s">
        <v>801</v>
      </c>
      <c r="T33" s="1528">
        <f ca="1">IF(T32&lt;P36,INDEX(P32:Q36,MATCH(T32,P32:P36,0)+1,1),P35)</f>
        <v>27.472300000000001</v>
      </c>
      <c r="U33" s="1582"/>
      <c r="V33" s="42"/>
      <c r="W33" s="329"/>
      <c r="X33" s="329"/>
      <c r="Y33" s="329"/>
      <c r="Z33" s="329"/>
      <c r="AA33" s="329"/>
      <c r="AB33" s="42"/>
      <c r="AC33" s="42"/>
      <c r="AD33" s="329"/>
      <c r="AE33" s="329"/>
      <c r="AF33" s="329"/>
      <c r="AG33" s="329"/>
      <c r="AH33" s="329"/>
      <c r="AI33" s="329"/>
      <c r="AJ33" s="329"/>
      <c r="AK33" s="1626"/>
      <c r="AL33" s="329"/>
    </row>
    <row r="34" spans="1:38" ht="15" customHeight="1" x14ac:dyDescent="0.2">
      <c r="A34" s="14"/>
      <c r="B34" s="1624"/>
      <c r="C34" s="1002"/>
      <c r="D34" s="1547">
        <f t="shared" ca="1" si="0"/>
        <v>12.512600000000001</v>
      </c>
      <c r="E34" s="1548">
        <f t="shared" ca="1" si="1"/>
        <v>4.8586400000000003</v>
      </c>
      <c r="F34" s="1528"/>
      <c r="G34" s="1080" t="s">
        <v>802</v>
      </c>
      <c r="H34" s="1528">
        <f ca="1">VLOOKUP(C15, D32:E44, 2, TRUE)</f>
        <v>11.423299999999999</v>
      </c>
      <c r="I34" s="1528"/>
      <c r="J34" s="1547">
        <f t="shared" ca="1" si="2"/>
        <v>12.512600000000001</v>
      </c>
      <c r="K34" s="1548">
        <f t="shared" ca="1" si="3"/>
        <v>4.8586400000000003</v>
      </c>
      <c r="L34" s="1528"/>
      <c r="M34" s="1080" t="s">
        <v>802</v>
      </c>
      <c r="N34" s="1528">
        <f ca="1">VLOOKUP(O15, J32:K44, 2, TRUE)</f>
        <v>11.423299999999999</v>
      </c>
      <c r="O34" s="42"/>
      <c r="P34" s="1529">
        <f t="shared" ca="1" si="4"/>
        <v>29.9557</v>
      </c>
      <c r="Q34" s="1530">
        <f t="shared" ca="1" si="4"/>
        <v>75.493899999999996</v>
      </c>
      <c r="R34" s="42"/>
      <c r="S34" s="1080" t="s">
        <v>802</v>
      </c>
      <c r="T34" s="1528">
        <f ca="1">VLOOKUP(K15, P32:Q36, 2, TRUE)</f>
        <v>0</v>
      </c>
      <c r="U34" s="1582"/>
      <c r="V34" s="42"/>
      <c r="W34" s="329"/>
      <c r="X34" s="329"/>
      <c r="Y34" s="329"/>
      <c r="Z34" s="329"/>
      <c r="AA34" s="329"/>
      <c r="AB34" s="42"/>
      <c r="AC34" s="42"/>
      <c r="AD34" s="329"/>
      <c r="AE34" s="329"/>
      <c r="AF34" s="329"/>
      <c r="AG34" s="329"/>
      <c r="AH34" s="329"/>
      <c r="AI34" s="329"/>
      <c r="AJ34" s="329"/>
      <c r="AK34" s="1626"/>
      <c r="AL34" s="329"/>
    </row>
    <row r="35" spans="1:38" ht="15" customHeight="1" x14ac:dyDescent="0.2">
      <c r="A35" s="14"/>
      <c r="B35" s="1624"/>
      <c r="C35" s="1002"/>
      <c r="D35" s="1547">
        <f t="shared" ca="1" si="0"/>
        <v>15.075799999999999</v>
      </c>
      <c r="E35" s="1548">
        <f t="shared" ca="1" si="1"/>
        <v>5.9921600000000002</v>
      </c>
      <c r="F35" s="1528"/>
      <c r="G35" s="1080" t="s">
        <v>803</v>
      </c>
      <c r="H35" s="1528">
        <f ca="1">INDEX(D32:E44,MATCH(H33,D32:D44,0),2)</f>
        <v>14.317500000000001</v>
      </c>
      <c r="I35" s="1528"/>
      <c r="J35" s="1547">
        <f t="shared" ca="1" si="2"/>
        <v>15.075799999999999</v>
      </c>
      <c r="K35" s="1548">
        <f t="shared" ca="1" si="3"/>
        <v>5.9921600000000002</v>
      </c>
      <c r="L35" s="1528"/>
      <c r="M35" s="1080" t="s">
        <v>803</v>
      </c>
      <c r="N35" s="1528">
        <f ca="1">INDEX(J32:K44,MATCH(N33,J32:J44,0),2)</f>
        <v>14.317500000000001</v>
      </c>
      <c r="O35" s="42"/>
      <c r="P35" s="1529">
        <f t="shared" ca="1" si="4"/>
        <v>33.059899999999999</v>
      </c>
      <c r="Q35" s="1530">
        <f t="shared" ca="1" si="4"/>
        <v>73.622200000000007</v>
      </c>
      <c r="R35" s="42"/>
      <c r="S35" s="1080" t="s">
        <v>803</v>
      </c>
      <c r="T35" s="1528">
        <f ca="1">INDEX(P32:Q36,MATCH(T33,P32:P36,0),2)</f>
        <v>72.842299999999994</v>
      </c>
      <c r="U35" s="1582"/>
      <c r="V35" s="42"/>
      <c r="W35" s="329"/>
      <c r="X35" s="329"/>
      <c r="Y35" s="329"/>
      <c r="Z35" s="329"/>
      <c r="AA35" s="329"/>
      <c r="AB35" s="42"/>
      <c r="AC35" s="42"/>
      <c r="AD35" s="329"/>
      <c r="AE35" s="329"/>
      <c r="AF35" s="329"/>
      <c r="AG35" s="329"/>
      <c r="AH35" s="329"/>
      <c r="AI35" s="329"/>
      <c r="AJ35" s="329"/>
      <c r="AK35" s="1626"/>
      <c r="AL35" s="329"/>
    </row>
    <row r="36" spans="1:38" ht="15" customHeight="1" x14ac:dyDescent="0.2">
      <c r="A36" s="14"/>
      <c r="B36" s="1624"/>
      <c r="C36" s="1002"/>
      <c r="D36" s="1547">
        <f t="shared" ca="1" si="0"/>
        <v>17.5505</v>
      </c>
      <c r="E36" s="1548">
        <f t="shared" ca="1" si="1"/>
        <v>7.3901199999999996</v>
      </c>
      <c r="F36" s="1528"/>
      <c r="G36" s="42"/>
      <c r="H36" s="42"/>
      <c r="I36" s="1528"/>
      <c r="J36" s="1547">
        <f t="shared" ca="1" si="2"/>
        <v>17.5505</v>
      </c>
      <c r="K36" s="1548">
        <f t="shared" ca="1" si="3"/>
        <v>7.3901199999999996</v>
      </c>
      <c r="L36" s="1528"/>
      <c r="M36" s="42"/>
      <c r="N36" s="42"/>
      <c r="O36" s="42"/>
      <c r="P36" s="1529">
        <f t="shared" ca="1" si="4"/>
        <v>60.997799999999998</v>
      </c>
      <c r="Q36" s="1530">
        <f t="shared" ca="1" si="4"/>
        <v>35.719200000000001</v>
      </c>
      <c r="R36" s="42"/>
      <c r="S36" s="42"/>
      <c r="T36" s="42"/>
      <c r="U36" s="1582"/>
      <c r="V36" s="42"/>
      <c r="W36" s="329"/>
      <c r="X36" s="329"/>
      <c r="Y36" s="329"/>
      <c r="Z36" s="329"/>
      <c r="AA36" s="329"/>
      <c r="AB36" s="42"/>
      <c r="AC36" s="42"/>
      <c r="AD36" s="329"/>
      <c r="AE36" s="329"/>
      <c r="AF36" s="329"/>
      <c r="AG36" s="329"/>
      <c r="AH36" s="329"/>
      <c r="AI36" s="329"/>
      <c r="AJ36" s="329"/>
      <c r="AK36" s="1626"/>
      <c r="AL36" s="329"/>
    </row>
    <row r="37" spans="1:38" ht="15" customHeight="1" x14ac:dyDescent="0.2">
      <c r="A37" s="14"/>
      <c r="B37" s="1624"/>
      <c r="C37" s="1002"/>
      <c r="D37" s="1547">
        <f t="shared" ca="1" si="0"/>
        <v>20.025300000000001</v>
      </c>
      <c r="E37" s="1548">
        <f t="shared" ca="1" si="1"/>
        <v>8.9683899999999994</v>
      </c>
      <c r="F37" s="1528"/>
      <c r="G37" s="42"/>
      <c r="H37" s="42"/>
      <c r="I37" s="1528"/>
      <c r="J37" s="1547">
        <f t="shared" ca="1" si="2"/>
        <v>20.025300000000001</v>
      </c>
      <c r="K37" s="1548">
        <f t="shared" ca="1" si="3"/>
        <v>8.9683899999999994</v>
      </c>
      <c r="L37" s="1528"/>
      <c r="M37" s="42"/>
      <c r="N37" s="42"/>
      <c r="O37" s="42"/>
      <c r="P37" s="1552"/>
      <c r="Q37" s="1083"/>
      <c r="R37" s="42"/>
      <c r="S37" s="42"/>
      <c r="T37" s="42"/>
      <c r="U37" s="1582"/>
      <c r="V37" s="42"/>
      <c r="W37" s="42"/>
      <c r="X37" s="42"/>
      <c r="Y37" s="42"/>
      <c r="Z37" s="42"/>
      <c r="AA37" s="42"/>
      <c r="AB37" s="42"/>
      <c r="AC37" s="42"/>
      <c r="AD37" s="329"/>
      <c r="AE37" s="329"/>
      <c r="AF37" s="329"/>
      <c r="AG37" s="329"/>
      <c r="AH37" s="329"/>
      <c r="AI37" s="329"/>
      <c r="AJ37" s="329"/>
      <c r="AK37" s="1626"/>
      <c r="AL37" s="329"/>
    </row>
    <row r="38" spans="1:38" ht="15" customHeight="1" x14ac:dyDescent="0.2">
      <c r="A38" s="14"/>
      <c r="B38" s="1624"/>
      <c r="C38" s="1002"/>
      <c r="D38" s="1547">
        <f t="shared" ca="1" si="0"/>
        <v>22.5</v>
      </c>
      <c r="E38" s="1548">
        <f t="shared" ca="1" si="1"/>
        <v>11.423299999999999</v>
      </c>
      <c r="F38" s="1528"/>
      <c r="G38" s="42"/>
      <c r="H38" s="42"/>
      <c r="I38" s="1528"/>
      <c r="J38" s="1547">
        <f t="shared" ca="1" si="2"/>
        <v>22.5</v>
      </c>
      <c r="K38" s="1548">
        <f t="shared" ca="1" si="3"/>
        <v>11.423299999999999</v>
      </c>
      <c r="L38" s="1528"/>
      <c r="M38" s="42"/>
      <c r="N38" s="42"/>
      <c r="O38" s="42"/>
      <c r="P38" s="42"/>
      <c r="Q38" s="42"/>
      <c r="R38" s="42"/>
      <c r="S38" s="42"/>
      <c r="T38" s="42"/>
      <c r="U38" s="1582"/>
      <c r="V38" s="42"/>
      <c r="W38" s="42"/>
      <c r="X38" s="42"/>
      <c r="Y38" s="42"/>
      <c r="Z38" s="42"/>
      <c r="AA38" s="42"/>
      <c r="AB38" s="42"/>
      <c r="AC38" s="42"/>
      <c r="AD38" s="329"/>
      <c r="AE38" s="329"/>
      <c r="AF38" s="329"/>
      <c r="AG38" s="329"/>
      <c r="AH38" s="329"/>
      <c r="AI38" s="329"/>
      <c r="AJ38" s="329"/>
      <c r="AK38" s="1626"/>
      <c r="AL38" s="329"/>
    </row>
    <row r="39" spans="1:38" ht="15" customHeight="1" x14ac:dyDescent="0.2">
      <c r="A39" s="14"/>
      <c r="B39" s="1624"/>
      <c r="C39" s="1002"/>
      <c r="D39" s="1549">
        <f t="shared" ca="1" si="0"/>
        <v>24.974699999999999</v>
      </c>
      <c r="E39" s="1548">
        <f t="shared" ca="1" si="1"/>
        <v>14.317500000000001</v>
      </c>
      <c r="F39" s="1528"/>
      <c r="G39" s="1528"/>
      <c r="H39" s="1528"/>
      <c r="I39" s="1528"/>
      <c r="J39" s="1547">
        <f t="shared" ca="1" si="2"/>
        <v>24.974699999999999</v>
      </c>
      <c r="K39" s="1548">
        <f t="shared" ca="1" si="3"/>
        <v>14.317500000000001</v>
      </c>
      <c r="L39" s="1528"/>
      <c r="M39" s="1528"/>
      <c r="N39" s="1528"/>
      <c r="O39" s="42"/>
      <c r="P39" s="1545" t="s">
        <v>899</v>
      </c>
      <c r="Q39" s="1543"/>
      <c r="R39" s="42"/>
      <c r="S39" s="42"/>
      <c r="T39" s="42"/>
      <c r="U39" s="1582"/>
      <c r="V39" s="42"/>
      <c r="W39" s="42"/>
      <c r="X39" s="42"/>
      <c r="Y39" s="42"/>
      <c r="Z39" s="42"/>
      <c r="AA39" s="42"/>
      <c r="AB39" s="42"/>
      <c r="AC39" s="42"/>
      <c r="AD39" s="329"/>
      <c r="AE39" s="329"/>
      <c r="AF39" s="329"/>
      <c r="AG39" s="329"/>
      <c r="AH39" s="329"/>
      <c r="AI39" s="329"/>
      <c r="AJ39" s="329"/>
      <c r="AK39" s="1626"/>
      <c r="AL39" s="329"/>
    </row>
    <row r="40" spans="1:38" ht="15" customHeight="1" x14ac:dyDescent="0.2">
      <c r="A40" s="14"/>
      <c r="B40" s="1624"/>
      <c r="C40" s="1002"/>
      <c r="D40" s="1547">
        <f t="shared" ca="1" si="0"/>
        <v>27.5379</v>
      </c>
      <c r="E40" s="1548">
        <f t="shared" ca="1" si="1"/>
        <v>18.236699999999999</v>
      </c>
      <c r="F40" s="1528"/>
      <c r="G40" s="1528"/>
      <c r="H40" s="1528"/>
      <c r="I40" s="1528"/>
      <c r="J40" s="1547">
        <f t="shared" ca="1" si="2"/>
        <v>27.5379</v>
      </c>
      <c r="K40" s="1548">
        <f t="shared" ca="1" si="3"/>
        <v>18.236699999999999</v>
      </c>
      <c r="L40" s="1528"/>
      <c r="M40" s="1528"/>
      <c r="N40" s="1528"/>
      <c r="O40" s="42"/>
      <c r="P40" s="1546" t="s">
        <v>808</v>
      </c>
      <c r="Q40" s="1079" t="s">
        <v>809</v>
      </c>
      <c r="R40" s="42"/>
      <c r="S40" s="301" t="s">
        <v>1236</v>
      </c>
      <c r="T40" s="42"/>
      <c r="U40" s="1582"/>
      <c r="V40" s="42"/>
      <c r="W40" s="42"/>
      <c r="X40" s="42"/>
      <c r="Y40" s="42"/>
      <c r="Z40" s="42"/>
      <c r="AA40" s="42"/>
      <c r="AB40" s="42"/>
      <c r="AC40" s="42"/>
      <c r="AD40" s="329"/>
      <c r="AE40" s="329"/>
      <c r="AF40" s="329"/>
      <c r="AG40" s="329"/>
      <c r="AH40" s="329"/>
      <c r="AI40" s="329"/>
      <c r="AJ40" s="329"/>
      <c r="AK40" s="1626"/>
      <c r="AL40" s="329"/>
    </row>
    <row r="41" spans="1:38" ht="15" customHeight="1" x14ac:dyDescent="0.2">
      <c r="A41" s="14"/>
      <c r="B41" s="1624"/>
      <c r="C41" s="1002"/>
      <c r="D41" s="1547">
        <f t="shared" ref="D41:E44" ca="1" si="5">IF($C$16&lt;$F$69,IF($E$22=$F$70,E82,IF($E$22=$I$70,I82)),IF($E$22=$F$70,G82,IF($E$22=$I$70,K82)))</f>
        <v>30.012599999999999</v>
      </c>
      <c r="E41" s="1548">
        <f t="shared" ca="1" si="5"/>
        <v>24.5778</v>
      </c>
      <c r="F41" s="1528"/>
      <c r="G41" s="1528"/>
      <c r="H41" s="1528"/>
      <c r="I41" s="1528"/>
      <c r="J41" s="1547">
        <f t="shared" ref="J41:K44" ca="1" si="6">IF($O$16&lt;$F$69,IF($Q$22=$F$70,E82,IF($Q$22=$I$70,I82)),IF($Q$22=$F$70,G82,IF($Q$22=$I$70,K82)))</f>
        <v>30.012599999999999</v>
      </c>
      <c r="K41" s="1548">
        <f t="shared" ca="1" si="6"/>
        <v>24.5778</v>
      </c>
      <c r="L41" s="1528"/>
      <c r="M41" s="1528"/>
      <c r="N41" s="1528"/>
      <c r="O41" s="42"/>
      <c r="P41" s="1529">
        <f t="shared" ref="P41:Q45" ca="1" si="7">IF($O$16&lt;$S$69, IF($O$16&lt;$V$69,IF($O$16&lt;$X$69,Y72,W72),U72),S72)</f>
        <v>0</v>
      </c>
      <c r="Q41" s="1530">
        <f t="shared" ca="1" si="7"/>
        <v>0</v>
      </c>
      <c r="R41" s="42"/>
      <c r="S41" s="1080" t="s">
        <v>800</v>
      </c>
      <c r="T41" s="1528">
        <f ca="1">VLOOKUP(W15, P41:Q45, 1, TRUE)</f>
        <v>0</v>
      </c>
      <c r="U41" s="1582"/>
      <c r="V41" s="42"/>
      <c r="W41" s="42"/>
      <c r="X41" s="42"/>
      <c r="Y41" s="42"/>
      <c r="Z41" s="42"/>
      <c r="AA41" s="42"/>
      <c r="AB41" s="42"/>
      <c r="AC41" s="42"/>
      <c r="AD41" s="329"/>
      <c r="AE41" s="329"/>
      <c r="AF41" s="329"/>
      <c r="AG41" s="329"/>
      <c r="AH41" s="329"/>
      <c r="AI41" s="329"/>
      <c r="AJ41" s="329"/>
      <c r="AK41" s="1626"/>
      <c r="AL41" s="329"/>
    </row>
    <row r="42" spans="1:38" ht="15" customHeight="1" x14ac:dyDescent="0.2">
      <c r="A42" s="14"/>
      <c r="B42" s="1624"/>
      <c r="C42" s="1002"/>
      <c r="D42" s="1547">
        <f t="shared" ca="1" si="5"/>
        <v>32.575800000000001</v>
      </c>
      <c r="E42" s="1548">
        <f t="shared" ca="1" si="5"/>
        <v>34.486800000000002</v>
      </c>
      <c r="F42" s="1528"/>
      <c r="G42" s="1528"/>
      <c r="H42" s="1528"/>
      <c r="I42" s="1528"/>
      <c r="J42" s="1547">
        <f t="shared" ca="1" si="6"/>
        <v>32.575800000000001</v>
      </c>
      <c r="K42" s="1548">
        <f t="shared" ca="1" si="6"/>
        <v>34.486800000000002</v>
      </c>
      <c r="L42" s="1528"/>
      <c r="M42" s="1528"/>
      <c r="N42" s="1528"/>
      <c r="O42" s="42"/>
      <c r="P42" s="1529">
        <f t="shared" ca="1" si="7"/>
        <v>27.472300000000001</v>
      </c>
      <c r="Q42" s="1530">
        <f t="shared" ca="1" si="7"/>
        <v>72.842299999999994</v>
      </c>
      <c r="R42" s="42"/>
      <c r="S42" s="1080" t="s">
        <v>801</v>
      </c>
      <c r="T42" s="1528">
        <f ca="1">IF(T41&lt;P45,INDEX(P41:Q45,MATCH(T41,P41:P45,0)+1,1),P44)</f>
        <v>27.472300000000001</v>
      </c>
      <c r="U42" s="1582"/>
      <c r="V42" s="42"/>
      <c r="W42" s="42"/>
      <c r="X42" s="42"/>
      <c r="Y42" s="42"/>
      <c r="Z42" s="42"/>
      <c r="AA42" s="42"/>
      <c r="AB42" s="42"/>
      <c r="AC42" s="42"/>
      <c r="AD42" s="329"/>
      <c r="AE42" s="329"/>
      <c r="AF42" s="329"/>
      <c r="AG42" s="329"/>
      <c r="AH42" s="329"/>
      <c r="AI42" s="329"/>
      <c r="AJ42" s="329"/>
      <c r="AK42" s="1626"/>
      <c r="AL42" s="329"/>
    </row>
    <row r="43" spans="1:38" ht="15" customHeight="1" x14ac:dyDescent="0.2">
      <c r="A43" s="14"/>
      <c r="B43" s="1624"/>
      <c r="C43" s="1002"/>
      <c r="D43" s="1547">
        <f t="shared" ca="1" si="5"/>
        <v>34.9621</v>
      </c>
      <c r="E43" s="1548">
        <f t="shared" ca="1" si="5"/>
        <v>52.033999999999999</v>
      </c>
      <c r="F43" s="1528"/>
      <c r="G43" s="1528"/>
      <c r="H43" s="1528"/>
      <c r="I43" s="1528"/>
      <c r="J43" s="1547">
        <f t="shared" ca="1" si="6"/>
        <v>34.9621</v>
      </c>
      <c r="K43" s="1548">
        <f t="shared" ca="1" si="6"/>
        <v>52.033999999999999</v>
      </c>
      <c r="L43" s="1528"/>
      <c r="M43" s="1528"/>
      <c r="N43" s="1528"/>
      <c r="O43" s="42"/>
      <c r="P43" s="1529">
        <f t="shared" ca="1" si="7"/>
        <v>29.9557</v>
      </c>
      <c r="Q43" s="1530">
        <f t="shared" ca="1" si="7"/>
        <v>75.493899999999996</v>
      </c>
      <c r="R43" s="42"/>
      <c r="S43" s="1080" t="s">
        <v>802</v>
      </c>
      <c r="T43" s="1528">
        <f ca="1">VLOOKUP(W15, P41:Q45, 2, TRUE)</f>
        <v>0</v>
      </c>
      <c r="U43" s="1582"/>
      <c r="V43" s="42"/>
      <c r="W43" s="42"/>
      <c r="X43" s="42"/>
      <c r="Y43" s="42"/>
      <c r="Z43" s="42"/>
      <c r="AA43" s="42"/>
      <c r="AB43" s="42"/>
      <c r="AC43" s="42"/>
      <c r="AD43" s="42"/>
      <c r="AE43" s="42"/>
      <c r="AF43" s="42"/>
      <c r="AG43" s="42"/>
      <c r="AH43" s="42"/>
      <c r="AI43" s="42"/>
      <c r="AJ43" s="42"/>
      <c r="AK43" s="183"/>
      <c r="AL43" s="42"/>
    </row>
    <row r="44" spans="1:38" ht="15" customHeight="1" x14ac:dyDescent="0.2">
      <c r="A44" s="14"/>
      <c r="B44" s="1624"/>
      <c r="C44" s="1002"/>
      <c r="D44" s="1550">
        <f t="shared" ca="1" si="5"/>
        <v>36.1995</v>
      </c>
      <c r="E44" s="1551">
        <f t="shared" ca="1" si="5"/>
        <v>76.016999999999996</v>
      </c>
      <c r="F44" s="1528"/>
      <c r="G44" s="1528"/>
      <c r="H44" s="1528"/>
      <c r="I44" s="1528"/>
      <c r="J44" s="1550">
        <f t="shared" ca="1" si="6"/>
        <v>36.1995</v>
      </c>
      <c r="K44" s="1551">
        <f t="shared" ca="1" si="6"/>
        <v>76.016999999999996</v>
      </c>
      <c r="L44" s="1528"/>
      <c r="M44" s="1528"/>
      <c r="N44" s="1528"/>
      <c r="O44" s="42"/>
      <c r="P44" s="1529">
        <f t="shared" ca="1" si="7"/>
        <v>33.059899999999999</v>
      </c>
      <c r="Q44" s="1530">
        <f t="shared" ca="1" si="7"/>
        <v>73.622200000000007</v>
      </c>
      <c r="R44" s="42"/>
      <c r="S44" s="1080" t="s">
        <v>803</v>
      </c>
      <c r="T44" s="1528">
        <f ca="1">INDEX(P41:Q45,MATCH(T42,P41:P45,0),2)</f>
        <v>72.842299999999994</v>
      </c>
      <c r="U44" s="1582"/>
      <c r="V44" s="42"/>
      <c r="W44" s="42"/>
      <c r="X44" s="42"/>
      <c r="Y44" s="42"/>
      <c r="Z44" s="42"/>
      <c r="AA44" s="42"/>
      <c r="AB44" s="42"/>
      <c r="AC44" s="42"/>
      <c r="AD44" s="42"/>
      <c r="AE44" s="42"/>
      <c r="AF44" s="42"/>
      <c r="AG44" s="42"/>
      <c r="AH44" s="42"/>
      <c r="AI44" s="42"/>
      <c r="AJ44" s="42"/>
      <c r="AK44" s="183"/>
      <c r="AL44" s="42"/>
    </row>
    <row r="45" spans="1:38" ht="15" customHeight="1" x14ac:dyDescent="0.2">
      <c r="A45" s="14"/>
      <c r="B45" s="1624"/>
      <c r="C45" s="1002"/>
      <c r="D45" s="1528"/>
      <c r="E45" s="1528"/>
      <c r="F45" s="1528"/>
      <c r="G45" s="1528"/>
      <c r="H45" s="1528"/>
      <c r="I45" s="1528"/>
      <c r="J45" s="1528"/>
      <c r="K45" s="1528"/>
      <c r="L45" s="1528"/>
      <c r="M45" s="1528"/>
      <c r="N45" s="1528"/>
      <c r="O45" s="42"/>
      <c r="P45" s="1552">
        <f t="shared" ca="1" si="7"/>
        <v>60.997799999999998</v>
      </c>
      <c r="Q45" s="1083">
        <f t="shared" ca="1" si="7"/>
        <v>35.719200000000001</v>
      </c>
      <c r="R45" s="42"/>
      <c r="S45" s="42"/>
      <c r="T45" s="42"/>
      <c r="U45" s="1582"/>
      <c r="V45" s="42"/>
      <c r="W45" s="42"/>
      <c r="X45" s="42"/>
      <c r="Y45" s="42"/>
      <c r="Z45" s="42"/>
      <c r="AA45" s="42"/>
      <c r="AB45" s="42"/>
      <c r="AC45" s="42"/>
      <c r="AD45" s="42"/>
      <c r="AE45" s="42"/>
      <c r="AF45" s="42"/>
      <c r="AG45" s="42"/>
      <c r="AH45" s="42"/>
      <c r="AI45" s="42"/>
      <c r="AJ45" s="42"/>
      <c r="AK45" s="183"/>
      <c r="AL45" s="42"/>
    </row>
    <row r="46" spans="1:38" ht="15" customHeight="1" x14ac:dyDescent="0.2">
      <c r="A46" s="14"/>
      <c r="B46" s="1624"/>
      <c r="C46" s="1002"/>
      <c r="D46" s="329"/>
      <c r="E46" s="329"/>
      <c r="F46" s="329"/>
      <c r="G46" s="329"/>
      <c r="H46" s="329"/>
      <c r="I46" s="329"/>
      <c r="J46" s="329"/>
      <c r="K46" s="329"/>
      <c r="L46" s="329"/>
      <c r="M46" s="329"/>
      <c r="N46" s="329"/>
      <c r="O46" s="42"/>
      <c r="P46" s="42"/>
      <c r="Q46" s="42"/>
      <c r="R46" s="42"/>
      <c r="S46" s="42"/>
      <c r="T46" s="42"/>
      <c r="U46" s="1530"/>
      <c r="V46" s="42"/>
      <c r="W46" s="42"/>
      <c r="X46" s="42"/>
      <c r="Y46" s="42"/>
      <c r="Z46" s="42"/>
      <c r="AA46" s="42"/>
      <c r="AB46" s="42"/>
      <c r="AC46" s="42"/>
      <c r="AD46" s="42"/>
      <c r="AE46" s="42"/>
      <c r="AF46" s="42"/>
      <c r="AG46" s="42"/>
      <c r="AH46" s="42"/>
      <c r="AI46" s="42"/>
      <c r="AJ46" s="42"/>
      <c r="AK46" s="183"/>
      <c r="AL46" s="42"/>
    </row>
    <row r="47" spans="1:38" ht="15" customHeight="1" x14ac:dyDescent="0.2">
      <c r="A47" s="14"/>
      <c r="B47" s="1624"/>
      <c r="C47" s="1002"/>
      <c r="D47" s="1545" t="s">
        <v>897</v>
      </c>
      <c r="E47" s="42"/>
      <c r="F47" s="42"/>
      <c r="G47" s="1545" t="s">
        <v>897</v>
      </c>
      <c r="H47" s="42"/>
      <c r="I47" s="42"/>
      <c r="J47" s="1584" t="s">
        <v>900</v>
      </c>
      <c r="K47" s="42"/>
      <c r="L47" s="42"/>
      <c r="M47" s="1545" t="s">
        <v>900</v>
      </c>
      <c r="N47" s="42"/>
      <c r="O47" s="42"/>
      <c r="P47" s="1545" t="s">
        <v>897</v>
      </c>
      <c r="Q47" s="1583"/>
      <c r="R47" s="42"/>
      <c r="S47" s="42"/>
      <c r="T47" s="42"/>
      <c r="U47" s="1530"/>
      <c r="V47" s="42"/>
      <c r="W47" s="42"/>
      <c r="X47" s="42"/>
      <c r="Y47" s="42"/>
      <c r="Z47" s="42"/>
      <c r="AA47" s="42"/>
      <c r="AB47" s="42"/>
      <c r="AC47" s="42"/>
      <c r="AD47" s="42"/>
      <c r="AE47" s="42"/>
      <c r="AF47" s="42"/>
      <c r="AG47" s="42"/>
      <c r="AH47" s="42"/>
      <c r="AI47" s="42"/>
      <c r="AJ47" s="42"/>
      <c r="AK47" s="183"/>
      <c r="AL47" s="42"/>
    </row>
    <row r="48" spans="1:38" ht="15" customHeight="1" x14ac:dyDescent="0.2">
      <c r="A48" s="14"/>
      <c r="B48" s="1624"/>
      <c r="C48" s="1002"/>
      <c r="D48" s="1546" t="s">
        <v>794</v>
      </c>
      <c r="E48" s="1553">
        <f ca="1">(IF(C16&lt;F91,F91,IF(C16&lt;H91,F91,IF(C16&lt;J91,H91,IF(C16&lt;L91,J91,IF(C16&lt;N91,L91,N91))))))</f>
        <v>11.5</v>
      </c>
      <c r="F48" s="42"/>
      <c r="G48" s="1546" t="s">
        <v>794</v>
      </c>
      <c r="H48" s="1553">
        <f ca="1">(IF(C16&lt;F91,F91,IF(C16&lt;H91,H91,IF(C16&lt;J91,J91,IF(C16&lt;L91,L91,IF(C16&lt;N91,N91,N91))))))</f>
        <v>12</v>
      </c>
      <c r="I48" s="42"/>
      <c r="J48" s="1546" t="s">
        <v>794</v>
      </c>
      <c r="K48" s="1553">
        <f ca="1">(IF(O16&lt;F91,F91,IF(O16&lt;H91,F91,IF(O16&lt;J91,H91,IF(O16&lt;L91,J91,IF(O16&lt;N91,L91,N91))))))</f>
        <v>11.5</v>
      </c>
      <c r="L48" s="42"/>
      <c r="M48" s="1546" t="s">
        <v>794</v>
      </c>
      <c r="N48" s="1553">
        <f ca="1">(IF(O16&lt;F91,F91,IF(O16&lt;H91,H91,IF(O16&lt;J91,J91,IF(O16&lt;L91,L91,IF(O16&lt;N91,N91,N91))))))</f>
        <v>12</v>
      </c>
      <c r="O48" s="42"/>
      <c r="P48" s="1546"/>
      <c r="Q48" s="1078" t="s">
        <v>795</v>
      </c>
      <c r="R48" s="1078" t="s">
        <v>1237</v>
      </c>
      <c r="S48" s="1078"/>
      <c r="T48" s="1079"/>
      <c r="U48" s="1530"/>
      <c r="V48" s="42"/>
      <c r="W48" s="42"/>
      <c r="X48" s="42"/>
      <c r="Y48" s="42"/>
      <c r="Z48" s="42"/>
      <c r="AA48" s="42"/>
      <c r="AB48" s="42"/>
      <c r="AC48" s="42"/>
      <c r="AD48" s="42"/>
      <c r="AE48" s="42"/>
      <c r="AF48" s="42"/>
      <c r="AG48" s="42"/>
      <c r="AH48" s="42"/>
      <c r="AI48" s="42"/>
      <c r="AJ48" s="42"/>
      <c r="AK48" s="183"/>
      <c r="AL48" s="42"/>
    </row>
    <row r="49" spans="1:38" ht="15" customHeight="1" x14ac:dyDescent="0.2">
      <c r="A49" s="14"/>
      <c r="B49" s="1624"/>
      <c r="C49" s="1002"/>
      <c r="D49" s="1529" t="s">
        <v>1238</v>
      </c>
      <c r="E49" s="1530" t="s">
        <v>792</v>
      </c>
      <c r="F49" s="42"/>
      <c r="G49" s="1529" t="s">
        <v>1238</v>
      </c>
      <c r="H49" s="1530" t="s">
        <v>792</v>
      </c>
      <c r="I49" s="42"/>
      <c r="J49" s="1529" t="s">
        <v>1238</v>
      </c>
      <c r="K49" s="1530" t="s">
        <v>792</v>
      </c>
      <c r="L49" s="42"/>
      <c r="M49" s="1529" t="s">
        <v>1238</v>
      </c>
      <c r="N49" s="1530" t="s">
        <v>792</v>
      </c>
      <c r="O49" s="42"/>
      <c r="P49" s="1529"/>
      <c r="Q49" s="42" t="s">
        <v>796</v>
      </c>
      <c r="R49" s="42" t="s">
        <v>797</v>
      </c>
      <c r="S49" s="42" t="s">
        <v>798</v>
      </c>
      <c r="T49" s="1530" t="s">
        <v>799</v>
      </c>
      <c r="U49" s="1530"/>
      <c r="V49" s="42"/>
      <c r="W49" s="42"/>
      <c r="X49" s="42"/>
      <c r="Y49" s="42"/>
      <c r="Z49" s="42"/>
      <c r="AA49" s="42"/>
      <c r="AB49" s="42"/>
      <c r="AC49" s="42"/>
      <c r="AD49" s="42"/>
      <c r="AE49" s="42"/>
      <c r="AF49" s="42"/>
      <c r="AG49" s="42"/>
      <c r="AH49" s="42"/>
      <c r="AI49" s="42"/>
      <c r="AJ49" s="42"/>
      <c r="AK49" s="183"/>
      <c r="AL49" s="42"/>
    </row>
    <row r="50" spans="1:38" ht="15" customHeight="1" x14ac:dyDescent="0.2">
      <c r="A50" s="14"/>
      <c r="B50" s="1624"/>
      <c r="C50" s="1002"/>
      <c r="D50" s="1554">
        <f ca="1">VLOOKUP(E24,(IF(C16&lt;F91,E93:F107,IF(C16&lt;H91,E93:F107,IF(C16&lt;J91,G93:H107,IF(C16&lt;L91,I93:J107,IF(C16&lt;N91,K93:L107,M93:N107)))))),1,TRUE)</f>
        <v>120.741</v>
      </c>
      <c r="E50" s="1548">
        <f ca="1">VLOOKUP(E24,(IF(C16&lt;F91,E93:F107,IF(C16&lt;H91,E93:F107,IF(C16&lt;J91,G93:H107,IF(C16&lt;L91,I93:J107,IF(C16&lt;N91,K93:L107,M93:N107)))))),2,TRUE)</f>
        <v>12.6568</v>
      </c>
      <c r="F50" s="42"/>
      <c r="G50" s="1554">
        <f ca="1">VLOOKUP(E24,(IF(C16&lt;F91,E93:F107,IF(C16&lt;H91,G93:H107,IF(C16&lt;J91,I93:J107,IF(C16&lt;L91,K93:L107,IF(C16&lt;N91,M93:N107,M93:N107)))))),1,TRUE)</f>
        <v>120.741</v>
      </c>
      <c r="H50" s="1548">
        <f ca="1">VLOOKUP(E24,(IF(C16&lt;F91,E93:F107,IF(C16&lt;H91,G93:H107,IF(C16&lt;J91,I93:J107,IF(C16&lt;L91,K93:L107,IF(C16&lt;N91,M93:N107,M93:N107)))))),2,TRUE)</f>
        <v>12.7692</v>
      </c>
      <c r="I50" s="42"/>
      <c r="J50" s="1554">
        <f ca="1">VLOOKUP(Q24,(IF(O16&lt;F91,E93:F107,IF(O16&lt;H91,E93:F107,IF(O16&lt;J91,G93:H107,IF(O16&lt;L91,I93:J107,IF(O16&lt;N91,K93:L107,M93:N107)))))),1,TRUE)</f>
        <v>120.741</v>
      </c>
      <c r="K50" s="1548">
        <f ca="1">VLOOKUP(Q24,(IF(O16&lt;F91,E93:F107,IF(O16&lt;H91,E93:F107,IF(O16&lt;J91,G93:H107,IF(O16&lt;L91,I93:J107,IF(O16&lt;N91,K93:L107,M93:N107)))))),2,TRUE)</f>
        <v>12.6568</v>
      </c>
      <c r="L50" s="42"/>
      <c r="M50" s="1554">
        <f ca="1">VLOOKUP(Q24,(IF(O16&lt;F91,E93:F107,IF(O16&lt;H91,G93:H107,IF(O16&lt;J91,I93:J107,IF(O16&lt;L91,K93:L107,IF(O16&lt;N91,M93:N107,M93:N107)))))),1,TRUE)</f>
        <v>120.741</v>
      </c>
      <c r="N50" s="1548">
        <f ca="1">VLOOKUP(Q24,(IF(O16&lt;F91,E93:F107,IF(O16&lt;H91,G93:H107,IF(O16&lt;J91,I93:J107,IF(O16&lt;L91,K93:L107,IF(O16&lt;N91,M93:N107,M93:N107)))))),2,TRUE)</f>
        <v>12.7692</v>
      </c>
      <c r="O50" s="42"/>
      <c r="P50" s="1529">
        <f>VLOOKUP(E24,$Q$92:$U$99,1,TRUE)</f>
        <v>100</v>
      </c>
      <c r="Q50" s="1544">
        <f>VLOOKUP(E24,$Q$92:$U$99,2,TRUE)</f>
        <v>9.9974399999999992</v>
      </c>
      <c r="R50" s="1544">
        <f>VLOOKUP(E24,$Q$92:$U$99,3,TRUE)</f>
        <v>9.1428600000000007</v>
      </c>
      <c r="S50" s="1544">
        <f>VLOOKUP(E24,$Q$92:$U$99,4,TRUE)</f>
        <v>12.491</v>
      </c>
      <c r="T50" s="1560">
        <f>VLOOKUP(E24,$Q$92:$U$99,5,TRUE)</f>
        <v>15.6571</v>
      </c>
      <c r="U50" s="1530"/>
      <c r="V50" s="42"/>
      <c r="W50" s="42"/>
      <c r="X50" s="42"/>
      <c r="Y50" s="42"/>
      <c r="Z50" s="42"/>
      <c r="AA50" s="42"/>
      <c r="AB50" s="42"/>
      <c r="AC50" s="42"/>
      <c r="AD50" s="42"/>
      <c r="AE50" s="42"/>
      <c r="AF50" s="42"/>
      <c r="AG50" s="42"/>
      <c r="AH50" s="42"/>
      <c r="AI50" s="42"/>
      <c r="AJ50" s="42"/>
      <c r="AK50" s="183"/>
      <c r="AL50" s="42"/>
    </row>
    <row r="51" spans="1:38" ht="15" customHeight="1" x14ac:dyDescent="0.2">
      <c r="A51" s="14"/>
      <c r="B51" s="1624"/>
      <c r="C51" s="1002"/>
      <c r="D51" s="1554">
        <f ca="1">INDEX((IF(C16&lt;F91,E93:F107,IF(C16&lt;H91,E93:F107,IF(C16&lt;J91,G93:H107,IF(C16&lt;L91,I93:J107,IF(C16&lt;N91,K93:L107,M93:N107)))))),MATCH(D50,(IF(C16&lt;F91,E93:E107,IF(C16&lt;H91,E93:E107,IF(C16&lt;J91,G93:G107,IF(C16&lt;L91,I93:I107,IF(C16&lt;N91,K93:K107,M93:M107)))))),0)+1,1)</f>
        <v>151.852</v>
      </c>
      <c r="E51" s="1548">
        <f ca="1">INDEX((IF(C16&lt;F91,E93:F107,IF(C16&lt;H91,E93:F107,IF(C16&lt;J91,G93:H107,IF(C16&lt;L91,I93:J107,IF(C16&lt;N91,K93:L107,M93:N107)))))),MATCH(D51,(IF(C16&lt;F91,E93:E107,IF(C16&lt;H91,E93:E107,IF(C16&lt;J91,G93:G107,IF(C16&lt;L91,I93:I107,IF(C16&lt;N91,K93:K107,M93:M107)))))),0),2)</f>
        <v>12.503</v>
      </c>
      <c r="F51" s="1080"/>
      <c r="G51" s="1554">
        <f ca="1">INDEX((IF(C16&lt;F91,E93:F107,IF(C16&lt;H91,G93:H107,IF(C16&lt;J91,I93:J107,IF(C16&lt;L91,K93:L107,IF(C16&lt;N91,M93:N107,M93:N107)))))),MATCH(G50,(IF(C16&lt;F91,E93:E107,IF(C16&lt;H91,G93:G107,IF(C16&lt;J91,I93:I107,IF(C16&lt;L91,K93:K107,IF(C16&lt;N91,M93:M107,M93:M107)))))),0)+1,1)</f>
        <v>151.852</v>
      </c>
      <c r="H51" s="1548">
        <f ca="1">INDEX((IF(C16&lt;F91,E93:F107,IF(C16&lt;H91,G93:H107,IF(C16&lt;J91,I93:J107,IF(C16&lt;L91,K93:L107,IF(C16&lt;N91,M93:N107,M93:N107)))))),MATCH(G51,(IF(C16&lt;F91,E93:E107,IF(C16&lt;H91,G93:G107,IF(C16&lt;J91,I93:I107,IF(C16&lt;L91,K93:K107,IF(C16&lt;N91,M93:M107,M93:M107)))))),0),2)</f>
        <v>12.609500000000001</v>
      </c>
      <c r="I51" s="42"/>
      <c r="J51" s="1554">
        <f ca="1">INDEX((IF(O16&lt;F91,E93:F107,IF(O16&lt;H91,E93:F107,IF(O16&lt;J91,G93:H107,IF(O16&lt;L91,I93:J107,IF(O16&lt;N91,K93:L107,M93:N107)))))),MATCH(J50,(IF(O16&lt;F91,E93:E107,IF(O16&lt;H91,E93:E107,IF(O16&lt;J91,G93:G107,IF(O16&lt;L91,I93:I107,IF(O16&lt;N91,K93:K107,M93:M107)))))),0)+1,1)</f>
        <v>151.852</v>
      </c>
      <c r="K51" s="1548">
        <f ca="1">INDEX((IF(O16&lt;F91,E93:F107,IF(O16&lt;H91,E93:F107,IF(O16&lt;J91,G93:H107,IF(O16&lt;L91,I93:J107,IF(O16&lt;N91,K93:L107,M93:N107)))))),MATCH(J51,(IF(O16&lt;F91,E93:E107,IF(O16&lt;H91,E93:E107,IF(O16&lt;J91,G93:G107,IF(O16&lt;L91,I93:I107,IF(O16&lt;N91,K93:K107,M93:M107)))))),0),2)</f>
        <v>12.503</v>
      </c>
      <c r="L51" s="1080"/>
      <c r="M51" s="1554">
        <f ca="1">INDEX((IF(O16&lt;F91,E93:F107,IF(O16&lt;H91,G93:H107,IF(O16&lt;J91,I93:J107,IF(O16&lt;L91,K93:L107,IF(O16&lt;N91,M93:N107,M93:N107)))))),MATCH(M50,(IF(O16&lt;F91,E93:E107,IF(O16&lt;H91,G93:G107,IF(O16&lt;J91,I93:I107,IF(O16&lt;L91,K93:K107,IF(O16&lt;N91,M93:M107,M93:M107)))))),0)+1,1)</f>
        <v>151.852</v>
      </c>
      <c r="N51" s="1548">
        <f ca="1">INDEX((IF(O16&lt;F91,E93:F107,IF(O16&lt;H91,G93:H107,IF(O16&lt;J91,I93:J107,IF(O16&lt;L91,K93:L107,IF(O16&lt;N91,M93:N107,M93:N107)))))),MATCH(M51,(IF(O16&lt;F91,E93:E107,IF(O16&lt;H91,G93:G107,IF(O16&lt;J91,I93:I107,IF(O16&lt;L91,K93:K107,IF(O16&lt;N91,M93:M107,M93:M107)))))),0),2)</f>
        <v>12.609500000000001</v>
      </c>
      <c r="O51" s="42"/>
      <c r="P51" s="1529">
        <f>VLOOKUP(E25,$Q$92:$U$99,1,TRUE)</f>
        <v>100</v>
      </c>
      <c r="Q51" s="1544">
        <f>VLOOKUP(E25,$Q$92:$U$99,2,TRUE)</f>
        <v>9.9974399999999992</v>
      </c>
      <c r="R51" s="1544">
        <f>VLOOKUP(E25,$Q$92:$U$99,3,TRUE)</f>
        <v>9.1428600000000007</v>
      </c>
      <c r="S51" s="1544">
        <f>VLOOKUP(E25,$Q$92:$U$99,4,TRUE)</f>
        <v>12.491</v>
      </c>
      <c r="T51" s="1560">
        <f>VLOOKUP(E25,$Q$92:$U$99,5,TRUE)</f>
        <v>15.6571</v>
      </c>
      <c r="U51" s="1530"/>
      <c r="V51" s="42"/>
      <c r="W51" s="42"/>
      <c r="X51" s="42"/>
      <c r="Y51" s="42"/>
      <c r="Z51" s="42"/>
      <c r="AA51" s="42"/>
      <c r="AB51" s="42"/>
      <c r="AC51" s="42"/>
      <c r="AD51" s="42"/>
      <c r="AE51" s="42"/>
      <c r="AF51" s="42"/>
      <c r="AG51" s="42"/>
      <c r="AH51" s="42"/>
      <c r="AI51" s="42"/>
      <c r="AJ51" s="42"/>
      <c r="AK51" s="183"/>
      <c r="AL51" s="42"/>
    </row>
    <row r="52" spans="1:38" ht="15" customHeight="1" x14ac:dyDescent="0.2">
      <c r="A52" s="14"/>
      <c r="B52" s="1624"/>
      <c r="C52" s="1002"/>
      <c r="D52" s="1554">
        <f ca="1">VLOOKUP(E25,(IF(C16&lt;F91,E93:F107,IF(C16&lt;H91,E93:F107,IF(C16&lt;J91,G93:H107,IF(C16&lt;L91,I93:J107,IF(C16&lt;N91,K93:L107,M93:N107)))))),1,TRUE)</f>
        <v>249.63</v>
      </c>
      <c r="E52" s="1548">
        <f ca="1">VLOOKUP(E25,(IF(C16&lt;F91,E93:F107,IF(C16&lt;H91,E93:F107,IF(C16&lt;J91,G93:H107,IF(C16&lt;L91,I93:J107,IF(C16&lt;N91,K93:L107,M93:N107)))))),2,TRUE)</f>
        <v>11.958600000000001</v>
      </c>
      <c r="F52" s="1080"/>
      <c r="G52" s="1554">
        <f ca="1">VLOOKUP(E25,(IF(C16&lt;F91,E93:F107,IF(C16&lt;H91,G93:H107,IF(C16&lt;J91,I93:J107,IF(C16&lt;L91,K93:L107,IF(C16&lt;N91,M93:N107,M93:N107)))))),1,TRUE)</f>
        <v>251.11099999999999</v>
      </c>
      <c r="H52" s="1548">
        <f ca="1">VLOOKUP(E25,(IF(C16&lt;F91,E93:F107,IF(C16&lt;H91,G93:H107,IF(C16&lt;J91,I93:J107,IF(C16&lt;L91,K93:L107,IF(C16&lt;N91,M93:N107,M93:N107)))))),2,TRUE)</f>
        <v>12.059200000000001</v>
      </c>
      <c r="I52" s="42"/>
      <c r="J52" s="1554">
        <f ca="1">VLOOKUP(Q25,(IF(O16&lt;F91,E93:F107,IF(O16&lt;H91,E93:F107,IF(O16&lt;J91,G93:H107,IF(O16&lt;L91,I93:J107,IF(O16&lt;N91,K93:L107,M93:N107)))))),1,TRUE)</f>
        <v>249.63</v>
      </c>
      <c r="K52" s="1548">
        <f ca="1">VLOOKUP(Q25,(IF(O16&lt;F91,E93:F107,IF(O16&lt;H91,E93:F107,IF(O16&lt;J91,G93:H107,IF(O16&lt;L91,I93:J107,IF(O16&lt;N91,K93:L107,M93:N107)))))),2,TRUE)</f>
        <v>11.958600000000001</v>
      </c>
      <c r="L52" s="1080"/>
      <c r="M52" s="1554">
        <f ca="1">VLOOKUP(Q25,(IF(O16&lt;F91,E93:F107,IF(O16&lt;H91,G93:H107,IF(O16&lt;J91,I93:J107,IF(O16&lt;L91,K93:L107,IF(O16&lt;N91,M93:N107,M93:N107)))))),1,TRUE)</f>
        <v>251.11099999999999</v>
      </c>
      <c r="N52" s="1548">
        <f ca="1">VLOOKUP(Q25,(IF(O16&lt;F91,E93:F107,IF(O16&lt;H91,G93:H107,IF(O16&lt;J91,I93:J107,IF(O16&lt;L91,K93:L107,IF(O16&lt;N91,M93:N107,M93:N107)))))),2,TRUE)</f>
        <v>12.059200000000001</v>
      </c>
      <c r="O52" s="42"/>
      <c r="P52" s="1552">
        <f>VLOOKUP(E26,$Q$92:$U$99,1,TRUE)</f>
        <v>400</v>
      </c>
      <c r="Q52" s="1561">
        <f>VLOOKUP(E26,$Q$92:$U$99,2,TRUE)</f>
        <v>9.9974399999999992</v>
      </c>
      <c r="R52" s="1561">
        <f>VLOOKUP(E26,$Q$92:$U$99,3,TRUE)</f>
        <v>8.9523799999999998</v>
      </c>
      <c r="S52" s="1561">
        <f>VLOOKUP(E26,$Q$92:$U$99,4,TRUE)</f>
        <v>12.491</v>
      </c>
      <c r="T52" s="1562">
        <f>VLOOKUP(E26,$Q$92:$U$99,5,TRUE)</f>
        <v>15.428599999999999</v>
      </c>
      <c r="U52" s="1530"/>
      <c r="V52" s="42"/>
      <c r="W52" s="42"/>
      <c r="X52" s="42"/>
      <c r="Y52" s="42"/>
      <c r="Z52" s="42"/>
      <c r="AA52" s="42"/>
      <c r="AB52" s="42"/>
      <c r="AC52" s="42"/>
      <c r="AD52" s="42"/>
      <c r="AE52" s="42"/>
      <c r="AF52" s="42"/>
      <c r="AG52" s="42"/>
      <c r="AH52" s="42"/>
      <c r="AI52" s="42"/>
      <c r="AJ52" s="42"/>
      <c r="AK52" s="183"/>
      <c r="AL52" s="42"/>
    </row>
    <row r="53" spans="1:38" ht="15" customHeight="1" x14ac:dyDescent="0.2">
      <c r="A53" s="14"/>
      <c r="B53" s="1624"/>
      <c r="C53" s="1002"/>
      <c r="D53" s="1554">
        <f ca="1">INDEX((IF(C16&lt;F91,E93:F107,IF(C16&lt;H91,E93:F107,IF(C16&lt;J91,G93:H107,IF(C16&lt;L91,I93:J107,IF(C16&lt;N91,K93:L107,M93:N107)))))),MATCH(D52,(IF(C16&lt;F91,E93:E107,IF(C16&lt;H91,E93:E107,IF(C16&lt;J91,G93:G107,IF(C16&lt;L91,I93:I107,IF(C16&lt;N91,K93:K107,M93:M107)))))),0)+1,1)</f>
        <v>301.48099999999999</v>
      </c>
      <c r="E53" s="1548">
        <f ca="1">INDEX((IF(C16&lt;F91,E93:F107,IF(C16&lt;H91,E93:F107,IF(C16&lt;J91,G93:H107,IF(C16&lt;L91,I93:J107,IF(C16&lt;N91,K93:L107,M93:N107)))))),MATCH(D53,(IF(C16&lt;F91,E93:E107,IF(C16&lt;H91,E93:E107,IF(C16&lt;J91,G93:G107,IF(C16&lt;L91,I93:I107,IF(C16&lt;N91,K93:K107,M93:M107)))))),0),2)</f>
        <v>11.6272</v>
      </c>
      <c r="F53" s="1080"/>
      <c r="G53" s="1554">
        <f ca="1">INDEX((IF(C16&lt;F91,E93:F107,IF(C16&lt;H91,G93:H107,IF(C16&lt;J91,I93:J107,IF(C16&lt;L91,K93:L107,IF(C16&lt;N91,M93:N107,M93:N107)))))),MATCH(G52,(IF(C16&lt;F91,E93:E107,IF(C16&lt;H91,G93:G107,IF(C16&lt;J91,I93:I107,IF(C16&lt;L91,K93:K107,IF(C16&lt;N91,M93:M107,M93:M107)))))),0)+1,1)</f>
        <v>300</v>
      </c>
      <c r="H53" s="1548">
        <f ca="1">INDEX((IF(C16&lt;F91,E93:F107,IF(C16&lt;H91,G93:H107,IF(C16&lt;J91,I93:J107,IF(C16&lt;L91,K93:L107,IF(C16&lt;N91,M93:N107,M93:N107)))))),MATCH(G53,(IF(C16&lt;F91,E93:E107,IF(C16&lt;H91,G93:G107,IF(C16&lt;J91,I93:I107,IF(C16&lt;L91,K93:K107,IF(C16&lt;N91,M93:M107,M93:M107)))))),0),2)</f>
        <v>11.7456</v>
      </c>
      <c r="I53" s="42"/>
      <c r="J53" s="1554">
        <f ca="1">INDEX((IF(O16&lt;F91,E93:F107,IF(O16&lt;H91,E93:F107,IF(O16&lt;J91,G93:H107,IF(O16&lt;L91,I93:J107,IF(O16&lt;N91,K93:L107,M93:N107)))))),MATCH(J52,(IF(O16&lt;F91,E93:E107,IF(O16&lt;H91,E93:E107,IF(O16&lt;J91,G93:G107,IF(O16&lt;L91,I93:I107,IF(O16&lt;N91,K93:K107,M93:M107)))))),0)+1,1)</f>
        <v>301.48099999999999</v>
      </c>
      <c r="K53" s="1548">
        <f ca="1">INDEX((IF(O16&lt;F91,E93:F107,IF(O16&lt;H91,E93:F107,IF(O16&lt;J91,G93:H107,IF(O16&lt;L91,I93:J107,IF(O16&lt;N91,K93:L107,M93:N107)))))),MATCH(J53,(IF(O16&lt;F91,E93:E107,IF(O16&lt;H91,E93:E107,IF(O16&lt;J91,G93:G107,IF(O16&lt;L91,I93:I107,IF(O16&lt;N91,K93:K107,M93:M107)))))),0),2)</f>
        <v>11.6272</v>
      </c>
      <c r="L53" s="1080"/>
      <c r="M53" s="1554">
        <f ca="1">INDEX((IF(O16&lt;F91,E93:F107,IF(O16&lt;H91,G93:H107,IF(O16&lt;J91,I93:J107,IF(O16&lt;L91,K93:L107,IF(O16&lt;N91,M93:N107,M93:N107)))))),MATCH(M52,(IF(O16&lt;F91,E93:E107,IF(O16&lt;H91,G93:G107,IF(O16&lt;J91,I93:I107,IF(O16&lt;L91,K93:K107,IF(O16&lt;N91,M93:M107,M93:M107)))))),0)+1,1)</f>
        <v>300</v>
      </c>
      <c r="N53" s="1548">
        <f ca="1">INDEX((IF(O16&lt;F91,E93:F107,IF(O16&lt;H91,G93:H107,IF(O16&lt;J91,I93:J107,IF(O16&lt;L91,K93:L107,IF(O16&lt;N91,M93:N107,M93:N107)))))),MATCH(M53,(IF(O16&lt;F91,E93:E107,IF(O16&lt;H91,G93:G107,IF(O16&lt;J91,I93:I107,IF(O16&lt;L91,K93:K107,IF(O16&lt;N91,M93:M107,M93:M107)))))),0),2)</f>
        <v>11.7456</v>
      </c>
      <c r="O53" s="42"/>
      <c r="P53" s="42"/>
      <c r="Q53" s="42"/>
      <c r="R53" s="42"/>
      <c r="S53" s="42"/>
      <c r="T53" s="42"/>
      <c r="U53" s="1530"/>
      <c r="V53" s="42"/>
      <c r="W53" s="42"/>
      <c r="X53" s="42"/>
      <c r="Y53" s="42"/>
      <c r="Z53" s="42"/>
      <c r="AA53" s="42"/>
      <c r="AB53" s="42"/>
      <c r="AC53" s="42"/>
      <c r="AD53" s="42"/>
      <c r="AE53" s="42"/>
      <c r="AF53" s="42"/>
      <c r="AG53" s="42"/>
      <c r="AH53" s="42"/>
      <c r="AI53" s="42"/>
      <c r="AJ53" s="42"/>
      <c r="AK53" s="183"/>
      <c r="AL53" s="42"/>
    </row>
    <row r="54" spans="1:38" ht="15" customHeight="1" x14ac:dyDescent="0.2">
      <c r="A54" s="14"/>
      <c r="B54" s="1624"/>
      <c r="C54" s="1002"/>
      <c r="D54" s="1554">
        <f ca="1">VLOOKUP(E26,(IF(C16&lt;F91,E93:F107,IF(C16&lt;H91,E93:F107,IF(C16&lt;J91,G93:H107,IF(C16&lt;L91,I93:J107,IF(C16&lt;N91,K93:L107,M93:N107)))))),1,TRUE)</f>
        <v>451.11099999999999</v>
      </c>
      <c r="E54" s="1548">
        <f ca="1">VLOOKUP(E26,(IF(C16&lt;F91,E93:F107,IF(C16&lt;H91,E93:F107,IF(C16&lt;J91,G93:H107,IF(C16&lt;L91,I93:J107,IF(C16&lt;N91,K93:L107,M93:N107)))))),2,TRUE)</f>
        <v>11.639099999999999</v>
      </c>
      <c r="F54" s="1080"/>
      <c r="G54" s="1554">
        <f ca="1">VLOOKUP(E26,(IF(C16&lt;F91,E93:F107,IF(C16&lt;H91,G93:H107,IF(C16&lt;J91,I93:J107,IF(C16&lt;L91,K93:L107,IF(C16&lt;N91,M93:N107,M93:N107)))))),1,TRUE)</f>
        <v>451.11099999999999</v>
      </c>
      <c r="H54" s="1548">
        <f ca="1">VLOOKUP(E26,(IF(C16&lt;F91,E93:F107,IF(C16&lt;H91,G93:H107,IF(C16&lt;J91,I93:J107,IF(C16&lt;L91,K93:L107,IF(C16&lt;N91,M93:N107,M93:N107)))))),2,TRUE)</f>
        <v>11.858000000000001</v>
      </c>
      <c r="I54" s="42"/>
      <c r="J54" s="1554">
        <f ca="1">VLOOKUP(Q26,(IF(O16&lt;F91,E93:F107,IF(O16&lt;H91,G93:H107,IF(O16&lt;J91,I93:J107,IF(O16&lt;L91,K93:L107,IF(O16&lt;N91,M93:N107,M93:N107)))))),1,TRUE)</f>
        <v>451.11099999999999</v>
      </c>
      <c r="K54" s="1548">
        <f ca="1">VLOOKUP(Q26,(IF(O16&lt;F91,E93:F107,IF(O16&lt;H91,E93:F107,IF(O16&lt;J91,G93:H107,IF(O16&lt;L91,I93:J107,IF(O16&lt;N91,K93:L107,M93:N107)))))),2,TRUE)</f>
        <v>11.639099999999999</v>
      </c>
      <c r="L54" s="1080"/>
      <c r="M54" s="1554">
        <f ca="1">VLOOKUP(Q26,(IF(O16&lt;F91,E93:F107,IF(O16&lt;H91,G93:H107,IF(O16&lt;J91,I93:J107,IF(O16&lt;L91,K93:L107,IF(O16&lt;N91,M93:N107,M93:N107)))))),1,TRUE)</f>
        <v>451.11099999999999</v>
      </c>
      <c r="N54" s="1548">
        <f ca="1">VLOOKUP(Q26,(IF(O16&lt;F91,E93:F107,IF(O16&lt;H91,G93:H107,IF(O16&lt;J91,I93:J107,IF(O16&lt;L91,K93:L107,IF(O16&lt;N91,M93:N107,M93:N107)))))),2,TRUE)</f>
        <v>11.858000000000001</v>
      </c>
      <c r="O54" s="42"/>
      <c r="P54" s="42"/>
      <c r="Q54" s="42"/>
      <c r="R54" s="42"/>
      <c r="S54" s="42"/>
      <c r="T54" s="42"/>
      <c r="U54" s="1530"/>
      <c r="V54" s="42"/>
      <c r="W54" s="42"/>
      <c r="X54" s="42"/>
      <c r="Y54" s="42"/>
      <c r="Z54" s="42"/>
      <c r="AA54" s="42"/>
      <c r="AB54" s="42"/>
      <c r="AC54" s="42"/>
      <c r="AD54" s="42"/>
      <c r="AE54" s="42"/>
      <c r="AF54" s="42"/>
      <c r="AG54" s="42"/>
      <c r="AH54" s="42"/>
      <c r="AI54" s="42"/>
      <c r="AJ54" s="42"/>
      <c r="AK54" s="183"/>
      <c r="AL54" s="42"/>
    </row>
    <row r="55" spans="1:38" ht="15" customHeight="1" x14ac:dyDescent="0.2">
      <c r="A55" s="14"/>
      <c r="B55" s="1624"/>
      <c r="C55" s="1002"/>
      <c r="D55" s="1555">
        <f ca="1">INDEX((IF(C16&lt;F91,E93:F107,IF(C16&lt;H91,E93:F107,IF(C16&lt;J91,G93:H107,IF(C16&lt;L91,I93:J107,IF(C16&lt;N91,K93:L107,M93:N107)))))),MATCH(D54,(IF(C16&lt;F91,E93:E107,IF(C16&lt;H91,E93:E107,IF(C16&lt;J91,G93:G107,IF(C16&lt;L91,I93:I107,IF(C16&lt;N91,K93:K107,M93:M107)))))),0)+1,1)</f>
        <v>501.48099999999999</v>
      </c>
      <c r="E55" s="1548">
        <f ca="1">INDEX((IF(C16&lt;F91,E93:F107,IF(C16&lt;H91,E93:F107,IF(C16&lt;J91,G93:H107,IF(C16&lt;L91,I93:J107,IF(C16&lt;N91,K93:L107,M93:N107)))))),MATCH(D55,(IF(C16&lt;F91,E93:E107,IF(C16&lt;H91,E93:E107,IF(C16&lt;J91,G93:G107,IF(C16&lt;L91,I93:I107,IF(C16&lt;N91,K93:K107,M93:M107)))))),0),2)</f>
        <v>11.7988</v>
      </c>
      <c r="F55" s="42"/>
      <c r="G55" s="1555">
        <f ca="1">INDEX((IF(C16&lt;F91,E93:F107,IF(C16&lt;H91,G93:H107,IF(C16&lt;J91,I93:J107,IF(C16&lt;L91,K93:L107,IF(C16&lt;N91,M93:N107,M93:N107)))))),MATCH(G54,(IF(C16&lt;F91,E93:E107,IF(C16&lt;H91,G93:G107,IF(C16&lt;J91,I93:I107,IF(C16&lt;L91,K93:K107,IF(C16&lt;N91,M93:M107,M93:M107)))))),0)+1,1)</f>
        <v>501.48099999999999</v>
      </c>
      <c r="H55" s="1548">
        <f ca="1">INDEX((IF(C16&lt;F91,E93:F107,IF(C16&lt;H91,G93:H107,IF(C16&lt;J91,I93:J107,IF(C16&lt;L91,K93:L107,IF(C16&lt;N91,M93:N107,M93:N107)))))),MATCH(G55,(IF(C16&lt;F91,E93:E107,IF(C16&lt;H91,G93:G107,IF(C16&lt;J91,I93:I107,IF(C16&lt;L91,K93:K107,IF(C16&lt;N91,M93:M107,M93:M107)))))),0),2)</f>
        <v>12.017799999999999</v>
      </c>
      <c r="I55" s="42"/>
      <c r="J55" s="1555">
        <f ca="1">INDEX((IF(O16&lt;F91,E93:F107,IF(O16&lt;H91,E93:F107,IF(O16&lt;J91,G93:H107,IF(O16&lt;L91,I93:J107,IF(O16&lt;N91,K93:L107,M93:N107)))))),MATCH(J54,(IF(O16&lt;F91,E93:E107,IF(O16&lt;H91,E93:E107,IF(O16&lt;J91,G93:G107,IF(O16&lt;L91,I93:I107,IF(O16&lt;N91,K93:K107,M93:M107)))))),0)+1,1)</f>
        <v>501.48099999999999</v>
      </c>
      <c r="K55" s="1548">
        <f ca="1">INDEX((IF(O16&lt;F91,E93:F107,IF(O16&lt;H91,E93:F107,IF(O16&lt;J91,G93:H107,IF(O16&lt;L91,I93:J107,IF(O16&lt;N91,K93:L107,M93:N107)))))),MATCH(J55,(IF(O16&lt;F91,E93:E107,IF(O16&lt;H91,E93:E107,IF(O16&lt;J91,G93:G107,IF(O16&lt;L91,I93:I107,IF(O16&lt;N91,K93:K107,M93:M107)))))),0),2)</f>
        <v>11.7988</v>
      </c>
      <c r="L55" s="42"/>
      <c r="M55" s="1555">
        <f ca="1">INDEX((IF(O16&lt;F91,E93:F107,IF(O16&lt;H91,G93:H107,IF(O16&lt;J91,I93:J107,IF(O16&lt;L91,K93:L107,IF(O16&lt;N91,M93:N107,M93:N107)))))),MATCH(M54,(IF(O16&lt;F91,E93:E107,IF(O16&lt;H91,G93:G107,IF(O16&lt;J91,I93:I107,IF(O16&lt;L91,K93:K107,IF(O16&lt;N91,M93:M107,M93:M107)))))),0)+1,1)</f>
        <v>501.48099999999999</v>
      </c>
      <c r="N55" s="1548">
        <f ca="1">INDEX((IF(O16&lt;F91,E93:F107,IF(O16&lt;H91,G93:H107,IF(O16&lt;J91,I93:J107,IF(O16&lt;L91,K93:L107,IF(O16&lt;N91,M93:N107,M93:N107)))))),MATCH(M55,(IF(O16&lt;F91,E93:E107,IF(O16&lt;H91,G93:G107,IF(O16&lt;J91,I93:I107,IF(O16&lt;L91,K93:K107,IF(O16&lt;N91,M93:M107,M93:M107)))))),0),2)</f>
        <v>12.017799999999999</v>
      </c>
      <c r="O55" s="42"/>
      <c r="P55" s="42"/>
      <c r="Q55" s="42"/>
      <c r="R55" s="42"/>
      <c r="S55" s="42"/>
      <c r="T55" s="42"/>
      <c r="U55" s="1530"/>
      <c r="V55" s="42"/>
      <c r="W55" s="42"/>
      <c r="X55" s="42"/>
      <c r="Y55" s="42"/>
      <c r="Z55" s="42"/>
      <c r="AA55" s="42"/>
      <c r="AB55" s="42"/>
      <c r="AC55" s="42"/>
      <c r="AD55" s="42"/>
      <c r="AE55" s="42"/>
      <c r="AF55" s="42"/>
      <c r="AG55" s="42"/>
      <c r="AH55" s="42"/>
      <c r="AI55" s="42"/>
      <c r="AJ55" s="42"/>
      <c r="AK55" s="183"/>
      <c r="AL55" s="42"/>
    </row>
    <row r="56" spans="1:38" ht="15" customHeight="1" x14ac:dyDescent="0.2">
      <c r="A56" s="14"/>
      <c r="B56" s="1624"/>
      <c r="C56" s="1002"/>
      <c r="D56" s="1556" t="s">
        <v>796</v>
      </c>
      <c r="E56" s="1557" t="s">
        <v>802</v>
      </c>
      <c r="F56" s="42"/>
      <c r="G56" s="1556" t="s">
        <v>798</v>
      </c>
      <c r="H56" s="1557" t="s">
        <v>803</v>
      </c>
      <c r="I56" s="42"/>
      <c r="J56" s="1556" t="s">
        <v>796</v>
      </c>
      <c r="K56" s="1557" t="s">
        <v>802</v>
      </c>
      <c r="L56" s="42"/>
      <c r="M56" s="1556" t="s">
        <v>798</v>
      </c>
      <c r="N56" s="1557" t="s">
        <v>803</v>
      </c>
      <c r="O56" s="42"/>
      <c r="P56" s="1545" t="s">
        <v>898</v>
      </c>
      <c r="Q56" s="1583"/>
      <c r="R56" s="42"/>
      <c r="S56" s="42"/>
      <c r="T56" s="42"/>
      <c r="U56" s="1530"/>
      <c r="V56" s="42"/>
      <c r="W56" s="42"/>
      <c r="X56" s="42"/>
      <c r="Y56" s="42"/>
      <c r="Z56" s="42"/>
      <c r="AA56" s="42"/>
      <c r="AB56" s="42"/>
      <c r="AC56" s="42"/>
      <c r="AD56" s="42"/>
      <c r="AE56" s="42"/>
      <c r="AF56" s="42"/>
      <c r="AG56" s="42"/>
      <c r="AH56" s="42"/>
      <c r="AI56" s="42"/>
      <c r="AJ56" s="42"/>
      <c r="AK56" s="183"/>
      <c r="AL56" s="42"/>
    </row>
    <row r="57" spans="1:38" ht="15" customHeight="1" x14ac:dyDescent="0.2">
      <c r="A57" s="14"/>
      <c r="B57" s="1624"/>
      <c r="C57" s="1002"/>
      <c r="D57" s="1554">
        <f>E24</f>
        <v>131</v>
      </c>
      <c r="E57" s="1548">
        <f ca="1">E50+(D57-D50)*(E51-E50)/(D51-D50)</f>
        <v>12.606083719584714</v>
      </c>
      <c r="F57" s="42"/>
      <c r="G57" s="1554">
        <f>D57</f>
        <v>131</v>
      </c>
      <c r="H57" s="1548">
        <f ca="1">H50+(G57-G50)*(H51-H50)/(G51-G50)</f>
        <v>12.716538166564881</v>
      </c>
      <c r="I57" s="42"/>
      <c r="J57" s="1554">
        <f>Q24</f>
        <v>131</v>
      </c>
      <c r="K57" s="1548">
        <f ca="1">K50+(J57-J50)*(K51-K50)/(J51-J50)</f>
        <v>12.606083719584714</v>
      </c>
      <c r="L57" s="42"/>
      <c r="M57" s="1554">
        <f>J57</f>
        <v>131</v>
      </c>
      <c r="N57" s="1548">
        <f ca="1">N50+(M57-M50)*(N51-N50)/(M51-M50)</f>
        <v>12.716538166564881</v>
      </c>
      <c r="O57" s="42"/>
      <c r="P57" s="1546"/>
      <c r="Q57" s="1078" t="s">
        <v>795</v>
      </c>
      <c r="R57" s="1078" t="s">
        <v>1237</v>
      </c>
      <c r="S57" s="1078"/>
      <c r="T57" s="1079"/>
      <c r="U57" s="1530"/>
      <c r="V57" s="42"/>
      <c r="W57" s="42"/>
      <c r="X57" s="42"/>
      <c r="Y57" s="42"/>
      <c r="Z57" s="42"/>
      <c r="AA57" s="42"/>
      <c r="AB57" s="42"/>
      <c r="AC57" s="42"/>
      <c r="AD57" s="42"/>
      <c r="AE57" s="42"/>
      <c r="AF57" s="42"/>
      <c r="AG57" s="42"/>
      <c r="AH57" s="42"/>
      <c r="AI57" s="42"/>
      <c r="AJ57" s="42"/>
      <c r="AK57" s="183"/>
      <c r="AL57" s="42"/>
    </row>
    <row r="58" spans="1:38" ht="15" customHeight="1" x14ac:dyDescent="0.2">
      <c r="A58" s="14"/>
      <c r="B58" s="1624"/>
      <c r="C58" s="1002"/>
      <c r="D58" s="1554">
        <f>E25</f>
        <v>281</v>
      </c>
      <c r="E58" s="1548">
        <f ca="1">E52+(D58-D52)*(E53-E52)/(D53-D52)</f>
        <v>11.758102073248347</v>
      </c>
      <c r="F58" s="42"/>
      <c r="G58" s="1554">
        <f>D58</f>
        <v>281</v>
      </c>
      <c r="H58" s="1548">
        <f ca="1">H52+(G58-G52)*(H53-H52)/(G53-G52)</f>
        <v>11.867476086645258</v>
      </c>
      <c r="I58" s="42"/>
      <c r="J58" s="1554">
        <f>Q25</f>
        <v>281</v>
      </c>
      <c r="K58" s="1548">
        <f ca="1">K52+(J58-J52)*(K53-K52)/(J53-J52)</f>
        <v>11.758102073248347</v>
      </c>
      <c r="L58" s="42"/>
      <c r="M58" s="1554">
        <f>J58</f>
        <v>281</v>
      </c>
      <c r="N58" s="1548">
        <f ca="1">N52+(M58-M52)*(N53-N52)/(M53-M52)</f>
        <v>11.867476086645258</v>
      </c>
      <c r="O58" s="42"/>
      <c r="P58" s="1529"/>
      <c r="Q58" s="42" t="s">
        <v>796</v>
      </c>
      <c r="R58" s="42" t="s">
        <v>797</v>
      </c>
      <c r="S58" s="42" t="s">
        <v>798</v>
      </c>
      <c r="T58" s="1530" t="s">
        <v>799</v>
      </c>
      <c r="U58" s="1530"/>
      <c r="V58" s="42"/>
      <c r="W58" s="42"/>
      <c r="X58" s="42"/>
      <c r="Y58" s="42"/>
      <c r="Z58" s="42"/>
      <c r="AA58" s="42"/>
      <c r="AB58" s="42"/>
      <c r="AC58" s="42"/>
      <c r="AD58" s="42"/>
      <c r="AE58" s="42"/>
      <c r="AF58" s="42"/>
      <c r="AG58" s="42"/>
      <c r="AH58" s="42"/>
      <c r="AI58" s="42"/>
      <c r="AJ58" s="42"/>
      <c r="AK58" s="183"/>
      <c r="AL58" s="42"/>
    </row>
    <row r="59" spans="1:38" ht="15" customHeight="1" x14ac:dyDescent="0.2">
      <c r="A59" s="14"/>
      <c r="B59" s="1624"/>
      <c r="C59" s="1002"/>
      <c r="D59" s="1558">
        <f>E26</f>
        <v>460</v>
      </c>
      <c r="E59" s="1551">
        <f ca="1">E54+(D59-D54)*(E55-E54)/(D55-D54)</f>
        <v>11.667282912447885</v>
      </c>
      <c r="F59" s="42"/>
      <c r="G59" s="1558">
        <f>D59</f>
        <v>460</v>
      </c>
      <c r="H59" s="1551">
        <f ca="1">H54+(G59-G54)*(H55-H54)/(G55-G54)</f>
        <v>11.886200559857057</v>
      </c>
      <c r="I59" s="42"/>
      <c r="J59" s="1558">
        <f>Q26</f>
        <v>460</v>
      </c>
      <c r="K59" s="1551">
        <f ca="1">K54+(J59-J54)*(K55-K54)/(J55-J54)</f>
        <v>11.667282912447885</v>
      </c>
      <c r="L59" s="42"/>
      <c r="M59" s="1558">
        <f>J59</f>
        <v>460</v>
      </c>
      <c r="N59" s="1559">
        <f ca="1">N54+(M59-M54)*(N55-N54)/(M55-M54)</f>
        <v>11.886200559857057</v>
      </c>
      <c r="O59" s="42"/>
      <c r="P59" s="1529">
        <f>VLOOKUP(Q24,$Q$92:$U$99,1,TRUE)</f>
        <v>100</v>
      </c>
      <c r="Q59" s="1544">
        <f>VLOOKUP(Q24,$Q$92:$U$99,2,TRUE)</f>
        <v>9.9974399999999992</v>
      </c>
      <c r="R59" s="1544">
        <f>VLOOKUP(Q24,$Q$92:$U$99,3,TRUE)</f>
        <v>9.1428600000000007</v>
      </c>
      <c r="S59" s="1544">
        <f>VLOOKUP(Q24,$Q$92:$U$99,4,TRUE)</f>
        <v>12.491</v>
      </c>
      <c r="T59" s="1560">
        <f>VLOOKUP(Q24,$Q$92:$U$99,5,TRUE)</f>
        <v>15.6571</v>
      </c>
      <c r="U59" s="1530"/>
      <c r="V59" s="42"/>
      <c r="W59" s="42"/>
      <c r="X59" s="42"/>
      <c r="Y59" s="42"/>
      <c r="Z59" s="42"/>
      <c r="AA59" s="42"/>
      <c r="AB59" s="42"/>
      <c r="AC59" s="42"/>
      <c r="AD59" s="42"/>
      <c r="AE59" s="42"/>
      <c r="AF59" s="42"/>
      <c r="AG59" s="42"/>
      <c r="AH59" s="42"/>
      <c r="AI59" s="42"/>
      <c r="AJ59" s="42"/>
      <c r="AK59" s="183"/>
      <c r="AL59" s="42"/>
    </row>
    <row r="60" spans="1:38" ht="15" customHeight="1" x14ac:dyDescent="0.2">
      <c r="A60" s="14"/>
      <c r="B60" s="1624"/>
      <c r="C60" s="1002"/>
      <c r="D60" s="1528"/>
      <c r="E60" s="1528"/>
      <c r="F60" s="1528"/>
      <c r="G60" s="1528"/>
      <c r="H60" s="1528"/>
      <c r="I60" s="1528"/>
      <c r="J60" s="1528"/>
      <c r="K60" s="1528"/>
      <c r="L60" s="1528"/>
      <c r="M60" s="1528"/>
      <c r="N60" s="1528"/>
      <c r="O60" s="42"/>
      <c r="P60" s="1529">
        <f>VLOOKUP(Q25,$Q$92:$U$99,1,TRUE)</f>
        <v>100</v>
      </c>
      <c r="Q60" s="1544">
        <f>VLOOKUP(Q25,$Q$92:$U$99,2,TRUE)</f>
        <v>9.9974399999999992</v>
      </c>
      <c r="R60" s="1544">
        <f>VLOOKUP(Q25,$Q$92:$U$99,3,TRUE)</f>
        <v>9.1428600000000007</v>
      </c>
      <c r="S60" s="1544">
        <f>VLOOKUP(Q25,$Q$92:$U$99,4,TRUE)</f>
        <v>12.491</v>
      </c>
      <c r="T60" s="1560">
        <f>VLOOKUP(Q25,$Q$92:$U$99,5,TRUE)</f>
        <v>15.6571</v>
      </c>
      <c r="U60" s="1530"/>
      <c r="V60" s="42"/>
      <c r="W60" s="42"/>
      <c r="X60" s="42"/>
      <c r="Y60" s="42"/>
      <c r="Z60" s="42"/>
      <c r="AA60" s="42"/>
      <c r="AB60" s="42"/>
      <c r="AC60" s="42"/>
      <c r="AD60" s="42"/>
      <c r="AE60" s="42"/>
      <c r="AF60" s="42"/>
      <c r="AG60" s="42"/>
      <c r="AH60" s="42"/>
      <c r="AI60" s="42"/>
      <c r="AJ60" s="42"/>
      <c r="AK60" s="183"/>
      <c r="AL60" s="42"/>
    </row>
    <row r="61" spans="1:38" ht="15" customHeight="1" x14ac:dyDescent="0.2">
      <c r="A61" s="14"/>
      <c r="B61" s="1624"/>
      <c r="C61" s="1002"/>
      <c r="D61" s="1528"/>
      <c r="E61" s="1528"/>
      <c r="F61" s="1528"/>
      <c r="G61" s="1528"/>
      <c r="H61" s="1528"/>
      <c r="I61" s="1528"/>
      <c r="J61" s="1528"/>
      <c r="K61" s="1528"/>
      <c r="L61" s="1528"/>
      <c r="M61" s="1528"/>
      <c r="N61" s="1528"/>
      <c r="O61" s="42"/>
      <c r="P61" s="1552">
        <f>VLOOKUP(Q26,$Q$92:$U$99,1,TRUE)</f>
        <v>400</v>
      </c>
      <c r="Q61" s="1561">
        <f>VLOOKUP(Q26,$Q$92:$U$99,2,TRUE)</f>
        <v>9.9974399999999992</v>
      </c>
      <c r="R61" s="1561">
        <f>VLOOKUP(Q26,$Q$92:$U$99,3,TRUE)</f>
        <v>8.9523799999999998</v>
      </c>
      <c r="S61" s="1561">
        <f>VLOOKUP(Q26,$Q$92:$U$99,4,TRUE)</f>
        <v>12.491</v>
      </c>
      <c r="T61" s="1562">
        <f>VLOOKUP(Q26,$Q$92:$U$99,5,TRUE)</f>
        <v>15.428599999999999</v>
      </c>
      <c r="U61" s="1530"/>
      <c r="V61" s="42"/>
      <c r="W61" s="42"/>
      <c r="X61" s="42"/>
      <c r="Y61" s="42"/>
      <c r="Z61" s="42"/>
      <c r="AA61" s="42"/>
      <c r="AB61" s="42"/>
      <c r="AC61" s="42"/>
      <c r="AD61" s="42"/>
      <c r="AE61" s="42"/>
      <c r="AF61" s="42"/>
      <c r="AG61" s="42"/>
      <c r="AH61" s="42"/>
      <c r="AI61" s="42"/>
      <c r="AJ61" s="42"/>
      <c r="AK61" s="183"/>
      <c r="AL61" s="42"/>
    </row>
    <row r="62" spans="1:38" ht="15" customHeight="1" x14ac:dyDescent="0.2">
      <c r="A62" s="14"/>
      <c r="B62" s="1624"/>
      <c r="C62" s="1038"/>
      <c r="D62" s="1081"/>
      <c r="E62" s="1081"/>
      <c r="F62" s="1081"/>
      <c r="G62" s="1081"/>
      <c r="H62" s="1081"/>
      <c r="I62" s="1081"/>
      <c r="J62" s="1081"/>
      <c r="K62" s="1081"/>
      <c r="L62" s="1081"/>
      <c r="M62" s="1081"/>
      <c r="N62" s="1081"/>
      <c r="O62" s="1082"/>
      <c r="P62" s="1082"/>
      <c r="Q62" s="1082"/>
      <c r="R62" s="1082"/>
      <c r="S62" s="1082"/>
      <c r="T62" s="1082"/>
      <c r="U62" s="1083"/>
      <c r="V62" s="42"/>
      <c r="W62" s="42"/>
      <c r="X62" s="42"/>
      <c r="Y62" s="42"/>
      <c r="Z62" s="42"/>
      <c r="AA62" s="42"/>
      <c r="AB62" s="42"/>
      <c r="AC62" s="42"/>
      <c r="AD62" s="42"/>
      <c r="AE62" s="42"/>
      <c r="AF62" s="42"/>
      <c r="AG62" s="42"/>
      <c r="AH62" s="42"/>
      <c r="AI62" s="42"/>
      <c r="AJ62" s="42"/>
      <c r="AK62" s="183"/>
      <c r="AL62" s="42"/>
    </row>
    <row r="63" spans="1:38" ht="15" x14ac:dyDescent="0.25">
      <c r="A63" s="14"/>
      <c r="B63" s="1624"/>
      <c r="C63" s="1086"/>
      <c r="D63" s="1086"/>
      <c r="E63" s="1086"/>
      <c r="F63" s="1086"/>
      <c r="G63" s="1086"/>
      <c r="H63" s="8"/>
      <c r="I63" s="1086"/>
      <c r="J63" s="1086"/>
      <c r="K63" s="1086"/>
      <c r="L63" s="1086"/>
      <c r="M63" s="1086"/>
      <c r="N63" s="1086"/>
      <c r="O63" s="1086"/>
      <c r="P63" s="1086"/>
      <c r="Q63" s="1086"/>
      <c r="R63" s="1086"/>
      <c r="S63" s="1086"/>
      <c r="T63" s="1086"/>
      <c r="U63" s="1086"/>
      <c r="V63" s="1086"/>
      <c r="W63" s="1086"/>
      <c r="X63" s="1086"/>
      <c r="Y63" s="1086"/>
      <c r="Z63" s="1086"/>
      <c r="AA63" s="1086"/>
      <c r="AB63" s="1086"/>
      <c r="AC63" s="1086"/>
      <c r="AD63" s="1086"/>
      <c r="AE63" s="1086"/>
      <c r="AF63" s="1086"/>
      <c r="AG63" s="1086"/>
      <c r="AH63" s="1086"/>
      <c r="AI63" s="1086"/>
      <c r="AJ63" s="1086"/>
      <c r="AK63" s="1625"/>
      <c r="AL63" s="1086"/>
    </row>
    <row r="64" spans="1:38" ht="15" x14ac:dyDescent="0.25">
      <c r="A64" s="14"/>
      <c r="B64" s="1624"/>
      <c r="C64" s="843" t="s">
        <v>1673</v>
      </c>
      <c r="D64" s="843"/>
      <c r="E64" s="843"/>
      <c r="F64" s="843"/>
      <c r="G64" s="843"/>
      <c r="H64" s="8"/>
      <c r="I64" s="1086"/>
      <c r="J64" s="1086"/>
      <c r="K64" s="1086"/>
      <c r="L64" s="1086"/>
      <c r="M64" s="1086"/>
      <c r="N64" s="1086"/>
      <c r="O64" s="1086"/>
      <c r="P64" s="1086"/>
      <c r="Q64" s="1086"/>
      <c r="R64" s="1086"/>
      <c r="S64" s="1086"/>
      <c r="T64" s="1086"/>
      <c r="U64" s="1086"/>
      <c r="V64" s="1086"/>
      <c r="W64" s="1086"/>
      <c r="X64" s="1086"/>
      <c r="Y64" s="1086"/>
      <c r="Z64" s="1086"/>
      <c r="AA64" s="1086"/>
      <c r="AB64" s="1086"/>
      <c r="AC64" s="1086"/>
      <c r="AD64" s="1086"/>
      <c r="AE64" s="1086"/>
      <c r="AF64" s="1086"/>
      <c r="AG64" s="1086"/>
      <c r="AH64" s="1086"/>
      <c r="AI64" s="1086"/>
      <c r="AJ64" s="1086"/>
      <c r="AK64" s="1625"/>
      <c r="AL64" s="1086"/>
    </row>
    <row r="65" spans="1:38" ht="14.1" customHeight="1" x14ac:dyDescent="0.2">
      <c r="A65" s="14"/>
      <c r="B65" s="1624"/>
      <c r="C65" s="1084"/>
      <c r="D65" s="1039"/>
      <c r="E65" s="1039"/>
      <c r="F65" s="1039"/>
      <c r="G65" s="1039"/>
      <c r="H65" s="1039"/>
      <c r="I65" s="1039"/>
      <c r="J65" s="1039"/>
      <c r="K65" s="1040"/>
      <c r="L65" s="1040"/>
      <c r="M65" s="1040"/>
      <c r="N65" s="1040"/>
      <c r="O65" s="1040"/>
      <c r="P65" s="1037"/>
      <c r="Q65" s="1037"/>
      <c r="R65" s="1037"/>
      <c r="S65" s="1037"/>
      <c r="T65" s="1040"/>
      <c r="U65" s="1040"/>
      <c r="V65" s="1040"/>
      <c r="W65" s="1040"/>
      <c r="X65" s="1040"/>
      <c r="Y65" s="1040"/>
      <c r="Z65" s="1040"/>
      <c r="AA65" s="1604"/>
      <c r="AB65" s="1563"/>
      <c r="AC65" s="1086"/>
      <c r="AD65" s="1086"/>
      <c r="AE65" s="1086"/>
      <c r="AF65" s="1563"/>
      <c r="AG65" s="1563"/>
      <c r="AH65" s="1563"/>
      <c r="AI65" s="1563"/>
      <c r="AJ65" s="1563"/>
      <c r="AK65" s="1627"/>
      <c r="AL65" s="1563"/>
    </row>
    <row r="66" spans="1:38" x14ac:dyDescent="0.2">
      <c r="A66" s="14"/>
      <c r="B66" s="15"/>
      <c r="C66" s="1605"/>
      <c r="D66" s="1566" t="s">
        <v>1674</v>
      </c>
      <c r="E66" s="1567"/>
      <c r="F66" s="1567"/>
      <c r="G66" s="1567"/>
      <c r="H66" s="1567"/>
      <c r="I66" s="1567"/>
      <c r="J66" s="1567"/>
      <c r="K66" s="16"/>
      <c r="L66" s="16"/>
      <c r="M66" s="16"/>
      <c r="N66" s="16"/>
      <c r="O66" s="16"/>
      <c r="P66" s="16"/>
      <c r="Q66" s="16"/>
      <c r="R66" s="1567" t="s">
        <v>1748</v>
      </c>
      <c r="S66" s="1567"/>
      <c r="T66" s="1567"/>
      <c r="U66" s="1567"/>
      <c r="V66" s="1567"/>
      <c r="W66" s="1567"/>
      <c r="X66" s="1567"/>
      <c r="Y66" s="16"/>
      <c r="Z66" s="16"/>
      <c r="AA66" s="997"/>
      <c r="AB66" s="329"/>
      <c r="AC66" s="329"/>
      <c r="AD66" s="329"/>
      <c r="AE66" s="329"/>
      <c r="AF66" s="329"/>
      <c r="AG66" s="329"/>
      <c r="AH66" s="329"/>
      <c r="AI66" s="329"/>
      <c r="AJ66" s="329"/>
      <c r="AK66" s="1626"/>
      <c r="AL66" s="329"/>
    </row>
    <row r="67" spans="1:38" ht="18.75" x14ac:dyDescent="0.35">
      <c r="A67" s="14"/>
      <c r="B67" s="15"/>
      <c r="C67" s="1605"/>
      <c r="D67" s="1046" t="s">
        <v>804</v>
      </c>
      <c r="E67" s="1037" t="s">
        <v>567</v>
      </c>
      <c r="F67" s="164"/>
      <c r="G67" s="164"/>
      <c r="H67" s="164"/>
      <c r="I67" s="1568"/>
      <c r="J67" s="164"/>
      <c r="K67" s="164"/>
      <c r="L67" s="164"/>
      <c r="M67" s="164"/>
      <c r="N67" s="164"/>
      <c r="O67" s="164"/>
      <c r="P67" s="160"/>
      <c r="Q67" s="16"/>
      <c r="R67" s="165" t="s">
        <v>808</v>
      </c>
      <c r="S67" s="164" t="s">
        <v>1229</v>
      </c>
      <c r="T67" s="164"/>
      <c r="U67" s="164"/>
      <c r="V67" s="164"/>
      <c r="W67" s="164"/>
      <c r="X67" s="164"/>
      <c r="Y67" s="164"/>
      <c r="Z67" s="160"/>
      <c r="AA67" s="1582"/>
      <c r="AB67" s="329"/>
      <c r="AC67" s="329"/>
      <c r="AD67" s="329"/>
      <c r="AE67" s="329"/>
      <c r="AF67" s="329"/>
      <c r="AG67" s="329"/>
      <c r="AH67" s="329"/>
      <c r="AI67" s="329"/>
      <c r="AJ67" s="329"/>
      <c r="AK67" s="1626"/>
      <c r="AL67" s="329"/>
    </row>
    <row r="68" spans="1:38" ht="18.75" x14ac:dyDescent="0.35">
      <c r="A68" s="14"/>
      <c r="B68" s="15"/>
      <c r="C68" s="1605"/>
      <c r="D68" s="1041" t="s">
        <v>805</v>
      </c>
      <c r="E68" s="158" t="s">
        <v>1229</v>
      </c>
      <c r="F68" s="16"/>
      <c r="G68" s="16"/>
      <c r="H68" s="16"/>
      <c r="I68" s="1003"/>
      <c r="J68" s="16"/>
      <c r="K68" s="16"/>
      <c r="L68" s="16"/>
      <c r="M68" s="16"/>
      <c r="N68" s="16"/>
      <c r="O68" s="16"/>
      <c r="P68" s="997"/>
      <c r="Q68" s="16"/>
      <c r="R68" s="1002" t="s">
        <v>809</v>
      </c>
      <c r="S68" s="16" t="s">
        <v>1230</v>
      </c>
      <c r="T68" s="16"/>
      <c r="U68" s="16"/>
      <c r="V68" s="16"/>
      <c r="W68" s="16"/>
      <c r="X68" s="16"/>
      <c r="Y68" s="16"/>
      <c r="Z68" s="997"/>
      <c r="AA68" s="1582"/>
      <c r="AB68" s="329"/>
      <c r="AC68" s="329"/>
      <c r="AD68" s="329"/>
      <c r="AE68" s="329"/>
      <c r="AF68" s="329"/>
      <c r="AG68" s="329"/>
      <c r="AH68" s="329"/>
      <c r="AI68" s="329"/>
      <c r="AJ68" s="329"/>
      <c r="AK68" s="1626"/>
      <c r="AL68" s="329"/>
    </row>
    <row r="69" spans="1:38" ht="15" x14ac:dyDescent="0.25">
      <c r="A69" s="14"/>
      <c r="B69" s="15"/>
      <c r="C69" s="1605"/>
      <c r="D69" s="1041" t="s">
        <v>812</v>
      </c>
      <c r="E69" s="1007"/>
      <c r="F69" s="1008">
        <f>(G71-E71)*0.5+E71</f>
        <v>11.5</v>
      </c>
      <c r="G69" s="16"/>
      <c r="H69" s="16"/>
      <c r="I69" s="1003"/>
      <c r="J69" s="16"/>
      <c r="K69" s="16"/>
      <c r="L69" s="16"/>
      <c r="M69" s="16"/>
      <c r="N69" s="16"/>
      <c r="O69" s="16"/>
      <c r="P69" s="997"/>
      <c r="Q69" s="16"/>
      <c r="R69" s="1593"/>
      <c r="S69" s="1594">
        <f>(S70-U70)*0.5+U70</f>
        <v>11.925000000000001</v>
      </c>
      <c r="T69" s="1578"/>
      <c r="U69" s="1595">
        <f>S69</f>
        <v>11.925000000000001</v>
      </c>
      <c r="V69" s="1594">
        <f>(U70-W70)*0.5+W70</f>
        <v>11.525</v>
      </c>
      <c r="W69" s="1595">
        <f>V69</f>
        <v>11.525</v>
      </c>
      <c r="X69" s="1594">
        <f>(W70-Y70)*0.5+Y70</f>
        <v>11.100000000000001</v>
      </c>
      <c r="Y69" s="1596">
        <f>X69</f>
        <v>11.100000000000001</v>
      </c>
      <c r="Z69" s="1597"/>
      <c r="AA69" s="1582"/>
      <c r="AB69" s="329"/>
      <c r="AC69" s="329"/>
      <c r="AD69" s="329"/>
      <c r="AE69" s="329"/>
      <c r="AF69" s="329"/>
      <c r="AG69" s="329"/>
      <c r="AH69" s="329"/>
      <c r="AI69" s="329"/>
      <c r="AJ69" s="329"/>
      <c r="AK69" s="1626"/>
      <c r="AL69" s="329"/>
    </row>
    <row r="70" spans="1:38" ht="51" x14ac:dyDescent="0.2">
      <c r="A70" s="14"/>
      <c r="B70" s="15"/>
      <c r="C70" s="1605"/>
      <c r="D70" s="1577" t="s">
        <v>807</v>
      </c>
      <c r="E70" s="1578"/>
      <c r="F70" s="1578">
        <v>500</v>
      </c>
      <c r="G70" s="1578"/>
      <c r="H70" s="1578"/>
      <c r="I70" s="1579">
        <v>1500</v>
      </c>
      <c r="J70" s="1579"/>
      <c r="K70" s="1579"/>
      <c r="L70" s="1579"/>
      <c r="M70" s="1579">
        <v>2500</v>
      </c>
      <c r="N70" s="1579"/>
      <c r="O70" s="1579"/>
      <c r="P70" s="1580"/>
      <c r="Q70" s="16"/>
      <c r="R70" s="77"/>
      <c r="S70" s="1586">
        <v>12.1</v>
      </c>
      <c r="T70" s="16"/>
      <c r="U70" s="1586">
        <v>11.75</v>
      </c>
      <c r="V70" s="16"/>
      <c r="W70" s="1586">
        <v>11.3</v>
      </c>
      <c r="X70" s="16"/>
      <c r="Y70" s="1586">
        <v>10.9</v>
      </c>
      <c r="Z70" s="997"/>
      <c r="AA70" s="1582"/>
      <c r="AB70" s="329"/>
      <c r="AC70" s="329"/>
      <c r="AD70" s="329"/>
      <c r="AE70" s="329"/>
      <c r="AF70" s="329"/>
      <c r="AG70" s="329"/>
      <c r="AH70" s="329"/>
      <c r="AI70" s="329"/>
      <c r="AJ70" s="329"/>
      <c r="AK70" s="1626"/>
      <c r="AL70" s="329"/>
    </row>
    <row r="71" spans="1:38" ht="15" customHeight="1" x14ac:dyDescent="0.35">
      <c r="A71" s="14"/>
      <c r="B71" s="15"/>
      <c r="C71" s="1605"/>
      <c r="D71" s="1041" t="s">
        <v>806</v>
      </c>
      <c r="E71" s="16">
        <v>10.9</v>
      </c>
      <c r="F71" s="16"/>
      <c r="G71" s="1564">
        <v>12.1</v>
      </c>
      <c r="H71" s="16"/>
      <c r="I71" s="1564">
        <v>10.9</v>
      </c>
      <c r="J71" s="1564"/>
      <c r="K71" s="1564">
        <v>12.1</v>
      </c>
      <c r="L71" s="1564"/>
      <c r="M71" s="1564">
        <v>10.9</v>
      </c>
      <c r="N71" s="1564"/>
      <c r="O71" s="1564">
        <v>12.1</v>
      </c>
      <c r="P71" s="1569"/>
      <c r="Q71" s="16"/>
      <c r="R71" s="1002"/>
      <c r="S71" s="1086" t="s">
        <v>808</v>
      </c>
      <c r="T71" s="1086" t="s">
        <v>809</v>
      </c>
      <c r="U71" s="1086" t="s">
        <v>808</v>
      </c>
      <c r="V71" s="1086" t="s">
        <v>809</v>
      </c>
      <c r="W71" s="1086" t="s">
        <v>808</v>
      </c>
      <c r="X71" s="1086" t="s">
        <v>809</v>
      </c>
      <c r="Y71" s="1086" t="s">
        <v>808</v>
      </c>
      <c r="Z71" s="1009" t="s">
        <v>809</v>
      </c>
      <c r="AA71" s="1582"/>
      <c r="AB71" s="329"/>
      <c r="AC71" s="329"/>
      <c r="AD71" s="329"/>
      <c r="AE71" s="329"/>
      <c r="AF71" s="329"/>
      <c r="AG71" s="329"/>
      <c r="AH71" s="329"/>
      <c r="AI71" s="329"/>
      <c r="AJ71" s="329"/>
      <c r="AK71" s="1626"/>
      <c r="AL71" s="329"/>
    </row>
    <row r="72" spans="1:38" ht="15" customHeight="1" x14ac:dyDescent="0.35">
      <c r="A72" s="14"/>
      <c r="B72" s="15"/>
      <c r="C72" s="1605"/>
      <c r="D72" s="77"/>
      <c r="E72" s="1086" t="s">
        <v>804</v>
      </c>
      <c r="F72" s="1086" t="s">
        <v>805</v>
      </c>
      <c r="G72" s="1086" t="s">
        <v>804</v>
      </c>
      <c r="H72" s="1086" t="s">
        <v>805</v>
      </c>
      <c r="I72" s="76" t="s">
        <v>813</v>
      </c>
      <c r="J72" s="76" t="s">
        <v>814</v>
      </c>
      <c r="K72" s="76" t="s">
        <v>813</v>
      </c>
      <c r="L72" s="76" t="s">
        <v>814</v>
      </c>
      <c r="M72" s="76" t="s">
        <v>804</v>
      </c>
      <c r="N72" s="76" t="s">
        <v>805</v>
      </c>
      <c r="O72" s="76" t="s">
        <v>804</v>
      </c>
      <c r="P72" s="1570" t="s">
        <v>805</v>
      </c>
      <c r="Q72" s="1086"/>
      <c r="R72" s="1588"/>
      <c r="S72" s="43">
        <v>0</v>
      </c>
      <c r="T72" s="43">
        <v>0</v>
      </c>
      <c r="U72" s="43">
        <v>0</v>
      </c>
      <c r="V72" s="43">
        <v>0</v>
      </c>
      <c r="W72" s="43">
        <v>0</v>
      </c>
      <c r="X72" s="43">
        <v>0</v>
      </c>
      <c r="Y72" s="43">
        <v>0</v>
      </c>
      <c r="Z72" s="1011">
        <v>0</v>
      </c>
      <c r="AA72" s="1582"/>
      <c r="AB72" s="329"/>
      <c r="AC72" s="329"/>
      <c r="AD72" s="329"/>
      <c r="AE72" s="329"/>
      <c r="AF72" s="329"/>
      <c r="AG72" s="329"/>
      <c r="AH72" s="329"/>
      <c r="AI72" s="329"/>
      <c r="AJ72" s="329"/>
      <c r="AK72" s="1626"/>
      <c r="AL72" s="329"/>
    </row>
    <row r="73" spans="1:38" ht="15" customHeight="1" x14ac:dyDescent="0.25">
      <c r="A73" s="14"/>
      <c r="B73" s="1628"/>
      <c r="C73" s="1605"/>
      <c r="D73" s="1010"/>
      <c r="E73" s="43">
        <v>7.5</v>
      </c>
      <c r="F73" s="43">
        <v>1.24</v>
      </c>
      <c r="G73" s="43">
        <v>7.5631300000000001</v>
      </c>
      <c r="H73" s="43">
        <v>1.3696299999999999</v>
      </c>
      <c r="I73" s="1565">
        <v>7.5631300000000001</v>
      </c>
      <c r="J73" s="1565">
        <v>3.0434199999999998</v>
      </c>
      <c r="K73" s="1565">
        <v>7.5631300000000001</v>
      </c>
      <c r="L73" s="1565">
        <v>3.4072100000000001</v>
      </c>
      <c r="M73" s="1565">
        <v>7.5631300000000001</v>
      </c>
      <c r="N73" s="1565">
        <v>8.4761000000000006</v>
      </c>
      <c r="O73" s="1565">
        <v>7.5631300000000001</v>
      </c>
      <c r="P73" s="1571">
        <v>9.3374400000000009</v>
      </c>
      <c r="Q73" s="43"/>
      <c r="R73" s="1588"/>
      <c r="S73" s="1587">
        <v>29.9557</v>
      </c>
      <c r="T73" s="1587">
        <v>72.9983</v>
      </c>
      <c r="U73" s="1587">
        <v>27.472300000000001</v>
      </c>
      <c r="V73" s="1587">
        <v>72.842299999999994</v>
      </c>
      <c r="W73" s="1587">
        <v>25.299299999999999</v>
      </c>
      <c r="X73" s="1587">
        <v>75.805899999999994</v>
      </c>
      <c r="Y73" s="1587">
        <v>23.9024</v>
      </c>
      <c r="Z73" s="1589">
        <v>79.237399999999994</v>
      </c>
      <c r="AA73" s="1582"/>
      <c r="AB73" s="329"/>
      <c r="AC73" s="329"/>
      <c r="AD73" s="329"/>
      <c r="AE73" s="329"/>
      <c r="AF73" s="329"/>
      <c r="AG73" s="329"/>
      <c r="AH73" s="329"/>
      <c r="AI73" s="329"/>
      <c r="AJ73" s="329"/>
      <c r="AK73" s="1626"/>
      <c r="AL73" s="329"/>
    </row>
    <row r="74" spans="1:38" ht="15" customHeight="1" x14ac:dyDescent="0.25">
      <c r="A74" s="14"/>
      <c r="B74" s="1628"/>
      <c r="C74" s="1605"/>
      <c r="D74" s="1010"/>
      <c r="E74" s="43">
        <v>10.0379</v>
      </c>
      <c r="F74" s="43">
        <v>1.3696299999999999</v>
      </c>
      <c r="G74" s="43">
        <v>10.0379</v>
      </c>
      <c r="H74" s="43">
        <v>1.50881</v>
      </c>
      <c r="I74" s="1565">
        <v>10.0379</v>
      </c>
      <c r="J74" s="1565">
        <v>3.5761400000000001</v>
      </c>
      <c r="K74" s="1565">
        <v>10.0379</v>
      </c>
      <c r="L74" s="1565">
        <v>4.0036100000000001</v>
      </c>
      <c r="M74" s="1565">
        <v>10.0379</v>
      </c>
      <c r="N74" s="1565">
        <v>10.121700000000001</v>
      </c>
      <c r="O74" s="1565">
        <v>10.126300000000001</v>
      </c>
      <c r="P74" s="1571">
        <v>10.9719</v>
      </c>
      <c r="Q74" s="43"/>
      <c r="R74" s="1588"/>
      <c r="S74" s="1587">
        <v>31.352499999999999</v>
      </c>
      <c r="T74" s="1587">
        <v>73.778199999999998</v>
      </c>
      <c r="U74" s="1587">
        <v>29.9557</v>
      </c>
      <c r="V74" s="1587">
        <v>75.493899999999996</v>
      </c>
      <c r="W74" s="1587">
        <v>28.403500000000001</v>
      </c>
      <c r="X74" s="1587">
        <v>78.301599999999993</v>
      </c>
      <c r="Y74" s="1587">
        <v>26.075399999999998</v>
      </c>
      <c r="Z74" s="1589">
        <v>80.953199999999995</v>
      </c>
      <c r="AA74" s="1582"/>
      <c r="AB74" s="329"/>
      <c r="AC74" s="329"/>
      <c r="AD74" s="329"/>
      <c r="AE74" s="329"/>
      <c r="AF74" s="329"/>
      <c r="AG74" s="329"/>
      <c r="AH74" s="329"/>
      <c r="AI74" s="329"/>
      <c r="AJ74" s="329"/>
      <c r="AK74" s="1626"/>
      <c r="AL74" s="329"/>
    </row>
    <row r="75" spans="1:38" ht="15" customHeight="1" x14ac:dyDescent="0.25">
      <c r="A75" s="14"/>
      <c r="B75" s="1628"/>
      <c r="C75" s="1605"/>
      <c r="D75" s="1010"/>
      <c r="E75" s="43">
        <v>12.512600000000001</v>
      </c>
      <c r="F75" s="43">
        <v>1.54576</v>
      </c>
      <c r="G75" s="43">
        <v>12.512600000000001</v>
      </c>
      <c r="H75" s="43">
        <v>1.7166300000000001</v>
      </c>
      <c r="I75" s="1565">
        <v>12.512600000000001</v>
      </c>
      <c r="J75" s="1565">
        <v>4.33988</v>
      </c>
      <c r="K75" s="1565">
        <v>12.512600000000001</v>
      </c>
      <c r="L75" s="1565">
        <v>4.8586400000000003</v>
      </c>
      <c r="M75" s="1565">
        <v>12.601000000000001</v>
      </c>
      <c r="N75" s="1565">
        <v>12.184699999999999</v>
      </c>
      <c r="O75" s="1565">
        <v>12.601000000000001</v>
      </c>
      <c r="P75" s="1571">
        <v>13.2081</v>
      </c>
      <c r="Q75" s="43"/>
      <c r="R75" s="1588"/>
      <c r="S75" s="1587">
        <v>32.904699999999998</v>
      </c>
      <c r="T75" s="1587">
        <v>72.9983</v>
      </c>
      <c r="U75" s="1587">
        <v>33.059899999999999</v>
      </c>
      <c r="V75" s="1587">
        <v>73.622200000000007</v>
      </c>
      <c r="W75" s="1587">
        <v>32.128599999999999</v>
      </c>
      <c r="X75" s="1587">
        <v>75.805899999999994</v>
      </c>
      <c r="Y75" s="1587">
        <v>32.283799999999999</v>
      </c>
      <c r="Z75" s="1589">
        <v>76.4298</v>
      </c>
      <c r="AA75" s="1582"/>
      <c r="AB75" s="329"/>
      <c r="AC75" s="329"/>
      <c r="AD75" s="329"/>
      <c r="AE75" s="329"/>
      <c r="AF75" s="329"/>
      <c r="AG75" s="329"/>
      <c r="AH75" s="329"/>
      <c r="AI75" s="329"/>
      <c r="AJ75" s="329"/>
      <c r="AK75" s="1626"/>
      <c r="AL75" s="329"/>
    </row>
    <row r="76" spans="1:38" ht="15" customHeight="1" x14ac:dyDescent="0.25">
      <c r="A76" s="14"/>
      <c r="B76" s="1628"/>
      <c r="C76" s="1605"/>
      <c r="D76" s="1010"/>
      <c r="E76" s="43">
        <v>15.075799999999999</v>
      </c>
      <c r="F76" s="43">
        <v>1.7872699999999999</v>
      </c>
      <c r="G76" s="43">
        <v>15.075799999999999</v>
      </c>
      <c r="H76" s="43">
        <v>2.0009000000000001</v>
      </c>
      <c r="I76" s="1565">
        <v>15.075799999999999</v>
      </c>
      <c r="J76" s="1565">
        <v>5.2667299999999999</v>
      </c>
      <c r="K76" s="1565">
        <v>15.075799999999999</v>
      </c>
      <c r="L76" s="1565">
        <v>5.9921600000000002</v>
      </c>
      <c r="M76" s="1565">
        <v>15.075799999999999</v>
      </c>
      <c r="N76" s="1565">
        <v>14.906599999999999</v>
      </c>
      <c r="O76" s="1565">
        <v>15.075799999999999</v>
      </c>
      <c r="P76" s="1571">
        <v>16.2895</v>
      </c>
      <c r="Q76" s="43"/>
      <c r="R76" s="1590"/>
      <c r="S76" s="1591">
        <v>60.997799999999998</v>
      </c>
      <c r="T76" s="1591">
        <v>35.719200000000001</v>
      </c>
      <c r="U76" s="1591">
        <v>60.997799999999998</v>
      </c>
      <c r="V76" s="1591">
        <v>35.719200000000001</v>
      </c>
      <c r="W76" s="1591">
        <v>60.997799999999998</v>
      </c>
      <c r="X76" s="1591">
        <v>39.774700000000003</v>
      </c>
      <c r="Y76" s="1591">
        <v>60.842599999999997</v>
      </c>
      <c r="Z76" s="1592">
        <v>41.6464</v>
      </c>
      <c r="AA76" s="1582"/>
      <c r="AB76" s="329"/>
      <c r="AC76" s="329"/>
      <c r="AD76" s="329"/>
      <c r="AE76" s="329"/>
      <c r="AF76" s="329"/>
      <c r="AG76" s="329"/>
      <c r="AH76" s="329"/>
      <c r="AI76" s="329"/>
      <c r="AJ76" s="329"/>
      <c r="AK76" s="1626"/>
      <c r="AL76" s="329"/>
    </row>
    <row r="77" spans="1:38" ht="15" customHeight="1" x14ac:dyDescent="0.25">
      <c r="A77" s="14"/>
      <c r="B77" s="1628"/>
      <c r="C77" s="1605"/>
      <c r="D77" s="1010"/>
      <c r="E77" s="43">
        <v>17.5505</v>
      </c>
      <c r="F77" s="43">
        <v>2.1171099999999998</v>
      </c>
      <c r="G77" s="43">
        <v>17.6389</v>
      </c>
      <c r="H77" s="43">
        <v>2.35114</v>
      </c>
      <c r="I77" s="1565">
        <v>17.5505</v>
      </c>
      <c r="J77" s="1565">
        <v>6.4954499999999999</v>
      </c>
      <c r="K77" s="1565">
        <v>17.5505</v>
      </c>
      <c r="L77" s="1565">
        <v>7.3901199999999996</v>
      </c>
      <c r="M77" s="1565">
        <v>17.904</v>
      </c>
      <c r="N77" s="1565">
        <v>19.9285</v>
      </c>
      <c r="O77" s="1565">
        <v>17.6389</v>
      </c>
      <c r="P77" s="1571">
        <v>21.256699999999999</v>
      </c>
      <c r="Q77" s="43"/>
      <c r="R77" s="1598" t="s">
        <v>830</v>
      </c>
      <c r="S77" s="158"/>
      <c r="T77" s="43"/>
      <c r="U77" s="43"/>
      <c r="V77" s="43"/>
      <c r="W77" s="43"/>
      <c r="X77" s="43"/>
      <c r="Y77" s="43"/>
      <c r="Z77" s="43"/>
      <c r="AA77" s="1582"/>
      <c r="AB77" s="329"/>
      <c r="AC77" s="329"/>
      <c r="AD77" s="329"/>
      <c r="AE77" s="329"/>
      <c r="AF77" s="329"/>
      <c r="AG77" s="329"/>
      <c r="AH77" s="329"/>
      <c r="AI77" s="329"/>
      <c r="AJ77" s="329"/>
      <c r="AK77" s="1626"/>
      <c r="AL77" s="329"/>
    </row>
    <row r="78" spans="1:38" ht="15" customHeight="1" x14ac:dyDescent="0.25">
      <c r="A78" s="14"/>
      <c r="B78" s="1628"/>
      <c r="C78" s="1605"/>
      <c r="D78" s="1010"/>
      <c r="E78" s="43">
        <v>20.113600000000002</v>
      </c>
      <c r="F78" s="43">
        <v>2.5281500000000001</v>
      </c>
      <c r="G78" s="43">
        <v>20.113600000000002</v>
      </c>
      <c r="H78" s="43">
        <v>2.8076099999999999</v>
      </c>
      <c r="I78" s="1565">
        <v>20.113600000000002</v>
      </c>
      <c r="J78" s="1565">
        <v>8.0756999999999994</v>
      </c>
      <c r="K78" s="1565">
        <v>20.025300000000001</v>
      </c>
      <c r="L78" s="1565">
        <v>8.9683899999999994</v>
      </c>
      <c r="M78" s="1565">
        <v>20.113600000000002</v>
      </c>
      <c r="N78" s="1565">
        <v>26.857900000000001</v>
      </c>
      <c r="O78" s="1565">
        <v>20.113600000000002</v>
      </c>
      <c r="P78" s="1571">
        <v>29.587199999999999</v>
      </c>
      <c r="Q78" s="43"/>
      <c r="R78" s="43"/>
      <c r="S78" s="43"/>
      <c r="T78" s="329"/>
      <c r="U78" s="329"/>
      <c r="V78" s="329"/>
      <c r="W78" s="329"/>
      <c r="X78" s="329"/>
      <c r="Y78" s="329"/>
      <c r="Z78" s="329"/>
      <c r="AA78" s="1582"/>
      <c r="AB78" s="329"/>
      <c r="AC78" s="329"/>
      <c r="AD78" s="329"/>
      <c r="AE78" s="329"/>
      <c r="AF78" s="329"/>
      <c r="AG78" s="329"/>
      <c r="AH78" s="329"/>
      <c r="AI78" s="329"/>
      <c r="AJ78" s="329"/>
      <c r="AK78" s="1626"/>
      <c r="AL78" s="329"/>
    </row>
    <row r="79" spans="1:38" ht="15" customHeight="1" x14ac:dyDescent="0.25">
      <c r="A79" s="14"/>
      <c r="B79" s="1628"/>
      <c r="C79" s="1605"/>
      <c r="D79" s="1010"/>
      <c r="E79" s="43">
        <v>22.5884</v>
      </c>
      <c r="F79" s="43">
        <v>3.0680700000000001</v>
      </c>
      <c r="G79" s="43">
        <v>22.5884</v>
      </c>
      <c r="H79" s="43">
        <v>3.4072100000000001</v>
      </c>
      <c r="I79" s="1565">
        <v>22.5</v>
      </c>
      <c r="J79" s="1565">
        <v>9.9597599999999993</v>
      </c>
      <c r="K79" s="1565">
        <v>22.5</v>
      </c>
      <c r="L79" s="1565">
        <v>11.423299999999999</v>
      </c>
      <c r="M79" s="1565">
        <v>22.5884</v>
      </c>
      <c r="N79" s="1565">
        <v>39.554699999999997</v>
      </c>
      <c r="O79" s="1565">
        <v>22.5884</v>
      </c>
      <c r="P79" s="1571">
        <v>44.282800000000002</v>
      </c>
      <c r="Q79" s="43"/>
      <c r="R79" s="43"/>
      <c r="S79" s="43"/>
      <c r="T79" s="43"/>
      <c r="U79" s="43"/>
      <c r="V79" s="43"/>
      <c r="W79" s="43"/>
      <c r="X79" s="43"/>
      <c r="Y79" s="43"/>
      <c r="Z79" s="43"/>
      <c r="AA79" s="1011"/>
      <c r="AB79" s="329"/>
      <c r="AC79" s="329"/>
      <c r="AD79" s="329"/>
      <c r="AE79" s="329"/>
      <c r="AF79" s="329"/>
      <c r="AG79" s="329"/>
      <c r="AH79" s="329"/>
      <c r="AI79" s="329"/>
      <c r="AJ79" s="329"/>
      <c r="AK79" s="1626"/>
      <c r="AL79" s="329"/>
    </row>
    <row r="80" spans="1:38" ht="15" customHeight="1" x14ac:dyDescent="0.25">
      <c r="A80" s="14"/>
      <c r="B80" s="1628"/>
      <c r="C80" s="1605"/>
      <c r="D80" s="1010"/>
      <c r="E80" s="43">
        <v>25.063099999999999</v>
      </c>
      <c r="F80" s="43">
        <v>3.8144900000000002</v>
      </c>
      <c r="G80" s="43">
        <v>25.063099999999999</v>
      </c>
      <c r="H80" s="43">
        <v>4.2361399999999998</v>
      </c>
      <c r="I80" s="1565">
        <v>24.974699999999999</v>
      </c>
      <c r="J80" s="1565">
        <v>12.7888</v>
      </c>
      <c r="K80" s="1565">
        <v>24.974699999999999</v>
      </c>
      <c r="L80" s="1565">
        <v>14.317500000000001</v>
      </c>
      <c r="M80" s="1565">
        <v>25.151499999999999</v>
      </c>
      <c r="N80" s="1565">
        <v>70.126900000000006</v>
      </c>
      <c r="O80" s="1565">
        <v>25.063099999999999</v>
      </c>
      <c r="P80" s="1571">
        <v>79.786000000000001</v>
      </c>
      <c r="Q80" s="43"/>
      <c r="R80" s="43"/>
      <c r="S80" s="43"/>
      <c r="T80" s="43"/>
      <c r="U80" s="43"/>
      <c r="V80" s="43"/>
      <c r="W80" s="43"/>
      <c r="X80" s="43"/>
      <c r="Y80" s="43"/>
      <c r="Z80" s="43"/>
      <c r="AA80" s="1011"/>
      <c r="AB80" s="329"/>
      <c r="AC80" s="329"/>
      <c r="AD80" s="329"/>
      <c r="AE80" s="329"/>
      <c r="AF80" s="329"/>
      <c r="AG80" s="329"/>
      <c r="AH80" s="329"/>
      <c r="AI80" s="329"/>
      <c r="AJ80" s="329"/>
      <c r="AK80" s="1626"/>
      <c r="AL80" s="329"/>
    </row>
    <row r="81" spans="1:38" ht="15" customHeight="1" x14ac:dyDescent="0.25">
      <c r="A81" s="14"/>
      <c r="B81" s="1628"/>
      <c r="C81" s="1605"/>
      <c r="D81" s="1010"/>
      <c r="E81" s="43">
        <v>27.5379</v>
      </c>
      <c r="F81" s="43">
        <v>4.7808999999999999</v>
      </c>
      <c r="G81" s="43">
        <v>27.5379</v>
      </c>
      <c r="H81" s="43">
        <v>5.1824599999999998</v>
      </c>
      <c r="I81" s="1565">
        <v>27.5379</v>
      </c>
      <c r="J81" s="1565">
        <v>16.688500000000001</v>
      </c>
      <c r="K81" s="1565">
        <v>27.5379</v>
      </c>
      <c r="L81" s="1565">
        <v>18.236699999999999</v>
      </c>
      <c r="M81" s="1565">
        <v>25.946999999999999</v>
      </c>
      <c r="N81" s="1565">
        <v>84.419899999999998</v>
      </c>
      <c r="O81" s="1565">
        <v>25.946999999999999</v>
      </c>
      <c r="P81" s="1571">
        <v>99.196700000000007</v>
      </c>
      <c r="Q81" s="43"/>
      <c r="R81" s="43"/>
      <c r="S81" s="43"/>
      <c r="T81" s="43"/>
      <c r="U81" s="43"/>
      <c r="V81" s="43"/>
      <c r="W81" s="43"/>
      <c r="X81" s="43"/>
      <c r="Y81" s="43"/>
      <c r="Z81" s="43"/>
      <c r="AA81" s="1011"/>
      <c r="AB81" s="329"/>
      <c r="AC81" s="329"/>
      <c r="AD81" s="329"/>
      <c r="AE81" s="329"/>
      <c r="AF81" s="329"/>
      <c r="AG81" s="329"/>
      <c r="AH81" s="329"/>
      <c r="AI81" s="329"/>
      <c r="AJ81" s="329"/>
      <c r="AK81" s="1626"/>
      <c r="AL81" s="329"/>
    </row>
    <row r="82" spans="1:38" ht="15" customHeight="1" x14ac:dyDescent="0.25">
      <c r="A82" s="14"/>
      <c r="B82" s="1628"/>
      <c r="C82" s="1605"/>
      <c r="D82" s="1010"/>
      <c r="E82" s="43">
        <v>30.100999999999999</v>
      </c>
      <c r="F82" s="43">
        <v>5.9440200000000001</v>
      </c>
      <c r="G82" s="43">
        <v>30.012599999999999</v>
      </c>
      <c r="H82" s="43">
        <v>6.4954499999999999</v>
      </c>
      <c r="I82" s="1565">
        <v>30.012599999999999</v>
      </c>
      <c r="J82" s="1565">
        <v>22.673400000000001</v>
      </c>
      <c r="K82" s="1565">
        <v>30.012599999999999</v>
      </c>
      <c r="L82" s="1565">
        <v>24.5778</v>
      </c>
      <c r="M82" s="43"/>
      <c r="N82" s="43"/>
      <c r="O82" s="43"/>
      <c r="P82" s="1011"/>
      <c r="Q82" s="43"/>
      <c r="R82" s="43"/>
      <c r="S82" s="43"/>
      <c r="T82" s="43"/>
      <c r="U82" s="43"/>
      <c r="V82" s="43"/>
      <c r="W82" s="43"/>
      <c r="X82" s="43"/>
      <c r="Y82" s="43"/>
      <c r="Z82" s="43"/>
      <c r="AA82" s="1011"/>
      <c r="AB82" s="329"/>
      <c r="AC82" s="329"/>
      <c r="AD82" s="329"/>
      <c r="AE82" s="329"/>
      <c r="AF82" s="329"/>
      <c r="AG82" s="329"/>
      <c r="AH82" s="329"/>
      <c r="AI82" s="329"/>
      <c r="AJ82" s="329"/>
      <c r="AK82" s="1626"/>
      <c r="AL82" s="329"/>
    </row>
    <row r="83" spans="1:38" ht="15" customHeight="1" x14ac:dyDescent="0.25">
      <c r="A83" s="14"/>
      <c r="B83" s="1628"/>
      <c r="C83" s="1605"/>
      <c r="D83" s="1010"/>
      <c r="E83" s="43">
        <v>32.487400000000001</v>
      </c>
      <c r="F83" s="43">
        <v>7.6942199999999996</v>
      </c>
      <c r="G83" s="43">
        <v>32.487400000000001</v>
      </c>
      <c r="H83" s="43">
        <v>8.2734799999999993</v>
      </c>
      <c r="I83" s="1565">
        <v>32.487400000000001</v>
      </c>
      <c r="J83" s="1565">
        <v>32.072299999999998</v>
      </c>
      <c r="K83" s="1565">
        <v>32.575800000000001</v>
      </c>
      <c r="L83" s="1565">
        <v>34.486800000000002</v>
      </c>
      <c r="M83" s="43"/>
      <c r="N83" s="43"/>
      <c r="O83" s="43"/>
      <c r="P83" s="1011"/>
      <c r="Q83" s="43"/>
      <c r="R83" s="43"/>
      <c r="S83" s="43"/>
      <c r="T83" s="43"/>
      <c r="U83" s="43"/>
      <c r="V83" s="43"/>
      <c r="W83" s="43"/>
      <c r="X83" s="43"/>
      <c r="Y83" s="43"/>
      <c r="Z83" s="43"/>
      <c r="AA83" s="1011"/>
      <c r="AB83" s="329"/>
      <c r="AC83" s="329"/>
      <c r="AD83" s="329"/>
      <c r="AE83" s="329"/>
      <c r="AF83" s="329"/>
      <c r="AG83" s="329"/>
      <c r="AH83" s="329"/>
      <c r="AI83" s="329"/>
      <c r="AJ83" s="329"/>
      <c r="AK83" s="1626"/>
      <c r="AL83" s="329"/>
    </row>
    <row r="84" spans="1:38" ht="15" customHeight="1" x14ac:dyDescent="0.25">
      <c r="A84" s="14"/>
      <c r="B84" s="1628"/>
      <c r="C84" s="1605"/>
      <c r="D84" s="1010"/>
      <c r="E84" s="43">
        <v>35.0505</v>
      </c>
      <c r="F84" s="43">
        <v>9.8797499999999996</v>
      </c>
      <c r="G84" s="43">
        <v>34.9621</v>
      </c>
      <c r="H84" s="43">
        <v>10.6236</v>
      </c>
      <c r="I84" s="1565">
        <v>35.0505</v>
      </c>
      <c r="J84" s="1565">
        <v>49.576000000000001</v>
      </c>
      <c r="K84" s="1565">
        <v>34.9621</v>
      </c>
      <c r="L84" s="1565">
        <v>52.033999999999999</v>
      </c>
      <c r="M84" s="43"/>
      <c r="N84" s="43"/>
      <c r="O84" s="43"/>
      <c r="P84" s="1011"/>
      <c r="Q84" s="43"/>
      <c r="R84" s="43"/>
      <c r="S84" s="43"/>
      <c r="T84" s="43"/>
      <c r="U84" s="43"/>
      <c r="V84" s="43"/>
      <c r="W84" s="43"/>
      <c r="X84" s="43"/>
      <c r="Y84" s="43"/>
      <c r="Z84" s="43"/>
      <c r="AA84" s="1011"/>
      <c r="AB84" s="329"/>
      <c r="AC84" s="329"/>
      <c r="AD84" s="329"/>
      <c r="AE84" s="329"/>
      <c r="AF84" s="329"/>
      <c r="AG84" s="329"/>
      <c r="AH84" s="329"/>
      <c r="AI84" s="329"/>
      <c r="AJ84" s="329"/>
      <c r="AK84" s="1626"/>
      <c r="AL84" s="329"/>
    </row>
    <row r="85" spans="1:38" ht="15" customHeight="1" x14ac:dyDescent="0.25">
      <c r="A85" s="14"/>
      <c r="B85" s="1628"/>
      <c r="C85" s="1605"/>
      <c r="D85" s="1572"/>
      <c r="E85" s="1573">
        <v>37.525300000000001</v>
      </c>
      <c r="F85" s="1573">
        <v>12.584199999999999</v>
      </c>
      <c r="G85" s="1573">
        <v>37.171700000000001</v>
      </c>
      <c r="H85" s="1573">
        <v>13.2081</v>
      </c>
      <c r="I85" s="1574">
        <v>35.845999999999997</v>
      </c>
      <c r="J85" s="1574">
        <v>59.201000000000001</v>
      </c>
      <c r="K85" s="1574">
        <v>36.1995</v>
      </c>
      <c r="L85" s="1574">
        <v>76.016999999999996</v>
      </c>
      <c r="M85" s="1573"/>
      <c r="N85" s="1573"/>
      <c r="O85" s="1573"/>
      <c r="P85" s="1575"/>
      <c r="Q85" s="43"/>
      <c r="R85" s="43"/>
      <c r="S85" s="43"/>
      <c r="T85" s="43"/>
      <c r="U85" s="43"/>
      <c r="V85" s="43"/>
      <c r="W85" s="43"/>
      <c r="X85" s="43"/>
      <c r="Y85" s="43"/>
      <c r="Z85" s="43"/>
      <c r="AA85" s="1011"/>
      <c r="AB85" s="329"/>
      <c r="AC85" s="329"/>
      <c r="AD85" s="329"/>
      <c r="AE85" s="329"/>
      <c r="AF85" s="329"/>
      <c r="AG85" s="329"/>
      <c r="AH85" s="329"/>
      <c r="AI85" s="329"/>
      <c r="AJ85" s="329"/>
      <c r="AK85" s="1626"/>
      <c r="AL85" s="329"/>
    </row>
    <row r="86" spans="1:38" ht="15" customHeight="1" x14ac:dyDescent="0.2">
      <c r="A86" s="14"/>
      <c r="B86" s="15"/>
      <c r="C86" s="1605"/>
      <c r="D86" s="16" t="s">
        <v>1747</v>
      </c>
      <c r="E86" s="16"/>
      <c r="F86" s="16"/>
      <c r="G86" s="16"/>
      <c r="H86" s="16"/>
      <c r="I86" s="16"/>
      <c r="J86" s="16"/>
      <c r="K86" s="16"/>
      <c r="L86" s="16"/>
      <c r="M86" s="16"/>
      <c r="N86" s="16"/>
      <c r="O86" s="16"/>
      <c r="P86" s="16"/>
      <c r="Q86" s="16"/>
      <c r="R86" s="16"/>
      <c r="S86" s="16"/>
      <c r="T86" s="16"/>
      <c r="U86" s="16"/>
      <c r="V86" s="16"/>
      <c r="W86" s="16"/>
      <c r="X86" s="16"/>
      <c r="Y86" s="16"/>
      <c r="Z86" s="16"/>
      <c r="AA86" s="997"/>
      <c r="AB86" s="329"/>
      <c r="AC86" s="329"/>
      <c r="AD86" s="329"/>
      <c r="AE86" s="329"/>
      <c r="AF86" s="329"/>
      <c r="AG86" s="329"/>
      <c r="AH86" s="329"/>
      <c r="AI86" s="329"/>
      <c r="AJ86" s="329"/>
      <c r="AK86" s="1626"/>
      <c r="AL86" s="329"/>
    </row>
    <row r="87" spans="1:38" ht="15" customHeight="1" x14ac:dyDescent="0.2">
      <c r="A87" s="14"/>
      <c r="B87" s="15"/>
      <c r="C87" s="1605"/>
      <c r="D87" s="16"/>
      <c r="E87" s="16"/>
      <c r="F87" s="16"/>
      <c r="G87" s="16"/>
      <c r="H87" s="16"/>
      <c r="I87" s="16"/>
      <c r="J87" s="16"/>
      <c r="K87" s="16"/>
      <c r="L87" s="16"/>
      <c r="M87" s="16"/>
      <c r="N87" s="16"/>
      <c r="O87" s="16"/>
      <c r="P87" s="16"/>
      <c r="Q87" s="16"/>
      <c r="R87" s="16"/>
      <c r="S87" s="16"/>
      <c r="T87" s="16"/>
      <c r="U87" s="16"/>
      <c r="V87" s="16"/>
      <c r="W87" s="16"/>
      <c r="X87" s="16"/>
      <c r="Y87" s="16"/>
      <c r="Z87" s="16"/>
      <c r="AA87" s="997"/>
      <c r="AB87" s="329"/>
      <c r="AC87" s="329"/>
      <c r="AD87" s="329"/>
      <c r="AE87" s="329"/>
      <c r="AF87" s="329"/>
      <c r="AG87" s="329"/>
      <c r="AH87" s="329"/>
      <c r="AI87" s="329"/>
      <c r="AJ87" s="329"/>
      <c r="AK87" s="1626"/>
      <c r="AL87" s="329"/>
    </row>
    <row r="88" spans="1:38" ht="15" customHeight="1" x14ac:dyDescent="0.2">
      <c r="A88" s="14"/>
      <c r="B88" s="15"/>
      <c r="C88" s="1605"/>
      <c r="D88" s="1567" t="s">
        <v>810</v>
      </c>
      <c r="E88" s="1567"/>
      <c r="F88" s="1567"/>
      <c r="G88" s="16"/>
      <c r="H88" s="16"/>
      <c r="I88" s="16"/>
      <c r="J88" s="16"/>
      <c r="K88" s="16"/>
      <c r="L88" s="16"/>
      <c r="M88" s="16"/>
      <c r="N88" s="16"/>
      <c r="O88" s="329"/>
      <c r="P88" s="1567" t="s">
        <v>811</v>
      </c>
      <c r="Q88" s="1567"/>
      <c r="R88" s="1567"/>
      <c r="S88" s="16"/>
      <c r="T88" s="16"/>
      <c r="U88" s="16"/>
      <c r="V88" s="16"/>
      <c r="W88" s="16"/>
      <c r="X88" s="16"/>
      <c r="Y88" s="16"/>
      <c r="Z88" s="16"/>
      <c r="AA88" s="997"/>
      <c r="AB88" s="16"/>
      <c r="AC88" s="988"/>
      <c r="AD88" s="16"/>
      <c r="AE88" s="16"/>
      <c r="AF88" s="16"/>
      <c r="AG88" s="16"/>
      <c r="AH88" s="16"/>
      <c r="AI88" s="16"/>
      <c r="AJ88" s="16"/>
      <c r="AK88" s="17"/>
      <c r="AL88" s="16"/>
    </row>
    <row r="89" spans="1:38" ht="15" customHeight="1" x14ac:dyDescent="0.35">
      <c r="A89" s="14"/>
      <c r="B89" s="15"/>
      <c r="C89" s="1605"/>
      <c r="D89" s="159" t="s">
        <v>815</v>
      </c>
      <c r="E89" s="164" t="s">
        <v>816</v>
      </c>
      <c r="F89" s="164"/>
      <c r="G89" s="164"/>
      <c r="H89" s="164"/>
      <c r="I89" s="164"/>
      <c r="J89" s="164"/>
      <c r="K89" s="164"/>
      <c r="L89" s="164"/>
      <c r="M89" s="164"/>
      <c r="N89" s="160"/>
      <c r="O89" s="329"/>
      <c r="P89" s="159" t="s">
        <v>819</v>
      </c>
      <c r="Q89" s="164" t="s">
        <v>792</v>
      </c>
      <c r="R89" s="164"/>
      <c r="S89" s="164"/>
      <c r="T89" s="164"/>
      <c r="U89" s="160"/>
      <c r="V89" s="16"/>
      <c r="W89" s="16"/>
      <c r="X89" s="16"/>
      <c r="Y89" s="16"/>
      <c r="Z89" s="16"/>
      <c r="AA89" s="997"/>
      <c r="AB89" s="16"/>
      <c r="AC89" s="988"/>
      <c r="AD89" s="16"/>
      <c r="AE89" s="16"/>
      <c r="AF89" s="16"/>
      <c r="AG89" s="16"/>
      <c r="AH89" s="16"/>
      <c r="AI89" s="16"/>
      <c r="AJ89" s="16"/>
      <c r="AK89" s="17"/>
      <c r="AL89" s="16"/>
    </row>
    <row r="90" spans="1:38" ht="15" customHeight="1" x14ac:dyDescent="0.35">
      <c r="A90" s="14"/>
      <c r="B90" s="15"/>
      <c r="C90" s="1605"/>
      <c r="D90" s="77" t="s">
        <v>817</v>
      </c>
      <c r="E90" s="1004" t="s">
        <v>818</v>
      </c>
      <c r="F90" s="35"/>
      <c r="G90" s="16"/>
      <c r="H90" s="16"/>
      <c r="I90" s="1005"/>
      <c r="J90" s="1006"/>
      <c r="K90" s="16"/>
      <c r="L90" s="1005"/>
      <c r="M90" s="1006"/>
      <c r="N90" s="997"/>
      <c r="O90" s="329"/>
      <c r="P90" s="77" t="s">
        <v>820</v>
      </c>
      <c r="Q90" s="16" t="s">
        <v>1239</v>
      </c>
      <c r="R90" s="16"/>
      <c r="S90" s="16"/>
      <c r="T90" s="16"/>
      <c r="U90" s="997"/>
      <c r="V90" s="16"/>
      <c r="W90" s="16"/>
      <c r="X90" s="16"/>
      <c r="Y90" s="16"/>
      <c r="Z90" s="16"/>
      <c r="AA90" s="997"/>
      <c r="AB90" s="16"/>
      <c r="AC90" s="988"/>
      <c r="AD90" s="16"/>
      <c r="AE90" s="16"/>
      <c r="AF90" s="16"/>
      <c r="AG90" s="16"/>
      <c r="AH90" s="16"/>
      <c r="AI90" s="16"/>
      <c r="AJ90" s="16"/>
      <c r="AK90" s="17"/>
      <c r="AL90" s="16"/>
    </row>
    <row r="91" spans="1:38" ht="15" customHeight="1" x14ac:dyDescent="0.35">
      <c r="A91" s="14"/>
      <c r="B91" s="15"/>
      <c r="C91" s="1605"/>
      <c r="D91" s="77"/>
      <c r="E91" s="16" t="s">
        <v>794</v>
      </c>
      <c r="F91" s="16">
        <v>10.5</v>
      </c>
      <c r="G91" s="16" t="s">
        <v>794</v>
      </c>
      <c r="H91" s="1599">
        <v>11</v>
      </c>
      <c r="I91" s="16" t="s">
        <v>794</v>
      </c>
      <c r="J91" s="16">
        <v>11.5</v>
      </c>
      <c r="K91" s="16" t="s">
        <v>794</v>
      </c>
      <c r="L91" s="16">
        <v>12</v>
      </c>
      <c r="M91" s="16" t="s">
        <v>794</v>
      </c>
      <c r="N91" s="997">
        <v>12.5</v>
      </c>
      <c r="O91" s="329"/>
      <c r="P91" s="1606"/>
      <c r="Q91" s="1607" t="s">
        <v>821</v>
      </c>
      <c r="R91" s="1576" t="s">
        <v>822</v>
      </c>
      <c r="S91" s="1576" t="s">
        <v>823</v>
      </c>
      <c r="T91" s="1576" t="s">
        <v>824</v>
      </c>
      <c r="U91" s="1608" t="s">
        <v>825</v>
      </c>
      <c r="V91" s="16"/>
      <c r="W91" s="16"/>
      <c r="X91" s="16"/>
      <c r="Y91" s="16"/>
      <c r="Z91" s="16"/>
      <c r="AA91" s="997"/>
      <c r="AB91" s="16"/>
      <c r="AC91" s="988"/>
      <c r="AD91" s="16"/>
      <c r="AE91" s="16"/>
      <c r="AF91" s="16"/>
      <c r="AG91" s="16"/>
      <c r="AH91" s="16"/>
      <c r="AI91" s="16"/>
      <c r="AJ91" s="16"/>
      <c r="AK91" s="17"/>
      <c r="AL91" s="16"/>
    </row>
    <row r="92" spans="1:38" ht="15" customHeight="1" x14ac:dyDescent="0.2">
      <c r="A92" s="14"/>
      <c r="B92" s="15"/>
      <c r="C92" s="1605"/>
      <c r="D92" s="1593"/>
      <c r="E92" s="1578" t="s">
        <v>1238</v>
      </c>
      <c r="F92" s="1578" t="s">
        <v>792</v>
      </c>
      <c r="G92" s="1578" t="s">
        <v>1238</v>
      </c>
      <c r="H92" s="1578" t="s">
        <v>792</v>
      </c>
      <c r="I92" s="1578" t="s">
        <v>1238</v>
      </c>
      <c r="J92" s="1578" t="s">
        <v>792</v>
      </c>
      <c r="K92" s="1578" t="s">
        <v>1238</v>
      </c>
      <c r="L92" s="1578" t="s">
        <v>792</v>
      </c>
      <c r="M92" s="1578" t="s">
        <v>1238</v>
      </c>
      <c r="N92" s="1597" t="s">
        <v>792</v>
      </c>
      <c r="O92" s="329"/>
      <c r="P92" s="77"/>
      <c r="Q92" s="54">
        <v>100</v>
      </c>
      <c r="R92" s="35">
        <v>9.9974399999999992</v>
      </c>
      <c r="S92" s="1602">
        <v>9.1428600000000007</v>
      </c>
      <c r="T92" s="35">
        <v>12.491</v>
      </c>
      <c r="U92" s="1603">
        <v>15.6571</v>
      </c>
      <c r="V92" s="16"/>
      <c r="W92" s="16"/>
      <c r="X92" s="16"/>
      <c r="Y92" s="16"/>
      <c r="Z92" s="16"/>
      <c r="AA92" s="997"/>
      <c r="AB92" s="16"/>
      <c r="AC92" s="988"/>
      <c r="AD92" s="16"/>
      <c r="AE92" s="16"/>
      <c r="AF92" s="16"/>
      <c r="AG92" s="16"/>
      <c r="AH92" s="16"/>
      <c r="AI92" s="16"/>
      <c r="AJ92" s="16"/>
      <c r="AK92" s="17"/>
      <c r="AL92" s="16"/>
    </row>
    <row r="93" spans="1:38" ht="15" customHeight="1" x14ac:dyDescent="0.2">
      <c r="A93" s="14"/>
      <c r="B93" s="15"/>
      <c r="C93" s="1605"/>
      <c r="D93" s="77"/>
      <c r="E93" s="54">
        <v>120.741</v>
      </c>
      <c r="F93" s="35">
        <v>12.4438</v>
      </c>
      <c r="G93" s="54">
        <v>120.741</v>
      </c>
      <c r="H93" s="35">
        <v>12.5444</v>
      </c>
      <c r="I93" s="54">
        <v>120.741</v>
      </c>
      <c r="J93" s="35">
        <v>12.6568</v>
      </c>
      <c r="K93" s="54">
        <v>120.741</v>
      </c>
      <c r="L93" s="35">
        <v>12.7692</v>
      </c>
      <c r="M93" s="54">
        <v>122.22199999999999</v>
      </c>
      <c r="N93" s="1042">
        <v>12.8698</v>
      </c>
      <c r="O93" s="329"/>
      <c r="P93" s="1010"/>
      <c r="Q93" s="54">
        <v>400</v>
      </c>
      <c r="R93" s="35">
        <v>9.9974399999999992</v>
      </c>
      <c r="S93" s="1602">
        <v>8.9523799999999998</v>
      </c>
      <c r="T93" s="35">
        <v>12.491</v>
      </c>
      <c r="U93" s="1603">
        <v>15.428599999999999</v>
      </c>
      <c r="V93" s="16"/>
      <c r="W93" s="16"/>
      <c r="X93" s="16"/>
      <c r="Y93" s="16"/>
      <c r="Z93" s="16"/>
      <c r="AA93" s="997"/>
      <c r="AB93" s="16"/>
      <c r="AC93" s="988"/>
      <c r="AD93" s="16"/>
      <c r="AE93" s="16"/>
      <c r="AF93" s="16"/>
      <c r="AG93" s="16"/>
      <c r="AH93" s="16"/>
      <c r="AI93" s="16"/>
      <c r="AJ93" s="16"/>
      <c r="AK93" s="17"/>
      <c r="AL93" s="16"/>
    </row>
    <row r="94" spans="1:38" ht="15" customHeight="1" x14ac:dyDescent="0.2">
      <c r="A94" s="14"/>
      <c r="B94" s="15"/>
      <c r="C94" s="1605"/>
      <c r="D94" s="1002"/>
      <c r="E94" s="1600">
        <v>151.852</v>
      </c>
      <c r="F94" s="43">
        <v>12.284000000000001</v>
      </c>
      <c r="G94" s="1600">
        <v>151.852</v>
      </c>
      <c r="H94" s="43">
        <v>12.390499999999999</v>
      </c>
      <c r="I94" s="1600">
        <v>151.852</v>
      </c>
      <c r="J94" s="43">
        <v>12.503</v>
      </c>
      <c r="K94" s="1600">
        <v>151.852</v>
      </c>
      <c r="L94" s="43">
        <v>12.609500000000001</v>
      </c>
      <c r="M94" s="1600">
        <v>151.852</v>
      </c>
      <c r="N94" s="1011">
        <v>12.7219</v>
      </c>
      <c r="O94" s="329"/>
      <c r="P94" s="1588"/>
      <c r="Q94" s="1600">
        <v>500</v>
      </c>
      <c r="R94" s="43">
        <v>10.1221</v>
      </c>
      <c r="S94" s="1587">
        <v>9.1047600000000006</v>
      </c>
      <c r="T94" s="43">
        <v>12.366400000000001</v>
      </c>
      <c r="U94" s="1589">
        <v>14.933299999999999</v>
      </c>
      <c r="V94" s="16"/>
      <c r="W94" s="16"/>
      <c r="X94" s="16"/>
      <c r="Y94" s="16"/>
      <c r="Z94" s="16"/>
      <c r="AA94" s="997"/>
      <c r="AB94" s="16"/>
      <c r="AC94" s="988"/>
      <c r="AD94" s="16"/>
      <c r="AE94" s="16"/>
      <c r="AF94" s="16"/>
      <c r="AG94" s="16"/>
      <c r="AH94" s="16"/>
      <c r="AI94" s="16"/>
      <c r="AJ94" s="16"/>
      <c r="AK94" s="17"/>
      <c r="AL94" s="16"/>
    </row>
    <row r="95" spans="1:38" ht="15" customHeight="1" x14ac:dyDescent="0.2">
      <c r="A95" s="14"/>
      <c r="B95" s="15"/>
      <c r="C95" s="1605"/>
      <c r="D95" s="1588"/>
      <c r="E95" s="1600">
        <v>200.74100000000001</v>
      </c>
      <c r="F95" s="43">
        <v>12</v>
      </c>
      <c r="G95" s="1600">
        <v>200.74100000000001</v>
      </c>
      <c r="H95" s="43">
        <v>12.112399999999999</v>
      </c>
      <c r="I95" s="1600">
        <v>200.74100000000001</v>
      </c>
      <c r="J95" s="43">
        <v>12.236700000000001</v>
      </c>
      <c r="K95" s="1600">
        <v>200.74100000000001</v>
      </c>
      <c r="L95" s="43">
        <v>12.3491</v>
      </c>
      <c r="M95" s="1600">
        <v>200.74100000000001</v>
      </c>
      <c r="N95" s="1011">
        <v>12.437900000000001</v>
      </c>
      <c r="O95" s="329"/>
      <c r="P95" s="1588"/>
      <c r="Q95" s="1600">
        <v>600</v>
      </c>
      <c r="R95" s="43">
        <v>10.093400000000001</v>
      </c>
      <c r="S95" s="1587">
        <v>8.8761899999999994</v>
      </c>
      <c r="T95" s="43">
        <v>12.4719</v>
      </c>
      <c r="U95" s="1589">
        <v>15.047599999999999</v>
      </c>
      <c r="V95" s="16"/>
      <c r="W95" s="16"/>
      <c r="X95" s="16"/>
      <c r="Y95" s="16"/>
      <c r="Z95" s="16"/>
      <c r="AA95" s="997"/>
      <c r="AB95" s="16"/>
      <c r="AC95" s="988"/>
      <c r="AD95" s="16"/>
      <c r="AE95" s="16"/>
      <c r="AF95" s="16"/>
      <c r="AG95" s="16"/>
      <c r="AH95" s="16"/>
      <c r="AI95" s="16"/>
      <c r="AJ95" s="16"/>
      <c r="AK95" s="17"/>
      <c r="AL95" s="16"/>
    </row>
    <row r="96" spans="1:38" ht="15" customHeight="1" x14ac:dyDescent="0.2">
      <c r="A96" s="14"/>
      <c r="B96" s="15"/>
      <c r="C96" s="1605"/>
      <c r="D96" s="1588"/>
      <c r="E96" s="1600">
        <v>249.63</v>
      </c>
      <c r="F96" s="43">
        <v>11.662699999999999</v>
      </c>
      <c r="G96" s="1600">
        <v>249.63</v>
      </c>
      <c r="H96" s="43">
        <v>11.816599999999999</v>
      </c>
      <c r="I96" s="1600">
        <v>249.63</v>
      </c>
      <c r="J96" s="43">
        <v>11.958600000000001</v>
      </c>
      <c r="K96" s="1600">
        <v>251.11099999999999</v>
      </c>
      <c r="L96" s="43">
        <v>12.059200000000001</v>
      </c>
      <c r="M96" s="1600">
        <v>251.11099999999999</v>
      </c>
      <c r="N96" s="1011">
        <v>12.112399999999999</v>
      </c>
      <c r="O96" s="329"/>
      <c r="P96" s="1588"/>
      <c r="Q96" s="1600">
        <v>700</v>
      </c>
      <c r="R96" s="43">
        <v>10.2468</v>
      </c>
      <c r="S96" s="1587">
        <v>8.9523799999999998</v>
      </c>
      <c r="T96" s="43">
        <v>12.327999999999999</v>
      </c>
      <c r="U96" s="1589">
        <v>14.3238</v>
      </c>
      <c r="V96" s="16"/>
      <c r="W96" s="16"/>
      <c r="X96" s="16"/>
      <c r="Y96" s="16"/>
      <c r="Z96" s="16"/>
      <c r="AA96" s="997"/>
      <c r="AB96" s="16"/>
      <c r="AC96" s="988"/>
      <c r="AD96" s="16"/>
      <c r="AE96" s="16"/>
      <c r="AF96" s="16"/>
      <c r="AG96" s="16"/>
      <c r="AH96" s="16"/>
      <c r="AI96" s="16"/>
      <c r="AJ96" s="16"/>
      <c r="AK96" s="17"/>
      <c r="AL96" s="16"/>
    </row>
    <row r="97" spans="1:38" ht="15" customHeight="1" x14ac:dyDescent="0.2">
      <c r="A97" s="14"/>
      <c r="B97" s="15"/>
      <c r="C97" s="1605"/>
      <c r="D97" s="1588"/>
      <c r="E97" s="1600">
        <v>300</v>
      </c>
      <c r="F97" s="43">
        <v>11.2722</v>
      </c>
      <c r="G97" s="1600">
        <v>300</v>
      </c>
      <c r="H97" s="43">
        <v>11.4556</v>
      </c>
      <c r="I97" s="1600">
        <v>301.48099999999999</v>
      </c>
      <c r="J97" s="43">
        <v>11.6272</v>
      </c>
      <c r="K97" s="1600">
        <v>300</v>
      </c>
      <c r="L97" s="43">
        <v>11.7456</v>
      </c>
      <c r="M97" s="1600">
        <v>301.48099999999999</v>
      </c>
      <c r="N97" s="1011">
        <v>11.7692</v>
      </c>
      <c r="O97" s="329"/>
      <c r="P97" s="1588"/>
      <c r="Q97" s="1600">
        <v>800</v>
      </c>
      <c r="R97" s="43">
        <v>9.9974399999999992</v>
      </c>
      <c r="S97" s="1587">
        <v>8</v>
      </c>
      <c r="T97" s="43">
        <v>12.6541</v>
      </c>
      <c r="U97" s="1589">
        <v>14.781000000000001</v>
      </c>
      <c r="V97" s="16"/>
      <c r="W97" s="16"/>
      <c r="X97" s="16"/>
      <c r="Y97" s="16"/>
      <c r="Z97" s="16"/>
      <c r="AA97" s="997"/>
      <c r="AB97" s="16"/>
      <c r="AC97" s="988"/>
      <c r="AD97" s="16"/>
      <c r="AE97" s="16"/>
      <c r="AF97" s="16"/>
      <c r="AG97" s="16"/>
      <c r="AH97" s="16"/>
      <c r="AI97" s="16"/>
      <c r="AJ97" s="16"/>
      <c r="AK97" s="17"/>
      <c r="AL97" s="16"/>
    </row>
    <row r="98" spans="1:38" ht="15" customHeight="1" x14ac:dyDescent="0.2">
      <c r="A98" s="14"/>
      <c r="B98" s="15"/>
      <c r="C98" s="1605"/>
      <c r="D98" s="1588"/>
      <c r="E98" s="1600">
        <v>332.59300000000002</v>
      </c>
      <c r="F98" s="43">
        <v>11.041399999999999</v>
      </c>
      <c r="G98" s="1600">
        <v>329.63</v>
      </c>
      <c r="H98" s="43">
        <v>11.2012</v>
      </c>
      <c r="I98" s="1600">
        <v>326.66699999999997</v>
      </c>
      <c r="J98" s="43">
        <v>11.432</v>
      </c>
      <c r="K98" s="1600">
        <v>340</v>
      </c>
      <c r="L98" s="43">
        <v>11.497</v>
      </c>
      <c r="M98" s="1600">
        <v>320.74099999999999</v>
      </c>
      <c r="N98" s="1011">
        <v>11.6805</v>
      </c>
      <c r="O98" s="329"/>
      <c r="P98" s="1588"/>
      <c r="Q98" s="1600">
        <v>900</v>
      </c>
      <c r="R98" s="43">
        <v>9.9878499999999999</v>
      </c>
      <c r="S98" s="1587">
        <v>7.6190499999999997</v>
      </c>
      <c r="T98" s="43">
        <v>12.6541</v>
      </c>
      <c r="U98" s="1589">
        <v>14.2857</v>
      </c>
      <c r="V98" s="16"/>
      <c r="W98" s="16"/>
      <c r="X98" s="16"/>
      <c r="Y98" s="16"/>
      <c r="Z98" s="16"/>
      <c r="AA98" s="997"/>
      <c r="AB98" s="16"/>
      <c r="AC98" s="988"/>
      <c r="AD98" s="16"/>
      <c r="AE98" s="16"/>
      <c r="AF98" s="16"/>
      <c r="AG98" s="16"/>
      <c r="AH98" s="16"/>
      <c r="AI98" s="16"/>
      <c r="AJ98" s="16"/>
      <c r="AK98" s="17"/>
      <c r="AL98" s="16"/>
    </row>
    <row r="99" spans="1:38" ht="15" customHeight="1" x14ac:dyDescent="0.2">
      <c r="A99" s="14"/>
      <c r="B99" s="15"/>
      <c r="C99" s="1605"/>
      <c r="D99" s="1588"/>
      <c r="E99" s="1600">
        <v>351.85199999999998</v>
      </c>
      <c r="F99" s="43">
        <v>11</v>
      </c>
      <c r="G99" s="1600">
        <v>350.37</v>
      </c>
      <c r="H99" s="43">
        <v>11.141999999999999</v>
      </c>
      <c r="I99" s="1600">
        <v>345.92599999999999</v>
      </c>
      <c r="J99" s="43">
        <v>11.3491</v>
      </c>
      <c r="K99" s="1600">
        <v>360.74099999999999</v>
      </c>
      <c r="L99" s="43">
        <v>11.5503</v>
      </c>
      <c r="M99" s="1600">
        <v>340</v>
      </c>
      <c r="N99" s="1011">
        <v>11.715999999999999</v>
      </c>
      <c r="O99" s="329"/>
      <c r="P99" s="1590"/>
      <c r="Q99" s="1601">
        <v>1000</v>
      </c>
      <c r="R99" s="1573">
        <v>10.141299999999999</v>
      </c>
      <c r="S99" s="1591">
        <v>7.6952400000000001</v>
      </c>
      <c r="T99" s="1573">
        <v>12.6541</v>
      </c>
      <c r="U99" s="1592">
        <v>13.8286</v>
      </c>
      <c r="V99" s="16"/>
      <c r="W99" s="16"/>
      <c r="X99" s="16"/>
      <c r="Y99" s="16"/>
      <c r="Z99" s="16"/>
      <c r="AA99" s="997"/>
      <c r="AB99" s="16"/>
      <c r="AC99" s="988"/>
      <c r="AD99" s="16"/>
      <c r="AE99" s="16"/>
      <c r="AF99" s="16"/>
      <c r="AG99" s="16"/>
      <c r="AH99" s="16"/>
      <c r="AI99" s="16"/>
      <c r="AJ99" s="16"/>
      <c r="AK99" s="17"/>
      <c r="AL99" s="16"/>
    </row>
    <row r="100" spans="1:38" ht="15" customHeight="1" x14ac:dyDescent="0.2">
      <c r="A100" s="14"/>
      <c r="B100" s="15"/>
      <c r="C100" s="1605"/>
      <c r="D100" s="1588"/>
      <c r="E100" s="1600">
        <v>378.51900000000001</v>
      </c>
      <c r="F100" s="43">
        <v>11.041399999999999</v>
      </c>
      <c r="G100" s="1600">
        <v>380</v>
      </c>
      <c r="H100" s="43">
        <v>11.2012</v>
      </c>
      <c r="I100" s="1600">
        <v>369.63</v>
      </c>
      <c r="J100" s="43">
        <v>11.3787</v>
      </c>
      <c r="K100" s="1600">
        <v>385.92599999999999</v>
      </c>
      <c r="L100" s="43">
        <v>11.639099999999999</v>
      </c>
      <c r="M100" s="1600">
        <v>362.22199999999998</v>
      </c>
      <c r="N100" s="1011">
        <v>11.7988</v>
      </c>
      <c r="O100" s="329"/>
      <c r="P100" s="1598" t="s">
        <v>829</v>
      </c>
      <c r="Q100" s="1012"/>
      <c r="R100" s="43"/>
      <c r="S100" s="43"/>
      <c r="T100" s="43"/>
      <c r="U100" s="43"/>
      <c r="V100" s="16"/>
      <c r="W100" s="16"/>
      <c r="X100" s="16"/>
      <c r="Y100" s="16"/>
      <c r="Z100" s="16"/>
      <c r="AA100" s="997"/>
      <c r="AB100" s="16"/>
      <c r="AC100" s="988"/>
      <c r="AD100" s="16"/>
      <c r="AE100" s="16"/>
      <c r="AF100" s="16"/>
      <c r="AG100" s="16"/>
      <c r="AH100" s="16"/>
      <c r="AI100" s="16"/>
      <c r="AJ100" s="16"/>
      <c r="AK100" s="17"/>
      <c r="AL100" s="16"/>
    </row>
    <row r="101" spans="1:38" ht="15" customHeight="1" x14ac:dyDescent="0.2">
      <c r="A101" s="14"/>
      <c r="B101" s="15"/>
      <c r="C101" s="1605"/>
      <c r="D101" s="1588"/>
      <c r="E101" s="1600">
        <v>400.74099999999999</v>
      </c>
      <c r="F101" s="43">
        <v>11.1183</v>
      </c>
      <c r="G101" s="1600">
        <v>400.74099999999999</v>
      </c>
      <c r="H101" s="43">
        <v>11.2722</v>
      </c>
      <c r="I101" s="1600">
        <v>400.74099999999999</v>
      </c>
      <c r="J101" s="43">
        <v>11.4734</v>
      </c>
      <c r="K101" s="1600">
        <v>400.74099999999999</v>
      </c>
      <c r="L101" s="43">
        <v>11.686400000000001</v>
      </c>
      <c r="M101" s="1600">
        <v>402.22199999999998</v>
      </c>
      <c r="N101" s="1011">
        <v>11.940799999999999</v>
      </c>
      <c r="O101" s="329"/>
      <c r="P101" s="329"/>
      <c r="Q101" s="329"/>
      <c r="R101" s="329"/>
      <c r="S101" s="43"/>
      <c r="T101" s="43"/>
      <c r="U101" s="43"/>
      <c r="V101" s="16"/>
      <c r="W101" s="16"/>
      <c r="X101" s="16"/>
      <c r="Y101" s="16"/>
      <c r="Z101" s="16"/>
      <c r="AA101" s="997"/>
      <c r="AB101" s="16"/>
      <c r="AC101" s="988"/>
      <c r="AD101" s="16"/>
      <c r="AE101" s="16"/>
      <c r="AF101" s="16"/>
      <c r="AG101" s="16"/>
      <c r="AH101" s="16"/>
      <c r="AI101" s="16"/>
      <c r="AJ101" s="16"/>
      <c r="AK101" s="17"/>
      <c r="AL101" s="16"/>
    </row>
    <row r="102" spans="1:38" ht="15" customHeight="1" x14ac:dyDescent="0.2">
      <c r="A102" s="14"/>
      <c r="B102" s="15"/>
      <c r="C102" s="1605"/>
      <c r="D102" s="1588"/>
      <c r="E102" s="1600">
        <v>451.11099999999999</v>
      </c>
      <c r="F102" s="43">
        <v>11.2544</v>
      </c>
      <c r="G102" s="1600">
        <v>451.11099999999999</v>
      </c>
      <c r="H102" s="43">
        <v>11.432</v>
      </c>
      <c r="I102" s="1600">
        <v>451.11099999999999</v>
      </c>
      <c r="J102" s="43">
        <v>11.639099999999999</v>
      </c>
      <c r="K102" s="1600">
        <v>451.11099999999999</v>
      </c>
      <c r="L102" s="43">
        <v>11.858000000000001</v>
      </c>
      <c r="M102" s="1600">
        <v>451.11099999999999</v>
      </c>
      <c r="N102" s="1011">
        <v>12.1065</v>
      </c>
      <c r="O102" s="329"/>
      <c r="P102" s="329"/>
      <c r="Q102" s="329"/>
      <c r="R102" s="329"/>
      <c r="S102" s="43"/>
      <c r="T102" s="43"/>
      <c r="U102" s="43"/>
      <c r="V102" s="16"/>
      <c r="W102" s="16"/>
      <c r="X102" s="16"/>
      <c r="Y102" s="16"/>
      <c r="Z102" s="16"/>
      <c r="AA102" s="997"/>
      <c r="AB102" s="16"/>
      <c r="AC102" s="988"/>
      <c r="AD102" s="16"/>
      <c r="AE102" s="16"/>
      <c r="AF102" s="16"/>
      <c r="AG102" s="16"/>
      <c r="AH102" s="16"/>
      <c r="AI102" s="16"/>
      <c r="AJ102" s="16"/>
      <c r="AK102" s="17"/>
      <c r="AL102" s="16"/>
    </row>
    <row r="103" spans="1:38" ht="15" customHeight="1" x14ac:dyDescent="0.2">
      <c r="A103" s="14"/>
      <c r="B103" s="15"/>
      <c r="C103" s="1605"/>
      <c r="D103" s="1588"/>
      <c r="E103" s="1600">
        <v>501.48099999999999</v>
      </c>
      <c r="F103" s="43">
        <v>11.390499999999999</v>
      </c>
      <c r="G103" s="1600">
        <v>501.48099999999999</v>
      </c>
      <c r="H103" s="43">
        <v>11.585800000000001</v>
      </c>
      <c r="I103" s="1600">
        <v>501.48099999999999</v>
      </c>
      <c r="J103" s="43">
        <v>11.7988</v>
      </c>
      <c r="K103" s="1600">
        <v>501.48099999999999</v>
      </c>
      <c r="L103" s="43">
        <v>12.017799999999999</v>
      </c>
      <c r="M103" s="1600">
        <v>501.48099999999999</v>
      </c>
      <c r="N103" s="1011">
        <v>12.2722</v>
      </c>
      <c r="O103" s="329"/>
      <c r="P103" s="329"/>
      <c r="Q103" s="329"/>
      <c r="R103" s="329"/>
      <c r="S103" s="43"/>
      <c r="T103" s="43"/>
      <c r="U103" s="43"/>
      <c r="V103" s="16"/>
      <c r="W103" s="16"/>
      <c r="X103" s="16"/>
      <c r="Y103" s="16"/>
      <c r="Z103" s="16"/>
      <c r="AA103" s="997"/>
      <c r="AB103" s="16"/>
      <c r="AC103" s="988"/>
      <c r="AD103" s="16"/>
      <c r="AE103" s="16"/>
      <c r="AF103" s="16"/>
      <c r="AG103" s="16"/>
      <c r="AH103" s="16"/>
      <c r="AI103" s="16"/>
      <c r="AJ103" s="16"/>
      <c r="AK103" s="17"/>
      <c r="AL103" s="16"/>
    </row>
    <row r="104" spans="1:38" ht="15" customHeight="1" x14ac:dyDescent="0.2">
      <c r="A104" s="14"/>
      <c r="B104" s="15"/>
      <c r="C104" s="1605"/>
      <c r="D104" s="1588"/>
      <c r="E104" s="1600">
        <v>551.85199999999998</v>
      </c>
      <c r="F104" s="43">
        <v>11.5266</v>
      </c>
      <c r="G104" s="1600">
        <v>550.37</v>
      </c>
      <c r="H104" s="43">
        <v>11.7278</v>
      </c>
      <c r="I104" s="1600">
        <v>550.37</v>
      </c>
      <c r="J104" s="43">
        <v>11.9467</v>
      </c>
      <c r="K104" s="1600">
        <v>550.37</v>
      </c>
      <c r="L104" s="43">
        <v>12.1716</v>
      </c>
      <c r="M104" s="1600">
        <v>551.85199999999998</v>
      </c>
      <c r="N104" s="1011">
        <v>12.4201</v>
      </c>
      <c r="O104" s="329"/>
      <c r="P104" s="329"/>
      <c r="Q104" s="329"/>
      <c r="R104" s="329"/>
      <c r="S104" s="43"/>
      <c r="T104" s="43"/>
      <c r="U104" s="43"/>
      <c r="V104" s="16"/>
      <c r="W104" s="16"/>
      <c r="X104" s="16"/>
      <c r="Y104" s="16"/>
      <c r="Z104" s="16"/>
      <c r="AA104" s="997"/>
      <c r="AB104" s="16"/>
      <c r="AC104" s="988"/>
      <c r="AD104" s="16"/>
      <c r="AE104" s="16"/>
      <c r="AF104" s="16"/>
      <c r="AG104" s="16"/>
      <c r="AH104" s="16"/>
      <c r="AI104" s="16"/>
      <c r="AJ104" s="16"/>
      <c r="AK104" s="17"/>
      <c r="AL104" s="16"/>
    </row>
    <row r="105" spans="1:38" ht="15" customHeight="1" x14ac:dyDescent="0.2">
      <c r="A105" s="14"/>
      <c r="B105" s="15"/>
      <c r="C105" s="1605"/>
      <c r="D105" s="1588"/>
      <c r="E105" s="1600">
        <v>600.74099999999999</v>
      </c>
      <c r="F105" s="43">
        <v>11.662699999999999</v>
      </c>
      <c r="G105" s="1600">
        <v>600.74099999999999</v>
      </c>
      <c r="H105" s="43">
        <v>11.863899999999999</v>
      </c>
      <c r="I105" s="1600">
        <v>600.74099999999999</v>
      </c>
      <c r="J105" s="43">
        <v>12.082800000000001</v>
      </c>
      <c r="K105" s="1600">
        <v>600.74099999999999</v>
      </c>
      <c r="L105" s="43">
        <v>12.313599999999999</v>
      </c>
      <c r="M105" s="1600">
        <v>600.74099999999999</v>
      </c>
      <c r="N105" s="1011">
        <v>12.5503</v>
      </c>
      <c r="O105" s="329"/>
      <c r="P105" s="329"/>
      <c r="Q105" s="329"/>
      <c r="R105" s="329"/>
      <c r="S105" s="43"/>
      <c r="T105" s="43"/>
      <c r="U105" s="43"/>
      <c r="V105" s="16"/>
      <c r="W105" s="16"/>
      <c r="X105" s="16"/>
      <c r="Y105" s="16"/>
      <c r="Z105" s="16"/>
      <c r="AA105" s="997"/>
      <c r="AB105" s="16"/>
      <c r="AC105" s="988"/>
      <c r="AD105" s="16"/>
      <c r="AE105" s="16"/>
      <c r="AF105" s="16"/>
      <c r="AG105" s="16"/>
      <c r="AH105" s="16"/>
      <c r="AI105" s="16"/>
      <c r="AJ105" s="16"/>
      <c r="AK105" s="17"/>
      <c r="AL105" s="16"/>
    </row>
    <row r="106" spans="1:38" ht="15" customHeight="1" x14ac:dyDescent="0.2">
      <c r="A106" s="14"/>
      <c r="B106" s="15"/>
      <c r="C106" s="1605"/>
      <c r="D106" s="1588"/>
      <c r="E106" s="1600">
        <v>651.11099999999999</v>
      </c>
      <c r="F106" s="43">
        <v>11.792899999999999</v>
      </c>
      <c r="G106" s="1600">
        <v>649.63</v>
      </c>
      <c r="H106" s="43">
        <v>12.0059</v>
      </c>
      <c r="I106" s="1600">
        <v>651.11099999999999</v>
      </c>
      <c r="J106" s="43">
        <v>12.2189</v>
      </c>
      <c r="K106" s="1600">
        <v>649.63</v>
      </c>
      <c r="L106" s="43">
        <v>12.437900000000001</v>
      </c>
      <c r="M106" s="1600">
        <v>651.11099999999999</v>
      </c>
      <c r="N106" s="1011">
        <v>12.662699999999999</v>
      </c>
      <c r="O106" s="329"/>
      <c r="P106" s="329"/>
      <c r="Q106" s="329"/>
      <c r="R106" s="329"/>
      <c r="S106" s="43"/>
      <c r="T106" s="43"/>
      <c r="U106" s="43"/>
      <c r="V106" s="16"/>
      <c r="W106" s="16"/>
      <c r="X106" s="16"/>
      <c r="Y106" s="16"/>
      <c r="Z106" s="16"/>
      <c r="AA106" s="997"/>
      <c r="AB106" s="16"/>
      <c r="AC106" s="988"/>
      <c r="AD106" s="16"/>
      <c r="AE106" s="16"/>
      <c r="AF106" s="16"/>
      <c r="AG106" s="16"/>
      <c r="AH106" s="16"/>
      <c r="AI106" s="16"/>
      <c r="AJ106" s="16"/>
      <c r="AK106" s="17"/>
      <c r="AL106" s="16"/>
    </row>
    <row r="107" spans="1:38" ht="15" customHeight="1" x14ac:dyDescent="0.2">
      <c r="A107" s="14"/>
      <c r="B107" s="15"/>
      <c r="C107" s="1605"/>
      <c r="D107" s="1590"/>
      <c r="E107" s="1601">
        <v>700</v>
      </c>
      <c r="F107" s="1573">
        <v>11.917199999999999</v>
      </c>
      <c r="G107" s="1601">
        <v>700</v>
      </c>
      <c r="H107" s="1573">
        <v>12.136100000000001</v>
      </c>
      <c r="I107" s="1601">
        <v>701.48099999999999</v>
      </c>
      <c r="J107" s="1573">
        <v>12.3432</v>
      </c>
      <c r="K107" s="1601">
        <v>701.48099999999999</v>
      </c>
      <c r="L107" s="1573">
        <v>12.5503</v>
      </c>
      <c r="M107" s="1601">
        <v>701.48099999999999</v>
      </c>
      <c r="N107" s="1575">
        <v>12.757400000000001</v>
      </c>
      <c r="O107" s="329"/>
      <c r="P107" s="329"/>
      <c r="Q107" s="329"/>
      <c r="R107" s="329"/>
      <c r="S107" s="43"/>
      <c r="T107" s="43"/>
      <c r="U107" s="43"/>
      <c r="V107" s="16"/>
      <c r="W107" s="16"/>
      <c r="X107" s="16"/>
      <c r="Y107" s="16"/>
      <c r="Z107" s="16"/>
      <c r="AA107" s="997"/>
      <c r="AB107" s="16"/>
      <c r="AC107" s="988"/>
      <c r="AD107" s="16"/>
      <c r="AE107" s="16"/>
      <c r="AF107" s="16"/>
      <c r="AG107" s="16"/>
      <c r="AH107" s="16"/>
      <c r="AI107" s="16"/>
      <c r="AJ107" s="16"/>
      <c r="AK107" s="17"/>
      <c r="AL107" s="16"/>
    </row>
    <row r="108" spans="1:38" ht="15" customHeight="1" x14ac:dyDescent="0.2">
      <c r="A108" s="14"/>
      <c r="B108" s="15"/>
      <c r="C108" s="1605"/>
      <c r="D108" s="16" t="s">
        <v>828</v>
      </c>
      <c r="E108" s="988"/>
      <c r="F108" s="16"/>
      <c r="G108" s="16"/>
      <c r="H108" s="16"/>
      <c r="I108" s="16"/>
      <c r="J108" s="16"/>
      <c r="K108" s="16"/>
      <c r="L108" s="16"/>
      <c r="M108" s="16"/>
      <c r="N108" s="16"/>
      <c r="O108" s="329"/>
      <c r="P108" s="329"/>
      <c r="Q108" s="329"/>
      <c r="R108" s="329"/>
      <c r="S108" s="16"/>
      <c r="T108" s="16"/>
      <c r="U108" s="16"/>
      <c r="V108" s="16"/>
      <c r="W108" s="16"/>
      <c r="X108" s="16"/>
      <c r="Y108" s="16"/>
      <c r="Z108" s="16"/>
      <c r="AA108" s="997"/>
      <c r="AB108" s="16"/>
      <c r="AC108" s="988"/>
      <c r="AD108" s="16"/>
      <c r="AE108" s="16"/>
      <c r="AF108" s="16"/>
      <c r="AG108" s="16"/>
      <c r="AH108" s="16"/>
      <c r="AI108" s="16"/>
      <c r="AJ108" s="16"/>
      <c r="AK108" s="17"/>
      <c r="AL108" s="16"/>
    </row>
    <row r="109" spans="1:38" ht="15" customHeight="1" x14ac:dyDescent="0.2">
      <c r="A109" s="14"/>
      <c r="B109" s="15"/>
      <c r="C109" s="1609"/>
      <c r="D109" s="50"/>
      <c r="E109" s="1610"/>
      <c r="F109" s="50"/>
      <c r="G109" s="50"/>
      <c r="H109" s="50"/>
      <c r="I109" s="50"/>
      <c r="J109" s="50"/>
      <c r="K109" s="50"/>
      <c r="L109" s="50"/>
      <c r="M109" s="50"/>
      <c r="N109" s="50"/>
      <c r="O109" s="1611"/>
      <c r="P109" s="1611"/>
      <c r="Q109" s="1611"/>
      <c r="R109" s="1611"/>
      <c r="S109" s="50"/>
      <c r="T109" s="50"/>
      <c r="U109" s="50"/>
      <c r="V109" s="50"/>
      <c r="W109" s="50"/>
      <c r="X109" s="50"/>
      <c r="Y109" s="50"/>
      <c r="Z109" s="50"/>
      <c r="AA109" s="1023"/>
      <c r="AB109" s="16"/>
      <c r="AC109" s="988"/>
      <c r="AD109" s="16"/>
      <c r="AE109" s="16"/>
      <c r="AF109" s="16"/>
      <c r="AG109" s="16"/>
      <c r="AH109" s="16"/>
      <c r="AI109" s="16"/>
      <c r="AJ109" s="16"/>
      <c r="AK109" s="17"/>
      <c r="AL109" s="16"/>
    </row>
    <row r="110" spans="1:38" ht="15" customHeight="1" x14ac:dyDescent="0.2">
      <c r="A110" s="14"/>
      <c r="B110" s="15"/>
      <c r="C110" s="329"/>
      <c r="D110" s="16"/>
      <c r="E110" s="16"/>
      <c r="F110" s="16"/>
      <c r="G110" s="16"/>
      <c r="H110" s="16"/>
      <c r="I110" s="16"/>
      <c r="J110" s="16"/>
      <c r="K110" s="16"/>
      <c r="L110" s="16"/>
      <c r="M110" s="16"/>
      <c r="N110" s="16"/>
      <c r="O110" s="16"/>
      <c r="P110" s="16"/>
      <c r="Q110" s="16"/>
      <c r="R110" s="16"/>
      <c r="S110" s="16"/>
      <c r="T110" s="16"/>
      <c r="U110" s="16"/>
      <c r="V110" s="16"/>
      <c r="W110" s="16"/>
      <c r="X110" s="16"/>
      <c r="Y110" s="16"/>
      <c r="Z110" s="16"/>
      <c r="AA110" s="16"/>
      <c r="AB110" s="16"/>
      <c r="AC110" s="988"/>
      <c r="AD110" s="16"/>
      <c r="AE110" s="16"/>
      <c r="AF110" s="16"/>
      <c r="AG110" s="16"/>
      <c r="AH110" s="16"/>
      <c r="AI110" s="16"/>
      <c r="AJ110" s="16"/>
      <c r="AK110" s="17"/>
      <c r="AL110" s="16"/>
    </row>
    <row r="111" spans="1:38" ht="26.25" x14ac:dyDescent="0.2">
      <c r="A111" s="14"/>
      <c r="B111" s="1622"/>
      <c r="C111" s="603" t="s">
        <v>1675</v>
      </c>
      <c r="D111" s="1017"/>
      <c r="E111" s="1017"/>
      <c r="F111" s="1017"/>
      <c r="G111" s="1017"/>
      <c r="H111" s="1017"/>
      <c r="I111" s="1017"/>
      <c r="J111" s="1017"/>
      <c r="K111" s="1017"/>
      <c r="L111" s="1017"/>
      <c r="M111" s="1017"/>
      <c r="N111" s="1017"/>
      <c r="O111" s="1017"/>
      <c r="P111" s="1017"/>
      <c r="Q111" s="1017"/>
      <c r="R111" s="1017"/>
      <c r="S111" s="1017"/>
      <c r="T111" s="1017"/>
      <c r="U111" s="1017"/>
      <c r="V111" s="1017"/>
      <c r="W111" s="1017"/>
      <c r="X111" s="1017"/>
      <c r="Y111" s="1017"/>
      <c r="Z111" s="1017"/>
      <c r="AA111" s="1017"/>
      <c r="AB111" s="1017"/>
      <c r="AC111" s="1017"/>
      <c r="AD111" s="1017"/>
      <c r="AE111" s="1017"/>
      <c r="AF111" s="1017"/>
      <c r="AG111" s="1017"/>
      <c r="AH111" s="1017"/>
      <c r="AI111" s="1017"/>
      <c r="AJ111" s="1017"/>
      <c r="AK111" s="1623"/>
      <c r="AL111" s="16"/>
    </row>
    <row r="112" spans="1:38" ht="15" customHeight="1" x14ac:dyDescent="0.2">
      <c r="A112" s="14"/>
      <c r="B112" s="15"/>
      <c r="C112" s="16"/>
      <c r="D112" s="16"/>
      <c r="E112" s="16"/>
      <c r="F112" s="16"/>
      <c r="G112" s="16"/>
      <c r="H112" s="16"/>
      <c r="I112" s="16"/>
      <c r="J112" s="16"/>
      <c r="K112" s="16"/>
      <c r="L112" s="16"/>
      <c r="M112" s="16"/>
      <c r="N112" s="16"/>
      <c r="O112" s="16"/>
      <c r="P112" s="16"/>
      <c r="Q112" s="16"/>
      <c r="R112" s="16"/>
      <c r="S112" s="16"/>
      <c r="T112" s="16"/>
      <c r="U112" s="16"/>
      <c r="V112" s="16"/>
      <c r="W112" s="16"/>
      <c r="X112" s="16"/>
      <c r="Y112" s="16"/>
      <c r="Z112" s="16"/>
      <c r="AA112" s="16"/>
      <c r="AB112" s="16"/>
      <c r="AC112" s="16"/>
      <c r="AD112" s="16"/>
      <c r="AE112" s="16"/>
      <c r="AF112" s="16"/>
      <c r="AG112" s="16"/>
      <c r="AH112" s="16"/>
      <c r="AI112" s="16"/>
      <c r="AJ112" s="16"/>
      <c r="AK112" s="17"/>
      <c r="AL112" s="16"/>
    </row>
    <row r="113" spans="1:38" ht="15" customHeight="1" x14ac:dyDescent="0.2">
      <c r="A113" s="14"/>
      <c r="B113" s="15"/>
      <c r="C113" s="843" t="s">
        <v>1668</v>
      </c>
      <c r="D113" s="843"/>
      <c r="E113" s="843"/>
      <c r="F113" s="16"/>
      <c r="G113" s="16"/>
      <c r="H113" s="843" t="s">
        <v>1676</v>
      </c>
      <c r="I113" s="843"/>
      <c r="J113" s="843"/>
      <c r="K113" s="16"/>
      <c r="L113" s="16"/>
      <c r="M113" s="16"/>
      <c r="N113" s="16"/>
      <c r="O113" s="16"/>
      <c r="P113" s="843" t="s">
        <v>1677</v>
      </c>
      <c r="Q113" s="843"/>
      <c r="R113" s="843"/>
      <c r="S113" s="16"/>
      <c r="T113" s="16"/>
      <c r="U113" s="16"/>
      <c r="V113" s="843" t="s">
        <v>1676</v>
      </c>
      <c r="W113" s="843"/>
      <c r="X113" s="843"/>
      <c r="Y113" s="16"/>
      <c r="Z113" s="16"/>
      <c r="AA113" s="16"/>
      <c r="AB113" s="16"/>
      <c r="AC113" s="16"/>
      <c r="AD113" s="16"/>
      <c r="AE113" s="16"/>
      <c r="AF113" s="16"/>
      <c r="AG113" s="16"/>
      <c r="AH113" s="16"/>
      <c r="AI113" s="16"/>
      <c r="AJ113" s="16"/>
      <c r="AK113" s="17"/>
      <c r="AL113" s="16"/>
    </row>
    <row r="114" spans="1:38" ht="12.75" customHeight="1" x14ac:dyDescent="0.25">
      <c r="A114" s="14"/>
      <c r="B114" s="15"/>
      <c r="C114" s="1066"/>
      <c r="D114" s="1067">
        <f ca="1">CokingRefineryCalcs!E698</f>
        <v>3.1583570360508162E-17</v>
      </c>
      <c r="E114" s="1070" t="s">
        <v>858</v>
      </c>
      <c r="F114" s="160"/>
      <c r="G114" s="16"/>
      <c r="H114" s="1068"/>
      <c r="I114" s="164"/>
      <c r="J114" s="164" t="s">
        <v>664</v>
      </c>
      <c r="K114" s="164" t="s">
        <v>595</v>
      </c>
      <c r="L114" s="1072" t="s">
        <v>580</v>
      </c>
      <c r="M114" s="164" t="s">
        <v>890</v>
      </c>
      <c r="N114" s="160"/>
      <c r="O114" s="16"/>
      <c r="P114" s="1066"/>
      <c r="Q114" s="1067">
        <f ca="1">HydroRefineryCalcs!E672</f>
        <v>2.7863890940658877E-17</v>
      </c>
      <c r="R114" s="1070" t="s">
        <v>858</v>
      </c>
      <c r="S114" s="160"/>
      <c r="T114" s="16"/>
      <c r="U114" s="16"/>
      <c r="V114" s="1068"/>
      <c r="W114" s="164"/>
      <c r="X114" s="164" t="s">
        <v>664</v>
      </c>
      <c r="Y114" s="164" t="s">
        <v>595</v>
      </c>
      <c r="Z114" s="1072" t="s">
        <v>580</v>
      </c>
      <c r="AA114" s="164" t="s">
        <v>890</v>
      </c>
      <c r="AB114" s="160"/>
      <c r="AC114" s="16"/>
      <c r="AD114" s="16"/>
      <c r="AE114" s="16"/>
      <c r="AF114" s="16"/>
      <c r="AG114" s="16"/>
      <c r="AH114" s="16"/>
      <c r="AI114" s="16"/>
      <c r="AJ114" s="16"/>
      <c r="AK114" s="17"/>
      <c r="AL114" s="16"/>
    </row>
    <row r="115" spans="1:38" ht="15" customHeight="1" x14ac:dyDescent="0.25">
      <c r="A115" s="14"/>
      <c r="B115" s="15"/>
      <c r="C115" s="77"/>
      <c r="D115" s="1044">
        <f ca="1">CokingRefineryCalcs!E699</f>
        <v>2.8741049028062426E-14</v>
      </c>
      <c r="E115" s="16" t="s">
        <v>833</v>
      </c>
      <c r="F115" s="997"/>
      <c r="G115" s="16"/>
      <c r="H115" s="77"/>
      <c r="I115" s="16"/>
      <c r="J115" s="16" t="s">
        <v>831</v>
      </c>
      <c r="K115" s="16" t="s">
        <v>832</v>
      </c>
      <c r="L115" s="16" t="s">
        <v>835</v>
      </c>
      <c r="M115" s="73" t="s">
        <v>891</v>
      </c>
      <c r="N115" s="997"/>
      <c r="O115" s="16"/>
      <c r="P115" s="77"/>
      <c r="Q115" s="1044">
        <f ca="1">HydroRefineryCalcs!E673</f>
        <v>2.5356140755999578E-14</v>
      </c>
      <c r="R115" s="16" t="s">
        <v>833</v>
      </c>
      <c r="S115" s="997"/>
      <c r="T115" s="16"/>
      <c r="U115" s="16"/>
      <c r="V115" s="77"/>
      <c r="W115" s="16"/>
      <c r="X115" s="16" t="s">
        <v>831</v>
      </c>
      <c r="Y115" s="16" t="s">
        <v>832</v>
      </c>
      <c r="Z115" s="16" t="s">
        <v>835</v>
      </c>
      <c r="AA115" s="73" t="s">
        <v>891</v>
      </c>
      <c r="AB115" s="997"/>
      <c r="AC115" s="16"/>
      <c r="AD115" s="16"/>
      <c r="AE115" s="16"/>
      <c r="AF115" s="16"/>
      <c r="AG115" s="16"/>
      <c r="AH115" s="16"/>
      <c r="AI115" s="16"/>
      <c r="AJ115" s="16"/>
      <c r="AK115" s="17"/>
      <c r="AL115" s="16"/>
    </row>
    <row r="116" spans="1:38" ht="15" customHeight="1" x14ac:dyDescent="0.25">
      <c r="A116" s="14"/>
      <c r="B116" s="15"/>
      <c r="C116" s="66"/>
      <c r="D116" s="1071">
        <f>CokingRefineryCalcs!E702</f>
        <v>23.994505494505489</v>
      </c>
      <c r="E116" s="50" t="s">
        <v>567</v>
      </c>
      <c r="F116" s="1023"/>
      <c r="G116" s="16"/>
      <c r="H116" s="77" t="s">
        <v>88</v>
      </c>
      <c r="I116" s="16"/>
      <c r="J116" s="1043">
        <f ca="1">D115*I131/100</f>
        <v>1.526587628664202E-15</v>
      </c>
      <c r="K116" s="75"/>
      <c r="L116" s="75"/>
      <c r="M116" s="1013">
        <v>26</v>
      </c>
      <c r="N116" s="997"/>
      <c r="O116" s="16"/>
      <c r="P116" s="66"/>
      <c r="Q116" s="1071">
        <f>HydroRefineryCalcs!E675</f>
        <v>23.994505494505489</v>
      </c>
      <c r="R116" s="50" t="s">
        <v>567</v>
      </c>
      <c r="S116" s="1023"/>
      <c r="T116" s="16"/>
      <c r="U116" s="16"/>
      <c r="V116" s="77" t="s">
        <v>88</v>
      </c>
      <c r="W116" s="16"/>
      <c r="X116" s="1043">
        <f ca="1">Q115*J131/100</f>
        <v>1.3467974238164625E-15</v>
      </c>
      <c r="Y116" s="75"/>
      <c r="Z116" s="75"/>
      <c r="AA116" s="1043">
        <v>26</v>
      </c>
      <c r="AB116" s="997"/>
      <c r="AC116" s="16"/>
      <c r="AD116" s="16"/>
      <c r="AE116" s="16"/>
      <c r="AF116" s="16"/>
      <c r="AG116" s="16"/>
      <c r="AH116" s="16"/>
      <c r="AI116" s="16"/>
      <c r="AJ116" s="16"/>
      <c r="AK116" s="17"/>
      <c r="AL116" s="16"/>
    </row>
    <row r="117" spans="1:38" ht="15" x14ac:dyDescent="0.25">
      <c r="A117" s="14"/>
      <c r="B117" s="15"/>
      <c r="C117" s="16"/>
      <c r="D117" s="16"/>
      <c r="E117" s="16"/>
      <c r="F117" s="16"/>
      <c r="G117" s="16"/>
      <c r="H117" s="77" t="s">
        <v>834</v>
      </c>
      <c r="I117" s="16"/>
      <c r="J117" s="75">
        <f ca="1">D115-SUM(J118:J119,J122,J116)</f>
        <v>4.5520520763986101E-15</v>
      </c>
      <c r="K117" s="1043">
        <f ca="1">D114*W132/100</f>
        <v>8.4155659122478769E-18</v>
      </c>
      <c r="L117" s="75">
        <f ca="1">J117/K117</f>
        <v>540.90861195366881</v>
      </c>
      <c r="M117" s="1013">
        <v>39</v>
      </c>
      <c r="N117" s="997"/>
      <c r="O117" s="16"/>
      <c r="P117" s="16"/>
      <c r="Q117" s="16"/>
      <c r="R117" s="16"/>
      <c r="S117" s="16"/>
      <c r="T117" s="16"/>
      <c r="U117" s="16"/>
      <c r="V117" s="77" t="s">
        <v>834</v>
      </c>
      <c r="W117" s="16"/>
      <c r="X117" s="75">
        <f ca="1">Q115-SUM(X118:X119,X122,X116)</f>
        <v>4.0159450361434667E-15</v>
      </c>
      <c r="Y117" s="4">
        <f ca="1">Q114*X132/100</f>
        <v>7.4244427753489889E-18</v>
      </c>
      <c r="Z117" s="75">
        <f ca="1">X117/Y117</f>
        <v>540.90861195366892</v>
      </c>
      <c r="AA117" s="1043">
        <v>39</v>
      </c>
      <c r="AB117" s="997"/>
      <c r="AC117" s="16"/>
      <c r="AD117" s="16"/>
      <c r="AE117" s="16"/>
      <c r="AF117" s="16"/>
      <c r="AG117" s="16"/>
      <c r="AH117" s="16"/>
      <c r="AI117" s="16"/>
      <c r="AJ117" s="16"/>
      <c r="AK117" s="17"/>
      <c r="AL117" s="16"/>
    </row>
    <row r="118" spans="1:38" x14ac:dyDescent="0.2">
      <c r="A118" s="14"/>
      <c r="B118" s="15"/>
      <c r="C118" s="16"/>
      <c r="D118" s="16"/>
      <c r="E118" s="16"/>
      <c r="F118" s="16"/>
      <c r="G118" s="16"/>
      <c r="H118" s="77" t="s">
        <v>592</v>
      </c>
      <c r="I118" s="16"/>
      <c r="J118" s="75">
        <f ca="1">L118*K118</f>
        <v>1.365410218952797E-14</v>
      </c>
      <c r="K118" s="1043">
        <f ca="1">D114*(AA132/100)</f>
        <v>1.8288110731559089E-17</v>
      </c>
      <c r="L118" s="1027">
        <f>N142*0.45359237/(3.785412/1000)</f>
        <v>746.61086593081541</v>
      </c>
      <c r="M118" s="1013">
        <v>5</v>
      </c>
      <c r="N118" s="997"/>
      <c r="O118" s="16"/>
      <c r="P118" s="16"/>
      <c r="Q118" s="16"/>
      <c r="R118" s="16"/>
      <c r="S118" s="16"/>
      <c r="T118" s="16"/>
      <c r="U118" s="16"/>
      <c r="V118" s="77" t="s">
        <v>592</v>
      </c>
      <c r="W118" s="16"/>
      <c r="X118" s="75">
        <f ca="1">Z118*Y118</f>
        <v>1.2046022978369112E-14</v>
      </c>
      <c r="Y118" s="1043">
        <f ca="1">Q114*(AB132/100)</f>
        <v>1.6134272253526719E-17</v>
      </c>
      <c r="Z118" s="1027">
        <f>O142*0.45359237/(3.785412/1000)</f>
        <v>746.61086593081541</v>
      </c>
      <c r="AA118" s="1043">
        <v>5</v>
      </c>
      <c r="AB118" s="997"/>
      <c r="AC118" s="16"/>
      <c r="AD118" s="16"/>
      <c r="AE118" s="16"/>
      <c r="AF118" s="16"/>
      <c r="AG118" s="16"/>
      <c r="AH118" s="16"/>
      <c r="AI118" s="16"/>
      <c r="AJ118" s="16"/>
      <c r="AK118" s="17"/>
      <c r="AL118" s="16"/>
    </row>
    <row r="119" spans="1:38" x14ac:dyDescent="0.2">
      <c r="A119" s="14"/>
      <c r="B119" s="15"/>
      <c r="C119" s="843" t="s">
        <v>212</v>
      </c>
      <c r="D119" s="16"/>
      <c r="E119" s="16"/>
      <c r="F119" s="16"/>
      <c r="G119" s="16"/>
      <c r="H119" s="77" t="s">
        <v>836</v>
      </c>
      <c r="I119" s="16"/>
      <c r="J119" s="75">
        <f ca="1">K119*L119</f>
        <v>7.4216386962671574E-15</v>
      </c>
      <c r="K119" s="75">
        <f ca="1">(100-D120)/100*D114</f>
        <v>7.8958925901270406E-18</v>
      </c>
      <c r="L119" s="1027">
        <f>I142*0.45359237/(3.785412/1000)</f>
        <v>939.93663307263239</v>
      </c>
      <c r="M119" s="1027">
        <f>100-SUM(M116:M118)</f>
        <v>30</v>
      </c>
      <c r="N119" s="997"/>
      <c r="O119" s="16"/>
      <c r="P119" s="843" t="s">
        <v>212</v>
      </c>
      <c r="Q119" s="16"/>
      <c r="R119" s="16"/>
      <c r="S119" s="16"/>
      <c r="T119" s="16"/>
      <c r="U119" s="16"/>
      <c r="V119" s="77" t="s">
        <v>836</v>
      </c>
      <c r="W119" s="16"/>
      <c r="X119" s="75">
        <f ca="1">Y119*Z119</f>
        <v>6.5475729587664821E-15</v>
      </c>
      <c r="Y119" s="75">
        <f ca="1">(100-Q120)/100*Q114</f>
        <v>6.9659727351647191E-18</v>
      </c>
      <c r="Z119" s="1027">
        <f>J142*0.45359237/(3.785412/1000)</f>
        <v>939.93663307263239</v>
      </c>
      <c r="AA119" s="1043">
        <f>100-SUM(AA116:AA118)</f>
        <v>30</v>
      </c>
      <c r="AB119" s="997"/>
      <c r="AC119" s="16"/>
      <c r="AD119" s="16"/>
      <c r="AE119" s="16"/>
      <c r="AF119" s="16"/>
      <c r="AG119" s="16"/>
      <c r="AH119" s="16"/>
      <c r="AI119" s="16"/>
      <c r="AJ119" s="16"/>
      <c r="AK119" s="17"/>
      <c r="AL119" s="16"/>
    </row>
    <row r="120" spans="1:38" ht="15" x14ac:dyDescent="0.25">
      <c r="A120" s="14"/>
      <c r="B120" s="15"/>
      <c r="C120" s="1068"/>
      <c r="D120" s="1069">
        <v>75</v>
      </c>
      <c r="E120" s="164" t="s">
        <v>837</v>
      </c>
      <c r="F120" s="160"/>
      <c r="G120" s="16"/>
      <c r="H120" s="77" t="s">
        <v>659</v>
      </c>
      <c r="I120" s="16"/>
      <c r="J120" s="75">
        <f ca="1">K120*L120</f>
        <v>2.0633226449081585E-15</v>
      </c>
      <c r="K120" s="1043">
        <f ca="1">D114*(AI131/100)</f>
        <v>1.9848916637891233E-18</v>
      </c>
      <c r="L120" s="1027">
        <f>D142*0.45359237/(3.785412/1000)</f>
        <v>1039.5139858511532</v>
      </c>
      <c r="M120" s="1027">
        <f ca="1">K120/K119*M119</f>
        <v>7.5414842886959308</v>
      </c>
      <c r="N120" s="997"/>
      <c r="O120" s="16"/>
      <c r="P120" s="1068"/>
      <c r="Q120" s="1069">
        <v>75</v>
      </c>
      <c r="R120" s="164" t="s">
        <v>837</v>
      </c>
      <c r="S120" s="160"/>
      <c r="T120" s="16"/>
      <c r="U120" s="16"/>
      <c r="V120" s="77" t="s">
        <v>659</v>
      </c>
      <c r="W120" s="16"/>
      <c r="X120" s="75">
        <f ca="1">Y120*Z120</f>
        <v>1.8203197579270684E-15</v>
      </c>
      <c r="Y120" s="1043">
        <f ca="1">Q114*(AJ131/100)</f>
        <v>1.7511257979242984E-18</v>
      </c>
      <c r="Z120" s="1027">
        <f>E142*0.45359237/(3.785412/1000)</f>
        <v>1039.5139858511532</v>
      </c>
      <c r="AA120" s="1013">
        <f ca="1">Y120/Y119*AA119</f>
        <v>7.5414842886959308</v>
      </c>
      <c r="AB120" s="997"/>
      <c r="AC120" s="16"/>
      <c r="AD120" s="16"/>
      <c r="AE120" s="16"/>
      <c r="AF120" s="16"/>
      <c r="AG120" s="16"/>
      <c r="AH120" s="16"/>
      <c r="AI120" s="16"/>
      <c r="AJ120" s="16"/>
      <c r="AK120" s="17"/>
      <c r="AL120" s="16"/>
    </row>
    <row r="121" spans="1:38" ht="15" x14ac:dyDescent="0.25">
      <c r="A121" s="14"/>
      <c r="B121" s="15"/>
      <c r="C121" s="77"/>
      <c r="D121" s="1045">
        <f ca="1">C16</f>
        <v>11.585905176337844</v>
      </c>
      <c r="E121" s="16" t="s">
        <v>785</v>
      </c>
      <c r="F121" s="997"/>
      <c r="G121" s="16"/>
      <c r="H121" s="77" t="s">
        <v>658</v>
      </c>
      <c r="I121" s="16"/>
      <c r="J121" s="75">
        <f ca="1">J119-J120</f>
        <v>5.3583160513589989E-15</v>
      </c>
      <c r="K121" s="75">
        <f ca="1">K119-K120</f>
        <v>5.9110009263379173E-18</v>
      </c>
      <c r="L121" s="75">
        <f ca="1">J121/K121</f>
        <v>906.49893615879921</v>
      </c>
      <c r="M121" s="1027">
        <f ca="1">K121/K119*M119</f>
        <v>22.45851571130407</v>
      </c>
      <c r="N121" s="997"/>
      <c r="O121" s="16"/>
      <c r="P121" s="77"/>
      <c r="Q121" s="1045">
        <f ca="1">O16</f>
        <v>11.585905176337844</v>
      </c>
      <c r="R121" s="16" t="s">
        <v>785</v>
      </c>
      <c r="S121" s="997"/>
      <c r="T121" s="16"/>
      <c r="U121" s="16"/>
      <c r="V121" s="77" t="s">
        <v>658</v>
      </c>
      <c r="W121" s="16"/>
      <c r="X121" s="75">
        <f ca="1">X119-X120</f>
        <v>4.7272532008394141E-15</v>
      </c>
      <c r="Y121" s="75">
        <f ca="1">Y119-Y120</f>
        <v>5.2148469372404207E-18</v>
      </c>
      <c r="Z121" s="75">
        <f ca="1">X121/Y121</f>
        <v>906.49893615879932</v>
      </c>
      <c r="AA121" s="1013">
        <f ca="1">Y121/Y119*AA119</f>
        <v>22.45851571130407</v>
      </c>
      <c r="AB121" s="997"/>
      <c r="AC121" s="16"/>
      <c r="AD121" s="16"/>
      <c r="AE121" s="16"/>
      <c r="AF121" s="16"/>
      <c r="AG121" s="16"/>
      <c r="AH121" s="16"/>
      <c r="AI121" s="16"/>
      <c r="AJ121" s="16"/>
      <c r="AK121" s="17"/>
      <c r="AL121" s="16"/>
    </row>
    <row r="122" spans="1:38" x14ac:dyDescent="0.2">
      <c r="A122" s="14"/>
      <c r="B122" s="15"/>
      <c r="C122" s="77"/>
      <c r="D122" s="999">
        <f ca="1">IF(D121&gt;(E153+(G153-E153)/2),G153,E153)</f>
        <v>11.8</v>
      </c>
      <c r="E122" s="16" t="s">
        <v>838</v>
      </c>
      <c r="F122" s="997"/>
      <c r="G122" s="16"/>
      <c r="H122" s="77" t="s">
        <v>654</v>
      </c>
      <c r="I122" s="16"/>
      <c r="J122" s="1043">
        <f ca="1">D115*D131/100</f>
        <v>1.5866684372044888E-15</v>
      </c>
      <c r="K122" s="75"/>
      <c r="L122" s="75"/>
      <c r="M122" s="1013">
        <f ca="1">100-SUM(M116:M118,M120:M121)</f>
        <v>0</v>
      </c>
      <c r="N122" s="997"/>
      <c r="O122" s="16"/>
      <c r="P122" s="77"/>
      <c r="Q122" s="999">
        <f ca="1">IF(Q121&gt;(E153+(G153-E153)/2),G153,E153)</f>
        <v>11.8</v>
      </c>
      <c r="R122" s="16" t="s">
        <v>838</v>
      </c>
      <c r="S122" s="997"/>
      <c r="T122" s="16"/>
      <c r="U122" s="16"/>
      <c r="V122" s="77" t="s">
        <v>654</v>
      </c>
      <c r="W122" s="16"/>
      <c r="X122" s="1043">
        <f ca="1">Q115*E131/100</f>
        <v>1.3998023589040554E-15</v>
      </c>
      <c r="Y122" s="75"/>
      <c r="Z122" s="75"/>
      <c r="AA122" s="1043">
        <f ca="1">100-SUM(AA116:AA118,AA120:AA121)</f>
        <v>0</v>
      </c>
      <c r="AB122" s="997"/>
      <c r="AC122" s="16"/>
      <c r="AD122" s="16"/>
      <c r="AE122" s="16"/>
      <c r="AF122" s="16"/>
      <c r="AG122" s="16"/>
      <c r="AH122" s="16"/>
      <c r="AI122" s="35"/>
      <c r="AJ122" s="16"/>
      <c r="AK122" s="17"/>
      <c r="AL122" s="16"/>
    </row>
    <row r="123" spans="1:38" x14ac:dyDescent="0.2">
      <c r="A123" s="14"/>
      <c r="B123" s="15"/>
      <c r="C123" s="77"/>
      <c r="D123" s="999">
        <f>IF(D116&lt;(19+((23-19)/2)), 19,IF(D116&lt;(23+((27-23)/2)),23,27))</f>
        <v>23</v>
      </c>
      <c r="E123" s="16" t="s">
        <v>839</v>
      </c>
      <c r="F123" s="997"/>
      <c r="G123" s="16"/>
      <c r="H123" s="77" t="s">
        <v>598</v>
      </c>
      <c r="I123" s="16"/>
      <c r="J123" s="75">
        <f ca="1">SUM(J116:J118)+SUM(J120:J122)</f>
        <v>2.8741049028062426E-14</v>
      </c>
      <c r="K123" s="75">
        <f ca="1">SUM(K116:K118)+SUM(K120:K122)</f>
        <v>3.4599569233934008E-17</v>
      </c>
      <c r="L123" s="16"/>
      <c r="M123" s="16"/>
      <c r="N123" s="997"/>
      <c r="O123" s="16"/>
      <c r="P123" s="77"/>
      <c r="Q123" s="999">
        <f>IF(Q116&lt;(19+((23-19)/2)), 19,IF(Q116&lt;(23+((27-23)/2)),23,27))</f>
        <v>23</v>
      </c>
      <c r="R123" s="16" t="s">
        <v>839</v>
      </c>
      <c r="S123" s="997"/>
      <c r="T123" s="16"/>
      <c r="U123" s="16"/>
      <c r="V123" s="77" t="s">
        <v>598</v>
      </c>
      <c r="W123" s="16"/>
      <c r="X123" s="75">
        <f ca="1">SUM(X116:X118)+SUM(X120:X122)</f>
        <v>2.5356140755999578E-14</v>
      </c>
      <c r="Y123" s="75">
        <f ca="1">SUM(Y116:Y118)+SUM(Y120:Y122)</f>
        <v>3.052468776404043E-17</v>
      </c>
      <c r="Z123" s="16"/>
      <c r="AA123" s="16"/>
      <c r="AB123" s="997"/>
      <c r="AC123" s="16"/>
      <c r="AD123" s="16"/>
      <c r="AE123" s="16"/>
      <c r="AF123" s="16"/>
      <c r="AG123" s="16"/>
      <c r="AH123" s="16"/>
      <c r="AI123" s="35"/>
      <c r="AJ123" s="16"/>
      <c r="AK123" s="17"/>
      <c r="AL123" s="16"/>
    </row>
    <row r="124" spans="1:38" x14ac:dyDescent="0.2">
      <c r="A124" s="14"/>
      <c r="B124" s="15"/>
      <c r="C124" s="66"/>
      <c r="D124" s="50" t="s">
        <v>841</v>
      </c>
      <c r="E124" s="50" t="s">
        <v>842</v>
      </c>
      <c r="F124" s="1023"/>
      <c r="G124" s="16"/>
      <c r="H124" s="1073" t="s">
        <v>840</v>
      </c>
      <c r="I124" s="1074">
        <f ca="1">K123/D114</f>
        <v>1.0954926513690493</v>
      </c>
      <c r="J124" s="1075"/>
      <c r="K124" s="1075">
        <f ca="1">D114*W131/100</f>
        <v>3.4660921708643958E-17</v>
      </c>
      <c r="L124" s="50"/>
      <c r="M124" s="50"/>
      <c r="N124" s="1023"/>
      <c r="O124" s="16"/>
      <c r="P124" s="66"/>
      <c r="Q124" s="50" t="s">
        <v>841</v>
      </c>
      <c r="R124" s="50" t="s">
        <v>842</v>
      </c>
      <c r="S124" s="1023"/>
      <c r="T124" s="16"/>
      <c r="U124" s="16"/>
      <c r="V124" s="66" t="s">
        <v>840</v>
      </c>
      <c r="W124" s="1074">
        <f ca="1">Y123/Q114</f>
        <v>1.0954926513690495</v>
      </c>
      <c r="X124" s="1075"/>
      <c r="Y124" s="1075">
        <f ca="1">Q114*X131/100</f>
        <v>3.0578814597857643E-17</v>
      </c>
      <c r="Z124" s="50"/>
      <c r="AA124" s="50"/>
      <c r="AB124" s="1023"/>
      <c r="AC124" s="16"/>
      <c r="AD124" s="16"/>
      <c r="AE124" s="16"/>
      <c r="AF124" s="16"/>
      <c r="AG124" s="16"/>
      <c r="AH124" s="16"/>
      <c r="AI124" s="16"/>
      <c r="AJ124" s="16"/>
      <c r="AK124" s="17"/>
      <c r="AL124" s="16"/>
    </row>
    <row r="125" spans="1:38" x14ac:dyDescent="0.2">
      <c r="A125" s="14"/>
      <c r="B125" s="15"/>
      <c r="C125" s="16"/>
      <c r="D125" s="16"/>
      <c r="E125" s="16"/>
      <c r="F125" s="16"/>
      <c r="G125" s="16"/>
      <c r="H125" s="16"/>
      <c r="I125" s="16"/>
      <c r="J125" s="16"/>
      <c r="K125" s="16"/>
      <c r="L125" s="16"/>
      <c r="M125" s="16"/>
      <c r="N125" s="16"/>
      <c r="O125" s="16"/>
      <c r="P125" s="16"/>
      <c r="Q125" s="16"/>
      <c r="R125" s="16"/>
      <c r="S125" s="16"/>
      <c r="T125" s="16"/>
      <c r="U125" s="16"/>
      <c r="V125" s="16"/>
      <c r="W125" s="16"/>
      <c r="X125" s="16"/>
      <c r="Y125" s="16"/>
      <c r="Z125" s="16"/>
      <c r="AA125" s="16"/>
      <c r="AB125" s="16"/>
      <c r="AC125" s="16"/>
      <c r="AD125" s="16"/>
      <c r="AE125" s="16"/>
      <c r="AF125" s="16"/>
      <c r="AG125" s="16"/>
      <c r="AH125" s="16"/>
      <c r="AI125" s="16"/>
      <c r="AJ125" s="16"/>
      <c r="AK125" s="17"/>
      <c r="AL125" s="16"/>
    </row>
    <row r="126" spans="1:38" ht="15" x14ac:dyDescent="0.25">
      <c r="A126" s="14"/>
      <c r="B126" s="15"/>
      <c r="C126" s="16"/>
      <c r="D126" s="16"/>
      <c r="E126" s="16"/>
      <c r="F126" s="16"/>
      <c r="G126" s="16"/>
      <c r="H126" s="16"/>
      <c r="I126" s="16"/>
      <c r="J126" s="16"/>
      <c r="K126" s="16"/>
      <c r="L126" s="16"/>
      <c r="M126" s="16"/>
      <c r="N126" s="16"/>
      <c r="O126" s="16"/>
      <c r="P126" s="161"/>
      <c r="Q126" s="161"/>
      <c r="R126" s="16"/>
      <c r="S126" s="717"/>
      <c r="T126" s="16"/>
      <c r="U126" s="35"/>
      <c r="V126" s="16"/>
      <c r="W126" s="16"/>
      <c r="X126" s="35"/>
      <c r="Y126" s="16"/>
      <c r="Z126" s="16"/>
      <c r="AA126" s="16"/>
      <c r="AB126" s="16"/>
      <c r="AC126" s="16"/>
      <c r="AD126" s="16"/>
      <c r="AE126" s="16"/>
      <c r="AF126" s="16"/>
      <c r="AG126" s="16"/>
      <c r="AH126" s="16"/>
      <c r="AI126" s="16"/>
      <c r="AJ126" s="16"/>
      <c r="AK126" s="17"/>
      <c r="AL126" s="16"/>
    </row>
    <row r="127" spans="1:38" ht="21" x14ac:dyDescent="0.35">
      <c r="A127" s="14"/>
      <c r="B127" s="1629"/>
      <c r="C127" s="1063" t="s">
        <v>1682</v>
      </c>
      <c r="D127" s="1062"/>
      <c r="E127" s="1062"/>
      <c r="F127" s="1062"/>
      <c r="G127" s="1062"/>
      <c r="H127" s="1062"/>
      <c r="I127" s="16"/>
      <c r="J127" s="35"/>
      <c r="K127" s="16"/>
      <c r="L127" s="16"/>
      <c r="M127" s="16"/>
      <c r="N127" s="16"/>
      <c r="O127" s="16"/>
      <c r="P127" s="161"/>
      <c r="Q127" s="161"/>
      <c r="R127" s="16"/>
      <c r="S127" s="717"/>
      <c r="T127" s="35"/>
      <c r="U127" s="16"/>
      <c r="V127" s="16"/>
      <c r="W127" s="35"/>
      <c r="X127" s="16"/>
      <c r="Y127" s="16"/>
      <c r="Z127" s="16"/>
      <c r="AA127" s="16"/>
      <c r="AB127" s="16"/>
      <c r="AC127" s="16"/>
      <c r="AD127" s="16"/>
      <c r="AE127" s="16"/>
      <c r="AF127" s="16"/>
      <c r="AG127" s="16"/>
      <c r="AH127" s="16"/>
      <c r="AI127" s="16"/>
      <c r="AJ127" s="16"/>
      <c r="AK127" s="17"/>
      <c r="AL127" s="14"/>
    </row>
    <row r="128" spans="1:38" ht="15" x14ac:dyDescent="0.25">
      <c r="A128" s="14"/>
      <c r="B128" s="15"/>
      <c r="C128" s="172"/>
      <c r="D128" s="16"/>
      <c r="E128" s="16"/>
      <c r="F128" s="16"/>
      <c r="G128" s="16"/>
      <c r="H128" s="16"/>
      <c r="I128" s="16"/>
      <c r="J128" s="16"/>
      <c r="K128" s="16"/>
      <c r="L128" s="16"/>
      <c r="M128" s="16"/>
      <c r="N128" s="16"/>
      <c r="O128" s="16"/>
      <c r="P128" s="161"/>
      <c r="Q128" s="16"/>
      <c r="R128" s="161"/>
      <c r="S128" s="16"/>
      <c r="T128" s="717"/>
      <c r="U128" s="35"/>
      <c r="V128" s="16"/>
      <c r="W128" s="16"/>
      <c r="X128" s="16"/>
      <c r="Y128" s="16"/>
      <c r="Z128" s="16"/>
      <c r="AA128" s="16"/>
      <c r="AB128" s="16"/>
      <c r="AC128" s="16"/>
      <c r="AD128" s="16"/>
      <c r="AE128" s="16"/>
      <c r="AF128" s="16"/>
      <c r="AG128" s="16"/>
      <c r="AH128" s="16"/>
      <c r="AI128" s="16"/>
      <c r="AJ128" s="172"/>
      <c r="AK128" s="17"/>
      <c r="AL128" s="14"/>
    </row>
    <row r="129" spans="1:38" ht="15" x14ac:dyDescent="0.25">
      <c r="A129" s="14"/>
      <c r="B129" s="15"/>
      <c r="C129" s="843" t="s">
        <v>847</v>
      </c>
      <c r="D129" s="16"/>
      <c r="E129" s="16"/>
      <c r="F129" s="16"/>
      <c r="G129" s="843" t="s">
        <v>1681</v>
      </c>
      <c r="H129" s="843"/>
      <c r="I129" s="16"/>
      <c r="J129" s="16"/>
      <c r="K129" s="16"/>
      <c r="L129" s="843" t="s">
        <v>1680</v>
      </c>
      <c r="M129" s="843"/>
      <c r="N129" s="16"/>
      <c r="O129" s="16"/>
      <c r="P129" s="161"/>
      <c r="Q129" s="843" t="s">
        <v>1679</v>
      </c>
      <c r="R129" s="843"/>
      <c r="S129" s="16"/>
      <c r="T129" s="717"/>
      <c r="U129" s="16"/>
      <c r="V129" s="843" t="s">
        <v>915</v>
      </c>
      <c r="W129" s="16"/>
      <c r="X129" s="16"/>
      <c r="Y129" s="16"/>
      <c r="Z129" s="843" t="s">
        <v>849</v>
      </c>
      <c r="AA129" s="16"/>
      <c r="AB129" s="16"/>
      <c r="AC129" s="16"/>
      <c r="AD129" s="843" t="s">
        <v>658</v>
      </c>
      <c r="AE129" s="16"/>
      <c r="AF129" s="16"/>
      <c r="AG129" s="16"/>
      <c r="AH129" s="843" t="s">
        <v>659</v>
      </c>
      <c r="AI129" s="16"/>
      <c r="AJ129" s="16"/>
      <c r="AK129" s="17"/>
      <c r="AL129" s="14"/>
    </row>
    <row r="130" spans="1:38" x14ac:dyDescent="0.2">
      <c r="A130" s="14"/>
      <c r="B130" s="15"/>
      <c r="C130" s="1051"/>
      <c r="D130" s="1058" t="s">
        <v>897</v>
      </c>
      <c r="E130" s="160" t="s">
        <v>899</v>
      </c>
      <c r="F130" s="1061"/>
      <c r="G130" s="1051"/>
      <c r="H130" s="164"/>
      <c r="I130" s="1052" t="s">
        <v>897</v>
      </c>
      <c r="J130" s="1053" t="s">
        <v>899</v>
      </c>
      <c r="K130" s="1050"/>
      <c r="L130" s="159"/>
      <c r="M130" s="1058"/>
      <c r="N130" s="1052" t="s">
        <v>897</v>
      </c>
      <c r="O130" s="1053" t="s">
        <v>899</v>
      </c>
      <c r="P130" s="16"/>
      <c r="Q130" s="1051"/>
      <c r="R130" s="1058"/>
      <c r="S130" s="1052" t="s">
        <v>897</v>
      </c>
      <c r="T130" s="1053" t="s">
        <v>899</v>
      </c>
      <c r="U130" s="1050"/>
      <c r="V130" s="1051"/>
      <c r="W130" s="1052" t="s">
        <v>897</v>
      </c>
      <c r="X130" s="1053" t="s">
        <v>899</v>
      </c>
      <c r="Y130" s="1050"/>
      <c r="Z130" s="1051"/>
      <c r="AA130" s="1052" t="s">
        <v>897</v>
      </c>
      <c r="AB130" s="1053" t="s">
        <v>899</v>
      </c>
      <c r="AC130" s="1050"/>
      <c r="AD130" s="1051"/>
      <c r="AE130" s="1052" t="s">
        <v>897</v>
      </c>
      <c r="AF130" s="1053" t="s">
        <v>899</v>
      </c>
      <c r="AG130" s="1050"/>
      <c r="AH130" s="1051"/>
      <c r="AI130" s="1052" t="s">
        <v>897</v>
      </c>
      <c r="AJ130" s="1053" t="s">
        <v>899</v>
      </c>
      <c r="AK130" s="1630"/>
      <c r="AL130" s="14"/>
    </row>
    <row r="131" spans="1:38" ht="17.25" x14ac:dyDescent="0.25">
      <c r="A131" s="14"/>
      <c r="B131" s="15"/>
      <c r="C131" s="77" t="str">
        <f>E152</f>
        <v>Wt%Coke</v>
      </c>
      <c r="D131" s="1028">
        <f ca="1">D135+(D120-D133)*(D136-D135)/(D134-D133)</f>
        <v>5.5205655007765522</v>
      </c>
      <c r="E131" s="1049">
        <f ca="1">E135+(Q120-E133)*(E136-E135)/(E134-E133)</f>
        <v>5.5205655007765522</v>
      </c>
      <c r="F131" s="16"/>
      <c r="G131" s="77" t="str">
        <f>K152</f>
        <v>Wt% Fuel Gas (C2 and Ligher)</v>
      </c>
      <c r="H131" s="16"/>
      <c r="I131" s="1028">
        <f ca="1">I135+(D120-I133)*(I136-I135)/(I134-I133)</f>
        <v>5.3115236927283327</v>
      </c>
      <c r="J131" s="1049">
        <f ca="1">J135+(Q120-J133)*(J136-J135)/(J134-J133)</f>
        <v>5.3115236927283327</v>
      </c>
      <c r="K131" s="16"/>
      <c r="L131" s="77" t="str">
        <f>Q152</f>
        <v>LPG (C3&amp;C4) Liquid Vol %</v>
      </c>
      <c r="M131" s="16"/>
      <c r="N131" s="1028">
        <f ca="1">N135+(D120-N133)*(N136-N135)/(N134-N133)</f>
        <v>26.449529291902145</v>
      </c>
      <c r="O131" s="1060">
        <f ca="1">O135+(Q120-O133)*(O136-O135)/(O134-O133)</f>
        <v>26.449529291902145</v>
      </c>
      <c r="P131" s="16"/>
      <c r="Q131" s="77" t="s">
        <v>1240</v>
      </c>
      <c r="R131" s="16"/>
      <c r="S131" s="1028">
        <f ca="1">S135+(D120-S133)*(S136-S135)/(S134-S133)</f>
        <v>57.665264514228483</v>
      </c>
      <c r="T131" s="1049">
        <f ca="1">T135+(Q120-T133)*(T136-T135)/(T134-T133)</f>
        <v>57.665264514228483</v>
      </c>
      <c r="U131" s="16"/>
      <c r="V131" s="77" t="str">
        <f>AC152</f>
        <v>LPG, C3+C4</v>
      </c>
      <c r="W131" s="1028">
        <f ca="1">W135+($D$120-W133)*(W136-W135)/(W134-W133)</f>
        <v>109.74351953566241</v>
      </c>
      <c r="X131" s="1049">
        <f ca="1">X135+($Q$120-X133)*(X136-X135)/(X134-X133)</f>
        <v>109.74351953566241</v>
      </c>
      <c r="Y131" s="16"/>
      <c r="Z131" s="77" t="str">
        <f>E174</f>
        <v>C5+</v>
      </c>
      <c r="AA131" s="1028">
        <f ca="1">AA135+($D$120-AA133)*(AA136-AA135)/(AA134-AA133)</f>
        <v>83.098128225594976</v>
      </c>
      <c r="AB131" s="1049">
        <f ca="1">AB135+($Q$120-AB133)*(AB136-AB135)/(AB134-AB133)</f>
        <v>83.098128225594976</v>
      </c>
      <c r="AC131" s="16"/>
      <c r="AD131" s="77" t="str">
        <f>K174</f>
        <v>LGO</v>
      </c>
      <c r="AE131" s="1028">
        <f ca="1">AE135+($D$120-AE133)*(AE136-AE135)/(AE134-AE133)</f>
        <v>25.194254398757476</v>
      </c>
      <c r="AF131" s="1049">
        <f ca="1">AF135+($Q$120-AF133)*(AF136-AF135)/(AF134-AF133)</f>
        <v>25.194254398757476</v>
      </c>
      <c r="AG131" s="16"/>
      <c r="AH131" s="77" t="str">
        <f>Q174</f>
        <v>HGO</v>
      </c>
      <c r="AI131" s="1028">
        <f ca="1">AI135+($D$120-AI133)*(AI136-AI135)/(AI134-AI133)</f>
        <v>6.2845702405799422</v>
      </c>
      <c r="AJ131" s="1049">
        <f ca="1">AJ135+($Q$120-AJ133)*(AJ136-AJ135)/(AJ134-AJ133)</f>
        <v>6.2845702405799422</v>
      </c>
      <c r="AK131" s="79"/>
      <c r="AL131" s="14"/>
    </row>
    <row r="132" spans="1:38" x14ac:dyDescent="0.2">
      <c r="A132" s="14"/>
      <c r="B132" s="15"/>
      <c r="C132" s="77"/>
      <c r="D132" s="16"/>
      <c r="E132" s="997"/>
      <c r="F132" s="16"/>
      <c r="G132" s="77"/>
      <c r="H132" s="16"/>
      <c r="I132" s="16"/>
      <c r="J132" s="997"/>
      <c r="K132" s="16"/>
      <c r="L132" s="77"/>
      <c r="M132" s="16"/>
      <c r="N132" s="16"/>
      <c r="O132" s="997"/>
      <c r="P132" s="16"/>
      <c r="Q132" s="77"/>
      <c r="R132" s="16"/>
      <c r="S132" s="16"/>
      <c r="T132" s="997"/>
      <c r="U132" s="16"/>
      <c r="V132" s="77" t="str">
        <f>V131</f>
        <v>LPG, C3+C4</v>
      </c>
      <c r="W132" s="1028">
        <f ca="1">W131-AA131</f>
        <v>26.645391310067438</v>
      </c>
      <c r="X132" s="1049">
        <f ca="1">X131-AB131</f>
        <v>26.645391310067438</v>
      </c>
      <c r="Y132" s="16"/>
      <c r="Z132" s="77"/>
      <c r="AA132" s="1028">
        <f ca="1">AA131-AE131</f>
        <v>57.903873826837497</v>
      </c>
      <c r="AB132" s="1049">
        <f ca="1">AB131-AF131</f>
        <v>57.903873826837497</v>
      </c>
      <c r="AC132" s="16"/>
      <c r="AD132" s="77"/>
      <c r="AE132" s="16"/>
      <c r="AF132" s="997"/>
      <c r="AG132" s="16"/>
      <c r="AH132" s="77"/>
      <c r="AI132" s="16"/>
      <c r="AJ132" s="997"/>
      <c r="AK132" s="17"/>
      <c r="AL132" s="14"/>
    </row>
    <row r="133" spans="1:38" ht="15" x14ac:dyDescent="0.25">
      <c r="A133" s="14"/>
      <c r="B133" s="15"/>
      <c r="C133" s="1054" t="s">
        <v>800</v>
      </c>
      <c r="D133" s="35">
        <f ca="1">IF(D122=E153,VLOOKUP(D120,E155:F165, 1, TRUE),VLOOKUP(D120,G155:H165, 1, TRUE))</f>
        <v>74.988600000000005</v>
      </c>
      <c r="E133" s="1042">
        <f ca="1">IF(Q122=E153,VLOOKUP(Q120,E155:F165, 1, TRUE),VLOOKUP(Q120,G155:H165, 1, TRUE))</f>
        <v>74.988600000000005</v>
      </c>
      <c r="F133" s="35"/>
      <c r="G133" s="77"/>
      <c r="H133" s="720" t="s">
        <v>800</v>
      </c>
      <c r="I133" s="35">
        <f ca="1">IF(D122=K153,VLOOKUP(D120,K155:L165, 1, TRUE),VLOOKUP(D120,M155:N165, 1, TRUE))</f>
        <v>70.077699999999993</v>
      </c>
      <c r="J133" s="1042">
        <f ca="1">IF(Q122=K153,VLOOKUP(Q120,K155:L165, 1, TRUE),VLOOKUP(Q120,M155:N165, 1, TRUE))</f>
        <v>70.077699999999993</v>
      </c>
      <c r="K133" s="16"/>
      <c r="L133" s="77"/>
      <c r="M133" s="720" t="s">
        <v>800</v>
      </c>
      <c r="N133" s="35">
        <f ca="1">IF($D$122=Q153,VLOOKUP($D$120,Q155:R161, 1, TRUE),VLOOKUP($D$120,S155:T161, 1, TRUE))</f>
        <v>74.7727</v>
      </c>
      <c r="O133" s="1042">
        <f ca="1">IF($Q$122=Q153,VLOOKUP($Q$120,Q155:R161, 1, TRUE),VLOOKUP($Q$120,S155:T161, 1, TRUE))</f>
        <v>74.7727</v>
      </c>
      <c r="P133" s="16"/>
      <c r="Q133" s="77"/>
      <c r="R133" s="720" t="s">
        <v>800</v>
      </c>
      <c r="S133" s="35">
        <f ca="1">IF($D$122=W153,VLOOKUP($D$120,W155:X161, 1, TRUE),VLOOKUP($D$120,Y155:Z161, 1, TRUE))</f>
        <v>69.925600000000003</v>
      </c>
      <c r="T133" s="1042">
        <f ca="1">IF($Q$122=W153,VLOOKUP($Q$120,W155:X161, 1, TRUE),VLOOKUP($Q$120,Y155:Z161, 1, TRUE))</f>
        <v>69.925600000000003</v>
      </c>
      <c r="U133" s="16"/>
      <c r="V133" s="1054" t="s">
        <v>800</v>
      </c>
      <c r="W133" s="35">
        <f ca="1">IF($D$122&lt;=AE152,VLOOKUP($D$120,AC155:AD161, 1, TRUE),VLOOKUP($D$120,AE155:AF161, 1, TRUE))</f>
        <v>69.872900000000001</v>
      </c>
      <c r="X133" s="1042">
        <f ca="1">IF($Q$122&lt;=AE152,VLOOKUP($Q$120,AC155:AD161, 1, TRUE),VLOOKUP($Q$120,AE155:AF161, 1, TRUE))</f>
        <v>69.872900000000001</v>
      </c>
      <c r="Y133" s="16"/>
      <c r="Z133" s="1054" t="s">
        <v>800</v>
      </c>
      <c r="AA133" s="35">
        <f ca="1">IF($D$122=E175,VLOOKUP($D$120,E177:F183, 1, TRUE),VLOOKUP($D$120,G177:H183, 1, TRUE))</f>
        <v>69.872900000000001</v>
      </c>
      <c r="AB133" s="1042">
        <f ca="1">IF($Q$122=E175,VLOOKUP($Q$120,E177:F183, 1, TRUE),VLOOKUP($Q$120,G177:H183, 1, TRUE))</f>
        <v>69.872900000000001</v>
      </c>
      <c r="AC133" s="720"/>
      <c r="AD133" s="1054" t="s">
        <v>800</v>
      </c>
      <c r="AE133" s="35">
        <f ca="1">IF($D$122=K175,VLOOKUP($D$120,K177:L183, 1, TRUE),VLOOKUP($D$120,M177:N183, 1, TRUE))</f>
        <v>70</v>
      </c>
      <c r="AF133" s="1042">
        <f ca="1">IF($Q$122=K175,VLOOKUP($Q$120,K177:L183, 1, TRUE),VLOOKUP($Q$120,M177:N183, 1, TRUE))</f>
        <v>70</v>
      </c>
      <c r="AG133" s="720"/>
      <c r="AH133" s="1054" t="s">
        <v>800</v>
      </c>
      <c r="AI133" s="35">
        <f ca="1">IF($D$122=Q175,VLOOKUP($D$120,Q177:R183, 1, TRUE),VLOOKUP($D$120,S177:T183, 1, TRUE))</f>
        <v>69.872900000000001</v>
      </c>
      <c r="AJ133" s="1042">
        <f ca="1">IF($Q$122=Q175,VLOOKUP($Q$120,Q177:R183, 1, TRUE),VLOOKUP($Q$120,S177:T183, 1, TRUE))</f>
        <v>69.872900000000001</v>
      </c>
      <c r="AK133" s="1631"/>
      <c r="AL133" s="14"/>
    </row>
    <row r="134" spans="1:38" ht="15" x14ac:dyDescent="0.25">
      <c r="A134" s="14"/>
      <c r="B134" s="15"/>
      <c r="C134" s="1054" t="s">
        <v>801</v>
      </c>
      <c r="D134" s="35">
        <f ca="1">IF(D122=E153,INDEX(E155:F165,MATCH(D133,E155:E165,0)+1,1),INDEX(G155:H165,MATCH(D133,G155:G165,0)+1,1))</f>
        <v>80.010800000000003</v>
      </c>
      <c r="E134" s="1042">
        <f ca="1">IF(Q122=E153,INDEX(E155:F165,MATCH(E133,E155:E165,0)+1,1),INDEX(G155:H165,MATCH(D133,G155:G165,0)+1,1))</f>
        <v>80.010800000000003</v>
      </c>
      <c r="F134" s="35"/>
      <c r="G134" s="77"/>
      <c r="H134" s="720" t="s">
        <v>801</v>
      </c>
      <c r="I134" s="35">
        <f ca="1">IF(D122=K153,INDEX(K155:L165,MATCH(I133,K155:K165,0)+1,1),INDEX(M155:N165,MATCH(I133,M155:M165,0)+1,1))</f>
        <v>75.0518</v>
      </c>
      <c r="J134" s="1042">
        <f ca="1">IF(Q122=K153,INDEX(K155:L165,MATCH(J133,K155:K165,0)+1,1),INDEX(M155:N165,MATCH(J133,M155:M165,0)+1,1))</f>
        <v>75.0518</v>
      </c>
      <c r="K134" s="16"/>
      <c r="L134" s="77"/>
      <c r="M134" s="720" t="s">
        <v>801</v>
      </c>
      <c r="N134" s="35">
        <f ca="1">IF($D$122=Q153,INDEX(Q155:R165,MATCH(N133,Q155:Q165,0)+1,1),INDEX(S155:T165,MATCH(N133,S155:S165,0)+1,1))</f>
        <v>79.886399999999995</v>
      </c>
      <c r="O134" s="1042">
        <f ca="1">IF($Q$122=Q153,INDEX(Q155:R165,MATCH(O133,Q155:Q165,0)+1,1),INDEX(S155:T165,MATCH(O133,S155:S165,0)+1,1))</f>
        <v>79.886399999999995</v>
      </c>
      <c r="P134" s="16"/>
      <c r="Q134" s="77"/>
      <c r="R134" s="720" t="s">
        <v>801</v>
      </c>
      <c r="S134" s="35">
        <f ca="1">IF($D$122=W153,INDEX(W155:X165,MATCH(S133,W155:W165,0)+1,1),INDEX(Y155:Z165,MATCH(S133,Y155:Y165,0)+1,1))</f>
        <v>75.017499999999998</v>
      </c>
      <c r="T134" s="1042">
        <f ca="1">IF($Q$122=W153,INDEX(W155:X165,MATCH(T133,W155:W165,0)+1,1),INDEX(Y155:Z165,MATCH(T133,Y155:Y165,0)+1,1))</f>
        <v>75.017499999999998</v>
      </c>
      <c r="U134" s="16"/>
      <c r="V134" s="1054" t="s">
        <v>801</v>
      </c>
      <c r="W134" s="35">
        <f ca="1">IF($D$122&lt;=AE152,INDEX(AC155:AD165,MATCH(W133,AC155:AC165,0)+1,1),INDEX(AE155:AF165,MATCH(W133,AE155:AE165,0)+1,1))</f>
        <v>79.7881</v>
      </c>
      <c r="X134" s="1042">
        <f ca="1">IF($Q$122&lt;=AE152,INDEX(AC155:AD165,MATCH(X133,AC155:AC165,0)+1,1),INDEX(AE155:AF165,MATCH(X133,AE155:AE165,0)+1,1))</f>
        <v>79.7881</v>
      </c>
      <c r="Y134" s="16"/>
      <c r="Z134" s="1054" t="s">
        <v>801</v>
      </c>
      <c r="AA134" s="35">
        <f ca="1">IF($D$122=E175,INDEX(E177:F187,MATCH(AA133,E177:E187,0)+1,1),INDEX(G177:H187,MATCH(AA133,G177:G187,0)+1,1))</f>
        <v>79.406800000000004</v>
      </c>
      <c r="AB134" s="1042">
        <f ca="1">IF($Q$122=E175,INDEX(E177:F187,MATCH(AB133,E177:E187,0)+1,1),INDEX(G177:H187,MATCH(AB133,G177:G187,0)+1,1))</f>
        <v>79.406800000000004</v>
      </c>
      <c r="AC134" s="720"/>
      <c r="AD134" s="1054" t="s">
        <v>801</v>
      </c>
      <c r="AE134" s="35">
        <f ca="1">IF($D$122=K175,INDEX(K177:L187,MATCH(AE133,K177:K187,0)+1,1),INDEX(M177:N187,MATCH(AE133,M177:M187,0)+1,1))</f>
        <v>79.915300000000002</v>
      </c>
      <c r="AF134" s="1042">
        <f ca="1">IF($Q$122=K175,INDEX(K177:L187,MATCH(AF133,K177:K187,0)+1,1),INDEX(M177:N187,MATCH(AF133,M177:M187,0)+1,1))</f>
        <v>79.915300000000002</v>
      </c>
      <c r="AG134" s="720"/>
      <c r="AH134" s="1054" t="s">
        <v>801</v>
      </c>
      <c r="AI134" s="35">
        <f ca="1">IF($D$122=Q175,INDEX(Q177:R187,MATCH(AI133,Q177:Q187,0)+1,1),INDEX(S177:T187,MATCH(AI133,S177:S187,0)+1,1))</f>
        <v>79.915300000000002</v>
      </c>
      <c r="AJ134" s="1042">
        <f ca="1">IF($Q$122=Q175,INDEX(Q177:R187,MATCH(AJ133,Q177:Q187,0)+1,1),INDEX(S177:T187,MATCH(AJ133,S177:S187,0)+1,1))</f>
        <v>79.915300000000002</v>
      </c>
      <c r="AK134" s="1631"/>
      <c r="AL134" s="14"/>
    </row>
    <row r="135" spans="1:38" ht="15" x14ac:dyDescent="0.25">
      <c r="A135" s="14"/>
      <c r="B135" s="15"/>
      <c r="C135" s="1054" t="s">
        <v>802</v>
      </c>
      <c r="D135" s="35">
        <f ca="1">IF(D122=E153,VLOOKUP(D133,E155:F165, 2, TRUE),VLOOKUP(D133,G155:H165, 2, TRUE))</f>
        <v>5.5201799999999999</v>
      </c>
      <c r="E135" s="1042">
        <f ca="1">IF(Q122=E153,VLOOKUP(E133,E155:F165, 2, TRUE),VLOOKUP(E133,G155:H165, 2, TRUE))</f>
        <v>5.5201799999999999</v>
      </c>
      <c r="F135" s="35"/>
      <c r="G135" s="77"/>
      <c r="H135" s="720" t="s">
        <v>802</v>
      </c>
      <c r="I135" s="35">
        <f ca="1">IF(D122=K153,VLOOKUP(I133,K155:L165, 2, TRUE),VLOOKUP(I133,M155:N165, 2, TRUE))</f>
        <v>5.21875</v>
      </c>
      <c r="J135" s="1042">
        <f ca="1">IF(Q122=K153,VLOOKUP(J133,K155:L165, 2, TRUE),VLOOKUP(J133,M155:N165, 2, TRUE))</f>
        <v>5.21875</v>
      </c>
      <c r="K135" s="16"/>
      <c r="L135" s="77"/>
      <c r="M135" s="720" t="s">
        <v>802</v>
      </c>
      <c r="N135" s="35">
        <f ca="1">IF($D$122=Q153,VLOOKUP(N133,Q155:R165, 2, TRUE),VLOOKUP(N133,S155:T165, 2, TRUE))</f>
        <v>26.3218</v>
      </c>
      <c r="O135" s="1042">
        <f ca="1">IF($Q$122=Q153,VLOOKUP(O133,Q155:R165, 2, TRUE),VLOOKUP(O133,S155:T165, 2, TRUE))</f>
        <v>26.3218</v>
      </c>
      <c r="P135" s="16"/>
      <c r="Q135" s="77"/>
      <c r="R135" s="720" t="s">
        <v>802</v>
      </c>
      <c r="S135" s="35">
        <f ca="1">IF($D$122=W153,VLOOKUP(S133,W155:X165, 2, TRUE),VLOOKUP(S133,Y155:Z165, 2, TRUE))</f>
        <v>54.059399999999997</v>
      </c>
      <c r="T135" s="1042">
        <f ca="1">IF($Q$122=W153,VLOOKUP(T133,W155:X165, 2, TRUE),VLOOKUP(T133,Y155:Z165, 2, TRUE))</f>
        <v>54.059399999999997</v>
      </c>
      <c r="U135" s="16"/>
      <c r="V135" s="1054" t="s">
        <v>802</v>
      </c>
      <c r="W135" s="35">
        <f ca="1">IF($D$122&lt;=AE152,VLOOKUP(W133,AC155:AD165, 2, TRUE),VLOOKUP(W133,AE155:AF165, 2, TRUE))</f>
        <v>108.41200000000001</v>
      </c>
      <c r="X135" s="1042">
        <f ca="1">IF($Q$122&lt;=AE152,VLOOKUP(X133,AC155:AD165, 2, TRUE),VLOOKUP(X133,AE155:AF165, 2, TRUE))</f>
        <v>108.41200000000001</v>
      </c>
      <c r="Y135" s="16"/>
      <c r="Z135" s="1054" t="s">
        <v>802</v>
      </c>
      <c r="AA135" s="35">
        <f ca="1">IF($D$122=E175,VLOOKUP(AA133,E177:F187, 2, TRUE),VLOOKUP(AA133,G177:H187, 2, TRUE))</f>
        <v>84.206000000000003</v>
      </c>
      <c r="AB135" s="1042">
        <f ca="1">IF($Q$122=E175,VLOOKUP(AB133,E177:F187, 2, TRUE),VLOOKUP(AB133,G177:H187, 2, TRUE))</f>
        <v>84.206000000000003</v>
      </c>
      <c r="AC135" s="720"/>
      <c r="AD135" s="1054" t="s">
        <v>802</v>
      </c>
      <c r="AE135" s="35">
        <f ca="1">IF($D$122=K175,VLOOKUP(AE133,K177:L187, 2, TRUE),VLOOKUP(AE133,M177:N187, 2, TRUE))</f>
        <v>30.128799999999998</v>
      </c>
      <c r="AF135" s="1042">
        <f ca="1">IF($Q$122=K175,VLOOKUP(AF133,K177:L187, 2, TRUE),VLOOKUP(AF133,M177:N187, 2, TRUE))</f>
        <v>30.128799999999998</v>
      </c>
      <c r="AG135" s="720"/>
      <c r="AH135" s="1054" t="s">
        <v>802</v>
      </c>
      <c r="AI135" s="35">
        <f ca="1">IF($D$122=Q175,VLOOKUP(AI133,Q177:R187, 2, TRUE),VLOOKUP(AI133,S177:T187, 2, TRUE))</f>
        <v>7.4678100000000001</v>
      </c>
      <c r="AJ135" s="1042">
        <f ca="1">IF($Q$122=Q175,VLOOKUP(AJ133,Q177:R187, 2, TRUE),VLOOKUP(AJ133,S177:T187, 2, TRUE))</f>
        <v>7.4678100000000001</v>
      </c>
      <c r="AK135" s="1631"/>
      <c r="AL135" s="14"/>
    </row>
    <row r="136" spans="1:38" ht="15" x14ac:dyDescent="0.25">
      <c r="A136" s="14"/>
      <c r="B136" s="15"/>
      <c r="C136" s="1056" t="s">
        <v>803</v>
      </c>
      <c r="D136" s="1048">
        <f ca="1">IF(D122=E153,VLOOKUP(D134,E155:F165,2,TRUE),VLOOKUP(D134,G155:H165,2,TRUE))</f>
        <v>5.69001</v>
      </c>
      <c r="E136" s="1057">
        <f ca="1">IF(Q122=E153,VLOOKUP(E134,E155:F165,2,TRUE),VLOOKUP(E134,G155:H165,2,TRUE))</f>
        <v>5.69001</v>
      </c>
      <c r="F136" s="35"/>
      <c r="G136" s="66"/>
      <c r="H136" s="1059" t="s">
        <v>803</v>
      </c>
      <c r="I136" s="1048">
        <f ca="1">IF(D122=K153,VLOOKUP(I134,K155:L165,2,TRUE),VLOOKUP(I134,M155:N165,2,TRUE))</f>
        <v>5.3125</v>
      </c>
      <c r="J136" s="1057">
        <f ca="1">IF(Q122=K153,VLOOKUP(J134,K155:L165,2,TRUE),VLOOKUP(J134,M155:N165,2,TRUE))</f>
        <v>5.3125</v>
      </c>
      <c r="K136" s="16"/>
      <c r="L136" s="66"/>
      <c r="M136" s="1059" t="s">
        <v>803</v>
      </c>
      <c r="N136" s="1048">
        <f ca="1">IF($D$122=Q153,VLOOKUP(N134,Q155:R165,2,TRUE),VLOOKUP(N134,S155:T165,2,TRUE))</f>
        <v>29.195399999999999</v>
      </c>
      <c r="O136" s="1057">
        <f ca="1">IF($Q$122=Q153,VLOOKUP(O134,Q155:R165,2,TRUE),VLOOKUP(O134,S155:T165,2,TRUE))</f>
        <v>29.195399999999999</v>
      </c>
      <c r="P136" s="16"/>
      <c r="Q136" s="66"/>
      <c r="R136" s="1059" t="s">
        <v>803</v>
      </c>
      <c r="S136" s="1048">
        <f ca="1">IF($D$122=W153,VLOOKUP(S134,W155:X165,2,TRUE),VLOOKUP(S134,Y155:Z165,2,TRUE))</f>
        <v>57.677700000000002</v>
      </c>
      <c r="T136" s="1057">
        <f ca="1">IF($Q$122=W153,VLOOKUP(T134,W155:X165,2,TRUE),VLOOKUP(T134,Y155:Z165,2,TRUE))</f>
        <v>57.677700000000002</v>
      </c>
      <c r="U136" s="16"/>
      <c r="V136" s="1056" t="s">
        <v>803</v>
      </c>
      <c r="W136" s="1048">
        <f ca="1">IF($D$122&lt;=AE152,VLOOKUP(W134,AC155:AD165,2,TRUE),VLOOKUP(W134,AE155:AF165,2,TRUE))</f>
        <v>110.98699999999999</v>
      </c>
      <c r="X136" s="1057">
        <f ca="1">IF($Q$122&lt;=AE152,VLOOKUP(X134,AC155:AD165,2,TRUE),VLOOKUP(X134,AE155:AF165,2,TRUE))</f>
        <v>110.98699999999999</v>
      </c>
      <c r="Y136" s="16"/>
      <c r="Z136" s="1056" t="s">
        <v>803</v>
      </c>
      <c r="AA136" s="1048">
        <f ca="1">IF($D$122=E175,VLOOKUP(AA134,E177:F187,2,TRUE),VLOOKUP(AA134,G177:H187,2,TRUE))</f>
        <v>82.145899999999997</v>
      </c>
      <c r="AB136" s="1057">
        <f ca="1">IF($Q$122=E175,VLOOKUP(AB134,E177:F187,2,TRUE),VLOOKUP(AB134,G177:H187,2,TRUE))</f>
        <v>82.145899999999997</v>
      </c>
      <c r="AC136" s="720"/>
      <c r="AD136" s="1056" t="s">
        <v>803</v>
      </c>
      <c r="AE136" s="1048">
        <f ca="1">IF($D$122=K175,VLOOKUP(AE134,K177:L187,2,TRUE),VLOOKUP(AE134,M177:N187,2,TRUE))</f>
        <v>20.343299999999999</v>
      </c>
      <c r="AF136" s="1057">
        <f ca="1">IF($Q$122=K175,VLOOKUP(AF134,K177:L187,2,TRUE),VLOOKUP(AF134,M177:N187,2,TRUE))</f>
        <v>20.343299999999999</v>
      </c>
      <c r="AG136" s="720"/>
      <c r="AH136" s="1056" t="s">
        <v>803</v>
      </c>
      <c r="AI136" s="1048">
        <f ca="1">IF($D$122=Q175,VLOOKUP(AI134,Q177:R187,2,TRUE),VLOOKUP(AI134,S177:T187,2,TRUE))</f>
        <v>5.1502100000000004</v>
      </c>
      <c r="AJ136" s="1057">
        <f ca="1">IF($Q$122=Q175,VLOOKUP(AJ134,Q177:R187,2,TRUE),VLOOKUP(AJ134,S177:T187,2,TRUE))</f>
        <v>5.1502100000000004</v>
      </c>
      <c r="AK136" s="1631"/>
      <c r="AL136" s="14"/>
    </row>
    <row r="137" spans="1:38" x14ac:dyDescent="0.2">
      <c r="A137" s="14"/>
      <c r="B137" s="15"/>
      <c r="C137" s="16"/>
      <c r="D137" s="16"/>
      <c r="E137" s="16"/>
      <c r="F137" s="16"/>
      <c r="G137" s="16"/>
      <c r="H137" s="16"/>
      <c r="I137" s="16"/>
      <c r="J137" s="16"/>
      <c r="K137" s="16"/>
      <c r="L137" s="16"/>
      <c r="M137" s="16"/>
      <c r="N137" s="16"/>
      <c r="O137" s="16"/>
      <c r="P137" s="16"/>
      <c r="Q137" s="16"/>
      <c r="R137" s="16"/>
      <c r="S137" s="16"/>
      <c r="T137" s="16"/>
      <c r="U137" s="16"/>
      <c r="V137" s="16"/>
      <c r="W137" s="16"/>
      <c r="X137" s="16"/>
      <c r="Y137" s="16"/>
      <c r="Z137" s="16"/>
      <c r="AA137" s="16"/>
      <c r="AB137" s="16"/>
      <c r="AC137" s="16"/>
      <c r="AD137" s="16"/>
      <c r="AE137" s="16"/>
      <c r="AF137" s="16"/>
      <c r="AG137" s="16"/>
      <c r="AH137" s="16"/>
      <c r="AI137" s="16"/>
      <c r="AJ137" s="35"/>
      <c r="AK137" s="17"/>
      <c r="AL137" s="14"/>
    </row>
    <row r="138" spans="1:38" ht="21" x14ac:dyDescent="0.35">
      <c r="A138" s="14"/>
      <c r="B138" s="1629"/>
      <c r="C138" s="1063" t="s">
        <v>1683</v>
      </c>
      <c r="D138" s="1063"/>
      <c r="E138" s="1063"/>
      <c r="F138" s="1063"/>
      <c r="G138" s="1063"/>
      <c r="H138" s="1076"/>
      <c r="I138" s="16"/>
      <c r="J138" s="16"/>
      <c r="K138" s="16"/>
      <c r="L138" s="16"/>
      <c r="M138" s="16"/>
      <c r="N138" s="16"/>
      <c r="O138" s="35"/>
      <c r="P138" s="16"/>
      <c r="Q138" s="16"/>
      <c r="R138" s="16"/>
      <c r="S138" s="16"/>
      <c r="T138" s="16"/>
      <c r="U138" s="16"/>
      <c r="V138" s="16"/>
      <c r="W138" s="16"/>
      <c r="X138" s="16"/>
      <c r="Y138" s="16"/>
      <c r="Z138" s="16"/>
      <c r="AA138" s="16"/>
      <c r="AB138" s="16"/>
      <c r="AC138" s="16"/>
      <c r="AD138" s="16"/>
      <c r="AE138" s="16"/>
      <c r="AF138" s="16"/>
      <c r="AG138" s="16"/>
      <c r="AH138" s="16"/>
      <c r="AI138" s="16"/>
      <c r="AJ138" s="35"/>
      <c r="AK138" s="17"/>
      <c r="AL138" s="14"/>
    </row>
    <row r="139" spans="1:38" x14ac:dyDescent="0.2">
      <c r="A139" s="14"/>
      <c r="B139" s="15"/>
      <c r="C139" s="16"/>
      <c r="D139" s="16"/>
      <c r="E139" s="16"/>
      <c r="F139" s="16"/>
      <c r="G139" s="16"/>
      <c r="H139" s="16"/>
      <c r="I139" s="16"/>
      <c r="J139" s="16"/>
      <c r="K139" s="16"/>
      <c r="L139" s="16"/>
      <c r="M139" s="16"/>
      <c r="N139" s="16"/>
      <c r="O139" s="16"/>
      <c r="P139" s="16"/>
      <c r="Q139" s="16"/>
      <c r="R139" s="16"/>
      <c r="S139" s="16"/>
      <c r="T139" s="16"/>
      <c r="U139" s="16"/>
      <c r="V139" s="16"/>
      <c r="W139" s="16"/>
      <c r="X139" s="16"/>
      <c r="Y139" s="16"/>
      <c r="Z139" s="16"/>
      <c r="AA139" s="16"/>
      <c r="AB139" s="16"/>
      <c r="AC139" s="16"/>
      <c r="AD139" s="16"/>
      <c r="AE139" s="16"/>
      <c r="AF139" s="16"/>
      <c r="AG139" s="16"/>
      <c r="AH139" s="16"/>
      <c r="AI139" s="16"/>
      <c r="AJ139" s="35"/>
      <c r="AK139" s="17"/>
      <c r="AL139" s="16"/>
    </row>
    <row r="140" spans="1:38" x14ac:dyDescent="0.2">
      <c r="A140" s="14"/>
      <c r="B140" s="15"/>
      <c r="C140" s="843" t="s">
        <v>659</v>
      </c>
      <c r="D140" s="16"/>
      <c r="E140" s="16"/>
      <c r="F140" s="16"/>
      <c r="G140" s="16"/>
      <c r="H140" s="843" t="s">
        <v>902</v>
      </c>
      <c r="I140" s="16"/>
      <c r="J140" s="16"/>
      <c r="K140" s="16"/>
      <c r="L140" s="16"/>
      <c r="M140" s="843" t="s">
        <v>592</v>
      </c>
      <c r="N140" s="16"/>
      <c r="O140" s="16"/>
      <c r="P140" s="16"/>
      <c r="Q140" s="16"/>
      <c r="R140" s="16"/>
      <c r="S140" s="16"/>
      <c r="T140" s="16"/>
      <c r="U140" s="16"/>
      <c r="V140" s="16"/>
      <c r="W140" s="16"/>
      <c r="X140" s="16"/>
      <c r="Y140" s="16"/>
      <c r="Z140" s="16"/>
      <c r="AA140" s="16"/>
      <c r="AB140" s="16"/>
      <c r="AC140" s="16"/>
      <c r="AD140" s="16"/>
      <c r="AE140" s="16"/>
      <c r="AF140" s="16"/>
      <c r="AG140" s="16"/>
      <c r="AH140" s="16"/>
      <c r="AI140" s="16"/>
      <c r="AJ140" s="35"/>
      <c r="AK140" s="17"/>
      <c r="AL140" s="16"/>
    </row>
    <row r="141" spans="1:38" x14ac:dyDescent="0.2">
      <c r="A141" s="14"/>
      <c r="B141" s="15"/>
      <c r="C141" s="159"/>
      <c r="D141" s="1052" t="s">
        <v>897</v>
      </c>
      <c r="E141" s="1052" t="s">
        <v>899</v>
      </c>
      <c r="F141" s="160"/>
      <c r="G141" s="1050"/>
      <c r="H141" s="1051"/>
      <c r="I141" s="1052" t="s">
        <v>897</v>
      </c>
      <c r="J141" s="1052" t="s">
        <v>899</v>
      </c>
      <c r="K141" s="1055"/>
      <c r="L141" s="16"/>
      <c r="M141" s="1051"/>
      <c r="N141" s="1052" t="s">
        <v>897</v>
      </c>
      <c r="O141" s="1052" t="s">
        <v>899</v>
      </c>
      <c r="P141" s="1055"/>
      <c r="Q141" s="1050"/>
      <c r="R141" s="16"/>
      <c r="S141" s="16"/>
      <c r="T141" s="16"/>
      <c r="U141" s="16"/>
      <c r="V141" s="16"/>
      <c r="W141" s="16"/>
      <c r="X141" s="16"/>
      <c r="Y141" s="16"/>
      <c r="Z141" s="16"/>
      <c r="AA141" s="16"/>
      <c r="AB141" s="16"/>
      <c r="AC141" s="16"/>
      <c r="AD141" s="16"/>
      <c r="AE141" s="16"/>
      <c r="AF141" s="16"/>
      <c r="AG141" s="16"/>
      <c r="AH141" s="16"/>
      <c r="AI141" s="16"/>
      <c r="AJ141" s="35"/>
      <c r="AK141" s="17"/>
      <c r="AL141" s="16"/>
    </row>
    <row r="142" spans="1:38" x14ac:dyDescent="0.2">
      <c r="A142" s="14"/>
      <c r="B142" s="15"/>
      <c r="C142" s="77" t="s">
        <v>659</v>
      </c>
      <c r="D142" s="1028">
        <f>D146+($D$120-D144)*(D147-D146)/(D145-D144)</f>
        <v>8.6751651404735615</v>
      </c>
      <c r="E142" s="1028">
        <f>E146+($Q$120-E144)*(E147-E146)/(E145-E144)</f>
        <v>8.6751651404735615</v>
      </c>
      <c r="F142" s="997" t="s">
        <v>678</v>
      </c>
      <c r="G142" s="16"/>
      <c r="H142" s="77" t="s">
        <v>902</v>
      </c>
      <c r="I142" s="1028">
        <f>I146+($D$120-I144)*(I147-I146)/(I145-I144)</f>
        <v>7.8441518098568093</v>
      </c>
      <c r="J142" s="1028">
        <f>J146+($Q$120-J144)*(J147-J146)/(J145-J144)</f>
        <v>7.8441518098568093</v>
      </c>
      <c r="K142" s="997" t="s">
        <v>678</v>
      </c>
      <c r="L142" s="16"/>
      <c r="M142" s="77" t="s">
        <v>592</v>
      </c>
      <c r="N142" s="1028">
        <f>N146+($D$120-N144)*(N147-N146)/(N145-N144)</f>
        <v>6.2307699999999997</v>
      </c>
      <c r="O142" s="1028">
        <f>O146+($Q$120-O144)*(O147-O146)/(O145-O144)</f>
        <v>6.2307699999999997</v>
      </c>
      <c r="P142" s="997" t="s">
        <v>678</v>
      </c>
      <c r="Q142" s="16"/>
      <c r="R142" s="16"/>
      <c r="S142" s="16"/>
      <c r="T142" s="16"/>
      <c r="U142" s="16"/>
      <c r="V142" s="16"/>
      <c r="W142" s="16"/>
      <c r="X142" s="16"/>
      <c r="Y142" s="16"/>
      <c r="Z142" s="16"/>
      <c r="AA142" s="16"/>
      <c r="AB142" s="16"/>
      <c r="AC142" s="16"/>
      <c r="AD142" s="16"/>
      <c r="AE142" s="16"/>
      <c r="AF142" s="16"/>
      <c r="AG142" s="16"/>
      <c r="AH142" s="16"/>
      <c r="AI142" s="16"/>
      <c r="AJ142" s="35"/>
      <c r="AK142" s="17"/>
      <c r="AL142" s="16"/>
    </row>
    <row r="143" spans="1:38" x14ac:dyDescent="0.2">
      <c r="A143" s="14"/>
      <c r="B143" s="15"/>
      <c r="C143" s="77"/>
      <c r="D143" s="16"/>
      <c r="E143" s="16"/>
      <c r="F143" s="997"/>
      <c r="G143" s="16"/>
      <c r="H143" s="77"/>
      <c r="I143" s="16"/>
      <c r="J143" s="16"/>
      <c r="K143" s="997"/>
      <c r="L143" s="16"/>
      <c r="M143" s="77"/>
      <c r="N143" s="16"/>
      <c r="O143" s="16"/>
      <c r="P143" s="997"/>
      <c r="Q143" s="16"/>
      <c r="R143" s="16"/>
      <c r="S143" s="16"/>
      <c r="T143" s="16"/>
      <c r="U143" s="16"/>
      <c r="V143" s="16"/>
      <c r="W143" s="16"/>
      <c r="X143" s="16"/>
      <c r="Y143" s="16"/>
      <c r="Z143" s="16"/>
      <c r="AA143" s="16"/>
      <c r="AB143" s="16"/>
      <c r="AC143" s="16"/>
      <c r="AD143" s="16"/>
      <c r="AE143" s="16"/>
      <c r="AF143" s="16"/>
      <c r="AG143" s="16"/>
      <c r="AH143" s="16"/>
      <c r="AI143" s="16"/>
      <c r="AJ143" s="35"/>
      <c r="AK143" s="17"/>
      <c r="AL143" s="16"/>
    </row>
    <row r="144" spans="1:38" ht="15" x14ac:dyDescent="0.25">
      <c r="A144" s="14"/>
      <c r="B144" s="15"/>
      <c r="C144" s="1054" t="s">
        <v>800</v>
      </c>
      <c r="D144" s="35">
        <f>IF($D$116=E197,VLOOKUP($D$120,E199:F205,1,TRUE),IF($D$116=G197,VLOOKUP($D$120,G199:H205,1,TRUE),VLOOKUP($D$120,I199:J205,1,TRUE)))</f>
        <v>70.03</v>
      </c>
      <c r="E144" s="35">
        <f>IF($Q$116=E197,VLOOKUP($Q$120,E199:F205,1,TRUE),IF($Q$116=G197,VLOOKUP($Q$120,G199:H205,1,TRUE),VLOOKUP($Q$120,I199:J205,1,TRUE)))</f>
        <v>70.03</v>
      </c>
      <c r="F144" s="997"/>
      <c r="G144" s="16"/>
      <c r="H144" s="1054" t="s">
        <v>800</v>
      </c>
      <c r="I144" s="35">
        <f>IF($D$116=L197,VLOOKUP($D$120,L199:M205,1,TRUE),IF($D$116=N197,VLOOKUP($D$120,N199:O205,1,TRUE),VLOOKUP($D$120,P199:Q205,1,TRUE)))</f>
        <v>69.954999999999998</v>
      </c>
      <c r="J144" s="35">
        <f>IF($Q$116=L197,VLOOKUP($Q$120,L199:M205,1,TRUE),IF($Q$116=N197,VLOOKUP($Q$120,N199:O205,1,TRUE),VLOOKUP($Q$120,P199:Q205,1,TRUE)))</f>
        <v>69.954999999999998</v>
      </c>
      <c r="K144" s="997"/>
      <c r="L144" s="16"/>
      <c r="M144" s="1054" t="s">
        <v>800</v>
      </c>
      <c r="N144" s="35">
        <f>IF($D$116=S197,VLOOKUP($D$120,S199:T205,1,TRUE),IF($D$116=U197,VLOOKUP($D$120,U199:V205,1,TRUE),2))</f>
        <v>2</v>
      </c>
      <c r="O144" s="35">
        <f>IF($Q$116=S197,VLOOKUP($Q$120,S199:T205,1,TRUE),IF($Q$116=U197,VLOOKUP($Q$120,U199:V205,1,TRUE),2))</f>
        <v>2</v>
      </c>
      <c r="P144" s="997"/>
      <c r="Q144" s="16"/>
      <c r="R144" s="16"/>
      <c r="S144" s="16"/>
      <c r="T144" s="16"/>
      <c r="U144" s="16"/>
      <c r="V144" s="16"/>
      <c r="W144" s="16"/>
      <c r="X144" s="16"/>
      <c r="Y144" s="16"/>
      <c r="Z144" s="16"/>
      <c r="AA144" s="16"/>
      <c r="AB144" s="16"/>
      <c r="AC144" s="16"/>
      <c r="AD144" s="16"/>
      <c r="AE144" s="16"/>
      <c r="AF144" s="16"/>
      <c r="AG144" s="16"/>
      <c r="AH144" s="16"/>
      <c r="AI144" s="16"/>
      <c r="AJ144" s="35"/>
      <c r="AK144" s="17"/>
      <c r="AL144" s="16"/>
    </row>
    <row r="145" spans="1:38" ht="15" x14ac:dyDescent="0.25">
      <c r="A145" s="14"/>
      <c r="B145" s="15"/>
      <c r="C145" s="1054" t="s">
        <v>801</v>
      </c>
      <c r="D145" s="35">
        <f>IF($D$116=E197,INDEX(E199:F205,MATCH(D144,E199:E205,0)+1,1),IF($D$116=G197,INDEX(G199:H205,MATCH(D144,G199:G205,0)+1,1),INDEX(I199:J205,MATCH(D144,I199:I205,0)+1,1)))</f>
        <v>75.735699999999994</v>
      </c>
      <c r="E145" s="35">
        <f>IF($Q$116=E197,INDEX(E199:F205,MATCH(E144,E199:E205,0)+1,1),IF($Q$116=G197,INDEX(G199:H205,MATCH(E144,G199:G205,0)+1,1),INDEX(I199:J205,MATCH(E144,I199:I205,0)+1,1)))</f>
        <v>75.735699999999994</v>
      </c>
      <c r="F145" s="997"/>
      <c r="G145" s="16"/>
      <c r="H145" s="1054" t="s">
        <v>801</v>
      </c>
      <c r="I145" s="35">
        <f>IF($D$116=L197,INDEX(L199:M205,MATCH(I144,L199:L205,0)+1,1),IF($D$116=N197,INDEX(N199:O205,MATCH(I144,N199:N205,0)+1,1),INDEX(P199:Q205,MATCH(I144,P199:P205,0)+1,1)))</f>
        <v>75.960999999999999</v>
      </c>
      <c r="J145" s="35">
        <f>IF($Q$116=L197,INDEX(L199:M205,MATCH(J144,L199:L205,0)+1,1),IF($Q$116=N197,INDEX(N199:O205,MATCH(J144,N199:N205,0)+1,1),INDEX(P199:Q205,MATCH(J144,P199:P205,0)+1,1)))</f>
        <v>75.960999999999999</v>
      </c>
      <c r="K145" s="997"/>
      <c r="L145" s="16"/>
      <c r="M145" s="1054" t="s">
        <v>801</v>
      </c>
      <c r="N145" s="35">
        <f>IF($D$116=S197,INDEX(S199:T205,MATCH(N144,S199:S205,0)+1,1),IF($D$116=U197,INDEX(U199:V205,MATCH(N144,U199:U205,0)+1,1),1))</f>
        <v>1</v>
      </c>
      <c r="O145" s="35">
        <f>IF($Q$116=S197,INDEX(S199:T205,MATCH(N144,S199:S205,0)+1,1),IF($Q$116=U197,INDEX(U199:V205,MATCH(N144,U199:U205,0)+1,1),1))</f>
        <v>1</v>
      </c>
      <c r="P145" s="997"/>
      <c r="Q145" s="16"/>
      <c r="R145" s="16"/>
      <c r="S145" s="16"/>
      <c r="T145" s="16"/>
      <c r="U145" s="16"/>
      <c r="V145" s="16"/>
      <c r="W145" s="16"/>
      <c r="X145" s="16"/>
      <c r="Y145" s="16"/>
      <c r="Z145" s="16"/>
      <c r="AA145" s="16"/>
      <c r="AB145" s="16"/>
      <c r="AC145" s="16"/>
      <c r="AD145" s="16"/>
      <c r="AE145" s="16"/>
      <c r="AF145" s="16"/>
      <c r="AG145" s="16"/>
      <c r="AH145" s="16"/>
      <c r="AI145" s="16"/>
      <c r="AJ145" s="35"/>
      <c r="AK145" s="17"/>
      <c r="AL145" s="16"/>
    </row>
    <row r="146" spans="1:38" ht="15" x14ac:dyDescent="0.25">
      <c r="A146" s="14"/>
      <c r="B146" s="15"/>
      <c r="C146" s="1054" t="s">
        <v>802</v>
      </c>
      <c r="D146" s="35">
        <f>IF($D$116=E197,VLOOKUP(D144,E199:F205, 2, TRUE),IF($D$116=G197,VLOOKUP(D144,G199:H205, 2, TRUE),VLOOKUP(D144,I199:J205, 2, TRUE)))</f>
        <v>8.5580599999999993</v>
      </c>
      <c r="E146" s="35">
        <f>IF($Q$116=E197,VLOOKUP(E144,E199:F205, 2, TRUE),IF($Q$116=G197,VLOOKUP(E144,G199:H205, 2, TRUE),VLOOKUP(E144,I199:J205, 2, TRUE)))</f>
        <v>8.5580599999999993</v>
      </c>
      <c r="F146" s="997"/>
      <c r="G146" s="16"/>
      <c r="H146" s="1054" t="s">
        <v>802</v>
      </c>
      <c r="I146" s="35">
        <f>IF($D$116=L197,VLOOKUP(I144,L199:M205, 2, TRUE),IF($D$116=N197,VLOOKUP(I144,N199:O205, 2, TRUE),VLOOKUP(I144,P199:Q205, 2, TRUE)))</f>
        <v>7.7697200000000004</v>
      </c>
      <c r="J146" s="35">
        <f>IF($Q$116=L197,VLOOKUP(J144,L199:M205, 2, TRUE),IF($Q$116=N197,VLOOKUP(J144,N199:O205, 2, TRUE),VLOOKUP(J144,P199:Q205, 2, TRUE)))</f>
        <v>7.7697200000000004</v>
      </c>
      <c r="K146" s="997"/>
      <c r="L146" s="16"/>
      <c r="M146" s="1054" t="s">
        <v>802</v>
      </c>
      <c r="N146" s="35">
        <f>IF($D$116=S197,VLOOKUP(N144,S199:T205, 2, TRUE),IF($D$116=U197,VLOOKUP(N144,U199:V205, 2, TRUE),W198))</f>
        <v>6.2307699999999997</v>
      </c>
      <c r="O146" s="35">
        <f>IF($Q$116=S197,VLOOKUP(O144,S199:T205, 2, TRUE),IF($Q$116=U197,VLOOKUP(O144,U199:V205, 2, TRUE),W198))</f>
        <v>6.2307699999999997</v>
      </c>
      <c r="P146" s="997"/>
      <c r="Q146" s="16"/>
      <c r="R146" s="16"/>
      <c r="S146" s="16"/>
      <c r="T146" s="16"/>
      <c r="U146" s="16"/>
      <c r="V146" s="16"/>
      <c r="W146" s="16"/>
      <c r="X146" s="16"/>
      <c r="Y146" s="16"/>
      <c r="Z146" s="16"/>
      <c r="AA146" s="16"/>
      <c r="AB146" s="16"/>
      <c r="AC146" s="16"/>
      <c r="AD146" s="16"/>
      <c r="AE146" s="16"/>
      <c r="AF146" s="16"/>
      <c r="AG146" s="16"/>
      <c r="AH146" s="16"/>
      <c r="AI146" s="16"/>
      <c r="AJ146" s="35"/>
      <c r="AK146" s="17"/>
      <c r="AL146" s="16"/>
    </row>
    <row r="147" spans="1:38" ht="15" x14ac:dyDescent="0.25">
      <c r="A147" s="14"/>
      <c r="B147" s="15"/>
      <c r="C147" s="1056" t="s">
        <v>803</v>
      </c>
      <c r="D147" s="1048">
        <f>IF($D$116=E197,VLOOKUP(D145,E199:F205,2,TRUE),IF($D$116=G197,VLOOKUP(D145,G199:H205,2,TRUE),VLOOKUP(D145,I199:J205,2,TRUE)))</f>
        <v>8.6925000000000008</v>
      </c>
      <c r="E147" s="1048">
        <f>IF($Q$116=E197,VLOOKUP(E145,E199:F205,2,TRUE),IF($Q$116=G197,VLOOKUP(E145,G199:H205,2,TRUE),VLOOKUP(E145,I199:J205,2,TRUE)))</f>
        <v>8.6925000000000008</v>
      </c>
      <c r="F147" s="1023"/>
      <c r="G147" s="16"/>
      <c r="H147" s="1056" t="s">
        <v>803</v>
      </c>
      <c r="I147" s="1048">
        <f>IF($D$116=L197,VLOOKUP(I145,L199:M205,2,TRUE),IF($D$116=N197,VLOOKUP(I145,N199:O205,2,TRUE),VLOOKUP(I145,P199:Q205,2,TRUE)))</f>
        <v>7.8583299999999996</v>
      </c>
      <c r="J147" s="1048">
        <f>IF($Q$116=L197,VLOOKUP(J145,L199:M205,2,TRUE),IF($Q$116=N197,VLOOKUP(J145,N199:O205,2,TRUE),VLOOKUP(J145,P199:Q205,2,TRUE)))</f>
        <v>7.8583299999999996</v>
      </c>
      <c r="K147" s="1023"/>
      <c r="L147" s="16"/>
      <c r="M147" s="1056" t="s">
        <v>803</v>
      </c>
      <c r="N147" s="1048">
        <f>IF($D$116=S197,VLOOKUP(N145,S199:T205,2,TRUE),IF($D$116=U197,VLOOKUP(N145,U199:V205,2,TRUE),W198))</f>
        <v>6.2307699999999997</v>
      </c>
      <c r="O147" s="1048">
        <f>IF($Q$116=S197,VLOOKUP(N145,S199:T205,2,TRUE),IF($Q$116=U197,VLOOKUP(N145,U199:V205,2,TRUE),W198))</f>
        <v>6.2307699999999997</v>
      </c>
      <c r="P147" s="1023"/>
      <c r="Q147" s="16"/>
      <c r="R147" s="16"/>
      <c r="S147" s="16"/>
      <c r="T147" s="16"/>
      <c r="U147" s="16"/>
      <c r="V147" s="16"/>
      <c r="W147" s="16"/>
      <c r="X147" s="16"/>
      <c r="Y147" s="16"/>
      <c r="Z147" s="16"/>
      <c r="AA147" s="16"/>
      <c r="AB147" s="16"/>
      <c r="AC147" s="16"/>
      <c r="AD147" s="16"/>
      <c r="AE147" s="16"/>
      <c r="AF147" s="16"/>
      <c r="AG147" s="16"/>
      <c r="AH147" s="16"/>
      <c r="AI147" s="16"/>
      <c r="AJ147" s="35"/>
      <c r="AK147" s="17"/>
      <c r="AL147" s="16"/>
    </row>
    <row r="148" spans="1:38" x14ac:dyDescent="0.2">
      <c r="A148" s="14"/>
      <c r="B148" s="15"/>
      <c r="C148" s="16"/>
      <c r="D148" s="16"/>
      <c r="E148" s="16"/>
      <c r="F148" s="16"/>
      <c r="G148" s="16"/>
      <c r="H148" s="16"/>
      <c r="I148" s="16"/>
      <c r="J148" s="16"/>
      <c r="K148" s="16"/>
      <c r="L148" s="16"/>
      <c r="M148" s="16"/>
      <c r="N148" s="16"/>
      <c r="O148" s="16"/>
      <c r="P148" s="16"/>
      <c r="Q148" s="16"/>
      <c r="R148" s="16"/>
      <c r="S148" s="16"/>
      <c r="T148" s="16"/>
      <c r="U148" s="16"/>
      <c r="V148" s="16"/>
      <c r="W148" s="16"/>
      <c r="X148" s="16"/>
      <c r="Y148" s="16"/>
      <c r="Z148" s="16"/>
      <c r="AA148" s="16"/>
      <c r="AB148" s="16"/>
      <c r="AC148" s="16"/>
      <c r="AD148" s="16"/>
      <c r="AE148" s="16"/>
      <c r="AF148" s="16"/>
      <c r="AG148" s="16"/>
      <c r="AH148" s="16"/>
      <c r="AI148" s="16"/>
      <c r="AJ148" s="16"/>
      <c r="AK148" s="17"/>
      <c r="AL148" s="16"/>
    </row>
    <row r="149" spans="1:38" x14ac:dyDescent="0.2">
      <c r="A149" s="14"/>
      <c r="B149" s="15"/>
      <c r="C149" s="843" t="s">
        <v>1678</v>
      </c>
      <c r="D149" s="843"/>
      <c r="E149" s="843"/>
      <c r="F149" s="16"/>
      <c r="G149" s="16"/>
      <c r="H149" s="16"/>
      <c r="I149" s="16"/>
      <c r="J149" s="16"/>
      <c r="K149" s="16"/>
      <c r="L149" s="16"/>
      <c r="M149" s="16"/>
      <c r="N149" s="16"/>
      <c r="O149" s="16"/>
      <c r="P149" s="16"/>
      <c r="Q149" s="16"/>
      <c r="R149" s="16"/>
      <c r="S149" s="16"/>
      <c r="T149" s="16"/>
      <c r="U149" s="16"/>
      <c r="V149" s="16"/>
      <c r="W149" s="16"/>
      <c r="X149" s="16"/>
      <c r="Y149" s="16"/>
      <c r="Z149" s="16"/>
      <c r="AA149" s="16"/>
      <c r="AB149" s="16"/>
      <c r="AC149" s="16"/>
      <c r="AD149" s="16"/>
      <c r="AE149" s="16"/>
      <c r="AF149" s="16"/>
      <c r="AG149" s="16"/>
      <c r="AH149" s="16"/>
      <c r="AI149" s="16"/>
      <c r="AJ149" s="16"/>
      <c r="AK149" s="17"/>
      <c r="AL149" s="16"/>
    </row>
    <row r="150" spans="1:38" x14ac:dyDescent="0.2">
      <c r="A150" s="14"/>
      <c r="B150" s="15"/>
      <c r="C150" s="1615"/>
      <c r="D150" s="1039"/>
      <c r="E150" s="1039"/>
      <c r="F150" s="164"/>
      <c r="G150" s="164"/>
      <c r="H150" s="164"/>
      <c r="I150" s="164"/>
      <c r="J150" s="164"/>
      <c r="K150" s="164"/>
      <c r="L150" s="164"/>
      <c r="M150" s="164"/>
      <c r="N150" s="164"/>
      <c r="O150" s="164"/>
      <c r="P150" s="164"/>
      <c r="Q150" s="164"/>
      <c r="R150" s="164"/>
      <c r="S150" s="164"/>
      <c r="T150" s="164"/>
      <c r="U150" s="164"/>
      <c r="V150" s="164"/>
      <c r="W150" s="164"/>
      <c r="X150" s="164"/>
      <c r="Y150" s="164"/>
      <c r="Z150" s="164"/>
      <c r="AA150" s="164"/>
      <c r="AB150" s="164"/>
      <c r="AC150" s="164"/>
      <c r="AD150" s="164"/>
      <c r="AE150" s="164"/>
      <c r="AF150" s="164"/>
      <c r="AG150" s="160"/>
      <c r="AH150" s="16"/>
      <c r="AI150" s="16"/>
      <c r="AJ150" s="16"/>
      <c r="AK150" s="17"/>
      <c r="AL150" s="16"/>
    </row>
    <row r="151" spans="1:38" ht="18" x14ac:dyDescent="0.35">
      <c r="A151" s="14"/>
      <c r="B151" s="15"/>
      <c r="C151" s="77"/>
      <c r="D151" s="1046" t="s">
        <v>804</v>
      </c>
      <c r="E151" s="164" t="str">
        <f>E120</f>
        <v>Conversion, Vol%</v>
      </c>
      <c r="F151" s="164"/>
      <c r="G151" s="164"/>
      <c r="H151" s="160"/>
      <c r="I151" s="16"/>
      <c r="J151" s="159" t="s">
        <v>808</v>
      </c>
      <c r="K151" s="164" t="str">
        <f>E120</f>
        <v>Conversion, Vol%</v>
      </c>
      <c r="L151" s="164"/>
      <c r="M151" s="164"/>
      <c r="N151" s="160"/>
      <c r="O151" s="16"/>
      <c r="P151" s="159" t="s">
        <v>815</v>
      </c>
      <c r="Q151" s="164" t="str">
        <f>E120</f>
        <v>Conversion, Vol%</v>
      </c>
      <c r="R151" s="164"/>
      <c r="S151" s="164"/>
      <c r="T151" s="160"/>
      <c r="U151" s="16"/>
      <c r="V151" s="159" t="s">
        <v>819</v>
      </c>
      <c r="W151" s="164" t="str">
        <f>E120</f>
        <v>Conversion, Vol%</v>
      </c>
      <c r="X151" s="164"/>
      <c r="Y151" s="164"/>
      <c r="Z151" s="160"/>
      <c r="AA151" s="16"/>
      <c r="AB151" s="159" t="s">
        <v>819</v>
      </c>
      <c r="AC151" s="164" t="str">
        <f>E120</f>
        <v>Conversion, Vol%</v>
      </c>
      <c r="AD151" s="164"/>
      <c r="AE151" s="164"/>
      <c r="AF151" s="160"/>
      <c r="AG151" s="997"/>
      <c r="AH151" s="329"/>
      <c r="AI151" s="329"/>
      <c r="AJ151" s="329"/>
      <c r="AK151" s="1626"/>
      <c r="AL151" s="184"/>
    </row>
    <row r="152" spans="1:38" ht="18" x14ac:dyDescent="0.35">
      <c r="A152" s="14"/>
      <c r="B152" s="15"/>
      <c r="C152" s="77"/>
      <c r="D152" s="1041" t="s">
        <v>805</v>
      </c>
      <c r="E152" s="843" t="s">
        <v>847</v>
      </c>
      <c r="F152" s="16"/>
      <c r="G152" s="16"/>
      <c r="H152" s="997"/>
      <c r="I152" s="16"/>
      <c r="J152" s="77" t="s">
        <v>809</v>
      </c>
      <c r="K152" s="843" t="s">
        <v>1749</v>
      </c>
      <c r="L152" s="843"/>
      <c r="M152" s="16"/>
      <c r="N152" s="997"/>
      <c r="O152" s="16"/>
      <c r="P152" s="77" t="s">
        <v>817</v>
      </c>
      <c r="Q152" s="843" t="s">
        <v>1750</v>
      </c>
      <c r="R152" s="843"/>
      <c r="S152" s="16"/>
      <c r="T152" s="997"/>
      <c r="U152" s="16"/>
      <c r="V152" s="77" t="s">
        <v>820</v>
      </c>
      <c r="W152" s="843" t="s">
        <v>1751</v>
      </c>
      <c r="X152" s="843"/>
      <c r="Y152" s="16"/>
      <c r="Z152" s="997"/>
      <c r="AA152" s="16"/>
      <c r="AB152" s="77" t="s">
        <v>820</v>
      </c>
      <c r="AC152" s="843" t="s">
        <v>915</v>
      </c>
      <c r="AD152" s="16"/>
      <c r="AE152" s="16">
        <f>(AE153-AC153)/2+AC153</f>
        <v>12.074999999999999</v>
      </c>
      <c r="AF152" s="997"/>
      <c r="AG152" s="997"/>
      <c r="AH152" s="329"/>
      <c r="AI152" s="329"/>
      <c r="AJ152" s="329"/>
      <c r="AK152" s="1626"/>
      <c r="AL152" s="184"/>
    </row>
    <row r="153" spans="1:38" x14ac:dyDescent="0.2">
      <c r="A153" s="14"/>
      <c r="B153" s="15"/>
      <c r="C153" s="77"/>
      <c r="D153" s="1041" t="s">
        <v>806</v>
      </c>
      <c r="E153" s="16">
        <v>11.8</v>
      </c>
      <c r="F153" s="16"/>
      <c r="G153" s="16">
        <v>12.35</v>
      </c>
      <c r="H153" s="997"/>
      <c r="I153" s="16"/>
      <c r="J153" s="77" t="s">
        <v>806</v>
      </c>
      <c r="K153" s="16">
        <v>11.8</v>
      </c>
      <c r="L153" s="16"/>
      <c r="M153" s="16">
        <v>12.35</v>
      </c>
      <c r="N153" s="997"/>
      <c r="O153" s="16"/>
      <c r="P153" s="77" t="s">
        <v>806</v>
      </c>
      <c r="Q153" s="16">
        <v>11.8</v>
      </c>
      <c r="R153" s="16"/>
      <c r="S153" s="16"/>
      <c r="T153" s="997">
        <v>12.35</v>
      </c>
      <c r="U153" s="16"/>
      <c r="V153" s="77" t="s">
        <v>806</v>
      </c>
      <c r="W153" s="16">
        <v>11.8</v>
      </c>
      <c r="X153" s="16"/>
      <c r="Y153" s="16">
        <v>12.35</v>
      </c>
      <c r="Z153" s="997"/>
      <c r="AA153" s="16"/>
      <c r="AB153" s="77" t="s">
        <v>806</v>
      </c>
      <c r="AC153" s="16">
        <v>11.8</v>
      </c>
      <c r="AD153" s="16"/>
      <c r="AE153" s="16">
        <v>12.35</v>
      </c>
      <c r="AF153" s="997"/>
      <c r="AG153" s="997"/>
      <c r="AH153" s="329"/>
      <c r="AI153" s="329"/>
      <c r="AJ153" s="329"/>
      <c r="AK153" s="1626"/>
      <c r="AL153" s="184"/>
    </row>
    <row r="154" spans="1:38" ht="18" x14ac:dyDescent="0.35">
      <c r="A154" s="14"/>
      <c r="B154" s="15"/>
      <c r="C154" s="77"/>
      <c r="D154" s="77"/>
      <c r="E154" s="1086" t="s">
        <v>804</v>
      </c>
      <c r="F154" s="1086" t="s">
        <v>805</v>
      </c>
      <c r="G154" s="1086" t="s">
        <v>804</v>
      </c>
      <c r="H154" s="1009" t="s">
        <v>805</v>
      </c>
      <c r="I154" s="1086"/>
      <c r="J154" s="1002"/>
      <c r="K154" s="1086" t="s">
        <v>808</v>
      </c>
      <c r="L154" s="1086" t="s">
        <v>809</v>
      </c>
      <c r="M154" s="1086" t="s">
        <v>808</v>
      </c>
      <c r="N154" s="1009" t="s">
        <v>809</v>
      </c>
      <c r="O154" s="1086"/>
      <c r="P154" s="1002"/>
      <c r="Q154" s="1086" t="s">
        <v>815</v>
      </c>
      <c r="R154" s="1086" t="s">
        <v>817</v>
      </c>
      <c r="S154" s="1086" t="s">
        <v>815</v>
      </c>
      <c r="T154" s="1009" t="s">
        <v>817</v>
      </c>
      <c r="U154" s="1086"/>
      <c r="V154" s="1002"/>
      <c r="W154" s="1086" t="s">
        <v>819</v>
      </c>
      <c r="X154" s="1086" t="s">
        <v>820</v>
      </c>
      <c r="Y154" s="1086" t="s">
        <v>819</v>
      </c>
      <c r="Z154" s="1009" t="s">
        <v>820</v>
      </c>
      <c r="AA154" s="1086"/>
      <c r="AB154" s="1002"/>
      <c r="AC154" s="1086" t="s">
        <v>819</v>
      </c>
      <c r="AD154" s="1086" t="s">
        <v>820</v>
      </c>
      <c r="AE154" s="1086" t="s">
        <v>819</v>
      </c>
      <c r="AF154" s="1009" t="s">
        <v>820</v>
      </c>
      <c r="AG154" s="1009"/>
      <c r="AH154" s="329"/>
      <c r="AI154" s="329"/>
      <c r="AJ154" s="329"/>
      <c r="AK154" s="1626"/>
      <c r="AL154" s="184"/>
    </row>
    <row r="155" spans="1:38" x14ac:dyDescent="0.2">
      <c r="A155" s="14"/>
      <c r="B155" s="15"/>
      <c r="C155" s="77"/>
      <c r="D155" s="1047"/>
      <c r="E155" s="168">
        <v>45.009</v>
      </c>
      <c r="F155" s="168">
        <v>4.3258900000000002</v>
      </c>
      <c r="G155" s="168">
        <v>45.1374</v>
      </c>
      <c r="H155" s="169">
        <v>2.5104700000000002</v>
      </c>
      <c r="I155" s="168"/>
      <c r="J155" s="1613"/>
      <c r="K155" s="168">
        <v>50.0259</v>
      </c>
      <c r="L155" s="168">
        <v>4.7343799999999998</v>
      </c>
      <c r="M155" s="168">
        <v>50.1036</v>
      </c>
      <c r="N155" s="169">
        <v>3.40625</v>
      </c>
      <c r="O155" s="168"/>
      <c r="P155" s="1613"/>
      <c r="Q155" s="168">
        <v>44.886400000000002</v>
      </c>
      <c r="R155" s="168">
        <v>9.0804600000000004</v>
      </c>
      <c r="S155" s="168">
        <v>45.795499999999997</v>
      </c>
      <c r="T155" s="169">
        <v>8.2758599999999998</v>
      </c>
      <c r="U155" s="168"/>
      <c r="V155" s="1613"/>
      <c r="W155" s="168">
        <v>45.085099999999997</v>
      </c>
      <c r="X155" s="168">
        <v>35.8127</v>
      </c>
      <c r="Y155" s="168">
        <v>44.916400000000003</v>
      </c>
      <c r="Z155" s="169">
        <v>40.357700000000001</v>
      </c>
      <c r="AA155" s="1086"/>
      <c r="AB155" s="1613"/>
      <c r="AC155" s="168">
        <v>44.957599999999999</v>
      </c>
      <c r="AD155" s="168">
        <v>101.459</v>
      </c>
      <c r="AE155" s="168">
        <v>42.6357</v>
      </c>
      <c r="AF155" s="169">
        <v>102.047</v>
      </c>
      <c r="AG155" s="169"/>
      <c r="AH155" s="329"/>
      <c r="AI155" s="329"/>
      <c r="AJ155" s="329"/>
      <c r="AK155" s="1626"/>
      <c r="AL155" s="184"/>
    </row>
    <row r="156" spans="1:38" x14ac:dyDescent="0.2">
      <c r="A156" s="14"/>
      <c r="B156" s="15"/>
      <c r="C156" s="77"/>
      <c r="D156" s="1047"/>
      <c r="E156" s="168">
        <v>50.110199999999999</v>
      </c>
      <c r="F156" s="168">
        <v>4.5274799999999997</v>
      </c>
      <c r="G156" s="168">
        <v>50.004600000000003</v>
      </c>
      <c r="H156" s="169">
        <v>2.7919299999999998</v>
      </c>
      <c r="I156" s="168"/>
      <c r="J156" s="1613"/>
      <c r="K156" s="168">
        <v>50.0259</v>
      </c>
      <c r="L156" s="168">
        <v>4.7343799999999998</v>
      </c>
      <c r="M156" s="168">
        <v>50.1036</v>
      </c>
      <c r="N156" s="169">
        <v>3.40625</v>
      </c>
      <c r="O156" s="168"/>
      <c r="P156" s="1613"/>
      <c r="Q156" s="168">
        <v>49.886400000000002</v>
      </c>
      <c r="R156" s="168">
        <v>12.1839</v>
      </c>
      <c r="S156" s="168">
        <v>49.886400000000002</v>
      </c>
      <c r="T156" s="169">
        <v>10.4598</v>
      </c>
      <c r="U156" s="168"/>
      <c r="V156" s="1613"/>
      <c r="W156" s="168">
        <v>49.867699999999999</v>
      </c>
      <c r="X156" s="168">
        <v>39.430199999999999</v>
      </c>
      <c r="Y156" s="168">
        <v>50.008800000000001</v>
      </c>
      <c r="Z156" s="169">
        <v>43.819200000000002</v>
      </c>
      <c r="AA156" s="1086"/>
      <c r="AB156" s="1613"/>
      <c r="AC156" s="168">
        <v>49.915300000000002</v>
      </c>
      <c r="AD156" s="168">
        <v>103.004</v>
      </c>
      <c r="AE156" s="168">
        <v>50.232599999999998</v>
      </c>
      <c r="AF156" s="169">
        <v>103.937</v>
      </c>
      <c r="AG156" s="169"/>
      <c r="AH156" s="329"/>
      <c r="AI156" s="329"/>
      <c r="AJ156" s="329"/>
      <c r="AK156" s="1626"/>
      <c r="AL156" s="184"/>
    </row>
    <row r="157" spans="1:38" x14ac:dyDescent="0.2">
      <c r="A157" s="14"/>
      <c r="B157" s="15"/>
      <c r="C157" s="77"/>
      <c r="D157" s="1047"/>
      <c r="E157" s="168">
        <v>54.976100000000002</v>
      </c>
      <c r="F157" s="168">
        <v>4.7293200000000004</v>
      </c>
      <c r="G157" s="168">
        <v>54.008000000000003</v>
      </c>
      <c r="H157" s="169">
        <v>3.0106099999999998</v>
      </c>
      <c r="I157" s="168"/>
      <c r="J157" s="1613"/>
      <c r="K157" s="168">
        <v>55.0777</v>
      </c>
      <c r="L157" s="168">
        <v>4.8593799999999998</v>
      </c>
      <c r="M157" s="168">
        <v>55.0777</v>
      </c>
      <c r="N157" s="169">
        <v>3.6406299999999998</v>
      </c>
      <c r="O157" s="168"/>
      <c r="P157" s="1613"/>
      <c r="Q157" s="168">
        <v>54.886400000000002</v>
      </c>
      <c r="R157" s="168">
        <v>15.057499999999999</v>
      </c>
      <c r="S157" s="168">
        <v>54.886400000000002</v>
      </c>
      <c r="T157" s="169">
        <v>13.103400000000001</v>
      </c>
      <c r="U157" s="168"/>
      <c r="V157" s="1613"/>
      <c r="W157" s="168">
        <v>54.959600000000002</v>
      </c>
      <c r="X157" s="168">
        <v>43.048499999999997</v>
      </c>
      <c r="Y157" s="168">
        <v>54.946100000000001</v>
      </c>
      <c r="Z157" s="169">
        <v>47.437199999999997</v>
      </c>
      <c r="AA157" s="1086"/>
      <c r="AB157" s="1613"/>
      <c r="AC157" s="168">
        <v>59.957599999999999</v>
      </c>
      <c r="AD157" s="168">
        <v>105.837</v>
      </c>
      <c r="AE157" s="168">
        <v>60.155000000000001</v>
      </c>
      <c r="AF157" s="169">
        <v>106.45699999999999</v>
      </c>
      <c r="AG157" s="169"/>
      <c r="AH157" s="329"/>
      <c r="AI157" s="329"/>
      <c r="AJ157" s="329"/>
      <c r="AK157" s="1626"/>
      <c r="AL157" s="184"/>
    </row>
    <row r="158" spans="1:38" x14ac:dyDescent="0.2">
      <c r="A158" s="14"/>
      <c r="B158" s="15"/>
      <c r="C158" s="77"/>
      <c r="D158" s="1047"/>
      <c r="E158" s="168">
        <v>59.998899999999999</v>
      </c>
      <c r="F158" s="168">
        <v>4.931</v>
      </c>
      <c r="G158" s="168">
        <v>60.053100000000001</v>
      </c>
      <c r="H158" s="169">
        <v>3.3863599999999998</v>
      </c>
      <c r="I158" s="168"/>
      <c r="J158" s="1613"/>
      <c r="K158" s="168">
        <v>60.0518</v>
      </c>
      <c r="L158" s="168">
        <v>4.96875</v>
      </c>
      <c r="M158" s="168">
        <v>60.1295</v>
      </c>
      <c r="N158" s="169">
        <v>3.875</v>
      </c>
      <c r="O158" s="168"/>
      <c r="P158" s="1613"/>
      <c r="Q158" s="168">
        <v>59.886400000000002</v>
      </c>
      <c r="R158" s="168">
        <v>17.816099999999999</v>
      </c>
      <c r="S158" s="168">
        <v>59.886400000000002</v>
      </c>
      <c r="T158" s="169">
        <v>15.8621</v>
      </c>
      <c r="U158" s="168"/>
      <c r="V158" s="1613"/>
      <c r="W158" s="168">
        <v>60.051499999999997</v>
      </c>
      <c r="X158" s="168">
        <v>46.666800000000002</v>
      </c>
      <c r="Y158" s="168">
        <v>60.037999999999997</v>
      </c>
      <c r="Z158" s="169">
        <v>51.055500000000002</v>
      </c>
      <c r="AA158" s="1086"/>
      <c r="AB158" s="1613"/>
      <c r="AC158" s="168">
        <v>69.872900000000001</v>
      </c>
      <c r="AD158" s="168">
        <v>108.41200000000001</v>
      </c>
      <c r="AE158" s="168">
        <v>70.232600000000005</v>
      </c>
      <c r="AF158" s="169">
        <v>108.976</v>
      </c>
      <c r="AG158" s="169"/>
      <c r="AH158" s="329"/>
      <c r="AI158" s="329"/>
      <c r="AJ158" s="329"/>
      <c r="AK158" s="1626"/>
      <c r="AL158" s="184"/>
    </row>
    <row r="159" spans="1:38" x14ac:dyDescent="0.2">
      <c r="A159" s="14"/>
      <c r="B159" s="15"/>
      <c r="C159" s="77"/>
      <c r="D159" s="1047"/>
      <c r="E159" s="168">
        <v>65.0214</v>
      </c>
      <c r="F159" s="168">
        <v>5.1167499999999997</v>
      </c>
      <c r="G159" s="168">
        <v>64.998999999999995</v>
      </c>
      <c r="H159" s="169">
        <v>3.6836500000000001</v>
      </c>
      <c r="I159" s="168"/>
      <c r="J159" s="1613"/>
      <c r="K159" s="168">
        <v>65.1036</v>
      </c>
      <c r="L159" s="168">
        <v>5.09375</v>
      </c>
      <c r="M159" s="168">
        <v>65.1036</v>
      </c>
      <c r="N159" s="169">
        <v>4.125</v>
      </c>
      <c r="O159" s="168"/>
      <c r="P159" s="1613"/>
      <c r="Q159" s="168">
        <v>64.886399999999995</v>
      </c>
      <c r="R159" s="168">
        <v>20.689699999999998</v>
      </c>
      <c r="S159" s="168">
        <v>64.7727</v>
      </c>
      <c r="T159" s="169">
        <v>18.505700000000001</v>
      </c>
      <c r="U159" s="168"/>
      <c r="V159" s="1613"/>
      <c r="W159" s="168">
        <v>64.988799999999998</v>
      </c>
      <c r="X159" s="168">
        <v>50.284700000000001</v>
      </c>
      <c r="Y159" s="168">
        <v>65.129900000000006</v>
      </c>
      <c r="Z159" s="169">
        <v>54.6738</v>
      </c>
      <c r="AA159" s="1086"/>
      <c r="AB159" s="1613"/>
      <c r="AC159" s="168">
        <v>79.7881</v>
      </c>
      <c r="AD159" s="168">
        <v>110.98699999999999</v>
      </c>
      <c r="AE159" s="168">
        <v>80.310100000000006</v>
      </c>
      <c r="AF159" s="169">
        <v>111.496</v>
      </c>
      <c r="AG159" s="169"/>
      <c r="AH159" s="329"/>
      <c r="AI159" s="329"/>
      <c r="AJ159" s="329"/>
      <c r="AK159" s="1626"/>
      <c r="AL159" s="184"/>
    </row>
    <row r="160" spans="1:38" x14ac:dyDescent="0.2">
      <c r="A160" s="14"/>
      <c r="B160" s="15"/>
      <c r="C160" s="77"/>
      <c r="D160" s="1047"/>
      <c r="E160" s="168">
        <v>69.965800000000002</v>
      </c>
      <c r="F160" s="168">
        <v>5.3185099999999998</v>
      </c>
      <c r="G160" s="168">
        <v>70.022999999999996</v>
      </c>
      <c r="H160" s="169">
        <v>3.9649399999999999</v>
      </c>
      <c r="I160" s="168"/>
      <c r="J160" s="1613"/>
      <c r="K160" s="168">
        <v>70.077699999999993</v>
      </c>
      <c r="L160" s="168">
        <v>5.21875</v>
      </c>
      <c r="M160" s="168">
        <v>70.077699999999993</v>
      </c>
      <c r="N160" s="169">
        <v>4.3593799999999998</v>
      </c>
      <c r="O160" s="168"/>
      <c r="P160" s="1613"/>
      <c r="Q160" s="168">
        <v>69.886399999999995</v>
      </c>
      <c r="R160" s="168">
        <v>23.563199999999998</v>
      </c>
      <c r="S160" s="168">
        <v>69.886399999999995</v>
      </c>
      <c r="T160" s="169">
        <v>21.1494</v>
      </c>
      <c r="U160" s="168"/>
      <c r="V160" s="1613"/>
      <c r="W160" s="168">
        <v>69.925600000000003</v>
      </c>
      <c r="X160" s="168">
        <v>54.059399999999997</v>
      </c>
      <c r="Y160" s="168">
        <v>70.067599999999999</v>
      </c>
      <c r="Z160" s="169">
        <v>58.134999999999998</v>
      </c>
      <c r="AA160" s="1086"/>
      <c r="AB160" s="1613"/>
      <c r="AC160" s="168">
        <v>89.830500000000001</v>
      </c>
      <c r="AD160" s="168">
        <v>111.245</v>
      </c>
      <c r="AE160" s="168">
        <v>90.232600000000005</v>
      </c>
      <c r="AF160" s="169">
        <v>114.331</v>
      </c>
      <c r="AG160" s="169"/>
      <c r="AH160" s="329"/>
      <c r="AI160" s="329"/>
      <c r="AJ160" s="329"/>
      <c r="AK160" s="1626"/>
      <c r="AL160" s="184"/>
    </row>
    <row r="161" spans="1:38" x14ac:dyDescent="0.2">
      <c r="A161" s="14"/>
      <c r="B161" s="15"/>
      <c r="C161" s="77"/>
      <c r="D161" s="1047"/>
      <c r="E161" s="168">
        <v>74.988600000000005</v>
      </c>
      <c r="F161" s="168">
        <v>5.5201799999999999</v>
      </c>
      <c r="G161" s="168">
        <v>74.968599999999995</v>
      </c>
      <c r="H161" s="169">
        <v>4.2463199999999999</v>
      </c>
      <c r="I161" s="168"/>
      <c r="J161" s="1613"/>
      <c r="K161" s="168">
        <v>75.0518</v>
      </c>
      <c r="L161" s="168">
        <v>5.3125</v>
      </c>
      <c r="M161" s="168">
        <v>75.0518</v>
      </c>
      <c r="N161" s="169">
        <v>4.6093799999999998</v>
      </c>
      <c r="O161" s="168"/>
      <c r="P161" s="1613"/>
      <c r="Q161" s="168">
        <v>74.7727</v>
      </c>
      <c r="R161" s="168">
        <v>26.3218</v>
      </c>
      <c r="S161" s="168">
        <v>74.886399999999995</v>
      </c>
      <c r="T161" s="169">
        <v>23.793099999999999</v>
      </c>
      <c r="U161" s="168"/>
      <c r="V161" s="1613"/>
      <c r="W161" s="168">
        <v>75.017499999999998</v>
      </c>
      <c r="X161" s="168">
        <v>57.677700000000002</v>
      </c>
      <c r="Y161" s="168">
        <v>75.159000000000006</v>
      </c>
      <c r="Z161" s="169">
        <v>61.91</v>
      </c>
      <c r="AA161" s="1086"/>
      <c r="AB161" s="166"/>
      <c r="AC161" s="170">
        <v>94.7881</v>
      </c>
      <c r="AD161" s="170">
        <v>111.245</v>
      </c>
      <c r="AE161" s="170">
        <v>95.193799999999996</v>
      </c>
      <c r="AF161" s="167">
        <v>115.59099999999999</v>
      </c>
      <c r="AG161" s="169"/>
      <c r="AH161" s="329"/>
      <c r="AI161" s="329"/>
      <c r="AJ161" s="329"/>
      <c r="AK161" s="1626"/>
      <c r="AL161" s="184"/>
    </row>
    <row r="162" spans="1:38" x14ac:dyDescent="0.2">
      <c r="A162" s="14"/>
      <c r="B162" s="15"/>
      <c r="C162" s="77"/>
      <c r="D162" s="1047"/>
      <c r="E162" s="168">
        <v>80.010800000000003</v>
      </c>
      <c r="F162" s="168">
        <v>5.69001</v>
      </c>
      <c r="G162" s="168">
        <v>79.992800000000003</v>
      </c>
      <c r="H162" s="169">
        <v>4.5435299999999996</v>
      </c>
      <c r="I162" s="168"/>
      <c r="J162" s="1613"/>
      <c r="K162" s="168">
        <v>80.025899999999993</v>
      </c>
      <c r="L162" s="168">
        <v>5.4375</v>
      </c>
      <c r="M162" s="168">
        <v>80.025899999999993</v>
      </c>
      <c r="N162" s="169">
        <v>4.84375</v>
      </c>
      <c r="O162" s="168"/>
      <c r="P162" s="1613"/>
      <c r="Q162" s="168">
        <v>79.886399999999995</v>
      </c>
      <c r="R162" s="168">
        <v>29.195399999999999</v>
      </c>
      <c r="S162" s="168">
        <v>79.7727</v>
      </c>
      <c r="T162" s="169">
        <v>26.5517</v>
      </c>
      <c r="U162" s="168"/>
      <c r="V162" s="1613"/>
      <c r="W162" s="168">
        <v>80.109399999999994</v>
      </c>
      <c r="X162" s="168">
        <v>61.295999999999999</v>
      </c>
      <c r="Y162" s="168">
        <v>79.9422</v>
      </c>
      <c r="Z162" s="169">
        <v>65.370800000000003</v>
      </c>
      <c r="AA162" s="1086"/>
      <c r="AB162" s="1614" t="s">
        <v>863</v>
      </c>
      <c r="AC162" s="1012"/>
      <c r="AD162" s="168"/>
      <c r="AE162" s="168"/>
      <c r="AF162" s="168"/>
      <c r="AG162" s="169"/>
      <c r="AH162" s="329"/>
      <c r="AI162" s="329"/>
      <c r="AJ162" s="329"/>
      <c r="AK162" s="1626"/>
      <c r="AL162" s="184"/>
    </row>
    <row r="163" spans="1:38" x14ac:dyDescent="0.2">
      <c r="A163" s="14"/>
      <c r="B163" s="15"/>
      <c r="C163" s="77"/>
      <c r="D163" s="1047"/>
      <c r="E163" s="168">
        <v>84.965900000000005</v>
      </c>
      <c r="F163" s="168">
        <v>6.5764699999999996</v>
      </c>
      <c r="G163" s="168">
        <v>85.017099999999999</v>
      </c>
      <c r="H163" s="169">
        <v>4.8407499999999999</v>
      </c>
      <c r="I163" s="168"/>
      <c r="J163" s="1613"/>
      <c r="K163" s="168">
        <v>85</v>
      </c>
      <c r="L163" s="168">
        <v>6.46875</v>
      </c>
      <c r="M163" s="168">
        <v>85.077699999999993</v>
      </c>
      <c r="N163" s="169">
        <v>5.09375</v>
      </c>
      <c r="O163" s="168"/>
      <c r="P163" s="1613"/>
      <c r="Q163" s="168">
        <v>84.7727</v>
      </c>
      <c r="R163" s="168">
        <v>34.023000000000003</v>
      </c>
      <c r="S163" s="168">
        <v>84.886399999999995</v>
      </c>
      <c r="T163" s="169">
        <v>28.390799999999999</v>
      </c>
      <c r="U163" s="168"/>
      <c r="V163" s="1613"/>
      <c r="W163" s="168">
        <v>85.0578</v>
      </c>
      <c r="X163" s="168">
        <v>61.308900000000001</v>
      </c>
      <c r="Y163" s="168">
        <v>85.033600000000007</v>
      </c>
      <c r="Z163" s="169">
        <v>69.145899999999997</v>
      </c>
      <c r="AA163" s="1086"/>
      <c r="AB163" s="168"/>
      <c r="AC163" s="168"/>
      <c r="AD163" s="168"/>
      <c r="AE163" s="168"/>
      <c r="AF163" s="168"/>
      <c r="AG163" s="169"/>
      <c r="AH163" s="329"/>
      <c r="AI163" s="329"/>
      <c r="AJ163" s="329"/>
      <c r="AK163" s="1626"/>
      <c r="AL163" s="184"/>
    </row>
    <row r="164" spans="1:38" x14ac:dyDescent="0.2">
      <c r="A164" s="14"/>
      <c r="B164" s="15"/>
      <c r="C164" s="77"/>
      <c r="D164" s="1047"/>
      <c r="E164" s="168">
        <v>89.999399999999994</v>
      </c>
      <c r="F164" s="168">
        <v>7.4628500000000004</v>
      </c>
      <c r="G164" s="168">
        <v>89.962699999999998</v>
      </c>
      <c r="H164" s="169">
        <v>5.1221199999999998</v>
      </c>
      <c r="I164" s="168"/>
      <c r="J164" s="1613"/>
      <c r="K164" s="168">
        <v>90.0518</v>
      </c>
      <c r="L164" s="168">
        <v>7.53125</v>
      </c>
      <c r="M164" s="168">
        <v>90.0518</v>
      </c>
      <c r="N164" s="169">
        <v>5.3281299999999998</v>
      </c>
      <c r="O164" s="168"/>
      <c r="P164" s="1613"/>
      <c r="Q164" s="168">
        <v>89.886399999999995</v>
      </c>
      <c r="R164" s="168">
        <v>39.080500000000001</v>
      </c>
      <c r="S164" s="168">
        <v>89.886399999999995</v>
      </c>
      <c r="T164" s="169">
        <v>30.114899999999999</v>
      </c>
      <c r="U164" s="168"/>
      <c r="V164" s="1613"/>
      <c r="W164" s="168">
        <v>90.006200000000007</v>
      </c>
      <c r="X164" s="168">
        <v>61.321899999999999</v>
      </c>
      <c r="Y164" s="168">
        <v>90.125500000000002</v>
      </c>
      <c r="Z164" s="169">
        <v>72.764200000000002</v>
      </c>
      <c r="AA164" s="1086"/>
      <c r="AB164" s="168"/>
      <c r="AC164" s="168"/>
      <c r="AD164" s="168"/>
      <c r="AE164" s="168"/>
      <c r="AF164" s="168"/>
      <c r="AG164" s="169"/>
      <c r="AH164" s="329"/>
      <c r="AI164" s="329"/>
      <c r="AJ164" s="329"/>
      <c r="AK164" s="1626"/>
      <c r="AL164" s="184"/>
    </row>
    <row r="165" spans="1:38" x14ac:dyDescent="0.2">
      <c r="A165" s="14"/>
      <c r="B165" s="15"/>
      <c r="C165" s="77"/>
      <c r="D165" s="1612"/>
      <c r="E165" s="170">
        <v>95.111599999999996</v>
      </c>
      <c r="F165" s="170">
        <v>8.3650599999999997</v>
      </c>
      <c r="G165" s="170">
        <v>94.908299999999997</v>
      </c>
      <c r="H165" s="167">
        <v>5.4034899999999997</v>
      </c>
      <c r="I165" s="168"/>
      <c r="J165" s="166"/>
      <c r="K165" s="170"/>
      <c r="L165" s="170"/>
      <c r="M165" s="170">
        <v>95.025899999999993</v>
      </c>
      <c r="N165" s="167">
        <v>5.5625</v>
      </c>
      <c r="O165" s="168"/>
      <c r="P165" s="166"/>
      <c r="Q165" s="170">
        <v>94.886399999999995</v>
      </c>
      <c r="R165" s="170">
        <v>44.023000000000003</v>
      </c>
      <c r="S165" s="170">
        <v>94.886399999999995</v>
      </c>
      <c r="T165" s="167">
        <v>31.954000000000001</v>
      </c>
      <c r="U165" s="168"/>
      <c r="V165" s="166"/>
      <c r="W165" s="170">
        <v>94.954599999999999</v>
      </c>
      <c r="X165" s="170">
        <v>61.334800000000001</v>
      </c>
      <c r="Y165" s="170">
        <v>95.063199999999995</v>
      </c>
      <c r="Z165" s="167">
        <v>76.225300000000004</v>
      </c>
      <c r="AA165" s="1086"/>
      <c r="AB165" s="168"/>
      <c r="AC165" s="168"/>
      <c r="AD165" s="168"/>
      <c r="AE165" s="168"/>
      <c r="AF165" s="168"/>
      <c r="AG165" s="169"/>
      <c r="AH165" s="329"/>
      <c r="AI165" s="329"/>
      <c r="AJ165" s="329"/>
      <c r="AK165" s="1626"/>
      <c r="AL165" s="184"/>
    </row>
    <row r="166" spans="1:38" x14ac:dyDescent="0.2">
      <c r="A166" s="14"/>
      <c r="B166" s="15"/>
      <c r="C166" s="77"/>
      <c r="D166" s="16" t="s">
        <v>859</v>
      </c>
      <c r="E166" s="1012"/>
      <c r="F166" s="1086"/>
      <c r="G166" s="1086"/>
      <c r="H166" s="1086"/>
      <c r="I166" s="1086"/>
      <c r="J166" s="158" t="s">
        <v>860</v>
      </c>
      <c r="K166" s="1012"/>
      <c r="L166" s="1086"/>
      <c r="M166" s="1086"/>
      <c r="N166" s="1086"/>
      <c r="O166" s="1086"/>
      <c r="P166" s="158" t="s">
        <v>861</v>
      </c>
      <c r="Q166" s="1012"/>
      <c r="R166" s="1086"/>
      <c r="S166" s="1086"/>
      <c r="T166" s="1086"/>
      <c r="U166" s="1086"/>
      <c r="V166" s="158" t="s">
        <v>862</v>
      </c>
      <c r="W166" s="1012"/>
      <c r="X166" s="1086"/>
      <c r="Y166" s="1086"/>
      <c r="Z166" s="1086"/>
      <c r="AA166" s="1086"/>
      <c r="AB166" s="1086"/>
      <c r="AC166" s="1086"/>
      <c r="AD166" s="1086"/>
      <c r="AE166" s="1086"/>
      <c r="AF166" s="1086"/>
      <c r="AG166" s="1009"/>
      <c r="AH166" s="329"/>
      <c r="AI166" s="329"/>
      <c r="AJ166" s="329"/>
      <c r="AK166" s="1626"/>
      <c r="AL166" s="184"/>
    </row>
    <row r="167" spans="1:38" ht="12.75" customHeight="1" x14ac:dyDescent="0.2">
      <c r="A167" s="184"/>
      <c r="B167" s="1632"/>
      <c r="C167" s="1605"/>
      <c r="D167" s="329"/>
      <c r="E167" s="329"/>
      <c r="F167" s="329"/>
      <c r="G167" s="329"/>
      <c r="H167" s="329"/>
      <c r="I167" s="329"/>
      <c r="J167" s="329"/>
      <c r="K167" s="329"/>
      <c r="L167" s="329"/>
      <c r="M167" s="329"/>
      <c r="N167" s="329"/>
      <c r="O167" s="329"/>
      <c r="P167" s="329"/>
      <c r="Q167" s="329"/>
      <c r="R167" s="329"/>
      <c r="S167" s="329"/>
      <c r="T167" s="329"/>
      <c r="U167" s="329"/>
      <c r="V167" s="329"/>
      <c r="W167" s="329"/>
      <c r="X167" s="329"/>
      <c r="Y167" s="329"/>
      <c r="Z167" s="329"/>
      <c r="AA167" s="329"/>
      <c r="AB167" s="329"/>
      <c r="AC167" s="329"/>
      <c r="AD167" s="329"/>
      <c r="AE167" s="329"/>
      <c r="AF167" s="329"/>
      <c r="AG167" s="1582"/>
      <c r="AH167" s="329"/>
      <c r="AI167" s="329"/>
      <c r="AJ167" s="329"/>
      <c r="AK167" s="1626"/>
      <c r="AL167" s="184"/>
    </row>
    <row r="168" spans="1:38" ht="12.75" customHeight="1" x14ac:dyDescent="0.2">
      <c r="A168" s="184"/>
      <c r="B168" s="1632"/>
      <c r="C168" s="1605"/>
      <c r="D168" s="329"/>
      <c r="E168" s="329"/>
      <c r="F168" s="329"/>
      <c r="G168" s="329"/>
      <c r="H168" s="329"/>
      <c r="I168" s="329"/>
      <c r="J168" s="329"/>
      <c r="K168" s="329"/>
      <c r="L168" s="329"/>
      <c r="M168" s="329"/>
      <c r="N168" s="329"/>
      <c r="O168" s="329"/>
      <c r="P168" s="329"/>
      <c r="Q168" s="329"/>
      <c r="R168" s="329"/>
      <c r="S168" s="329"/>
      <c r="T168" s="329"/>
      <c r="U168" s="329"/>
      <c r="V168" s="329"/>
      <c r="W168" s="329"/>
      <c r="X168" s="329"/>
      <c r="Y168" s="329"/>
      <c r="Z168" s="329"/>
      <c r="AA168" s="329"/>
      <c r="AB168" s="329"/>
      <c r="AC168" s="329"/>
      <c r="AD168" s="329"/>
      <c r="AE168" s="329"/>
      <c r="AF168" s="329"/>
      <c r="AG168" s="1582"/>
      <c r="AH168" s="329"/>
      <c r="AI168" s="329"/>
      <c r="AJ168" s="329"/>
      <c r="AK168" s="1626"/>
      <c r="AL168" s="184"/>
    </row>
    <row r="169" spans="1:38" ht="12.75" customHeight="1" x14ac:dyDescent="0.2">
      <c r="A169" s="184"/>
      <c r="B169" s="1632"/>
      <c r="C169" s="1605"/>
      <c r="D169" s="329"/>
      <c r="E169" s="329"/>
      <c r="F169" s="329"/>
      <c r="G169" s="329"/>
      <c r="H169" s="329"/>
      <c r="I169" s="329"/>
      <c r="J169" s="329"/>
      <c r="K169" s="329"/>
      <c r="L169" s="329"/>
      <c r="M169" s="329"/>
      <c r="N169" s="329"/>
      <c r="O169" s="329"/>
      <c r="P169" s="329"/>
      <c r="Q169" s="329"/>
      <c r="R169" s="329"/>
      <c r="S169" s="329"/>
      <c r="T169" s="329"/>
      <c r="U169" s="329"/>
      <c r="V169" s="329"/>
      <c r="W169" s="329"/>
      <c r="X169" s="329"/>
      <c r="Y169" s="329"/>
      <c r="Z169" s="329"/>
      <c r="AA169" s="329"/>
      <c r="AB169" s="329"/>
      <c r="AC169" s="329"/>
      <c r="AD169" s="329"/>
      <c r="AE169" s="329"/>
      <c r="AF169" s="329"/>
      <c r="AG169" s="1582"/>
      <c r="AH169" s="329"/>
      <c r="AI169" s="329"/>
      <c r="AJ169" s="329"/>
      <c r="AK169" s="1626"/>
      <c r="AL169" s="184"/>
    </row>
    <row r="170" spans="1:38" ht="12.75" customHeight="1" x14ac:dyDescent="0.2">
      <c r="A170" s="184"/>
      <c r="B170" s="1632"/>
      <c r="C170" s="1605"/>
      <c r="D170" s="329"/>
      <c r="E170" s="329"/>
      <c r="F170" s="329"/>
      <c r="G170" s="329"/>
      <c r="H170" s="329"/>
      <c r="I170" s="329"/>
      <c r="J170" s="329"/>
      <c r="K170" s="329"/>
      <c r="L170" s="329"/>
      <c r="M170" s="329"/>
      <c r="N170" s="329"/>
      <c r="O170" s="329"/>
      <c r="P170" s="329"/>
      <c r="Q170" s="329"/>
      <c r="R170" s="329"/>
      <c r="S170" s="329"/>
      <c r="T170" s="329"/>
      <c r="U170" s="329"/>
      <c r="V170" s="329"/>
      <c r="W170" s="329"/>
      <c r="X170" s="329"/>
      <c r="Y170" s="329"/>
      <c r="Z170" s="329"/>
      <c r="AA170" s="329"/>
      <c r="AB170" s="329"/>
      <c r="AC170" s="329"/>
      <c r="AD170" s="329"/>
      <c r="AE170" s="329"/>
      <c r="AF170" s="329"/>
      <c r="AG170" s="1582"/>
      <c r="AH170" s="329"/>
      <c r="AI170" s="329"/>
      <c r="AJ170" s="329"/>
      <c r="AK170" s="1626"/>
      <c r="AL170" s="184"/>
    </row>
    <row r="171" spans="1:38" ht="12.75" customHeight="1" x14ac:dyDescent="0.2">
      <c r="A171" s="184"/>
      <c r="B171" s="1632"/>
      <c r="C171" s="1605"/>
      <c r="D171" s="329"/>
      <c r="E171" s="329"/>
      <c r="F171" s="329"/>
      <c r="G171" s="329"/>
      <c r="H171" s="329"/>
      <c r="I171" s="329"/>
      <c r="J171" s="329"/>
      <c r="K171" s="329"/>
      <c r="L171" s="329"/>
      <c r="M171" s="329"/>
      <c r="N171" s="329"/>
      <c r="O171" s="329"/>
      <c r="P171" s="329"/>
      <c r="Q171" s="329"/>
      <c r="R171" s="329"/>
      <c r="S171" s="329"/>
      <c r="T171" s="329"/>
      <c r="U171" s="329"/>
      <c r="V171" s="329"/>
      <c r="W171" s="329"/>
      <c r="X171" s="329"/>
      <c r="Y171" s="329"/>
      <c r="Z171" s="329"/>
      <c r="AA171" s="329"/>
      <c r="AB171" s="329"/>
      <c r="AC171" s="329"/>
      <c r="AD171" s="329"/>
      <c r="AE171" s="329"/>
      <c r="AF171" s="329"/>
      <c r="AG171" s="1582"/>
      <c r="AH171" s="329"/>
      <c r="AI171" s="329"/>
      <c r="AJ171" s="329"/>
      <c r="AK171" s="1626"/>
      <c r="AL171" s="184"/>
    </row>
    <row r="172" spans="1:38" ht="12.75" customHeight="1" x14ac:dyDescent="0.2">
      <c r="A172" s="184"/>
      <c r="B172" s="1632"/>
      <c r="C172" s="1605"/>
      <c r="D172" s="329"/>
      <c r="E172" s="329"/>
      <c r="F172" s="329"/>
      <c r="G172" s="329"/>
      <c r="H172" s="329"/>
      <c r="I172" s="329"/>
      <c r="J172" s="329"/>
      <c r="K172" s="329"/>
      <c r="L172" s="329"/>
      <c r="M172" s="329"/>
      <c r="N172" s="329"/>
      <c r="O172" s="329"/>
      <c r="P172" s="329"/>
      <c r="Q172" s="329"/>
      <c r="R172" s="329"/>
      <c r="S172" s="329"/>
      <c r="T172" s="329"/>
      <c r="U172" s="329"/>
      <c r="V172" s="329"/>
      <c r="W172" s="329"/>
      <c r="X172" s="329"/>
      <c r="Y172" s="329"/>
      <c r="Z172" s="329"/>
      <c r="AA172" s="329"/>
      <c r="AB172" s="329"/>
      <c r="AC172" s="329"/>
      <c r="AD172" s="329"/>
      <c r="AE172" s="329"/>
      <c r="AF172" s="329"/>
      <c r="AG172" s="1582"/>
      <c r="AH172" s="329"/>
      <c r="AI172" s="329"/>
      <c r="AJ172" s="329"/>
      <c r="AK172" s="1626"/>
      <c r="AL172" s="184"/>
    </row>
    <row r="173" spans="1:38" ht="12.75" customHeight="1" x14ac:dyDescent="0.35">
      <c r="A173" s="184"/>
      <c r="B173" s="1632"/>
      <c r="C173" s="1605"/>
      <c r="D173" s="159" t="s">
        <v>843</v>
      </c>
      <c r="E173" s="164" t="str">
        <f>E120</f>
        <v>Conversion, Vol%</v>
      </c>
      <c r="F173" s="164"/>
      <c r="G173" s="164"/>
      <c r="H173" s="160"/>
      <c r="I173" s="16"/>
      <c r="J173" s="159" t="s">
        <v>844</v>
      </c>
      <c r="K173" s="164" t="str">
        <f>E120</f>
        <v>Conversion, Vol%</v>
      </c>
      <c r="L173" s="164"/>
      <c r="M173" s="164"/>
      <c r="N173" s="160"/>
      <c r="O173" s="16"/>
      <c r="P173" s="159" t="s">
        <v>845</v>
      </c>
      <c r="Q173" s="164" t="str">
        <f>E120</f>
        <v>Conversion, Vol%</v>
      </c>
      <c r="R173" s="164"/>
      <c r="S173" s="164"/>
      <c r="T173" s="160"/>
      <c r="U173" s="16"/>
      <c r="V173" s="329"/>
      <c r="W173" s="329"/>
      <c r="X173" s="329"/>
      <c r="Y173" s="329"/>
      <c r="Z173" s="329"/>
      <c r="AA173" s="329"/>
      <c r="AB173" s="329"/>
      <c r="AC173" s="329"/>
      <c r="AD173" s="329"/>
      <c r="AE173" s="329"/>
      <c r="AF173" s="329"/>
      <c r="AG173" s="1582"/>
      <c r="AH173" s="329"/>
      <c r="AI173" s="329"/>
      <c r="AJ173" s="329"/>
      <c r="AK173" s="1626"/>
      <c r="AL173" s="184"/>
    </row>
    <row r="174" spans="1:38" ht="12.75" customHeight="1" x14ac:dyDescent="0.35">
      <c r="A174" s="184"/>
      <c r="B174" s="1632"/>
      <c r="C174" s="1605"/>
      <c r="D174" s="77" t="s">
        <v>848</v>
      </c>
      <c r="E174" s="843" t="s">
        <v>849</v>
      </c>
      <c r="F174" s="16"/>
      <c r="G174" s="16"/>
      <c r="H174" s="997"/>
      <c r="I174" s="16"/>
      <c r="J174" s="77" t="s">
        <v>850</v>
      </c>
      <c r="K174" s="843" t="s">
        <v>658</v>
      </c>
      <c r="L174" s="16"/>
      <c r="M174" s="16"/>
      <c r="N174" s="997"/>
      <c r="O174" s="16"/>
      <c r="P174" s="77" t="s">
        <v>851</v>
      </c>
      <c r="Q174" s="843" t="s">
        <v>659</v>
      </c>
      <c r="R174" s="16"/>
      <c r="S174" s="16"/>
      <c r="T174" s="997"/>
      <c r="U174" s="16"/>
      <c r="V174" s="329"/>
      <c r="W174" s="329"/>
      <c r="X174" s="329"/>
      <c r="Y174" s="329"/>
      <c r="Z174" s="329"/>
      <c r="AA174" s="329"/>
      <c r="AB174" s="329"/>
      <c r="AC174" s="329"/>
      <c r="AD174" s="329"/>
      <c r="AE174" s="329"/>
      <c r="AF174" s="329"/>
      <c r="AG174" s="1582"/>
      <c r="AH174" s="329"/>
      <c r="AI174" s="329"/>
      <c r="AJ174" s="329"/>
      <c r="AK174" s="1626"/>
      <c r="AL174" s="184"/>
    </row>
    <row r="175" spans="1:38" ht="12.75" customHeight="1" x14ac:dyDescent="0.2">
      <c r="A175" s="184"/>
      <c r="B175" s="1632"/>
      <c r="C175" s="1605"/>
      <c r="D175" s="77" t="s">
        <v>806</v>
      </c>
      <c r="E175" s="16">
        <v>11.8</v>
      </c>
      <c r="F175" s="16"/>
      <c r="G175" s="16">
        <v>12.35</v>
      </c>
      <c r="H175" s="997"/>
      <c r="I175" s="16"/>
      <c r="J175" s="77" t="s">
        <v>806</v>
      </c>
      <c r="K175" s="16">
        <v>11.8</v>
      </c>
      <c r="L175" s="16"/>
      <c r="M175" s="16">
        <v>12.35</v>
      </c>
      <c r="N175" s="997"/>
      <c r="O175" s="16"/>
      <c r="P175" s="77" t="s">
        <v>806</v>
      </c>
      <c r="Q175" s="16">
        <v>11.8</v>
      </c>
      <c r="R175" s="16"/>
      <c r="S175" s="16">
        <v>12.35</v>
      </c>
      <c r="T175" s="997"/>
      <c r="U175" s="16"/>
      <c r="V175" s="329"/>
      <c r="W175" s="329"/>
      <c r="X175" s="329"/>
      <c r="Y175" s="329"/>
      <c r="Z175" s="329"/>
      <c r="AA175" s="329"/>
      <c r="AB175" s="329"/>
      <c r="AC175" s="329"/>
      <c r="AD175" s="329"/>
      <c r="AE175" s="329"/>
      <c r="AF175" s="329"/>
      <c r="AG175" s="1582"/>
      <c r="AH175" s="329"/>
      <c r="AI175" s="329"/>
      <c r="AJ175" s="329"/>
      <c r="AK175" s="1626"/>
      <c r="AL175" s="184"/>
    </row>
    <row r="176" spans="1:38" ht="12.75" customHeight="1" x14ac:dyDescent="0.35">
      <c r="A176" s="184"/>
      <c r="B176" s="1632"/>
      <c r="C176" s="1605"/>
      <c r="D176" s="1002"/>
      <c r="E176" s="1086" t="s">
        <v>843</v>
      </c>
      <c r="F176" s="1086" t="s">
        <v>848</v>
      </c>
      <c r="G176" s="1086" t="s">
        <v>843</v>
      </c>
      <c r="H176" s="1009" t="s">
        <v>848</v>
      </c>
      <c r="I176" s="1086"/>
      <c r="J176" s="1002"/>
      <c r="K176" s="1086" t="s">
        <v>844</v>
      </c>
      <c r="L176" s="1086" t="s">
        <v>850</v>
      </c>
      <c r="M176" s="1086" t="s">
        <v>844</v>
      </c>
      <c r="N176" s="1009" t="s">
        <v>850</v>
      </c>
      <c r="O176" s="1086"/>
      <c r="P176" s="1002"/>
      <c r="Q176" s="1086" t="s">
        <v>845</v>
      </c>
      <c r="R176" s="1086" t="s">
        <v>851</v>
      </c>
      <c r="S176" s="1086" t="s">
        <v>845</v>
      </c>
      <c r="T176" s="1009" t="s">
        <v>851</v>
      </c>
      <c r="U176" s="1086"/>
      <c r="V176" s="329"/>
      <c r="W176" s="329"/>
      <c r="X176" s="329"/>
      <c r="Y176" s="329"/>
      <c r="Z176" s="329"/>
      <c r="AA176" s="329"/>
      <c r="AB176" s="329"/>
      <c r="AC176" s="329"/>
      <c r="AD176" s="329"/>
      <c r="AE176" s="329"/>
      <c r="AF176" s="329"/>
      <c r="AG176" s="1582"/>
      <c r="AH176" s="329"/>
      <c r="AI176" s="329"/>
      <c r="AJ176" s="329"/>
      <c r="AK176" s="1626"/>
      <c r="AL176" s="184"/>
    </row>
    <row r="177" spans="1:38" ht="12.75" customHeight="1" x14ac:dyDescent="0.2">
      <c r="A177" s="184"/>
      <c r="B177" s="1632"/>
      <c r="C177" s="1605"/>
      <c r="D177" s="1613"/>
      <c r="E177" s="168">
        <v>45.084699999999998</v>
      </c>
      <c r="F177" s="168">
        <v>90.386300000000006</v>
      </c>
      <c r="G177" s="168">
        <v>42.6357</v>
      </c>
      <c r="H177" s="169">
        <v>96.692899999999995</v>
      </c>
      <c r="I177" s="168"/>
      <c r="J177" s="1613"/>
      <c r="K177" s="168">
        <v>45.084699999999998</v>
      </c>
      <c r="L177" s="168">
        <v>55.107300000000002</v>
      </c>
      <c r="M177" s="168">
        <v>42.790700000000001</v>
      </c>
      <c r="N177" s="169">
        <v>57.322800000000001</v>
      </c>
      <c r="O177" s="168"/>
      <c r="P177" s="1613"/>
      <c r="Q177" s="168">
        <v>40.127099999999999</v>
      </c>
      <c r="R177" s="168">
        <v>27.553599999999999</v>
      </c>
      <c r="S177" s="168">
        <v>40</v>
      </c>
      <c r="T177" s="169">
        <v>16.062999999999999</v>
      </c>
      <c r="U177" s="168"/>
      <c r="V177" s="329"/>
      <c r="W177" s="329"/>
      <c r="X177" s="329"/>
      <c r="Y177" s="329"/>
      <c r="Z177" s="329"/>
      <c r="AA177" s="329"/>
      <c r="AB177" s="329"/>
      <c r="AC177" s="329"/>
      <c r="AD177" s="329"/>
      <c r="AE177" s="329"/>
      <c r="AF177" s="329"/>
      <c r="AG177" s="1582"/>
      <c r="AH177" s="329"/>
      <c r="AI177" s="329"/>
      <c r="AJ177" s="329"/>
      <c r="AK177" s="1626"/>
      <c r="AL177" s="184"/>
    </row>
    <row r="178" spans="1:38" ht="12.75" customHeight="1" x14ac:dyDescent="0.2">
      <c r="A178" s="184"/>
      <c r="B178" s="1632"/>
      <c r="C178" s="1605"/>
      <c r="D178" s="1613"/>
      <c r="E178" s="168">
        <v>49.915300000000002</v>
      </c>
      <c r="F178" s="168">
        <v>89.356200000000001</v>
      </c>
      <c r="G178" s="168">
        <v>50.232599999999998</v>
      </c>
      <c r="H178" s="169">
        <v>94.173199999999994</v>
      </c>
      <c r="I178" s="168"/>
      <c r="J178" s="1613"/>
      <c r="K178" s="168">
        <v>50.042400000000001</v>
      </c>
      <c r="L178" s="168">
        <v>50.214599999999997</v>
      </c>
      <c r="M178" s="168">
        <v>50.232599999999998</v>
      </c>
      <c r="N178" s="169">
        <v>49.763800000000003</v>
      </c>
      <c r="O178" s="168"/>
      <c r="P178" s="1613"/>
      <c r="Q178" s="168">
        <v>50.042400000000001</v>
      </c>
      <c r="R178" s="168">
        <v>19.055800000000001</v>
      </c>
      <c r="S178" s="168">
        <v>50.077500000000001</v>
      </c>
      <c r="T178" s="169">
        <v>13.228300000000001</v>
      </c>
      <c r="U178" s="168"/>
      <c r="V178" s="329"/>
      <c r="W178" s="329"/>
      <c r="X178" s="329"/>
      <c r="Y178" s="329"/>
      <c r="Z178" s="329"/>
      <c r="AA178" s="329"/>
      <c r="AB178" s="329"/>
      <c r="AC178" s="329"/>
      <c r="AD178" s="329"/>
      <c r="AE178" s="329"/>
      <c r="AF178" s="329"/>
      <c r="AG178" s="1582"/>
      <c r="AH178" s="329"/>
      <c r="AI178" s="329"/>
      <c r="AJ178" s="329"/>
      <c r="AK178" s="1626"/>
      <c r="AL178" s="184"/>
    </row>
    <row r="179" spans="1:38" ht="12.75" customHeight="1" x14ac:dyDescent="0.2">
      <c r="A179" s="184"/>
      <c r="B179" s="1632"/>
      <c r="C179" s="1605"/>
      <c r="D179" s="1613"/>
      <c r="E179" s="168">
        <v>59.957599999999999</v>
      </c>
      <c r="F179" s="168">
        <v>86.781099999999995</v>
      </c>
      <c r="G179" s="168">
        <v>60.155000000000001</v>
      </c>
      <c r="H179" s="169">
        <v>91.3386</v>
      </c>
      <c r="I179" s="168"/>
      <c r="J179" s="1613"/>
      <c r="K179" s="168">
        <v>59.957599999999999</v>
      </c>
      <c r="L179" s="168">
        <v>40.171700000000001</v>
      </c>
      <c r="M179" s="168">
        <v>60.155000000000001</v>
      </c>
      <c r="N179" s="169">
        <v>39.685000000000002</v>
      </c>
      <c r="O179" s="168"/>
      <c r="P179" s="1613"/>
      <c r="Q179" s="168">
        <v>59.830500000000001</v>
      </c>
      <c r="R179" s="168">
        <v>10.042899999999999</v>
      </c>
      <c r="S179" s="168">
        <v>60</v>
      </c>
      <c r="T179" s="169">
        <v>10.393700000000001</v>
      </c>
      <c r="U179" s="168"/>
      <c r="V179" s="329"/>
      <c r="W179" s="329"/>
      <c r="X179" s="329"/>
      <c r="Y179" s="329"/>
      <c r="Z179" s="329"/>
      <c r="AA179" s="329"/>
      <c r="AB179" s="329"/>
      <c r="AC179" s="329"/>
      <c r="AD179" s="329"/>
      <c r="AE179" s="329"/>
      <c r="AF179" s="329"/>
      <c r="AG179" s="1582"/>
      <c r="AH179" s="329"/>
      <c r="AI179" s="329"/>
      <c r="AJ179" s="329"/>
      <c r="AK179" s="1626"/>
      <c r="AL179" s="184"/>
    </row>
    <row r="180" spans="1:38" ht="12.75" customHeight="1" x14ac:dyDescent="0.2">
      <c r="A180" s="184"/>
      <c r="B180" s="1632"/>
      <c r="C180" s="1605"/>
      <c r="D180" s="1613"/>
      <c r="E180" s="168">
        <v>69.872900000000001</v>
      </c>
      <c r="F180" s="168">
        <v>84.206000000000003</v>
      </c>
      <c r="G180" s="168">
        <v>70.232600000000005</v>
      </c>
      <c r="H180" s="169">
        <v>88.188999999999993</v>
      </c>
      <c r="I180" s="168"/>
      <c r="J180" s="1613"/>
      <c r="K180" s="168">
        <v>70</v>
      </c>
      <c r="L180" s="168">
        <v>30.128799999999998</v>
      </c>
      <c r="M180" s="168">
        <v>70.077500000000001</v>
      </c>
      <c r="N180" s="169">
        <v>29.921299999999999</v>
      </c>
      <c r="O180" s="168"/>
      <c r="P180" s="1613"/>
      <c r="Q180" s="168">
        <v>69.872900000000001</v>
      </c>
      <c r="R180" s="168">
        <v>7.4678100000000001</v>
      </c>
      <c r="S180" s="168">
        <v>70.077500000000001</v>
      </c>
      <c r="T180" s="169">
        <v>7.5590599999999997</v>
      </c>
      <c r="U180" s="168"/>
      <c r="V180" s="329"/>
      <c r="W180" s="329"/>
      <c r="X180" s="329"/>
      <c r="Y180" s="329"/>
      <c r="Z180" s="329"/>
      <c r="AA180" s="329"/>
      <c r="AB180" s="329"/>
      <c r="AC180" s="329"/>
      <c r="AD180" s="329"/>
      <c r="AE180" s="329"/>
      <c r="AF180" s="329"/>
      <c r="AG180" s="1582"/>
      <c r="AH180" s="329"/>
      <c r="AI180" s="329"/>
      <c r="AJ180" s="329"/>
      <c r="AK180" s="1626"/>
      <c r="AL180" s="184"/>
    </row>
    <row r="181" spans="1:38" ht="12.75" customHeight="1" x14ac:dyDescent="0.2">
      <c r="A181" s="184"/>
      <c r="B181" s="1632"/>
      <c r="C181" s="1605"/>
      <c r="D181" s="1613"/>
      <c r="E181" s="168">
        <v>79.406800000000004</v>
      </c>
      <c r="F181" s="168">
        <v>82.145899999999997</v>
      </c>
      <c r="G181" s="168">
        <v>80.155000000000001</v>
      </c>
      <c r="H181" s="169">
        <v>85.039400000000001</v>
      </c>
      <c r="I181" s="168"/>
      <c r="J181" s="1613"/>
      <c r="K181" s="168">
        <v>79.915300000000002</v>
      </c>
      <c r="L181" s="168">
        <v>20.343299999999999</v>
      </c>
      <c r="M181" s="168">
        <v>80.155000000000001</v>
      </c>
      <c r="N181" s="169">
        <v>19.842500000000001</v>
      </c>
      <c r="O181" s="168"/>
      <c r="P181" s="1613"/>
      <c r="Q181" s="168">
        <v>79.915300000000002</v>
      </c>
      <c r="R181" s="168">
        <v>5.1502100000000004</v>
      </c>
      <c r="S181" s="168">
        <v>80</v>
      </c>
      <c r="T181" s="169">
        <v>4.7244099999999998</v>
      </c>
      <c r="U181" s="168"/>
      <c r="V181" s="329"/>
      <c r="W181" s="329"/>
      <c r="X181" s="329"/>
      <c r="Y181" s="329"/>
      <c r="Z181" s="329"/>
      <c r="AA181" s="329"/>
      <c r="AB181" s="329"/>
      <c r="AC181" s="329"/>
      <c r="AD181" s="329"/>
      <c r="AE181" s="329"/>
      <c r="AF181" s="329"/>
      <c r="AG181" s="1582"/>
      <c r="AH181" s="329"/>
      <c r="AI181" s="329"/>
      <c r="AJ181" s="329"/>
      <c r="AK181" s="1626"/>
      <c r="AL181" s="184"/>
    </row>
    <row r="182" spans="1:38" ht="12.75" customHeight="1" x14ac:dyDescent="0.2">
      <c r="A182" s="184"/>
      <c r="B182" s="1632"/>
      <c r="C182" s="1605"/>
      <c r="D182" s="1613"/>
      <c r="E182" s="168">
        <v>89.957599999999999</v>
      </c>
      <c r="F182" s="168">
        <v>71.845500000000001</v>
      </c>
      <c r="G182" s="168">
        <v>90.077500000000001</v>
      </c>
      <c r="H182" s="169">
        <v>81.574799999999996</v>
      </c>
      <c r="I182" s="168"/>
      <c r="J182" s="1613"/>
      <c r="K182" s="168">
        <v>89.957599999999999</v>
      </c>
      <c r="L182" s="168">
        <v>10.3004</v>
      </c>
      <c r="M182" s="168">
        <v>90.077500000000001</v>
      </c>
      <c r="N182" s="169">
        <v>10.0787</v>
      </c>
      <c r="O182" s="168"/>
      <c r="P182" s="1613"/>
      <c r="Q182" s="168">
        <v>89.957599999999999</v>
      </c>
      <c r="R182" s="168">
        <v>2.57511</v>
      </c>
      <c r="S182" s="168">
        <v>89.922499999999999</v>
      </c>
      <c r="T182" s="169">
        <v>1.5748</v>
      </c>
      <c r="U182" s="168"/>
      <c r="V182" s="329"/>
      <c r="W182" s="329"/>
      <c r="X182" s="329"/>
      <c r="Y182" s="329"/>
      <c r="Z182" s="329"/>
      <c r="AA182" s="329"/>
      <c r="AB182" s="329"/>
      <c r="AC182" s="329"/>
      <c r="AD182" s="329"/>
      <c r="AE182" s="329"/>
      <c r="AF182" s="329"/>
      <c r="AG182" s="1582"/>
      <c r="AH182" s="329"/>
      <c r="AI182" s="329"/>
      <c r="AJ182" s="329"/>
      <c r="AK182" s="1626"/>
      <c r="AL182" s="184"/>
    </row>
    <row r="183" spans="1:38" ht="12.75" customHeight="1" x14ac:dyDescent="0.2">
      <c r="A183" s="184"/>
      <c r="B183" s="1632"/>
      <c r="C183" s="1605"/>
      <c r="D183" s="166"/>
      <c r="E183" s="170">
        <v>94.7881</v>
      </c>
      <c r="F183" s="170">
        <v>67.210300000000004</v>
      </c>
      <c r="G183" s="170">
        <v>95.193799999999996</v>
      </c>
      <c r="H183" s="167">
        <v>80</v>
      </c>
      <c r="I183" s="168"/>
      <c r="J183" s="166"/>
      <c r="K183" s="170">
        <v>95.042400000000001</v>
      </c>
      <c r="L183" s="170">
        <v>5.1502100000000004</v>
      </c>
      <c r="M183" s="170">
        <v>95.038799999999995</v>
      </c>
      <c r="N183" s="167">
        <v>4.7244099999999998</v>
      </c>
      <c r="O183" s="168"/>
      <c r="P183" s="166"/>
      <c r="Q183" s="170">
        <v>95.042400000000001</v>
      </c>
      <c r="R183" s="170">
        <v>1.5450600000000001</v>
      </c>
      <c r="S183" s="170">
        <v>95.193799999999996</v>
      </c>
      <c r="T183" s="167">
        <v>0.31496099999999999</v>
      </c>
      <c r="U183" s="168"/>
      <c r="V183" s="329"/>
      <c r="W183" s="329"/>
      <c r="X183" s="329"/>
      <c r="Y183" s="329"/>
      <c r="Z183" s="329"/>
      <c r="AA183" s="329"/>
      <c r="AB183" s="329"/>
      <c r="AC183" s="329"/>
      <c r="AD183" s="329"/>
      <c r="AE183" s="329"/>
      <c r="AF183" s="329"/>
      <c r="AG183" s="1582"/>
      <c r="AH183" s="329"/>
      <c r="AI183" s="329"/>
      <c r="AJ183" s="329"/>
      <c r="AK183" s="1626"/>
      <c r="AL183" s="184"/>
    </row>
    <row r="184" spans="1:38" ht="12.75" customHeight="1" x14ac:dyDescent="0.2">
      <c r="A184" s="184"/>
      <c r="B184" s="1632"/>
      <c r="C184" s="1605"/>
      <c r="D184" s="1614" t="s">
        <v>863</v>
      </c>
      <c r="E184" s="1012"/>
      <c r="F184" s="168"/>
      <c r="G184" s="168"/>
      <c r="H184" s="168"/>
      <c r="I184" s="168"/>
      <c r="J184" s="1614" t="s">
        <v>863</v>
      </c>
      <c r="K184" s="1012"/>
      <c r="L184" s="168"/>
      <c r="M184" s="168"/>
      <c r="N184" s="168"/>
      <c r="O184" s="168"/>
      <c r="P184" s="1614" t="s">
        <v>863</v>
      </c>
      <c r="Q184" s="1012"/>
      <c r="R184" s="168"/>
      <c r="S184" s="168"/>
      <c r="T184" s="1014"/>
      <c r="U184" s="1014"/>
      <c r="V184" s="329"/>
      <c r="W184" s="329"/>
      <c r="X184" s="329"/>
      <c r="Y184" s="329"/>
      <c r="Z184" s="329"/>
      <c r="AA184" s="329"/>
      <c r="AB184" s="329"/>
      <c r="AC184" s="329"/>
      <c r="AD184" s="329"/>
      <c r="AE184" s="329"/>
      <c r="AF184" s="329"/>
      <c r="AG184" s="1582"/>
      <c r="AH184" s="329"/>
      <c r="AI184" s="329"/>
      <c r="AJ184" s="329"/>
      <c r="AK184" s="1626"/>
      <c r="AL184" s="184"/>
    </row>
    <row r="185" spans="1:38" ht="12.75" customHeight="1" x14ac:dyDescent="0.2">
      <c r="A185" s="184"/>
      <c r="B185" s="1632"/>
      <c r="C185" s="1605"/>
      <c r="D185" s="168"/>
      <c r="E185" s="168"/>
      <c r="F185" s="168"/>
      <c r="G185" s="168"/>
      <c r="H185" s="168"/>
      <c r="I185" s="168"/>
      <c r="J185" s="168"/>
      <c r="K185" s="168"/>
      <c r="L185" s="168"/>
      <c r="M185" s="168"/>
      <c r="N185" s="168"/>
      <c r="O185" s="168"/>
      <c r="P185" s="168"/>
      <c r="Q185" s="168"/>
      <c r="R185" s="168"/>
      <c r="S185" s="168"/>
      <c r="T185" s="168"/>
      <c r="U185" s="168"/>
      <c r="V185" s="329"/>
      <c r="W185" s="329"/>
      <c r="X185" s="329"/>
      <c r="Y185" s="329"/>
      <c r="Z185" s="329"/>
      <c r="AA185" s="329"/>
      <c r="AB185" s="329"/>
      <c r="AC185" s="329"/>
      <c r="AD185" s="329"/>
      <c r="AE185" s="329"/>
      <c r="AF185" s="329"/>
      <c r="AG185" s="1582"/>
      <c r="AH185" s="329"/>
      <c r="AI185" s="329"/>
      <c r="AJ185" s="329"/>
      <c r="AK185" s="1626"/>
      <c r="AL185" s="184"/>
    </row>
    <row r="186" spans="1:38" ht="12.75" customHeight="1" x14ac:dyDescent="0.2">
      <c r="A186" s="184"/>
      <c r="B186" s="1632"/>
      <c r="C186" s="1605"/>
      <c r="D186" s="168"/>
      <c r="E186" s="168"/>
      <c r="F186" s="168"/>
      <c r="G186" s="168"/>
      <c r="H186" s="168"/>
      <c r="I186" s="168"/>
      <c r="J186" s="168"/>
      <c r="K186" s="168"/>
      <c r="L186" s="168"/>
      <c r="M186" s="168"/>
      <c r="N186" s="168"/>
      <c r="O186" s="168"/>
      <c r="P186" s="168"/>
      <c r="Q186" s="168"/>
      <c r="R186" s="168"/>
      <c r="S186" s="168"/>
      <c r="T186" s="168"/>
      <c r="U186" s="168"/>
      <c r="V186" s="329"/>
      <c r="W186" s="329"/>
      <c r="X186" s="329"/>
      <c r="Y186" s="329"/>
      <c r="Z186" s="329"/>
      <c r="AA186" s="329"/>
      <c r="AB186" s="329"/>
      <c r="AC186" s="329"/>
      <c r="AD186" s="329"/>
      <c r="AE186" s="329"/>
      <c r="AF186" s="329"/>
      <c r="AG186" s="1582"/>
      <c r="AH186" s="329"/>
      <c r="AI186" s="329"/>
      <c r="AJ186" s="329"/>
      <c r="AK186" s="1626"/>
      <c r="AL186" s="184"/>
    </row>
    <row r="187" spans="1:38" ht="12.75" customHeight="1" x14ac:dyDescent="0.2">
      <c r="A187" s="184"/>
      <c r="B187" s="1632"/>
      <c r="C187" s="1605"/>
      <c r="D187" s="168"/>
      <c r="E187" s="168"/>
      <c r="F187" s="168"/>
      <c r="G187" s="168"/>
      <c r="H187" s="168"/>
      <c r="I187" s="168"/>
      <c r="J187" s="168"/>
      <c r="K187" s="168"/>
      <c r="L187" s="168"/>
      <c r="M187" s="168"/>
      <c r="N187" s="168"/>
      <c r="O187" s="168"/>
      <c r="P187" s="168"/>
      <c r="Q187" s="168"/>
      <c r="R187" s="168"/>
      <c r="S187" s="168"/>
      <c r="T187" s="168"/>
      <c r="U187" s="168"/>
      <c r="V187" s="329"/>
      <c r="W187" s="329"/>
      <c r="X187" s="329"/>
      <c r="Y187" s="329"/>
      <c r="Z187" s="329"/>
      <c r="AA187" s="329"/>
      <c r="AB187" s="329"/>
      <c r="AC187" s="329"/>
      <c r="AD187" s="329"/>
      <c r="AE187" s="329"/>
      <c r="AF187" s="329"/>
      <c r="AG187" s="1582"/>
      <c r="AH187" s="329"/>
      <c r="AI187" s="329"/>
      <c r="AJ187" s="329"/>
      <c r="AK187" s="1626"/>
      <c r="AL187" s="184"/>
    </row>
    <row r="188" spans="1:38" ht="12.75" customHeight="1" x14ac:dyDescent="0.2">
      <c r="A188" s="184"/>
      <c r="B188" s="1632"/>
      <c r="C188" s="1605"/>
      <c r="D188" s="1086"/>
      <c r="E188" s="1086"/>
      <c r="F188" s="1086"/>
      <c r="G188" s="1086"/>
      <c r="H188" s="1086"/>
      <c r="I188" s="1086"/>
      <c r="J188" s="1086"/>
      <c r="K188" s="1086"/>
      <c r="L188" s="1086"/>
      <c r="M188" s="1086"/>
      <c r="N188" s="1086"/>
      <c r="O188" s="1086"/>
      <c r="P188" s="1086"/>
      <c r="Q188" s="1086"/>
      <c r="R188" s="1086"/>
      <c r="S188" s="1086"/>
      <c r="T188" s="1086"/>
      <c r="U188" s="1086"/>
      <c r="V188" s="329"/>
      <c r="W188" s="329"/>
      <c r="X188" s="329"/>
      <c r="Y188" s="329"/>
      <c r="Z188" s="329"/>
      <c r="AA188" s="329"/>
      <c r="AB188" s="329"/>
      <c r="AC188" s="329"/>
      <c r="AD188" s="329"/>
      <c r="AE188" s="329"/>
      <c r="AF188" s="329"/>
      <c r="AG188" s="1582"/>
      <c r="AH188" s="329"/>
      <c r="AI188" s="329"/>
      <c r="AJ188" s="329"/>
      <c r="AK188" s="1626"/>
      <c r="AL188" s="184"/>
    </row>
    <row r="189" spans="1:38" ht="12.75" customHeight="1" x14ac:dyDescent="0.2">
      <c r="A189" s="184"/>
      <c r="B189" s="1632"/>
      <c r="C189" s="1605"/>
      <c r="D189" s="329"/>
      <c r="E189" s="329"/>
      <c r="F189" s="329"/>
      <c r="G189" s="329"/>
      <c r="H189" s="329"/>
      <c r="I189" s="329"/>
      <c r="J189" s="329"/>
      <c r="K189" s="329"/>
      <c r="L189" s="329"/>
      <c r="M189" s="329"/>
      <c r="N189" s="329"/>
      <c r="O189" s="329"/>
      <c r="P189" s="329"/>
      <c r="Q189" s="329"/>
      <c r="R189" s="329"/>
      <c r="S189" s="329"/>
      <c r="T189" s="329"/>
      <c r="U189" s="329"/>
      <c r="V189" s="329"/>
      <c r="W189" s="329"/>
      <c r="X189" s="329"/>
      <c r="Y189" s="329"/>
      <c r="Z189" s="329"/>
      <c r="AA189" s="329"/>
      <c r="AB189" s="329"/>
      <c r="AC189" s="329"/>
      <c r="AD189" s="329"/>
      <c r="AE189" s="329"/>
      <c r="AF189" s="329"/>
      <c r="AG189" s="1582"/>
      <c r="AH189" s="329"/>
      <c r="AI189" s="329"/>
      <c r="AJ189" s="329"/>
      <c r="AK189" s="1626"/>
      <c r="AL189" s="184"/>
    </row>
    <row r="190" spans="1:38" ht="12.75" customHeight="1" x14ac:dyDescent="0.2">
      <c r="A190" s="184"/>
      <c r="B190" s="1632"/>
      <c r="C190" s="1605"/>
      <c r="D190" s="329"/>
      <c r="E190" s="329"/>
      <c r="F190" s="329"/>
      <c r="G190" s="329"/>
      <c r="H190" s="329"/>
      <c r="I190" s="329"/>
      <c r="J190" s="329"/>
      <c r="K190" s="329"/>
      <c r="L190" s="329"/>
      <c r="M190" s="329"/>
      <c r="N190" s="329"/>
      <c r="O190" s="329"/>
      <c r="P190" s="329"/>
      <c r="Q190" s="329"/>
      <c r="R190" s="329"/>
      <c r="S190" s="329"/>
      <c r="T190" s="329"/>
      <c r="U190" s="329"/>
      <c r="V190" s="329"/>
      <c r="W190" s="329"/>
      <c r="X190" s="329"/>
      <c r="Y190" s="329"/>
      <c r="Z190" s="329"/>
      <c r="AA190" s="329"/>
      <c r="AB190" s="329"/>
      <c r="AC190" s="329"/>
      <c r="AD190" s="329"/>
      <c r="AE190" s="329"/>
      <c r="AF190" s="329"/>
      <c r="AG190" s="1582"/>
      <c r="AH190" s="329"/>
      <c r="AI190" s="329"/>
      <c r="AJ190" s="329"/>
      <c r="AK190" s="1626"/>
      <c r="AL190" s="184"/>
    </row>
    <row r="191" spans="1:38" ht="12.75" customHeight="1" x14ac:dyDescent="0.2">
      <c r="A191" s="184"/>
      <c r="B191" s="1632"/>
      <c r="C191" s="1605"/>
      <c r="D191" s="329"/>
      <c r="E191" s="329"/>
      <c r="F191" s="329"/>
      <c r="G191" s="329"/>
      <c r="H191" s="329"/>
      <c r="I191" s="329"/>
      <c r="J191" s="329"/>
      <c r="K191" s="329"/>
      <c r="L191" s="329"/>
      <c r="M191" s="329"/>
      <c r="N191" s="329"/>
      <c r="O191" s="329"/>
      <c r="P191" s="329"/>
      <c r="Q191" s="329"/>
      <c r="R191" s="329"/>
      <c r="S191" s="329"/>
      <c r="T191" s="329"/>
      <c r="U191" s="329"/>
      <c r="V191" s="329"/>
      <c r="W191" s="329"/>
      <c r="X191" s="329"/>
      <c r="Y191" s="329"/>
      <c r="Z191" s="329"/>
      <c r="AA191" s="329"/>
      <c r="AB191" s="329"/>
      <c r="AC191" s="329"/>
      <c r="AD191" s="329"/>
      <c r="AE191" s="329"/>
      <c r="AF191" s="329"/>
      <c r="AG191" s="1582"/>
      <c r="AH191" s="329"/>
      <c r="AI191" s="329"/>
      <c r="AJ191" s="329"/>
      <c r="AK191" s="1626"/>
      <c r="AL191" s="184"/>
    </row>
    <row r="192" spans="1:38" ht="12.75" customHeight="1" x14ac:dyDescent="0.2">
      <c r="A192" s="184"/>
      <c r="B192" s="1632"/>
      <c r="C192" s="1605"/>
      <c r="D192" s="329"/>
      <c r="E192" s="329"/>
      <c r="F192" s="329"/>
      <c r="G192" s="329"/>
      <c r="H192" s="329"/>
      <c r="I192" s="329"/>
      <c r="J192" s="329"/>
      <c r="K192" s="329"/>
      <c r="L192" s="329"/>
      <c r="M192" s="329"/>
      <c r="N192" s="329"/>
      <c r="O192" s="329"/>
      <c r="P192" s="329"/>
      <c r="Q192" s="329"/>
      <c r="R192" s="329"/>
      <c r="S192" s="329"/>
      <c r="T192" s="329"/>
      <c r="U192" s="329"/>
      <c r="V192" s="329"/>
      <c r="W192" s="329"/>
      <c r="X192" s="329"/>
      <c r="Y192" s="329"/>
      <c r="Z192" s="329"/>
      <c r="AA192" s="329"/>
      <c r="AB192" s="329"/>
      <c r="AC192" s="329"/>
      <c r="AD192" s="329"/>
      <c r="AE192" s="329"/>
      <c r="AF192" s="329"/>
      <c r="AG192" s="1582"/>
      <c r="AH192" s="329"/>
      <c r="AI192" s="329"/>
      <c r="AJ192" s="329"/>
      <c r="AK192" s="1626"/>
      <c r="AL192" s="184"/>
    </row>
    <row r="193" spans="1:38" ht="12.75" customHeight="1" x14ac:dyDescent="0.2">
      <c r="A193" s="184"/>
      <c r="B193" s="1632"/>
      <c r="C193" s="1605"/>
      <c r="D193" s="329"/>
      <c r="E193" s="329"/>
      <c r="F193" s="329"/>
      <c r="G193" s="329"/>
      <c r="H193" s="329"/>
      <c r="I193" s="329"/>
      <c r="J193" s="329"/>
      <c r="K193" s="329"/>
      <c r="L193" s="329"/>
      <c r="M193" s="329"/>
      <c r="N193" s="329"/>
      <c r="O193" s="329"/>
      <c r="P193" s="329"/>
      <c r="Q193" s="329"/>
      <c r="R193" s="329"/>
      <c r="S193" s="329"/>
      <c r="T193" s="329"/>
      <c r="U193" s="329"/>
      <c r="V193" s="329"/>
      <c r="W193" s="329"/>
      <c r="X193" s="329"/>
      <c r="Y193" s="329"/>
      <c r="Z193" s="329"/>
      <c r="AA193" s="329"/>
      <c r="AB193" s="329"/>
      <c r="AC193" s="329"/>
      <c r="AD193" s="329"/>
      <c r="AE193" s="329"/>
      <c r="AF193" s="329"/>
      <c r="AG193" s="1582"/>
      <c r="AH193" s="329"/>
      <c r="AI193" s="329"/>
      <c r="AJ193" s="329"/>
      <c r="AK193" s="1626"/>
      <c r="AL193" s="184"/>
    </row>
    <row r="194" spans="1:38" ht="12.75" customHeight="1" x14ac:dyDescent="0.35">
      <c r="A194" s="184"/>
      <c r="B194" s="1632"/>
      <c r="C194" s="1605"/>
      <c r="D194" s="159" t="s">
        <v>846</v>
      </c>
      <c r="E194" s="164" t="str">
        <f>E151</f>
        <v>Conversion, Vol%</v>
      </c>
      <c r="F194" s="164"/>
      <c r="G194" s="164"/>
      <c r="H194" s="164"/>
      <c r="I194" s="164"/>
      <c r="J194" s="160"/>
      <c r="K194" s="16"/>
      <c r="L194" s="16"/>
      <c r="M194" s="16"/>
      <c r="N194" s="16"/>
      <c r="O194" s="16"/>
      <c r="P194" s="16"/>
      <c r="Q194" s="16"/>
      <c r="R194" s="16"/>
      <c r="S194" s="16"/>
      <c r="T194" s="16"/>
      <c r="U194" s="16"/>
      <c r="V194" s="16"/>
      <c r="W194" s="16"/>
      <c r="X194" s="329"/>
      <c r="Y194" s="329"/>
      <c r="Z194" s="329"/>
      <c r="AA194" s="329"/>
      <c r="AB194" s="329"/>
      <c r="AC194" s="329"/>
      <c r="AD194" s="329"/>
      <c r="AE194" s="329"/>
      <c r="AF194" s="329"/>
      <c r="AG194" s="1582"/>
      <c r="AH194" s="329"/>
      <c r="AI194" s="329"/>
      <c r="AJ194" s="329"/>
      <c r="AK194" s="1626"/>
      <c r="AL194" s="184"/>
    </row>
    <row r="195" spans="1:38" ht="12.75" customHeight="1" x14ac:dyDescent="0.35">
      <c r="A195" s="184"/>
      <c r="B195" s="1632"/>
      <c r="C195" s="1605"/>
      <c r="D195" s="77" t="s">
        <v>852</v>
      </c>
      <c r="E195" s="16" t="s">
        <v>853</v>
      </c>
      <c r="F195" s="16"/>
      <c r="G195" s="16"/>
      <c r="H195" s="16"/>
      <c r="I195" s="16"/>
      <c r="J195" s="997"/>
      <c r="K195" s="16"/>
      <c r="L195" s="16"/>
      <c r="M195" s="16"/>
      <c r="N195" s="16"/>
      <c r="O195" s="16"/>
      <c r="P195" s="16"/>
      <c r="Q195" s="16"/>
      <c r="R195" s="16"/>
      <c r="S195" s="16"/>
      <c r="T195" s="16"/>
      <c r="U195" s="16"/>
      <c r="V195" s="16"/>
      <c r="W195" s="16"/>
      <c r="X195" s="329"/>
      <c r="Y195" s="329"/>
      <c r="Z195" s="329"/>
      <c r="AA195" s="329"/>
      <c r="AB195" s="329"/>
      <c r="AC195" s="329"/>
      <c r="AD195" s="329"/>
      <c r="AE195" s="329"/>
      <c r="AF195" s="329"/>
      <c r="AG195" s="1582"/>
      <c r="AH195" s="329"/>
      <c r="AI195" s="329"/>
      <c r="AJ195" s="329"/>
      <c r="AK195" s="1626"/>
      <c r="AL195" s="184"/>
    </row>
    <row r="196" spans="1:38" ht="12.75" customHeight="1" x14ac:dyDescent="0.2">
      <c r="A196" s="184"/>
      <c r="B196" s="1632"/>
      <c r="C196" s="1605"/>
      <c r="D196" s="77"/>
      <c r="E196" s="843" t="s">
        <v>854</v>
      </c>
      <c r="F196" s="843"/>
      <c r="G196" s="16"/>
      <c r="H196" s="16"/>
      <c r="I196" s="16"/>
      <c r="J196" s="997"/>
      <c r="K196" s="16"/>
      <c r="L196" s="843" t="s">
        <v>855</v>
      </c>
      <c r="M196" s="843"/>
      <c r="N196" s="164"/>
      <c r="O196" s="164"/>
      <c r="P196" s="164"/>
      <c r="Q196" s="160"/>
      <c r="R196" s="16"/>
      <c r="S196" s="843" t="s">
        <v>856</v>
      </c>
      <c r="T196" s="164"/>
      <c r="U196" s="164"/>
      <c r="V196" s="164"/>
      <c r="W196" s="160"/>
      <c r="X196" s="329"/>
      <c r="Y196" s="329"/>
      <c r="Z196" s="329"/>
      <c r="AA196" s="329"/>
      <c r="AB196" s="329"/>
      <c r="AC196" s="329"/>
      <c r="AD196" s="329"/>
      <c r="AE196" s="329"/>
      <c r="AF196" s="329"/>
      <c r="AG196" s="1582"/>
      <c r="AH196" s="329"/>
      <c r="AI196" s="329"/>
      <c r="AJ196" s="329"/>
      <c r="AK196" s="1626"/>
      <c r="AL196" s="184"/>
    </row>
    <row r="197" spans="1:38" ht="12.75" customHeight="1" x14ac:dyDescent="0.2">
      <c r="A197" s="184"/>
      <c r="B197" s="1632"/>
      <c r="C197" s="1605"/>
      <c r="D197" s="1002" t="s">
        <v>857</v>
      </c>
      <c r="E197" s="1086">
        <v>19</v>
      </c>
      <c r="F197" s="1086" t="s">
        <v>567</v>
      </c>
      <c r="G197" s="1086">
        <v>23</v>
      </c>
      <c r="H197" s="1086" t="s">
        <v>567</v>
      </c>
      <c r="I197" s="1086">
        <v>27</v>
      </c>
      <c r="J197" s="1009" t="s">
        <v>567</v>
      </c>
      <c r="K197" s="1086"/>
      <c r="L197" s="1002">
        <v>19</v>
      </c>
      <c r="M197" s="1086" t="s">
        <v>567</v>
      </c>
      <c r="N197" s="1086">
        <v>23</v>
      </c>
      <c r="O197" s="1086" t="s">
        <v>567</v>
      </c>
      <c r="P197" s="1086">
        <v>27</v>
      </c>
      <c r="Q197" s="1009" t="s">
        <v>567</v>
      </c>
      <c r="R197" s="1086"/>
      <c r="S197" s="1002">
        <v>19</v>
      </c>
      <c r="T197" s="1086" t="s">
        <v>567</v>
      </c>
      <c r="U197" s="1086">
        <v>23</v>
      </c>
      <c r="V197" s="1086" t="s">
        <v>567</v>
      </c>
      <c r="W197" s="1009">
        <v>27</v>
      </c>
      <c r="X197" s="329"/>
      <c r="Y197" s="329"/>
      <c r="Z197" s="329"/>
      <c r="AA197" s="329"/>
      <c r="AB197" s="329"/>
      <c r="AC197" s="329"/>
      <c r="AD197" s="329"/>
      <c r="AE197" s="329"/>
      <c r="AF197" s="329"/>
      <c r="AG197" s="1582"/>
      <c r="AH197" s="329"/>
      <c r="AI197" s="329"/>
      <c r="AJ197" s="329"/>
      <c r="AK197" s="1626"/>
      <c r="AL197" s="184"/>
    </row>
    <row r="198" spans="1:38" ht="12.75" customHeight="1" x14ac:dyDescent="0.35">
      <c r="A198" s="184"/>
      <c r="B198" s="1632"/>
      <c r="C198" s="1605"/>
      <c r="D198" s="1613"/>
      <c r="E198" s="168" t="s">
        <v>846</v>
      </c>
      <c r="F198" s="168" t="s">
        <v>852</v>
      </c>
      <c r="G198" s="168" t="s">
        <v>846</v>
      </c>
      <c r="H198" s="168" t="s">
        <v>852</v>
      </c>
      <c r="I198" s="168" t="s">
        <v>846</v>
      </c>
      <c r="J198" s="169" t="s">
        <v>852</v>
      </c>
      <c r="K198" s="168"/>
      <c r="L198" s="1613" t="s">
        <v>846</v>
      </c>
      <c r="M198" s="168" t="s">
        <v>852</v>
      </c>
      <c r="N198" s="168" t="s">
        <v>846</v>
      </c>
      <c r="O198" s="168" t="s">
        <v>852</v>
      </c>
      <c r="P198" s="168" t="s">
        <v>846</v>
      </c>
      <c r="Q198" s="169" t="s">
        <v>852</v>
      </c>
      <c r="R198" s="168"/>
      <c r="S198" s="1613" t="s">
        <v>846</v>
      </c>
      <c r="T198" s="168" t="s">
        <v>852</v>
      </c>
      <c r="U198" s="168" t="s">
        <v>846</v>
      </c>
      <c r="V198" s="168" t="s">
        <v>852</v>
      </c>
      <c r="W198" s="169">
        <v>6.2307699999999997</v>
      </c>
      <c r="X198" s="329"/>
      <c r="Y198" s="329"/>
      <c r="Z198" s="329"/>
      <c r="AA198" s="329"/>
      <c r="AB198" s="329"/>
      <c r="AC198" s="329"/>
      <c r="AD198" s="329"/>
      <c r="AE198" s="329"/>
      <c r="AF198" s="329"/>
      <c r="AG198" s="1582"/>
      <c r="AH198" s="329"/>
      <c r="AI198" s="329"/>
      <c r="AJ198" s="329"/>
      <c r="AK198" s="1626"/>
      <c r="AL198" s="184"/>
    </row>
    <row r="199" spans="1:38" ht="12.75" customHeight="1" x14ac:dyDescent="0.2">
      <c r="A199" s="184"/>
      <c r="B199" s="1632"/>
      <c r="C199" s="1605"/>
      <c r="D199" s="1613"/>
      <c r="E199" s="168">
        <v>55.0901</v>
      </c>
      <c r="F199" s="168">
        <v>8.5733300000000003</v>
      </c>
      <c r="G199" s="168">
        <v>55.015000000000001</v>
      </c>
      <c r="H199" s="168">
        <v>8.3838899999999992</v>
      </c>
      <c r="I199" s="168">
        <v>55.015000000000001</v>
      </c>
      <c r="J199" s="169">
        <v>8.2036099999999994</v>
      </c>
      <c r="K199" s="168"/>
      <c r="L199" s="1613">
        <v>55.991</v>
      </c>
      <c r="M199" s="168">
        <v>8.1791699999999992</v>
      </c>
      <c r="N199" s="168">
        <v>54.939900000000002</v>
      </c>
      <c r="O199" s="168">
        <v>7.9591700000000003</v>
      </c>
      <c r="P199" s="168">
        <v>55.015000000000001</v>
      </c>
      <c r="Q199" s="169">
        <v>7.62</v>
      </c>
      <c r="R199" s="168"/>
      <c r="S199" s="1613">
        <v>54.962400000000002</v>
      </c>
      <c r="T199" s="168">
        <v>6.2369199999999996</v>
      </c>
      <c r="U199" s="168">
        <v>54.962400000000002</v>
      </c>
      <c r="V199" s="168">
        <v>6.2369199999999996</v>
      </c>
      <c r="W199" s="169"/>
      <c r="X199" s="329"/>
      <c r="Y199" s="329"/>
      <c r="Z199" s="329"/>
      <c r="AA199" s="329"/>
      <c r="AB199" s="329"/>
      <c r="AC199" s="329"/>
      <c r="AD199" s="329"/>
      <c r="AE199" s="329"/>
      <c r="AF199" s="329"/>
      <c r="AG199" s="1582"/>
      <c r="AH199" s="329"/>
      <c r="AI199" s="329"/>
      <c r="AJ199" s="329"/>
      <c r="AK199" s="1626"/>
      <c r="AL199" s="184"/>
    </row>
    <row r="200" spans="1:38" ht="12.75" customHeight="1" x14ac:dyDescent="0.2">
      <c r="A200" s="184"/>
      <c r="B200" s="1632"/>
      <c r="C200" s="1605"/>
      <c r="D200" s="1613"/>
      <c r="E200" s="168">
        <v>59.5946</v>
      </c>
      <c r="F200" s="168">
        <v>8.6741700000000002</v>
      </c>
      <c r="G200" s="168">
        <v>59.519500000000001</v>
      </c>
      <c r="H200" s="168">
        <v>8.4847199999999994</v>
      </c>
      <c r="I200" s="168">
        <v>59.444400000000002</v>
      </c>
      <c r="J200" s="169">
        <v>8.3044399999999996</v>
      </c>
      <c r="K200" s="168"/>
      <c r="L200" s="1613">
        <v>59.97</v>
      </c>
      <c r="M200" s="168">
        <v>8.2372200000000007</v>
      </c>
      <c r="N200" s="168">
        <v>59.97</v>
      </c>
      <c r="O200" s="168">
        <v>7.9988900000000003</v>
      </c>
      <c r="P200" s="168">
        <v>59.97</v>
      </c>
      <c r="Q200" s="169">
        <v>7.6505599999999996</v>
      </c>
      <c r="R200" s="168"/>
      <c r="S200" s="1613">
        <v>70.977400000000003</v>
      </c>
      <c r="T200" s="168">
        <v>6.2338500000000003</v>
      </c>
      <c r="U200" s="168">
        <v>70.977400000000003</v>
      </c>
      <c r="V200" s="168">
        <v>6.2338500000000003</v>
      </c>
      <c r="W200" s="169"/>
      <c r="X200" s="329"/>
      <c r="Y200" s="329"/>
      <c r="Z200" s="329"/>
      <c r="AA200" s="329"/>
      <c r="AB200" s="329"/>
      <c r="AC200" s="329"/>
      <c r="AD200" s="329"/>
      <c r="AE200" s="329"/>
      <c r="AF200" s="329"/>
      <c r="AG200" s="1582"/>
      <c r="AH200" s="329"/>
      <c r="AI200" s="329"/>
      <c r="AJ200" s="329"/>
      <c r="AK200" s="1626"/>
      <c r="AL200" s="184"/>
    </row>
    <row r="201" spans="1:38" ht="12.75" customHeight="1" x14ac:dyDescent="0.2">
      <c r="A201" s="184"/>
      <c r="B201" s="1632"/>
      <c r="C201" s="1605"/>
      <c r="D201" s="1613"/>
      <c r="E201" s="168">
        <v>64.849800000000002</v>
      </c>
      <c r="F201" s="168">
        <v>8.7963900000000006</v>
      </c>
      <c r="G201" s="168">
        <v>64.924899999999994</v>
      </c>
      <c r="H201" s="168">
        <v>8.6130600000000008</v>
      </c>
      <c r="I201" s="168">
        <v>65</v>
      </c>
      <c r="J201" s="169">
        <v>8.4358299999999993</v>
      </c>
      <c r="K201" s="168"/>
      <c r="L201" s="1613">
        <v>65</v>
      </c>
      <c r="M201" s="168">
        <v>8.3136100000000006</v>
      </c>
      <c r="N201" s="168">
        <v>65</v>
      </c>
      <c r="O201" s="168">
        <v>8.0508299999999995</v>
      </c>
      <c r="P201" s="168">
        <v>63.948900000000002</v>
      </c>
      <c r="Q201" s="169">
        <v>7.6933299999999996</v>
      </c>
      <c r="R201" s="168"/>
      <c r="S201" s="1613">
        <v>75.864699999999999</v>
      </c>
      <c r="T201" s="168">
        <v>6.2615400000000001</v>
      </c>
      <c r="U201" s="168">
        <v>75.789500000000004</v>
      </c>
      <c r="V201" s="168">
        <v>6.2369199999999996</v>
      </c>
      <c r="W201" s="169"/>
      <c r="X201" s="329"/>
      <c r="Y201" s="329"/>
      <c r="Z201" s="329"/>
      <c r="AA201" s="329"/>
      <c r="AB201" s="329"/>
      <c r="AC201" s="329"/>
      <c r="AD201" s="329"/>
      <c r="AE201" s="329"/>
      <c r="AF201" s="329"/>
      <c r="AG201" s="1582"/>
      <c r="AH201" s="329"/>
      <c r="AI201" s="329"/>
      <c r="AJ201" s="329"/>
      <c r="AK201" s="1626"/>
      <c r="AL201" s="184"/>
    </row>
    <row r="202" spans="1:38" ht="12.75" customHeight="1" x14ac:dyDescent="0.2">
      <c r="A202" s="184"/>
      <c r="B202" s="1632"/>
      <c r="C202" s="1605"/>
      <c r="D202" s="1613"/>
      <c r="E202" s="168">
        <v>70.105099999999993</v>
      </c>
      <c r="F202" s="168">
        <v>8.9186099999999993</v>
      </c>
      <c r="G202" s="168">
        <v>70.180199999999999</v>
      </c>
      <c r="H202" s="168">
        <v>8.7413900000000009</v>
      </c>
      <c r="I202" s="168">
        <v>70.03</v>
      </c>
      <c r="J202" s="169">
        <v>8.5580599999999993</v>
      </c>
      <c r="K202" s="168"/>
      <c r="L202" s="1613">
        <v>70.03</v>
      </c>
      <c r="M202" s="168">
        <v>8.3869399999999992</v>
      </c>
      <c r="N202" s="168">
        <v>69.954999999999998</v>
      </c>
      <c r="O202" s="168">
        <v>8.1150000000000002</v>
      </c>
      <c r="P202" s="168">
        <v>69.954999999999998</v>
      </c>
      <c r="Q202" s="169">
        <v>7.7697200000000004</v>
      </c>
      <c r="R202" s="168"/>
      <c r="S202" s="1613">
        <v>80.977400000000003</v>
      </c>
      <c r="T202" s="168">
        <v>6.3015400000000001</v>
      </c>
      <c r="U202" s="168">
        <v>80.977400000000003</v>
      </c>
      <c r="V202" s="168">
        <v>6.2646199999999999</v>
      </c>
      <c r="W202" s="169"/>
      <c r="X202" s="329"/>
      <c r="Y202" s="329"/>
      <c r="Z202" s="329"/>
      <c r="AA202" s="329"/>
      <c r="AB202" s="329"/>
      <c r="AC202" s="329"/>
      <c r="AD202" s="329"/>
      <c r="AE202" s="329"/>
      <c r="AF202" s="329"/>
      <c r="AG202" s="1582"/>
      <c r="AH202" s="329"/>
      <c r="AI202" s="329"/>
      <c r="AJ202" s="329"/>
      <c r="AK202" s="1626"/>
      <c r="AL202" s="184"/>
    </row>
    <row r="203" spans="1:38" ht="12.75" customHeight="1" x14ac:dyDescent="0.2">
      <c r="A203" s="184"/>
      <c r="B203" s="1632"/>
      <c r="C203" s="1605"/>
      <c r="D203" s="1613"/>
      <c r="E203" s="168">
        <v>75.2102</v>
      </c>
      <c r="F203" s="168">
        <v>9.0377799999999997</v>
      </c>
      <c r="G203" s="168">
        <v>75.735699999999994</v>
      </c>
      <c r="H203" s="168">
        <v>8.8727800000000006</v>
      </c>
      <c r="I203" s="168">
        <v>75.735699999999994</v>
      </c>
      <c r="J203" s="169">
        <v>8.6925000000000008</v>
      </c>
      <c r="K203" s="168"/>
      <c r="L203" s="1613">
        <v>75.060100000000006</v>
      </c>
      <c r="M203" s="168">
        <v>8.4755599999999998</v>
      </c>
      <c r="N203" s="168">
        <v>74.984999999999999</v>
      </c>
      <c r="O203" s="168">
        <v>8.1822199999999992</v>
      </c>
      <c r="P203" s="168">
        <v>75.960999999999999</v>
      </c>
      <c r="Q203" s="169">
        <v>7.8583299999999996</v>
      </c>
      <c r="R203" s="168"/>
      <c r="S203" s="166">
        <v>84.962400000000002</v>
      </c>
      <c r="T203" s="170">
        <v>6.3446199999999999</v>
      </c>
      <c r="U203" s="170">
        <v>84.962400000000002</v>
      </c>
      <c r="V203" s="170">
        <v>6.3015400000000001</v>
      </c>
      <c r="W203" s="167"/>
      <c r="X203" s="329"/>
      <c r="Y203" s="329"/>
      <c r="Z203" s="329"/>
      <c r="AA203" s="329"/>
      <c r="AB203" s="329"/>
      <c r="AC203" s="329"/>
      <c r="AD203" s="329"/>
      <c r="AE203" s="329"/>
      <c r="AF203" s="329"/>
      <c r="AG203" s="1582"/>
      <c r="AH203" s="329"/>
      <c r="AI203" s="329"/>
      <c r="AJ203" s="329"/>
      <c r="AK203" s="1626"/>
      <c r="AL203" s="184"/>
    </row>
    <row r="204" spans="1:38" ht="12.75" customHeight="1" x14ac:dyDescent="0.2">
      <c r="A204" s="184"/>
      <c r="B204" s="1632"/>
      <c r="C204" s="1605"/>
      <c r="D204" s="1613"/>
      <c r="E204" s="168">
        <v>80.165199999999999</v>
      </c>
      <c r="F204" s="168">
        <v>9.1508299999999991</v>
      </c>
      <c r="G204" s="168">
        <v>81.141099999999994</v>
      </c>
      <c r="H204" s="168">
        <v>8.9980600000000006</v>
      </c>
      <c r="I204" s="168">
        <v>81.216200000000001</v>
      </c>
      <c r="J204" s="169">
        <v>8.8208300000000008</v>
      </c>
      <c r="K204" s="168"/>
      <c r="L204" s="1613">
        <v>80.015000000000001</v>
      </c>
      <c r="M204" s="168">
        <v>8.5824999999999996</v>
      </c>
      <c r="N204" s="168">
        <v>80.991</v>
      </c>
      <c r="O204" s="168">
        <v>8.2677800000000001</v>
      </c>
      <c r="P204" s="168">
        <v>80.991</v>
      </c>
      <c r="Q204" s="169">
        <v>7.9316700000000004</v>
      </c>
      <c r="R204" s="168"/>
      <c r="S204" s="158" t="s">
        <v>864</v>
      </c>
      <c r="T204" s="168"/>
      <c r="U204" s="168"/>
      <c r="V204" s="168"/>
      <c r="W204" s="168"/>
      <c r="X204" s="329"/>
      <c r="Y204" s="329"/>
      <c r="Z204" s="329"/>
      <c r="AA204" s="329"/>
      <c r="AB204" s="329"/>
      <c r="AC204" s="329"/>
      <c r="AD204" s="329"/>
      <c r="AE204" s="329"/>
      <c r="AF204" s="329"/>
      <c r="AG204" s="1582"/>
      <c r="AH204" s="329"/>
      <c r="AI204" s="329"/>
      <c r="AJ204" s="329"/>
      <c r="AK204" s="1626"/>
      <c r="AL204" s="184"/>
    </row>
    <row r="205" spans="1:38" ht="12.75" customHeight="1" x14ac:dyDescent="0.2">
      <c r="A205" s="184"/>
      <c r="B205" s="1632"/>
      <c r="C205" s="1605"/>
      <c r="D205" s="166"/>
      <c r="E205" s="170">
        <v>84.144099999999995</v>
      </c>
      <c r="F205" s="170">
        <v>9.2394400000000001</v>
      </c>
      <c r="G205" s="170">
        <v>85.045000000000002</v>
      </c>
      <c r="H205" s="170">
        <v>9.0927799999999994</v>
      </c>
      <c r="I205" s="170">
        <v>84.97</v>
      </c>
      <c r="J205" s="167">
        <v>8.90944</v>
      </c>
      <c r="K205" s="168"/>
      <c r="L205" s="166">
        <v>84.97</v>
      </c>
      <c r="M205" s="170">
        <v>8.7169399999999992</v>
      </c>
      <c r="N205" s="170">
        <v>85.045000000000002</v>
      </c>
      <c r="O205" s="170">
        <v>8.3350000000000009</v>
      </c>
      <c r="P205" s="170">
        <v>84.819800000000001</v>
      </c>
      <c r="Q205" s="167">
        <v>7.9866700000000002</v>
      </c>
      <c r="R205" s="168"/>
      <c r="S205" s="168"/>
      <c r="T205" s="168"/>
      <c r="U205" s="168"/>
      <c r="V205" s="168"/>
      <c r="W205" s="168"/>
      <c r="X205" s="329"/>
      <c r="Y205" s="329"/>
      <c r="Z205" s="329"/>
      <c r="AA205" s="329"/>
      <c r="AB205" s="329"/>
      <c r="AC205" s="329"/>
      <c r="AD205" s="329"/>
      <c r="AE205" s="329"/>
      <c r="AF205" s="329"/>
      <c r="AG205" s="1582"/>
      <c r="AH205" s="329"/>
      <c r="AI205" s="329"/>
      <c r="AJ205" s="329"/>
      <c r="AK205" s="1626"/>
      <c r="AL205" s="184"/>
    </row>
    <row r="206" spans="1:38" ht="12.75" customHeight="1" x14ac:dyDescent="0.2">
      <c r="A206" s="184"/>
      <c r="B206" s="1632"/>
      <c r="C206" s="1605"/>
      <c r="D206" s="158" t="s">
        <v>864</v>
      </c>
      <c r="E206" s="1012"/>
      <c r="F206" s="1086"/>
      <c r="G206" s="1086"/>
      <c r="H206" s="1086"/>
      <c r="I206" s="1086"/>
      <c r="J206" s="1086"/>
      <c r="K206" s="1086"/>
      <c r="L206" s="158" t="s">
        <v>864</v>
      </c>
      <c r="M206" s="1086"/>
      <c r="N206" s="1086"/>
      <c r="O206" s="1086"/>
      <c r="P206" s="1086"/>
      <c r="Q206" s="1086"/>
      <c r="R206" s="1086"/>
      <c r="S206" s="1086"/>
      <c r="T206" s="1086"/>
      <c r="U206" s="1086"/>
      <c r="V206" s="1086"/>
      <c r="W206" s="1086"/>
      <c r="X206" s="329"/>
      <c r="Y206" s="329"/>
      <c r="Z206" s="329"/>
      <c r="AA206" s="329"/>
      <c r="AB206" s="329"/>
      <c r="AC206" s="329"/>
      <c r="AD206" s="329"/>
      <c r="AE206" s="329"/>
      <c r="AF206" s="329"/>
      <c r="AG206" s="1582"/>
      <c r="AH206" s="329"/>
      <c r="AI206" s="329"/>
      <c r="AJ206" s="329"/>
      <c r="AK206" s="1626"/>
      <c r="AL206" s="184"/>
    </row>
    <row r="207" spans="1:38" ht="12.75" customHeight="1" x14ac:dyDescent="0.2">
      <c r="A207" s="184"/>
      <c r="B207" s="1632"/>
      <c r="C207" s="1605"/>
      <c r="D207" s="168"/>
      <c r="E207" s="168"/>
      <c r="F207" s="168"/>
      <c r="G207" s="168"/>
      <c r="H207" s="168"/>
      <c r="I207" s="168"/>
      <c r="J207" s="168"/>
      <c r="K207" s="168"/>
      <c r="L207" s="168"/>
      <c r="M207" s="168"/>
      <c r="N207" s="168"/>
      <c r="O207" s="168"/>
      <c r="P207" s="168"/>
      <c r="Q207" s="168"/>
      <c r="R207" s="168"/>
      <c r="S207" s="168"/>
      <c r="T207" s="168"/>
      <c r="U207" s="168"/>
      <c r="V207" s="168"/>
      <c r="W207" s="168"/>
      <c r="X207" s="329"/>
      <c r="Y207" s="329"/>
      <c r="Z207" s="329"/>
      <c r="AA207" s="329"/>
      <c r="AB207" s="329"/>
      <c r="AC207" s="329"/>
      <c r="AD207" s="329"/>
      <c r="AE207" s="329"/>
      <c r="AF207" s="329"/>
      <c r="AG207" s="1582"/>
      <c r="AH207" s="329"/>
      <c r="AI207" s="329"/>
      <c r="AJ207" s="329"/>
      <c r="AK207" s="1626"/>
      <c r="AL207" s="184"/>
    </row>
    <row r="208" spans="1:38" ht="12.75" customHeight="1" x14ac:dyDescent="0.2">
      <c r="A208" s="184"/>
      <c r="B208" s="1632"/>
      <c r="C208" s="1605"/>
      <c r="D208" s="168"/>
      <c r="E208" s="168"/>
      <c r="F208" s="168"/>
      <c r="G208" s="168"/>
      <c r="H208" s="168"/>
      <c r="I208" s="168"/>
      <c r="J208" s="168"/>
      <c r="K208" s="168"/>
      <c r="L208" s="168"/>
      <c r="M208" s="168"/>
      <c r="N208" s="168"/>
      <c r="O208" s="168"/>
      <c r="P208" s="168"/>
      <c r="Q208" s="168"/>
      <c r="R208" s="168"/>
      <c r="S208" s="168"/>
      <c r="T208" s="168"/>
      <c r="U208" s="168"/>
      <c r="V208" s="168"/>
      <c r="W208" s="168"/>
      <c r="X208" s="329"/>
      <c r="Y208" s="329"/>
      <c r="Z208" s="329"/>
      <c r="AA208" s="329"/>
      <c r="AB208" s="329"/>
      <c r="AC208" s="329"/>
      <c r="AD208" s="329"/>
      <c r="AE208" s="329"/>
      <c r="AF208" s="329"/>
      <c r="AG208" s="1582"/>
      <c r="AH208" s="329"/>
      <c r="AI208" s="329"/>
      <c r="AJ208" s="329"/>
      <c r="AK208" s="1626"/>
      <c r="AL208" s="184"/>
    </row>
    <row r="209" spans="1:38" ht="12.75" customHeight="1" x14ac:dyDescent="0.2">
      <c r="A209" s="184"/>
      <c r="B209" s="1632"/>
      <c r="C209" s="1605"/>
      <c r="D209" s="1086"/>
      <c r="E209" s="1086"/>
      <c r="F209" s="1086"/>
      <c r="G209" s="1086"/>
      <c r="H209" s="1086"/>
      <c r="I209" s="1086"/>
      <c r="J209" s="1086"/>
      <c r="K209" s="1086"/>
      <c r="L209" s="1086"/>
      <c r="M209" s="1086"/>
      <c r="N209" s="1086"/>
      <c r="O209" s="1086"/>
      <c r="P209" s="1086"/>
      <c r="Q209" s="1086"/>
      <c r="R209" s="1086"/>
      <c r="S209" s="1086"/>
      <c r="T209" s="1086"/>
      <c r="U209" s="1086"/>
      <c r="V209" s="1086"/>
      <c r="W209" s="1086"/>
      <c r="X209" s="329"/>
      <c r="Y209" s="329"/>
      <c r="Z209" s="329"/>
      <c r="AA209" s="329"/>
      <c r="AB209" s="329"/>
      <c r="AC209" s="329"/>
      <c r="AD209" s="329"/>
      <c r="AE209" s="329"/>
      <c r="AF209" s="329"/>
      <c r="AG209" s="1582"/>
      <c r="AH209" s="329"/>
      <c r="AI209" s="329"/>
      <c r="AJ209" s="329"/>
      <c r="AK209" s="1626"/>
      <c r="AL209" s="184"/>
    </row>
    <row r="210" spans="1:38" ht="12.75" customHeight="1" x14ac:dyDescent="0.2">
      <c r="A210" s="184"/>
      <c r="B210" s="1632"/>
      <c r="C210" s="1605"/>
      <c r="D210" s="329"/>
      <c r="E210" s="329"/>
      <c r="F210" s="329"/>
      <c r="G210" s="329"/>
      <c r="H210" s="329"/>
      <c r="I210" s="329"/>
      <c r="J210" s="329"/>
      <c r="K210" s="329"/>
      <c r="L210" s="329"/>
      <c r="M210" s="329"/>
      <c r="N210" s="329"/>
      <c r="O210" s="329"/>
      <c r="P210" s="329"/>
      <c r="Q210" s="329"/>
      <c r="R210" s="329"/>
      <c r="S210" s="329"/>
      <c r="T210" s="329"/>
      <c r="U210" s="329"/>
      <c r="V210" s="329"/>
      <c r="W210" s="329"/>
      <c r="X210" s="329"/>
      <c r="Y210" s="329"/>
      <c r="Z210" s="329"/>
      <c r="AA210" s="329"/>
      <c r="AB210" s="329"/>
      <c r="AC210" s="329"/>
      <c r="AD210" s="329"/>
      <c r="AE210" s="329"/>
      <c r="AF210" s="329"/>
      <c r="AG210" s="1582"/>
      <c r="AH210" s="329"/>
      <c r="AI210" s="329"/>
      <c r="AJ210" s="329"/>
      <c r="AK210" s="1626"/>
      <c r="AL210" s="184"/>
    </row>
    <row r="211" spans="1:38" ht="12.75" customHeight="1" x14ac:dyDescent="0.2">
      <c r="A211" s="184"/>
      <c r="B211" s="1632"/>
      <c r="C211" s="1605"/>
      <c r="D211" s="329"/>
      <c r="E211" s="329"/>
      <c r="F211" s="329"/>
      <c r="G211" s="329"/>
      <c r="H211" s="329"/>
      <c r="I211" s="329"/>
      <c r="J211" s="329"/>
      <c r="K211" s="329"/>
      <c r="L211" s="329"/>
      <c r="M211" s="329"/>
      <c r="N211" s="329"/>
      <c r="O211" s="329"/>
      <c r="P211" s="329"/>
      <c r="Q211" s="329"/>
      <c r="R211" s="329"/>
      <c r="S211" s="329"/>
      <c r="T211" s="329"/>
      <c r="U211" s="329"/>
      <c r="V211" s="329"/>
      <c r="W211" s="329"/>
      <c r="X211" s="329"/>
      <c r="Y211" s="329"/>
      <c r="Z211" s="329"/>
      <c r="AA211" s="329"/>
      <c r="AB211" s="329"/>
      <c r="AC211" s="329"/>
      <c r="AD211" s="329"/>
      <c r="AE211" s="329"/>
      <c r="AF211" s="329"/>
      <c r="AG211" s="1582"/>
      <c r="AH211" s="329"/>
      <c r="AI211" s="329"/>
      <c r="AJ211" s="329"/>
      <c r="AK211" s="1626"/>
      <c r="AL211" s="184"/>
    </row>
    <row r="212" spans="1:38" ht="12.75" customHeight="1" x14ac:dyDescent="0.2">
      <c r="A212" s="184"/>
      <c r="B212" s="1632"/>
      <c r="C212" s="1609"/>
      <c r="D212" s="1611"/>
      <c r="E212" s="1611"/>
      <c r="F212" s="1611"/>
      <c r="G212" s="1611"/>
      <c r="H212" s="1611"/>
      <c r="I212" s="1611"/>
      <c r="J212" s="1611"/>
      <c r="K212" s="1611"/>
      <c r="L212" s="1611"/>
      <c r="M212" s="1611"/>
      <c r="N212" s="1611"/>
      <c r="O212" s="1611"/>
      <c r="P212" s="1611"/>
      <c r="Q212" s="1611"/>
      <c r="R212" s="1611"/>
      <c r="S212" s="1611"/>
      <c r="T212" s="1611"/>
      <c r="U212" s="1611"/>
      <c r="V212" s="1611"/>
      <c r="W212" s="1611"/>
      <c r="X212" s="1611"/>
      <c r="Y212" s="1611"/>
      <c r="Z212" s="1611"/>
      <c r="AA212" s="1611"/>
      <c r="AB212" s="1611"/>
      <c r="AC212" s="1611"/>
      <c r="AD212" s="1611"/>
      <c r="AE212" s="1611"/>
      <c r="AF212" s="1611"/>
      <c r="AG212" s="1616"/>
      <c r="AH212" s="329"/>
      <c r="AI212" s="329"/>
      <c r="AJ212" s="329"/>
      <c r="AK212" s="1626"/>
      <c r="AL212" s="184"/>
    </row>
    <row r="213" spans="1:38" ht="12.75" customHeight="1" thickBot="1" x14ac:dyDescent="0.25">
      <c r="A213" s="184"/>
      <c r="B213" s="1633"/>
      <c r="C213" s="1634"/>
      <c r="D213" s="1634"/>
      <c r="E213" s="1634"/>
      <c r="F213" s="1634"/>
      <c r="G213" s="1634"/>
      <c r="H213" s="1634"/>
      <c r="I213" s="1634"/>
      <c r="J213" s="1634"/>
      <c r="K213" s="1634"/>
      <c r="L213" s="1634"/>
      <c r="M213" s="1634"/>
      <c r="N213" s="1634"/>
      <c r="O213" s="1634"/>
      <c r="P213" s="1634"/>
      <c r="Q213" s="1634"/>
      <c r="R213" s="1634"/>
      <c r="S213" s="1634"/>
      <c r="T213" s="1634"/>
      <c r="U213" s="1634"/>
      <c r="V213" s="1634"/>
      <c r="W213" s="1634"/>
      <c r="X213" s="1634"/>
      <c r="Y213" s="1634"/>
      <c r="Z213" s="1634"/>
      <c r="AA213" s="1634"/>
      <c r="AB213" s="1634"/>
      <c r="AC213" s="1634"/>
      <c r="AD213" s="1634"/>
      <c r="AE213" s="1634"/>
      <c r="AF213" s="1634"/>
      <c r="AG213" s="1634"/>
      <c r="AH213" s="1634"/>
      <c r="AI213" s="1634"/>
      <c r="AJ213" s="1634"/>
      <c r="AK213" s="1635"/>
      <c r="AL213" s="184"/>
    </row>
    <row r="214" spans="1:38" ht="12.75" customHeight="1" x14ac:dyDescent="0.2">
      <c r="A214" s="184"/>
      <c r="B214" s="184"/>
      <c r="C214" s="184"/>
      <c r="D214" s="184"/>
      <c r="E214" s="184"/>
      <c r="F214" s="184"/>
      <c r="G214" s="184"/>
      <c r="H214" s="184"/>
      <c r="I214" s="184"/>
      <c r="J214" s="184"/>
      <c r="K214" s="184"/>
      <c r="L214" s="184"/>
      <c r="M214" s="184"/>
      <c r="N214" s="184"/>
      <c r="O214" s="184"/>
      <c r="P214" s="184"/>
      <c r="Q214" s="184"/>
      <c r="R214" s="184"/>
      <c r="S214" s="184"/>
      <c r="T214" s="184"/>
      <c r="U214" s="184"/>
      <c r="V214" s="184"/>
      <c r="W214" s="184"/>
      <c r="X214" s="184"/>
      <c r="Y214" s="184"/>
      <c r="Z214" s="184"/>
      <c r="AA214" s="184"/>
      <c r="AB214" s="184"/>
      <c r="AC214" s="184"/>
      <c r="AD214" s="184"/>
      <c r="AE214" s="184"/>
      <c r="AF214" s="184"/>
      <c r="AG214" s="184"/>
      <c r="AH214" s="184"/>
      <c r="AI214" s="184"/>
      <c r="AJ214" s="184"/>
      <c r="AK214" s="184"/>
      <c r="AL214" s="184"/>
    </row>
    <row r="215" spans="1:38" ht="12.75" customHeight="1" x14ac:dyDescent="0.2">
      <c r="A215" s="184"/>
      <c r="B215" s="184"/>
      <c r="C215" s="184"/>
      <c r="D215" s="184"/>
      <c r="E215" s="184"/>
      <c r="F215" s="184"/>
      <c r="G215" s="184"/>
      <c r="H215" s="184"/>
      <c r="I215" s="184"/>
      <c r="J215" s="184"/>
      <c r="K215" s="184"/>
      <c r="L215" s="184"/>
      <c r="M215" s="184"/>
      <c r="N215" s="184"/>
      <c r="O215" s="184"/>
      <c r="P215" s="184"/>
      <c r="Q215" s="184"/>
      <c r="R215" s="184"/>
      <c r="S215" s="184"/>
      <c r="T215" s="184"/>
      <c r="U215" s="184"/>
      <c r="V215" s="184"/>
      <c r="W215" s="184"/>
      <c r="X215" s="184"/>
      <c r="Y215" s="184"/>
      <c r="Z215" s="184"/>
      <c r="AA215" s="184"/>
      <c r="AB215" s="184"/>
      <c r="AC215" s="184"/>
      <c r="AD215" s="184"/>
      <c r="AE215" s="184"/>
      <c r="AF215" s="184"/>
      <c r="AG215" s="184"/>
      <c r="AH215" s="184"/>
      <c r="AI215" s="184"/>
      <c r="AJ215" s="184"/>
      <c r="AK215" s="184"/>
      <c r="AL215" s="184"/>
    </row>
  </sheetData>
  <mergeCells count="1">
    <mergeCell ref="C2:K3"/>
  </mergeCells>
  <pageMargins left="0.7" right="0.7" top="0.75" bottom="0.75" header="0.3" footer="0.3"/>
  <pageSetup orientation="portrait"/>
  <drawing r:id="rId1"/>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3">
    <tabColor rgb="FF00B050"/>
  </sheetPr>
  <dimension ref="A1:U284"/>
  <sheetViews>
    <sheetView zoomScale="70" zoomScaleNormal="70" zoomScalePageLayoutView="70" workbookViewId="0"/>
  </sheetViews>
  <sheetFormatPr defaultColWidth="8.85546875" defaultRowHeight="12.75" customHeight="1" x14ac:dyDescent="0.2"/>
  <cols>
    <col min="1" max="1" width="3.85546875" customWidth="1"/>
    <col min="2" max="2" width="3.7109375" customWidth="1"/>
    <col min="3" max="3" width="34.140625" customWidth="1"/>
    <col min="4" max="4" width="23.28515625" customWidth="1"/>
    <col min="5" max="5" width="22.140625" bestFit="1" customWidth="1"/>
    <col min="6" max="6" width="24.140625" customWidth="1"/>
    <col min="7" max="7" width="22.140625" bestFit="1" customWidth="1"/>
    <col min="8" max="8" width="21.42578125" customWidth="1"/>
    <col min="9" max="9" width="22" customWidth="1"/>
    <col min="10" max="10" width="24.42578125" customWidth="1"/>
    <col min="11" max="11" width="20.7109375" customWidth="1"/>
    <col min="12" max="13" width="4.140625" customWidth="1"/>
    <col min="14" max="14" width="13.42578125" bestFit="1" customWidth="1"/>
    <col min="15" max="15" width="12.85546875" bestFit="1" customWidth="1"/>
    <col min="16" max="16" width="24.28515625" bestFit="1" customWidth="1"/>
    <col min="17" max="17" width="14" bestFit="1" customWidth="1"/>
    <col min="18" max="18" width="17.42578125" bestFit="1" customWidth="1"/>
    <col min="19" max="29" width="8.85546875" customWidth="1"/>
  </cols>
  <sheetData>
    <row r="1" spans="1:20" ht="12.75" customHeight="1" thickBot="1" x14ac:dyDescent="0.25">
      <c r="A1" s="184"/>
      <c r="B1" s="184"/>
      <c r="C1" s="184"/>
      <c r="D1" s="184"/>
      <c r="E1" s="184"/>
      <c r="F1" s="184"/>
      <c r="G1" s="184"/>
      <c r="H1" s="184"/>
      <c r="I1" s="184"/>
      <c r="J1" s="184"/>
      <c r="K1" s="184"/>
      <c r="L1" s="184"/>
      <c r="M1" s="184"/>
      <c r="N1" s="184"/>
    </row>
    <row r="2" spans="1:20" ht="12.75" customHeight="1" x14ac:dyDescent="0.2">
      <c r="B2" s="1680"/>
      <c r="C2" s="2521" t="s">
        <v>1686</v>
      </c>
      <c r="D2" s="2521"/>
      <c r="E2" s="1681"/>
      <c r="F2" s="1681"/>
      <c r="G2" s="1681"/>
      <c r="H2" s="1681"/>
      <c r="I2" s="1681"/>
      <c r="J2" s="1681"/>
      <c r="K2" s="1681"/>
      <c r="L2" s="1681"/>
      <c r="M2" s="2178"/>
      <c r="N2" s="2178"/>
      <c r="O2" s="2162"/>
      <c r="P2" s="2162"/>
      <c r="Q2" s="2162"/>
      <c r="R2" s="2162"/>
      <c r="S2" s="2162"/>
      <c r="T2" s="2163"/>
    </row>
    <row r="3" spans="1:20" ht="12.75" customHeight="1" x14ac:dyDescent="0.2">
      <c r="A3" s="184"/>
      <c r="B3" s="1683"/>
      <c r="C3" s="2522"/>
      <c r="D3" s="2522"/>
      <c r="E3" s="1155"/>
      <c r="F3" s="1155"/>
      <c r="G3" s="1155"/>
      <c r="H3" s="1155"/>
      <c r="I3" s="1155"/>
      <c r="J3" s="1155"/>
      <c r="K3" s="1155"/>
      <c r="L3" s="1155"/>
      <c r="M3" s="1679"/>
      <c r="N3" s="1679"/>
      <c r="O3" s="329"/>
      <c r="P3" s="329"/>
      <c r="Q3" s="329"/>
      <c r="R3" s="329"/>
      <c r="S3" s="329"/>
      <c r="T3" s="1626"/>
    </row>
    <row r="4" spans="1:20" ht="12.75" customHeight="1" x14ac:dyDescent="0.2">
      <c r="A4" s="184"/>
      <c r="B4" s="1147"/>
      <c r="C4" s="1102"/>
      <c r="D4" s="1102"/>
      <c r="E4" s="1102"/>
      <c r="F4" s="1102"/>
      <c r="G4" s="1102"/>
      <c r="H4" s="1102"/>
      <c r="I4" s="1102"/>
      <c r="J4" s="1102"/>
      <c r="K4" s="1102"/>
      <c r="L4" s="1102"/>
      <c r="M4" s="1102"/>
      <c r="N4" s="1102"/>
      <c r="O4" s="329"/>
      <c r="P4" s="329"/>
      <c r="Q4" s="329"/>
      <c r="R4" s="329"/>
      <c r="S4" s="329"/>
      <c r="T4" s="1626"/>
    </row>
    <row r="5" spans="1:20" ht="15.75" x14ac:dyDescent="0.25">
      <c r="A5" s="14"/>
      <c r="B5" s="1685"/>
      <c r="C5" s="1178" t="s">
        <v>1724</v>
      </c>
      <c r="D5" s="1178"/>
      <c r="E5" s="1102"/>
      <c r="F5" s="1102"/>
      <c r="G5" s="1102"/>
      <c r="H5" s="1102"/>
      <c r="I5" s="1102"/>
      <c r="J5" s="1102"/>
      <c r="K5" s="1102"/>
      <c r="L5" s="1102"/>
      <c r="M5" s="1102"/>
      <c r="N5" s="1102"/>
      <c r="O5" s="329"/>
      <c r="P5" s="329"/>
      <c r="Q5" s="329"/>
      <c r="R5" s="329"/>
      <c r="S5" s="329"/>
      <c r="T5" s="1626"/>
    </row>
    <row r="6" spans="1:20" x14ac:dyDescent="0.2">
      <c r="A6" s="14"/>
      <c r="B6" s="1147"/>
      <c r="C6" s="1102"/>
      <c r="D6" s="1102"/>
      <c r="E6" s="1102"/>
      <c r="F6" s="1102"/>
      <c r="G6" s="1102"/>
      <c r="H6" s="1102"/>
      <c r="I6" s="329"/>
      <c r="J6" s="329"/>
      <c r="K6" s="329"/>
      <c r="L6" s="329"/>
      <c r="M6" s="329"/>
      <c r="N6" s="329"/>
      <c r="O6" s="329"/>
      <c r="P6" s="329"/>
      <c r="Q6" s="329"/>
      <c r="R6" s="329"/>
      <c r="S6" s="329"/>
      <c r="T6" s="1626"/>
    </row>
    <row r="7" spans="1:20" ht="21.95" customHeight="1" x14ac:dyDescent="0.2">
      <c r="A7" s="14"/>
      <c r="B7" s="1147"/>
      <c r="C7" s="1310" t="s">
        <v>1727</v>
      </c>
      <c r="D7" s="1466">
        <v>4</v>
      </c>
      <c r="E7" s="16"/>
      <c r="F7" s="2530" t="s">
        <v>1728</v>
      </c>
      <c r="G7" s="2531"/>
      <c r="H7" s="286"/>
      <c r="I7" s="286"/>
      <c r="J7" s="286"/>
      <c r="K7" s="329"/>
      <c r="L7" s="329"/>
      <c r="M7" s="329"/>
      <c r="N7" s="329"/>
      <c r="O7" s="329"/>
      <c r="P7" s="329"/>
      <c r="Q7" s="329"/>
      <c r="R7" s="329"/>
      <c r="S7" s="329"/>
      <c r="T7" s="1626"/>
    </row>
    <row r="8" spans="1:20" ht="14.1" customHeight="1" x14ac:dyDescent="0.2">
      <c r="A8" s="14"/>
      <c r="B8" s="1147"/>
      <c r="C8" s="1131" t="s">
        <v>1725</v>
      </c>
      <c r="D8" s="1189">
        <v>1</v>
      </c>
      <c r="E8" s="16"/>
      <c r="F8" s="1470" t="s">
        <v>394</v>
      </c>
      <c r="G8" s="1467">
        <v>1</v>
      </c>
      <c r="H8" s="286"/>
      <c r="I8" s="286"/>
      <c r="J8" s="286"/>
      <c r="K8" s="329"/>
      <c r="L8" s="329"/>
      <c r="M8" s="329"/>
      <c r="N8" s="329"/>
      <c r="O8" s="329"/>
      <c r="P8" s="329"/>
      <c r="Q8" s="329"/>
      <c r="R8" s="329"/>
      <c r="S8" s="329"/>
      <c r="T8" s="1626"/>
    </row>
    <row r="9" spans="1:20" ht="14.1" customHeight="1" x14ac:dyDescent="0.2">
      <c r="A9" s="14"/>
      <c r="B9" s="1147"/>
      <c r="C9" s="1131" t="s">
        <v>1937</v>
      </c>
      <c r="D9" s="1189">
        <v>2</v>
      </c>
      <c r="E9" s="16"/>
      <c r="F9" s="1457" t="s">
        <v>258</v>
      </c>
      <c r="G9" s="1468">
        <f>IF(D7=1,D18,IF(D7=2,E18,IF(D7=3,F18,IF(D7=4,G18,IF(D7=5,I18,G18)))))</f>
        <v>30</v>
      </c>
      <c r="H9" s="16"/>
      <c r="I9" s="329"/>
      <c r="J9" s="329"/>
      <c r="K9" s="329"/>
      <c r="L9" s="329"/>
      <c r="M9" s="329"/>
      <c r="N9" s="329"/>
      <c r="O9" s="329"/>
      <c r="P9" s="329"/>
      <c r="Q9" s="329"/>
      <c r="R9" s="329"/>
      <c r="S9" s="329"/>
      <c r="T9" s="1626"/>
    </row>
    <row r="10" spans="1:20" x14ac:dyDescent="0.2">
      <c r="A10" s="14"/>
      <c r="B10" s="1147"/>
      <c r="C10" s="1131" t="s">
        <v>1726</v>
      </c>
      <c r="D10" s="1189">
        <v>3</v>
      </c>
      <c r="E10" s="16"/>
      <c r="F10" s="1457" t="s">
        <v>189</v>
      </c>
      <c r="G10" s="1468">
        <f>IF(D7=1,D19,IF(D7=2,E19,IF(D7=3,F19,IF(D7=4,G19,IF(D7=5,I19,G19)))))</f>
        <v>265</v>
      </c>
      <c r="H10" s="16"/>
      <c r="I10" s="329"/>
      <c r="J10" s="329"/>
      <c r="K10" s="329"/>
      <c r="L10" s="329"/>
      <c r="M10" s="329"/>
      <c r="N10" s="329"/>
      <c r="O10" s="329"/>
      <c r="P10" s="329"/>
      <c r="Q10" s="329"/>
      <c r="R10" s="329"/>
      <c r="S10" s="329"/>
      <c r="T10" s="1626"/>
    </row>
    <row r="11" spans="1:20" x14ac:dyDescent="0.2">
      <c r="A11" s="14"/>
      <c r="B11" s="1147"/>
      <c r="C11" s="1131" t="s">
        <v>1938</v>
      </c>
      <c r="D11" s="1189">
        <v>4</v>
      </c>
      <c r="E11" s="16"/>
      <c r="F11" s="1457" t="s">
        <v>183</v>
      </c>
      <c r="G11" s="1464" t="s">
        <v>115</v>
      </c>
      <c r="H11" s="16"/>
      <c r="I11" s="329"/>
      <c r="J11" s="329"/>
      <c r="K11" s="329"/>
      <c r="L11" s="329"/>
      <c r="M11" s="329"/>
      <c r="N11" s="329"/>
      <c r="O11" s="329"/>
      <c r="P11" s="329"/>
      <c r="Q11" s="329"/>
      <c r="R11" s="329"/>
      <c r="S11" s="329"/>
      <c r="T11" s="1626"/>
    </row>
    <row r="12" spans="1:20" x14ac:dyDescent="0.2">
      <c r="A12" s="14"/>
      <c r="B12" s="1147"/>
      <c r="C12" s="1131" t="s">
        <v>1986</v>
      </c>
      <c r="D12" s="1189">
        <v>5</v>
      </c>
      <c r="E12" s="16"/>
      <c r="F12" s="1457" t="s">
        <v>394</v>
      </c>
      <c r="G12" s="1464" t="s">
        <v>115</v>
      </c>
      <c r="H12" s="16"/>
      <c r="I12" s="329"/>
      <c r="J12" s="329"/>
      <c r="K12" s="329"/>
      <c r="L12" s="329"/>
      <c r="M12" s="329"/>
      <c r="N12" s="329"/>
      <c r="O12" s="329"/>
      <c r="P12" s="329"/>
      <c r="Q12" s="329"/>
      <c r="R12" s="329"/>
      <c r="S12" s="329"/>
      <c r="T12" s="1626"/>
    </row>
    <row r="13" spans="1:20" ht="14.1" customHeight="1" x14ac:dyDescent="0.2">
      <c r="A13" s="14"/>
      <c r="B13" s="1147"/>
      <c r="C13" s="1583"/>
      <c r="D13" s="1189"/>
      <c r="E13" s="16"/>
      <c r="F13" s="1471" t="s">
        <v>114</v>
      </c>
      <c r="G13" s="1465" t="s">
        <v>115</v>
      </c>
      <c r="H13" s="16"/>
      <c r="I13" s="329"/>
      <c r="J13" s="329"/>
      <c r="K13" s="329"/>
      <c r="L13" s="329"/>
      <c r="M13" s="329"/>
      <c r="N13" s="329"/>
      <c r="O13" s="329"/>
      <c r="P13" s="329"/>
      <c r="Q13" s="329"/>
      <c r="R13" s="329"/>
      <c r="S13" s="329"/>
      <c r="T13" s="1626"/>
    </row>
    <row r="14" spans="1:20" x14ac:dyDescent="0.2">
      <c r="A14" s="14"/>
      <c r="B14" s="1147"/>
      <c r="C14" s="16"/>
      <c r="D14" s="16"/>
      <c r="E14" s="16"/>
      <c r="F14" s="16"/>
      <c r="G14" s="16"/>
      <c r="H14" s="16"/>
      <c r="I14" s="329"/>
      <c r="J14" s="329"/>
      <c r="K14" s="329"/>
      <c r="L14" s="329"/>
      <c r="M14" s="329"/>
      <c r="N14" s="329"/>
      <c r="O14" s="329"/>
      <c r="P14" s="329"/>
      <c r="Q14" s="329"/>
      <c r="R14" s="329"/>
      <c r="S14" s="329"/>
      <c r="T14" s="1626"/>
    </row>
    <row r="15" spans="1:20" x14ac:dyDescent="0.2">
      <c r="A15" s="14"/>
      <c r="B15" s="1147"/>
      <c r="C15" s="1102"/>
      <c r="D15" s="2528" t="s">
        <v>1723</v>
      </c>
      <c r="E15" s="2529"/>
      <c r="F15" s="2528" t="s">
        <v>1984</v>
      </c>
      <c r="G15" s="2529"/>
      <c r="H15" s="2528" t="s">
        <v>1985</v>
      </c>
      <c r="I15" s="2529"/>
      <c r="J15" s="16"/>
      <c r="K15" s="329"/>
      <c r="L15" s="329"/>
      <c r="M15" s="329"/>
      <c r="N15" s="329"/>
      <c r="O15" s="329"/>
      <c r="P15" s="329"/>
      <c r="Q15" s="329"/>
      <c r="R15" s="329"/>
      <c r="S15" s="329"/>
      <c r="T15" s="1626"/>
    </row>
    <row r="16" spans="1:20" x14ac:dyDescent="0.2">
      <c r="A16" s="14"/>
      <c r="B16" s="1147"/>
      <c r="C16" s="1102"/>
      <c r="D16" s="1460" t="s">
        <v>1721</v>
      </c>
      <c r="E16" s="1461" t="s">
        <v>1722</v>
      </c>
      <c r="F16" s="1460" t="s">
        <v>1721</v>
      </c>
      <c r="G16" s="1461" t="s">
        <v>1722</v>
      </c>
      <c r="H16" s="1460"/>
      <c r="I16" s="1461" t="s">
        <v>1722</v>
      </c>
      <c r="J16" s="16"/>
      <c r="K16" s="329"/>
      <c r="L16" s="329"/>
      <c r="M16" s="329"/>
      <c r="N16" s="329"/>
      <c r="O16" s="329"/>
      <c r="P16" s="329"/>
      <c r="Q16" s="329"/>
      <c r="R16" s="329"/>
      <c r="S16" s="329"/>
      <c r="T16" s="1626"/>
    </row>
    <row r="17" spans="1:20" x14ac:dyDescent="0.2">
      <c r="A17" s="14"/>
      <c r="B17" s="1147"/>
      <c r="C17" s="1472" t="s">
        <v>394</v>
      </c>
      <c r="D17" s="1326">
        <v>1</v>
      </c>
      <c r="E17" s="1319">
        <v>1</v>
      </c>
      <c r="F17" s="1326">
        <v>1</v>
      </c>
      <c r="G17" s="1319">
        <v>1</v>
      </c>
      <c r="H17" s="1326"/>
      <c r="I17" s="1319">
        <v>1</v>
      </c>
      <c r="J17" s="16"/>
      <c r="K17" s="329"/>
      <c r="L17" s="329"/>
      <c r="M17" s="329"/>
      <c r="N17" s="329"/>
      <c r="O17" s="329"/>
      <c r="P17" s="329"/>
      <c r="Q17" s="329"/>
      <c r="R17" s="329"/>
      <c r="S17" s="329"/>
      <c r="T17" s="1626"/>
    </row>
    <row r="18" spans="1:20" x14ac:dyDescent="0.2">
      <c r="A18" s="14"/>
      <c r="B18" s="1147"/>
      <c r="C18" s="1473" t="s">
        <v>258</v>
      </c>
      <c r="D18" s="1326">
        <v>72</v>
      </c>
      <c r="E18" s="1319">
        <v>25</v>
      </c>
      <c r="F18" s="1326">
        <v>85</v>
      </c>
      <c r="G18" s="1319">
        <v>30</v>
      </c>
      <c r="H18" s="1326"/>
      <c r="I18" s="1319">
        <v>34</v>
      </c>
      <c r="J18" s="16"/>
      <c r="K18" s="329"/>
      <c r="L18" s="329"/>
      <c r="M18" s="329"/>
      <c r="N18" s="329"/>
      <c r="O18" s="329"/>
      <c r="P18" s="329"/>
      <c r="Q18" s="329"/>
      <c r="R18" s="329"/>
      <c r="S18" s="329"/>
      <c r="T18" s="1626"/>
    </row>
    <row r="19" spans="1:20" x14ac:dyDescent="0.2">
      <c r="A19" s="14"/>
      <c r="B19" s="1147"/>
      <c r="C19" s="1473" t="s">
        <v>189</v>
      </c>
      <c r="D19" s="1326">
        <v>289</v>
      </c>
      <c r="E19" s="1319">
        <v>298</v>
      </c>
      <c r="F19" s="1326">
        <v>264</v>
      </c>
      <c r="G19" s="1319">
        <v>265</v>
      </c>
      <c r="H19" s="1326"/>
      <c r="I19" s="1319">
        <v>298</v>
      </c>
      <c r="J19" s="16"/>
      <c r="K19" s="329"/>
      <c r="L19" s="329"/>
      <c r="M19" s="329"/>
      <c r="N19" s="329"/>
      <c r="O19" s="329"/>
      <c r="P19" s="329"/>
      <c r="Q19" s="329"/>
      <c r="R19" s="329"/>
      <c r="S19" s="329"/>
      <c r="T19" s="1626"/>
    </row>
    <row r="20" spans="1:20" x14ac:dyDescent="0.2">
      <c r="A20" s="14"/>
      <c r="B20" s="1147"/>
      <c r="C20" s="1473" t="s">
        <v>183</v>
      </c>
      <c r="D20" s="1326" t="s">
        <v>115</v>
      </c>
      <c r="E20" s="1319" t="s">
        <v>115</v>
      </c>
      <c r="F20" s="1326" t="s">
        <v>115</v>
      </c>
      <c r="G20" s="1319" t="s">
        <v>115</v>
      </c>
      <c r="H20" s="1326"/>
      <c r="I20" s="1319" t="s">
        <v>115</v>
      </c>
      <c r="J20" s="16"/>
      <c r="K20" s="329"/>
      <c r="L20" s="329"/>
      <c r="M20" s="329"/>
      <c r="N20" s="329"/>
      <c r="O20" s="329"/>
      <c r="P20" s="329"/>
      <c r="Q20" s="329"/>
      <c r="R20" s="329"/>
      <c r="S20" s="329"/>
      <c r="T20" s="1626"/>
    </row>
    <row r="21" spans="1:20" x14ac:dyDescent="0.2">
      <c r="A21" s="14"/>
      <c r="B21" s="1147"/>
      <c r="C21" s="1473" t="s">
        <v>394</v>
      </c>
      <c r="D21" s="1326" t="s">
        <v>115</v>
      </c>
      <c r="E21" s="1319" t="s">
        <v>115</v>
      </c>
      <c r="F21" s="1326" t="s">
        <v>115</v>
      </c>
      <c r="G21" s="1319" t="s">
        <v>115</v>
      </c>
      <c r="H21" s="1326"/>
      <c r="I21" s="1319" t="s">
        <v>115</v>
      </c>
      <c r="J21" s="16"/>
      <c r="K21" s="329"/>
      <c r="L21" s="329"/>
      <c r="M21" s="329"/>
      <c r="N21" s="329"/>
      <c r="O21" s="329"/>
      <c r="P21" s="329"/>
      <c r="Q21" s="329"/>
      <c r="R21" s="329"/>
      <c r="S21" s="329"/>
      <c r="T21" s="1626"/>
    </row>
    <row r="22" spans="1:20" x14ac:dyDescent="0.2">
      <c r="A22" s="14"/>
      <c r="B22" s="1147"/>
      <c r="C22" s="1474" t="s">
        <v>114</v>
      </c>
      <c r="D22" s="1462" t="s">
        <v>115</v>
      </c>
      <c r="E22" s="1463" t="s">
        <v>115</v>
      </c>
      <c r="F22" s="1462" t="s">
        <v>115</v>
      </c>
      <c r="G22" s="1463" t="s">
        <v>115</v>
      </c>
      <c r="H22" s="1462"/>
      <c r="I22" s="1463" t="s">
        <v>115</v>
      </c>
      <c r="J22" s="1102"/>
      <c r="K22" s="1102"/>
      <c r="L22" s="1102"/>
      <c r="M22" s="1102"/>
      <c r="N22" s="1102"/>
      <c r="O22" s="329"/>
      <c r="P22" s="329"/>
      <c r="Q22" s="329"/>
      <c r="R22" s="329"/>
      <c r="S22" s="329"/>
      <c r="T22" s="1626"/>
    </row>
    <row r="23" spans="1:20" x14ac:dyDescent="0.2">
      <c r="A23" s="14"/>
      <c r="B23" s="1147"/>
      <c r="C23" s="1102"/>
      <c r="D23" s="1102"/>
      <c r="E23" s="1102"/>
      <c r="F23" s="1102"/>
      <c r="G23" s="1102"/>
      <c r="H23" s="1102"/>
      <c r="I23" s="1102"/>
      <c r="J23" s="1102"/>
      <c r="K23" s="1102"/>
      <c r="L23" s="1102"/>
      <c r="M23" s="1102"/>
      <c r="N23" s="1102"/>
      <c r="O23" s="329"/>
      <c r="P23" s="329"/>
      <c r="Q23" s="329"/>
      <c r="R23" s="329"/>
      <c r="S23" s="329"/>
      <c r="T23" s="1626"/>
    </row>
    <row r="24" spans="1:20" ht="15.75" x14ac:dyDescent="0.25">
      <c r="A24" s="14"/>
      <c r="B24" s="1685"/>
      <c r="C24" s="1178" t="s">
        <v>102</v>
      </c>
      <c r="D24" s="1178"/>
      <c r="E24" s="16"/>
      <c r="F24" s="16"/>
      <c r="G24" s="16"/>
      <c r="H24" s="16"/>
      <c r="I24" s="2173"/>
      <c r="J24" s="2173"/>
      <c r="K24" s="2173"/>
      <c r="L24" s="2173"/>
      <c r="M24" s="2173"/>
      <c r="N24" s="2173"/>
      <c r="O24" s="329"/>
      <c r="P24" s="329"/>
      <c r="Q24" s="329"/>
      <c r="R24" s="329"/>
      <c r="S24" s="329"/>
      <c r="T24" s="1626"/>
    </row>
    <row r="25" spans="1:20" x14ac:dyDescent="0.2">
      <c r="A25" s="14"/>
      <c r="B25" s="1147"/>
      <c r="C25" s="1102"/>
      <c r="D25" s="16"/>
      <c r="E25" s="16"/>
      <c r="F25" s="16"/>
      <c r="G25" s="16"/>
      <c r="H25" s="16"/>
      <c r="I25" s="1102"/>
      <c r="J25" s="1102"/>
      <c r="K25" s="1102"/>
      <c r="L25" s="1102"/>
      <c r="M25" s="1102"/>
      <c r="N25" s="1102"/>
      <c r="O25" s="329"/>
      <c r="P25" s="329"/>
      <c r="Q25" s="329"/>
      <c r="R25" s="329"/>
      <c r="S25" s="329"/>
      <c r="T25" s="1626"/>
    </row>
    <row r="26" spans="1:20" x14ac:dyDescent="0.2">
      <c r="A26" s="14"/>
      <c r="B26" s="1147"/>
      <c r="C26" s="2523" t="s">
        <v>102</v>
      </c>
      <c r="D26" s="2524"/>
      <c r="E26" s="16"/>
      <c r="F26" s="16"/>
      <c r="G26" s="16"/>
      <c r="H26" s="16"/>
      <c r="I26" s="1102"/>
      <c r="J26" s="1102"/>
      <c r="K26" s="1102"/>
      <c r="L26" s="1102"/>
      <c r="M26" s="1102"/>
      <c r="N26" s="1102"/>
      <c r="O26" s="329"/>
      <c r="P26" s="329"/>
      <c r="Q26" s="329"/>
      <c r="R26" s="329"/>
      <c r="S26" s="329"/>
      <c r="T26" s="1626"/>
    </row>
    <row r="27" spans="1:20" x14ac:dyDescent="0.2">
      <c r="A27" s="14"/>
      <c r="B27" s="1147"/>
      <c r="C27" s="1470" t="s">
        <v>103</v>
      </c>
      <c r="D27" s="1499">
        <v>0.85</v>
      </c>
      <c r="E27" s="16"/>
      <c r="F27" s="16"/>
      <c r="G27" s="16"/>
      <c r="H27" s="16"/>
      <c r="I27" s="1102"/>
      <c r="J27" s="1102"/>
      <c r="K27" s="1102"/>
      <c r="L27" s="1102"/>
      <c r="M27" s="1102"/>
      <c r="N27" s="1102"/>
      <c r="O27" s="329"/>
      <c r="P27" s="329"/>
      <c r="Q27" s="329"/>
      <c r="R27" s="329"/>
      <c r="S27" s="329"/>
      <c r="T27" s="1626"/>
    </row>
    <row r="28" spans="1:20" x14ac:dyDescent="0.2">
      <c r="A28" s="14"/>
      <c r="B28" s="1147"/>
      <c r="C28" s="1457" t="s">
        <v>104</v>
      </c>
      <c r="D28" s="1464">
        <f>12/28</f>
        <v>0.42857142857142855</v>
      </c>
      <c r="E28" s="16"/>
      <c r="F28" s="16"/>
      <c r="G28" s="16"/>
      <c r="H28" s="16"/>
      <c r="I28" s="1102"/>
      <c r="J28" s="1102"/>
      <c r="K28" s="1102"/>
      <c r="L28" s="1102"/>
      <c r="M28" s="1102"/>
      <c r="N28" s="1102"/>
      <c r="O28" s="329"/>
      <c r="P28" s="329"/>
      <c r="Q28" s="329"/>
      <c r="R28" s="329"/>
      <c r="S28" s="329"/>
      <c r="T28" s="1626"/>
    </row>
    <row r="29" spans="1:20" x14ac:dyDescent="0.2">
      <c r="A29" s="14"/>
      <c r="B29" s="1147"/>
      <c r="C29" s="1457" t="s">
        <v>105</v>
      </c>
      <c r="D29" s="1464">
        <f>12/16</f>
        <v>0.75</v>
      </c>
      <c r="E29" s="16"/>
      <c r="F29" s="16"/>
      <c r="G29" s="16"/>
      <c r="H29" s="16"/>
      <c r="I29" s="1102"/>
      <c r="J29" s="1102"/>
      <c r="K29" s="1102"/>
      <c r="L29" s="1102"/>
      <c r="M29" s="1102"/>
      <c r="N29" s="1102"/>
      <c r="O29" s="329"/>
      <c r="P29" s="329"/>
      <c r="Q29" s="329"/>
      <c r="R29" s="329"/>
      <c r="S29" s="329"/>
      <c r="T29" s="1626"/>
    </row>
    <row r="30" spans="1:20" x14ac:dyDescent="0.2">
      <c r="A30" s="14"/>
      <c r="B30" s="1147"/>
      <c r="C30" s="1457" t="s">
        <v>112</v>
      </c>
      <c r="D30" s="1464">
        <f>12/44</f>
        <v>0.27272727272727271</v>
      </c>
      <c r="E30" s="16"/>
      <c r="F30" s="16"/>
      <c r="G30" s="16"/>
      <c r="H30" s="16"/>
      <c r="I30" s="1102"/>
      <c r="J30" s="1102"/>
      <c r="K30" s="1102"/>
      <c r="L30" s="1102"/>
      <c r="M30" s="1102"/>
      <c r="N30" s="1102"/>
      <c r="O30" s="329"/>
      <c r="P30" s="329"/>
      <c r="Q30" s="329"/>
      <c r="R30" s="329"/>
      <c r="S30" s="329"/>
      <c r="T30" s="1626"/>
    </row>
    <row r="31" spans="1:20" x14ac:dyDescent="0.2">
      <c r="A31" s="14"/>
      <c r="B31" s="1147"/>
      <c r="C31" s="1471" t="s">
        <v>111</v>
      </c>
      <c r="D31" s="1465">
        <f>32/64</f>
        <v>0.5</v>
      </c>
      <c r="E31" s="16"/>
      <c r="F31" s="16"/>
      <c r="G31" s="16"/>
      <c r="H31" s="16"/>
      <c r="I31" s="1102"/>
      <c r="J31" s="1102"/>
      <c r="K31" s="1102"/>
      <c r="L31" s="1102"/>
      <c r="M31" s="1102"/>
      <c r="N31" s="1102"/>
      <c r="O31" s="329"/>
      <c r="P31" s="329"/>
      <c r="Q31" s="329"/>
      <c r="R31" s="329"/>
      <c r="S31" s="329"/>
      <c r="T31" s="1626"/>
    </row>
    <row r="32" spans="1:20" x14ac:dyDescent="0.2">
      <c r="A32" s="14"/>
      <c r="B32" s="1147"/>
      <c r="C32" s="1102"/>
      <c r="D32" s="1102"/>
      <c r="E32" s="1102"/>
      <c r="F32" s="1102"/>
      <c r="G32" s="1102"/>
      <c r="H32" s="1102"/>
      <c r="I32" s="1102"/>
      <c r="J32" s="1102"/>
      <c r="K32" s="1102"/>
      <c r="L32" s="1102"/>
      <c r="M32" s="1102"/>
      <c r="N32" s="1102"/>
      <c r="O32" s="329"/>
      <c r="P32" s="329"/>
      <c r="Q32" s="329"/>
      <c r="R32" s="329"/>
      <c r="S32" s="329"/>
      <c r="T32" s="1626"/>
    </row>
    <row r="33" spans="1:20" ht="13.5" customHeight="1" x14ac:dyDescent="0.25">
      <c r="A33" s="14"/>
      <c r="B33" s="1685"/>
      <c r="C33" s="1178" t="s">
        <v>116</v>
      </c>
      <c r="D33" s="1178"/>
      <c r="E33" s="1107"/>
      <c r="F33" s="1102"/>
      <c r="G33" s="1102"/>
      <c r="H33" s="1102"/>
      <c r="I33" s="1102"/>
      <c r="J33" s="1102"/>
      <c r="K33" s="1102"/>
      <c r="L33" s="1102"/>
      <c r="M33" s="1102"/>
      <c r="N33" s="1102"/>
      <c r="O33" s="329"/>
      <c r="P33" s="329"/>
      <c r="Q33" s="329"/>
      <c r="R33" s="329"/>
      <c r="S33" s="329"/>
      <c r="T33" s="1626"/>
    </row>
    <row r="34" spans="1:20" ht="13.5" customHeight="1" x14ac:dyDescent="0.25">
      <c r="A34" s="14"/>
      <c r="B34" s="1147"/>
      <c r="C34" s="1477"/>
      <c r="D34" s="1477"/>
      <c r="E34" s="1107"/>
      <c r="F34" s="1102"/>
      <c r="G34" s="1102"/>
      <c r="H34" s="1102"/>
      <c r="I34" s="1102"/>
      <c r="J34" s="1102"/>
      <c r="K34" s="1102"/>
      <c r="L34" s="1102"/>
      <c r="M34" s="1102"/>
      <c r="N34" s="1102"/>
      <c r="O34" s="329"/>
      <c r="P34" s="329"/>
      <c r="Q34" s="329"/>
      <c r="R34" s="329"/>
      <c r="S34" s="329"/>
      <c r="T34" s="1626"/>
    </row>
    <row r="35" spans="1:20" ht="13.5" customHeight="1" x14ac:dyDescent="0.2">
      <c r="A35" s="14"/>
      <c r="B35" s="1147"/>
      <c r="C35" s="1102" t="s">
        <v>91</v>
      </c>
      <c r="D35" s="1102"/>
      <c r="E35" s="1107"/>
      <c r="F35" s="1102"/>
      <c r="G35" s="1102"/>
      <c r="H35" s="1102"/>
      <c r="I35" s="1102"/>
      <c r="J35" s="1102"/>
      <c r="K35" s="1102"/>
      <c r="L35" s="1102"/>
      <c r="M35" s="1102"/>
      <c r="N35" s="1102"/>
      <c r="O35" s="329"/>
      <c r="P35" s="329"/>
      <c r="Q35" s="329"/>
      <c r="R35" s="329"/>
      <c r="S35" s="329"/>
      <c r="T35" s="1626"/>
    </row>
    <row r="36" spans="1:20" ht="13.5" customHeight="1" x14ac:dyDescent="0.2">
      <c r="A36" s="14"/>
      <c r="B36" s="1147"/>
      <c r="C36" s="1455" t="s">
        <v>683</v>
      </c>
      <c r="D36" s="1394">
        <v>2</v>
      </c>
      <c r="E36" s="1102"/>
      <c r="F36" s="1102"/>
      <c r="G36" s="1102"/>
      <c r="H36" s="1102"/>
      <c r="I36" s="1102"/>
      <c r="J36" s="1102"/>
      <c r="K36" s="1102"/>
      <c r="L36" s="1102"/>
      <c r="M36" s="1102"/>
      <c r="N36" s="1102"/>
      <c r="O36" s="329"/>
      <c r="P36" s="329"/>
      <c r="Q36" s="329"/>
      <c r="R36" s="329"/>
      <c r="S36" s="329"/>
      <c r="T36" s="1626"/>
    </row>
    <row r="37" spans="1:20" x14ac:dyDescent="0.2">
      <c r="A37" s="14"/>
      <c r="B37" s="1147"/>
      <c r="C37" s="1512" t="s">
        <v>682</v>
      </c>
      <c r="D37" s="1152">
        <v>1</v>
      </c>
      <c r="E37" s="1102"/>
      <c r="F37" s="1102"/>
      <c r="G37" s="1102"/>
      <c r="H37" s="1102"/>
      <c r="I37" s="1102"/>
      <c r="J37" s="1102"/>
      <c r="K37" s="1102"/>
      <c r="L37" s="1102"/>
      <c r="M37" s="1102"/>
      <c r="N37" s="1102"/>
      <c r="O37" s="329"/>
      <c r="P37" s="329"/>
      <c r="Q37" s="329"/>
      <c r="R37" s="329"/>
      <c r="S37" s="329"/>
      <c r="T37" s="1626"/>
    </row>
    <row r="38" spans="1:20" x14ac:dyDescent="0.2">
      <c r="A38" s="14"/>
      <c r="B38" s="1147"/>
      <c r="C38" s="1512" t="s">
        <v>681</v>
      </c>
      <c r="D38" s="1152">
        <v>2</v>
      </c>
      <c r="E38" s="1102"/>
      <c r="F38" s="1102"/>
      <c r="G38" s="1102"/>
      <c r="H38" s="1107"/>
      <c r="I38" s="1102"/>
      <c r="J38" s="1102"/>
      <c r="K38" s="1102"/>
      <c r="L38" s="1102"/>
      <c r="M38" s="1102"/>
      <c r="N38" s="1102"/>
      <c r="O38" s="329"/>
      <c r="P38" s="329"/>
      <c r="Q38" s="329"/>
      <c r="R38" s="329"/>
      <c r="S38" s="329"/>
      <c r="T38" s="1626"/>
    </row>
    <row r="39" spans="1:20" x14ac:dyDescent="0.2">
      <c r="A39" s="14"/>
      <c r="B39" s="1147"/>
      <c r="C39" s="1512" t="s">
        <v>1936</v>
      </c>
      <c r="D39" s="1152">
        <v>3</v>
      </c>
      <c r="E39" s="1102"/>
      <c r="F39" s="1102"/>
      <c r="G39" s="1102"/>
      <c r="H39" s="1102"/>
      <c r="I39" s="1102"/>
      <c r="J39" s="1102"/>
      <c r="K39" s="1102"/>
      <c r="L39" s="1102"/>
      <c r="M39" s="1102"/>
      <c r="N39" s="1102"/>
      <c r="O39" s="329"/>
      <c r="P39" s="329"/>
      <c r="Q39" s="329"/>
      <c r="R39" s="329"/>
      <c r="S39" s="329"/>
      <c r="T39" s="1626"/>
    </row>
    <row r="40" spans="1:20" x14ac:dyDescent="0.2">
      <c r="A40" s="14"/>
      <c r="B40" s="1147"/>
      <c r="C40" s="1102"/>
      <c r="D40" s="1102"/>
      <c r="E40" s="1102"/>
      <c r="F40" s="1102"/>
      <c r="G40" s="1102"/>
      <c r="H40" s="1102"/>
      <c r="I40" s="1102"/>
      <c r="J40" s="1102"/>
      <c r="K40" s="1102"/>
      <c r="L40" s="1102"/>
      <c r="M40" s="1102"/>
      <c r="N40" s="1102"/>
      <c r="O40" s="329"/>
      <c r="P40" s="329"/>
      <c r="Q40" s="329"/>
      <c r="R40" s="329"/>
      <c r="S40" s="329"/>
      <c r="T40" s="1626"/>
    </row>
    <row r="41" spans="1:20" x14ac:dyDescent="0.2">
      <c r="A41" s="14"/>
      <c r="B41" s="1147"/>
      <c r="C41" s="2173"/>
      <c r="D41" s="2525" t="s">
        <v>684</v>
      </c>
      <c r="E41" s="2526"/>
      <c r="F41" s="2526"/>
      <c r="G41" s="2527"/>
      <c r="H41" s="2173"/>
      <c r="I41" s="2173"/>
      <c r="J41" s="2173"/>
      <c r="K41" s="2173"/>
      <c r="L41" s="2173"/>
      <c r="M41" s="2173"/>
      <c r="N41" s="2173"/>
      <c r="O41" s="329"/>
      <c r="P41" s="329"/>
      <c r="Q41" s="329"/>
      <c r="R41" s="329"/>
      <c r="S41" s="329"/>
      <c r="T41" s="1626"/>
    </row>
    <row r="42" spans="1:20" ht="33.75" x14ac:dyDescent="0.2">
      <c r="A42" s="14"/>
      <c r="B42" s="1147"/>
      <c r="C42" s="1102"/>
      <c r="D42" s="1108" t="s">
        <v>680</v>
      </c>
      <c r="E42" s="1108" t="s">
        <v>685</v>
      </c>
      <c r="F42" s="1108" t="s">
        <v>113</v>
      </c>
      <c r="G42" s="1108" t="s">
        <v>121</v>
      </c>
      <c r="H42" s="1102"/>
      <c r="I42" s="1102"/>
      <c r="J42" s="1102"/>
      <c r="K42" s="1102"/>
      <c r="L42" s="1102"/>
      <c r="M42" s="1102"/>
      <c r="N42" s="1102"/>
      <c r="O42" s="329"/>
      <c r="P42" s="329"/>
      <c r="Q42" s="329"/>
      <c r="R42" s="329"/>
      <c r="S42" s="329"/>
      <c r="T42" s="1626"/>
    </row>
    <row r="43" spans="1:20" x14ac:dyDescent="0.2">
      <c r="A43" s="14"/>
      <c r="B43" s="1147"/>
      <c r="C43" s="1454" t="s">
        <v>183</v>
      </c>
      <c r="D43" s="1110">
        <v>3.6338136452256591</v>
      </c>
      <c r="E43" s="1110">
        <v>5.2490847333806654</v>
      </c>
      <c r="F43" s="1110">
        <f>IF($D$36=1,D43,IF($D$36=2,E43,0))</f>
        <v>5.2490847333806654</v>
      </c>
      <c r="G43" s="1110">
        <f>F43/'Energy &amp; Unit Conversions'!$G$84</f>
        <v>4.9751723762734585E-3</v>
      </c>
      <c r="H43" s="1102"/>
      <c r="I43" s="1102"/>
      <c r="J43" s="1102"/>
      <c r="K43" s="1102"/>
      <c r="L43" s="1102"/>
      <c r="M43" s="1102"/>
      <c r="N43" s="1102"/>
      <c r="O43" s="329"/>
      <c r="P43" s="329"/>
      <c r="Q43" s="329"/>
      <c r="R43" s="329"/>
      <c r="S43" s="329"/>
      <c r="T43" s="1626"/>
    </row>
    <row r="44" spans="1:20" x14ac:dyDescent="0.2">
      <c r="A44" s="14"/>
      <c r="B44" s="1147"/>
      <c r="C44" s="1442" t="s">
        <v>184</v>
      </c>
      <c r="D44" s="1110">
        <v>318.75558691438698</v>
      </c>
      <c r="E44" s="1110">
        <v>60.286365528609153</v>
      </c>
      <c r="F44" s="1110">
        <f t="shared" ref="F44:F50" si="0">IF($D$36=1,D44,IF($D$36=2,E44,0))</f>
        <v>60.286365528609153</v>
      </c>
      <c r="G44" s="1110">
        <f>F44/'Energy &amp; Unit Conversions'!$G$84</f>
        <v>5.7140449369482357E-2</v>
      </c>
      <c r="H44" s="1102"/>
      <c r="I44" s="1102"/>
      <c r="J44" s="1102"/>
      <c r="K44" s="1102"/>
      <c r="L44" s="1102"/>
      <c r="M44" s="1102"/>
      <c r="N44" s="1102"/>
      <c r="O44" s="329"/>
      <c r="P44" s="329"/>
      <c r="Q44" s="329"/>
      <c r="R44" s="329"/>
      <c r="S44" s="329"/>
      <c r="T44" s="1626"/>
    </row>
    <row r="45" spans="1:20" x14ac:dyDescent="0.2">
      <c r="A45" s="14"/>
      <c r="B45" s="1147"/>
      <c r="C45" s="1442" t="s">
        <v>185</v>
      </c>
      <c r="D45" s="1110">
        <v>336.9246456408585</v>
      </c>
      <c r="E45" s="1110">
        <v>184.01173453485814</v>
      </c>
      <c r="F45" s="1110">
        <f t="shared" si="0"/>
        <v>184.01173453485814</v>
      </c>
      <c r="G45" s="1110">
        <f>F45/'Energy &amp; Unit Conversions'!$G$84</f>
        <v>0.17440947233068782</v>
      </c>
      <c r="H45" s="1102"/>
      <c r="I45" s="1102"/>
      <c r="J45" s="1102"/>
      <c r="K45" s="1102"/>
      <c r="L45" s="1102"/>
      <c r="M45" s="1102"/>
      <c r="N45" s="1102"/>
      <c r="O45" s="329"/>
      <c r="P45" s="329"/>
      <c r="Q45" s="329"/>
      <c r="R45" s="329"/>
      <c r="S45" s="329"/>
      <c r="T45" s="1626"/>
    </row>
    <row r="46" spans="1:20" x14ac:dyDescent="0.2">
      <c r="A46" s="14"/>
      <c r="B46" s="1147"/>
      <c r="C46" s="1442" t="s">
        <v>186</v>
      </c>
      <c r="D46" s="1110">
        <v>31.875558691438698</v>
      </c>
      <c r="E46" s="1110">
        <v>7.4722906584282072</v>
      </c>
      <c r="F46" s="1110">
        <f t="shared" si="0"/>
        <v>7.4722906584282072</v>
      </c>
      <c r="G46" s="1110">
        <f>F46/'Energy &amp; Unit Conversions'!$G$84</f>
        <v>7.0823650140155242E-3</v>
      </c>
      <c r="H46" s="1102"/>
      <c r="I46" s="1102"/>
      <c r="J46" s="1102"/>
      <c r="K46" s="1102"/>
      <c r="L46" s="1102"/>
      <c r="M46" s="1102"/>
      <c r="N46" s="1102"/>
      <c r="O46" s="329"/>
      <c r="P46" s="329"/>
      <c r="Q46" s="329"/>
      <c r="R46" s="329"/>
      <c r="S46" s="329"/>
      <c r="T46" s="1626"/>
    </row>
    <row r="47" spans="1:20" x14ac:dyDescent="0.2">
      <c r="A47" s="14"/>
      <c r="B47" s="1147"/>
      <c r="C47" s="1442" t="s">
        <v>187</v>
      </c>
      <c r="D47" s="1110">
        <v>15.937779345719349</v>
      </c>
      <c r="E47" s="1110">
        <v>7.4722906584282072</v>
      </c>
      <c r="F47" s="1110">
        <f t="shared" si="0"/>
        <v>7.4722906584282072</v>
      </c>
      <c r="G47" s="1110">
        <f>F47/'Energy &amp; Unit Conversions'!$G$84</f>
        <v>7.0823650140155242E-3</v>
      </c>
      <c r="H47" s="1102"/>
      <c r="I47" s="1102"/>
      <c r="J47" s="1102"/>
      <c r="K47" s="1102"/>
      <c r="L47" s="1102"/>
      <c r="M47" s="1102"/>
      <c r="N47" s="1102"/>
      <c r="O47" s="329"/>
      <c r="P47" s="329"/>
      <c r="Q47" s="329"/>
      <c r="R47" s="329"/>
      <c r="S47" s="329"/>
      <c r="T47" s="1626"/>
    </row>
    <row r="48" spans="1:20" x14ac:dyDescent="0.2">
      <c r="A48" s="14"/>
      <c r="B48" s="1147"/>
      <c r="C48" s="1442" t="s">
        <v>188</v>
      </c>
      <c r="D48" s="1110">
        <v>728.83463002444864</v>
      </c>
      <c r="E48" s="1110">
        <v>0.7276127601684379</v>
      </c>
      <c r="F48" s="1110">
        <f t="shared" si="0"/>
        <v>0.7276127601684379</v>
      </c>
      <c r="G48" s="1110">
        <f>F48/'Energy &amp; Unit Conversions'!$G$84</f>
        <v>6.8964383104607309E-4</v>
      </c>
      <c r="H48" s="1102"/>
      <c r="I48" s="1102"/>
      <c r="J48" s="1102"/>
      <c r="K48" s="1102"/>
      <c r="L48" s="1102"/>
      <c r="M48" s="1102"/>
      <c r="N48" s="1102"/>
      <c r="O48" s="329"/>
      <c r="P48" s="329"/>
      <c r="Q48" s="329"/>
      <c r="R48" s="329"/>
      <c r="S48" s="329"/>
      <c r="T48" s="1626"/>
    </row>
    <row r="49" spans="1:21" x14ac:dyDescent="0.2">
      <c r="A49" s="14"/>
      <c r="B49" s="1147"/>
      <c r="C49" s="1442" t="s">
        <v>258</v>
      </c>
      <c r="D49" s="1110">
        <v>3.8250671949671515</v>
      </c>
      <c r="E49" s="1110">
        <v>9.5674142344679325</v>
      </c>
      <c r="F49" s="1110">
        <f t="shared" si="0"/>
        <v>9.5674142344679325</v>
      </c>
      <c r="G49" s="1110">
        <f>F49/'Energy &amp; Unit Conversions'!$G$84</f>
        <v>9.0681590085580355E-3</v>
      </c>
      <c r="H49" s="1102"/>
      <c r="I49" s="1102"/>
      <c r="J49" s="1102"/>
      <c r="K49" s="1102"/>
      <c r="L49" s="1102"/>
      <c r="M49" s="1102"/>
      <c r="N49" s="1102"/>
      <c r="O49" s="329"/>
      <c r="P49" s="329"/>
      <c r="Q49" s="329"/>
      <c r="R49" s="329"/>
      <c r="S49" s="329"/>
      <c r="T49" s="1626"/>
    </row>
    <row r="50" spans="1:21" x14ac:dyDescent="0.2">
      <c r="A50" s="14"/>
      <c r="B50" s="1147"/>
      <c r="C50" s="1442" t="s">
        <v>189</v>
      </c>
      <c r="D50" s="1110">
        <v>3.3788090388990919</v>
      </c>
      <c r="E50" s="1110">
        <v>3.8140075922057211</v>
      </c>
      <c r="F50" s="1110">
        <f t="shared" si="0"/>
        <v>3.8140075922057211</v>
      </c>
      <c r="G50" s="1110">
        <f>F50/'Energy &amp; Unit Conversions'!$G$84</f>
        <v>3.6149816928975551E-3</v>
      </c>
      <c r="H50" s="1102"/>
      <c r="I50" s="1102"/>
      <c r="J50" s="1102"/>
      <c r="K50" s="1102"/>
      <c r="L50" s="1102"/>
      <c r="M50" s="1102"/>
      <c r="N50" s="1102"/>
      <c r="O50" s="329"/>
      <c r="P50" s="329"/>
      <c r="Q50" s="329"/>
      <c r="R50" s="329"/>
      <c r="S50" s="329"/>
      <c r="T50" s="1626"/>
    </row>
    <row r="51" spans="1:21" x14ac:dyDescent="0.2">
      <c r="A51" s="14"/>
      <c r="B51" s="1147"/>
      <c r="C51" s="1442" t="s">
        <v>394</v>
      </c>
      <c r="D51" s="1110">
        <v>345328.98743788648</v>
      </c>
      <c r="E51" s="1110">
        <v>160826.70596788361</v>
      </c>
      <c r="F51" s="1110">
        <f>IF($D$36=1,D51,IF($D$36=2,E51,0))</f>
        <v>160826.70596788361</v>
      </c>
      <c r="G51" s="1110">
        <f>F51/'Energy &amp; Unit Conversions'!$G$84</f>
        <v>152.43430531995602</v>
      </c>
      <c r="H51" s="1102"/>
      <c r="I51" s="1102"/>
      <c r="J51" s="1102"/>
      <c r="K51" s="1102"/>
      <c r="L51" s="1102"/>
      <c r="M51" s="1102"/>
      <c r="N51" s="1102"/>
      <c r="O51" s="329"/>
      <c r="P51" s="329"/>
      <c r="Q51" s="329"/>
      <c r="R51" s="329"/>
      <c r="S51" s="329"/>
      <c r="T51" s="1626"/>
    </row>
    <row r="52" spans="1:21" x14ac:dyDescent="0.2">
      <c r="A52" s="14"/>
      <c r="B52" s="1147"/>
      <c r="C52" s="1442" t="s">
        <v>192</v>
      </c>
      <c r="D52" s="1111">
        <f>D51+(D43*D27+D44*D28)/D30</f>
        <v>345841.21446032717</v>
      </c>
      <c r="E52" s="1111">
        <f>E51+(E43*$D$27+E44*$D$28)/$D$30</f>
        <v>160937.80133256188</v>
      </c>
      <c r="F52" s="1110">
        <f>IF(OR($D$36=1,$D$36=2),F51+(F43*$D$27+F44*$D$28)/$D$30,0)</f>
        <v>160937.80133256188</v>
      </c>
      <c r="G52" s="1110">
        <f>IF(D36=3,8.34,F52/'Energy &amp; Unit Conversions'!$G$84)</f>
        <v>152.53960340858555</v>
      </c>
      <c r="H52" s="1107"/>
      <c r="I52" s="1102"/>
      <c r="J52" s="1102"/>
      <c r="K52" s="1102"/>
      <c r="L52" s="1102"/>
      <c r="M52" s="1102"/>
      <c r="N52" s="1102"/>
      <c r="O52" s="329"/>
      <c r="P52" s="329"/>
      <c r="Q52" s="329"/>
      <c r="R52" s="329"/>
      <c r="S52" s="329"/>
      <c r="T52" s="1626"/>
    </row>
    <row r="53" spans="1:21" x14ac:dyDescent="0.2">
      <c r="A53" s="14"/>
      <c r="B53" s="1147"/>
      <c r="C53" s="1443" t="s">
        <v>131</v>
      </c>
      <c r="D53" s="1112">
        <f>D52+$G$9*D49+$G$10*D50</f>
        <v>346851.35087148444</v>
      </c>
      <c r="E53" s="1112">
        <f>E52+$G$9*E49+$G$10*E50</f>
        <v>162235.53577153044</v>
      </c>
      <c r="F53" s="1113">
        <f>IF(OR($D$36=1,$D$36=2),F52+$G$9*F49+$G$10*F50,0)</f>
        <v>162235.53577153044</v>
      </c>
      <c r="G53" s="1113">
        <f>IF(D36=3,8.34,F53/'Energy &amp; Unit Conversions'!$G$84)</f>
        <v>153.76961832746014</v>
      </c>
      <c r="H53" s="1102"/>
      <c r="I53" s="1102"/>
      <c r="J53" s="1102"/>
      <c r="K53" s="1102"/>
      <c r="L53" s="1102"/>
      <c r="M53" s="1102"/>
      <c r="N53" s="1102"/>
      <c r="O53" s="329"/>
      <c r="P53" s="329"/>
      <c r="Q53" s="329"/>
      <c r="R53" s="329"/>
      <c r="S53" s="329"/>
      <c r="T53" s="1626"/>
    </row>
    <row r="54" spans="1:21" x14ac:dyDescent="0.2">
      <c r="A54" s="14"/>
      <c r="B54" s="1147"/>
      <c r="C54" s="1102"/>
      <c r="D54" s="1148" t="s">
        <v>686</v>
      </c>
      <c r="E54" s="1102"/>
      <c r="F54" s="1102"/>
      <c r="G54" s="1102"/>
      <c r="H54" s="1102"/>
      <c r="I54" s="1102"/>
      <c r="J54" s="1102"/>
      <c r="K54" s="1102"/>
      <c r="L54" s="1102"/>
      <c r="M54" s="1102"/>
      <c r="N54" s="1102"/>
      <c r="O54" s="329"/>
      <c r="P54" s="329"/>
      <c r="Q54" s="329"/>
      <c r="R54" s="329"/>
      <c r="S54" s="329"/>
      <c r="T54" s="1626"/>
    </row>
    <row r="55" spans="1:21" x14ac:dyDescent="0.2">
      <c r="A55" s="14"/>
      <c r="B55" s="1147"/>
      <c r="C55" s="1102"/>
      <c r="D55" s="1148" t="s">
        <v>687</v>
      </c>
      <c r="E55" s="1102"/>
      <c r="F55" s="1102"/>
      <c r="G55" s="1102"/>
      <c r="H55" s="1102"/>
      <c r="I55" s="1102"/>
      <c r="J55" s="1102"/>
      <c r="K55" s="1102"/>
      <c r="L55" s="1102"/>
      <c r="M55" s="1102"/>
      <c r="N55" s="1102"/>
      <c r="O55" s="329"/>
      <c r="P55" s="329"/>
      <c r="Q55" s="329"/>
      <c r="R55" s="329"/>
      <c r="S55" s="329"/>
      <c r="T55" s="1626"/>
    </row>
    <row r="56" spans="1:21" x14ac:dyDescent="0.2">
      <c r="A56" s="14"/>
      <c r="B56" s="1147"/>
      <c r="C56" s="1102"/>
      <c r="D56" s="1102"/>
      <c r="E56" s="1102"/>
      <c r="F56" s="1102"/>
      <c r="G56" s="1102"/>
      <c r="H56" s="1102"/>
      <c r="I56" s="1102"/>
      <c r="J56" s="1102"/>
      <c r="K56" s="1102"/>
      <c r="L56" s="1102"/>
      <c r="M56" s="1102"/>
      <c r="N56" s="1102"/>
      <c r="O56" s="329"/>
      <c r="P56" s="329"/>
      <c r="Q56" s="329"/>
      <c r="R56" s="329"/>
      <c r="S56" s="329"/>
      <c r="T56" s="1626"/>
    </row>
    <row r="57" spans="1:21" ht="14.1" customHeight="1" x14ac:dyDescent="0.25">
      <c r="A57" s="14"/>
      <c r="B57" s="1685"/>
      <c r="C57" s="1178" t="s">
        <v>117</v>
      </c>
      <c r="D57" s="1178"/>
      <c r="E57" s="1178"/>
      <c r="F57" s="1476"/>
      <c r="G57" s="1102"/>
      <c r="H57" s="1102"/>
      <c r="I57" s="1102"/>
      <c r="J57" s="1102"/>
      <c r="K57" s="1102"/>
      <c r="L57" s="1102"/>
      <c r="M57" s="1102"/>
      <c r="N57" s="1102"/>
      <c r="O57" s="329"/>
      <c r="P57" s="329"/>
      <c r="Q57" s="329"/>
      <c r="R57" s="329"/>
      <c r="S57" s="329"/>
      <c r="T57" s="1626"/>
    </row>
    <row r="58" spans="1:21" ht="12.75" customHeight="1" x14ac:dyDescent="0.25">
      <c r="A58" s="14"/>
      <c r="B58" s="1147"/>
      <c r="C58" s="1477"/>
      <c r="D58" s="1477"/>
      <c r="E58" s="1477"/>
      <c r="F58" s="1476"/>
      <c r="G58" s="1102"/>
      <c r="H58" s="1102"/>
      <c r="I58" s="1102"/>
      <c r="J58" s="1102"/>
      <c r="K58" s="1102"/>
      <c r="L58" s="1102"/>
      <c r="M58" s="1102"/>
      <c r="N58" s="1102"/>
      <c r="O58" s="329"/>
      <c r="P58" s="329"/>
      <c r="Q58" s="329"/>
      <c r="R58" s="329"/>
      <c r="S58" s="329"/>
      <c r="T58" s="1626"/>
    </row>
    <row r="59" spans="1:21" x14ac:dyDescent="0.2">
      <c r="A59" s="14"/>
      <c r="B59" s="1147"/>
      <c r="C59" s="1102" t="s">
        <v>91</v>
      </c>
      <c r="D59" s="1102"/>
      <c r="E59" s="1102"/>
      <c r="F59" s="1102"/>
      <c r="G59" s="1102"/>
      <c r="H59" s="1102"/>
      <c r="I59" s="1102"/>
      <c r="J59" s="1102"/>
      <c r="K59" s="1102"/>
      <c r="L59" s="1102"/>
      <c r="M59" s="1102"/>
      <c r="N59" s="1102"/>
      <c r="O59" s="329"/>
      <c r="P59" s="329"/>
      <c r="Q59" s="329"/>
      <c r="R59" s="329"/>
      <c r="S59" s="329"/>
      <c r="T59" s="1626"/>
    </row>
    <row r="60" spans="1:21" x14ac:dyDescent="0.2">
      <c r="A60" s="14"/>
      <c r="B60" s="1147"/>
      <c r="C60" s="1455" t="s">
        <v>683</v>
      </c>
      <c r="D60" s="1392">
        <v>2</v>
      </c>
      <c r="E60" s="1475"/>
      <c r="F60" s="1102"/>
      <c r="G60" s="1102"/>
      <c r="H60" s="1102"/>
      <c r="I60" s="1102"/>
      <c r="J60" s="1102"/>
      <c r="K60" s="1102"/>
      <c r="L60" s="1102"/>
      <c r="M60" s="1102"/>
      <c r="N60" s="1102"/>
      <c r="O60" s="329"/>
      <c r="P60" s="329"/>
      <c r="Q60" s="329"/>
      <c r="R60" s="329"/>
      <c r="S60" s="329"/>
      <c r="T60" s="1626"/>
    </row>
    <row r="61" spans="1:21" ht="14.25" customHeight="1" x14ac:dyDescent="0.2">
      <c r="A61" s="14"/>
      <c r="B61" s="1147"/>
      <c r="C61" s="1216" t="s">
        <v>124</v>
      </c>
      <c r="D61" s="1102">
        <v>1</v>
      </c>
      <c r="E61" s="1102"/>
      <c r="F61" s="1102"/>
      <c r="G61" s="1102"/>
      <c r="H61" s="1102"/>
      <c r="I61" s="1102"/>
      <c r="J61" s="1102"/>
      <c r="K61" s="1102"/>
      <c r="L61" s="1102"/>
      <c r="M61" s="1102"/>
      <c r="N61" s="1102"/>
      <c r="O61" s="329"/>
      <c r="P61" s="329"/>
      <c r="Q61" s="329"/>
      <c r="R61" s="329"/>
      <c r="S61" s="329"/>
      <c r="T61" s="1626"/>
    </row>
    <row r="62" spans="1:21" x14ac:dyDescent="0.2">
      <c r="A62" s="14"/>
      <c r="B62" s="1147"/>
      <c r="C62" s="1216" t="s">
        <v>125</v>
      </c>
      <c r="D62" s="1102">
        <v>2</v>
      </c>
      <c r="E62" s="1102"/>
      <c r="F62" s="1102"/>
      <c r="G62" s="1102"/>
      <c r="H62" s="1102"/>
      <c r="I62" s="1102"/>
      <c r="J62" s="1102"/>
      <c r="K62" s="1102"/>
      <c r="L62" s="1102"/>
      <c r="M62" s="1102"/>
      <c r="N62" s="1102"/>
      <c r="O62" s="329"/>
      <c r="P62" s="329"/>
      <c r="Q62" s="329"/>
      <c r="R62" s="329"/>
      <c r="S62" s="329"/>
      <c r="T62" s="1626"/>
    </row>
    <row r="63" spans="1:21" x14ac:dyDescent="0.2">
      <c r="A63" s="14"/>
      <c r="B63" s="1147"/>
      <c r="C63" s="1114"/>
      <c r="D63" s="1114"/>
      <c r="E63" s="1102"/>
      <c r="F63" s="1102"/>
      <c r="G63" s="1102"/>
      <c r="H63" s="1102"/>
      <c r="I63" s="1102"/>
      <c r="J63" s="1122" t="s">
        <v>122</v>
      </c>
      <c r="K63" s="1122" t="s">
        <v>123</v>
      </c>
      <c r="L63" s="1122"/>
      <c r="M63" s="1122"/>
      <c r="N63" s="1122"/>
      <c r="O63" s="329"/>
      <c r="P63" s="329"/>
      <c r="Q63" s="329"/>
      <c r="R63" s="329"/>
      <c r="S63" s="329"/>
      <c r="T63" s="1626"/>
    </row>
    <row r="64" spans="1:21" ht="29.1" customHeight="1" x14ac:dyDescent="0.2">
      <c r="A64" s="14"/>
      <c r="B64" s="1147"/>
      <c r="C64" s="1149"/>
      <c r="D64" s="1496" t="s">
        <v>85</v>
      </c>
      <c r="E64" s="1496" t="s">
        <v>86</v>
      </c>
      <c r="F64" s="1496" t="s">
        <v>87</v>
      </c>
      <c r="G64" s="1496" t="s">
        <v>106</v>
      </c>
      <c r="H64" s="1496" t="s">
        <v>190</v>
      </c>
      <c r="I64" s="1496" t="s">
        <v>191</v>
      </c>
      <c r="J64" s="1496" t="s">
        <v>106</v>
      </c>
      <c r="K64" s="2174" t="str">
        <f>IF(D60=1,I64,H64)</f>
        <v>Utility/Industrial Boiler (&gt;100 mmBtu/hr input)</v>
      </c>
      <c r="L64" s="1677"/>
      <c r="M64" s="1677"/>
      <c r="N64" s="1677"/>
      <c r="O64" s="329"/>
      <c r="P64" s="329"/>
      <c r="Q64" s="329"/>
      <c r="R64" s="329"/>
      <c r="S64" s="329"/>
      <c r="T64" s="1626"/>
      <c r="U64" s="1686"/>
    </row>
    <row r="65" spans="1:21" ht="22.5" x14ac:dyDescent="0.2">
      <c r="A65" s="14"/>
      <c r="B65" s="1147"/>
      <c r="C65" s="2173"/>
      <c r="D65" s="1117" t="s">
        <v>108</v>
      </c>
      <c r="E65" s="1117" t="s">
        <v>107</v>
      </c>
      <c r="F65" s="1117" t="s">
        <v>107</v>
      </c>
      <c r="G65" s="1117" t="s">
        <v>119</v>
      </c>
      <c r="H65" s="1117" t="s">
        <v>120</v>
      </c>
      <c r="I65" s="1117" t="s">
        <v>120</v>
      </c>
      <c r="J65" s="1117" t="s">
        <v>119</v>
      </c>
      <c r="K65" s="2175" t="str">
        <f>IF(D61=1,I65,H65)</f>
        <v>grams per MJ of fuel burned</v>
      </c>
      <c r="L65" s="1678"/>
      <c r="M65" s="1678"/>
      <c r="N65" s="1678"/>
      <c r="O65" s="329"/>
      <c r="P65" s="329"/>
      <c r="Q65" s="329"/>
      <c r="R65" s="329"/>
      <c r="S65" s="329"/>
      <c r="T65" s="1626"/>
      <c r="U65" s="1687"/>
    </row>
    <row r="66" spans="1:21" x14ac:dyDescent="0.2">
      <c r="A66" s="14"/>
      <c r="B66" s="1147"/>
      <c r="C66" s="1454" t="s">
        <v>183</v>
      </c>
      <c r="D66" s="1110">
        <v>5.84</v>
      </c>
      <c r="E66" s="1110">
        <v>1.5569999999999999</v>
      </c>
      <c r="F66" s="1110">
        <v>2.4169999999999998</v>
      </c>
      <c r="G66" s="1110">
        <f>D66/'Energy &amp; Unit Conversions'!$G$84</f>
        <v>5.5352519826297724E-3</v>
      </c>
      <c r="H66" s="1110">
        <f>E66/'Energy &amp; Unit Conversions'!$G$84</f>
        <v>1.4757512563278348E-3</v>
      </c>
      <c r="I66" s="1110">
        <f>F66/'Energy &amp; Unit Conversions'!$G$84</f>
        <v>2.2908739797972877E-3</v>
      </c>
      <c r="J66" s="1110">
        <f t="shared" ref="J66:J75" si="1">G66</f>
        <v>5.5352519826297724E-3</v>
      </c>
      <c r="K66" s="2176">
        <f t="shared" ref="K66:K76" si="2">IF($D$60=1,I66,H66)</f>
        <v>1.4757512563278348E-3</v>
      </c>
      <c r="L66" s="1674"/>
      <c r="M66" s="1674"/>
      <c r="N66" s="1674"/>
      <c r="O66" s="329"/>
      <c r="P66" s="329"/>
      <c r="Q66" s="329"/>
      <c r="R66" s="329"/>
      <c r="S66" s="329"/>
      <c r="T66" s="1626"/>
    </row>
    <row r="67" spans="1:21" x14ac:dyDescent="0.2">
      <c r="A67" s="14"/>
      <c r="B67" s="1147"/>
      <c r="C67" s="1442" t="s">
        <v>184</v>
      </c>
      <c r="D67" s="1110">
        <v>8.0329999999999995</v>
      </c>
      <c r="E67" s="1110">
        <v>16.419</v>
      </c>
      <c r="F67" s="1110">
        <v>28.821999999999999</v>
      </c>
      <c r="G67" s="1110">
        <f>D67/'Energy &amp; Unit Conversions'!$G$84</f>
        <v>7.6138149274768765E-3</v>
      </c>
      <c r="H67" s="1110">
        <f>E67/'Energy &amp; Unit Conversions'!$G$84</f>
        <v>1.5562209298424355E-2</v>
      </c>
      <c r="I67" s="1110">
        <f>F67/'Energy &amp; Unit Conversions'!$G$84</f>
        <v>2.7317985041670427E-2</v>
      </c>
      <c r="J67" s="1110">
        <f t="shared" si="1"/>
        <v>7.6138149274768765E-3</v>
      </c>
      <c r="K67" s="2176">
        <f t="shared" si="2"/>
        <v>1.5562209298424355E-2</v>
      </c>
      <c r="L67" s="1674"/>
      <c r="M67" s="1674"/>
      <c r="N67" s="1674"/>
      <c r="O67" s="329"/>
      <c r="P67" s="329"/>
      <c r="Q67" s="329"/>
      <c r="R67" s="329"/>
      <c r="S67" s="329"/>
      <c r="T67" s="1626"/>
    </row>
    <row r="68" spans="1:21" x14ac:dyDescent="0.2">
      <c r="A68" s="14"/>
      <c r="B68" s="1147"/>
      <c r="C68" s="1442" t="s">
        <v>185</v>
      </c>
      <c r="D68" s="1110">
        <v>23.04</v>
      </c>
      <c r="E68" s="1110">
        <v>57.606999999999999</v>
      </c>
      <c r="F68" s="1110">
        <v>30</v>
      </c>
      <c r="G68" s="1110">
        <f>D68/'Energy &amp; Unit Conversions'!$G$84</f>
        <v>2.1837706452018827E-2</v>
      </c>
      <c r="H68" s="1110">
        <f>E68/'Energy &amp; Unit Conversions'!$G$84</f>
        <v>5.4600900849889264E-2</v>
      </c>
      <c r="I68" s="1110">
        <f>F68/'Energy &amp; Unit Conversions'!$G$84</f>
        <v>2.8434513609399515E-2</v>
      </c>
      <c r="J68" s="1110">
        <f t="shared" si="1"/>
        <v>2.1837706452018827E-2</v>
      </c>
      <c r="K68" s="2176">
        <f t="shared" si="2"/>
        <v>5.4600900849889264E-2</v>
      </c>
      <c r="L68" s="1674"/>
      <c r="M68" s="1674"/>
      <c r="N68" s="1674"/>
      <c r="O68" s="329"/>
      <c r="P68" s="329"/>
      <c r="Q68" s="329"/>
      <c r="R68" s="329"/>
      <c r="S68" s="329"/>
      <c r="T68" s="1626"/>
    </row>
    <row r="69" spans="1:21" x14ac:dyDescent="0.2">
      <c r="A69" s="14"/>
      <c r="B69" s="1147"/>
      <c r="C69" s="1442" t="s">
        <v>186</v>
      </c>
      <c r="D69" s="1110">
        <v>1.2889999999999999</v>
      </c>
      <c r="E69" s="1110">
        <v>3.206</v>
      </c>
      <c r="F69" s="1110">
        <v>2.96</v>
      </c>
      <c r="G69" s="1110">
        <f>D69/'Energy &amp; Unit Conversions'!$G$84</f>
        <v>1.2217362680838658E-3</v>
      </c>
      <c r="H69" s="1110">
        <f>E69/'Energy &amp; Unit Conversions'!$G$84</f>
        <v>3.038701687724495E-3</v>
      </c>
      <c r="I69" s="1110">
        <f>F69/'Energy &amp; Unit Conversions'!$G$84</f>
        <v>2.805538676127419E-3</v>
      </c>
      <c r="J69" s="1110">
        <f t="shared" si="1"/>
        <v>1.2217362680838658E-3</v>
      </c>
      <c r="K69" s="2176">
        <f t="shared" si="2"/>
        <v>3.038701687724495E-3</v>
      </c>
      <c r="L69" s="1674"/>
      <c r="M69" s="1674"/>
      <c r="N69" s="1674"/>
      <c r="O69" s="329"/>
      <c r="P69" s="329"/>
      <c r="Q69" s="329"/>
      <c r="R69" s="329"/>
      <c r="S69" s="329"/>
      <c r="T69" s="1626"/>
    </row>
    <row r="70" spans="1:21" x14ac:dyDescent="0.2">
      <c r="A70" s="14"/>
      <c r="B70" s="1147"/>
      <c r="C70" s="1442" t="s">
        <v>187</v>
      </c>
      <c r="D70" s="1110">
        <v>0.626</v>
      </c>
      <c r="E70" s="1110">
        <v>3.206</v>
      </c>
      <c r="F70" s="1110">
        <v>2.96</v>
      </c>
      <c r="G70" s="1110">
        <f>D70/'Energy &amp; Unit Conversions'!$G$84</f>
        <v>5.9333351731613658E-4</v>
      </c>
      <c r="H70" s="1110">
        <f>E70/'Energy &amp; Unit Conversions'!$G$84</f>
        <v>3.038701687724495E-3</v>
      </c>
      <c r="I70" s="1110">
        <f>F70/'Energy &amp; Unit Conversions'!$G$84</f>
        <v>2.805538676127419E-3</v>
      </c>
      <c r="J70" s="1110">
        <f t="shared" si="1"/>
        <v>5.9333351731613658E-4</v>
      </c>
      <c r="K70" s="2176">
        <f t="shared" si="2"/>
        <v>3.038701687724495E-3</v>
      </c>
      <c r="L70" s="1674"/>
      <c r="M70" s="1674"/>
      <c r="N70" s="1674"/>
      <c r="O70" s="329"/>
      <c r="P70" s="329"/>
      <c r="Q70" s="329"/>
      <c r="R70" s="329"/>
      <c r="S70" s="329"/>
      <c r="T70" s="1626"/>
    </row>
    <row r="71" spans="1:21" x14ac:dyDescent="0.2">
      <c r="A71" s="14"/>
      <c r="B71" s="1147"/>
      <c r="C71" s="1442" t="s">
        <v>188</v>
      </c>
      <c r="D71" s="1110">
        <v>12.206</v>
      </c>
      <c r="E71" s="1110">
        <v>0.26900000000000002</v>
      </c>
      <c r="F71" s="1110">
        <v>0.26900000000000002</v>
      </c>
      <c r="G71" s="1110">
        <f>D71/'Energy &amp; Unit Conversions'!$G$84</f>
        <v>1.1569055770544349E-2</v>
      </c>
      <c r="H71" s="1110">
        <f>E71/'Energy &amp; Unit Conversions'!$G$84</f>
        <v>2.5496280536428233E-4</v>
      </c>
      <c r="I71" s="1110">
        <f>F71/'Energy &amp; Unit Conversions'!$G$84</f>
        <v>2.5496280536428233E-4</v>
      </c>
      <c r="J71" s="1110">
        <f t="shared" si="1"/>
        <v>1.1569055770544349E-2</v>
      </c>
      <c r="K71" s="2176">
        <f t="shared" si="2"/>
        <v>2.5496280536428233E-4</v>
      </c>
      <c r="L71" s="1674"/>
      <c r="M71" s="1674"/>
      <c r="N71" s="1674"/>
      <c r="O71" s="329"/>
      <c r="P71" s="329"/>
      <c r="Q71" s="329"/>
      <c r="R71" s="329"/>
      <c r="S71" s="329"/>
      <c r="T71" s="1626"/>
    </row>
    <row r="72" spans="1:21" x14ac:dyDescent="0.2">
      <c r="A72" s="14"/>
      <c r="B72" s="1147"/>
      <c r="C72" s="1442" t="s">
        <v>258</v>
      </c>
      <c r="D72" s="1110">
        <v>196.35599999999999</v>
      </c>
      <c r="E72" s="1110">
        <v>1.1000000000000001</v>
      </c>
      <c r="F72" s="1110">
        <v>1.1000000000000001</v>
      </c>
      <c r="G72" s="1110">
        <f>D72/'Energy &amp; Unit Conversions'!$G$84</f>
        <v>0.18610957847624171</v>
      </c>
      <c r="H72" s="1110">
        <f>E72/'Energy &amp; Unit Conversions'!$G$84</f>
        <v>1.042598832344649E-3</v>
      </c>
      <c r="I72" s="1110">
        <f>F72/'Energy &amp; Unit Conversions'!$G$84</f>
        <v>1.042598832344649E-3</v>
      </c>
      <c r="J72" s="1110">
        <f t="shared" si="1"/>
        <v>0.18610957847624171</v>
      </c>
      <c r="K72" s="2176">
        <f t="shared" si="2"/>
        <v>1.042598832344649E-3</v>
      </c>
      <c r="L72" s="1674"/>
      <c r="M72" s="1674"/>
      <c r="N72" s="1674"/>
      <c r="O72" s="329"/>
      <c r="P72" s="329"/>
      <c r="Q72" s="329"/>
      <c r="R72" s="329"/>
      <c r="S72" s="329"/>
      <c r="T72" s="1626"/>
    </row>
    <row r="73" spans="1:21" x14ac:dyDescent="0.2">
      <c r="A73" s="14"/>
      <c r="B73" s="1147"/>
      <c r="C73" s="1442" t="s">
        <v>189</v>
      </c>
      <c r="D73" s="1110">
        <v>8.7999999999999995E-2</v>
      </c>
      <c r="E73" s="1110">
        <v>1.1000000000000001</v>
      </c>
      <c r="F73" s="1110">
        <v>1.1000000000000001</v>
      </c>
      <c r="G73" s="1110">
        <f>D73/'Energy &amp; Unit Conversions'!$G$84</f>
        <v>8.340790658757191E-5</v>
      </c>
      <c r="H73" s="1110">
        <f>E73/'Energy &amp; Unit Conversions'!$G$84</f>
        <v>1.042598832344649E-3</v>
      </c>
      <c r="I73" s="1110">
        <f>F73/'Energy &amp; Unit Conversions'!$G$84</f>
        <v>1.042598832344649E-3</v>
      </c>
      <c r="J73" s="1110">
        <f t="shared" si="1"/>
        <v>8.340790658757191E-5</v>
      </c>
      <c r="K73" s="2176">
        <f t="shared" si="2"/>
        <v>1.042598832344649E-3</v>
      </c>
      <c r="L73" s="1674"/>
      <c r="M73" s="1674"/>
      <c r="N73" s="1674"/>
      <c r="O73" s="329"/>
      <c r="P73" s="329"/>
      <c r="Q73" s="329"/>
      <c r="R73" s="329"/>
      <c r="S73" s="329"/>
      <c r="T73" s="1626"/>
    </row>
    <row r="74" spans="1:21" x14ac:dyDescent="0.2">
      <c r="A74" s="14"/>
      <c r="B74" s="1147"/>
      <c r="C74" s="1442" t="s">
        <v>394</v>
      </c>
      <c r="D74" s="1110">
        <v>5463</v>
      </c>
      <c r="E74" s="1110">
        <f>(('Energy &amp; Unit Conversions'!$E$25/IF('Energy &amp; Unit Conversions'!$E$10=1,'Energy &amp; Unit Conversions'!$G$25,'Energy &amp; Unit Conversions'!$K$25))*'Energy &amp; Unit Conversions'!$F$25*'Energy &amp; Unit Conversions'!$E$94-(E66*$D$27+E67*$D$28+E72*$D$29))/$D$30</f>
        <v>59379.003329460342</v>
      </c>
      <c r="F74" s="1110">
        <f>(('Energy &amp; Unit Conversions'!$E$25/IF('Energy &amp; Unit Conversions'!$E$10=1,'Energy &amp; Unit Conversions'!$G$25,'Energy &amp; Unit Conversions'!$K$25))*'Energy &amp; Unit Conversions'!$F$25*'Energy &amp; Unit Conversions'!$E$94-(F66*$D$27+F67*$D$28+F72*$D$29))/$D$30</f>
        <v>59356.832567555583</v>
      </c>
      <c r="G74" s="1110">
        <f>D74/'Energy &amp; Unit Conversions'!$G$84</f>
        <v>5.1779249282716515</v>
      </c>
      <c r="H74" s="1110">
        <f>E74/'Energy &amp; Unit Conversions'!$G$84</f>
        <v>56.280435942803976</v>
      </c>
      <c r="I74" s="1110">
        <f>F74/'Energy &amp; Unit Conversions'!$G$84</f>
        <v>56.259422115100257</v>
      </c>
      <c r="J74" s="1110">
        <f t="shared" si="1"/>
        <v>5.1779249282716515</v>
      </c>
      <c r="K74" s="2176">
        <f t="shared" si="2"/>
        <v>56.280435942803976</v>
      </c>
      <c r="L74" s="1675"/>
      <c r="M74" s="1675"/>
      <c r="N74" s="1675"/>
      <c r="O74" s="329"/>
      <c r="P74" s="329"/>
      <c r="Q74" s="329"/>
      <c r="R74" s="329"/>
      <c r="S74" s="329"/>
      <c r="T74" s="1626"/>
    </row>
    <row r="75" spans="1:21" x14ac:dyDescent="0.2">
      <c r="A75" s="14"/>
      <c r="B75" s="1147"/>
      <c r="C75" s="1442" t="s">
        <v>192</v>
      </c>
      <c r="D75" s="1110">
        <v>5494</v>
      </c>
      <c r="E75" s="1110">
        <f>E74+(E66*$D$27+E67*$D$28)/$D$29</f>
        <v>59390.150215174624</v>
      </c>
      <c r="F75" s="1110">
        <f>F74+(F66*$D$27+F67*$D$28)/$D$29</f>
        <v>59376.041548507965</v>
      </c>
      <c r="G75" s="1110">
        <f>D75/'Energy &amp; Unit Conversions'!$G$84</f>
        <v>5.2073072590013645</v>
      </c>
      <c r="H75" s="1110">
        <f>E75/'Energy &amp; Unit Conversions'!$G$84</f>
        <v>56.291001151922146</v>
      </c>
      <c r="I75" s="1110">
        <f>F75/'Energy &amp; Unit Conversions'!$G$84</f>
        <v>56.277628716110698</v>
      </c>
      <c r="J75" s="1110">
        <f t="shared" si="1"/>
        <v>5.2073072590013645</v>
      </c>
      <c r="K75" s="2176">
        <f t="shared" si="2"/>
        <v>56.291001151922146</v>
      </c>
      <c r="L75" s="1675"/>
      <c r="M75" s="1675"/>
      <c r="N75" s="1675"/>
      <c r="O75" s="329"/>
      <c r="P75" s="329"/>
      <c r="Q75" s="329"/>
      <c r="R75" s="329"/>
      <c r="S75" s="329"/>
      <c r="T75" s="1626"/>
    </row>
    <row r="76" spans="1:21" x14ac:dyDescent="0.2">
      <c r="A76" s="14"/>
      <c r="B76" s="1147"/>
      <c r="C76" s="1443" t="s">
        <v>131</v>
      </c>
      <c r="D76" s="1110">
        <f t="shared" ref="D76:J76" si="3">D75+$G$9*D72+$G$10*D73</f>
        <v>11408</v>
      </c>
      <c r="E76" s="1110">
        <f t="shared" si="3"/>
        <v>59714.650215174624</v>
      </c>
      <c r="F76" s="1110">
        <f t="shared" si="3"/>
        <v>59700.541548507965</v>
      </c>
      <c r="G76" s="1110">
        <f t="shared" si="3"/>
        <v>10.812697708534321</v>
      </c>
      <c r="H76" s="1110">
        <f t="shared" si="3"/>
        <v>56.598567807463823</v>
      </c>
      <c r="I76" s="1110">
        <f t="shared" si="3"/>
        <v>56.585195371652375</v>
      </c>
      <c r="J76" s="1110">
        <f t="shared" si="3"/>
        <v>10.812697708534321</v>
      </c>
      <c r="K76" s="2176">
        <f t="shared" si="2"/>
        <v>56.598567807463823</v>
      </c>
      <c r="L76" s="1675"/>
      <c r="M76" s="1675"/>
      <c r="N76" s="1675"/>
      <c r="O76" s="2179">
        <f>SUM(J76:K76)*E85-D100</f>
        <v>0</v>
      </c>
      <c r="P76" s="329"/>
      <c r="Q76" s="329"/>
      <c r="R76" s="329"/>
      <c r="S76" s="329"/>
      <c r="T76" s="1626"/>
    </row>
    <row r="77" spans="1:21" x14ac:dyDescent="0.2">
      <c r="A77" s="14"/>
      <c r="B77" s="1147"/>
      <c r="C77" s="1102"/>
      <c r="D77" s="1148" t="s">
        <v>84</v>
      </c>
      <c r="E77" s="1102"/>
      <c r="F77" s="1102"/>
      <c r="G77" s="1102"/>
      <c r="H77" s="1102"/>
      <c r="I77" s="1102"/>
      <c r="J77" s="1102"/>
      <c r="K77" s="1102"/>
      <c r="L77" s="1102"/>
      <c r="M77" s="1102"/>
      <c r="N77" s="1102"/>
      <c r="O77" s="329"/>
      <c r="P77" s="329"/>
      <c r="Q77" s="329"/>
      <c r="R77" s="329"/>
      <c r="S77" s="329"/>
      <c r="T77" s="1626"/>
    </row>
    <row r="78" spans="1:21" x14ac:dyDescent="0.2">
      <c r="A78" s="14"/>
      <c r="B78" s="1147"/>
      <c r="C78" s="1102"/>
      <c r="D78" s="1148" t="s">
        <v>688</v>
      </c>
      <c r="E78" s="1102"/>
      <c r="F78" s="1102"/>
      <c r="G78" s="1102"/>
      <c r="H78" s="1102"/>
      <c r="I78" s="1102"/>
      <c r="J78" s="1102"/>
      <c r="K78" s="1107"/>
      <c r="L78" s="1107"/>
      <c r="M78" s="1107"/>
      <c r="N78" s="1107"/>
      <c r="O78" s="329"/>
      <c r="P78" s="329"/>
      <c r="Q78" s="329"/>
      <c r="R78" s="329"/>
      <c r="S78" s="329"/>
      <c r="T78" s="1626"/>
    </row>
    <row r="79" spans="1:21" x14ac:dyDescent="0.2">
      <c r="A79" s="14"/>
      <c r="B79" s="1147"/>
      <c r="C79" s="1102"/>
      <c r="D79" s="1148" t="s">
        <v>689</v>
      </c>
      <c r="E79" s="1102"/>
      <c r="F79" s="1102"/>
      <c r="G79" s="1102"/>
      <c r="H79" s="1102"/>
      <c r="I79" s="1102"/>
      <c r="J79" s="1102"/>
      <c r="K79" s="1107"/>
      <c r="L79" s="1107"/>
      <c r="M79" s="1107"/>
      <c r="N79" s="1107"/>
      <c r="O79" s="329"/>
      <c r="P79" s="329"/>
      <c r="Q79" s="329"/>
      <c r="R79" s="329"/>
      <c r="S79" s="329"/>
      <c r="T79" s="1626"/>
    </row>
    <row r="80" spans="1:21" x14ac:dyDescent="0.2">
      <c r="A80" s="14"/>
      <c r="B80" s="1147"/>
      <c r="C80" s="1114"/>
      <c r="D80" s="1148" t="s">
        <v>690</v>
      </c>
      <c r="E80" s="1102"/>
      <c r="F80" s="1102"/>
      <c r="G80" s="1102"/>
      <c r="H80" s="1102"/>
      <c r="I80" s="1102"/>
      <c r="J80" s="1107"/>
      <c r="K80" s="1102"/>
      <c r="L80" s="1102"/>
      <c r="M80" s="1102"/>
      <c r="N80" s="1102"/>
      <c r="O80" s="329"/>
      <c r="P80" s="329"/>
      <c r="Q80" s="329"/>
      <c r="R80" s="329"/>
      <c r="S80" s="329"/>
      <c r="T80" s="1626"/>
    </row>
    <row r="81" spans="1:20" x14ac:dyDescent="0.2">
      <c r="A81" s="14"/>
      <c r="B81" s="1147"/>
      <c r="C81" s="1102"/>
      <c r="D81" s="1102"/>
      <c r="E81" s="1102"/>
      <c r="F81" s="1102"/>
      <c r="G81" s="1102"/>
      <c r="H81" s="1121"/>
      <c r="I81" s="1102"/>
      <c r="J81" s="1102"/>
      <c r="K81" s="1102"/>
      <c r="L81" s="1102"/>
      <c r="M81" s="1102"/>
      <c r="N81" s="1102"/>
      <c r="O81" s="329"/>
      <c r="P81" s="329"/>
      <c r="Q81" s="329"/>
      <c r="R81" s="329"/>
      <c r="S81" s="329"/>
      <c r="T81" s="1626"/>
    </row>
    <row r="82" spans="1:20" ht="15.75" x14ac:dyDescent="0.25">
      <c r="A82" s="14"/>
      <c r="B82" s="1685"/>
      <c r="C82" s="1178" t="s">
        <v>1096</v>
      </c>
      <c r="D82" s="1178"/>
      <c r="E82" s="1476"/>
      <c r="F82" s="1102"/>
      <c r="G82" s="1102"/>
      <c r="H82" s="1102"/>
      <c r="I82" s="1102"/>
      <c r="J82" s="1102"/>
      <c r="K82" s="1102"/>
      <c r="L82" s="1102"/>
      <c r="M82" s="1102"/>
      <c r="N82" s="1102"/>
      <c r="O82" s="329"/>
      <c r="P82" s="329"/>
      <c r="Q82" s="329"/>
      <c r="R82" s="329"/>
      <c r="S82" s="329"/>
      <c r="T82" s="1626"/>
    </row>
    <row r="83" spans="1:20" x14ac:dyDescent="0.2">
      <c r="A83" s="14"/>
      <c r="B83" s="1147"/>
      <c r="C83" s="1115"/>
      <c r="D83" s="1102"/>
      <c r="E83" s="1102"/>
      <c r="F83" s="1102"/>
      <c r="G83" s="1102"/>
      <c r="H83" s="1102"/>
      <c r="I83" s="1102"/>
      <c r="J83" s="1102"/>
      <c r="K83" s="1102"/>
      <c r="L83" s="1102"/>
      <c r="M83" s="1102"/>
      <c r="N83" s="1102"/>
      <c r="O83" s="329"/>
      <c r="P83" s="329"/>
      <c r="Q83" s="329"/>
      <c r="R83" s="329"/>
      <c r="S83" s="329"/>
      <c r="T83" s="1626"/>
    </row>
    <row r="84" spans="1:20" x14ac:dyDescent="0.2">
      <c r="A84" s="14"/>
      <c r="B84" s="1147"/>
      <c r="C84" s="1102"/>
      <c r="D84" s="1102"/>
      <c r="E84" s="2532" t="s">
        <v>118</v>
      </c>
      <c r="F84" s="2533"/>
      <c r="G84" s="1102"/>
      <c r="H84" s="1102"/>
      <c r="I84" s="2532" t="s">
        <v>21</v>
      </c>
      <c r="J84" s="2533"/>
      <c r="K84" s="1102"/>
      <c r="L84" s="1102"/>
      <c r="M84" s="1102"/>
      <c r="N84" s="1102"/>
      <c r="O84" s="329"/>
      <c r="P84" s="329"/>
      <c r="Q84" s="329"/>
      <c r="R84" s="329"/>
      <c r="S84" s="329"/>
      <c r="T84" s="1626"/>
    </row>
    <row r="85" spans="1:20" x14ac:dyDescent="0.2">
      <c r="A85" s="14"/>
      <c r="B85" s="1147"/>
      <c r="C85" s="1102"/>
      <c r="D85" s="1444" t="str">
        <f>CokingRefineryCalcs!C1039</f>
        <v>Gas requirement (metric)</v>
      </c>
      <c r="E85" s="1449">
        <f>CokingRefineryCalcs!D1039</f>
        <v>1.0756416904329789</v>
      </c>
      <c r="F85" s="1445" t="str">
        <f>CokingRefineryCalcs!E1039</f>
        <v>MJ gas/MJ steam</v>
      </c>
      <c r="G85" s="1102"/>
      <c r="H85" s="1444" t="str">
        <f>D85</f>
        <v>Gas requirement (metric)</v>
      </c>
      <c r="I85" s="1449">
        <f>HydroRefineryCalcs!D1100</f>
        <v>1.0756416904329789</v>
      </c>
      <c r="J85" s="1445" t="str">
        <f>HydroRefineryCalcs!E1100</f>
        <v>MJ gas/MJ steam</v>
      </c>
      <c r="K85" s="1102"/>
      <c r="L85" s="1102"/>
      <c r="M85" s="1102"/>
      <c r="N85" s="1102"/>
      <c r="O85" s="329"/>
      <c r="P85" s="329"/>
      <c r="Q85" s="329"/>
      <c r="R85" s="329"/>
      <c r="S85" s="329"/>
      <c r="T85" s="1626"/>
    </row>
    <row r="86" spans="1:20" x14ac:dyDescent="0.2">
      <c r="A86" s="14"/>
      <c r="B86" s="1147"/>
      <c r="C86" s="1102"/>
      <c r="D86" s="1469" t="str">
        <f>CokingRefineryCalcs!C1042</f>
        <v>Specific Power consumption</v>
      </c>
      <c r="E86" s="1498">
        <f>CokingRefineryCalcs!D1042</f>
        <v>5.3610521899806396E-3</v>
      </c>
      <c r="F86" s="1497" t="str">
        <f>CokingRefineryCalcs!E1042</f>
        <v>MJ Power/ MJ steam</v>
      </c>
      <c r="G86" s="1102"/>
      <c r="H86" s="1469" t="str">
        <f>D86</f>
        <v>Specific Power consumption</v>
      </c>
      <c r="I86" s="1498">
        <f>HydroRefineryCalcs!D1103</f>
        <v>5.3610521899806396E-3</v>
      </c>
      <c r="J86" s="1497" t="str">
        <f>HydroRefineryCalcs!E1103</f>
        <v>MJ Power/ MJ steam</v>
      </c>
      <c r="K86" s="1102"/>
      <c r="L86" s="1102"/>
      <c r="M86" s="1102"/>
      <c r="N86" s="1102"/>
      <c r="O86" s="329"/>
      <c r="P86" s="329"/>
      <c r="Q86" s="329"/>
      <c r="R86" s="329"/>
      <c r="S86" s="329"/>
      <c r="T86" s="1626"/>
    </row>
    <row r="87" spans="1:20" x14ac:dyDescent="0.2">
      <c r="A87" s="14"/>
      <c r="B87" s="1147"/>
      <c r="C87" s="1123"/>
      <c r="D87" s="1124"/>
      <c r="E87" s="1123"/>
      <c r="F87" s="1102"/>
      <c r="G87" s="1102"/>
      <c r="H87" s="1102"/>
      <c r="I87" s="1102"/>
      <c r="J87" s="1102"/>
      <c r="K87" s="1102"/>
      <c r="L87" s="1102"/>
      <c r="M87" s="1102"/>
      <c r="N87" s="1102"/>
      <c r="O87" s="329"/>
      <c r="P87" s="329"/>
      <c r="Q87" s="329"/>
      <c r="R87" s="329"/>
      <c r="S87" s="329"/>
      <c r="T87" s="1626"/>
    </row>
    <row r="88" spans="1:20" x14ac:dyDescent="0.2">
      <c r="A88" s="14"/>
      <c r="B88" s="1147"/>
      <c r="C88" s="1102"/>
      <c r="D88" s="1496" t="s">
        <v>127</v>
      </c>
      <c r="E88" s="1496" t="s">
        <v>128</v>
      </c>
      <c r="F88" s="1496" t="s">
        <v>20</v>
      </c>
      <c r="G88" s="1102"/>
      <c r="H88" s="1496" t="s">
        <v>127</v>
      </c>
      <c r="I88" s="1496" t="s">
        <v>128</v>
      </c>
      <c r="J88" s="1496" t="s">
        <v>22</v>
      </c>
      <c r="K88" s="1102"/>
      <c r="L88" s="1102"/>
      <c r="M88" s="1102"/>
      <c r="N88" s="1102"/>
      <c r="O88" s="329"/>
      <c r="P88" s="329"/>
      <c r="Q88" s="329"/>
      <c r="R88" s="329"/>
      <c r="S88" s="329"/>
      <c r="T88" s="1626"/>
    </row>
    <row r="89" spans="1:20" x14ac:dyDescent="0.2">
      <c r="A89" s="14"/>
      <c r="B89" s="1147"/>
      <c r="C89" s="1102"/>
      <c r="D89" s="1125" t="s">
        <v>126</v>
      </c>
      <c r="E89" s="1125" t="s">
        <v>126</v>
      </c>
      <c r="F89" s="1125" t="s">
        <v>126</v>
      </c>
      <c r="G89" s="1102"/>
      <c r="H89" s="1125" t="s">
        <v>126</v>
      </c>
      <c r="I89" s="1125" t="s">
        <v>126</v>
      </c>
      <c r="J89" s="1125" t="s">
        <v>126</v>
      </c>
      <c r="K89" s="1102"/>
      <c r="L89" s="1102"/>
      <c r="M89" s="1102"/>
      <c r="N89" s="1102"/>
      <c r="O89" s="329"/>
      <c r="P89" s="329"/>
      <c r="Q89" s="329"/>
      <c r="R89" s="329"/>
      <c r="S89" s="329"/>
      <c r="T89" s="1626"/>
    </row>
    <row r="90" spans="1:20" x14ac:dyDescent="0.2">
      <c r="A90" s="14"/>
      <c r="B90" s="1147"/>
      <c r="C90" s="1454" t="s">
        <v>183</v>
      </c>
      <c r="D90" s="1126">
        <f t="shared" ref="D90:D99" si="4">(J66+K66)*$E$85</f>
        <v>7.5413273755834502E-3</v>
      </c>
      <c r="E90" s="1126">
        <f t="shared" ref="E90:E100" si="5">G43*$E$86</f>
        <v>2.6672158763352008E-5</v>
      </c>
      <c r="F90" s="1126">
        <f>D90+E90</f>
        <v>7.5679995343468018E-3</v>
      </c>
      <c r="G90" s="1102"/>
      <c r="H90" s="1126">
        <f t="shared" ref="H90:H99" si="6">(J66+K66)*$I$85</f>
        <v>7.5413273755834502E-3</v>
      </c>
      <c r="I90" s="1126">
        <f t="shared" ref="I90:I100" si="7">G43*$I$86</f>
        <v>2.6672158763352008E-5</v>
      </c>
      <c r="J90" s="1126">
        <f>H90+I90</f>
        <v>7.5679995343468018E-3</v>
      </c>
      <c r="K90" s="1102"/>
      <c r="L90" s="1102"/>
      <c r="M90" s="1102"/>
      <c r="N90" s="1102"/>
      <c r="O90" s="2179"/>
      <c r="P90" s="329"/>
      <c r="Q90" s="329"/>
      <c r="R90" s="329"/>
      <c r="S90" s="329"/>
      <c r="T90" s="1626"/>
    </row>
    <row r="91" spans="1:20" x14ac:dyDescent="0.2">
      <c r="A91" s="14"/>
      <c r="B91" s="1147"/>
      <c r="C91" s="1442" t="s">
        <v>184</v>
      </c>
      <c r="D91" s="1127">
        <f t="shared" si="4"/>
        <v>2.492909787586407E-2</v>
      </c>
      <c r="E91" s="1127">
        <f t="shared" si="5"/>
        <v>3.0633293122874123E-4</v>
      </c>
      <c r="F91" s="1127">
        <f t="shared" ref="F91:F99" si="8">D91+E91</f>
        <v>2.5235430807092812E-2</v>
      </c>
      <c r="G91" s="1102"/>
      <c r="H91" s="1127">
        <f t="shared" si="6"/>
        <v>2.492909787586407E-2</v>
      </c>
      <c r="I91" s="1127">
        <f t="shared" si="7"/>
        <v>3.0633293122874123E-4</v>
      </c>
      <c r="J91" s="1127">
        <f t="shared" ref="J91:J98" si="9">H91+I91</f>
        <v>2.5235430807092812E-2</v>
      </c>
      <c r="K91" s="1102"/>
      <c r="L91" s="1102"/>
      <c r="M91" s="1102"/>
      <c r="N91" s="1102"/>
      <c r="O91" s="2179"/>
      <c r="P91" s="329"/>
      <c r="Q91" s="329"/>
      <c r="R91" s="329"/>
      <c r="S91" s="329"/>
      <c r="T91" s="1626"/>
    </row>
    <row r="92" spans="1:20" x14ac:dyDescent="0.2">
      <c r="A92" s="14"/>
      <c r="B92" s="1147"/>
      <c r="C92" s="1442" t="s">
        <v>185</v>
      </c>
      <c r="D92" s="1127">
        <f t="shared" si="4"/>
        <v>8.2220552772567054E-2</v>
      </c>
      <c r="E92" s="1127">
        <f t="shared" si="5"/>
        <v>9.3501828359180165E-4</v>
      </c>
      <c r="F92" s="1127">
        <f t="shared" si="8"/>
        <v>8.3155571056158853E-2</v>
      </c>
      <c r="G92" s="1102"/>
      <c r="H92" s="1127">
        <f t="shared" si="6"/>
        <v>8.2220552772567054E-2</v>
      </c>
      <c r="I92" s="1127">
        <f t="shared" si="7"/>
        <v>9.3501828359180165E-4</v>
      </c>
      <c r="J92" s="1127">
        <f t="shared" si="9"/>
        <v>8.3155571056158853E-2</v>
      </c>
      <c r="K92" s="1102"/>
      <c r="L92" s="1102"/>
      <c r="M92" s="1102"/>
      <c r="N92" s="1102"/>
      <c r="O92" s="2179"/>
      <c r="P92" s="2180"/>
      <c r="Q92" s="329"/>
      <c r="R92" s="329"/>
      <c r="S92" s="329"/>
      <c r="T92" s="1626"/>
    </row>
    <row r="93" spans="1:20" x14ac:dyDescent="0.2">
      <c r="A93" s="14"/>
      <c r="B93" s="1147"/>
      <c r="C93" s="1442" t="s">
        <v>186</v>
      </c>
      <c r="D93" s="1128">
        <f t="shared" si="4"/>
        <v>4.5827046847705302E-3</v>
      </c>
      <c r="E93" s="1128">
        <f t="shared" si="5"/>
        <v>3.7968928468630192E-5</v>
      </c>
      <c r="F93" s="1128">
        <f t="shared" si="8"/>
        <v>4.6206736132391605E-3</v>
      </c>
      <c r="G93" s="1102"/>
      <c r="H93" s="1128">
        <f t="shared" si="6"/>
        <v>4.5827046847705302E-3</v>
      </c>
      <c r="I93" s="1128">
        <f t="shared" si="7"/>
        <v>3.7968928468630192E-5</v>
      </c>
      <c r="J93" s="1128">
        <f t="shared" si="9"/>
        <v>4.6206736132391605E-3</v>
      </c>
      <c r="K93" s="1102"/>
      <c r="L93" s="1102"/>
      <c r="M93" s="1102"/>
      <c r="N93" s="1102"/>
      <c r="O93" s="2179"/>
      <c r="P93" s="2180"/>
      <c r="Q93" s="329"/>
      <c r="R93" s="329"/>
      <c r="S93" s="329"/>
      <c r="T93" s="1626"/>
    </row>
    <row r="94" spans="1:20" x14ac:dyDescent="0.2">
      <c r="A94" s="14"/>
      <c r="B94" s="1147"/>
      <c r="C94" s="1442" t="s">
        <v>187</v>
      </c>
      <c r="D94" s="1128">
        <f t="shared" si="4"/>
        <v>3.9067684876619964E-3</v>
      </c>
      <c r="E94" s="1128">
        <f t="shared" si="5"/>
        <v>3.7968928468630192E-5</v>
      </c>
      <c r="F94" s="1128">
        <f t="shared" si="8"/>
        <v>3.9447374161306267E-3</v>
      </c>
      <c r="G94" s="1102"/>
      <c r="H94" s="1128">
        <f t="shared" si="6"/>
        <v>3.9067684876619964E-3</v>
      </c>
      <c r="I94" s="1128">
        <f t="shared" si="7"/>
        <v>3.7968928468630192E-5</v>
      </c>
      <c r="J94" s="1128">
        <f t="shared" si="9"/>
        <v>3.9447374161306267E-3</v>
      </c>
      <c r="K94" s="1102"/>
      <c r="L94" s="1102"/>
      <c r="M94" s="1102"/>
      <c r="N94" s="1102"/>
      <c r="O94" s="2179"/>
      <c r="P94" s="2180"/>
      <c r="Q94" s="329"/>
      <c r="R94" s="329"/>
      <c r="S94" s="329"/>
      <c r="T94" s="1626"/>
    </row>
    <row r="95" spans="1:20" ht="11.25" customHeight="1" x14ac:dyDescent="0.2">
      <c r="A95" s="14"/>
      <c r="B95" s="1147"/>
      <c r="C95" s="1442" t="s">
        <v>188</v>
      </c>
      <c r="D95" s="1127">
        <f t="shared" si="4"/>
        <v>1.2718407328701305E-2</v>
      </c>
      <c r="E95" s="1127">
        <f t="shared" si="5"/>
        <v>3.6972165707361882E-6</v>
      </c>
      <c r="F95" s="1127">
        <f t="shared" si="8"/>
        <v>1.2722104545272041E-2</v>
      </c>
      <c r="G95" s="1102"/>
      <c r="H95" s="1127">
        <f t="shared" si="6"/>
        <v>1.2718407328701305E-2</v>
      </c>
      <c r="I95" s="1127">
        <f t="shared" si="7"/>
        <v>3.6972165707361882E-6</v>
      </c>
      <c r="J95" s="1127">
        <f t="shared" si="9"/>
        <v>1.2722104545272041E-2</v>
      </c>
      <c r="K95" s="1102"/>
      <c r="L95" s="1102"/>
      <c r="M95" s="1102"/>
      <c r="N95" s="1102"/>
      <c r="O95" s="2179"/>
      <c r="P95" s="2180"/>
      <c r="Q95" s="329"/>
      <c r="R95" s="329"/>
      <c r="S95" s="329"/>
      <c r="T95" s="1626"/>
    </row>
    <row r="96" spans="1:20" x14ac:dyDescent="0.2">
      <c r="A96" s="14"/>
      <c r="B96" s="1147"/>
      <c r="C96" s="1442" t="s">
        <v>258</v>
      </c>
      <c r="D96" s="1110">
        <f t="shared" si="4"/>
        <v>0.20130868436842042</v>
      </c>
      <c r="E96" s="1110">
        <f t="shared" si="5"/>
        <v>4.8614873711922722E-5</v>
      </c>
      <c r="F96" s="1110">
        <f t="shared" si="8"/>
        <v>0.20135729924213233</v>
      </c>
      <c r="G96" s="1102"/>
      <c r="H96" s="1110">
        <f t="shared" si="6"/>
        <v>0.20130868436842042</v>
      </c>
      <c r="I96" s="1110">
        <f t="shared" si="7"/>
        <v>4.8614873711922722E-5</v>
      </c>
      <c r="J96" s="1110">
        <f t="shared" si="9"/>
        <v>0.20135729924213233</v>
      </c>
      <c r="K96" s="1102"/>
      <c r="L96" s="1102"/>
      <c r="M96" s="1102"/>
      <c r="N96" s="1102"/>
      <c r="O96" s="2179"/>
      <c r="P96" s="2180"/>
      <c r="Q96" s="329"/>
      <c r="R96" s="329"/>
      <c r="S96" s="329"/>
      <c r="T96" s="1626"/>
    </row>
    <row r="97" spans="1:20" x14ac:dyDescent="0.2">
      <c r="A97" s="14"/>
      <c r="B97" s="1147"/>
      <c r="C97" s="1442" t="s">
        <v>189</v>
      </c>
      <c r="D97" s="1128">
        <f t="shared" si="4"/>
        <v>1.21117979210398E-3</v>
      </c>
      <c r="E97" s="1128">
        <f t="shared" si="5"/>
        <v>1.9380105521448358E-5</v>
      </c>
      <c r="F97" s="1128">
        <f t="shared" si="8"/>
        <v>1.2305598976254284E-3</v>
      </c>
      <c r="G97" s="1102"/>
      <c r="H97" s="1128">
        <f t="shared" si="6"/>
        <v>1.21117979210398E-3</v>
      </c>
      <c r="I97" s="1128">
        <f t="shared" si="7"/>
        <v>1.9380105521448358E-5</v>
      </c>
      <c r="J97" s="1128">
        <f t="shared" si="9"/>
        <v>1.2305598976254284E-3</v>
      </c>
      <c r="K97" s="1102"/>
      <c r="L97" s="1102"/>
      <c r="M97" s="1102"/>
      <c r="N97" s="1102"/>
      <c r="O97" s="2179"/>
      <c r="P97" s="2180"/>
      <c r="Q97" s="329"/>
      <c r="R97" s="329"/>
      <c r="S97" s="329"/>
      <c r="T97" s="1626"/>
    </row>
    <row r="98" spans="1:20" x14ac:dyDescent="0.2">
      <c r="A98" s="14"/>
      <c r="B98" s="1147"/>
      <c r="C98" s="1442" t="s">
        <v>394</v>
      </c>
      <c r="D98" s="1129">
        <f t="shared" si="4"/>
        <v>66.107175178603825</v>
      </c>
      <c r="E98" s="1129">
        <f t="shared" si="5"/>
        <v>0.81720826636372768</v>
      </c>
      <c r="F98" s="1129">
        <f t="shared" si="8"/>
        <v>66.924383444967546</v>
      </c>
      <c r="G98" s="1102"/>
      <c r="H98" s="1129">
        <f t="shared" si="6"/>
        <v>66.107175178603825</v>
      </c>
      <c r="I98" s="1129">
        <f t="shared" si="7"/>
        <v>0.81720826636372768</v>
      </c>
      <c r="J98" s="1129">
        <f t="shared" si="9"/>
        <v>66.924383444967546</v>
      </c>
      <c r="K98" s="1102"/>
      <c r="L98" s="1102"/>
      <c r="M98" s="1102"/>
      <c r="N98" s="1102"/>
      <c r="O98" s="2179"/>
      <c r="P98" s="2180"/>
      <c r="Q98" s="329"/>
      <c r="R98" s="329"/>
      <c r="S98" s="329"/>
      <c r="T98" s="1626"/>
    </row>
    <row r="99" spans="1:20" x14ac:dyDescent="0.2">
      <c r="A99" s="14"/>
      <c r="B99" s="1147"/>
      <c r="C99" s="1442" t="s">
        <v>192</v>
      </c>
      <c r="D99" s="1129">
        <f t="shared" si="4"/>
        <v>66.150144417894452</v>
      </c>
      <c r="E99" s="1129">
        <f t="shared" si="5"/>
        <v>0.81777277491237577</v>
      </c>
      <c r="F99" s="1129">
        <f t="shared" si="8"/>
        <v>66.967917192806823</v>
      </c>
      <c r="G99" s="1102"/>
      <c r="H99" s="1129">
        <f t="shared" si="6"/>
        <v>66.150144417894452</v>
      </c>
      <c r="I99" s="1129">
        <f t="shared" si="7"/>
        <v>0.81777277491237577</v>
      </c>
      <c r="J99" s="1129">
        <f>H99+I99</f>
        <v>66.967917192806823</v>
      </c>
      <c r="K99" s="1102"/>
      <c r="L99" s="1102"/>
      <c r="M99" s="1102"/>
      <c r="N99" s="1102"/>
      <c r="O99" s="2179"/>
      <c r="P99" s="2180"/>
      <c r="Q99" s="329"/>
      <c r="R99" s="329"/>
      <c r="S99" s="329"/>
      <c r="T99" s="1626"/>
    </row>
    <row r="100" spans="1:20" x14ac:dyDescent="0.2">
      <c r="A100" s="14"/>
      <c r="B100" s="1147"/>
      <c r="C100" s="1443" t="s">
        <v>131</v>
      </c>
      <c r="D100" s="1129">
        <f>(J76+K76)*$E$85</f>
        <v>72.51036759385461</v>
      </c>
      <c r="E100" s="1129">
        <f t="shared" si="5"/>
        <v>0.82436694908691721</v>
      </c>
      <c r="F100" s="1130">
        <f>D100+E100</f>
        <v>73.334734542941533</v>
      </c>
      <c r="G100" s="1102"/>
      <c r="H100" s="1130">
        <f>(J76+K76)*$I$85</f>
        <v>72.51036759385461</v>
      </c>
      <c r="I100" s="1129">
        <f t="shared" si="7"/>
        <v>0.82436694908691721</v>
      </c>
      <c r="J100" s="1130">
        <f>H100+I100</f>
        <v>73.334734542941533</v>
      </c>
      <c r="K100" s="1102"/>
      <c r="L100" s="1102"/>
      <c r="M100" s="1102"/>
      <c r="N100" s="1102"/>
      <c r="O100" s="2181">
        <f>SUM(J76:K76)*E85-D100</f>
        <v>0</v>
      </c>
      <c r="P100" s="2180"/>
      <c r="Q100" s="329"/>
      <c r="R100" s="329"/>
      <c r="S100" s="329"/>
      <c r="T100" s="1626"/>
    </row>
    <row r="101" spans="1:20" x14ac:dyDescent="0.2">
      <c r="A101" s="14"/>
      <c r="B101" s="1147"/>
      <c r="C101" s="1102"/>
      <c r="D101" s="1102"/>
      <c r="E101" s="1102"/>
      <c r="F101" s="1102"/>
      <c r="G101" s="1102"/>
      <c r="H101" s="1102"/>
      <c r="I101" s="1102"/>
      <c r="J101" s="1102"/>
      <c r="K101" s="1102"/>
      <c r="L101" s="1102"/>
      <c r="M101" s="1102"/>
      <c r="N101" s="1102"/>
      <c r="O101" s="329"/>
      <c r="P101" s="329"/>
      <c r="Q101" s="329"/>
      <c r="R101" s="329"/>
      <c r="S101" s="329"/>
      <c r="T101" s="1626"/>
    </row>
    <row r="102" spans="1:20" ht="15.75" x14ac:dyDescent="0.25">
      <c r="A102" s="14"/>
      <c r="B102" s="1685"/>
      <c r="C102" s="1178" t="s">
        <v>1097</v>
      </c>
      <c r="D102" s="1178"/>
      <c r="E102" s="1178"/>
      <c r="F102" s="1476"/>
      <c r="G102" s="1102"/>
      <c r="H102" s="1102"/>
      <c r="I102" s="1102"/>
      <c r="J102" s="1102"/>
      <c r="K102" s="1102"/>
      <c r="L102" s="1102"/>
      <c r="M102" s="1102"/>
      <c r="N102" s="1102"/>
      <c r="O102" s="329"/>
      <c r="P102" s="329"/>
      <c r="Q102" s="329"/>
      <c r="R102" s="329"/>
      <c r="S102" s="329"/>
      <c r="T102" s="1626"/>
    </row>
    <row r="103" spans="1:20" x14ac:dyDescent="0.2">
      <c r="A103" s="14"/>
      <c r="B103" s="1147"/>
      <c r="C103" s="1102"/>
      <c r="D103" s="1102"/>
      <c r="E103" s="1102"/>
      <c r="F103" s="1102"/>
      <c r="G103" s="1102"/>
      <c r="H103" s="1102"/>
      <c r="I103" s="1102"/>
      <c r="J103" s="1102"/>
      <c r="K103" s="1102"/>
      <c r="L103" s="1102"/>
      <c r="M103" s="1102"/>
      <c r="N103" s="1102"/>
      <c r="O103" s="329"/>
      <c r="P103" s="329"/>
      <c r="Q103" s="329"/>
      <c r="R103" s="329"/>
      <c r="S103" s="329"/>
      <c r="T103" s="1626"/>
    </row>
    <row r="104" spans="1:20" x14ac:dyDescent="0.2">
      <c r="A104" s="14"/>
      <c r="B104" s="1147"/>
      <c r="C104" s="1102"/>
      <c r="D104" s="2532" t="s">
        <v>118</v>
      </c>
      <c r="E104" s="2533"/>
      <c r="F104" s="2532" t="s">
        <v>1720</v>
      </c>
      <c r="G104" s="2533"/>
      <c r="H104" s="1102"/>
      <c r="I104" s="1102"/>
      <c r="J104" s="1102"/>
      <c r="K104" s="1102"/>
      <c r="L104" s="1102"/>
      <c r="M104" s="1102"/>
      <c r="N104" s="1102"/>
      <c r="O104" s="329"/>
      <c r="P104" s="329"/>
      <c r="Q104" s="329"/>
      <c r="R104" s="329"/>
      <c r="S104" s="329"/>
      <c r="T104" s="1626"/>
    </row>
    <row r="105" spans="1:20" x14ac:dyDescent="0.2">
      <c r="A105" s="14"/>
      <c r="B105" s="1147"/>
      <c r="C105" s="1444" t="str">
        <f>CokingRefineryCalcs!C1084</f>
        <v xml:space="preserve">NG Feedstock </v>
      </c>
      <c r="D105" s="1449">
        <f>CokingRefineryCalcs!D1084</f>
        <v>0.77381396745302222</v>
      </c>
      <c r="E105" s="1450" t="str">
        <f>CokingRefineryCalcs!E1084</f>
        <v>MJ Gas/ MJ H2</v>
      </c>
      <c r="F105" s="1449">
        <f>HydroRefineryCalcs!D1149</f>
        <v>0.77381396745302222</v>
      </c>
      <c r="G105" s="1445" t="str">
        <f>HydroRefineryCalcs!E1149</f>
        <v>MJ Gas/ MJ H2</v>
      </c>
      <c r="H105" s="1102"/>
      <c r="I105" s="1102"/>
      <c r="J105" s="1102"/>
      <c r="K105" s="1102"/>
      <c r="L105" s="1102"/>
      <c r="M105" s="1102"/>
      <c r="N105" s="1102"/>
      <c r="O105" s="329"/>
      <c r="P105" s="329"/>
      <c r="Q105" s="329"/>
      <c r="R105" s="329"/>
      <c r="S105" s="329"/>
      <c r="T105" s="1626"/>
    </row>
    <row r="106" spans="1:20" x14ac:dyDescent="0.2">
      <c r="A106" s="14"/>
      <c r="B106" s="1147"/>
      <c r="C106" s="1446" t="str">
        <f>CokingRefineryCalcs!C1085</f>
        <v>NG for heating</v>
      </c>
      <c r="D106" s="1451">
        <f>CokingRefineryCalcs!D1085</f>
        <v>0.87349375148964958</v>
      </c>
      <c r="E106" s="1448" t="str">
        <f>CokingRefineryCalcs!E1085</f>
        <v>MJ Gas/ MJ H2</v>
      </c>
      <c r="F106" s="1451">
        <f>HydroRefineryCalcs!D1150</f>
        <v>0.87349375148964958</v>
      </c>
      <c r="G106" s="1447" t="str">
        <f>HydroRefineryCalcs!E1150</f>
        <v>MJ Gas/ MJ H2</v>
      </c>
      <c r="H106" s="1102"/>
      <c r="I106" s="1102"/>
      <c r="J106" s="1102"/>
      <c r="K106" s="1102"/>
      <c r="L106" s="1102"/>
      <c r="M106" s="1102"/>
      <c r="N106" s="1102"/>
      <c r="O106" s="329"/>
      <c r="P106" s="329"/>
      <c r="Q106" s="329"/>
      <c r="R106" s="329"/>
      <c r="S106" s="329"/>
      <c r="T106" s="1626"/>
    </row>
    <row r="107" spans="1:20" x14ac:dyDescent="0.2">
      <c r="A107" s="14"/>
      <c r="B107" s="1147"/>
      <c r="C107" s="1446" t="str">
        <f>CokingRefineryCalcs!C1086</f>
        <v>Steam</v>
      </c>
      <c r="D107" s="1451">
        <f>CokingRefineryCalcs!D1086</f>
        <v>0</v>
      </c>
      <c r="E107" s="1448" t="str">
        <f>CokingRefineryCalcs!E1086</f>
        <v>MJ Steam/ MJ H2</v>
      </c>
      <c r="F107" s="1451">
        <f>HydroRefineryCalcs!D1151</f>
        <v>0</v>
      </c>
      <c r="G107" s="1447" t="str">
        <f>HydroRefineryCalcs!E1151</f>
        <v>MJ Steam/ MJ H2</v>
      </c>
      <c r="H107" s="1102"/>
      <c r="I107" s="1102"/>
      <c r="J107" s="1102"/>
      <c r="K107" s="1102"/>
      <c r="L107" s="1102"/>
      <c r="M107" s="1102"/>
      <c r="N107" s="1102"/>
      <c r="O107" s="329"/>
      <c r="P107" s="329"/>
      <c r="Q107" s="329"/>
      <c r="R107" s="329"/>
      <c r="S107" s="329"/>
      <c r="T107" s="1626"/>
    </row>
    <row r="108" spans="1:20" x14ac:dyDescent="0.2">
      <c r="A108" s="14"/>
      <c r="B108" s="1147"/>
      <c r="C108" s="1446" t="str">
        <f>CokingRefineryCalcs!C1089</f>
        <v>Power</v>
      </c>
      <c r="D108" s="1451">
        <f>CokingRefineryCalcs!D1089</f>
        <v>9.8829578739971814E-3</v>
      </c>
      <c r="E108" s="1448" t="str">
        <f>CokingRefineryCalcs!E1089</f>
        <v>MJ Power/ MJ H2</v>
      </c>
      <c r="F108" s="1451">
        <f>HydroRefineryCalcs!D1154</f>
        <v>9.8829578739971814E-3</v>
      </c>
      <c r="G108" s="1447" t="str">
        <f>HydroRefineryCalcs!E1154</f>
        <v>MJ Power/ MJ H2</v>
      </c>
      <c r="H108" s="1102"/>
      <c r="I108" s="1102"/>
      <c r="J108" s="1102"/>
      <c r="K108" s="1107"/>
      <c r="L108" s="1107"/>
      <c r="M108" s="1107"/>
      <c r="N108" s="1107"/>
      <c r="O108" s="329"/>
      <c r="P108" s="329"/>
      <c r="Q108" s="329"/>
      <c r="R108" s="329"/>
      <c r="S108" s="329"/>
      <c r="T108" s="1626"/>
    </row>
    <row r="109" spans="1:20" ht="13.5" x14ac:dyDescent="0.25">
      <c r="A109" s="14"/>
      <c r="B109" s="1147"/>
      <c r="C109" s="1446" t="s">
        <v>920</v>
      </c>
      <c r="D109" s="1452">
        <f>IF(Constants!H318=0,D105*G115,(Constants!H318/'Energy &amp; Unit Conversions'!G82/'Energy &amp; Unit Conversions'!P26))</f>
        <v>43.575288707676798</v>
      </c>
      <c r="E109" s="1448" t="s">
        <v>1687</v>
      </c>
      <c r="F109" s="1452">
        <f>D109</f>
        <v>43.575288707676798</v>
      </c>
      <c r="G109" s="1448" t="s">
        <v>1687</v>
      </c>
      <c r="H109" s="1102"/>
      <c r="I109" s="1102"/>
      <c r="J109" s="1102"/>
      <c r="K109" s="1676"/>
      <c r="L109" s="1676"/>
      <c r="M109" s="1676"/>
      <c r="N109" s="1676"/>
      <c r="O109" s="329"/>
      <c r="P109" s="329"/>
      <c r="Q109" s="329"/>
      <c r="R109" s="329"/>
      <c r="S109" s="329"/>
      <c r="T109" s="1626"/>
    </row>
    <row r="110" spans="1:20" x14ac:dyDescent="0.2">
      <c r="A110" s="14"/>
      <c r="B110" s="1147"/>
      <c r="C110" s="1105" t="s">
        <v>755</v>
      </c>
      <c r="D110" s="1453">
        <f>1/(D105+D106+D107+D108)</f>
        <v>0.60343086283886183</v>
      </c>
      <c r="E110" s="1348"/>
      <c r="F110" s="1453">
        <f>1/(F105+F106+F107+F108)</f>
        <v>0.60343086283886183</v>
      </c>
      <c r="G110" s="1348"/>
      <c r="H110" s="1102"/>
      <c r="I110" s="1102"/>
      <c r="J110" s="1102"/>
      <c r="K110" s="1102"/>
      <c r="L110" s="1102"/>
      <c r="M110" s="1102"/>
      <c r="N110" s="1102"/>
      <c r="O110" s="329"/>
      <c r="P110" s="329"/>
      <c r="Q110" s="329"/>
      <c r="R110" s="329"/>
      <c r="S110" s="329"/>
      <c r="T110" s="1626"/>
    </row>
    <row r="111" spans="1:20" x14ac:dyDescent="0.2">
      <c r="A111" s="14"/>
      <c r="B111" s="1147"/>
      <c r="C111" s="1102"/>
      <c r="D111" s="1132"/>
      <c r="E111" s="1102"/>
      <c r="F111" s="1102"/>
      <c r="G111" s="1102"/>
      <c r="H111" s="1102"/>
      <c r="I111" s="1102"/>
      <c r="J111" s="1102"/>
      <c r="K111" s="1102"/>
      <c r="L111" s="1102"/>
      <c r="M111" s="1102"/>
      <c r="N111" s="1102"/>
      <c r="O111" s="329"/>
      <c r="P111" s="329"/>
      <c r="Q111" s="329"/>
      <c r="R111" s="329"/>
      <c r="S111" s="329"/>
      <c r="T111" s="1626"/>
    </row>
    <row r="112" spans="1:20" x14ac:dyDescent="0.2">
      <c r="A112" s="14"/>
      <c r="B112" s="1147"/>
      <c r="C112" s="1102" t="s">
        <v>756</v>
      </c>
      <c r="D112" s="1132"/>
      <c r="E112" s="1102"/>
      <c r="F112" s="1102" t="s">
        <v>921</v>
      </c>
      <c r="G112" s="1102"/>
      <c r="H112" s="1102"/>
      <c r="I112" s="1102"/>
      <c r="J112" s="1102"/>
      <c r="K112" s="1102"/>
      <c r="L112" s="1102"/>
      <c r="M112" s="1102"/>
      <c r="N112" s="1102"/>
      <c r="O112" s="329"/>
      <c r="P112" s="329"/>
      <c r="Q112" s="329"/>
      <c r="R112" s="329"/>
      <c r="S112" s="329"/>
      <c r="T112" s="1626"/>
    </row>
    <row r="113" spans="1:20" x14ac:dyDescent="0.2">
      <c r="A113" s="14"/>
      <c r="B113" s="1147"/>
      <c r="C113" s="1102"/>
      <c r="D113" s="1132"/>
      <c r="E113" s="1102"/>
      <c r="F113" s="1102"/>
      <c r="G113" s="1102"/>
      <c r="H113" s="1152" t="str">
        <f>'Energy &amp; Unit Conversions'!P18</f>
        <v>LHV</v>
      </c>
      <c r="I113" s="1152" t="str">
        <f>'Energy &amp; Unit Conversions'!F17</f>
        <v>C ratio</v>
      </c>
      <c r="J113" s="1102"/>
      <c r="K113" s="1102"/>
      <c r="L113" s="1102"/>
      <c r="M113" s="1102"/>
      <c r="N113" s="1102"/>
      <c r="O113" s="329"/>
      <c r="P113" s="329"/>
      <c r="Q113" s="329"/>
      <c r="R113" s="329"/>
      <c r="S113" s="329"/>
      <c r="T113" s="1626"/>
    </row>
    <row r="114" spans="1:20" x14ac:dyDescent="0.2">
      <c r="A114" s="14"/>
      <c r="B114" s="1147"/>
      <c r="C114" s="1102"/>
      <c r="D114" s="1132"/>
      <c r="E114" s="1102"/>
      <c r="F114" s="1455" t="s">
        <v>683</v>
      </c>
      <c r="G114" s="1500"/>
      <c r="H114" s="1501">
        <f>'Energy &amp; Unit Conversions'!Q25</f>
        <v>47.141813778429992</v>
      </c>
      <c r="I114" s="1392">
        <f>'Energy &amp; Unit Conversions'!F25</f>
        <v>0.72399999999999998</v>
      </c>
      <c r="J114" s="1102"/>
      <c r="K114" s="1102"/>
      <c r="L114" s="1102"/>
      <c r="M114" s="1102"/>
      <c r="N114" s="1102"/>
      <c r="O114" s="329"/>
      <c r="P114" s="329"/>
      <c r="Q114" s="329"/>
      <c r="R114" s="329"/>
      <c r="S114" s="329"/>
      <c r="T114" s="1626"/>
    </row>
    <row r="115" spans="1:20" x14ac:dyDescent="0.2">
      <c r="A115" s="14"/>
      <c r="B115" s="1147"/>
      <c r="C115" s="1102"/>
      <c r="D115" s="1132"/>
      <c r="E115" s="1102"/>
      <c r="F115" s="1102" t="s">
        <v>1146</v>
      </c>
      <c r="G115" s="1153">
        <f>(1/H114)*I114*(44/12)*'Energy &amp; Unit Conversions'!E93</f>
        <v>56.312357414667922</v>
      </c>
      <c r="H115" s="1102" t="s">
        <v>1688</v>
      </c>
      <c r="I115" s="1102"/>
      <c r="J115" s="1102"/>
      <c r="K115" s="1102"/>
      <c r="L115" s="1102"/>
      <c r="M115" s="1102"/>
      <c r="N115" s="1102"/>
      <c r="O115" s="329"/>
      <c r="P115" s="329"/>
      <c r="Q115" s="329"/>
      <c r="R115" s="329"/>
      <c r="S115" s="329"/>
      <c r="T115" s="1626"/>
    </row>
    <row r="116" spans="1:20" x14ac:dyDescent="0.2">
      <c r="A116" s="14"/>
      <c r="B116" s="1147"/>
      <c r="C116" s="1102"/>
      <c r="D116" s="1132"/>
      <c r="E116" s="1102"/>
      <c r="F116" s="1102"/>
      <c r="G116" s="1114"/>
      <c r="H116" s="1102"/>
      <c r="I116" s="1102" t="s">
        <v>897</v>
      </c>
      <c r="J116" s="1102" t="s">
        <v>1090</v>
      </c>
      <c r="K116" s="1102"/>
      <c r="L116" s="1102"/>
      <c r="M116" s="1102"/>
      <c r="N116" s="1102"/>
      <c r="O116" s="329"/>
      <c r="P116" s="329"/>
      <c r="Q116" s="329"/>
      <c r="R116" s="329"/>
      <c r="S116" s="329"/>
      <c r="T116" s="1626"/>
    </row>
    <row r="117" spans="1:20" x14ac:dyDescent="0.2">
      <c r="A117" s="14"/>
      <c r="B117" s="1147"/>
      <c r="C117" s="1102"/>
      <c r="D117" s="1132"/>
      <c r="E117" s="1102"/>
      <c r="F117" s="1455" t="s">
        <v>683</v>
      </c>
      <c r="G117" s="1393"/>
      <c r="H117" s="1502">
        <f>'Energy &amp; Unit Conversions'!Q27</f>
        <v>46.898519302437805</v>
      </c>
      <c r="I117" s="1503">
        <f ca="1">CokingRefineryCalcs!O992</f>
        <v>0.80828286301219687</v>
      </c>
      <c r="J117" s="1503">
        <f ca="1">HydroRefineryCalcs!O1051</f>
        <v>0.80828286301219687</v>
      </c>
      <c r="K117" s="1102"/>
      <c r="L117" s="1102"/>
      <c r="M117" s="1102"/>
      <c r="N117" s="1102"/>
      <c r="O117" s="329"/>
      <c r="P117" s="329"/>
      <c r="Q117" s="329"/>
      <c r="R117" s="329"/>
      <c r="S117" s="329"/>
      <c r="T117" s="1626"/>
    </row>
    <row r="118" spans="1:20" x14ac:dyDescent="0.2">
      <c r="A118" s="14"/>
      <c r="B118" s="1147"/>
      <c r="C118" s="1102"/>
      <c r="D118" s="1132"/>
      <c r="E118" s="1102"/>
      <c r="F118" s="1102"/>
      <c r="G118" s="1102"/>
      <c r="H118" s="1102"/>
      <c r="I118" s="1114">
        <f ca="1">(1/H117)*I117*(44/12)</f>
        <v>6.3193974460738822E-2</v>
      </c>
      <c r="J118" s="1114">
        <f ca="1">(1/H117)*J117*(44/12)</f>
        <v>6.3193974460738822E-2</v>
      </c>
      <c r="K118" s="1102" t="s">
        <v>1689</v>
      </c>
      <c r="L118" s="1102"/>
      <c r="M118" s="1102"/>
      <c r="N118" s="1102"/>
      <c r="O118" s="329"/>
      <c r="P118" s="329"/>
      <c r="Q118" s="329"/>
      <c r="R118" s="329"/>
      <c r="S118" s="329"/>
      <c r="T118" s="1626"/>
    </row>
    <row r="119" spans="1:20" x14ac:dyDescent="0.2">
      <c r="A119" s="14"/>
      <c r="B119" s="1147"/>
      <c r="C119" s="1102"/>
      <c r="D119" s="1132"/>
      <c r="E119" s="1102"/>
      <c r="F119" s="1102"/>
      <c r="G119" s="1102"/>
      <c r="H119" s="1102"/>
      <c r="I119" s="1114">
        <f ca="1">I118*'Energy &amp; Unit Conversions'!E93</f>
        <v>63.193974460738822</v>
      </c>
      <c r="J119" s="1114">
        <f ca="1">J118*'Energy &amp; Unit Conversions'!E93</f>
        <v>63.193974460738822</v>
      </c>
      <c r="K119" s="1114" t="s">
        <v>1690</v>
      </c>
      <c r="L119" s="1114"/>
      <c r="M119" s="1114"/>
      <c r="N119" s="1114"/>
      <c r="O119" s="329"/>
      <c r="P119" s="329"/>
      <c r="Q119" s="329"/>
      <c r="R119" s="329"/>
      <c r="S119" s="329"/>
      <c r="T119" s="1626"/>
    </row>
    <row r="120" spans="1:20" x14ac:dyDescent="0.2">
      <c r="A120" s="14"/>
      <c r="B120" s="1147"/>
      <c r="C120" s="1102"/>
      <c r="D120" s="1132"/>
      <c r="E120" s="1102"/>
      <c r="F120" s="1102"/>
      <c r="G120" s="1102"/>
      <c r="H120" s="1102"/>
      <c r="I120" s="1102"/>
      <c r="J120" s="1102"/>
      <c r="K120" s="1102"/>
      <c r="L120" s="1102"/>
      <c r="M120" s="1102"/>
      <c r="N120" s="1102"/>
      <c r="O120" s="329"/>
      <c r="P120" s="329"/>
      <c r="Q120" s="329"/>
      <c r="R120" s="329"/>
      <c r="S120" s="329"/>
      <c r="T120" s="1626"/>
    </row>
    <row r="121" spans="1:20" x14ac:dyDescent="0.2">
      <c r="A121" s="14"/>
      <c r="B121" s="1147"/>
      <c r="C121" s="1102"/>
      <c r="D121" s="1132"/>
      <c r="E121" s="1102"/>
      <c r="F121" s="1102"/>
      <c r="G121" s="1102"/>
      <c r="H121" s="1102"/>
      <c r="I121" s="1102"/>
      <c r="J121" s="1102"/>
      <c r="K121" s="1102"/>
      <c r="L121" s="1102"/>
      <c r="M121" s="1102"/>
      <c r="N121" s="1102"/>
      <c r="O121" s="329"/>
      <c r="P121" s="329"/>
      <c r="Q121" s="329"/>
      <c r="R121" s="329"/>
      <c r="S121" s="329"/>
      <c r="T121" s="1626"/>
    </row>
    <row r="122" spans="1:20" x14ac:dyDescent="0.2">
      <c r="A122" s="14"/>
      <c r="B122" s="1147"/>
      <c r="C122" s="1102"/>
      <c r="D122" s="1132"/>
      <c r="E122" s="1102"/>
      <c r="F122" s="1102"/>
      <c r="G122" s="1102"/>
      <c r="H122" s="1102"/>
      <c r="I122" s="1102"/>
      <c r="J122" s="1102"/>
      <c r="K122" s="1102"/>
      <c r="L122" s="1102"/>
      <c r="M122" s="1102"/>
      <c r="N122" s="1102"/>
      <c r="O122" s="329"/>
      <c r="P122" s="329"/>
      <c r="Q122" s="329"/>
      <c r="R122" s="329"/>
      <c r="S122" s="329"/>
      <c r="T122" s="1626"/>
    </row>
    <row r="123" spans="1:20" ht="22.5" x14ac:dyDescent="0.2">
      <c r="A123" s="14"/>
      <c r="B123" s="1147"/>
      <c r="C123" s="1102"/>
      <c r="D123" s="1495" t="s">
        <v>127</v>
      </c>
      <c r="E123" s="1495" t="s">
        <v>129</v>
      </c>
      <c r="F123" s="1495" t="s">
        <v>128</v>
      </c>
      <c r="G123" s="1495" t="s">
        <v>919</v>
      </c>
      <c r="H123" s="1495" t="s">
        <v>23</v>
      </c>
      <c r="I123" s="1102"/>
      <c r="J123" s="16"/>
      <c r="K123" s="16"/>
      <c r="L123" s="16"/>
      <c r="M123" s="16"/>
      <c r="N123" s="16"/>
      <c r="O123" s="329"/>
      <c r="P123" s="329"/>
      <c r="Q123" s="329"/>
      <c r="R123" s="329"/>
      <c r="S123" s="329"/>
      <c r="T123" s="1626"/>
    </row>
    <row r="124" spans="1:20" x14ac:dyDescent="0.2">
      <c r="A124" s="14"/>
      <c r="B124" s="1147"/>
      <c r="C124" s="1102"/>
      <c r="D124" s="1125" t="s">
        <v>130</v>
      </c>
      <c r="E124" s="1125" t="s">
        <v>130</v>
      </c>
      <c r="F124" s="1125" t="s">
        <v>764</v>
      </c>
      <c r="G124" s="1125" t="s">
        <v>764</v>
      </c>
      <c r="H124" s="1125" t="s">
        <v>130</v>
      </c>
      <c r="I124" s="1102"/>
      <c r="J124" s="16"/>
      <c r="K124" s="16"/>
      <c r="L124" s="16"/>
      <c r="M124" s="16"/>
      <c r="N124" s="16"/>
      <c r="O124" s="329"/>
      <c r="P124" s="329"/>
      <c r="Q124" s="329"/>
      <c r="R124" s="329"/>
      <c r="S124" s="329"/>
      <c r="T124" s="1626"/>
    </row>
    <row r="125" spans="1:20" x14ac:dyDescent="0.2">
      <c r="A125" s="14"/>
      <c r="B125" s="1147"/>
      <c r="C125" s="1454" t="s">
        <v>183</v>
      </c>
      <c r="D125" s="1128">
        <f t="shared" ref="D125:D132" si="10">$D$105*J66+$D$106*(J66+K66)</f>
        <v>1.0407322818434116E-2</v>
      </c>
      <c r="E125" s="1133">
        <f t="shared" ref="E125:E133" si="11">$D$107*F90</f>
        <v>0</v>
      </c>
      <c r="F125" s="1133">
        <f t="shared" ref="F125:F135" si="12">G43*$D$108</f>
        <v>4.9169419010585041E-5</v>
      </c>
      <c r="G125" s="1134"/>
      <c r="H125" s="1126">
        <f t="shared" ref="H125:H133" si="13">D125+E125+F125</f>
        <v>1.0456492237444701E-2</v>
      </c>
      <c r="I125" s="1102"/>
      <c r="J125" s="16"/>
      <c r="K125" s="16"/>
      <c r="L125" s="16"/>
      <c r="M125" s="16"/>
      <c r="N125" s="16"/>
      <c r="O125" s="329"/>
      <c r="P125" s="329"/>
      <c r="Q125" s="329"/>
      <c r="R125" s="329"/>
      <c r="S125" s="329"/>
      <c r="T125" s="1626"/>
    </row>
    <row r="126" spans="1:20" x14ac:dyDescent="0.2">
      <c r="A126" s="14"/>
      <c r="B126" s="1147"/>
      <c r="C126" s="1442" t="s">
        <v>184</v>
      </c>
      <c r="D126" s="1128">
        <f t="shared" si="10"/>
        <v>2.6135788682181395E-2</v>
      </c>
      <c r="E126" s="1128">
        <f t="shared" si="11"/>
        <v>0</v>
      </c>
      <c r="F126" s="1128">
        <f t="shared" si="12"/>
        <v>5.6471665401986294E-4</v>
      </c>
      <c r="G126" s="1135"/>
      <c r="H126" s="1128">
        <f t="shared" si="13"/>
        <v>2.6700505336201257E-2</v>
      </c>
      <c r="I126" s="1102"/>
      <c r="J126" s="16"/>
      <c r="K126" s="16"/>
      <c r="L126" s="16"/>
      <c r="M126" s="16"/>
      <c r="N126" s="16"/>
      <c r="O126" s="329"/>
      <c r="P126" s="329"/>
      <c r="Q126" s="329"/>
      <c r="R126" s="329"/>
      <c r="S126" s="329"/>
      <c r="T126" s="1626"/>
    </row>
    <row r="127" spans="1:20" x14ac:dyDescent="0.2">
      <c r="A127" s="14"/>
      <c r="B127" s="1147"/>
      <c r="C127" s="1442" t="s">
        <v>185</v>
      </c>
      <c r="D127" s="1128">
        <f t="shared" si="10"/>
        <v>8.3666968120498966E-2</v>
      </c>
      <c r="E127" s="1128">
        <f t="shared" si="11"/>
        <v>0</v>
      </c>
      <c r="F127" s="1128">
        <f t="shared" si="12"/>
        <v>1.7236814678702648E-3</v>
      </c>
      <c r="G127" s="1135"/>
      <c r="H127" s="1128">
        <f t="shared" si="13"/>
        <v>8.5390649588369227E-2</v>
      </c>
      <c r="I127" s="1102"/>
      <c r="J127" s="16"/>
      <c r="K127" s="16"/>
      <c r="L127" s="16"/>
      <c r="M127" s="16"/>
      <c r="N127" s="16"/>
      <c r="O127" s="329"/>
      <c r="P127" s="329"/>
      <c r="Q127" s="329"/>
      <c r="R127" s="329"/>
      <c r="S127" s="329"/>
      <c r="T127" s="1626"/>
    </row>
    <row r="128" spans="1:20" x14ac:dyDescent="0.2">
      <c r="A128" s="14"/>
      <c r="B128" s="1147"/>
      <c r="C128" s="1442" t="s">
        <v>186</v>
      </c>
      <c r="D128" s="1136">
        <f t="shared" si="10"/>
        <v>4.6668625217951652E-3</v>
      </c>
      <c r="E128" s="1136">
        <f t="shared" si="11"/>
        <v>0</v>
      </c>
      <c r="F128" s="1136">
        <f t="shared" si="12"/>
        <v>6.9994715081786883E-5</v>
      </c>
      <c r="G128" s="1135"/>
      <c r="H128" s="1128">
        <f t="shared" si="13"/>
        <v>4.7368572368769518E-3</v>
      </c>
      <c r="I128" s="1102"/>
      <c r="J128" s="16"/>
      <c r="K128" s="16"/>
      <c r="L128" s="16"/>
      <c r="M128" s="16"/>
      <c r="N128" s="16"/>
      <c r="O128" s="329"/>
      <c r="P128" s="329"/>
      <c r="Q128" s="329"/>
      <c r="R128" s="329"/>
      <c r="S128" s="329"/>
      <c r="T128" s="1626"/>
    </row>
    <row r="129" spans="1:20" x14ac:dyDescent="0.2">
      <c r="A129" s="14"/>
      <c r="B129" s="1147"/>
      <c r="C129" s="1442" t="s">
        <v>187</v>
      </c>
      <c r="D129" s="1136">
        <f t="shared" si="10"/>
        <v>3.6316898198506761E-3</v>
      </c>
      <c r="E129" s="1136">
        <f t="shared" si="11"/>
        <v>0</v>
      </c>
      <c r="F129" s="1136">
        <f t="shared" si="12"/>
        <v>6.9994715081786883E-5</v>
      </c>
      <c r="G129" s="1135"/>
      <c r="H129" s="1128">
        <f t="shared" si="13"/>
        <v>3.7016845349324631E-3</v>
      </c>
      <c r="I129" s="1102"/>
      <c r="J129" s="16"/>
      <c r="K129" s="16"/>
      <c r="L129" s="16"/>
      <c r="M129" s="16"/>
      <c r="N129" s="16"/>
      <c r="O129" s="329"/>
      <c r="P129" s="329"/>
      <c r="Q129" s="329"/>
      <c r="R129" s="329"/>
      <c r="S129" s="329"/>
      <c r="T129" s="1626"/>
    </row>
    <row r="130" spans="1:20" x14ac:dyDescent="0.2">
      <c r="A130" s="14"/>
      <c r="B130" s="1147"/>
      <c r="C130" s="1442" t="s">
        <v>188</v>
      </c>
      <c r="D130" s="1128">
        <f t="shared" si="10"/>
        <v>1.9280503289043939E-2</v>
      </c>
      <c r="E130" s="1128">
        <f t="shared" si="11"/>
        <v>0</v>
      </c>
      <c r="F130" s="1494">
        <f t="shared" si="12"/>
        <v>6.8157209302903698E-6</v>
      </c>
      <c r="G130" s="1135"/>
      <c r="H130" s="1127">
        <f t="shared" si="13"/>
        <v>1.928731900997423E-2</v>
      </c>
      <c r="I130" s="1102"/>
      <c r="J130" s="16"/>
      <c r="K130" s="16"/>
      <c r="L130" s="16"/>
      <c r="M130" s="16"/>
      <c r="N130" s="16"/>
      <c r="O130" s="329"/>
      <c r="P130" s="329"/>
      <c r="Q130" s="329"/>
      <c r="R130" s="329"/>
      <c r="S130" s="329"/>
      <c r="T130" s="1626"/>
    </row>
    <row r="131" spans="1:20" x14ac:dyDescent="0.2">
      <c r="A131" s="14"/>
      <c r="B131" s="1147"/>
      <c r="C131" s="1442" t="s">
        <v>258</v>
      </c>
      <c r="D131" s="1133">
        <f t="shared" si="10"/>
        <v>0.30749044875844334</v>
      </c>
      <c r="E131" s="1133">
        <f t="shared" si="11"/>
        <v>0</v>
      </c>
      <c r="F131" s="1133">
        <f t="shared" si="12"/>
        <v>8.9620233476287117E-5</v>
      </c>
      <c r="G131" s="1135"/>
      <c r="H131" s="1110">
        <f t="shared" si="13"/>
        <v>0.30758006899191964</v>
      </c>
      <c r="I131" s="1102"/>
      <c r="J131" s="16"/>
      <c r="K131" s="16"/>
      <c r="L131" s="16"/>
      <c r="M131" s="16"/>
      <c r="N131" s="16"/>
      <c r="O131" s="329"/>
      <c r="P131" s="329"/>
      <c r="Q131" s="329"/>
      <c r="R131" s="329"/>
      <c r="S131" s="329"/>
      <c r="T131" s="1626"/>
    </row>
    <row r="132" spans="1:20" x14ac:dyDescent="0.2">
      <c r="A132" s="14"/>
      <c r="B132" s="1147"/>
      <c r="C132" s="1442" t="s">
        <v>189</v>
      </c>
      <c r="D132" s="1133">
        <f t="shared" si="10"/>
        <v>1.0481020537060123E-3</v>
      </c>
      <c r="E132" s="1133">
        <f t="shared" si="11"/>
        <v>0</v>
      </c>
      <c r="F132" s="1133">
        <f t="shared" si="12"/>
        <v>3.5726711786177555E-5</v>
      </c>
      <c r="G132" s="1135"/>
      <c r="H132" s="1128">
        <f t="shared" si="13"/>
        <v>1.0838287654921898E-3</v>
      </c>
      <c r="I132" s="1102"/>
      <c r="J132" s="16"/>
      <c r="K132" s="16"/>
      <c r="L132" s="16"/>
      <c r="M132" s="16"/>
      <c r="N132" s="16"/>
      <c r="O132" s="329"/>
      <c r="P132" s="329"/>
      <c r="Q132" s="329"/>
      <c r="R132" s="329"/>
      <c r="S132" s="329"/>
      <c r="T132" s="1626"/>
    </row>
    <row r="133" spans="1:20" x14ac:dyDescent="0.2">
      <c r="A133" s="14"/>
      <c r="B133" s="1147"/>
      <c r="C133" s="1442" t="s">
        <v>394</v>
      </c>
      <c r="D133" s="1110">
        <f>($D$105*(J74))+($D$106*(J74+K74))</f>
        <v>57.690244829600331</v>
      </c>
      <c r="E133" s="1110">
        <f t="shared" si="11"/>
        <v>0</v>
      </c>
      <c r="F133" s="1110">
        <f t="shared" si="12"/>
        <v>1.5065018180291498</v>
      </c>
      <c r="G133" s="1135"/>
      <c r="H133" s="1110">
        <f t="shared" si="13"/>
        <v>59.196746647629482</v>
      </c>
      <c r="I133" s="1102"/>
      <c r="J133" s="16"/>
      <c r="K133" s="16"/>
      <c r="L133" s="16"/>
      <c r="M133" s="16"/>
      <c r="N133" s="16"/>
      <c r="O133" s="329"/>
      <c r="P133" s="329"/>
      <c r="Q133" s="329"/>
      <c r="R133" s="329"/>
      <c r="S133" s="329"/>
      <c r="T133" s="1626"/>
    </row>
    <row r="134" spans="1:20" x14ac:dyDescent="0.2">
      <c r="A134" s="14"/>
      <c r="B134" s="1147"/>
      <c r="C134" s="1442" t="s">
        <v>192</v>
      </c>
      <c r="D134" s="1110">
        <f t="shared" ref="D134:D135" si="14">($D$105*(J75))+($D$106*(J75+K75))</f>
        <v>57.747875213959816</v>
      </c>
      <c r="E134" s="1110">
        <f>E133+(E125*$D$27+E126*$D$28)/$D$30</f>
        <v>0</v>
      </c>
      <c r="F134" s="1110">
        <f t="shared" si="12"/>
        <v>1.5075424746032879</v>
      </c>
      <c r="G134" s="1110">
        <f>D109</f>
        <v>43.575288707676798</v>
      </c>
      <c r="H134" s="1110">
        <f>SUM(D134:G134)</f>
        <v>102.8307063962399</v>
      </c>
      <c r="I134" s="1102"/>
      <c r="J134" s="16"/>
      <c r="K134" s="16"/>
      <c r="L134" s="16"/>
      <c r="M134" s="16"/>
      <c r="N134" s="16"/>
      <c r="O134" s="329"/>
      <c r="P134" s="329"/>
      <c r="Q134" s="329"/>
      <c r="R134" s="329"/>
      <c r="S134" s="329"/>
      <c r="T134" s="1626"/>
    </row>
    <row r="135" spans="1:20" x14ac:dyDescent="0.2">
      <c r="A135" s="14"/>
      <c r="B135" s="1147"/>
      <c r="C135" s="1443" t="s">
        <v>131</v>
      </c>
      <c r="D135" s="1110">
        <f t="shared" si="14"/>
        <v>67.250335720945202</v>
      </c>
      <c r="E135" s="1137">
        <f>E134+$G$9*E131+$G$10*E132</f>
        <v>0</v>
      </c>
      <c r="F135" s="1110">
        <f t="shared" si="12"/>
        <v>1.5196986602309135</v>
      </c>
      <c r="G135" s="1137"/>
      <c r="H135" s="1113">
        <f>H134+$G$9*H131+$G$10*H132</f>
        <v>112.34532308885292</v>
      </c>
      <c r="I135" s="1102"/>
      <c r="J135" s="16"/>
      <c r="K135" s="16"/>
      <c r="L135" s="16"/>
      <c r="M135" s="16"/>
      <c r="N135" s="16"/>
      <c r="O135" s="329"/>
      <c r="P135" s="329"/>
      <c r="Q135" s="329"/>
      <c r="R135" s="329"/>
      <c r="S135" s="329"/>
      <c r="T135" s="1626"/>
    </row>
    <row r="136" spans="1:20" x14ac:dyDescent="0.2">
      <c r="A136" s="14"/>
      <c r="B136" s="1147"/>
      <c r="C136" s="1109"/>
      <c r="D136" s="1144"/>
      <c r="E136" s="1144"/>
      <c r="F136" s="1144"/>
      <c r="G136" s="1144"/>
      <c r="H136" s="1107"/>
      <c r="I136" s="1102"/>
      <c r="J136" s="1144"/>
      <c r="K136" s="1144"/>
      <c r="L136" s="1144"/>
      <c r="M136" s="1144"/>
      <c r="N136" s="1144"/>
      <c r="O136" s="329"/>
      <c r="P136" s="329"/>
      <c r="Q136" s="329"/>
      <c r="R136" s="329"/>
      <c r="S136" s="329"/>
      <c r="T136" s="1626"/>
    </row>
    <row r="137" spans="1:20" ht="22.5" x14ac:dyDescent="0.2">
      <c r="A137" s="14"/>
      <c r="B137" s="1147"/>
      <c r="C137" s="1109"/>
      <c r="D137" s="1495" t="s">
        <v>127</v>
      </c>
      <c r="E137" s="1495" t="s">
        <v>129</v>
      </c>
      <c r="F137" s="1495" t="s">
        <v>128</v>
      </c>
      <c r="G137" s="1495" t="s">
        <v>919</v>
      </c>
      <c r="H137" s="1495" t="s">
        <v>24</v>
      </c>
      <c r="I137" s="1102"/>
      <c r="J137" s="1144"/>
      <c r="K137" s="1144"/>
      <c r="L137" s="1144"/>
      <c r="M137" s="1144"/>
      <c r="N137" s="1144"/>
      <c r="O137" s="329"/>
      <c r="P137" s="329"/>
      <c r="Q137" s="329"/>
      <c r="R137" s="329"/>
      <c r="S137" s="329"/>
      <c r="T137" s="1626"/>
    </row>
    <row r="138" spans="1:20" x14ac:dyDescent="0.2">
      <c r="A138" s="14"/>
      <c r="B138" s="1147"/>
      <c r="C138" s="1109"/>
      <c r="D138" s="1125" t="s">
        <v>130</v>
      </c>
      <c r="E138" s="1125" t="s">
        <v>130</v>
      </c>
      <c r="F138" s="1125" t="s">
        <v>764</v>
      </c>
      <c r="G138" s="1125" t="s">
        <v>764</v>
      </c>
      <c r="H138" s="1125" t="s">
        <v>130</v>
      </c>
      <c r="I138" s="1102"/>
      <c r="J138" s="1144"/>
      <c r="K138" s="1144"/>
      <c r="L138" s="1144"/>
      <c r="M138" s="1144"/>
      <c r="N138" s="1144"/>
      <c r="O138" s="329"/>
      <c r="P138" s="329"/>
      <c r="Q138" s="329"/>
      <c r="R138" s="329"/>
      <c r="S138" s="329"/>
      <c r="T138" s="1626"/>
    </row>
    <row r="139" spans="1:20" x14ac:dyDescent="0.2">
      <c r="A139" s="14"/>
      <c r="B139" s="1147"/>
      <c r="C139" s="1454" t="s">
        <v>183</v>
      </c>
      <c r="D139" s="1133">
        <f t="shared" ref="D139:D146" si="15">$F$105*J66+$F$106*(J66+K66)</f>
        <v>1.0407322818434116E-2</v>
      </c>
      <c r="E139" s="1133">
        <f t="shared" ref="E139:E148" si="16">$F$107*J90</f>
        <v>0</v>
      </c>
      <c r="F139" s="1133">
        <f t="shared" ref="F139:F149" si="17">G43*$F$108</f>
        <v>4.9169419010585041E-5</v>
      </c>
      <c r="G139" s="1134"/>
      <c r="H139" s="1126">
        <f t="shared" ref="H139:H147" si="18">D139+E139+F139</f>
        <v>1.0456492237444701E-2</v>
      </c>
      <c r="I139" s="1102"/>
      <c r="J139" s="1144"/>
      <c r="K139" s="1144"/>
      <c r="L139" s="1144"/>
      <c r="M139" s="1144"/>
      <c r="N139" s="1144"/>
      <c r="O139" s="329"/>
      <c r="P139" s="329"/>
      <c r="Q139" s="329"/>
      <c r="R139" s="329"/>
      <c r="S139" s="329"/>
      <c r="T139" s="1626"/>
    </row>
    <row r="140" spans="1:20" x14ac:dyDescent="0.2">
      <c r="A140" s="14"/>
      <c r="B140" s="1147"/>
      <c r="C140" s="1442" t="s">
        <v>184</v>
      </c>
      <c r="D140" s="1128">
        <f t="shared" si="15"/>
        <v>2.6135788682181395E-2</v>
      </c>
      <c r="E140" s="1128">
        <f t="shared" si="16"/>
        <v>0</v>
      </c>
      <c r="F140" s="1128">
        <f t="shared" si="17"/>
        <v>5.6471665401986294E-4</v>
      </c>
      <c r="G140" s="1135"/>
      <c r="H140" s="1128">
        <f t="shared" si="18"/>
        <v>2.6700505336201257E-2</v>
      </c>
      <c r="I140" s="1102"/>
      <c r="J140" s="1144"/>
      <c r="K140" s="1144"/>
      <c r="L140" s="1144"/>
      <c r="M140" s="1144"/>
      <c r="N140" s="1144"/>
      <c r="O140" s="329"/>
      <c r="P140" s="329"/>
      <c r="Q140" s="329"/>
      <c r="R140" s="329"/>
      <c r="S140" s="329"/>
      <c r="T140" s="1626"/>
    </row>
    <row r="141" spans="1:20" x14ac:dyDescent="0.2">
      <c r="A141" s="14"/>
      <c r="B141" s="1147"/>
      <c r="C141" s="1442" t="s">
        <v>185</v>
      </c>
      <c r="D141" s="1128">
        <f t="shared" si="15"/>
        <v>8.3666968120498966E-2</v>
      </c>
      <c r="E141" s="1128">
        <f t="shared" si="16"/>
        <v>0</v>
      </c>
      <c r="F141" s="1128">
        <f t="shared" si="17"/>
        <v>1.7236814678702648E-3</v>
      </c>
      <c r="G141" s="1135"/>
      <c r="H141" s="1128">
        <f t="shared" si="18"/>
        <v>8.5390649588369227E-2</v>
      </c>
      <c r="I141" s="1102"/>
      <c r="J141" s="1144"/>
      <c r="K141" s="1144"/>
      <c r="L141" s="1144"/>
      <c r="M141" s="1144"/>
      <c r="N141" s="1144"/>
      <c r="O141" s="329"/>
      <c r="P141" s="329"/>
      <c r="Q141" s="329"/>
      <c r="R141" s="329"/>
      <c r="S141" s="329"/>
      <c r="T141" s="1626"/>
    </row>
    <row r="142" spans="1:20" x14ac:dyDescent="0.2">
      <c r="A142" s="14"/>
      <c r="B142" s="1147"/>
      <c r="C142" s="1442" t="s">
        <v>186</v>
      </c>
      <c r="D142" s="1136">
        <f t="shared" si="15"/>
        <v>4.6668625217951652E-3</v>
      </c>
      <c r="E142" s="1136">
        <f t="shared" si="16"/>
        <v>0</v>
      </c>
      <c r="F142" s="1136">
        <f t="shared" si="17"/>
        <v>6.9994715081786883E-5</v>
      </c>
      <c r="G142" s="1135"/>
      <c r="H142" s="1128">
        <f t="shared" si="18"/>
        <v>4.7368572368769518E-3</v>
      </c>
      <c r="I142" s="1102"/>
      <c r="J142" s="1144"/>
      <c r="K142" s="1144"/>
      <c r="L142" s="1144"/>
      <c r="M142" s="1144"/>
      <c r="N142" s="1144"/>
      <c r="O142" s="329"/>
      <c r="P142" s="329"/>
      <c r="Q142" s="329"/>
      <c r="R142" s="329"/>
      <c r="S142" s="329"/>
      <c r="T142" s="1626"/>
    </row>
    <row r="143" spans="1:20" x14ac:dyDescent="0.2">
      <c r="A143" s="14"/>
      <c r="B143" s="1147"/>
      <c r="C143" s="1442" t="s">
        <v>187</v>
      </c>
      <c r="D143" s="1136">
        <f t="shared" si="15"/>
        <v>3.6316898198506761E-3</v>
      </c>
      <c r="E143" s="1136">
        <f t="shared" si="16"/>
        <v>0</v>
      </c>
      <c r="F143" s="1136">
        <f t="shared" si="17"/>
        <v>6.9994715081786883E-5</v>
      </c>
      <c r="G143" s="1135"/>
      <c r="H143" s="1128">
        <f t="shared" si="18"/>
        <v>3.7016845349324631E-3</v>
      </c>
      <c r="I143" s="1102"/>
      <c r="J143" s="1144"/>
      <c r="K143" s="1144"/>
      <c r="L143" s="1144"/>
      <c r="M143" s="1144"/>
      <c r="N143" s="1144"/>
      <c r="O143" s="329"/>
      <c r="P143" s="329"/>
      <c r="Q143" s="329"/>
      <c r="R143" s="329"/>
      <c r="S143" s="329"/>
      <c r="T143" s="1626"/>
    </row>
    <row r="144" spans="1:20" x14ac:dyDescent="0.2">
      <c r="A144" s="14"/>
      <c r="B144" s="1147"/>
      <c r="C144" s="1442" t="s">
        <v>188</v>
      </c>
      <c r="D144" s="1128">
        <f t="shared" si="15"/>
        <v>1.9280503289043939E-2</v>
      </c>
      <c r="E144" s="1128">
        <f t="shared" si="16"/>
        <v>0</v>
      </c>
      <c r="F144" s="1128">
        <f t="shared" si="17"/>
        <v>6.8157209302903698E-6</v>
      </c>
      <c r="G144" s="1135"/>
      <c r="H144" s="1127">
        <f t="shared" si="18"/>
        <v>1.928731900997423E-2</v>
      </c>
      <c r="I144" s="1102"/>
      <c r="J144" s="1144"/>
      <c r="K144" s="1144"/>
      <c r="L144" s="1144"/>
      <c r="M144" s="1144"/>
      <c r="N144" s="1144"/>
      <c r="O144" s="329"/>
      <c r="P144" s="329"/>
      <c r="Q144" s="329"/>
      <c r="R144" s="329"/>
      <c r="S144" s="329"/>
      <c r="T144" s="1626"/>
    </row>
    <row r="145" spans="1:20" x14ac:dyDescent="0.2">
      <c r="A145" s="14"/>
      <c r="B145" s="1147"/>
      <c r="C145" s="1442" t="s">
        <v>258</v>
      </c>
      <c r="D145" s="1133">
        <f t="shared" si="15"/>
        <v>0.30749044875844334</v>
      </c>
      <c r="E145" s="1133">
        <f t="shared" si="16"/>
        <v>0</v>
      </c>
      <c r="F145" s="1133">
        <f t="shared" si="17"/>
        <v>8.9620233476287117E-5</v>
      </c>
      <c r="G145" s="1135"/>
      <c r="H145" s="1110">
        <f t="shared" si="18"/>
        <v>0.30758006899191964</v>
      </c>
      <c r="I145" s="1102"/>
      <c r="J145" s="1144"/>
      <c r="K145" s="1144"/>
      <c r="L145" s="1144"/>
      <c r="M145" s="1144"/>
      <c r="N145" s="1144"/>
      <c r="O145" s="329"/>
      <c r="P145" s="329"/>
      <c r="Q145" s="329"/>
      <c r="R145" s="329"/>
      <c r="S145" s="329"/>
      <c r="T145" s="1626"/>
    </row>
    <row r="146" spans="1:20" x14ac:dyDescent="0.2">
      <c r="A146" s="14"/>
      <c r="B146" s="1147"/>
      <c r="C146" s="1442" t="s">
        <v>189</v>
      </c>
      <c r="D146" s="1133">
        <f t="shared" si="15"/>
        <v>1.0481020537060123E-3</v>
      </c>
      <c r="E146" s="1133">
        <f t="shared" si="16"/>
        <v>0</v>
      </c>
      <c r="F146" s="1133">
        <f t="shared" si="17"/>
        <v>3.5726711786177555E-5</v>
      </c>
      <c r="G146" s="1135"/>
      <c r="H146" s="1128">
        <f t="shared" si="18"/>
        <v>1.0838287654921898E-3</v>
      </c>
      <c r="I146" s="1102"/>
      <c r="J146" s="1144"/>
      <c r="K146" s="1144"/>
      <c r="L146" s="1144"/>
      <c r="M146" s="1144"/>
      <c r="N146" s="1144"/>
      <c r="O146" s="329"/>
      <c r="P146" s="329"/>
      <c r="Q146" s="329"/>
      <c r="R146" s="329"/>
      <c r="S146" s="329"/>
      <c r="T146" s="1626"/>
    </row>
    <row r="147" spans="1:20" x14ac:dyDescent="0.2">
      <c r="A147" s="14"/>
      <c r="B147" s="1147"/>
      <c r="C147" s="1442" t="s">
        <v>394</v>
      </c>
      <c r="D147" s="1110">
        <f>($F$105*J74)+($F$106*(J74+K74))</f>
        <v>57.690244829600331</v>
      </c>
      <c r="E147" s="1110">
        <f t="shared" si="16"/>
        <v>0</v>
      </c>
      <c r="F147" s="1110">
        <f t="shared" si="17"/>
        <v>1.5065018180291498</v>
      </c>
      <c r="G147" s="1135"/>
      <c r="H147" s="1110">
        <f t="shared" si="18"/>
        <v>59.196746647629482</v>
      </c>
      <c r="I147" s="1102"/>
      <c r="J147" s="1144"/>
      <c r="K147" s="1144"/>
      <c r="L147" s="1144"/>
      <c r="M147" s="1144"/>
      <c r="N147" s="1144"/>
      <c r="O147" s="329"/>
      <c r="P147" s="329"/>
      <c r="Q147" s="329"/>
      <c r="R147" s="329"/>
      <c r="S147" s="329"/>
      <c r="T147" s="1626"/>
    </row>
    <row r="148" spans="1:20" x14ac:dyDescent="0.2">
      <c r="A148" s="14"/>
      <c r="B148" s="1147"/>
      <c r="C148" s="1442" t="s">
        <v>192</v>
      </c>
      <c r="D148" s="1110">
        <f t="shared" ref="D148:D149" si="19">($F$105*J75)+($F$106*(J75+K75))</f>
        <v>57.747875213959816</v>
      </c>
      <c r="E148" s="1110">
        <f t="shared" si="16"/>
        <v>0</v>
      </c>
      <c r="F148" s="1110">
        <f t="shared" si="17"/>
        <v>1.5075424746032879</v>
      </c>
      <c r="G148" s="1110">
        <f>F109</f>
        <v>43.575288707676798</v>
      </c>
      <c r="H148" s="1110">
        <f>SUM(D148:G148)</f>
        <v>102.8307063962399</v>
      </c>
      <c r="I148" s="1102"/>
      <c r="J148" s="1144"/>
      <c r="K148" s="1144"/>
      <c r="L148" s="1144"/>
      <c r="M148" s="1144"/>
      <c r="N148" s="1144"/>
      <c r="O148" s="329"/>
      <c r="P148" s="329"/>
      <c r="Q148" s="329"/>
      <c r="R148" s="329"/>
      <c r="S148" s="329"/>
      <c r="T148" s="1626"/>
    </row>
    <row r="149" spans="1:20" x14ac:dyDescent="0.2">
      <c r="A149" s="14"/>
      <c r="B149" s="1147"/>
      <c r="C149" s="1443" t="s">
        <v>131</v>
      </c>
      <c r="D149" s="1110">
        <f t="shared" si="19"/>
        <v>67.250335720945202</v>
      </c>
      <c r="E149" s="1137">
        <f>E148+$G$9*E145+$G$10*E146</f>
        <v>0</v>
      </c>
      <c r="F149" s="1110">
        <f t="shared" si="17"/>
        <v>1.5196986602309135</v>
      </c>
      <c r="G149" s="1137"/>
      <c r="H149" s="1113">
        <f>H148+$G$9*H145+$G$10*H146</f>
        <v>112.34532308885292</v>
      </c>
      <c r="I149" s="1102"/>
      <c r="J149" s="1144"/>
      <c r="K149" s="1144"/>
      <c r="L149" s="1144"/>
      <c r="M149" s="1144"/>
      <c r="N149" s="1144"/>
      <c r="O149" s="329"/>
      <c r="P149" s="329"/>
      <c r="Q149" s="329"/>
      <c r="R149" s="329"/>
      <c r="S149" s="329"/>
      <c r="T149" s="1626"/>
    </row>
    <row r="150" spans="1:20" x14ac:dyDescent="0.2">
      <c r="A150" s="14"/>
      <c r="B150" s="1147"/>
      <c r="C150" s="1102"/>
      <c r="D150" s="1151"/>
      <c r="E150" s="1151"/>
      <c r="F150" s="1151"/>
      <c r="G150" s="1151"/>
      <c r="H150" s="1151"/>
      <c r="I150" s="1102"/>
      <c r="J150" s="1107"/>
      <c r="K150" s="1102"/>
      <c r="L150" s="1102"/>
      <c r="M150" s="1102"/>
      <c r="N150" s="1102"/>
      <c r="O150" s="329"/>
      <c r="P150" s="329"/>
      <c r="Q150" s="329"/>
      <c r="R150" s="329"/>
      <c r="S150" s="329"/>
      <c r="T150" s="1626"/>
    </row>
    <row r="151" spans="1:20" ht="15.75" x14ac:dyDescent="0.25">
      <c r="A151" s="14"/>
      <c r="B151" s="1685"/>
      <c r="C151" s="1178" t="s">
        <v>693</v>
      </c>
      <c r="D151" s="1178"/>
      <c r="E151" s="1102"/>
      <c r="F151" s="1102"/>
      <c r="G151" s="1102"/>
      <c r="H151" s="1102"/>
      <c r="I151" s="1102"/>
      <c r="J151" s="1102"/>
      <c r="K151" s="1102"/>
      <c r="L151" s="1102"/>
      <c r="M151" s="1102"/>
      <c r="N151" s="1102"/>
      <c r="O151" s="329"/>
      <c r="P151" s="329"/>
      <c r="Q151" s="329"/>
      <c r="R151" s="329"/>
      <c r="S151" s="329"/>
      <c r="T151" s="1626"/>
    </row>
    <row r="152" spans="1:20" x14ac:dyDescent="0.2">
      <c r="A152" s="14"/>
      <c r="B152" s="1147"/>
      <c r="C152" s="1115"/>
      <c r="D152" s="1102"/>
      <c r="E152" s="1102"/>
      <c r="F152" s="1102"/>
      <c r="G152" s="1102"/>
      <c r="H152" s="1102"/>
      <c r="I152" s="1102"/>
      <c r="J152" s="1102"/>
      <c r="K152" s="1102"/>
      <c r="L152" s="1102"/>
      <c r="M152" s="1102"/>
      <c r="N152" s="1102"/>
      <c r="O152" s="329"/>
      <c r="P152" s="329"/>
      <c r="Q152" s="329"/>
      <c r="R152" s="329"/>
      <c r="S152" s="329"/>
      <c r="T152" s="1626"/>
    </row>
    <row r="153" spans="1:20" x14ac:dyDescent="0.2">
      <c r="A153" s="14"/>
      <c r="B153" s="1147"/>
      <c r="C153" s="1102" t="s">
        <v>692</v>
      </c>
      <c r="D153" s="1102"/>
      <c r="E153" s="1102"/>
      <c r="F153" s="1102"/>
      <c r="G153" s="1102"/>
      <c r="H153" s="1102"/>
      <c r="I153" s="1102"/>
      <c r="J153" s="1102"/>
      <c r="K153" s="1102"/>
      <c r="L153" s="1102"/>
      <c r="M153" s="1102"/>
      <c r="N153" s="1102"/>
      <c r="O153" s="329"/>
      <c r="P153" s="329"/>
      <c r="Q153" s="329"/>
      <c r="R153" s="329"/>
      <c r="S153" s="329"/>
      <c r="T153" s="1626"/>
    </row>
    <row r="154" spans="1:20" x14ac:dyDescent="0.2">
      <c r="A154" s="14"/>
      <c r="B154" s="1147"/>
      <c r="C154" s="1102" t="s">
        <v>691</v>
      </c>
      <c r="D154" s="1102"/>
      <c r="E154" s="1102"/>
      <c r="F154" s="1102"/>
      <c r="G154" s="1102"/>
      <c r="H154" s="1102"/>
      <c r="I154" s="1102"/>
      <c r="J154" s="1102"/>
      <c r="K154" s="1102"/>
      <c r="L154" s="1102"/>
      <c r="M154" s="1102"/>
      <c r="N154" s="1102"/>
      <c r="O154" s="329"/>
      <c r="P154" s="329"/>
      <c r="Q154" s="329"/>
      <c r="R154" s="329"/>
      <c r="S154" s="329"/>
      <c r="T154" s="1626"/>
    </row>
    <row r="155" spans="1:20" x14ac:dyDescent="0.2">
      <c r="A155" s="14"/>
      <c r="B155" s="1147"/>
      <c r="C155" s="1102"/>
      <c r="D155" s="1102"/>
      <c r="E155" s="1102"/>
      <c r="F155" s="1115" t="s">
        <v>700</v>
      </c>
      <c r="G155" s="1102"/>
      <c r="H155" s="1152" t="str">
        <f>'Energy &amp; Unit Conversions'!P18</f>
        <v>LHV</v>
      </c>
      <c r="I155" s="1152" t="str">
        <f>'Energy &amp; Unit Conversions'!F17</f>
        <v>C ratio</v>
      </c>
      <c r="J155" s="1102"/>
      <c r="K155" s="1102"/>
      <c r="L155" s="1102"/>
      <c r="M155" s="1102"/>
      <c r="N155" s="1102"/>
      <c r="O155" s="329"/>
      <c r="P155" s="329"/>
      <c r="Q155" s="329"/>
      <c r="R155" s="329"/>
      <c r="S155" s="329"/>
      <c r="T155" s="1626"/>
    </row>
    <row r="156" spans="1:20" x14ac:dyDescent="0.2">
      <c r="A156" s="14"/>
      <c r="B156" s="1147"/>
      <c r="C156" s="1102"/>
      <c r="D156" s="1102"/>
      <c r="E156" s="1102"/>
      <c r="F156" s="1455" t="s">
        <v>683</v>
      </c>
      <c r="G156" s="1392">
        <v>1</v>
      </c>
      <c r="H156" s="1501">
        <f>IF(G156=1,'Energy &amp; Unit Conversions'!Q30,'Energy &amp; Unit Conversions'!Q31)</f>
        <v>29.505309999999998</v>
      </c>
      <c r="I156" s="1392">
        <f>IF(G156=1,'Energy &amp; Unit Conversions'!F30,'Energy &amp; Unit Conversions'!F31)</f>
        <v>0.79900000000000004</v>
      </c>
      <c r="J156" s="1102"/>
      <c r="K156" s="1102"/>
      <c r="L156" s="1102"/>
      <c r="M156" s="1102"/>
      <c r="N156" s="1102"/>
      <c r="O156" s="329"/>
      <c r="P156" s="329"/>
      <c r="Q156" s="329"/>
      <c r="R156" s="329"/>
      <c r="S156" s="329"/>
      <c r="T156" s="1626"/>
    </row>
    <row r="157" spans="1:20" x14ac:dyDescent="0.2">
      <c r="A157" s="14"/>
      <c r="B157" s="1147"/>
      <c r="C157" s="1102"/>
      <c r="D157" s="1102"/>
      <c r="E157" s="1102"/>
      <c r="F157" s="1102" t="s">
        <v>1144</v>
      </c>
      <c r="G157" s="1102">
        <v>1</v>
      </c>
      <c r="H157" s="1102" t="s">
        <v>914</v>
      </c>
      <c r="I157" s="1102"/>
      <c r="J157" s="1102"/>
      <c r="K157" s="1102"/>
      <c r="L157" s="1102"/>
      <c r="M157" s="1102"/>
      <c r="N157" s="1102"/>
      <c r="O157" s="329"/>
      <c r="P157" s="329"/>
      <c r="Q157" s="329"/>
      <c r="R157" s="329"/>
      <c r="S157" s="329"/>
      <c r="T157" s="1626"/>
    </row>
    <row r="158" spans="1:20" x14ac:dyDescent="0.2">
      <c r="A158" s="14"/>
      <c r="B158" s="1147"/>
      <c r="C158" s="1102"/>
      <c r="D158" s="1102"/>
      <c r="E158" s="1102"/>
      <c r="F158" s="2542" t="s">
        <v>702</v>
      </c>
      <c r="G158" s="1102">
        <v>2</v>
      </c>
      <c r="H158" s="1102"/>
      <c r="I158" s="1102"/>
      <c r="J158" s="1102"/>
      <c r="K158" s="1102"/>
      <c r="L158" s="1102"/>
      <c r="M158" s="1102"/>
      <c r="N158" s="1102"/>
      <c r="O158" s="329"/>
      <c r="P158" s="329"/>
      <c r="Q158" s="329"/>
      <c r="R158" s="329"/>
      <c r="S158" s="329"/>
      <c r="T158" s="1626"/>
    </row>
    <row r="159" spans="1:20" x14ac:dyDescent="0.2">
      <c r="A159" s="14"/>
      <c r="B159" s="1147"/>
      <c r="C159" s="1102"/>
      <c r="D159" s="1102"/>
      <c r="E159" s="1102"/>
      <c r="F159" s="2542"/>
      <c r="G159" s="1102"/>
      <c r="H159" s="1102"/>
      <c r="I159" s="1102"/>
      <c r="J159" s="1102"/>
      <c r="K159" s="1102"/>
      <c r="L159" s="1102"/>
      <c r="M159" s="1102"/>
      <c r="N159" s="1102"/>
      <c r="O159" s="329"/>
      <c r="P159" s="329"/>
      <c r="Q159" s="329"/>
      <c r="R159" s="329"/>
      <c r="S159" s="329"/>
      <c r="T159" s="1626"/>
    </row>
    <row r="160" spans="1:20" x14ac:dyDescent="0.2">
      <c r="A160" s="14"/>
      <c r="B160" s="1147"/>
      <c r="C160" s="1102"/>
      <c r="D160" s="1102"/>
      <c r="E160" s="1102"/>
      <c r="F160" s="1102"/>
      <c r="G160" s="1102"/>
      <c r="H160" s="1102"/>
      <c r="I160" s="1102"/>
      <c r="J160" s="1102"/>
      <c r="K160" s="1102"/>
      <c r="L160" s="1102"/>
      <c r="M160" s="1102"/>
      <c r="N160" s="1102"/>
      <c r="O160" s="329"/>
      <c r="P160" s="329"/>
      <c r="Q160" s="329"/>
      <c r="R160" s="329"/>
      <c r="S160" s="329"/>
      <c r="T160" s="1626"/>
    </row>
    <row r="161" spans="1:20" x14ac:dyDescent="0.2">
      <c r="A161" s="14"/>
      <c r="B161" s="1147"/>
      <c r="C161" s="1102"/>
      <c r="D161" s="1102"/>
      <c r="E161" s="1102"/>
      <c r="F161" s="1102"/>
      <c r="G161" s="1102"/>
      <c r="H161" s="1102"/>
      <c r="I161" s="1102"/>
      <c r="J161" s="1102"/>
      <c r="K161" s="1102"/>
      <c r="L161" s="1102"/>
      <c r="M161" s="1102"/>
      <c r="N161" s="1102"/>
      <c r="O161" s="329"/>
      <c r="P161" s="329"/>
      <c r="Q161" s="329"/>
      <c r="R161" s="329"/>
      <c r="S161" s="329"/>
      <c r="T161" s="1626"/>
    </row>
    <row r="162" spans="1:20" x14ac:dyDescent="0.2">
      <c r="A162" s="14"/>
      <c r="B162" s="1147"/>
      <c r="C162" s="1102"/>
      <c r="D162" s="1102"/>
      <c r="E162" s="1102"/>
      <c r="F162" s="1102"/>
      <c r="G162" s="1102"/>
      <c r="H162" s="1102"/>
      <c r="I162" s="1102"/>
      <c r="J162" s="1102"/>
      <c r="K162" s="1102"/>
      <c r="L162" s="1102"/>
      <c r="M162" s="1102"/>
      <c r="N162" s="1102"/>
      <c r="O162" s="329"/>
      <c r="P162" s="329"/>
      <c r="Q162" s="329"/>
      <c r="R162" s="329"/>
      <c r="S162" s="329"/>
      <c r="T162" s="1626"/>
    </row>
    <row r="163" spans="1:20" x14ac:dyDescent="0.2">
      <c r="A163" s="14"/>
      <c r="B163" s="1147"/>
      <c r="C163" s="1102"/>
      <c r="D163" s="1102"/>
      <c r="E163" s="1102"/>
      <c r="F163" s="1102"/>
      <c r="G163" s="1102"/>
      <c r="H163" s="1102"/>
      <c r="I163" s="1102"/>
      <c r="J163" s="1102"/>
      <c r="K163" s="1102"/>
      <c r="L163" s="1102"/>
      <c r="M163" s="1102"/>
      <c r="N163" s="1102"/>
      <c r="O163" s="329"/>
      <c r="P163" s="329"/>
      <c r="Q163" s="329"/>
      <c r="R163" s="329"/>
      <c r="S163" s="329"/>
      <c r="T163" s="1626"/>
    </row>
    <row r="164" spans="1:20" x14ac:dyDescent="0.2">
      <c r="A164" s="14"/>
      <c r="B164" s="1147"/>
      <c r="C164" s="1102" t="s">
        <v>694</v>
      </c>
      <c r="D164" s="1102"/>
      <c r="E164" s="1102"/>
      <c r="F164" s="1102"/>
      <c r="G164" s="1102"/>
      <c r="H164" s="1102"/>
      <c r="I164" s="1102"/>
      <c r="J164" s="1102"/>
      <c r="K164" s="1102"/>
      <c r="L164" s="1102"/>
      <c r="M164" s="1102"/>
      <c r="N164" s="1102"/>
      <c r="O164" s="329"/>
      <c r="P164" s="329"/>
      <c r="Q164" s="329"/>
      <c r="R164" s="329"/>
      <c r="S164" s="329"/>
      <c r="T164" s="1626"/>
    </row>
    <row r="165" spans="1:20" x14ac:dyDescent="0.2">
      <c r="A165" s="14"/>
      <c r="B165" s="1147"/>
      <c r="C165" s="1115"/>
      <c r="D165" s="1102"/>
      <c r="E165" s="1102"/>
      <c r="F165" s="1102"/>
      <c r="G165" s="1102"/>
      <c r="H165" s="1102"/>
      <c r="I165" s="1102"/>
      <c r="J165" s="1102"/>
      <c r="K165" s="1102"/>
      <c r="L165" s="1102"/>
      <c r="M165" s="1102"/>
      <c r="N165" s="1102"/>
      <c r="O165" s="329"/>
      <c r="P165" s="329"/>
      <c r="Q165" s="329"/>
      <c r="R165" s="329"/>
      <c r="S165" s="329"/>
      <c r="T165" s="1626"/>
    </row>
    <row r="166" spans="1:20" ht="24" x14ac:dyDescent="0.2">
      <c r="A166" s="14"/>
      <c r="B166" s="1147"/>
      <c r="C166" s="1102"/>
      <c r="D166" s="1513" t="s">
        <v>1145</v>
      </c>
      <c r="E166" s="1514" t="s">
        <v>701</v>
      </c>
      <c r="F166" s="1102"/>
      <c r="G166" s="1102"/>
      <c r="H166" s="1102"/>
      <c r="I166" s="1102"/>
      <c r="J166" s="1102"/>
      <c r="K166" s="1102"/>
      <c r="L166" s="1102"/>
      <c r="M166" s="1102"/>
      <c r="N166" s="1102"/>
      <c r="O166" s="329"/>
      <c r="P166" s="329"/>
      <c r="Q166" s="329"/>
      <c r="R166" s="329"/>
      <c r="S166" s="329"/>
      <c r="T166" s="1626"/>
    </row>
    <row r="167" spans="1:20" x14ac:dyDescent="0.2">
      <c r="A167" s="14"/>
      <c r="B167" s="1147"/>
      <c r="C167" s="1145" t="s">
        <v>183</v>
      </c>
      <c r="D167" s="1138">
        <f>IF(G156=1,2.068,0)</f>
        <v>2.0680000000000001</v>
      </c>
      <c r="E167" s="1138">
        <f>(D167/'Energy &amp; Unit Conversions'!$G$84)</f>
        <v>1.9600858048079402E-3</v>
      </c>
      <c r="F167" s="1102"/>
      <c r="G167" s="1102"/>
      <c r="H167" s="1102"/>
      <c r="I167" s="1102"/>
      <c r="J167" s="1102"/>
      <c r="K167" s="1102"/>
      <c r="L167" s="1102"/>
      <c r="M167" s="1102"/>
      <c r="N167" s="1102"/>
      <c r="O167" s="329"/>
      <c r="P167" s="329"/>
      <c r="Q167" s="329"/>
      <c r="R167" s="329"/>
      <c r="S167" s="329"/>
      <c r="T167" s="1626"/>
    </row>
    <row r="168" spans="1:20" x14ac:dyDescent="0.2">
      <c r="A168" s="14"/>
      <c r="B168" s="1147"/>
      <c r="C168" s="1458" t="s">
        <v>184</v>
      </c>
      <c r="D168" s="1110">
        <f>IF(G156=1,76.185,0)</f>
        <v>76.185000000000002</v>
      </c>
      <c r="E168" s="1110">
        <f>(D168/'Energy &amp; Unit Conversions'!$G$84)</f>
        <v>7.2209447311070069E-2</v>
      </c>
      <c r="F168" s="1102"/>
      <c r="G168" s="1102"/>
      <c r="H168" s="1102"/>
      <c r="I168" s="1102"/>
      <c r="J168" s="1102"/>
      <c r="K168" s="1102"/>
      <c r="L168" s="1102"/>
      <c r="M168" s="1102"/>
      <c r="N168" s="1102"/>
      <c r="O168" s="329"/>
      <c r="P168" s="329"/>
      <c r="Q168" s="329"/>
      <c r="R168" s="329"/>
      <c r="S168" s="329"/>
      <c r="T168" s="1626"/>
    </row>
    <row r="169" spans="1:20" x14ac:dyDescent="0.2">
      <c r="A169" s="14"/>
      <c r="B169" s="1147"/>
      <c r="C169" s="1458" t="s">
        <v>185</v>
      </c>
      <c r="D169" s="1110">
        <f>IF(G156=1,155.249,0)</f>
        <v>155.249</v>
      </c>
      <c r="E169" s="1110">
        <f>(D169/'Energy &amp; Unit Conversions'!$G$84)</f>
        <v>0.14714766011152217</v>
      </c>
      <c r="F169" s="1102"/>
      <c r="G169" s="1102"/>
      <c r="H169" s="1102"/>
      <c r="I169" s="1102"/>
      <c r="J169" s="1102"/>
      <c r="K169" s="1102"/>
      <c r="L169" s="1102"/>
      <c r="M169" s="1102"/>
      <c r="N169" s="1102"/>
      <c r="O169" s="329"/>
      <c r="P169" s="329"/>
      <c r="Q169" s="329"/>
      <c r="R169" s="329"/>
      <c r="S169" s="329"/>
      <c r="T169" s="1626"/>
    </row>
    <row r="170" spans="1:20" x14ac:dyDescent="0.2">
      <c r="A170" s="14"/>
      <c r="B170" s="1147"/>
      <c r="C170" s="1458" t="s">
        <v>186</v>
      </c>
      <c r="D170" s="1110">
        <f>IF(G156=1,100,0)</f>
        <v>100</v>
      </c>
      <c r="E170" s="1110">
        <f>(D170/'Energy &amp; Unit Conversions'!$G$84)</f>
        <v>9.4781712031331719E-2</v>
      </c>
      <c r="F170" s="1102"/>
      <c r="G170" s="1102"/>
      <c r="H170" s="1102"/>
      <c r="I170" s="1102"/>
      <c r="J170" s="1102"/>
      <c r="K170" s="1102"/>
      <c r="L170" s="1102"/>
      <c r="M170" s="1102"/>
      <c r="N170" s="1102"/>
      <c r="O170" s="329"/>
      <c r="P170" s="329"/>
      <c r="Q170" s="329"/>
      <c r="R170" s="329"/>
      <c r="S170" s="329"/>
      <c r="T170" s="1626"/>
    </row>
    <row r="171" spans="1:20" x14ac:dyDescent="0.2">
      <c r="A171" s="14"/>
      <c r="B171" s="1147"/>
      <c r="C171" s="1458" t="s">
        <v>187</v>
      </c>
      <c r="D171" s="1110">
        <f>IF(G156=1,50,0)</f>
        <v>50</v>
      </c>
      <c r="E171" s="1110">
        <f>(D171/'Energy &amp; Unit Conversions'!$G$84)</f>
        <v>4.739085601566586E-2</v>
      </c>
      <c r="F171" s="1102"/>
      <c r="G171" s="1102"/>
      <c r="H171" s="1102"/>
      <c r="I171" s="1102"/>
      <c r="J171" s="1102"/>
      <c r="K171" s="1102"/>
      <c r="L171" s="1102"/>
      <c r="M171" s="1102"/>
      <c r="N171" s="1102"/>
      <c r="O171" s="329"/>
      <c r="P171" s="329"/>
      <c r="Q171" s="329"/>
      <c r="R171" s="329"/>
      <c r="S171" s="329"/>
      <c r="T171" s="1626"/>
    </row>
    <row r="172" spans="1:20" x14ac:dyDescent="0.2">
      <c r="A172" s="14"/>
      <c r="B172" s="1147"/>
      <c r="C172" s="1458" t="s">
        <v>188</v>
      </c>
      <c r="D172" s="1110">
        <f>IF(G156=1,200,0)</f>
        <v>200</v>
      </c>
      <c r="E172" s="1110">
        <f>(D172/'Energy &amp; Unit Conversions'!$G$84)</f>
        <v>0.18956342406266344</v>
      </c>
      <c r="F172" s="1102"/>
      <c r="G172" s="1102"/>
      <c r="H172" s="1102"/>
      <c r="I172" s="1102"/>
      <c r="J172" s="1102"/>
      <c r="K172" s="1102"/>
      <c r="L172" s="1102"/>
      <c r="M172" s="1102"/>
      <c r="N172" s="1102"/>
      <c r="O172" s="329"/>
      <c r="P172" s="329"/>
      <c r="Q172" s="329"/>
      <c r="R172" s="329"/>
      <c r="S172" s="329"/>
      <c r="T172" s="1626"/>
    </row>
    <row r="173" spans="1:20" x14ac:dyDescent="0.2">
      <c r="A173" s="14"/>
      <c r="B173" s="1147"/>
      <c r="C173" s="1458" t="s">
        <v>258</v>
      </c>
      <c r="D173" s="1110">
        <f>IF(G156=1,4,0)</f>
        <v>4</v>
      </c>
      <c r="E173" s="1110">
        <f>(D173/'Energy &amp; Unit Conversions'!$G$84)</f>
        <v>3.791268481253269E-3</v>
      </c>
      <c r="F173" s="1102"/>
      <c r="G173" s="1102"/>
      <c r="H173" s="1102"/>
      <c r="I173" s="1102"/>
      <c r="J173" s="1102"/>
      <c r="K173" s="1102"/>
      <c r="L173" s="1102"/>
      <c r="M173" s="1102"/>
      <c r="N173" s="1102"/>
      <c r="O173" s="329"/>
      <c r="P173" s="329"/>
      <c r="Q173" s="329"/>
      <c r="R173" s="329"/>
      <c r="S173" s="329"/>
      <c r="T173" s="1626"/>
    </row>
    <row r="174" spans="1:20" x14ac:dyDescent="0.2">
      <c r="A174" s="14"/>
      <c r="B174" s="1147"/>
      <c r="C174" s="1458" t="s">
        <v>189</v>
      </c>
      <c r="D174" s="1110">
        <f>IF(G156=1,1,0)</f>
        <v>1</v>
      </c>
      <c r="E174" s="1110">
        <f>(D174/'Energy &amp; Unit Conversions'!$G$84)</f>
        <v>9.4781712031331725E-4</v>
      </c>
      <c r="F174" s="1102"/>
      <c r="G174" s="1102"/>
      <c r="H174" s="1102"/>
      <c r="I174" s="1102"/>
      <c r="J174" s="1102"/>
      <c r="K174" s="1102"/>
      <c r="L174" s="1102"/>
      <c r="M174" s="1102"/>
      <c r="N174" s="1102"/>
      <c r="O174" s="329"/>
      <c r="P174" s="329"/>
      <c r="Q174" s="329"/>
      <c r="R174" s="329"/>
      <c r="S174" s="329"/>
      <c r="T174" s="1626"/>
    </row>
    <row r="175" spans="1:20" x14ac:dyDescent="0.2">
      <c r="A175" s="14"/>
      <c r="B175" s="1147"/>
      <c r="C175" s="1458" t="s">
        <v>394</v>
      </c>
      <c r="D175" s="1139">
        <f>IF(G156=1,98590.5060749098,I156*44/12/H156*'Energy &amp; Unit Conversions'!E93*'Energy &amp; Unit Conversions'!G84)</f>
        <v>98590.506074909805</v>
      </c>
      <c r="E175" s="1139">
        <f>(D175/'Energy &amp; Unit Conversions'!$G$84)</f>
        <v>93.445769558153614</v>
      </c>
      <c r="F175" s="1102"/>
      <c r="G175" s="1102"/>
      <c r="H175" s="1102"/>
      <c r="I175" s="1102"/>
      <c r="J175" s="1102"/>
      <c r="K175" s="1102"/>
      <c r="L175" s="1102"/>
      <c r="M175" s="1102"/>
      <c r="N175" s="1102"/>
      <c r="O175" s="329"/>
      <c r="P175" s="329"/>
      <c r="Q175" s="329"/>
      <c r="R175" s="329"/>
      <c r="S175" s="329"/>
      <c r="T175" s="1626"/>
    </row>
    <row r="176" spans="1:20" x14ac:dyDescent="0.2">
      <c r="A176" s="14"/>
      <c r="B176" s="1147"/>
      <c r="C176" s="1458" t="s">
        <v>192</v>
      </c>
      <c r="D176" s="1139">
        <f>D175+(D167*$D$27+D168*$D$28)/$D$30</f>
        <v>98716.670627290761</v>
      </c>
      <c r="E176" s="1139">
        <f>(D176/'Energy &amp; Unit Conversions'!$G$84)</f>
        <v>93.565350480876958</v>
      </c>
      <c r="F176" s="1102"/>
      <c r="G176" s="1102"/>
      <c r="H176" s="1102"/>
      <c r="I176" s="1102"/>
      <c r="J176" s="1102"/>
      <c r="K176" s="1102"/>
      <c r="L176" s="1102"/>
      <c r="M176" s="1102"/>
      <c r="N176" s="1102"/>
      <c r="O176" s="329"/>
      <c r="P176" s="329"/>
      <c r="Q176" s="329"/>
      <c r="R176" s="329"/>
      <c r="S176" s="329"/>
      <c r="T176" s="1626"/>
    </row>
    <row r="177" spans="1:20" x14ac:dyDescent="0.2">
      <c r="A177" s="14"/>
      <c r="B177" s="1147"/>
      <c r="C177" s="1459" t="s">
        <v>131</v>
      </c>
      <c r="D177" s="1112">
        <f>D176+$G$9*D172+$G$10*D173</f>
        <v>105776.67062729076</v>
      </c>
      <c r="E177" s="1112">
        <f>(D177/'Energy &amp; Unit Conversions'!$G$84)</f>
        <v>100.25693935028897</v>
      </c>
      <c r="F177" s="1107"/>
      <c r="G177" s="1102"/>
      <c r="H177" s="1102"/>
      <c r="I177" s="1102"/>
      <c r="J177" s="1102"/>
      <c r="K177" s="1102"/>
      <c r="L177" s="1102"/>
      <c r="M177" s="1102"/>
      <c r="N177" s="1102"/>
      <c r="O177" s="329"/>
      <c r="P177" s="329"/>
      <c r="Q177" s="329"/>
      <c r="R177" s="329"/>
      <c r="S177" s="329"/>
      <c r="T177" s="1626"/>
    </row>
    <row r="178" spans="1:20" x14ac:dyDescent="0.2">
      <c r="A178" s="14"/>
      <c r="B178" s="1147"/>
      <c r="C178" s="1102"/>
      <c r="D178" s="1148" t="s">
        <v>1098</v>
      </c>
      <c r="E178" s="1102"/>
      <c r="F178" s="1102"/>
      <c r="G178" s="1102"/>
      <c r="H178" s="1102"/>
      <c r="I178" s="1102"/>
      <c r="J178" s="1102"/>
      <c r="K178" s="1102"/>
      <c r="L178" s="1102"/>
      <c r="M178" s="1102"/>
      <c r="N178" s="1102"/>
      <c r="O178" s="329"/>
      <c r="P178" s="329"/>
      <c r="Q178" s="329"/>
      <c r="R178" s="329"/>
      <c r="S178" s="329"/>
      <c r="T178" s="1626"/>
    </row>
    <row r="179" spans="1:20" x14ac:dyDescent="0.2">
      <c r="A179" s="14"/>
      <c r="B179" s="1147"/>
      <c r="C179" s="1102"/>
      <c r="D179" s="1102"/>
      <c r="E179" s="1102"/>
      <c r="F179" s="1102"/>
      <c r="G179" s="1102"/>
      <c r="H179" s="1102"/>
      <c r="I179" s="1102"/>
      <c r="J179" s="1102"/>
      <c r="K179" s="1102"/>
      <c r="L179" s="1102"/>
      <c r="M179" s="1102"/>
      <c r="N179" s="1102"/>
      <c r="O179" s="329"/>
      <c r="P179" s="329"/>
      <c r="Q179" s="329"/>
      <c r="R179" s="329"/>
      <c r="S179" s="329"/>
      <c r="T179" s="1626"/>
    </row>
    <row r="180" spans="1:20" ht="15.75" x14ac:dyDescent="0.25">
      <c r="A180" s="14"/>
      <c r="B180" s="1685"/>
      <c r="C180" s="1178" t="s">
        <v>1924</v>
      </c>
      <c r="D180" s="1178"/>
      <c r="E180" s="1178"/>
      <c r="F180" s="1476"/>
      <c r="G180" s="1102"/>
      <c r="H180" s="1102"/>
      <c r="I180" s="1102"/>
      <c r="J180" s="1102"/>
      <c r="K180" s="1102"/>
      <c r="L180" s="1102"/>
      <c r="M180" s="1102"/>
      <c r="N180" s="1102"/>
      <c r="O180" s="329"/>
      <c r="P180" s="329"/>
      <c r="Q180" s="329"/>
      <c r="R180" s="329"/>
      <c r="S180" s="329"/>
      <c r="T180" s="1626"/>
    </row>
    <row r="181" spans="1:20" x14ac:dyDescent="0.2">
      <c r="A181" s="14"/>
      <c r="B181" s="1147"/>
      <c r="C181" s="1102"/>
      <c r="D181" s="1102"/>
      <c r="E181" s="1102"/>
      <c r="F181" s="1102"/>
      <c r="G181" s="1102"/>
      <c r="H181" s="1102"/>
      <c r="I181" s="1102"/>
      <c r="J181" s="1102"/>
      <c r="K181" s="1102"/>
      <c r="L181" s="1102"/>
      <c r="M181" s="1102"/>
      <c r="N181" s="1102"/>
      <c r="O181" s="329"/>
      <c r="P181" s="329"/>
      <c r="Q181" s="329"/>
      <c r="R181" s="329"/>
      <c r="S181" s="329"/>
      <c r="T181" s="1626"/>
    </row>
    <row r="182" spans="1:20" x14ac:dyDescent="0.2">
      <c r="A182" s="14"/>
      <c r="B182" s="1147"/>
      <c r="C182" s="1102"/>
      <c r="D182" s="2537" t="s">
        <v>118</v>
      </c>
      <c r="E182" s="2539"/>
      <c r="F182" s="2538" t="s">
        <v>21</v>
      </c>
      <c r="G182" s="2539"/>
      <c r="H182" s="1102"/>
      <c r="I182" s="1102"/>
      <c r="J182" s="1102"/>
      <c r="K182" s="1102"/>
      <c r="L182" s="1102"/>
      <c r="M182" s="1102"/>
      <c r="N182" s="1102"/>
      <c r="O182" s="329"/>
      <c r="P182" s="329"/>
      <c r="Q182" s="329"/>
      <c r="R182" s="329"/>
      <c r="S182" s="329"/>
      <c r="T182" s="1626"/>
    </row>
    <row r="183" spans="1:20" x14ac:dyDescent="0.2">
      <c r="A183" s="14"/>
      <c r="B183" s="1147"/>
      <c r="C183" s="1444" t="s">
        <v>263</v>
      </c>
      <c r="D183" s="1478">
        <f ca="1">CokingRefineryCalcs!K1139</f>
        <v>0</v>
      </c>
      <c r="E183" s="2084" t="s">
        <v>1040</v>
      </c>
      <c r="F183" s="2085">
        <f ca="1">HydroRefineryCalcs!K1203</f>
        <v>0</v>
      </c>
      <c r="G183" s="1479" t="s">
        <v>1040</v>
      </c>
      <c r="H183" s="1102"/>
      <c r="I183" s="1102"/>
      <c r="J183" s="1102"/>
      <c r="K183" s="1102"/>
      <c r="L183" s="1102"/>
      <c r="M183" s="1102"/>
      <c r="N183" s="1102"/>
      <c r="O183" s="1973"/>
      <c r="P183" s="1973"/>
      <c r="Q183" s="1973"/>
      <c r="R183" s="1973"/>
      <c r="S183" s="329"/>
      <c r="T183" s="1626"/>
    </row>
    <row r="184" spans="1:20" x14ac:dyDescent="0.2">
      <c r="A184" s="14"/>
      <c r="B184" s="1147"/>
      <c r="C184" s="1446" t="s">
        <v>392</v>
      </c>
      <c r="D184" s="1433">
        <f ca="1">CokingRefineryCalcs!K1141</f>
        <v>0</v>
      </c>
      <c r="E184" s="2083" t="s">
        <v>1040</v>
      </c>
      <c r="F184" s="1434">
        <f ca="1">HydroRefineryCalcs!K1205</f>
        <v>0</v>
      </c>
      <c r="G184" s="1436" t="s">
        <v>1040</v>
      </c>
      <c r="H184" s="1102"/>
      <c r="I184" s="1102"/>
      <c r="J184" s="1102"/>
      <c r="K184" s="1102"/>
      <c r="L184" s="1102"/>
      <c r="M184" s="1102"/>
      <c r="N184" s="1102"/>
      <c r="O184" s="2179"/>
      <c r="P184" s="1988"/>
      <c r="Q184" s="2179"/>
      <c r="R184" s="1988"/>
      <c r="S184" s="329"/>
      <c r="T184" s="1626"/>
    </row>
    <row r="185" spans="1:20" x14ac:dyDescent="0.2">
      <c r="A185" s="14"/>
      <c r="B185" s="1147"/>
      <c r="C185" s="1446" t="s">
        <v>224</v>
      </c>
      <c r="D185" s="1433">
        <f ca="1">CokingRefineryCalcs!K1142</f>
        <v>0</v>
      </c>
      <c r="E185" s="2083" t="s">
        <v>1040</v>
      </c>
      <c r="F185" s="1434">
        <f ca="1">HydroRefineryCalcs!K1206</f>
        <v>0</v>
      </c>
      <c r="G185" s="1436" t="s">
        <v>1040</v>
      </c>
      <c r="H185" s="1102"/>
      <c r="I185" s="1102"/>
      <c r="J185" s="1102"/>
      <c r="K185" s="1102"/>
      <c r="L185" s="1102"/>
      <c r="M185" s="1102"/>
      <c r="N185" s="1102"/>
      <c r="O185" s="2179"/>
      <c r="P185" s="1988"/>
      <c r="Q185" s="2179"/>
      <c r="R185" s="1988"/>
      <c r="S185" s="329"/>
      <c r="T185" s="1626"/>
    </row>
    <row r="186" spans="1:20" x14ac:dyDescent="0.2">
      <c r="A186" s="14"/>
      <c r="B186" s="1147"/>
      <c r="C186" s="1446" t="s">
        <v>485</v>
      </c>
      <c r="D186" s="1433">
        <f ca="1">CokingRefineryCalcs!K1143</f>
        <v>0</v>
      </c>
      <c r="E186" s="2083" t="s">
        <v>1040</v>
      </c>
      <c r="F186" s="1434">
        <f ca="1">HydroRefineryCalcs!K1207</f>
        <v>0</v>
      </c>
      <c r="G186" s="1436" t="s">
        <v>1040</v>
      </c>
      <c r="H186" s="1102"/>
      <c r="I186" s="1102"/>
      <c r="J186" s="1102"/>
      <c r="K186" s="1102"/>
      <c r="L186" s="1102"/>
      <c r="M186" s="1102"/>
      <c r="N186" s="1102"/>
      <c r="O186" s="2179"/>
      <c r="P186" s="1988"/>
      <c r="Q186" s="2179"/>
      <c r="R186" s="1988"/>
      <c r="S186" s="329"/>
      <c r="T186" s="1626"/>
    </row>
    <row r="187" spans="1:20" x14ac:dyDescent="0.2">
      <c r="A187" s="14"/>
      <c r="B187" s="1147"/>
      <c r="C187" s="1446" t="s">
        <v>541</v>
      </c>
      <c r="D187" s="1433">
        <f ca="1">CokingRefineryCalcs!K1145</f>
        <v>0</v>
      </c>
      <c r="E187" s="2083" t="s">
        <v>1040</v>
      </c>
      <c r="F187" s="1434">
        <f ca="1">HydroRefineryCalcs!K1209</f>
        <v>0</v>
      </c>
      <c r="G187" s="1436" t="s">
        <v>1040</v>
      </c>
      <c r="H187" s="1102"/>
      <c r="I187" s="1102"/>
      <c r="J187" s="1102"/>
      <c r="K187" s="1102"/>
      <c r="L187" s="1102"/>
      <c r="M187" s="1102"/>
      <c r="N187" s="1102"/>
      <c r="O187" s="2179"/>
      <c r="P187" s="1988"/>
      <c r="Q187" s="2179"/>
      <c r="R187" s="1988"/>
      <c r="S187" s="329"/>
      <c r="T187" s="1626"/>
    </row>
    <row r="188" spans="1:20" x14ac:dyDescent="0.2">
      <c r="A188" s="14"/>
      <c r="B188" s="1147"/>
      <c r="C188" s="1469" t="s">
        <v>234</v>
      </c>
      <c r="D188" s="1480">
        <f ca="1">CokingRefineryCalcs!K1146</f>
        <v>0</v>
      </c>
      <c r="E188" s="2086" t="s">
        <v>1040</v>
      </c>
      <c r="F188" s="1438">
        <f ca="1">HydroRefineryCalcs!K1210</f>
        <v>0</v>
      </c>
      <c r="G188" s="1439" t="s">
        <v>1040</v>
      </c>
      <c r="H188" s="1102"/>
      <c r="I188" s="1102"/>
      <c r="J188" s="1102"/>
      <c r="K188" s="1102"/>
      <c r="L188" s="1102"/>
      <c r="M188" s="1102"/>
      <c r="N188" s="1102"/>
      <c r="O188" s="2179"/>
      <c r="P188" s="1988"/>
      <c r="Q188" s="2179"/>
      <c r="R188" s="1988"/>
      <c r="S188" s="329"/>
      <c r="T188" s="1626"/>
    </row>
    <row r="189" spans="1:20" x14ac:dyDescent="0.2">
      <c r="A189" s="14"/>
      <c r="B189" s="1147"/>
      <c r="C189" s="1102"/>
      <c r="D189" s="1102"/>
      <c r="E189" s="1102"/>
      <c r="F189" s="1102"/>
      <c r="G189" s="1102"/>
      <c r="H189" s="1102"/>
      <c r="I189" s="1102"/>
      <c r="J189" s="1102"/>
      <c r="K189" s="1102"/>
      <c r="L189" s="1102"/>
      <c r="M189" s="1102"/>
      <c r="N189" s="1102"/>
      <c r="O189" s="329"/>
      <c r="P189" s="329"/>
      <c r="Q189" s="329"/>
      <c r="R189" s="329"/>
      <c r="S189" s="329"/>
      <c r="T189" s="1626"/>
    </row>
    <row r="190" spans="1:20" x14ac:dyDescent="0.2">
      <c r="A190" s="14"/>
      <c r="B190" s="1147"/>
      <c r="C190" s="1102"/>
      <c r="D190" s="2543" t="s">
        <v>25</v>
      </c>
      <c r="E190" s="2544"/>
      <c r="F190" s="2544"/>
      <c r="G190" s="2544"/>
      <c r="H190" s="2544"/>
      <c r="I190" s="2544"/>
      <c r="J190" s="2544"/>
      <c r="K190" s="2544"/>
      <c r="L190" s="1102"/>
      <c r="M190" s="1102"/>
      <c r="N190" s="1102"/>
      <c r="O190" s="2052" t="s">
        <v>1991</v>
      </c>
      <c r="P190" s="329"/>
      <c r="Q190" s="329"/>
      <c r="R190" s="329"/>
      <c r="S190" s="329"/>
      <c r="T190" s="1626"/>
    </row>
    <row r="191" spans="1:20" ht="56.25" x14ac:dyDescent="0.2">
      <c r="A191" s="14"/>
      <c r="B191" s="1147"/>
      <c r="C191" s="1102"/>
      <c r="D191" s="1140" t="s">
        <v>132</v>
      </c>
      <c r="E191" s="1140" t="s">
        <v>128</v>
      </c>
      <c r="F191" s="1140" t="s">
        <v>134</v>
      </c>
      <c r="G191" s="1140" t="s">
        <v>129</v>
      </c>
      <c r="H191" s="1140" t="s">
        <v>135</v>
      </c>
      <c r="I191" s="1140" t="s">
        <v>1931</v>
      </c>
      <c r="J191" s="2177" t="s">
        <v>1041</v>
      </c>
      <c r="K191" s="1116" t="s">
        <v>1042</v>
      </c>
      <c r="L191" s="1102"/>
      <c r="M191" s="1102"/>
      <c r="N191" s="1102"/>
      <c r="O191" s="1496" t="s">
        <v>86</v>
      </c>
      <c r="P191" s="1496" t="s">
        <v>87</v>
      </c>
      <c r="Q191" s="1496" t="s">
        <v>190</v>
      </c>
      <c r="R191" s="1496" t="s">
        <v>191</v>
      </c>
      <c r="S191" s="1496" t="str">
        <f>IF(P60=1,R191,Q191)</f>
        <v>Utility/Industrial Boiler (&gt;100 mmBtu/hr input)</v>
      </c>
      <c r="T191" s="2032"/>
    </row>
    <row r="192" spans="1:20" ht="33.75" x14ac:dyDescent="0.2">
      <c r="A192" s="14"/>
      <c r="B192" s="1147"/>
      <c r="C192" s="1102"/>
      <c r="D192" s="1141" t="s">
        <v>1043</v>
      </c>
      <c r="E192" s="1141" t="str">
        <f t="shared" ref="E192:K192" si="20">D192</f>
        <v>Grams per  MJ RFG</v>
      </c>
      <c r="F192" s="1141" t="str">
        <f t="shared" si="20"/>
        <v>Grams per  MJ RFG</v>
      </c>
      <c r="G192" s="1141" t="str">
        <f t="shared" si="20"/>
        <v>Grams per  MJ RFG</v>
      </c>
      <c r="H192" s="1141" t="str">
        <f t="shared" si="20"/>
        <v>Grams per  MJ RFG</v>
      </c>
      <c r="I192" s="1141" t="str">
        <f t="shared" si="20"/>
        <v>Grams per  MJ RFG</v>
      </c>
      <c r="J192" s="2187" t="str">
        <f>H192</f>
        <v>Grams per  MJ RFG</v>
      </c>
      <c r="K192" s="1125" t="str">
        <f t="shared" si="20"/>
        <v>Grams per  MJ RFG</v>
      </c>
      <c r="L192" s="1102"/>
      <c r="M192" s="1102"/>
      <c r="N192" s="1102"/>
      <c r="O192" s="2182" t="s">
        <v>107</v>
      </c>
      <c r="P192" s="2182" t="s">
        <v>107</v>
      </c>
      <c r="Q192" s="2182" t="s">
        <v>120</v>
      </c>
      <c r="R192" s="2182" t="s">
        <v>120</v>
      </c>
      <c r="S192" s="2182" t="str">
        <f>IF(P61=1,R192,Q192)</f>
        <v>grams per MJ of fuel burned</v>
      </c>
      <c r="T192" s="1626"/>
    </row>
    <row r="193" spans="1:20" x14ac:dyDescent="0.2">
      <c r="A193" s="14"/>
      <c r="B193" s="1147"/>
      <c r="C193" s="1145" t="s">
        <v>183</v>
      </c>
      <c r="D193" s="1134"/>
      <c r="E193" s="1134">
        <f t="shared" ref="E193:E202" ca="1" si="21">G43*$D$184</f>
        <v>0</v>
      </c>
      <c r="F193" s="1134">
        <f t="shared" ref="F193:F202" ca="1" si="22">(J66+K66)*$D$185</f>
        <v>0</v>
      </c>
      <c r="G193" s="1134">
        <f t="shared" ref="G193:G202" ca="1" si="23">F90*$D$186</f>
        <v>0</v>
      </c>
      <c r="H193" s="2087">
        <f t="shared" ref="H193:H202" ca="1" si="24">H125*$D$187</f>
        <v>0</v>
      </c>
      <c r="I193" s="1134">
        <f ca="1">E167*D$188</f>
        <v>0</v>
      </c>
      <c r="J193" s="1483">
        <f ca="1">SUM(D193:I193)</f>
        <v>0</v>
      </c>
      <c r="K193" s="1118">
        <f t="shared" ref="K193:K203" si="25">S193</f>
        <v>1.4757512563278348E-3</v>
      </c>
      <c r="L193" s="1151"/>
      <c r="M193" s="1151"/>
      <c r="N193" s="1151"/>
      <c r="O193" s="1605">
        <v>1.5569999999999999</v>
      </c>
      <c r="P193" s="2185">
        <v>2.4169999999999998</v>
      </c>
      <c r="Q193" s="1118">
        <f>O193/'Energy &amp; Unit Conversions'!$G$84</f>
        <v>1.4757512563278348E-3</v>
      </c>
      <c r="R193" s="1118">
        <f>P193/'Energy &amp; Unit Conversions'!$G$84</f>
        <v>2.2908739797972877E-3</v>
      </c>
      <c r="S193" s="1118">
        <f t="shared" ref="S193:S203" si="26">IF($D$60=1,R193,Q193)</f>
        <v>1.4757512563278348E-3</v>
      </c>
      <c r="T193" s="1626"/>
    </row>
    <row r="194" spans="1:20" x14ac:dyDescent="0.2">
      <c r="A194" s="14"/>
      <c r="B194" s="1147"/>
      <c r="C194" s="1458" t="s">
        <v>184</v>
      </c>
      <c r="D194" s="1135"/>
      <c r="E194" s="1135">
        <f t="shared" ca="1" si="21"/>
        <v>0</v>
      </c>
      <c r="F194" s="1135">
        <f t="shared" ca="1" si="22"/>
        <v>0</v>
      </c>
      <c r="G194" s="1135">
        <f t="shared" ca="1" si="23"/>
        <v>0</v>
      </c>
      <c r="H194" s="2088">
        <f t="shared" ca="1" si="24"/>
        <v>0</v>
      </c>
      <c r="I194" s="1135">
        <f t="shared" ref="I194:I203" ca="1" si="27">E168*D$188</f>
        <v>0</v>
      </c>
      <c r="J194" s="1151">
        <f ca="1">SUM(D194:I194)</f>
        <v>0</v>
      </c>
      <c r="K194" s="1118">
        <f t="shared" si="25"/>
        <v>1.5562209298424355E-2</v>
      </c>
      <c r="L194" s="1151"/>
      <c r="M194" s="1151"/>
      <c r="N194" s="1151"/>
      <c r="O194" s="1605">
        <v>16.419</v>
      </c>
      <c r="P194" s="2186">
        <v>28.821999999999999</v>
      </c>
      <c r="Q194" s="1118">
        <f>O194/'Energy &amp; Unit Conversions'!$G$84</f>
        <v>1.5562209298424355E-2</v>
      </c>
      <c r="R194" s="1118">
        <f>P194/'Energy &amp; Unit Conversions'!$G$84</f>
        <v>2.7317985041670427E-2</v>
      </c>
      <c r="S194" s="1118">
        <f t="shared" si="26"/>
        <v>1.5562209298424355E-2</v>
      </c>
      <c r="T194" s="1626"/>
    </row>
    <row r="195" spans="1:20" x14ac:dyDescent="0.2">
      <c r="A195" s="14"/>
      <c r="B195" s="1147"/>
      <c r="C195" s="1458" t="s">
        <v>185</v>
      </c>
      <c r="D195" s="1135"/>
      <c r="E195" s="1135">
        <f t="shared" ca="1" si="21"/>
        <v>0</v>
      </c>
      <c r="F195" s="1135">
        <f t="shared" ca="1" si="22"/>
        <v>0</v>
      </c>
      <c r="G195" s="1135">
        <f t="shared" ca="1" si="23"/>
        <v>0</v>
      </c>
      <c r="H195" s="2088">
        <f t="shared" ca="1" si="24"/>
        <v>0</v>
      </c>
      <c r="I195" s="1135">
        <f t="shared" ca="1" si="27"/>
        <v>0</v>
      </c>
      <c r="J195" s="1151">
        <f ca="1">SUM(D195:I195)</f>
        <v>0</v>
      </c>
      <c r="K195" s="1118">
        <f t="shared" si="25"/>
        <v>5.4600900849889264E-2</v>
      </c>
      <c r="L195" s="1151"/>
      <c r="M195" s="1151"/>
      <c r="N195" s="1151"/>
      <c r="O195" s="1605">
        <v>57.606999999999999</v>
      </c>
      <c r="P195" s="2186">
        <v>30</v>
      </c>
      <c r="Q195" s="1118">
        <f>O195/'Energy &amp; Unit Conversions'!$G$84</f>
        <v>5.4600900849889264E-2</v>
      </c>
      <c r="R195" s="1118">
        <f>P195/'Energy &amp; Unit Conversions'!$G$84</f>
        <v>2.8434513609399515E-2</v>
      </c>
      <c r="S195" s="1118">
        <f t="shared" si="26"/>
        <v>5.4600900849889264E-2</v>
      </c>
      <c r="T195" s="1626"/>
    </row>
    <row r="196" spans="1:20" x14ac:dyDescent="0.2">
      <c r="A196" s="14"/>
      <c r="B196" s="1147"/>
      <c r="C196" s="1458" t="s">
        <v>186</v>
      </c>
      <c r="D196" s="1135"/>
      <c r="E196" s="1135">
        <f t="shared" ca="1" si="21"/>
        <v>0</v>
      </c>
      <c r="F196" s="1135">
        <f t="shared" ca="1" si="22"/>
        <v>0</v>
      </c>
      <c r="G196" s="1135">
        <f t="shared" ca="1" si="23"/>
        <v>0</v>
      </c>
      <c r="H196" s="2088">
        <f t="shared" ca="1" si="24"/>
        <v>0</v>
      </c>
      <c r="I196" s="1135">
        <f t="shared" ca="1" si="27"/>
        <v>0</v>
      </c>
      <c r="J196" s="1151">
        <f t="shared" ref="J196:J202" ca="1" si="28">SUM(D196:I196)</f>
        <v>0</v>
      </c>
      <c r="K196" s="1118">
        <f t="shared" si="25"/>
        <v>3.038701687724495E-3</v>
      </c>
      <c r="L196" s="1151"/>
      <c r="M196" s="1151"/>
      <c r="N196" s="1151"/>
      <c r="O196" s="1605">
        <v>3.206</v>
      </c>
      <c r="P196" s="2186">
        <v>2.96</v>
      </c>
      <c r="Q196" s="1118">
        <f>O196/'Energy &amp; Unit Conversions'!$G$84</f>
        <v>3.038701687724495E-3</v>
      </c>
      <c r="R196" s="1118">
        <f>P196/'Energy &amp; Unit Conversions'!$G$84</f>
        <v>2.805538676127419E-3</v>
      </c>
      <c r="S196" s="1118">
        <f t="shared" si="26"/>
        <v>3.038701687724495E-3</v>
      </c>
      <c r="T196" s="1626"/>
    </row>
    <row r="197" spans="1:20" x14ac:dyDescent="0.2">
      <c r="A197" s="14"/>
      <c r="B197" s="1147"/>
      <c r="C197" s="1458" t="s">
        <v>187</v>
      </c>
      <c r="D197" s="1135"/>
      <c r="E197" s="1135">
        <f t="shared" ca="1" si="21"/>
        <v>0</v>
      </c>
      <c r="F197" s="1135">
        <f t="shared" ca="1" si="22"/>
        <v>0</v>
      </c>
      <c r="G197" s="1135">
        <f t="shared" ca="1" si="23"/>
        <v>0</v>
      </c>
      <c r="H197" s="2088">
        <f t="shared" ca="1" si="24"/>
        <v>0</v>
      </c>
      <c r="I197" s="1135">
        <f t="shared" ca="1" si="27"/>
        <v>0</v>
      </c>
      <c r="J197" s="1151">
        <f t="shared" ca="1" si="28"/>
        <v>0</v>
      </c>
      <c r="K197" s="1118">
        <f t="shared" si="25"/>
        <v>3.038701687724495E-3</v>
      </c>
      <c r="L197" s="1151"/>
      <c r="M197" s="1151"/>
      <c r="N197" s="1151"/>
      <c r="O197" s="1605">
        <v>3.206</v>
      </c>
      <c r="P197" s="2186">
        <v>2.96</v>
      </c>
      <c r="Q197" s="1118">
        <f>O197/'Energy &amp; Unit Conversions'!$G$84</f>
        <v>3.038701687724495E-3</v>
      </c>
      <c r="R197" s="1118">
        <f>P197/'Energy &amp; Unit Conversions'!$G$84</f>
        <v>2.805538676127419E-3</v>
      </c>
      <c r="S197" s="1118">
        <f t="shared" si="26"/>
        <v>3.038701687724495E-3</v>
      </c>
      <c r="T197" s="1626"/>
    </row>
    <row r="198" spans="1:20" x14ac:dyDescent="0.2">
      <c r="A198" s="14"/>
      <c r="B198" s="1147"/>
      <c r="C198" s="1458" t="s">
        <v>188</v>
      </c>
      <c r="D198" s="1135"/>
      <c r="E198" s="1135">
        <f t="shared" ca="1" si="21"/>
        <v>0</v>
      </c>
      <c r="F198" s="1135">
        <f t="shared" ca="1" si="22"/>
        <v>0</v>
      </c>
      <c r="G198" s="1135">
        <f t="shared" ca="1" si="23"/>
        <v>0</v>
      </c>
      <c r="H198" s="2088">
        <f t="shared" ca="1" si="24"/>
        <v>0</v>
      </c>
      <c r="I198" s="1135">
        <f t="shared" ca="1" si="27"/>
        <v>0</v>
      </c>
      <c r="J198" s="1151">
        <f t="shared" ca="1" si="28"/>
        <v>0</v>
      </c>
      <c r="K198" s="1118">
        <f t="shared" si="25"/>
        <v>2.5496280536428233E-4</v>
      </c>
      <c r="L198" s="1151"/>
      <c r="M198" s="1151"/>
      <c r="N198" s="1151"/>
      <c r="O198" s="1605">
        <v>0.26900000000000002</v>
      </c>
      <c r="P198" s="2186">
        <v>0.26900000000000002</v>
      </c>
      <c r="Q198" s="1118">
        <f>O198/'Energy &amp; Unit Conversions'!$G$84</f>
        <v>2.5496280536428233E-4</v>
      </c>
      <c r="R198" s="1118">
        <f>P198/'Energy &amp; Unit Conversions'!$G$84</f>
        <v>2.5496280536428233E-4</v>
      </c>
      <c r="S198" s="1118">
        <f t="shared" si="26"/>
        <v>2.5496280536428233E-4</v>
      </c>
      <c r="T198" s="1626"/>
    </row>
    <row r="199" spans="1:20" x14ac:dyDescent="0.2">
      <c r="A199" s="14"/>
      <c r="B199" s="1147"/>
      <c r="C199" s="1458" t="s">
        <v>258</v>
      </c>
      <c r="D199" s="1135"/>
      <c r="E199" s="1135">
        <f t="shared" ca="1" si="21"/>
        <v>0</v>
      </c>
      <c r="F199" s="1135">
        <f t="shared" ca="1" si="22"/>
        <v>0</v>
      </c>
      <c r="G199" s="1135">
        <f t="shared" ca="1" si="23"/>
        <v>0</v>
      </c>
      <c r="H199" s="2088">
        <f t="shared" ca="1" si="24"/>
        <v>0</v>
      </c>
      <c r="I199" s="1135">
        <f t="shared" ca="1" si="27"/>
        <v>0</v>
      </c>
      <c r="J199" s="1151">
        <f t="shared" ca="1" si="28"/>
        <v>0</v>
      </c>
      <c r="K199" s="1118">
        <f t="shared" si="25"/>
        <v>1.042598832344649E-3</v>
      </c>
      <c r="L199" s="1151"/>
      <c r="M199" s="1151"/>
      <c r="N199" s="1151"/>
      <c r="O199" s="1605">
        <v>1.1000000000000001</v>
      </c>
      <c r="P199" s="2186">
        <v>1.1000000000000001</v>
      </c>
      <c r="Q199" s="1118">
        <f>O199/'Energy &amp; Unit Conversions'!$G$84</f>
        <v>1.042598832344649E-3</v>
      </c>
      <c r="R199" s="1118">
        <f>P199/'Energy &amp; Unit Conversions'!$G$84</f>
        <v>1.042598832344649E-3</v>
      </c>
      <c r="S199" s="1118">
        <f t="shared" si="26"/>
        <v>1.042598832344649E-3</v>
      </c>
      <c r="T199" s="1626"/>
    </row>
    <row r="200" spans="1:20" x14ac:dyDescent="0.2">
      <c r="A200" s="14"/>
      <c r="B200" s="1147"/>
      <c r="C200" s="1458" t="s">
        <v>189</v>
      </c>
      <c r="D200" s="1135"/>
      <c r="E200" s="1135">
        <f t="shared" ca="1" si="21"/>
        <v>0</v>
      </c>
      <c r="F200" s="1135">
        <f t="shared" ca="1" si="22"/>
        <v>0</v>
      </c>
      <c r="G200" s="1135">
        <f t="shared" ca="1" si="23"/>
        <v>0</v>
      </c>
      <c r="H200" s="2088">
        <f t="shared" ca="1" si="24"/>
        <v>0</v>
      </c>
      <c r="I200" s="1135">
        <f t="shared" ca="1" si="27"/>
        <v>0</v>
      </c>
      <c r="J200" s="1151">
        <f t="shared" ca="1" si="28"/>
        <v>0</v>
      </c>
      <c r="K200" s="1118">
        <f t="shared" si="25"/>
        <v>1.042598832344649E-3</v>
      </c>
      <c r="L200" s="1151"/>
      <c r="M200" s="1151"/>
      <c r="N200" s="1151"/>
      <c r="O200" s="1605">
        <v>1.1000000000000001</v>
      </c>
      <c r="P200" s="2186">
        <v>1.1000000000000001</v>
      </c>
      <c r="Q200" s="1118">
        <f>O200/'Energy &amp; Unit Conversions'!$G$84</f>
        <v>1.042598832344649E-3</v>
      </c>
      <c r="R200" s="1118">
        <f>P200/'Energy &amp; Unit Conversions'!$G$84</f>
        <v>1.042598832344649E-3</v>
      </c>
      <c r="S200" s="1118">
        <f t="shared" si="26"/>
        <v>1.042598832344649E-3</v>
      </c>
      <c r="T200" s="1626"/>
    </row>
    <row r="201" spans="1:20" x14ac:dyDescent="0.2">
      <c r="A201" s="14"/>
      <c r="B201" s="1147"/>
      <c r="C201" s="1458" t="s">
        <v>394</v>
      </c>
      <c r="D201" s="1143">
        <v>0</v>
      </c>
      <c r="E201" s="1143">
        <f t="shared" ca="1" si="21"/>
        <v>0</v>
      </c>
      <c r="F201" s="1143">
        <f t="shared" ca="1" si="22"/>
        <v>0</v>
      </c>
      <c r="G201" s="1143">
        <f t="shared" ca="1" si="23"/>
        <v>0</v>
      </c>
      <c r="H201" s="2089">
        <f t="shared" ca="1" si="24"/>
        <v>0</v>
      </c>
      <c r="I201" s="1135">
        <f t="shared" ca="1" si="27"/>
        <v>0</v>
      </c>
      <c r="J201" s="1144">
        <f ca="1">SUM(D201:I201)</f>
        <v>0</v>
      </c>
      <c r="K201" s="1118">
        <f t="shared" ca="1" si="25"/>
        <v>59.550253668984844</v>
      </c>
      <c r="L201" s="1151"/>
      <c r="M201" s="1151"/>
      <c r="N201" s="1151"/>
      <c r="O201" s="1605">
        <f ca="1">(1/CokingRefineryCalcs!H1440*(1-CokingRefineryCalcs!M1440/100)*'Energy &amp; Unit Conversions'!$E$94-(E66*$D$27+E67*$D$28+E72*$D$29))/$D$30</f>
        <v>62828.843658468089</v>
      </c>
      <c r="P201" s="2186">
        <f>(('Energy &amp; Unit Conversions'!$E$25/IF('Energy &amp; Unit Conversions'!$E$10=1,'Energy &amp; Unit Conversions'!$G$25,'Energy &amp; Unit Conversions'!$K$25))*'Energy &amp; Unit Conversions'!$F$25*'Energy &amp; Unit Conversions'!$E$94-(F66*$D$27+F67*$D$28+F72*$D$29))/$D$30</f>
        <v>59356.832567555583</v>
      </c>
      <c r="Q201" s="1119">
        <f ca="1">O201/'Energy &amp; Unit Conversions'!$G$84</f>
        <v>59.550253668984844</v>
      </c>
      <c r="R201" s="1119">
        <f>P201/'Energy &amp; Unit Conversions'!$G$84</f>
        <v>56.259422115100257</v>
      </c>
      <c r="S201" s="1119">
        <f t="shared" ca="1" si="26"/>
        <v>59.550253668984844</v>
      </c>
      <c r="T201" s="1626"/>
    </row>
    <row r="202" spans="1:20" x14ac:dyDescent="0.2">
      <c r="A202" s="14"/>
      <c r="B202" s="1147"/>
      <c r="C202" s="1458" t="s">
        <v>192</v>
      </c>
      <c r="D202" s="1135"/>
      <c r="E202" s="1135">
        <f t="shared" ca="1" si="21"/>
        <v>0</v>
      </c>
      <c r="F202" s="1135">
        <f t="shared" ca="1" si="22"/>
        <v>0</v>
      </c>
      <c r="G202" s="1135">
        <f t="shared" ca="1" si="23"/>
        <v>0</v>
      </c>
      <c r="H202" s="2088">
        <f t="shared" ca="1" si="24"/>
        <v>0</v>
      </c>
      <c r="I202" s="1135">
        <f t="shared" ca="1" si="27"/>
        <v>0</v>
      </c>
      <c r="J202" s="1151">
        <f t="shared" ca="1" si="28"/>
        <v>0</v>
      </c>
      <c r="K202" s="1118">
        <f t="shared" ca="1" si="25"/>
        <v>59.560818878103021</v>
      </c>
      <c r="L202" s="1151"/>
      <c r="M202" s="1151"/>
      <c r="N202" s="1151"/>
      <c r="O202" s="2183">
        <f ca="1">O201+(O193*$D$27+O194*$D$28)/$D$29</f>
        <v>62839.990544182372</v>
      </c>
      <c r="P202" s="1111">
        <f>P201+(P193*$D$27+P194*$D$28)/$D$29</f>
        <v>59376.041548507965</v>
      </c>
      <c r="Q202" s="1119">
        <f ca="1">O202/'Energy &amp; Unit Conversions'!$G$84</f>
        <v>59.560818878103021</v>
      </c>
      <c r="R202" s="1119">
        <f>P202/'Energy &amp; Unit Conversions'!$G$84</f>
        <v>56.277628716110698</v>
      </c>
      <c r="S202" s="1119">
        <f t="shared" ca="1" si="26"/>
        <v>59.560818878103021</v>
      </c>
      <c r="T202" s="1626"/>
    </row>
    <row r="203" spans="1:20" x14ac:dyDescent="0.2">
      <c r="A203" s="14"/>
      <c r="B203" s="1147"/>
      <c r="C203" s="1459" t="s">
        <v>131</v>
      </c>
      <c r="D203" s="1137">
        <f>D202+$G$9*D199+$G$10*D200</f>
        <v>0</v>
      </c>
      <c r="E203" s="1137">
        <f ca="1">E202+$G$9*E199+$G$10*E200</f>
        <v>0</v>
      </c>
      <c r="F203" s="1137">
        <f ca="1">F202+$G$9*F199+$G$10*F200</f>
        <v>0</v>
      </c>
      <c r="G203" s="1137">
        <f ca="1">G202+$G$9*G199+$G$10*G200</f>
        <v>0</v>
      </c>
      <c r="H203" s="2090">
        <f ca="1">H202+$G$9*H199+$G$10*H200</f>
        <v>0</v>
      </c>
      <c r="I203" s="1146">
        <f t="shared" ca="1" si="27"/>
        <v>0</v>
      </c>
      <c r="J203" s="1486">
        <f ca="1">SUM(D203:I203)</f>
        <v>0</v>
      </c>
      <c r="K203" s="2188">
        <f t="shared" ca="1" si="25"/>
        <v>59.868385533644698</v>
      </c>
      <c r="L203" s="1144"/>
      <c r="M203" s="1144"/>
      <c r="N203" s="1144"/>
      <c r="O203" s="2184">
        <f ca="1">O202+$G$9*O199+$G$10*O200</f>
        <v>63164.490544182372</v>
      </c>
      <c r="P203" s="1112">
        <f>P202+$G$9*P199+$G$10*P200</f>
        <v>59700.541548507965</v>
      </c>
      <c r="Q203" s="1120">
        <f ca="1">Q202+$G$9*Q199+$G$10*Q200</f>
        <v>59.868385533644698</v>
      </c>
      <c r="R203" s="1120">
        <f>R202+$G$9*R199+$G$10*R200</f>
        <v>56.585195371652375</v>
      </c>
      <c r="S203" s="1120">
        <f t="shared" ca="1" si="26"/>
        <v>59.868385533644698</v>
      </c>
      <c r="T203" s="1626"/>
    </row>
    <row r="204" spans="1:20" x14ac:dyDescent="0.2">
      <c r="A204" s="14"/>
      <c r="B204" s="1147"/>
      <c r="C204" s="1109"/>
      <c r="D204" s="1144"/>
      <c r="E204" s="1144"/>
      <c r="F204" s="1144"/>
      <c r="G204" s="1144"/>
      <c r="H204" s="1144"/>
      <c r="I204" s="1144"/>
      <c r="J204" s="1144"/>
      <c r="K204" s="1144"/>
      <c r="L204" s="1144"/>
      <c r="M204" s="1144"/>
      <c r="N204" s="1144"/>
      <c r="O204" s="329"/>
      <c r="P204" s="329"/>
      <c r="Q204" s="329"/>
      <c r="R204" s="329"/>
      <c r="S204" s="329"/>
      <c r="T204" s="1626"/>
    </row>
    <row r="205" spans="1:20" x14ac:dyDescent="0.2">
      <c r="A205" s="14"/>
      <c r="B205" s="1147"/>
      <c r="C205" s="1109"/>
      <c r="D205" s="2543" t="s">
        <v>1729</v>
      </c>
      <c r="E205" s="2544"/>
      <c r="F205" s="2544"/>
      <c r="G205" s="2544"/>
      <c r="H205" s="2544"/>
      <c r="I205" s="2544"/>
      <c r="J205" s="2544"/>
      <c r="K205" s="2544"/>
      <c r="L205" s="1144"/>
      <c r="M205" s="1144"/>
      <c r="N205" s="1144"/>
      <c r="O205" s="2052" t="s">
        <v>1992</v>
      </c>
      <c r="P205" s="329"/>
      <c r="Q205" s="329"/>
      <c r="R205" s="329"/>
      <c r="S205" s="329"/>
      <c r="T205" s="1626"/>
    </row>
    <row r="206" spans="1:20" ht="56.25" x14ac:dyDescent="0.2">
      <c r="A206" s="14"/>
      <c r="B206" s="1147"/>
      <c r="C206" s="1109"/>
      <c r="D206" s="1140" t="s">
        <v>132</v>
      </c>
      <c r="E206" s="1140" t="s">
        <v>128</v>
      </c>
      <c r="F206" s="1140" t="s">
        <v>134</v>
      </c>
      <c r="G206" s="1140" t="s">
        <v>129</v>
      </c>
      <c r="H206" s="1140" t="s">
        <v>135</v>
      </c>
      <c r="I206" s="1140" t="s">
        <v>1931</v>
      </c>
      <c r="J206" s="1140" t="s">
        <v>1041</v>
      </c>
      <c r="K206" s="1116" t="s">
        <v>1042</v>
      </c>
      <c r="L206" s="1144"/>
      <c r="M206" s="1144"/>
      <c r="N206" s="1144"/>
      <c r="O206" s="1496" t="s">
        <v>86</v>
      </c>
      <c r="P206" s="1496" t="s">
        <v>87</v>
      </c>
      <c r="Q206" s="1496" t="s">
        <v>190</v>
      </c>
      <c r="R206" s="1496" t="s">
        <v>191</v>
      </c>
      <c r="S206" s="1496" t="str">
        <f ca="1">IF(O202=1,R206,Q206)</f>
        <v>Utility/Industrial Boiler (&gt;100 mmBtu/hr input)</v>
      </c>
      <c r="T206" s="2032"/>
    </row>
    <row r="207" spans="1:20" ht="33.75" x14ac:dyDescent="0.2">
      <c r="A207" s="14"/>
      <c r="B207" s="1147"/>
      <c r="C207" s="1109"/>
      <c r="D207" s="1141" t="s">
        <v>1043</v>
      </c>
      <c r="E207" s="1141" t="str">
        <f t="shared" ref="E207:K207" si="29">D207</f>
        <v>Grams per  MJ RFG</v>
      </c>
      <c r="F207" s="1141" t="str">
        <f t="shared" si="29"/>
        <v>Grams per  MJ RFG</v>
      </c>
      <c r="G207" s="1141" t="str">
        <f t="shared" si="29"/>
        <v>Grams per  MJ RFG</v>
      </c>
      <c r="H207" s="1141" t="str">
        <f t="shared" si="29"/>
        <v>Grams per  MJ RFG</v>
      </c>
      <c r="I207" s="1141" t="str">
        <f t="shared" si="29"/>
        <v>Grams per  MJ RFG</v>
      </c>
      <c r="J207" s="1141" t="str">
        <f>H207</f>
        <v>Grams per  MJ RFG</v>
      </c>
      <c r="K207" s="1125" t="str">
        <f t="shared" si="29"/>
        <v>Grams per  MJ RFG</v>
      </c>
      <c r="L207" s="1144"/>
      <c r="M207" s="1144"/>
      <c r="N207" s="1144"/>
      <c r="O207" s="2182" t="s">
        <v>107</v>
      </c>
      <c r="P207" s="2182" t="s">
        <v>107</v>
      </c>
      <c r="Q207" s="2182" t="s">
        <v>120</v>
      </c>
      <c r="R207" s="2182" t="s">
        <v>120</v>
      </c>
      <c r="S207" s="2182" t="str">
        <f ca="1">IF(O203=1,R207,Q207)</f>
        <v>grams per MJ of fuel burned</v>
      </c>
      <c r="T207" s="1626"/>
    </row>
    <row r="208" spans="1:20" x14ac:dyDescent="0.2">
      <c r="A208" s="14"/>
      <c r="B208" s="1147"/>
      <c r="C208" s="1145" t="s">
        <v>183</v>
      </c>
      <c r="D208" s="1134"/>
      <c r="E208" s="1134">
        <f t="shared" ref="E208:E217" ca="1" si="30">G43*$F$184</f>
        <v>0</v>
      </c>
      <c r="F208" s="1134">
        <f t="shared" ref="F208:F217" ca="1" si="31">(J66+K66)*$F$185</f>
        <v>0</v>
      </c>
      <c r="G208" s="1134">
        <f t="shared" ref="G208:G217" ca="1" si="32">J90*$F$186</f>
        <v>0</v>
      </c>
      <c r="H208" s="2087">
        <f t="shared" ref="H208:H217" ca="1" si="33">H139*$F$187</f>
        <v>0</v>
      </c>
      <c r="I208" s="2087">
        <f ca="1">E167*F$188</f>
        <v>0</v>
      </c>
      <c r="J208" s="2087">
        <f ca="1">SUM(D208:I208)</f>
        <v>0</v>
      </c>
      <c r="K208" s="1142">
        <f t="shared" ref="K208:K218" si="34">S208</f>
        <v>1.4757512563278348E-3</v>
      </c>
      <c r="L208" s="1144"/>
      <c r="M208" s="1144"/>
      <c r="N208" s="1144"/>
      <c r="O208" s="1605">
        <v>1.5569999999999999</v>
      </c>
      <c r="P208" s="2185">
        <v>2.4169999999999998</v>
      </c>
      <c r="Q208" s="1118">
        <f>O208/'Energy &amp; Unit Conversions'!$G$84</f>
        <v>1.4757512563278348E-3</v>
      </c>
      <c r="R208" s="1118">
        <f>P208/'Energy &amp; Unit Conversions'!$G$84</f>
        <v>2.2908739797972877E-3</v>
      </c>
      <c r="S208" s="1118">
        <f t="shared" ref="S208:S218" si="35">IF($D$60=1,R208,Q208)</f>
        <v>1.4757512563278348E-3</v>
      </c>
      <c r="T208" s="1626"/>
    </row>
    <row r="209" spans="1:20" x14ac:dyDescent="0.2">
      <c r="A209" s="14"/>
      <c r="B209" s="1147"/>
      <c r="C209" s="1458" t="s">
        <v>184</v>
      </c>
      <c r="D209" s="1135"/>
      <c r="E209" s="1135">
        <f t="shared" ca="1" si="30"/>
        <v>0</v>
      </c>
      <c r="F209" s="1135">
        <f t="shared" ca="1" si="31"/>
        <v>0</v>
      </c>
      <c r="G209" s="1135">
        <f t="shared" ca="1" si="32"/>
        <v>0</v>
      </c>
      <c r="H209" s="2088">
        <f t="shared" ca="1" si="33"/>
        <v>0</v>
      </c>
      <c r="I209" s="2088">
        <f t="shared" ref="I209:I218" ca="1" si="36">E168*F$188</f>
        <v>0</v>
      </c>
      <c r="J209" s="2088">
        <f t="shared" ref="J209:J217" ca="1" si="37">SUM(D209:I209)</f>
        <v>0</v>
      </c>
      <c r="K209" s="1118">
        <f t="shared" si="34"/>
        <v>1.5562209298424355E-2</v>
      </c>
      <c r="L209" s="1144"/>
      <c r="M209" s="1144"/>
      <c r="N209" s="1144"/>
      <c r="O209" s="1605">
        <v>16.419</v>
      </c>
      <c r="P209" s="2186">
        <v>28.821999999999999</v>
      </c>
      <c r="Q209" s="1118">
        <f>O209/'Energy &amp; Unit Conversions'!$G$84</f>
        <v>1.5562209298424355E-2</v>
      </c>
      <c r="R209" s="1118">
        <f>P209/'Energy &amp; Unit Conversions'!$G$84</f>
        <v>2.7317985041670427E-2</v>
      </c>
      <c r="S209" s="1118">
        <f t="shared" si="35"/>
        <v>1.5562209298424355E-2</v>
      </c>
      <c r="T209" s="1626"/>
    </row>
    <row r="210" spans="1:20" x14ac:dyDescent="0.2">
      <c r="A210" s="14"/>
      <c r="B210" s="1147"/>
      <c r="C210" s="1458" t="s">
        <v>185</v>
      </c>
      <c r="D210" s="1135"/>
      <c r="E210" s="1135">
        <f t="shared" ca="1" si="30"/>
        <v>0</v>
      </c>
      <c r="F210" s="1135">
        <f t="shared" ca="1" si="31"/>
        <v>0</v>
      </c>
      <c r="G210" s="1135">
        <f t="shared" ca="1" si="32"/>
        <v>0</v>
      </c>
      <c r="H210" s="2088">
        <f t="shared" ca="1" si="33"/>
        <v>0</v>
      </c>
      <c r="I210" s="2088">
        <f t="shared" ca="1" si="36"/>
        <v>0</v>
      </c>
      <c r="J210" s="2088">
        <f t="shared" ca="1" si="37"/>
        <v>0</v>
      </c>
      <c r="K210" s="1118">
        <f t="shared" si="34"/>
        <v>5.4600900849889264E-2</v>
      </c>
      <c r="L210" s="1144"/>
      <c r="M210" s="1144"/>
      <c r="N210" s="1144"/>
      <c r="O210" s="1605">
        <v>57.606999999999999</v>
      </c>
      <c r="P210" s="2186">
        <v>30</v>
      </c>
      <c r="Q210" s="1118">
        <f>O210/'Energy &amp; Unit Conversions'!$G$84</f>
        <v>5.4600900849889264E-2</v>
      </c>
      <c r="R210" s="1118">
        <f>P210/'Energy &amp; Unit Conversions'!$G$84</f>
        <v>2.8434513609399515E-2</v>
      </c>
      <c r="S210" s="1118">
        <f t="shared" si="35"/>
        <v>5.4600900849889264E-2</v>
      </c>
      <c r="T210" s="1626"/>
    </row>
    <row r="211" spans="1:20" x14ac:dyDescent="0.2">
      <c r="A211" s="14"/>
      <c r="B211" s="1147"/>
      <c r="C211" s="1458" t="s">
        <v>186</v>
      </c>
      <c r="D211" s="1135"/>
      <c r="E211" s="1135">
        <f t="shared" ca="1" si="30"/>
        <v>0</v>
      </c>
      <c r="F211" s="1135">
        <f t="shared" ca="1" si="31"/>
        <v>0</v>
      </c>
      <c r="G211" s="1135">
        <f t="shared" ca="1" si="32"/>
        <v>0</v>
      </c>
      <c r="H211" s="2088">
        <f t="shared" ca="1" si="33"/>
        <v>0</v>
      </c>
      <c r="I211" s="2088">
        <f t="shared" ca="1" si="36"/>
        <v>0</v>
      </c>
      <c r="J211" s="2088">
        <f t="shared" ca="1" si="37"/>
        <v>0</v>
      </c>
      <c r="K211" s="1118">
        <f t="shared" si="34"/>
        <v>3.038701687724495E-3</v>
      </c>
      <c r="L211" s="1144"/>
      <c r="M211" s="1144"/>
      <c r="N211" s="1144"/>
      <c r="O211" s="1605">
        <v>3.206</v>
      </c>
      <c r="P211" s="2186">
        <v>2.96</v>
      </c>
      <c r="Q211" s="1118">
        <f>O211/'Energy &amp; Unit Conversions'!$G$84</f>
        <v>3.038701687724495E-3</v>
      </c>
      <c r="R211" s="1118">
        <f>P211/'Energy &amp; Unit Conversions'!$G$84</f>
        <v>2.805538676127419E-3</v>
      </c>
      <c r="S211" s="1118">
        <f t="shared" si="35"/>
        <v>3.038701687724495E-3</v>
      </c>
      <c r="T211" s="1626"/>
    </row>
    <row r="212" spans="1:20" x14ac:dyDescent="0.2">
      <c r="A212" s="14"/>
      <c r="B212" s="1147"/>
      <c r="C212" s="1458" t="s">
        <v>187</v>
      </c>
      <c r="D212" s="1135"/>
      <c r="E212" s="1135">
        <f t="shared" ca="1" si="30"/>
        <v>0</v>
      </c>
      <c r="F212" s="1135">
        <f t="shared" ca="1" si="31"/>
        <v>0</v>
      </c>
      <c r="G212" s="1135">
        <f t="shared" ca="1" si="32"/>
        <v>0</v>
      </c>
      <c r="H212" s="2088">
        <f t="shared" ca="1" si="33"/>
        <v>0</v>
      </c>
      <c r="I212" s="2088">
        <f t="shared" ca="1" si="36"/>
        <v>0</v>
      </c>
      <c r="J212" s="2088">
        <f t="shared" ca="1" si="37"/>
        <v>0</v>
      </c>
      <c r="K212" s="1118">
        <f t="shared" si="34"/>
        <v>3.038701687724495E-3</v>
      </c>
      <c r="L212" s="1144"/>
      <c r="M212" s="1144"/>
      <c r="N212" s="1144"/>
      <c r="O212" s="1605">
        <v>3.206</v>
      </c>
      <c r="P212" s="2186">
        <v>2.96</v>
      </c>
      <c r="Q212" s="1118">
        <f>O212/'Energy &amp; Unit Conversions'!$G$84</f>
        <v>3.038701687724495E-3</v>
      </c>
      <c r="R212" s="1118">
        <f>P212/'Energy &amp; Unit Conversions'!$G$84</f>
        <v>2.805538676127419E-3</v>
      </c>
      <c r="S212" s="1118">
        <f t="shared" si="35"/>
        <v>3.038701687724495E-3</v>
      </c>
      <c r="T212" s="1626"/>
    </row>
    <row r="213" spans="1:20" x14ac:dyDescent="0.2">
      <c r="A213" s="14"/>
      <c r="B213" s="1147"/>
      <c r="C213" s="1458" t="s">
        <v>188</v>
      </c>
      <c r="D213" s="1135"/>
      <c r="E213" s="1135">
        <f t="shared" ca="1" si="30"/>
        <v>0</v>
      </c>
      <c r="F213" s="1135">
        <f t="shared" ca="1" si="31"/>
        <v>0</v>
      </c>
      <c r="G213" s="1135">
        <f t="shared" ca="1" si="32"/>
        <v>0</v>
      </c>
      <c r="H213" s="2088">
        <f t="shared" ca="1" si="33"/>
        <v>0</v>
      </c>
      <c r="I213" s="2088">
        <f t="shared" ca="1" si="36"/>
        <v>0</v>
      </c>
      <c r="J213" s="2088">
        <f t="shared" ca="1" si="37"/>
        <v>0</v>
      </c>
      <c r="K213" s="1118">
        <f t="shared" si="34"/>
        <v>2.5496280536428233E-4</v>
      </c>
      <c r="L213" s="1144"/>
      <c r="M213" s="1144"/>
      <c r="N213" s="1144"/>
      <c r="O213" s="1605">
        <v>0.26900000000000002</v>
      </c>
      <c r="P213" s="2186">
        <v>0.26900000000000002</v>
      </c>
      <c r="Q213" s="1118">
        <f>O213/'Energy &amp; Unit Conversions'!$G$84</f>
        <v>2.5496280536428233E-4</v>
      </c>
      <c r="R213" s="1118">
        <f>P213/'Energy &amp; Unit Conversions'!$G$84</f>
        <v>2.5496280536428233E-4</v>
      </c>
      <c r="S213" s="1118">
        <f t="shared" si="35"/>
        <v>2.5496280536428233E-4</v>
      </c>
      <c r="T213" s="1626"/>
    </row>
    <row r="214" spans="1:20" x14ac:dyDescent="0.2">
      <c r="A214" s="14"/>
      <c r="B214" s="1147"/>
      <c r="C214" s="1458" t="s">
        <v>258</v>
      </c>
      <c r="D214" s="1135"/>
      <c r="E214" s="1135">
        <f t="shared" ca="1" si="30"/>
        <v>0</v>
      </c>
      <c r="F214" s="1135">
        <f t="shared" ca="1" si="31"/>
        <v>0</v>
      </c>
      <c r="G214" s="1135">
        <f t="shared" ca="1" si="32"/>
        <v>0</v>
      </c>
      <c r="H214" s="2088">
        <f t="shared" ca="1" si="33"/>
        <v>0</v>
      </c>
      <c r="I214" s="2088">
        <f t="shared" ca="1" si="36"/>
        <v>0</v>
      </c>
      <c r="J214" s="2088">
        <f t="shared" ca="1" si="37"/>
        <v>0</v>
      </c>
      <c r="K214" s="1118">
        <f t="shared" si="34"/>
        <v>1.042598832344649E-3</v>
      </c>
      <c r="L214" s="1144"/>
      <c r="M214" s="1144"/>
      <c r="N214" s="1144"/>
      <c r="O214" s="1605">
        <v>1.1000000000000001</v>
      </c>
      <c r="P214" s="2186">
        <v>1.1000000000000001</v>
      </c>
      <c r="Q214" s="1118">
        <f>O214/'Energy &amp; Unit Conversions'!$G$84</f>
        <v>1.042598832344649E-3</v>
      </c>
      <c r="R214" s="1118">
        <f>P214/'Energy &amp; Unit Conversions'!$G$84</f>
        <v>1.042598832344649E-3</v>
      </c>
      <c r="S214" s="1118">
        <f t="shared" si="35"/>
        <v>1.042598832344649E-3</v>
      </c>
      <c r="T214" s="1626"/>
    </row>
    <row r="215" spans="1:20" x14ac:dyDescent="0.2">
      <c r="A215" s="14"/>
      <c r="B215" s="1147"/>
      <c r="C215" s="1458" t="s">
        <v>189</v>
      </c>
      <c r="D215" s="1135"/>
      <c r="E215" s="1135">
        <f t="shared" ca="1" si="30"/>
        <v>0</v>
      </c>
      <c r="F215" s="1135">
        <f t="shared" ca="1" si="31"/>
        <v>0</v>
      </c>
      <c r="G215" s="1135">
        <f t="shared" ca="1" si="32"/>
        <v>0</v>
      </c>
      <c r="H215" s="2088">
        <f t="shared" ca="1" si="33"/>
        <v>0</v>
      </c>
      <c r="I215" s="2088">
        <f t="shared" ca="1" si="36"/>
        <v>0</v>
      </c>
      <c r="J215" s="2088">
        <f t="shared" ca="1" si="37"/>
        <v>0</v>
      </c>
      <c r="K215" s="1118">
        <f t="shared" si="34"/>
        <v>1.042598832344649E-3</v>
      </c>
      <c r="L215" s="1144"/>
      <c r="M215" s="1144"/>
      <c r="N215" s="1144"/>
      <c r="O215" s="1605">
        <v>1.1000000000000001</v>
      </c>
      <c r="P215" s="2186">
        <v>1.1000000000000001</v>
      </c>
      <c r="Q215" s="1118">
        <f>O215/'Energy &amp; Unit Conversions'!$G$84</f>
        <v>1.042598832344649E-3</v>
      </c>
      <c r="R215" s="1118">
        <f>P215/'Energy &amp; Unit Conversions'!$G$84</f>
        <v>1.042598832344649E-3</v>
      </c>
      <c r="S215" s="1118">
        <f t="shared" si="35"/>
        <v>1.042598832344649E-3</v>
      </c>
      <c r="T215" s="1626"/>
    </row>
    <row r="216" spans="1:20" x14ac:dyDescent="0.2">
      <c r="A216" s="14"/>
      <c r="B216" s="1147"/>
      <c r="C216" s="1458" t="s">
        <v>394</v>
      </c>
      <c r="D216" s="1143">
        <v>0</v>
      </c>
      <c r="E216" s="1143">
        <f t="shared" ca="1" si="30"/>
        <v>0</v>
      </c>
      <c r="F216" s="1143">
        <f t="shared" ca="1" si="31"/>
        <v>0</v>
      </c>
      <c r="G216" s="1143">
        <f t="shared" ca="1" si="32"/>
        <v>0</v>
      </c>
      <c r="H216" s="2089">
        <f t="shared" ca="1" si="33"/>
        <v>0</v>
      </c>
      <c r="I216" s="2088">
        <f t="shared" ca="1" si="36"/>
        <v>0</v>
      </c>
      <c r="J216" s="2089">
        <f ca="1">SUM(D216:I216)</f>
        <v>0</v>
      </c>
      <c r="K216" s="1118">
        <f t="shared" ca="1" si="34"/>
        <v>59.550253668984844</v>
      </c>
      <c r="L216" s="1144"/>
      <c r="M216" s="1144"/>
      <c r="N216" s="1144"/>
      <c r="O216" s="1605">
        <f ca="1">(1/HydroRefineryCalcs!H1501*(1-CokingRefineryCalcs!M1440/100)*'Energy &amp; Unit Conversions'!$E$94-(E66*$D$27+E67*$D$28+E72*$D$29))/$D$30</f>
        <v>62828.843658468089</v>
      </c>
      <c r="P216" s="2186">
        <f>(('Energy &amp; Unit Conversions'!$E$25/IF('Energy &amp; Unit Conversions'!$E$10=1,'Energy &amp; Unit Conversions'!$G$25,'Energy &amp; Unit Conversions'!$K$25))*'Energy &amp; Unit Conversions'!$F$25*'Energy &amp; Unit Conversions'!$E$94-(F66*$D$27+F67*$D$28+F72*$D$29))/$D$30</f>
        <v>59356.832567555583</v>
      </c>
      <c r="Q216" s="1119">
        <f ca="1">O216/'Energy &amp; Unit Conversions'!$G$84</f>
        <v>59.550253668984844</v>
      </c>
      <c r="R216" s="1119">
        <f>P216/'Energy &amp; Unit Conversions'!$G$84</f>
        <v>56.259422115100257</v>
      </c>
      <c r="S216" s="1119">
        <f t="shared" ca="1" si="35"/>
        <v>59.550253668984844</v>
      </c>
      <c r="T216" s="1626"/>
    </row>
    <row r="217" spans="1:20" x14ac:dyDescent="0.2">
      <c r="A217" s="14"/>
      <c r="B217" s="1147"/>
      <c r="C217" s="1458" t="s">
        <v>192</v>
      </c>
      <c r="D217" s="1135"/>
      <c r="E217" s="1135">
        <f t="shared" ca="1" si="30"/>
        <v>0</v>
      </c>
      <c r="F217" s="1135">
        <f t="shared" ca="1" si="31"/>
        <v>0</v>
      </c>
      <c r="G217" s="1135">
        <f t="shared" ca="1" si="32"/>
        <v>0</v>
      </c>
      <c r="H217" s="2088">
        <f t="shared" ca="1" si="33"/>
        <v>0</v>
      </c>
      <c r="I217" s="2088">
        <f t="shared" ca="1" si="36"/>
        <v>0</v>
      </c>
      <c r="J217" s="2088">
        <f t="shared" ca="1" si="37"/>
        <v>0</v>
      </c>
      <c r="K217" s="1118">
        <f t="shared" ca="1" si="34"/>
        <v>59.560818878103021</v>
      </c>
      <c r="L217" s="1144"/>
      <c r="M217" s="1144"/>
      <c r="N217" s="1144"/>
      <c r="O217" s="2183">
        <f ca="1">O216+(O208*$D$27+O209*$D$28)/$D$29</f>
        <v>62839.990544182372</v>
      </c>
      <c r="P217" s="1111">
        <f>P216+(P208*$D$27+P209*$D$28)/$D$29</f>
        <v>59376.041548507965</v>
      </c>
      <c r="Q217" s="1119">
        <f ca="1">O217/'Energy &amp; Unit Conversions'!$G$84</f>
        <v>59.560818878103021</v>
      </c>
      <c r="R217" s="1119">
        <f>P217/'Energy &amp; Unit Conversions'!$G$84</f>
        <v>56.277628716110698</v>
      </c>
      <c r="S217" s="1119">
        <f t="shared" ca="1" si="35"/>
        <v>59.560818878103021</v>
      </c>
      <c r="T217" s="1626"/>
    </row>
    <row r="218" spans="1:20" x14ac:dyDescent="0.2">
      <c r="A218" s="14"/>
      <c r="B218" s="1147"/>
      <c r="C218" s="1459" t="s">
        <v>131</v>
      </c>
      <c r="D218" s="1137">
        <f>D217+$G$9*D214+$G$10*D215</f>
        <v>0</v>
      </c>
      <c r="E218" s="1137">
        <f ca="1">E217+$G$9*E214+$G$10*E215</f>
        <v>0</v>
      </c>
      <c r="F218" s="1137">
        <f ca="1">F217+$G$9*F214+$G$10*F215</f>
        <v>0</v>
      </c>
      <c r="G218" s="1137">
        <f ca="1">G217+$G$9*G214+$G$10*G215</f>
        <v>0</v>
      </c>
      <c r="H218" s="2090">
        <f ca="1">H217+$G$9*H214+$G$10*H215</f>
        <v>0</v>
      </c>
      <c r="I218" s="2091">
        <f t="shared" ca="1" si="36"/>
        <v>0</v>
      </c>
      <c r="J218" s="2090">
        <f ca="1">SUM(D218:I218)</f>
        <v>0</v>
      </c>
      <c r="K218" s="2188">
        <f t="shared" ca="1" si="34"/>
        <v>59.868385533644698</v>
      </c>
      <c r="L218" s="1144"/>
      <c r="M218" s="1144"/>
      <c r="N218" s="1144"/>
      <c r="O218" s="2184">
        <f ca="1">O217+$G$9*O214+$G$10*O215</f>
        <v>63164.490544182372</v>
      </c>
      <c r="P218" s="1112">
        <f>P217+$G$9*P214+$G$10*P215</f>
        <v>59700.541548507965</v>
      </c>
      <c r="Q218" s="1120">
        <f ca="1">Q217+$G$9*Q214+$G$10*Q215</f>
        <v>59.868385533644698</v>
      </c>
      <c r="R218" s="1120">
        <f>R217+$G$9*R214+$G$10*R215</f>
        <v>56.585195371652375</v>
      </c>
      <c r="S218" s="1120">
        <f t="shared" ca="1" si="35"/>
        <v>59.868385533644698</v>
      </c>
      <c r="T218" s="1626"/>
    </row>
    <row r="219" spans="1:20" x14ac:dyDescent="0.2">
      <c r="A219" s="14"/>
      <c r="B219" s="1147"/>
      <c r="C219" s="1109"/>
      <c r="D219" s="1144"/>
      <c r="E219" s="1144"/>
      <c r="F219" s="1144"/>
      <c r="G219" s="1144"/>
      <c r="H219" s="1144"/>
      <c r="I219" s="1144"/>
      <c r="J219" s="1144"/>
      <c r="K219" s="1144"/>
      <c r="L219" s="1144"/>
      <c r="M219" s="1144"/>
      <c r="N219" s="1144"/>
      <c r="O219" s="329"/>
      <c r="P219" s="329"/>
      <c r="Q219" s="329"/>
      <c r="R219" s="329"/>
      <c r="S219" s="329"/>
      <c r="T219" s="1626"/>
    </row>
    <row r="220" spans="1:20" x14ac:dyDescent="0.2">
      <c r="A220" s="14"/>
      <c r="B220" s="1147"/>
      <c r="C220" s="1102"/>
      <c r="D220" s="1148" t="s">
        <v>1044</v>
      </c>
      <c r="E220" s="1102"/>
      <c r="F220" s="1102"/>
      <c r="G220" s="1102"/>
      <c r="H220" s="1102"/>
      <c r="I220" s="1102"/>
      <c r="J220" s="1107"/>
      <c r="K220" s="1151"/>
      <c r="L220" s="1151"/>
      <c r="M220" s="1151"/>
      <c r="N220" s="1151"/>
      <c r="O220" s="329"/>
      <c r="P220" s="329"/>
      <c r="Q220" s="329"/>
      <c r="R220" s="329"/>
      <c r="S220" s="329"/>
      <c r="T220" s="1626"/>
    </row>
    <row r="221" spans="1:20" x14ac:dyDescent="0.2">
      <c r="A221" s="14"/>
      <c r="B221" s="1147"/>
      <c r="C221" s="1102"/>
      <c r="D221" s="1102" t="s">
        <v>54</v>
      </c>
      <c r="E221" s="1102"/>
      <c r="F221" s="1102"/>
      <c r="G221" s="1102"/>
      <c r="H221" s="1102"/>
      <c r="I221" s="1102"/>
      <c r="J221" s="1114"/>
      <c r="K221" s="1144"/>
      <c r="L221" s="1144"/>
      <c r="M221" s="1144"/>
      <c r="N221" s="1144"/>
      <c r="O221" s="329"/>
      <c r="P221" s="329"/>
      <c r="Q221" s="329"/>
      <c r="R221" s="329"/>
      <c r="S221" s="329"/>
      <c r="T221" s="1626"/>
    </row>
    <row r="222" spans="1:20" ht="15.75" x14ac:dyDescent="0.25">
      <c r="A222" s="14"/>
      <c r="B222" s="1147"/>
      <c r="C222" s="1102"/>
      <c r="D222" s="1102" t="s">
        <v>1730</v>
      </c>
      <c r="E222" s="1102"/>
      <c r="F222" s="1154"/>
      <c r="G222" s="1102"/>
      <c r="H222" s="1102"/>
      <c r="I222" s="1102"/>
      <c r="J222" s="1102"/>
      <c r="K222" s="1102"/>
      <c r="L222" s="1102"/>
      <c r="M222" s="1102"/>
      <c r="N222" s="1102"/>
      <c r="O222" s="329"/>
      <c r="P222" s="329"/>
      <c r="Q222" s="329"/>
      <c r="R222" s="329"/>
      <c r="S222" s="329"/>
      <c r="T222" s="1626"/>
    </row>
    <row r="223" spans="1:20" ht="15.75" x14ac:dyDescent="0.25">
      <c r="A223" s="14"/>
      <c r="B223" s="1147"/>
      <c r="C223" s="1102"/>
      <c r="D223" s="1102" t="s">
        <v>83</v>
      </c>
      <c r="E223" s="1102"/>
      <c r="F223" s="1154"/>
      <c r="G223" s="1102"/>
      <c r="H223" s="1102"/>
      <c r="I223" s="1102"/>
      <c r="J223" s="1102"/>
      <c r="K223" s="1102"/>
      <c r="L223" s="1102"/>
      <c r="M223" s="1102"/>
      <c r="N223" s="1102"/>
      <c r="O223" s="329"/>
      <c r="P223" s="329"/>
      <c r="Q223" s="329"/>
      <c r="R223" s="329"/>
      <c r="S223" s="329"/>
      <c r="T223" s="1626"/>
    </row>
    <row r="224" spans="1:20" ht="15.75" x14ac:dyDescent="0.25">
      <c r="A224" s="14"/>
      <c r="B224" s="1147"/>
      <c r="C224" s="1102"/>
      <c r="D224" s="1102"/>
      <c r="E224" s="1102"/>
      <c r="F224" s="1154"/>
      <c r="G224" s="1102"/>
      <c r="H224" s="1102"/>
      <c r="I224" s="1102"/>
      <c r="J224" s="1102"/>
      <c r="K224" s="1102"/>
      <c r="L224" s="1102"/>
      <c r="M224" s="1102"/>
      <c r="N224" s="1102"/>
      <c r="O224" s="329"/>
      <c r="P224" s="329"/>
      <c r="Q224" s="329"/>
      <c r="R224" s="329"/>
      <c r="S224" s="329"/>
      <c r="T224" s="1626"/>
    </row>
    <row r="225" spans="1:20" ht="15.75" x14ac:dyDescent="0.25">
      <c r="A225" s="14"/>
      <c r="B225" s="1685"/>
      <c r="C225" s="1178" t="s">
        <v>137</v>
      </c>
      <c r="D225" s="1178"/>
      <c r="E225" s="1476"/>
      <c r="F225" s="1102"/>
      <c r="G225" s="1102"/>
      <c r="H225" s="1102"/>
      <c r="I225" s="1102"/>
      <c r="J225" s="1102"/>
      <c r="K225" s="1102"/>
      <c r="L225" s="1102"/>
      <c r="M225" s="1102"/>
      <c r="N225" s="1102"/>
      <c r="O225" s="329"/>
      <c r="P225" s="329"/>
      <c r="Q225" s="329"/>
      <c r="R225" s="329"/>
      <c r="S225" s="329"/>
      <c r="T225" s="1626"/>
    </row>
    <row r="226" spans="1:20" x14ac:dyDescent="0.2">
      <c r="A226" s="14"/>
      <c r="B226" s="1147"/>
      <c r="C226" s="1102"/>
      <c r="D226" s="1102"/>
      <c r="E226" s="1102"/>
      <c r="F226" s="1102"/>
      <c r="G226" s="1102"/>
      <c r="H226" s="1102"/>
      <c r="I226" s="1102"/>
      <c r="J226" s="1102"/>
      <c r="K226" s="1102"/>
      <c r="L226" s="1102"/>
      <c r="M226" s="1102"/>
      <c r="N226" s="1102"/>
      <c r="O226" s="329"/>
      <c r="P226" s="329"/>
      <c r="Q226" s="329"/>
      <c r="R226" s="329"/>
      <c r="S226" s="329"/>
      <c r="T226" s="1626"/>
    </row>
    <row r="227" spans="1:20" x14ac:dyDescent="0.2">
      <c r="A227" s="14"/>
      <c r="B227" s="1147"/>
      <c r="C227" s="1102"/>
      <c r="D227" s="2537" t="s">
        <v>118</v>
      </c>
      <c r="E227" s="2539"/>
      <c r="F227" s="2540" t="s">
        <v>21</v>
      </c>
      <c r="G227" s="2541"/>
      <c r="H227" s="1102"/>
      <c r="I227" s="1102"/>
      <c r="J227" s="1102"/>
      <c r="K227" s="1102"/>
      <c r="L227" s="1102"/>
      <c r="M227" s="1102"/>
      <c r="N227" s="1102"/>
      <c r="O227" s="329"/>
      <c r="P227" s="329"/>
      <c r="Q227" s="329"/>
      <c r="R227" s="329"/>
      <c r="S227" s="329"/>
      <c r="T227" s="1626"/>
    </row>
    <row r="228" spans="1:20" x14ac:dyDescent="0.2">
      <c r="A228" s="14"/>
      <c r="B228" s="1147"/>
      <c r="C228" s="1444" t="s">
        <v>263</v>
      </c>
      <c r="D228" s="1481">
        <f ca="1">CokingRefineryCalcs!J1139</f>
        <v>0</v>
      </c>
      <c r="E228" s="1482" t="s">
        <v>138</v>
      </c>
      <c r="F228" s="1478">
        <f ca="1">HydroRefineryCalcs!J1203</f>
        <v>0</v>
      </c>
      <c r="G228" s="1479" t="s">
        <v>138</v>
      </c>
      <c r="H228" s="1102"/>
      <c r="I228" s="1102"/>
      <c r="J228" s="1102"/>
      <c r="K228" s="1102"/>
      <c r="L228" s="1102"/>
      <c r="M228" s="1102"/>
      <c r="N228" s="1102"/>
      <c r="O228" s="329"/>
      <c r="P228" s="329"/>
      <c r="Q228" s="329"/>
      <c r="R228" s="329"/>
      <c r="S228" s="329"/>
      <c r="T228" s="1626"/>
    </row>
    <row r="229" spans="1:20" x14ac:dyDescent="0.2">
      <c r="A229" s="14"/>
      <c r="B229" s="1147"/>
      <c r="C229" s="1446" t="s">
        <v>392</v>
      </c>
      <c r="D229" s="1435">
        <f ca="1">CokingRefineryCalcs!J1141</f>
        <v>0</v>
      </c>
      <c r="E229" s="1440" t="s">
        <v>138</v>
      </c>
      <c r="F229" s="1433">
        <f ca="1">HydroRefineryCalcs!J1205</f>
        <v>0</v>
      </c>
      <c r="G229" s="1436" t="s">
        <v>138</v>
      </c>
      <c r="H229" s="1102"/>
      <c r="I229" s="1102"/>
      <c r="J229" s="1102"/>
      <c r="K229" s="1102"/>
      <c r="L229" s="1102"/>
      <c r="M229" s="1102"/>
      <c r="N229" s="1102"/>
      <c r="O229" s="329"/>
      <c r="P229" s="329"/>
      <c r="Q229" s="329"/>
      <c r="R229" s="329"/>
      <c r="S229" s="329"/>
      <c r="T229" s="1626"/>
    </row>
    <row r="230" spans="1:20" x14ac:dyDescent="0.2">
      <c r="A230" s="14"/>
      <c r="B230" s="1147"/>
      <c r="C230" s="1446" t="s">
        <v>224</v>
      </c>
      <c r="D230" s="1435">
        <f ca="1">CokingRefineryCalcs!J1142</f>
        <v>0</v>
      </c>
      <c r="E230" s="1440" t="s">
        <v>138</v>
      </c>
      <c r="F230" s="1433">
        <f ca="1">HydroRefineryCalcs!J1206</f>
        <v>0</v>
      </c>
      <c r="G230" s="1436" t="s">
        <v>138</v>
      </c>
      <c r="H230" s="1102"/>
      <c r="I230" s="1102"/>
      <c r="J230" s="1102"/>
      <c r="K230" s="1102"/>
      <c r="L230" s="1102"/>
      <c r="M230" s="1102"/>
      <c r="N230" s="1102"/>
      <c r="O230" s="329"/>
      <c r="P230" s="329"/>
      <c r="Q230" s="329"/>
      <c r="R230" s="329"/>
      <c r="S230" s="329"/>
      <c r="T230" s="1626"/>
    </row>
    <row r="231" spans="1:20" x14ac:dyDescent="0.2">
      <c r="A231" s="14"/>
      <c r="B231" s="1147"/>
      <c r="C231" s="1446" t="s">
        <v>485</v>
      </c>
      <c r="D231" s="1435">
        <f ca="1">CokingRefineryCalcs!J1143</f>
        <v>0</v>
      </c>
      <c r="E231" s="1440" t="s">
        <v>138</v>
      </c>
      <c r="F231" s="1433">
        <f ca="1">HydroRefineryCalcs!J1207</f>
        <v>0</v>
      </c>
      <c r="G231" s="1436" t="s">
        <v>138</v>
      </c>
      <c r="H231" s="1102"/>
      <c r="I231" s="1102"/>
      <c r="J231" s="1102"/>
      <c r="K231" s="1102"/>
      <c r="L231" s="1102"/>
      <c r="M231" s="1102"/>
      <c r="N231" s="1102"/>
      <c r="O231" s="329"/>
      <c r="P231" s="329"/>
      <c r="Q231" s="329"/>
      <c r="R231" s="329"/>
      <c r="S231" s="329"/>
      <c r="T231" s="1626"/>
    </row>
    <row r="232" spans="1:20" x14ac:dyDescent="0.2">
      <c r="A232" s="14"/>
      <c r="B232" s="1147"/>
      <c r="C232" s="1469" t="s">
        <v>541</v>
      </c>
      <c r="D232" s="1437">
        <f ca="1">CokingRefineryCalcs!J1145</f>
        <v>0</v>
      </c>
      <c r="E232" s="1441" t="s">
        <v>138</v>
      </c>
      <c r="F232" s="1480">
        <f ca="1">HydroRefineryCalcs!J1209</f>
        <v>0</v>
      </c>
      <c r="G232" s="1439" t="s">
        <v>138</v>
      </c>
      <c r="H232" s="1102"/>
      <c r="I232" s="1102"/>
      <c r="J232" s="1102"/>
      <c r="K232" s="1102"/>
      <c r="L232" s="1102"/>
      <c r="M232" s="1102"/>
      <c r="N232" s="1102"/>
      <c r="O232" s="329"/>
      <c r="P232" s="329"/>
      <c r="Q232" s="329"/>
      <c r="R232" s="329"/>
      <c r="S232" s="329"/>
      <c r="T232" s="1626"/>
    </row>
    <row r="233" spans="1:20" x14ac:dyDescent="0.2">
      <c r="A233" s="14"/>
      <c r="B233" s="1147"/>
      <c r="C233" s="1102"/>
      <c r="D233" s="1102"/>
      <c r="E233" s="1102"/>
      <c r="F233" s="1102"/>
      <c r="G233" s="1102"/>
      <c r="H233" s="1102"/>
      <c r="I233" s="1102"/>
      <c r="J233" s="1102"/>
      <c r="K233" s="1102"/>
      <c r="L233" s="1102"/>
      <c r="M233" s="1102"/>
      <c r="N233" s="1102"/>
      <c r="O233" s="329"/>
      <c r="P233" s="329"/>
      <c r="Q233" s="329"/>
      <c r="R233" s="329"/>
      <c r="S233" s="329"/>
      <c r="T233" s="1626"/>
    </row>
    <row r="234" spans="1:20" x14ac:dyDescent="0.2">
      <c r="A234" s="14"/>
      <c r="B234" s="1147"/>
      <c r="C234" s="1102"/>
      <c r="D234" s="2534" t="s">
        <v>25</v>
      </c>
      <c r="E234" s="2535"/>
      <c r="F234" s="2535"/>
      <c r="G234" s="2535"/>
      <c r="H234" s="2535"/>
      <c r="I234" s="2536"/>
      <c r="J234" s="1102"/>
      <c r="K234" s="16"/>
      <c r="L234" s="16"/>
      <c r="M234" s="16"/>
      <c r="N234" s="16"/>
      <c r="O234" s="329"/>
      <c r="P234" s="329"/>
      <c r="Q234" s="329"/>
      <c r="R234" s="329"/>
      <c r="S234" s="329"/>
      <c r="T234" s="1626"/>
    </row>
    <row r="235" spans="1:20" ht="22.5" x14ac:dyDescent="0.2">
      <c r="A235" s="14"/>
      <c r="B235" s="1147"/>
      <c r="C235" s="1102"/>
      <c r="D235" s="1116" t="s">
        <v>132</v>
      </c>
      <c r="E235" s="1140" t="s">
        <v>128</v>
      </c>
      <c r="F235" s="1116" t="s">
        <v>134</v>
      </c>
      <c r="G235" s="1116" t="s">
        <v>129</v>
      </c>
      <c r="H235" s="1116" t="s">
        <v>135</v>
      </c>
      <c r="I235" s="1140" t="s">
        <v>81</v>
      </c>
      <c r="J235" s="1102"/>
      <c r="K235" s="16"/>
      <c r="L235" s="16"/>
      <c r="M235" s="16"/>
      <c r="N235" s="16"/>
      <c r="O235" s="329"/>
      <c r="P235" s="329"/>
      <c r="Q235" s="329"/>
      <c r="R235" s="329"/>
      <c r="S235" s="329"/>
      <c r="T235" s="1626"/>
    </row>
    <row r="236" spans="1:20" x14ac:dyDescent="0.2">
      <c r="A236" s="14"/>
      <c r="B236" s="1147"/>
      <c r="C236" s="1102"/>
      <c r="D236" s="1141" t="s">
        <v>53</v>
      </c>
      <c r="E236" s="1141" t="s">
        <v>53</v>
      </c>
      <c r="F236" s="1141" t="s">
        <v>53</v>
      </c>
      <c r="G236" s="1141" t="s">
        <v>53</v>
      </c>
      <c r="H236" s="1141" t="s">
        <v>53</v>
      </c>
      <c r="I236" s="1141" t="s">
        <v>53</v>
      </c>
      <c r="J236" s="1102"/>
      <c r="K236" s="16"/>
      <c r="L236" s="16"/>
      <c r="M236" s="16"/>
      <c r="N236" s="16"/>
      <c r="O236" s="329"/>
      <c r="P236" s="329"/>
      <c r="Q236" s="329"/>
      <c r="R236" s="329"/>
      <c r="S236" s="329"/>
      <c r="T236" s="1626"/>
    </row>
    <row r="237" spans="1:20" x14ac:dyDescent="0.2">
      <c r="A237" s="14"/>
      <c r="B237" s="1147"/>
      <c r="C237" s="1103" t="s">
        <v>183</v>
      </c>
      <c r="D237" s="1134"/>
      <c r="E237" s="1483">
        <f t="shared" ref="E237:E246" ca="1" si="38">G43*$D$229</f>
        <v>0</v>
      </c>
      <c r="F237" s="1134">
        <f t="shared" ref="F237:F246" ca="1" si="39">(J66+K66)*$D$230</f>
        <v>0</v>
      </c>
      <c r="G237" s="1484">
        <f t="shared" ref="G237:G246" ca="1" si="40">F90*$D$231</f>
        <v>0</v>
      </c>
      <c r="H237" s="1134">
        <f t="shared" ref="H237:H246" ca="1" si="41">H125*$D$232</f>
        <v>0</v>
      </c>
      <c r="I237" s="1484">
        <f t="shared" ref="I237:I247" ca="1" si="42">SUM(D237:H237)</f>
        <v>0</v>
      </c>
      <c r="J237" s="1102"/>
      <c r="K237" s="16"/>
      <c r="L237" s="16"/>
      <c r="M237" s="16"/>
      <c r="N237" s="16"/>
      <c r="O237" s="329"/>
      <c r="P237" s="329"/>
      <c r="Q237" s="329"/>
      <c r="R237" s="329"/>
      <c r="S237" s="329"/>
      <c r="T237" s="1626"/>
    </row>
    <row r="238" spans="1:20" x14ac:dyDescent="0.2">
      <c r="A238" s="14"/>
      <c r="B238" s="1147"/>
      <c r="C238" s="1104" t="s">
        <v>184</v>
      </c>
      <c r="D238" s="1135"/>
      <c r="E238" s="1151">
        <f t="shared" ca="1" si="38"/>
        <v>0</v>
      </c>
      <c r="F238" s="1135">
        <f t="shared" ca="1" si="39"/>
        <v>0</v>
      </c>
      <c r="G238" s="1485">
        <f t="shared" ca="1" si="40"/>
        <v>0</v>
      </c>
      <c r="H238" s="1135">
        <f t="shared" ca="1" si="41"/>
        <v>0</v>
      </c>
      <c r="I238" s="1485">
        <f t="shared" ca="1" si="42"/>
        <v>0</v>
      </c>
      <c r="J238" s="1102"/>
      <c r="K238" s="16"/>
      <c r="L238" s="16"/>
      <c r="M238" s="16"/>
      <c r="N238" s="16"/>
      <c r="O238" s="329"/>
      <c r="P238" s="329"/>
      <c r="Q238" s="329"/>
      <c r="R238" s="329"/>
      <c r="S238" s="329"/>
      <c r="T238" s="1626"/>
    </row>
    <row r="239" spans="1:20" x14ac:dyDescent="0.2">
      <c r="A239" s="14"/>
      <c r="B239" s="1147"/>
      <c r="C239" s="1104" t="s">
        <v>185</v>
      </c>
      <c r="D239" s="1135"/>
      <c r="E239" s="1151">
        <f t="shared" ca="1" si="38"/>
        <v>0</v>
      </c>
      <c r="F239" s="1135">
        <f t="shared" ca="1" si="39"/>
        <v>0</v>
      </c>
      <c r="G239" s="1485">
        <f t="shared" ca="1" si="40"/>
        <v>0</v>
      </c>
      <c r="H239" s="1135">
        <f t="shared" ca="1" si="41"/>
        <v>0</v>
      </c>
      <c r="I239" s="1485">
        <f t="shared" ca="1" si="42"/>
        <v>0</v>
      </c>
      <c r="J239" s="1102"/>
      <c r="K239" s="16"/>
      <c r="L239" s="16"/>
      <c r="M239" s="16"/>
      <c r="N239" s="16"/>
      <c r="O239" s="329"/>
      <c r="P239" s="329"/>
      <c r="Q239" s="329"/>
      <c r="R239" s="329"/>
      <c r="S239" s="329"/>
      <c r="T239" s="1626"/>
    </row>
    <row r="240" spans="1:20" x14ac:dyDescent="0.2">
      <c r="A240" s="14"/>
      <c r="B240" s="1147"/>
      <c r="C240" s="1104" t="s">
        <v>186</v>
      </c>
      <c r="D240" s="1135"/>
      <c r="E240" s="1151">
        <f t="shared" ca="1" si="38"/>
        <v>0</v>
      </c>
      <c r="F240" s="1135">
        <f t="shared" ca="1" si="39"/>
        <v>0</v>
      </c>
      <c r="G240" s="1485">
        <f t="shared" ca="1" si="40"/>
        <v>0</v>
      </c>
      <c r="H240" s="1135">
        <f t="shared" ca="1" si="41"/>
        <v>0</v>
      </c>
      <c r="I240" s="1485">
        <f t="shared" ca="1" si="42"/>
        <v>0</v>
      </c>
      <c r="J240" s="1102"/>
      <c r="K240" s="16"/>
      <c r="L240" s="16"/>
      <c r="M240" s="16"/>
      <c r="N240" s="16"/>
      <c r="O240" s="329"/>
      <c r="P240" s="329"/>
      <c r="Q240" s="329"/>
      <c r="R240" s="329"/>
      <c r="S240" s="329"/>
      <c r="T240" s="1626"/>
    </row>
    <row r="241" spans="1:20" x14ac:dyDescent="0.2">
      <c r="A241" s="14"/>
      <c r="B241" s="1147"/>
      <c r="C241" s="1104" t="s">
        <v>187</v>
      </c>
      <c r="D241" s="1135"/>
      <c r="E241" s="1151">
        <f t="shared" ca="1" si="38"/>
        <v>0</v>
      </c>
      <c r="F241" s="1135">
        <f t="shared" ca="1" si="39"/>
        <v>0</v>
      </c>
      <c r="G241" s="1485">
        <f t="shared" ca="1" si="40"/>
        <v>0</v>
      </c>
      <c r="H241" s="1135">
        <f t="shared" ca="1" si="41"/>
        <v>0</v>
      </c>
      <c r="I241" s="1485">
        <f t="shared" ca="1" si="42"/>
        <v>0</v>
      </c>
      <c r="J241" s="1102"/>
      <c r="K241" s="16"/>
      <c r="L241" s="16"/>
      <c r="M241" s="16"/>
      <c r="N241" s="16"/>
      <c r="O241" s="329"/>
      <c r="P241" s="329"/>
      <c r="Q241" s="329"/>
      <c r="R241" s="329"/>
      <c r="S241" s="329"/>
      <c r="T241" s="1626"/>
    </row>
    <row r="242" spans="1:20" x14ac:dyDescent="0.2">
      <c r="A242" s="14"/>
      <c r="B242" s="1147"/>
      <c r="C242" s="1104" t="s">
        <v>188</v>
      </c>
      <c r="D242" s="1135"/>
      <c r="E242" s="1151">
        <f t="shared" ca="1" si="38"/>
        <v>0</v>
      </c>
      <c r="F242" s="1135">
        <f t="shared" ca="1" si="39"/>
        <v>0</v>
      </c>
      <c r="G242" s="1485">
        <f t="shared" ca="1" si="40"/>
        <v>0</v>
      </c>
      <c r="H242" s="1135">
        <f t="shared" ca="1" si="41"/>
        <v>0</v>
      </c>
      <c r="I242" s="1485">
        <f ca="1">SUM(D242:H242)</f>
        <v>0</v>
      </c>
      <c r="J242" s="1102"/>
      <c r="K242" s="16"/>
      <c r="L242" s="16"/>
      <c r="M242" s="16"/>
      <c r="N242" s="16"/>
      <c r="O242" s="329"/>
      <c r="P242" s="329"/>
      <c r="Q242" s="329"/>
      <c r="R242" s="329"/>
      <c r="S242" s="329"/>
      <c r="T242" s="1626"/>
    </row>
    <row r="243" spans="1:20" x14ac:dyDescent="0.2">
      <c r="A243" s="14"/>
      <c r="B243" s="1147"/>
      <c r="C243" s="1104" t="s">
        <v>258</v>
      </c>
      <c r="D243" s="1135"/>
      <c r="E243" s="1151">
        <f t="shared" ca="1" si="38"/>
        <v>0</v>
      </c>
      <c r="F243" s="1135">
        <f t="shared" ca="1" si="39"/>
        <v>0</v>
      </c>
      <c r="G243" s="1485">
        <f t="shared" ca="1" si="40"/>
        <v>0</v>
      </c>
      <c r="H243" s="1135">
        <f t="shared" ca="1" si="41"/>
        <v>0</v>
      </c>
      <c r="I243" s="1485">
        <f t="shared" ca="1" si="42"/>
        <v>0</v>
      </c>
      <c r="J243" s="1102"/>
      <c r="K243" s="16"/>
      <c r="L243" s="16"/>
      <c r="M243" s="16"/>
      <c r="N243" s="16"/>
      <c r="O243" s="329"/>
      <c r="P243" s="329"/>
      <c r="Q243" s="329"/>
      <c r="R243" s="329"/>
      <c r="S243" s="329"/>
      <c r="T243" s="1626"/>
    </row>
    <row r="244" spans="1:20" x14ac:dyDescent="0.2">
      <c r="A244" s="14"/>
      <c r="B244" s="1147"/>
      <c r="C244" s="1104" t="s">
        <v>189</v>
      </c>
      <c r="D244" s="1135"/>
      <c r="E244" s="1151">
        <f t="shared" ca="1" si="38"/>
        <v>0</v>
      </c>
      <c r="F244" s="1135">
        <f t="shared" ca="1" si="39"/>
        <v>0</v>
      </c>
      <c r="G244" s="1485">
        <f t="shared" ca="1" si="40"/>
        <v>0</v>
      </c>
      <c r="H244" s="1135">
        <f t="shared" ca="1" si="41"/>
        <v>0</v>
      </c>
      <c r="I244" s="1485">
        <f t="shared" ca="1" si="42"/>
        <v>0</v>
      </c>
      <c r="J244" s="1102"/>
      <c r="K244" s="16"/>
      <c r="L244" s="16"/>
      <c r="M244" s="16"/>
      <c r="N244" s="16"/>
      <c r="O244" s="329"/>
      <c r="P244" s="329"/>
      <c r="Q244" s="329"/>
      <c r="R244" s="329"/>
      <c r="S244" s="329"/>
      <c r="T244" s="1626"/>
    </row>
    <row r="245" spans="1:20" x14ac:dyDescent="0.2">
      <c r="A245" s="14"/>
      <c r="B245" s="1147"/>
      <c r="C245" s="1104" t="s">
        <v>394</v>
      </c>
      <c r="D245" s="1143">
        <v>0</v>
      </c>
      <c r="E245" s="1151">
        <f t="shared" ca="1" si="38"/>
        <v>0</v>
      </c>
      <c r="F245" s="1135">
        <f t="shared" ca="1" si="39"/>
        <v>0</v>
      </c>
      <c r="G245" s="1485">
        <f t="shared" ca="1" si="40"/>
        <v>0</v>
      </c>
      <c r="H245" s="1135">
        <f t="shared" ca="1" si="41"/>
        <v>0</v>
      </c>
      <c r="I245" s="1485">
        <f t="shared" ca="1" si="42"/>
        <v>0</v>
      </c>
      <c r="J245" s="1102"/>
      <c r="K245" s="16"/>
      <c r="L245" s="16"/>
      <c r="M245" s="16"/>
      <c r="N245" s="16"/>
      <c r="O245" s="329"/>
      <c r="P245" s="329"/>
      <c r="Q245" s="329"/>
      <c r="R245" s="329"/>
      <c r="S245" s="329"/>
      <c r="T245" s="1626"/>
    </row>
    <row r="246" spans="1:20" x14ac:dyDescent="0.2">
      <c r="A246" s="14"/>
      <c r="B246" s="1147"/>
      <c r="C246" s="1104" t="s">
        <v>192</v>
      </c>
      <c r="D246" s="1135"/>
      <c r="E246" s="1151">
        <f t="shared" ca="1" si="38"/>
        <v>0</v>
      </c>
      <c r="F246" s="1135">
        <f t="shared" ca="1" si="39"/>
        <v>0</v>
      </c>
      <c r="G246" s="1485">
        <f t="shared" ca="1" si="40"/>
        <v>0</v>
      </c>
      <c r="H246" s="1143">
        <f t="shared" ca="1" si="41"/>
        <v>0</v>
      </c>
      <c r="I246" s="1456">
        <f t="shared" ca="1" si="42"/>
        <v>0</v>
      </c>
      <c r="J246" s="1102"/>
      <c r="K246" s="16"/>
      <c r="L246" s="16"/>
      <c r="M246" s="16"/>
      <c r="N246" s="16"/>
      <c r="O246" s="329"/>
      <c r="P246" s="329"/>
      <c r="Q246" s="329"/>
      <c r="R246" s="329"/>
      <c r="S246" s="329"/>
      <c r="T246" s="1626"/>
    </row>
    <row r="247" spans="1:20" x14ac:dyDescent="0.2">
      <c r="A247" s="14"/>
      <c r="B247" s="1147"/>
      <c r="C247" s="1105" t="s">
        <v>131</v>
      </c>
      <c r="D247" s="1137">
        <f>D246+$G$9*D243+$G$10*D244</f>
        <v>0</v>
      </c>
      <c r="E247" s="1487">
        <f ca="1">E246+$G$9*E243+$G$10*E244</f>
        <v>0</v>
      </c>
      <c r="F247" s="1146">
        <f ca="1">F246+$G$9*F243+$G$10*F244</f>
        <v>0</v>
      </c>
      <c r="G247" s="1516">
        <f ca="1">G246+$G$9*G243+$G$10*G244</f>
        <v>0</v>
      </c>
      <c r="H247" s="1137">
        <f ca="1">H246+$G$9*H243+$G$10*H244</f>
        <v>0</v>
      </c>
      <c r="I247" s="1106">
        <f t="shared" ca="1" si="42"/>
        <v>0</v>
      </c>
      <c r="J247" s="1102"/>
      <c r="K247" s="16"/>
      <c r="L247" s="16"/>
      <c r="M247" s="16"/>
      <c r="N247" s="16"/>
      <c r="O247" s="329"/>
      <c r="P247" s="329"/>
      <c r="Q247" s="329"/>
      <c r="R247" s="329"/>
      <c r="S247" s="329"/>
      <c r="T247" s="1626"/>
    </row>
    <row r="248" spans="1:20" x14ac:dyDescent="0.2">
      <c r="A248" s="14"/>
      <c r="B248" s="1147"/>
      <c r="C248" s="1102"/>
      <c r="D248" s="1102"/>
      <c r="E248" s="1102"/>
      <c r="F248" s="1102"/>
      <c r="G248" s="1102"/>
      <c r="H248" s="1102"/>
      <c r="I248" s="1102"/>
      <c r="J248" s="1102"/>
      <c r="K248" s="1102"/>
      <c r="L248" s="1102"/>
      <c r="M248" s="1102"/>
      <c r="N248" s="1102"/>
      <c r="O248" s="329"/>
      <c r="P248" s="329"/>
      <c r="Q248" s="329"/>
      <c r="R248" s="329"/>
      <c r="S248" s="329"/>
      <c r="T248" s="1626"/>
    </row>
    <row r="249" spans="1:20" x14ac:dyDescent="0.2">
      <c r="A249" s="14"/>
      <c r="B249" s="1147"/>
      <c r="C249" s="1102"/>
      <c r="D249" s="2537" t="s">
        <v>26</v>
      </c>
      <c r="E249" s="2538"/>
      <c r="F249" s="2538"/>
      <c r="G249" s="2538"/>
      <c r="H249" s="2538"/>
      <c r="I249" s="2539"/>
      <c r="J249" s="1102"/>
      <c r="K249" s="1102"/>
      <c r="L249" s="1102"/>
      <c r="M249" s="1102"/>
      <c r="N249" s="1102"/>
      <c r="O249" s="329"/>
      <c r="P249" s="329"/>
      <c r="Q249" s="329"/>
      <c r="R249" s="329"/>
      <c r="S249" s="329"/>
      <c r="T249" s="1626"/>
    </row>
    <row r="250" spans="1:20" ht="22.5" x14ac:dyDescent="0.2">
      <c r="A250" s="14"/>
      <c r="B250" s="1147"/>
      <c r="C250" s="1102"/>
      <c r="D250" s="1492" t="s">
        <v>132</v>
      </c>
      <c r="E250" s="1489" t="s">
        <v>128</v>
      </c>
      <c r="F250" s="1492" t="s">
        <v>134</v>
      </c>
      <c r="G250" s="1515" t="s">
        <v>129</v>
      </c>
      <c r="H250" s="1492" t="s">
        <v>135</v>
      </c>
      <c r="I250" s="1490" t="s">
        <v>81</v>
      </c>
      <c r="J250" s="1102"/>
      <c r="K250" s="1102"/>
      <c r="L250" s="1102"/>
      <c r="M250" s="1102"/>
      <c r="N250" s="1102"/>
      <c r="O250" s="329"/>
      <c r="P250" s="329"/>
      <c r="Q250" s="329"/>
      <c r="R250" s="329"/>
      <c r="S250" s="329"/>
      <c r="T250" s="1626"/>
    </row>
    <row r="251" spans="1:20" x14ac:dyDescent="0.2">
      <c r="A251" s="14"/>
      <c r="B251" s="1147"/>
      <c r="C251" s="1102"/>
      <c r="D251" s="1493" t="s">
        <v>53</v>
      </c>
      <c r="E251" s="1488" t="s">
        <v>53</v>
      </c>
      <c r="F251" s="1493" t="s">
        <v>53</v>
      </c>
      <c r="G251" s="1491" t="s">
        <v>53</v>
      </c>
      <c r="H251" s="1493" t="s">
        <v>53</v>
      </c>
      <c r="I251" s="1491" t="s">
        <v>53</v>
      </c>
      <c r="J251" s="1102"/>
      <c r="K251" s="1102"/>
      <c r="L251" s="1102"/>
      <c r="M251" s="1102"/>
      <c r="N251" s="1102"/>
      <c r="O251" s="329"/>
      <c r="P251" s="329"/>
      <c r="Q251" s="329"/>
      <c r="R251" s="329"/>
      <c r="S251" s="329"/>
      <c r="T251" s="1626"/>
    </row>
    <row r="252" spans="1:20" x14ac:dyDescent="0.2">
      <c r="A252" s="14"/>
      <c r="B252" s="1147"/>
      <c r="C252" s="1103" t="s">
        <v>183</v>
      </c>
      <c r="D252" s="1134"/>
      <c r="E252" s="1483">
        <f t="shared" ref="E252:E261" ca="1" si="43">G43*$F$229</f>
        <v>0</v>
      </c>
      <c r="F252" s="1134">
        <f t="shared" ref="F252:F261" ca="1" si="44">(J66+K66)*$F$230</f>
        <v>0</v>
      </c>
      <c r="G252" s="1484">
        <f t="shared" ref="G252:G261" ca="1" si="45">F90*$F$231</f>
        <v>0</v>
      </c>
      <c r="H252" s="1134">
        <f t="shared" ref="H252:H261" ca="1" si="46">H139*$F$232</f>
        <v>0</v>
      </c>
      <c r="I252" s="1484">
        <f ca="1">SUM(D252:H252)</f>
        <v>0</v>
      </c>
      <c r="J252" s="1102"/>
      <c r="K252" s="1102"/>
      <c r="L252" s="1102"/>
      <c r="M252" s="1102"/>
      <c r="N252" s="1102"/>
      <c r="O252" s="329"/>
      <c r="P252" s="329"/>
      <c r="Q252" s="329"/>
      <c r="R252" s="329"/>
      <c r="S252" s="329"/>
      <c r="T252" s="1626"/>
    </row>
    <row r="253" spans="1:20" x14ac:dyDescent="0.2">
      <c r="A253" s="14"/>
      <c r="B253" s="1147"/>
      <c r="C253" s="1104" t="s">
        <v>184</v>
      </c>
      <c r="D253" s="1135"/>
      <c r="E253" s="1151">
        <f t="shared" ca="1" si="43"/>
        <v>0</v>
      </c>
      <c r="F253" s="1135">
        <f t="shared" ca="1" si="44"/>
        <v>0</v>
      </c>
      <c r="G253" s="1485">
        <f t="shared" ca="1" si="45"/>
        <v>0</v>
      </c>
      <c r="H253" s="1135">
        <f t="shared" ca="1" si="46"/>
        <v>0</v>
      </c>
      <c r="I253" s="1485">
        <f t="shared" ref="I253:I262" ca="1" si="47">SUM(D253:H253)</f>
        <v>0</v>
      </c>
      <c r="J253" s="1102"/>
      <c r="K253" s="1102"/>
      <c r="L253" s="1102"/>
      <c r="M253" s="1102"/>
      <c r="N253" s="1102"/>
      <c r="O253" s="329"/>
      <c r="P253" s="329"/>
      <c r="Q253" s="329"/>
      <c r="R253" s="329"/>
      <c r="S253" s="329"/>
      <c r="T253" s="1626"/>
    </row>
    <row r="254" spans="1:20" x14ac:dyDescent="0.2">
      <c r="A254" s="14"/>
      <c r="B254" s="1147"/>
      <c r="C254" s="1104" t="s">
        <v>185</v>
      </c>
      <c r="D254" s="1135"/>
      <c r="E254" s="1151">
        <f t="shared" ca="1" si="43"/>
        <v>0</v>
      </c>
      <c r="F254" s="1135">
        <f t="shared" ca="1" si="44"/>
        <v>0</v>
      </c>
      <c r="G254" s="1485">
        <f t="shared" ca="1" si="45"/>
        <v>0</v>
      </c>
      <c r="H254" s="1135">
        <f t="shared" ca="1" si="46"/>
        <v>0</v>
      </c>
      <c r="I254" s="1485">
        <f t="shared" ca="1" si="47"/>
        <v>0</v>
      </c>
      <c r="J254" s="1102"/>
      <c r="K254" s="1102"/>
      <c r="L254" s="1102"/>
      <c r="M254" s="1102"/>
      <c r="N254" s="1102"/>
      <c r="O254" s="329"/>
      <c r="P254" s="329"/>
      <c r="Q254" s="329"/>
      <c r="R254" s="329"/>
      <c r="S254" s="329"/>
      <c r="T254" s="1626"/>
    </row>
    <row r="255" spans="1:20" x14ac:dyDescent="0.2">
      <c r="A255" s="14"/>
      <c r="B255" s="1147"/>
      <c r="C255" s="1104" t="s">
        <v>186</v>
      </c>
      <c r="D255" s="1135"/>
      <c r="E255" s="1151">
        <f t="shared" ca="1" si="43"/>
        <v>0</v>
      </c>
      <c r="F255" s="1135">
        <f t="shared" ca="1" si="44"/>
        <v>0</v>
      </c>
      <c r="G255" s="1485">
        <f t="shared" ca="1" si="45"/>
        <v>0</v>
      </c>
      <c r="H255" s="1135">
        <f t="shared" ca="1" si="46"/>
        <v>0</v>
      </c>
      <c r="I255" s="1485">
        <f t="shared" ca="1" si="47"/>
        <v>0</v>
      </c>
      <c r="J255" s="1102"/>
      <c r="K255" s="1102"/>
      <c r="L255" s="1102"/>
      <c r="M255" s="1102"/>
      <c r="N255" s="1102"/>
      <c r="O255" s="329"/>
      <c r="P255" s="329"/>
      <c r="Q255" s="329"/>
      <c r="R255" s="329"/>
      <c r="S255" s="329"/>
      <c r="T255" s="1626"/>
    </row>
    <row r="256" spans="1:20" x14ac:dyDescent="0.2">
      <c r="A256" s="14"/>
      <c r="B256" s="1147"/>
      <c r="C256" s="1104" t="s">
        <v>187</v>
      </c>
      <c r="D256" s="1135"/>
      <c r="E256" s="1151">
        <f t="shared" ca="1" si="43"/>
        <v>0</v>
      </c>
      <c r="F256" s="1135">
        <f t="shared" ca="1" si="44"/>
        <v>0</v>
      </c>
      <c r="G256" s="1485">
        <f t="shared" ca="1" si="45"/>
        <v>0</v>
      </c>
      <c r="H256" s="1135">
        <f t="shared" ca="1" si="46"/>
        <v>0</v>
      </c>
      <c r="I256" s="1485">
        <f t="shared" ca="1" si="47"/>
        <v>0</v>
      </c>
      <c r="J256" s="1102"/>
      <c r="K256" s="1102"/>
      <c r="L256" s="1102"/>
      <c r="M256" s="1102"/>
      <c r="N256" s="1102"/>
      <c r="O256" s="329"/>
      <c r="P256" s="329"/>
      <c r="Q256" s="329"/>
      <c r="R256" s="329"/>
      <c r="S256" s="329"/>
      <c r="T256" s="1626"/>
    </row>
    <row r="257" spans="1:20" x14ac:dyDescent="0.2">
      <c r="A257" s="14"/>
      <c r="B257" s="1147"/>
      <c r="C257" s="1104" t="s">
        <v>188</v>
      </c>
      <c r="D257" s="1135"/>
      <c r="E257" s="1151">
        <f t="shared" ca="1" si="43"/>
        <v>0</v>
      </c>
      <c r="F257" s="1135">
        <f t="shared" ca="1" si="44"/>
        <v>0</v>
      </c>
      <c r="G257" s="1485">
        <f t="shared" ca="1" si="45"/>
        <v>0</v>
      </c>
      <c r="H257" s="1135">
        <f t="shared" ca="1" si="46"/>
        <v>0</v>
      </c>
      <c r="I257" s="1485">
        <f t="shared" ca="1" si="47"/>
        <v>0</v>
      </c>
      <c r="J257" s="1102"/>
      <c r="K257" s="1102"/>
      <c r="L257" s="1102"/>
      <c r="M257" s="1102"/>
      <c r="N257" s="1102"/>
      <c r="O257" s="329"/>
      <c r="P257" s="329"/>
      <c r="Q257" s="329"/>
      <c r="R257" s="329"/>
      <c r="S257" s="329"/>
      <c r="T257" s="1626"/>
    </row>
    <row r="258" spans="1:20" x14ac:dyDescent="0.2">
      <c r="A258" s="14"/>
      <c r="B258" s="1147"/>
      <c r="C258" s="1104" t="s">
        <v>258</v>
      </c>
      <c r="D258" s="1135"/>
      <c r="E258" s="1151">
        <f t="shared" ca="1" si="43"/>
        <v>0</v>
      </c>
      <c r="F258" s="1135">
        <f t="shared" ca="1" si="44"/>
        <v>0</v>
      </c>
      <c r="G258" s="1485">
        <f t="shared" ca="1" si="45"/>
        <v>0</v>
      </c>
      <c r="H258" s="1135">
        <f t="shared" ca="1" si="46"/>
        <v>0</v>
      </c>
      <c r="I258" s="1485">
        <f t="shared" ca="1" si="47"/>
        <v>0</v>
      </c>
      <c r="J258" s="1102"/>
      <c r="K258" s="1102"/>
      <c r="L258" s="1102"/>
      <c r="M258" s="1102"/>
      <c r="N258" s="1102"/>
      <c r="O258" s="329"/>
      <c r="P258" s="329"/>
      <c r="Q258" s="329"/>
      <c r="R258" s="329"/>
      <c r="S258" s="329"/>
      <c r="T258" s="1626"/>
    </row>
    <row r="259" spans="1:20" x14ac:dyDescent="0.2">
      <c r="A259" s="14"/>
      <c r="B259" s="1147"/>
      <c r="C259" s="1104" t="s">
        <v>189</v>
      </c>
      <c r="D259" s="1135"/>
      <c r="E259" s="1151">
        <f t="shared" ca="1" si="43"/>
        <v>0</v>
      </c>
      <c r="F259" s="1135">
        <f t="shared" ca="1" si="44"/>
        <v>0</v>
      </c>
      <c r="G259" s="1485">
        <f t="shared" ca="1" si="45"/>
        <v>0</v>
      </c>
      <c r="H259" s="1135">
        <f t="shared" ca="1" si="46"/>
        <v>0</v>
      </c>
      <c r="I259" s="1485">
        <f t="shared" ca="1" si="47"/>
        <v>0</v>
      </c>
      <c r="J259" s="1102"/>
      <c r="K259" s="1102"/>
      <c r="L259" s="1102"/>
      <c r="M259" s="1102"/>
      <c r="N259" s="1102"/>
      <c r="O259" s="329"/>
      <c r="P259" s="329"/>
      <c r="Q259" s="329"/>
      <c r="R259" s="329"/>
      <c r="S259" s="329"/>
      <c r="T259" s="1626"/>
    </row>
    <row r="260" spans="1:20" x14ac:dyDescent="0.2">
      <c r="A260" s="14"/>
      <c r="B260" s="1147"/>
      <c r="C260" s="1104" t="s">
        <v>394</v>
      </c>
      <c r="D260" s="1143">
        <v>0</v>
      </c>
      <c r="E260" s="1151">
        <f t="shared" ca="1" si="43"/>
        <v>0</v>
      </c>
      <c r="F260" s="1135">
        <f t="shared" ca="1" si="44"/>
        <v>0</v>
      </c>
      <c r="G260" s="1485">
        <f t="shared" ca="1" si="45"/>
        <v>0</v>
      </c>
      <c r="H260" s="1135">
        <f t="shared" ca="1" si="46"/>
        <v>0</v>
      </c>
      <c r="I260" s="1485">
        <f ca="1">SUM(D260:H260)</f>
        <v>0</v>
      </c>
      <c r="J260" s="1102"/>
      <c r="K260" s="1102"/>
      <c r="L260" s="1102"/>
      <c r="M260" s="1102"/>
      <c r="N260" s="1102"/>
      <c r="O260" s="329"/>
      <c r="P260" s="329"/>
      <c r="Q260" s="329"/>
      <c r="R260" s="329"/>
      <c r="S260" s="329"/>
      <c r="T260" s="1626"/>
    </row>
    <row r="261" spans="1:20" x14ac:dyDescent="0.2">
      <c r="A261" s="14"/>
      <c r="B261" s="1147"/>
      <c r="C261" s="1104" t="s">
        <v>192</v>
      </c>
      <c r="D261" s="1135"/>
      <c r="E261" s="1151">
        <f t="shared" ca="1" si="43"/>
        <v>0</v>
      </c>
      <c r="F261" s="1135">
        <f t="shared" ca="1" si="44"/>
        <v>0</v>
      </c>
      <c r="G261" s="1485">
        <f t="shared" ca="1" si="45"/>
        <v>0</v>
      </c>
      <c r="H261" s="1135">
        <f t="shared" ca="1" si="46"/>
        <v>0</v>
      </c>
      <c r="I261" s="1485">
        <f t="shared" ca="1" si="47"/>
        <v>0</v>
      </c>
      <c r="J261" s="1102"/>
      <c r="K261" s="1102"/>
      <c r="L261" s="1102"/>
      <c r="M261" s="1102"/>
      <c r="N261" s="1102"/>
      <c r="O261" s="329"/>
      <c r="P261" s="329"/>
      <c r="Q261" s="329"/>
      <c r="R261" s="329"/>
      <c r="S261" s="329"/>
      <c r="T261" s="1626"/>
    </row>
    <row r="262" spans="1:20" x14ac:dyDescent="0.2">
      <c r="A262" s="14"/>
      <c r="B262" s="1147"/>
      <c r="C262" s="1105" t="s">
        <v>131</v>
      </c>
      <c r="D262" s="1137">
        <f>D261+$G$9*D258+$G$10*D259</f>
        <v>0</v>
      </c>
      <c r="E262" s="1486">
        <f ca="1">E261+$G$9*E258+$G$10*E259</f>
        <v>0</v>
      </c>
      <c r="F262" s="1137">
        <f ca="1">F261+$G$9*F258+$G$10*F259</f>
        <v>0</v>
      </c>
      <c r="G262" s="1106">
        <f ca="1">G261+$G$9*G258+$G$10*G259</f>
        <v>0</v>
      </c>
      <c r="H262" s="1137">
        <f ca="1">H261+$G$9*H258+$G$10*H259</f>
        <v>0</v>
      </c>
      <c r="I262" s="1106">
        <f t="shared" ca="1" si="47"/>
        <v>0</v>
      </c>
      <c r="J262" s="1102"/>
      <c r="K262" s="1102"/>
      <c r="L262" s="1102"/>
      <c r="M262" s="1102"/>
      <c r="N262" s="1102"/>
      <c r="O262" s="329"/>
      <c r="P262" s="329"/>
      <c r="Q262" s="329"/>
      <c r="R262" s="329"/>
      <c r="S262" s="329"/>
      <c r="T262" s="1626"/>
    </row>
    <row r="263" spans="1:20" x14ac:dyDescent="0.2">
      <c r="A263" s="14"/>
      <c r="B263" s="1147"/>
      <c r="C263" s="1102"/>
      <c r="D263" s="1102"/>
      <c r="E263" s="1102"/>
      <c r="F263" s="1102"/>
      <c r="G263" s="1102"/>
      <c r="H263" s="1102"/>
      <c r="I263" s="1102"/>
      <c r="J263" s="1102"/>
      <c r="K263" s="1102"/>
      <c r="L263" s="1102"/>
      <c r="M263" s="1102"/>
      <c r="N263" s="1102"/>
      <c r="O263" s="329"/>
      <c r="P263" s="329"/>
      <c r="Q263" s="329"/>
      <c r="R263" s="329"/>
      <c r="S263" s="329"/>
      <c r="T263" s="1626"/>
    </row>
    <row r="264" spans="1:20" ht="15.75" x14ac:dyDescent="0.25">
      <c r="A264" s="14"/>
      <c r="B264" s="1685"/>
      <c r="C264" s="1178" t="s">
        <v>1731</v>
      </c>
      <c r="D264" s="1476"/>
      <c r="E264" s="1102"/>
      <c r="F264" s="1102"/>
      <c r="G264" s="1102"/>
      <c r="H264" s="1102"/>
      <c r="I264" s="1102"/>
      <c r="J264" s="1102"/>
      <c r="K264" s="1102"/>
      <c r="L264" s="1102"/>
      <c r="M264" s="1102"/>
      <c r="N264" s="1102"/>
      <c r="O264" s="329"/>
      <c r="P264" s="329"/>
      <c r="Q264" s="329"/>
      <c r="R264" s="329"/>
      <c r="S264" s="329"/>
      <c r="T264" s="1626"/>
    </row>
    <row r="265" spans="1:20" ht="15.75" x14ac:dyDescent="0.25">
      <c r="A265" s="14"/>
      <c r="B265" s="1147"/>
      <c r="C265" s="1477"/>
      <c r="D265" s="1476"/>
      <c r="E265" s="1102"/>
      <c r="F265" s="1102"/>
      <c r="G265" s="1102"/>
      <c r="H265" s="1102"/>
      <c r="I265" s="1102"/>
      <c r="J265" s="1102"/>
      <c r="K265" s="1102"/>
      <c r="L265" s="1102"/>
      <c r="M265" s="1102"/>
      <c r="N265" s="1102"/>
      <c r="O265" s="329"/>
      <c r="P265" s="329"/>
      <c r="Q265" s="329"/>
      <c r="R265" s="329"/>
      <c r="S265" s="329"/>
      <c r="T265" s="1626"/>
    </row>
    <row r="266" spans="1:20" x14ac:dyDescent="0.2">
      <c r="A266" s="14"/>
      <c r="B266" s="1147"/>
      <c r="C266" s="1688" t="s">
        <v>6</v>
      </c>
      <c r="D266" s="1102"/>
      <c r="E266" s="1102"/>
      <c r="F266" s="1102"/>
      <c r="G266" s="1102"/>
      <c r="H266" s="1102"/>
      <c r="I266" s="1102"/>
      <c r="J266" s="1102"/>
      <c r="K266" s="1102"/>
      <c r="L266" s="1102"/>
      <c r="M266" s="1102"/>
      <c r="N266" s="1102"/>
      <c r="O266" s="329"/>
      <c r="P266" s="329"/>
      <c r="Q266" s="329"/>
      <c r="R266" s="329"/>
      <c r="S266" s="329"/>
      <c r="T266" s="1626"/>
    </row>
    <row r="267" spans="1:20" x14ac:dyDescent="0.2">
      <c r="A267" s="14"/>
      <c r="B267" s="1147"/>
      <c r="C267" s="1690" t="s">
        <v>0</v>
      </c>
      <c r="D267" s="1702"/>
      <c r="E267" s="1691"/>
      <c r="F267" s="1700" t="s">
        <v>1737</v>
      </c>
      <c r="G267" s="1692" t="s">
        <v>7</v>
      </c>
      <c r="H267" s="1102"/>
      <c r="I267" s="1102"/>
      <c r="J267" s="1102"/>
      <c r="K267" s="1102"/>
      <c r="L267" s="1102"/>
      <c r="M267" s="1102"/>
      <c r="N267" s="1102"/>
      <c r="O267" s="329"/>
      <c r="P267" s="329"/>
      <c r="Q267" s="329"/>
      <c r="R267" s="329"/>
      <c r="S267" s="329"/>
      <c r="T267" s="1626"/>
    </row>
    <row r="268" spans="1:20" x14ac:dyDescent="0.2">
      <c r="A268" s="14"/>
      <c r="B268" s="1147"/>
      <c r="C268" s="1446" t="s">
        <v>1</v>
      </c>
      <c r="D268" s="1473" t="s">
        <v>2</v>
      </c>
      <c r="E268" s="1152"/>
      <c r="F268" s="1473"/>
      <c r="G268" s="1693"/>
      <c r="H268" s="1102"/>
      <c r="I268" s="1102"/>
      <c r="J268" s="1102"/>
      <c r="K268" s="1102"/>
      <c r="L268" s="1102"/>
      <c r="M268" s="1102"/>
      <c r="N268" s="1102"/>
      <c r="O268" s="329"/>
      <c r="P268" s="329"/>
      <c r="Q268" s="329"/>
      <c r="R268" s="329"/>
      <c r="S268" s="329"/>
      <c r="T268" s="1626"/>
    </row>
    <row r="269" spans="1:20" x14ac:dyDescent="0.2">
      <c r="A269" s="14"/>
      <c r="B269" s="1147"/>
      <c r="C269" s="1446" t="s">
        <v>8</v>
      </c>
      <c r="D269" s="1473"/>
      <c r="E269" s="1152"/>
      <c r="F269" s="1701">
        <v>40</v>
      </c>
      <c r="G269" s="1694">
        <v>0.95</v>
      </c>
      <c r="H269" s="1102"/>
      <c r="I269" s="1102"/>
      <c r="J269" s="1102"/>
      <c r="K269" s="1102"/>
      <c r="L269" s="1102"/>
      <c r="M269" s="1102"/>
      <c r="N269" s="1102"/>
      <c r="O269" s="329"/>
      <c r="P269" s="329"/>
      <c r="Q269" s="329"/>
      <c r="R269" s="329"/>
      <c r="S269" s="329"/>
      <c r="T269" s="1626"/>
    </row>
    <row r="270" spans="1:20" x14ac:dyDescent="0.2">
      <c r="A270" s="14"/>
      <c r="B270" s="1147"/>
      <c r="C270" s="1446" t="s">
        <v>3</v>
      </c>
      <c r="D270" s="1473" t="s">
        <v>9</v>
      </c>
      <c r="E270" s="1152"/>
      <c r="F270" s="1473" t="s">
        <v>11</v>
      </c>
      <c r="G270" s="1693" t="s">
        <v>10</v>
      </c>
      <c r="H270" s="1102"/>
      <c r="I270" s="1102"/>
      <c r="J270" s="1102"/>
      <c r="K270" s="1102"/>
      <c r="L270" s="1102"/>
      <c r="M270" s="1102"/>
      <c r="N270" s="1102"/>
      <c r="O270" s="329"/>
      <c r="P270" s="329"/>
      <c r="Q270" s="329"/>
      <c r="R270" s="329"/>
      <c r="S270" s="329"/>
      <c r="T270" s="1626"/>
    </row>
    <row r="271" spans="1:20" x14ac:dyDescent="0.2">
      <c r="A271" s="14"/>
      <c r="B271" s="1147"/>
      <c r="C271" s="1446" t="s">
        <v>4</v>
      </c>
      <c r="D271" s="1473">
        <v>2E-3</v>
      </c>
      <c r="E271" s="1152"/>
      <c r="F271" s="1473">
        <v>0.08</v>
      </c>
      <c r="G271" s="1693">
        <v>2.4E-2</v>
      </c>
      <c r="H271" s="1102"/>
      <c r="I271" s="1102"/>
      <c r="J271" s="1102"/>
      <c r="K271" s="1102"/>
      <c r="L271" s="1102"/>
      <c r="M271" s="1102"/>
      <c r="N271" s="1102"/>
      <c r="O271" s="329"/>
      <c r="P271" s="329"/>
      <c r="Q271" s="329"/>
      <c r="R271" s="329"/>
      <c r="S271" s="329"/>
      <c r="T271" s="1626"/>
    </row>
    <row r="272" spans="1:20" x14ac:dyDescent="0.2">
      <c r="A272" s="14"/>
      <c r="B272" s="1147"/>
      <c r="C272" s="1446" t="s">
        <v>184</v>
      </c>
      <c r="D272" s="1695">
        <v>1.2E-2</v>
      </c>
      <c r="E272" s="1152"/>
      <c r="F272" s="1695"/>
      <c r="G272" s="1698"/>
      <c r="H272" s="1102"/>
      <c r="I272" s="1102"/>
      <c r="J272" s="1102"/>
      <c r="K272" s="1102"/>
      <c r="L272" s="1102"/>
      <c r="M272" s="1102"/>
      <c r="N272" s="1102"/>
      <c r="O272" s="329"/>
      <c r="P272" s="329"/>
      <c r="Q272" s="329"/>
      <c r="R272" s="329"/>
      <c r="S272" s="329"/>
      <c r="T272" s="1626"/>
    </row>
    <row r="273" spans="1:20" x14ac:dyDescent="0.2">
      <c r="A273" s="14"/>
      <c r="B273" s="1147"/>
      <c r="C273" s="1446" t="s">
        <v>5</v>
      </c>
      <c r="D273" s="1695"/>
      <c r="E273" s="1152"/>
      <c r="F273" s="1695"/>
      <c r="G273" s="1698"/>
      <c r="H273" s="1102"/>
      <c r="I273" s="1102"/>
      <c r="J273" s="1102"/>
      <c r="K273" s="1102"/>
      <c r="L273" s="1102"/>
      <c r="M273" s="1102"/>
      <c r="N273" s="1102"/>
      <c r="O273" s="329"/>
      <c r="P273" s="329"/>
      <c r="Q273" s="329"/>
      <c r="R273" s="329"/>
      <c r="S273" s="329"/>
      <c r="T273" s="1626"/>
    </row>
    <row r="274" spans="1:20" x14ac:dyDescent="0.2">
      <c r="A274" s="14"/>
      <c r="B274" s="1147"/>
      <c r="C274" s="1446" t="s">
        <v>186</v>
      </c>
      <c r="D274" s="1695"/>
      <c r="E274" s="1152"/>
      <c r="F274" s="1695"/>
      <c r="G274" s="1698"/>
      <c r="H274" s="1102"/>
      <c r="I274" s="1102"/>
      <c r="J274" s="1102"/>
      <c r="K274" s="1102"/>
      <c r="L274" s="1102"/>
      <c r="M274" s="1102"/>
      <c r="N274" s="1102"/>
      <c r="O274" s="329"/>
      <c r="P274" s="329"/>
      <c r="Q274" s="329"/>
      <c r="R274" s="329"/>
      <c r="S274" s="329"/>
      <c r="T274" s="1626"/>
    </row>
    <row r="275" spans="1:20" x14ac:dyDescent="0.2">
      <c r="A275" s="14"/>
      <c r="B275" s="1147"/>
      <c r="C275" s="1446" t="s">
        <v>187</v>
      </c>
      <c r="D275" s="1695"/>
      <c r="E275" s="1152"/>
      <c r="F275" s="1695"/>
      <c r="G275" s="1698"/>
      <c r="H275" s="1102"/>
      <c r="I275" s="1102"/>
      <c r="J275" s="1102"/>
      <c r="K275" s="1102"/>
      <c r="L275" s="1102"/>
      <c r="M275" s="1102"/>
      <c r="N275" s="1102"/>
      <c r="O275" s="329"/>
      <c r="P275" s="329"/>
      <c r="Q275" s="329"/>
      <c r="R275" s="329"/>
      <c r="S275" s="329"/>
      <c r="T275" s="1626"/>
    </row>
    <row r="276" spans="1:20" x14ac:dyDescent="0.2">
      <c r="A276" s="14"/>
      <c r="B276" s="1147"/>
      <c r="C276" s="1446" t="s">
        <v>188</v>
      </c>
      <c r="D276" s="1695">
        <v>7.6999999999999999E-2</v>
      </c>
      <c r="E276" s="1152"/>
      <c r="F276" s="1695"/>
      <c r="G276" s="1698"/>
      <c r="H276" s="1102"/>
      <c r="I276" s="1102"/>
      <c r="J276" s="1102"/>
      <c r="K276" s="1102"/>
      <c r="L276" s="1102"/>
      <c r="M276" s="1102"/>
      <c r="N276" s="1102"/>
      <c r="O276" s="329"/>
      <c r="P276" s="329"/>
      <c r="Q276" s="329"/>
      <c r="R276" s="329"/>
      <c r="S276" s="329"/>
      <c r="T276" s="1626"/>
    </row>
    <row r="277" spans="1:20" x14ac:dyDescent="0.2">
      <c r="A277" s="14"/>
      <c r="B277" s="1147"/>
      <c r="C277" s="1446" t="s">
        <v>258</v>
      </c>
      <c r="D277" s="1695"/>
      <c r="E277" s="1152"/>
      <c r="F277" s="1695"/>
      <c r="G277" s="1698"/>
      <c r="H277" s="1102"/>
      <c r="I277" s="1102"/>
      <c r="J277" s="1102"/>
      <c r="K277" s="1102"/>
      <c r="L277" s="1102"/>
      <c r="M277" s="1102"/>
      <c r="N277" s="1102"/>
      <c r="O277" s="329"/>
      <c r="P277" s="329"/>
      <c r="Q277" s="329"/>
      <c r="R277" s="329"/>
      <c r="S277" s="329"/>
      <c r="T277" s="1626"/>
    </row>
    <row r="278" spans="1:20" x14ac:dyDescent="0.2">
      <c r="A278" s="14"/>
      <c r="B278" s="1147"/>
      <c r="C278" s="1446" t="s">
        <v>189</v>
      </c>
      <c r="D278" s="1695">
        <v>5.3999999999999999E-2</v>
      </c>
      <c r="E278" s="1152"/>
      <c r="F278" s="1695"/>
      <c r="G278" s="1698"/>
      <c r="H278" s="1102"/>
      <c r="I278" s="1102"/>
      <c r="J278" s="1102"/>
      <c r="K278" s="1102"/>
      <c r="L278" s="1102"/>
      <c r="M278" s="1102"/>
      <c r="N278" s="1102"/>
      <c r="O278" s="329"/>
      <c r="P278" s="329"/>
      <c r="Q278" s="329"/>
      <c r="R278" s="329"/>
      <c r="S278" s="329"/>
      <c r="T278" s="1626"/>
    </row>
    <row r="279" spans="1:20" x14ac:dyDescent="0.2">
      <c r="A279" s="14"/>
      <c r="B279" s="1147"/>
      <c r="C279" s="1446" t="s">
        <v>394</v>
      </c>
      <c r="D279" s="1695"/>
      <c r="E279" s="1152"/>
      <c r="F279" s="1695"/>
      <c r="G279" s="1698"/>
      <c r="H279" s="1102"/>
      <c r="I279" s="1102"/>
      <c r="J279" s="1102"/>
      <c r="K279" s="1102"/>
      <c r="L279" s="1102"/>
      <c r="M279" s="1102"/>
      <c r="N279" s="1102"/>
      <c r="O279" s="329"/>
      <c r="P279" s="329"/>
      <c r="Q279" s="329"/>
      <c r="R279" s="329"/>
      <c r="S279" s="329"/>
      <c r="T279" s="1626"/>
    </row>
    <row r="280" spans="1:20" x14ac:dyDescent="0.2">
      <c r="A280" s="14"/>
      <c r="B280" s="1147"/>
      <c r="C280" s="1446" t="s">
        <v>192</v>
      </c>
      <c r="D280" s="1695">
        <f>D279+(D271*$D$27+D272*$D$28)/$D$29</f>
        <v>9.1238095238095236E-3</v>
      </c>
      <c r="E280" s="1152"/>
      <c r="F280" s="1695">
        <f>F279+(F271*$D$27+F272*$D$28)/$D$29</f>
        <v>9.0666666666666673E-2</v>
      </c>
      <c r="G280" s="1698">
        <f>G279+(G271*$D$27+G272*$D$28)/$D$29</f>
        <v>2.7200000000000002E-2</v>
      </c>
      <c r="H280" s="1102"/>
      <c r="I280" s="1102"/>
      <c r="J280" s="1102"/>
      <c r="K280" s="1102"/>
      <c r="L280" s="1102"/>
      <c r="M280" s="1102"/>
      <c r="N280" s="1102"/>
      <c r="O280" s="329"/>
      <c r="P280" s="329"/>
      <c r="Q280" s="329"/>
      <c r="R280" s="329"/>
      <c r="S280" s="329"/>
      <c r="T280" s="1626"/>
    </row>
    <row r="281" spans="1:20" x14ac:dyDescent="0.2">
      <c r="A281" s="14"/>
      <c r="B281" s="1147"/>
      <c r="C281" s="1469" t="s">
        <v>131</v>
      </c>
      <c r="D281" s="1696">
        <f>D280+$G$9*D277+$G$10*D278</f>
        <v>14.319123809523809</v>
      </c>
      <c r="E281" s="1697"/>
      <c r="F281" s="1696">
        <f>F280+$G$9*F277+$G$10*F278</f>
        <v>9.0666666666666673E-2</v>
      </c>
      <c r="G281" s="1699">
        <f>G280+$G$9*G277+$G$10*G278</f>
        <v>2.7200000000000002E-2</v>
      </c>
      <c r="H281" s="1102"/>
      <c r="I281" s="1102"/>
      <c r="J281" s="1102"/>
      <c r="K281" s="1102"/>
      <c r="L281" s="1102"/>
      <c r="M281" s="1102"/>
      <c r="N281" s="1102"/>
      <c r="O281" s="329"/>
      <c r="P281" s="329"/>
      <c r="Q281" s="329"/>
      <c r="R281" s="329"/>
      <c r="S281" s="329"/>
      <c r="T281" s="1626"/>
    </row>
    <row r="282" spans="1:20" ht="12.75" customHeight="1" thickBot="1" x14ac:dyDescent="0.25">
      <c r="A282" s="184"/>
      <c r="B282" s="2033"/>
      <c r="C282" s="1976"/>
      <c r="D282" s="1976"/>
      <c r="E282" s="1976"/>
      <c r="F282" s="1976"/>
      <c r="G282" s="1976"/>
      <c r="H282" s="1976"/>
      <c r="I282" s="1976"/>
      <c r="J282" s="1976"/>
      <c r="K282" s="1976"/>
      <c r="L282" s="1976"/>
      <c r="M282" s="1976"/>
      <c r="N282" s="1976"/>
      <c r="O282" s="1976"/>
      <c r="P282" s="1976"/>
      <c r="Q282" s="1976"/>
      <c r="R282" s="1976"/>
      <c r="S282" s="1976"/>
      <c r="T282" s="2056"/>
    </row>
    <row r="283" spans="1:20" ht="12.75" customHeight="1" x14ac:dyDescent="0.2">
      <c r="A283" s="184"/>
      <c r="B283" s="184"/>
      <c r="C283" s="184"/>
      <c r="D283" s="184"/>
      <c r="E283" s="184"/>
      <c r="F283" s="184"/>
      <c r="G283" s="184"/>
      <c r="H283" s="184"/>
      <c r="I283" s="184"/>
      <c r="J283" s="184"/>
      <c r="K283" s="184"/>
      <c r="L283" s="329"/>
      <c r="M283" s="329"/>
      <c r="N283" s="329"/>
    </row>
    <row r="284" spans="1:20" ht="12.75" customHeight="1" x14ac:dyDescent="0.2">
      <c r="L284" s="1583"/>
      <c r="M284" s="1583"/>
      <c r="N284" s="1583"/>
    </row>
  </sheetData>
  <mergeCells count="20">
    <mergeCell ref="H15:I15"/>
    <mergeCell ref="I84:J84"/>
    <mergeCell ref="E84:F84"/>
    <mergeCell ref="D234:I234"/>
    <mergeCell ref="D249:I249"/>
    <mergeCell ref="D227:E227"/>
    <mergeCell ref="F227:G227"/>
    <mergeCell ref="D104:E104"/>
    <mergeCell ref="F104:G104"/>
    <mergeCell ref="D182:E182"/>
    <mergeCell ref="F182:G182"/>
    <mergeCell ref="F158:F159"/>
    <mergeCell ref="D190:K190"/>
    <mergeCell ref="D205:K205"/>
    <mergeCell ref="C2:D3"/>
    <mergeCell ref="C26:D26"/>
    <mergeCell ref="D41:G41"/>
    <mergeCell ref="F15:G15"/>
    <mergeCell ref="D15:E15"/>
    <mergeCell ref="F7:G7"/>
  </mergeCells>
  <phoneticPr fontId="24" type="noConversion"/>
  <conditionalFormatting sqref="H81">
    <cfRule type="containsText" dxfId="0" priority="2" operator="containsText" text="Crude">
      <formula>NOT(ISERROR(SEARCH("Crude",H81)))</formula>
    </cfRule>
  </conditionalFormatting>
  <hyperlinks>
    <hyperlink ref="D223" r:id="rId1" xr:uid="{00000000-0004-0000-1400-000000000000}"/>
  </hyperlinks>
  <pageMargins left="0.7" right="0.7" top="0.75" bottom="0.75" header="0.3" footer="0.3"/>
  <pageSetup orientation="portrait"/>
  <drawing r:id="rId2"/>
  <legacyDrawing r:id="rId3"/>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
    <tabColor rgb="FF00B050"/>
  </sheetPr>
  <dimension ref="A1:U1750"/>
  <sheetViews>
    <sheetView zoomScale="70" zoomScaleNormal="70" zoomScalePageLayoutView="55" workbookViewId="0"/>
  </sheetViews>
  <sheetFormatPr defaultColWidth="9.140625" defaultRowHeight="18.75" customHeight="1" x14ac:dyDescent="0.2"/>
  <cols>
    <col min="1" max="1" width="4.7109375" customWidth="1"/>
    <col min="2" max="2" width="4.85546875" customWidth="1"/>
    <col min="3" max="3" width="43.42578125" bestFit="1" customWidth="1"/>
    <col min="4" max="4" width="18.140625" bestFit="1" customWidth="1"/>
    <col min="5" max="5" width="21" customWidth="1"/>
    <col min="6" max="6" width="14.85546875" bestFit="1" customWidth="1"/>
    <col min="7" max="8" width="15" bestFit="1" customWidth="1"/>
    <col min="9" max="9" width="15" customWidth="1"/>
    <col min="10" max="10" width="15.42578125" bestFit="1" customWidth="1"/>
    <col min="11" max="11" width="16.140625" customWidth="1"/>
    <col min="12" max="12" width="14.85546875" bestFit="1" customWidth="1"/>
    <col min="13" max="13" width="13.42578125" bestFit="1" customWidth="1"/>
    <col min="14" max="14" width="15.42578125" bestFit="1" customWidth="1"/>
    <col min="15" max="16" width="4.85546875" customWidth="1"/>
    <col min="17" max="17" width="3.140625" customWidth="1"/>
    <col min="18" max="18" width="24.7109375" customWidth="1"/>
    <col min="19" max="19" width="13.140625" customWidth="1"/>
    <col min="20" max="20" width="7.140625" bestFit="1" customWidth="1"/>
    <col min="21" max="21" width="3.28515625" customWidth="1"/>
  </cols>
  <sheetData>
    <row r="1" spans="1:21" ht="18.75" customHeight="1" thickBot="1" x14ac:dyDescent="0.3">
      <c r="A1" s="14"/>
      <c r="B1" s="14"/>
      <c r="C1" s="29"/>
      <c r="D1" s="14"/>
      <c r="E1" s="14"/>
      <c r="F1" s="14"/>
      <c r="G1" s="14"/>
      <c r="H1" s="14"/>
      <c r="I1" s="14"/>
      <c r="J1" s="52"/>
      <c r="K1" s="14"/>
      <c r="L1" s="14"/>
      <c r="M1" s="14"/>
      <c r="N1" s="14"/>
      <c r="O1" s="14"/>
      <c r="P1" s="14"/>
      <c r="Q1" s="1"/>
      <c r="R1" s="1"/>
      <c r="S1" s="1"/>
      <c r="T1" s="2"/>
      <c r="U1" s="1"/>
    </row>
    <row r="2" spans="1:21" ht="18.75" customHeight="1" x14ac:dyDescent="0.2">
      <c r="A2" s="14"/>
      <c r="B2" s="2556" t="s">
        <v>1691</v>
      </c>
      <c r="C2" s="2557"/>
      <c r="D2" s="2557"/>
      <c r="E2" s="2557"/>
      <c r="F2" s="2557"/>
      <c r="G2" s="2557"/>
      <c r="H2" s="2557"/>
      <c r="I2" s="2557"/>
      <c r="J2" s="2557"/>
      <c r="K2" s="2557"/>
      <c r="L2" s="2557"/>
      <c r="M2" s="2557"/>
      <c r="N2" s="2557"/>
      <c r="O2" s="2558"/>
      <c r="P2" s="14"/>
      <c r="Q2" s="2548" t="s">
        <v>1192</v>
      </c>
      <c r="R2" s="2549"/>
      <c r="S2" s="2549"/>
      <c r="T2" s="2549"/>
      <c r="U2" s="2550"/>
    </row>
    <row r="3" spans="1:21" ht="18.75" customHeight="1" x14ac:dyDescent="0.2">
      <c r="A3" s="14"/>
      <c r="B3" s="2559"/>
      <c r="C3" s="2560"/>
      <c r="D3" s="2560"/>
      <c r="E3" s="2560"/>
      <c r="F3" s="2560"/>
      <c r="G3" s="2560"/>
      <c r="H3" s="2560"/>
      <c r="I3" s="2560"/>
      <c r="J3" s="2560"/>
      <c r="K3" s="2560"/>
      <c r="L3" s="2560"/>
      <c r="M3" s="2560"/>
      <c r="N3" s="2560"/>
      <c r="O3" s="2561"/>
      <c r="P3" s="14"/>
      <c r="Q3" s="2551" t="s">
        <v>1189</v>
      </c>
      <c r="R3" s="2552"/>
      <c r="S3" s="2552"/>
      <c r="T3" s="2552"/>
      <c r="U3" s="2553"/>
    </row>
    <row r="4" spans="1:21" ht="18.75" customHeight="1" x14ac:dyDescent="0.25">
      <c r="A4" s="14"/>
      <c r="B4" s="15"/>
      <c r="C4" s="73"/>
      <c r="D4" s="16"/>
      <c r="E4" s="16"/>
      <c r="F4" s="16"/>
      <c r="G4" s="16"/>
      <c r="H4" s="16"/>
      <c r="I4" s="16"/>
      <c r="J4" s="54"/>
      <c r="K4" s="16"/>
      <c r="L4" s="16"/>
      <c r="M4" s="16"/>
      <c r="N4" s="16"/>
      <c r="O4" s="17"/>
      <c r="P4" s="14"/>
      <c r="Q4" s="287"/>
      <c r="R4" s="288"/>
      <c r="S4" s="289" t="s">
        <v>1190</v>
      </c>
      <c r="T4" s="290">
        <v>1</v>
      </c>
      <c r="U4" s="291"/>
    </row>
    <row r="5" spans="1:21" ht="18.75" customHeight="1" x14ac:dyDescent="0.25">
      <c r="A5" s="1"/>
      <c r="B5" s="15"/>
      <c r="C5" s="2283" t="s">
        <v>1694</v>
      </c>
      <c r="D5" s="2284"/>
      <c r="E5" s="2284"/>
      <c r="F5" s="2284"/>
      <c r="G5" s="2284"/>
      <c r="H5" s="2284"/>
      <c r="I5" s="2284"/>
      <c r="J5" s="2284"/>
      <c r="K5" s="2284"/>
      <c r="L5" s="2284"/>
      <c r="M5" s="2284"/>
      <c r="N5" s="2284"/>
      <c r="O5" s="17"/>
      <c r="P5" s="98"/>
      <c r="Q5" s="287"/>
      <c r="R5" s="292"/>
      <c r="S5" s="293" t="s">
        <v>504</v>
      </c>
      <c r="T5" s="290">
        <v>15</v>
      </c>
      <c r="U5" s="291"/>
    </row>
    <row r="6" spans="1:21" ht="18.75" customHeight="1" x14ac:dyDescent="0.25">
      <c r="A6" s="1"/>
      <c r="B6" s="15"/>
      <c r="C6" s="2283" t="s">
        <v>1695</v>
      </c>
      <c r="D6" s="2284"/>
      <c r="E6" s="2284"/>
      <c r="F6" s="2284"/>
      <c r="G6" s="2284"/>
      <c r="H6" s="2284"/>
      <c r="I6" s="2284"/>
      <c r="J6" s="2284"/>
      <c r="K6" s="2284"/>
      <c r="L6" s="2284"/>
      <c r="M6" s="2284"/>
      <c r="N6" s="2284"/>
      <c r="O6" s="17"/>
      <c r="P6" s="114"/>
      <c r="Q6" s="287"/>
      <c r="R6" s="294"/>
      <c r="S6" s="289" t="s">
        <v>505</v>
      </c>
      <c r="T6" s="295">
        <f>T4+T5*T11</f>
        <v>256</v>
      </c>
      <c r="U6" s="291"/>
    </row>
    <row r="7" spans="1:21" ht="18.75" customHeight="1" thickBot="1" x14ac:dyDescent="0.3">
      <c r="A7" s="19"/>
      <c r="B7" s="15"/>
      <c r="C7" s="73"/>
      <c r="D7" s="16"/>
      <c r="E7" s="16"/>
      <c r="F7" s="16"/>
      <c r="G7" s="16"/>
      <c r="H7" s="16"/>
      <c r="I7" s="16"/>
      <c r="J7" s="54"/>
      <c r="K7" s="16"/>
      <c r="L7" s="16"/>
      <c r="M7" s="16"/>
      <c r="N7" s="16"/>
      <c r="O7" s="17"/>
      <c r="P7" s="107"/>
      <c r="Q7" s="296"/>
      <c r="R7" s="297"/>
      <c r="S7" s="298"/>
      <c r="T7" s="299"/>
      <c r="U7" s="300"/>
    </row>
    <row r="8" spans="1:21" ht="18.75" customHeight="1" x14ac:dyDescent="0.25">
      <c r="A8" s="19"/>
      <c r="B8" s="15"/>
      <c r="C8" s="108" t="s">
        <v>1367</v>
      </c>
      <c r="D8" s="101"/>
      <c r="E8" s="101"/>
      <c r="F8" s="101"/>
      <c r="G8" s="101"/>
      <c r="H8" s="101"/>
      <c r="I8" s="101"/>
      <c r="J8" s="101"/>
      <c r="K8" s="101"/>
      <c r="L8" s="101"/>
      <c r="M8" s="101"/>
      <c r="N8" s="102"/>
      <c r="O8" s="17"/>
      <c r="P8" s="53"/>
      <c r="Q8" s="13"/>
      <c r="R8" s="13"/>
      <c r="S8" s="13"/>
      <c r="T8" s="13"/>
      <c r="U8" s="13"/>
    </row>
    <row r="9" spans="1:21" ht="18.75" customHeight="1" x14ac:dyDescent="0.25">
      <c r="A9" s="14"/>
      <c r="B9" s="96"/>
      <c r="C9" s="100" t="str">
        <f ca="1">IF(LEN(OFFSET(C9, staticOffset+dynamicOffset*selectedCrude,0)) &gt; 0, (OFFSET(C9, staticOffset+dynamicOffset*selectedCrude,0)), "")</f>
        <v>Bonny Light_Chevron</v>
      </c>
      <c r="D9" s="99" t="str">
        <f ca="1">IF(LEN(OFFSET(D9, staticOffset+dynamicOffset*selectedCrude,0)) &gt; 0, (OFFSET(D9, staticOffset+dynamicOffset*selectedCrude,0)), "")</f>
        <v>Conv,Sw,L1</v>
      </c>
      <c r="E9" s="99" t="str">
        <f ca="1">IF(LEN(OFFSET(E9, staticOffset+dynamicOffset*selectedCrude,0)) &gt; 0, (OFFSET(E9, staticOffset+dynamicOffset*selectedCrude,0)), "")</f>
        <v>BL</v>
      </c>
      <c r="F9" s="2554" t="str">
        <f>IF(activeFloat=1, "Crude specific distillation curve", "Downstream Charge Capacities Set Distillation Curve; Crude Distillation Curve Set Proportion of Gas Oil Fractions")</f>
        <v>Crude specific distillation curve</v>
      </c>
      <c r="G9" s="2554"/>
      <c r="H9" s="2554"/>
      <c r="I9" s="2554"/>
      <c r="J9" s="2554"/>
      <c r="K9" s="2554"/>
      <c r="L9" s="2554"/>
      <c r="M9" s="2554"/>
      <c r="N9" s="2555"/>
      <c r="O9" s="97"/>
      <c r="P9" s="53"/>
      <c r="Q9" s="2545" t="s">
        <v>1193</v>
      </c>
      <c r="R9" s="2546"/>
      <c r="S9" s="2546"/>
      <c r="T9" s="2546"/>
      <c r="U9" s="2547"/>
    </row>
    <row r="10" spans="1:21" ht="31.5" customHeight="1" x14ac:dyDescent="0.2">
      <c r="A10" s="14"/>
      <c r="B10" s="20"/>
      <c r="C10" s="109" t="str">
        <f ca="1">IF(LEN(OFFSET(C10, staticOffset+dynamicOffset*selectedCrude,0)) &gt; 0, (OFFSET(C10, staticOffset+dynamicOffset*selectedCrude,0)), "")</f>
        <v/>
      </c>
      <c r="D10" s="110" t="str">
        <f ca="1">IF(LEN(OFFSET(D10, staticOffset+dynamicOffset*selectedCrude,0)) &gt; 0, (OFFSET(D10, staticOffset+dynamicOffset*selectedCrude,0)), "")</f>
        <v/>
      </c>
      <c r="E10" s="104" t="str">
        <f ca="1">IF(activeFloat=1,IF(LEN(OFFSET(E10,staticOffset+dynamicOffset*selectedCrude,0))&gt;0,(OFFSET(E10,staticOffset+dynamicOffset*selectedCrude,0)),""),"Atmospheric Distillation")</f>
        <v>Cutoff Temp [°C]</v>
      </c>
      <c r="F10" s="104">
        <f ca="1">IF(activeFloat=1,IF(LEN(OFFSET(F10,staticOffset+dynamicOffset*selectedCrude,0))&gt;0,(OFFSET(F10,staticOffset+dynamicOffset*selectedCrude,0)),""),"Isomerization")</f>
        <v>80</v>
      </c>
      <c r="G10" s="104">
        <f ca="1">IF(activeFloat=1,IF(LEN(OFFSET(G10,staticOffset+dynamicOffset*selectedCrude,0))&gt;0,(OFFSET(G10,staticOffset+dynamicOffset*selectedCrude,0)),""),"Desulphurization, Naphtha/Reformer Feed")</f>
        <v>180</v>
      </c>
      <c r="H10" s="104">
        <f ca="1">IF(activeFloat=1,IF(LEN(OFFSET(H10,staticOffset+dynamicOffset*selectedCrude,0))&gt;0,(OFFSET(H10,staticOffset+dynamicOffset*selectedCrude,0)),""),"Desulphurization Kerosene and Jet")</f>
        <v>290</v>
      </c>
      <c r="I10" s="104">
        <f ca="1">IF(activeFloat=1,IF(LEN(OFFSET(I10,staticOffset+dynamicOffset*selectedCrude,0))&gt;0,(OFFSET(I10,staticOffset+dynamicOffset*selectedCrude,0)),""),"Desulphurization Diesel")</f>
        <v>343</v>
      </c>
      <c r="J10" s="104">
        <f ca="1">IF(activeFloat=1,IF(LEN(OFFSET(J10,staticOffset+dynamicOffset*selectedCrude,0))&gt;0,(OFFSET(J10,staticOffset+dynamicOffset*selectedCrude,0)),""),"Hydrotreating FCC Feed")</f>
        <v>399</v>
      </c>
      <c r="K10" s="104">
        <f ca="1">IF(activeFloat=1,IF(LEN(OFFSET(K10,staticOffset+dynamicOffset*selectedCrude,0))&gt;0,(OFFSET(K10,staticOffset+dynamicOffset*selectedCrude,0)),""),"Hydrotreating FCC Feed")</f>
        <v>454</v>
      </c>
      <c r="L10" s="104">
        <f ca="1">IF(activeFloat=1,IF(LEN(OFFSET(L10,staticOffset+dynamicOffset*selectedCrude,0))&gt;0,(OFFSET(L10,staticOffset+dynamicOffset*selectedCrude,0)),""),"Hydrotreating FCC Feed")</f>
        <v>525</v>
      </c>
      <c r="M10" s="111">
        <f ca="1">IF(activeFloat=1,IF(LEN(OFFSET(M10,staticOffset+dynamicOffset*selectedCrude,0))&gt;0,(OFFSET(M10,staticOffset+dynamicOffset*selectedCrude,0)),""),"Delayed Coking")</f>
        <v>525</v>
      </c>
      <c r="N10" s="112">
        <f ca="1">IF(activeFloat=1,IF(LEN(OFFSET(N10,staticOffset+dynamicOffset*selectedCrude,0))&gt;0,(OFFSET(N10,staticOffset+dynamicOffset*selectedCrude,0)),""),"Vacuum Distillation")</f>
        <v>399</v>
      </c>
      <c r="O10" s="113"/>
      <c r="P10" s="53"/>
      <c r="Q10" s="77"/>
      <c r="R10" s="16"/>
      <c r="S10" s="74"/>
      <c r="T10" s="16"/>
      <c r="U10" s="997"/>
    </row>
    <row r="11" spans="1:21" ht="18.75" customHeight="1" x14ac:dyDescent="0.2">
      <c r="A11" s="14"/>
      <c r="B11" s="20"/>
      <c r="C11" s="103" t="s">
        <v>568</v>
      </c>
      <c r="D11" s="104" t="str">
        <f ca="1">IF(LEN(OFFSET(D11,staticOffset+dynamicOffset*selectedCrude,0))&gt;0,(OFFSET(D11,staticOffset+dynamicOffset*selectedCrude,0)),"")</f>
        <v>Units</v>
      </c>
      <c r="E11" s="104" t="str">
        <f ca="1">IF(LEN(OFFSET(E11,staticOffset+dynamicOffset*selectedCrude,0))&gt;0,(OFFSET(E11,staticOffset+dynamicOffset*selectedCrude,0)),"")</f>
        <v>Full Crude</v>
      </c>
      <c r="F11" s="104" t="str">
        <f t="shared" ref="F11:N11" ca="1" si="0">IF(LEN(OFFSET(F11, staticOffset+dynamicOffset*selectedCrude,0)) &gt; 0, (OFFSET(F11, staticOffset+dynamicOffset*selectedCrude,0)), "")</f>
        <v>LSR</v>
      </c>
      <c r="G11" s="104" t="str">
        <f t="shared" ca="1" si="0"/>
        <v>Naphtha</v>
      </c>
      <c r="H11" s="104" t="str">
        <f t="shared" ca="1" si="0"/>
        <v>Kerosene</v>
      </c>
      <c r="I11" s="104" t="str">
        <f t="shared" ca="1" si="0"/>
        <v>Diesel</v>
      </c>
      <c r="J11" s="104" t="str">
        <f t="shared" ca="1" si="0"/>
        <v>AGO</v>
      </c>
      <c r="K11" s="104" t="str">
        <f t="shared" ca="1" si="0"/>
        <v>LVGO</v>
      </c>
      <c r="L11" s="104" t="str">
        <f t="shared" ca="1" si="0"/>
        <v>HVGO</v>
      </c>
      <c r="M11" s="104" t="str">
        <f t="shared" ca="1" si="0"/>
        <v>VR</v>
      </c>
      <c r="N11" s="105" t="str">
        <f t="shared" ca="1" si="0"/>
        <v>AR</v>
      </c>
      <c r="O11" s="106"/>
      <c r="P11" s="35"/>
      <c r="Q11" s="77"/>
      <c r="R11" s="149"/>
      <c r="S11" s="154" t="s">
        <v>1191</v>
      </c>
      <c r="T11" s="149">
        <v>17</v>
      </c>
      <c r="U11" s="997"/>
    </row>
    <row r="12" spans="1:21" ht="18.75" customHeight="1" x14ac:dyDescent="0.2">
      <c r="A12" s="14"/>
      <c r="B12" s="15"/>
      <c r="C12" s="119" t="s">
        <v>582</v>
      </c>
      <c r="D12" s="120" t="str">
        <f ca="1">IF(LEN(OFFSET(D12, staticOffset+dynamicOffset*selectedCrude,0)) &gt; 0, (OFFSET(D12, staticOffset+dynamicOffset*selectedCrude,0)), "")</f>
        <v>bpd</v>
      </c>
      <c r="E12" s="143">
        <f ca="1">IF(activeFloat=1,IF(LEN(OFFSET(E12, staticOffset+dynamicOffset*selectedCrude,0)) &gt; 0, (OFFSET(E12, staticOffset+dynamicOffset*selectedCrude,0)), ""),Constants!H9)</f>
        <v>99177.64135868111</v>
      </c>
      <c r="F12" s="143">
        <f ca="1">IF(activeFloat=1,IF(LEN(OFFSET(F12, staticOffset+dynamicOffset*selectedCrude,0)) &gt; 0, (OFFSET(F12, staticOffset+dynamicOffset*selectedCrude,0)), ""),Constants!H300)</f>
        <v>7538.9890466543711</v>
      </c>
      <c r="G12" s="143">
        <f ca="1">IF(activeFloat=1,IF(LEN(OFFSET(G12, staticOffset+dynamicOffset*selectedCrude,0)) &gt; 0, (OFFSET(G12, staticOffset+dynamicOffset*selectedCrude,0)), ""),Constants!H287)</f>
        <v>17316.22160970941</v>
      </c>
      <c r="H12" s="143">
        <f ca="1">IF(activeFloat=1,IF(LEN(OFFSET(H12, staticOffset+dynamicOffset*selectedCrude,0)) &gt; 0, (OFFSET(H12, staticOffset+dynamicOffset*selectedCrude,0)), ""),Constants!H69)</f>
        <v>26885.40784502351</v>
      </c>
      <c r="I12" s="143">
        <f ca="1">IF(activeFloat=1,IF(LEN(OFFSET(I12, staticOffset+dynamicOffset*selectedCrude,0)) &gt; 0, (OFFSET(I12, staticOffset+dynamicOffset*selectedCrude,0)), ""),Constants!H99)</f>
        <v>12524.817625479878</v>
      </c>
      <c r="J12" s="143">
        <f ca="1">IF(activeFloat=1,IF(LEN(OFFSET(J12, staticOffset+dynamicOffset*selectedCrude,0)) &gt; 0, (OFFSET(J12, staticOffset+dynamicOffset*selectedCrude,0)), ""),J13/'Energy &amp; Unit Conversions'!$G$80)</f>
        <v>11182.517606223304</v>
      </c>
      <c r="K12" s="143">
        <f ca="1">IF(activeFloat=1,IF(LEN(OFFSET(K12, staticOffset+dynamicOffset*selectedCrude,0)) &gt; 0, (OFFSET(K12, staticOffset+dynamicOffset*selectedCrude,0)), ""),(Constants!H130-'Assay Inventory'!J12)*Constants!W22)</f>
        <v>8218.2707229657353</v>
      </c>
      <c r="L12" s="143">
        <f ca="1">IF(activeFloat=1,IF(LEN(OFFSET(L12, staticOffset+dynamicOffset*selectedCrude,0)) &gt; 0, (OFFSET(L12, staticOffset+dynamicOffset*selectedCrude,0)), ""),(Constants!H130-'Assay Inventory'!J12)*(1-Constants!W22))</f>
        <v>6475.5173608741952</v>
      </c>
      <c r="M12" s="143">
        <f ca="1">IF(activeFloat=1,IF(LEN(OFFSET(M12, staticOffset+dynamicOffset*selectedCrude,0)) &gt; 0, (OFFSET(M12, staticOffset+dynamicOffset*selectedCrude,0)), ""),M13/'Energy &amp; Unit Conversions'!$G$80)</f>
        <v>9035.8995417507103</v>
      </c>
      <c r="N12" s="144">
        <f ca="1">IF(activeFloat=1,IF(LEN(OFFSET(N12, staticOffset+dynamicOffset*selectedCrude,0)) &gt; 0, (OFFSET(N12, staticOffset+dynamicOffset*selectedCrude,0)), ""),Constants!H27)</f>
        <v>28238.054386063879</v>
      </c>
      <c r="O12" s="78"/>
      <c r="P12" s="35"/>
      <c r="Q12" s="77"/>
      <c r="R12" s="175"/>
      <c r="S12" s="176" t="s">
        <v>1248</v>
      </c>
      <c r="T12" s="175">
        <v>113</v>
      </c>
      <c r="U12" s="997"/>
    </row>
    <row r="13" spans="1:21" ht="18.75" customHeight="1" x14ac:dyDescent="0.2">
      <c r="A13" s="14"/>
      <c r="B13" s="15"/>
      <c r="C13" s="119" t="s">
        <v>582</v>
      </c>
      <c r="D13" s="120" t="str">
        <f ca="1">IF(LEN(OFFSET(D13, staticOffset+dynamicOffset*selectedCrude,0)) &gt; 0, (OFFSET(D13, staticOffset+dynamicOffset*selectedCrude,0)), "")</f>
        <v>m^3/d</v>
      </c>
      <c r="E13" s="143">
        <f ca="1">IF(activeFloat=1,IF(LEN(OFFSET(E13,staticOffset+dynamicOffset*selectedCrude,0))&gt;0,(OFFSET(E13,staticOffset+dynamicOffset*selectedCrude,0)),""),E12*'Energy &amp; Unit Conversions'!$G$80)</f>
        <v>15769.244976030297</v>
      </c>
      <c r="F13" s="143">
        <f ca="1">IF(activeFloat=1,IF(LEN(OFFSET(F13,staticOffset+dynamicOffset*selectedCrude,0))&gt;0,(OFFSET(F13,staticOffset+dynamicOffset*selectedCrude,0)),""),F12*'Energy &amp; Unit Conversions'!$G$80)</f>
        <v>1198.699258418045</v>
      </c>
      <c r="G13" s="143">
        <f ca="1">IF(activeFloat=1,IF(LEN(OFFSET(G13,staticOffset+dynamicOffset*selectedCrude,0))&gt;0,(OFFSET(G13,staticOffset+dynamicOffset*selectedCrude,0)),""),G12*'Energy &amp; Unit Conversions'!$G$80)</f>
        <v>2753.2792359437963</v>
      </c>
      <c r="H13" s="143">
        <f ca="1">IF(activeFloat=1,IF(LEN(OFFSET(H13,staticOffset+dynamicOffset*selectedCrude,0))&gt;0,(OFFSET(H13,staticOffset+dynamicOffset*selectedCrude,0)),""),H12*'Energy &amp; Unit Conversions'!$G$80)</f>
        <v>4274.7798473587382</v>
      </c>
      <c r="I13" s="143">
        <f ca="1">IF(activeFloat=1,IF(LEN(OFFSET(I13,staticOffset+dynamicOffset*selectedCrude,0))&gt;0,(OFFSET(I13,staticOffset+dynamicOffset*selectedCrude,0)),""),I12*'Energy &amp; Unit Conversions'!$G$80)</f>
        <v>1991.4460024513007</v>
      </c>
      <c r="J13" s="143">
        <f ca="1">IF(activeFloat=1,IF(LEN(OFFSET(J13,staticOffset+dynamicOffset*selectedCrude,0))&gt;0,(OFFSET(J13,staticOffset+dynamicOffset*selectedCrude,0)),""),J14/J18)</f>
        <v>1778.0202993895052</v>
      </c>
      <c r="K13" s="143">
        <f ca="1">IF(activeFloat=1,IF(LEN(OFFSET(K13,staticOffset+dynamicOffset*selectedCrude,0))&gt;0,(OFFSET(K13,staticOffset+dynamicOffset*selectedCrude,0)),""),K12*'Energy &amp; Unit Conversions'!$G$80)</f>
        <v>1306.7050449515521</v>
      </c>
      <c r="L13" s="143">
        <f ca="1">IF(activeFloat=1,IF(LEN(OFFSET(L13,staticOffset+dynamicOffset*selectedCrude,0))&gt;0,(OFFSET(L13,staticOffset+dynamicOffset*selectedCrude,0)),""),L12*'Energy &amp; Unit Conversions'!$G$80)</f>
        <v>1029.6072603789971</v>
      </c>
      <c r="M13" s="143">
        <f ca="1">IF(activeFloat=1,IF(LEN(OFFSET(M13,staticOffset+dynamicOffset*selectedCrude,0))&gt;0,(OFFSET(M13,staticOffset+dynamicOffset*selectedCrude,0)),""),M14/M18)</f>
        <v>1436.7080271383629</v>
      </c>
      <c r="N13" s="144">
        <f ca="1">IF(activeFloat=1,IF(LEN(OFFSET(N13,staticOffset+dynamicOffset*selectedCrude,0))&gt;0,(OFFSET(N13,staticOffset+dynamicOffset*selectedCrude,0)),""),N12*'Energy &amp; Unit Conversions'!$G$80)</f>
        <v>4489.8506473841571</v>
      </c>
      <c r="O13" s="78"/>
      <c r="P13" s="35"/>
      <c r="Q13" s="2210"/>
      <c r="R13" s="16"/>
      <c r="S13" s="74"/>
      <c r="T13" s="16"/>
      <c r="U13" s="2211"/>
    </row>
    <row r="14" spans="1:21" ht="18.75" customHeight="1" x14ac:dyDescent="0.25">
      <c r="A14" s="14"/>
      <c r="B14" s="15"/>
      <c r="C14" s="119" t="s">
        <v>620</v>
      </c>
      <c r="D14" s="120" t="s">
        <v>622</v>
      </c>
      <c r="E14" s="143">
        <f ca="1">IF(activeFloat=1,IF(LEN(OFFSET(E14,staticOffset+dynamicOffset*selectedCrude,0))&gt;0,(OFFSET(E14,staticOffset+dynamicOffset*selectedCrude,0)),""),E13*E18)</f>
        <v>13687328.970000003</v>
      </c>
      <c r="F14" s="143">
        <f ca="1">IF(activeFloat=1,IF(LEN(OFFSET(F14, staticOffset+dynamicOffset*selectedCrude,0)) &gt; 0, (OFFSET(F14, staticOffset+dynamicOffset*selectedCrude,0)), ""),F13*F18)</f>
        <v>854451.48145949247</v>
      </c>
      <c r="G14" s="143">
        <f ca="1">IF(activeFloat=1,IF(LEN(OFFSET(G14, staticOffset+dynamicOffset*selectedCrude,0)) &gt; 0, (OFFSET(G14, staticOffset+dynamicOffset*selectedCrude,0)), ""),G13*G18)</f>
        <v>2157056.7659129584</v>
      </c>
      <c r="H14" s="143">
        <f ca="1">IF(activeFloat=1,IF(LEN(OFFSET(H14, staticOffset+dynamicOffset*selectedCrude,0)) &gt; 0, (OFFSET(H14, staticOffset+dynamicOffset*selectedCrude,0)), ""),H13*H18)</f>
        <v>3607246.9722799896</v>
      </c>
      <c r="I14" s="143">
        <f ca="1">IF(activeFloat=1,IF(LEN(OFFSET(I14, staticOffset+dynamicOffset*selectedCrude,0)) &gt; 0, (OFFSET(I14, staticOffset+dynamicOffset*selectedCrude,0)), ""),I13*I18)</f>
        <v>1757731.9563253336</v>
      </c>
      <c r="J14" s="143">
        <f ca="1">IF(activeFloat=1,IF(LEN(OFFSET(J14,staticOffset+dynamicOffset*selectedCrude,0))&gt;0,(OFFSET(J14,staticOffset+dynamicOffset*selectedCrude,0)),""),E14-SUM(F14:I14,N14))</f>
        <v>1609417.4951285068</v>
      </c>
      <c r="K14" s="143">
        <f ca="1">IF(activeFloat=1,IF(LEN(OFFSET(K14, staticOffset+dynamicOffset*selectedCrude,0)) &gt; 0, (OFFSET(K14, staticOffset+dynamicOffset*selectedCrude,0)), ""),K13*K18)</f>
        <v>1209891.7354650162</v>
      </c>
      <c r="L14" s="143">
        <f ca="1">IF(activeFloat=1,IF(LEN(OFFSET(L14, staticOffset+dynamicOffset*selectedCrude,0)) &gt; 0, (OFFSET(L14, staticOffset+dynamicOffset*selectedCrude,0)), ""),L13*L18)</f>
        <v>975521.165617669</v>
      </c>
      <c r="M14" s="143">
        <f ca="1">IF(activeFloat=1,IF(LEN(OFFSET(M14, staticOffset+dynamicOffset*selectedCrude,0)) &gt; 0, (OFFSET(M14, staticOffset+dynamicOffset*selectedCrude,0)), ""),N14-SUM(K14:L14))</f>
        <v>1516011.3978110366</v>
      </c>
      <c r="N14" s="144">
        <f ca="1">IF(activeFloat=1,IF(LEN(OFFSET(N14, staticOffset+dynamicOffset*selectedCrude,0)) &gt; 0, (OFFSET(N14, staticOffset+dynamicOffset*selectedCrude,0)), ""),N13*N18)</f>
        <v>3701424.2988937218</v>
      </c>
      <c r="O14" s="78"/>
      <c r="P14" s="35"/>
      <c r="Q14" s="2212"/>
      <c r="R14" s="150" t="s">
        <v>263</v>
      </c>
      <c r="S14" s="151"/>
      <c r="T14" s="152" t="s">
        <v>1188</v>
      </c>
      <c r="U14" s="1570"/>
    </row>
    <row r="15" spans="1:21" ht="18.75" customHeight="1" x14ac:dyDescent="0.25">
      <c r="A15" s="14"/>
      <c r="B15" s="15"/>
      <c r="C15" s="122" t="s">
        <v>776</v>
      </c>
      <c r="D15" s="120" t="str">
        <f t="shared" ref="D15:N22" ca="1" si="1">IF(LEN(OFFSET(D15, staticOffset+dynamicOffset*selectedCrude,0)) &gt; 0, (OFFSET(D15, staticOffset+dynamicOffset*selectedCrude,0)), "")</f>
        <v>wt%</v>
      </c>
      <c r="E15" s="145">
        <f t="shared" ca="1" si="1"/>
        <v>0.16980000000000001</v>
      </c>
      <c r="F15" s="145">
        <f t="shared" ca="1" si="1"/>
        <v>0</v>
      </c>
      <c r="G15" s="145">
        <f t="shared" ca="1" si="1"/>
        <v>0</v>
      </c>
      <c r="H15" s="145">
        <f t="shared" ca="1" si="1"/>
        <v>6.487028883905413E-2</v>
      </c>
      <c r="I15" s="145">
        <f t="shared" ca="1" si="1"/>
        <v>0.1510983114584932</v>
      </c>
      <c r="J15" s="145">
        <f t="shared" ca="1" si="1"/>
        <v>0.21055860465850654</v>
      </c>
      <c r="K15" s="145">
        <f t="shared" ca="1" si="1"/>
        <v>0.27398518285937168</v>
      </c>
      <c r="L15" s="145">
        <f t="shared" ca="1" si="1"/>
        <v>0.34883282222603118</v>
      </c>
      <c r="M15" s="145">
        <f t="shared" ca="1" si="1"/>
        <v>0.53683769453568042</v>
      </c>
      <c r="N15" s="146">
        <f t="shared" ca="1" si="1"/>
        <v>0.40136935229494802</v>
      </c>
      <c r="O15" s="79"/>
      <c r="P15" s="35"/>
      <c r="Q15" s="2212"/>
      <c r="R15" s="937" t="str">
        <f ca="1">OFFSET($C$25,(ROW(C25)-ROW($C$25))*T$5*T$15,0)</f>
        <v>Brazil Lula_BG Group</v>
      </c>
      <c r="S15" s="76"/>
      <c r="T15" s="76">
        <v>1</v>
      </c>
      <c r="U15" s="1570"/>
    </row>
    <row r="16" spans="1:21" ht="18.75" customHeight="1" x14ac:dyDescent="0.25">
      <c r="A16" s="14"/>
      <c r="B16" s="15"/>
      <c r="C16" s="122" t="s">
        <v>777</v>
      </c>
      <c r="D16" s="120" t="str">
        <f t="shared" ca="1" si="1"/>
        <v>mass ppm</v>
      </c>
      <c r="E16" s="145">
        <f t="shared" ca="1" si="1"/>
        <v>1040</v>
      </c>
      <c r="F16" s="145">
        <f t="shared" ca="1" si="1"/>
        <v>0</v>
      </c>
      <c r="G16" s="145">
        <f t="shared" ca="1" si="1"/>
        <v>0</v>
      </c>
      <c r="H16" s="145">
        <f t="shared" ca="1" si="1"/>
        <v>0</v>
      </c>
      <c r="I16" s="145">
        <f t="shared" ca="1" si="1"/>
        <v>147.76502983461546</v>
      </c>
      <c r="J16" s="145">
        <f t="shared" ca="1" si="1"/>
        <v>573.33295706164199</v>
      </c>
      <c r="K16" s="145">
        <f t="shared" ca="1" si="1"/>
        <v>1315.9260423987175</v>
      </c>
      <c r="L16" s="145">
        <f t="shared" ca="1" si="1"/>
        <v>2546.2715056129705</v>
      </c>
      <c r="M16" s="145">
        <f t="shared" ca="1" si="1"/>
        <v>5170.9765737434327</v>
      </c>
      <c r="N16" s="146">
        <f t="shared" ca="1" si="1"/>
        <v>3219.1200607523342</v>
      </c>
      <c r="O16" s="79"/>
      <c r="P16" s="35"/>
      <c r="Q16" s="2212"/>
      <c r="R16" s="937" t="str">
        <f t="shared" ref="R16:R52" ca="1" si="2">OFFSET($C$25,(ROW(C26)-ROW($C$25))*T$5*T$15,0)</f>
        <v>Algerian Condensate_BP</v>
      </c>
      <c r="S16" s="76"/>
      <c r="T16" s="76">
        <v>2</v>
      </c>
      <c r="U16" s="1570"/>
    </row>
    <row r="17" spans="1:21" ht="18.75" customHeight="1" x14ac:dyDescent="0.25">
      <c r="A17" s="14"/>
      <c r="B17" s="15"/>
      <c r="C17" s="119" t="s">
        <v>779</v>
      </c>
      <c r="D17" s="120" t="str">
        <f t="shared" ca="1" si="1"/>
        <v>oAPI</v>
      </c>
      <c r="E17" s="145">
        <f t="shared" ca="1" si="1"/>
        <v>32.710282000696282</v>
      </c>
      <c r="F17" s="145">
        <f t="shared" ca="1" si="1"/>
        <v>66.810065343505755</v>
      </c>
      <c r="G17" s="145">
        <f t="shared" ca="1" si="1"/>
        <v>48.930774481465882</v>
      </c>
      <c r="H17" s="145">
        <f t="shared" ca="1" si="1"/>
        <v>36.017353731652683</v>
      </c>
      <c r="I17" s="145">
        <f t="shared" ca="1" si="1"/>
        <v>28.65400910502008</v>
      </c>
      <c r="J17" s="145">
        <f t="shared" ca="1" si="1"/>
        <v>24.667236439282533</v>
      </c>
      <c r="K17" s="145">
        <f t="shared" ca="1" si="1"/>
        <v>21.169746955325756</v>
      </c>
      <c r="L17" s="145">
        <f t="shared" ca="1" si="1"/>
        <v>17.695879132085047</v>
      </c>
      <c r="M17" s="145">
        <f t="shared" ca="1" si="1"/>
        <v>2.4639609223786181</v>
      </c>
      <c r="N17" s="146">
        <f t="shared" ca="1" si="1"/>
        <v>39.968737839092263</v>
      </c>
      <c r="O17" s="79"/>
      <c r="P17" s="35"/>
      <c r="Q17" s="77"/>
      <c r="R17" s="937" t="str">
        <f t="shared" ca="1" si="2"/>
        <v>Brazil Polvo_BP</v>
      </c>
      <c r="S17" s="76"/>
      <c r="T17" s="76">
        <v>3</v>
      </c>
      <c r="U17" s="997"/>
    </row>
    <row r="18" spans="1:21" ht="18.75" customHeight="1" x14ac:dyDescent="0.25">
      <c r="A18" s="14"/>
      <c r="B18" s="15"/>
      <c r="C18" s="119" t="s">
        <v>580</v>
      </c>
      <c r="D18" s="120" t="str">
        <f t="shared" ca="1" si="1"/>
        <v>kg/m^3</v>
      </c>
      <c r="E18" s="145">
        <f t="shared" ca="1" si="1"/>
        <v>860.83830000000012</v>
      </c>
      <c r="F18" s="145">
        <f t="shared" ca="1" si="1"/>
        <v>712.81555858066895</v>
      </c>
      <c r="G18" s="145">
        <f t="shared" ca="1" si="1"/>
        <v>783.45005394033024</v>
      </c>
      <c r="H18" s="145">
        <f t="shared" ca="1" si="1"/>
        <v>843.84391736776865</v>
      </c>
      <c r="I18" s="145">
        <f t="shared" ca="1" si="1"/>
        <v>882.64103277804918</v>
      </c>
      <c r="J18" s="145">
        <f t="shared" ca="1" si="1"/>
        <v>905.17385863429718</v>
      </c>
      <c r="K18" s="145">
        <f t="shared" ca="1" si="1"/>
        <v>925.910357612398</v>
      </c>
      <c r="L18" s="145">
        <f t="shared" ca="1" si="1"/>
        <v>947.46919836072334</v>
      </c>
      <c r="M18" s="145">
        <f t="shared" ca="1" si="1"/>
        <v>1055.1979728481299</v>
      </c>
      <c r="N18" s="146">
        <f t="shared" ca="1" si="1"/>
        <v>824.39809017928417</v>
      </c>
      <c r="O18" s="79"/>
      <c r="P18" s="35"/>
      <c r="Q18" s="77"/>
      <c r="R18" s="937" t="str">
        <f t="shared" ca="1" si="2"/>
        <v>Brent_BP</v>
      </c>
      <c r="S18" s="16"/>
      <c r="T18" s="76">
        <v>4</v>
      </c>
      <c r="U18" s="997"/>
    </row>
    <row r="19" spans="1:21" ht="18.75" customHeight="1" x14ac:dyDescent="0.25">
      <c r="A19" s="14"/>
      <c r="B19" s="15"/>
      <c r="C19" s="119" t="s">
        <v>541</v>
      </c>
      <c r="D19" s="120" t="str">
        <f t="shared" ca="1" si="1"/>
        <v>wt%</v>
      </c>
      <c r="E19" s="145">
        <f t="shared" ca="1" si="1"/>
        <v>12.931648905131908</v>
      </c>
      <c r="F19" s="145">
        <f t="shared" ca="1" si="1"/>
        <v>15.321692746753095</v>
      </c>
      <c r="G19" s="145">
        <f t="shared" ca="1" si="1"/>
        <v>13.50174052285624</v>
      </c>
      <c r="H19" s="145">
        <f t="shared" ca="1" si="1"/>
        <v>12.638480433923334</v>
      </c>
      <c r="I19" s="145">
        <f t="shared" ca="1" si="1"/>
        <v>12.394831175477673</v>
      </c>
      <c r="J19" s="145">
        <f t="shared" ca="1" si="1"/>
        <v>12.331915988948797</v>
      </c>
      <c r="K19" s="145">
        <f t="shared" ca="1" si="1"/>
        <v>12.271763653145852</v>
      </c>
      <c r="L19" s="145">
        <f t="shared" ca="1" si="1"/>
        <v>12.125465535911589</v>
      </c>
      <c r="M19" s="145">
        <f t="shared" ca="1" si="1"/>
        <v>13.775491885583563</v>
      </c>
      <c r="N19" s="146">
        <f t="shared" ca="1" si="1"/>
        <v>12.849096068230626</v>
      </c>
      <c r="O19" s="79"/>
      <c r="P19" s="14"/>
      <c r="Q19" s="77"/>
      <c r="R19" s="937" t="str">
        <f t="shared" ca="1" si="2"/>
        <v>Ekofisk_BP</v>
      </c>
      <c r="S19" s="16"/>
      <c r="T19" s="76">
        <v>5</v>
      </c>
      <c r="U19" s="997"/>
    </row>
    <row r="20" spans="1:21" ht="18.75" customHeight="1" x14ac:dyDescent="0.25">
      <c r="A20" s="14"/>
      <c r="B20" s="15"/>
      <c r="C20" s="119" t="s">
        <v>544</v>
      </c>
      <c r="D20" s="120" t="str">
        <f t="shared" ca="1" si="1"/>
        <v>wt%</v>
      </c>
      <c r="E20" s="145">
        <f t="shared" ca="1" si="1"/>
        <v>1.2</v>
      </c>
      <c r="F20" s="145" t="str">
        <f t="shared" ca="1" si="1"/>
        <v/>
      </c>
      <c r="G20" s="145" t="str">
        <f t="shared" ca="1" si="1"/>
        <v/>
      </c>
      <c r="H20" s="145" t="str">
        <f t="shared" ca="1" si="1"/>
        <v/>
      </c>
      <c r="I20" s="145" t="str">
        <f t="shared" ca="1" si="1"/>
        <v/>
      </c>
      <c r="J20" s="145" t="str">
        <f t="shared" ca="1" si="1"/>
        <v/>
      </c>
      <c r="K20" s="145" t="str">
        <f t="shared" ca="1" si="1"/>
        <v/>
      </c>
      <c r="L20" s="145" t="str">
        <f t="shared" ca="1" si="1"/>
        <v/>
      </c>
      <c r="M20" s="145">
        <f t="shared" ca="1" si="1"/>
        <v>10.823381666475589</v>
      </c>
      <c r="N20" s="146">
        <f t="shared" ca="1" si="1"/>
        <v>4.4374255523499508</v>
      </c>
      <c r="O20" s="79"/>
      <c r="P20" s="14"/>
      <c r="Q20" s="77"/>
      <c r="R20" s="937" t="str">
        <f t="shared" ca="1" si="2"/>
        <v>Forties Blend_BP</v>
      </c>
      <c r="S20" s="16"/>
      <c r="T20" s="76">
        <v>6</v>
      </c>
      <c r="U20" s="997"/>
    </row>
    <row r="21" spans="1:21" ht="18.75" customHeight="1" x14ac:dyDescent="0.25">
      <c r="A21" s="14"/>
      <c r="B21" s="15"/>
      <c r="C21" s="119" t="s">
        <v>780</v>
      </c>
      <c r="D21" s="120" t="str">
        <f t="shared" ca="1" si="1"/>
        <v xml:space="preserve">Kw (Approximate) </v>
      </c>
      <c r="E21" s="145">
        <f t="shared" ca="1" si="1"/>
        <v>11.700153491056373</v>
      </c>
      <c r="F21" s="145">
        <f t="shared" ca="1" si="1"/>
        <v>11.603591066684944</v>
      </c>
      <c r="G21" s="145">
        <f t="shared" ca="1" si="1"/>
        <v>11.538317381501681</v>
      </c>
      <c r="H21" s="145">
        <f t="shared" ca="1" si="1"/>
        <v>11.509389111178706</v>
      </c>
      <c r="I21" s="145">
        <f t="shared" ca="1" si="1"/>
        <v>11.541600381019759</v>
      </c>
      <c r="J21" s="145">
        <f t="shared" ca="1" si="1"/>
        <v>11.585905176337866</v>
      </c>
      <c r="K21" s="145">
        <f t="shared" ca="1" si="1"/>
        <v>11.638857688170157</v>
      </c>
      <c r="L21" s="145">
        <f t="shared" ca="1" si="1"/>
        <v>11.689687554365658</v>
      </c>
      <c r="M21" s="145">
        <f t="shared" ca="1" si="1"/>
        <v>11.195866150132154</v>
      </c>
      <c r="N21" s="146">
        <f t="shared" ca="1" si="1"/>
        <v>11.510907375147308</v>
      </c>
      <c r="O21" s="79"/>
      <c r="P21" s="22"/>
      <c r="Q21" s="77"/>
      <c r="R21" s="937" t="str">
        <f t="shared" ca="1" si="2"/>
        <v>Indonesia Tangguh_BP</v>
      </c>
      <c r="S21" s="16"/>
      <c r="T21" s="76">
        <v>7</v>
      </c>
      <c r="U21" s="997"/>
    </row>
    <row r="22" spans="1:21" ht="18.75" customHeight="1" x14ac:dyDescent="0.25">
      <c r="A22" s="19"/>
      <c r="B22" s="15"/>
      <c r="C22" s="136" t="s">
        <v>781</v>
      </c>
      <c r="D22" s="137" t="str">
        <f t="shared" ca="1" si="1"/>
        <v xml:space="preserve"> [°C]</v>
      </c>
      <c r="E22" s="147">
        <f t="shared" ca="1" si="1"/>
        <v>296.18836685568135</v>
      </c>
      <c r="F22" s="147">
        <f t="shared" ca="1" si="1"/>
        <v>42.161482600405243</v>
      </c>
      <c r="G22" s="147">
        <f t="shared" ca="1" si="1"/>
        <v>138.4661602490732</v>
      </c>
      <c r="H22" s="147">
        <f t="shared" ca="1" si="1"/>
        <v>237.32469926339931</v>
      </c>
      <c r="I22" s="147">
        <f t="shared" ca="1" si="1"/>
        <v>315.93975462006586</v>
      </c>
      <c r="J22" s="147">
        <f t="shared" ca="1" si="1"/>
        <v>369.56279912297532</v>
      </c>
      <c r="K22" s="147">
        <f t="shared" ca="1" si="1"/>
        <v>424.22910543216562</v>
      </c>
      <c r="L22" s="147">
        <f t="shared" ca="1" si="1"/>
        <v>483.91826373810716</v>
      </c>
      <c r="M22" s="147">
        <f t="shared" ca="1" si="1"/>
        <v>645.61822707976467</v>
      </c>
      <c r="N22" s="148">
        <f t="shared" ca="1" si="1"/>
        <v>203.02943911373549</v>
      </c>
      <c r="O22" s="79"/>
      <c r="P22" s="22"/>
      <c r="Q22" s="77"/>
      <c r="R22" s="937" t="str">
        <f t="shared" ca="1" si="2"/>
        <v>Iraq Basra_BP</v>
      </c>
      <c r="S22" s="16"/>
      <c r="T22" s="76">
        <v>8</v>
      </c>
      <c r="U22" s="997"/>
    </row>
    <row r="23" spans="1:21" ht="18.75" customHeight="1" x14ac:dyDescent="0.25">
      <c r="A23" s="19"/>
      <c r="B23" s="15"/>
      <c r="C23" s="76"/>
      <c r="D23" s="76"/>
      <c r="E23" s="76"/>
      <c r="F23" s="76"/>
      <c r="G23" s="76"/>
      <c r="H23" s="76"/>
      <c r="I23" s="76"/>
      <c r="J23" s="76"/>
      <c r="K23" s="76"/>
      <c r="L23" s="76"/>
      <c r="M23" s="76"/>
      <c r="N23" s="76"/>
      <c r="O23" s="17"/>
      <c r="P23" s="3"/>
      <c r="Q23" s="77"/>
      <c r="R23" s="937" t="str">
        <f t="shared" ca="1" si="2"/>
        <v>Mars USA-Gulf of Mexico_BP</v>
      </c>
      <c r="S23" s="16"/>
      <c r="T23" s="76">
        <v>9</v>
      </c>
      <c r="U23" s="997"/>
    </row>
    <row r="24" spans="1:21" ht="18.75" customHeight="1" x14ac:dyDescent="0.25">
      <c r="A24" s="14"/>
      <c r="B24" s="15"/>
      <c r="C24" s="108" t="s">
        <v>1368</v>
      </c>
      <c r="D24" s="116"/>
      <c r="E24" s="117"/>
      <c r="F24" s="116"/>
      <c r="G24" s="116"/>
      <c r="H24" s="116"/>
      <c r="I24" s="116"/>
      <c r="J24" s="116"/>
      <c r="K24" s="116"/>
      <c r="L24" s="116"/>
      <c r="M24" s="116"/>
      <c r="N24" s="118"/>
      <c r="O24" s="17"/>
      <c r="P24" s="4"/>
      <c r="Q24" s="77"/>
      <c r="R24" s="937" t="str">
        <f t="shared" ca="1" si="2"/>
        <v>Norway North Sea Skarv_BP</v>
      </c>
      <c r="S24" s="16"/>
      <c r="T24" s="76">
        <v>10</v>
      </c>
      <c r="U24" s="997"/>
    </row>
    <row r="25" spans="1:21" ht="18.75" customHeight="1" x14ac:dyDescent="0.25">
      <c r="A25" s="14"/>
      <c r="B25" s="20"/>
      <c r="C25" s="2199" t="s">
        <v>1292</v>
      </c>
      <c r="D25" s="2200"/>
      <c r="E25" s="2200"/>
      <c r="F25" s="2200"/>
      <c r="G25" s="2200"/>
      <c r="H25" s="2200"/>
      <c r="I25" s="2200"/>
      <c r="J25" s="2200"/>
      <c r="K25" s="2200"/>
      <c r="L25" s="2200"/>
      <c r="M25" s="2200"/>
      <c r="N25" s="2201"/>
      <c r="O25" s="38"/>
      <c r="P25" s="4"/>
      <c r="Q25" s="77"/>
      <c r="R25" s="937" t="str">
        <f t="shared" ca="1" si="2"/>
        <v xml:space="preserve">Thunderhorse_BP </v>
      </c>
      <c r="S25" s="16"/>
      <c r="T25" s="76">
        <v>11</v>
      </c>
      <c r="U25" s="997"/>
    </row>
    <row r="26" spans="1:21" ht="15" x14ac:dyDescent="0.25">
      <c r="A26" s="14"/>
      <c r="B26" s="20"/>
      <c r="C26" s="2202" t="s">
        <v>1088</v>
      </c>
      <c r="D26" s="210">
        <v>57</v>
      </c>
      <c r="E26" s="104" t="s">
        <v>679</v>
      </c>
      <c r="F26" s="210">
        <v>80</v>
      </c>
      <c r="G26" s="210">
        <v>180</v>
      </c>
      <c r="H26" s="210">
        <v>290</v>
      </c>
      <c r="I26" s="210">
        <v>340</v>
      </c>
      <c r="J26" s="210">
        <v>400</v>
      </c>
      <c r="K26" s="210">
        <v>450</v>
      </c>
      <c r="L26" s="210">
        <v>525</v>
      </c>
      <c r="M26" s="210">
        <v>525</v>
      </c>
      <c r="N26" s="115">
        <v>400</v>
      </c>
      <c r="O26" s="38"/>
      <c r="P26" s="9"/>
      <c r="Q26" s="2045"/>
      <c r="R26" s="937" t="str">
        <f t="shared" ca="1" si="2"/>
        <v>UAE DAS Blend_BP</v>
      </c>
      <c r="S26" s="16"/>
      <c r="T26" s="76">
        <v>12</v>
      </c>
      <c r="U26" s="2213"/>
    </row>
    <row r="27" spans="1:21" ht="18.75" customHeight="1" x14ac:dyDescent="0.25">
      <c r="A27" s="14"/>
      <c r="B27" s="15"/>
      <c r="C27" s="119" t="s">
        <v>568</v>
      </c>
      <c r="D27" s="120" t="s">
        <v>623</v>
      </c>
      <c r="E27" s="110" t="s">
        <v>608</v>
      </c>
      <c r="F27" s="110" t="s">
        <v>957</v>
      </c>
      <c r="G27" s="110" t="s">
        <v>572</v>
      </c>
      <c r="H27" s="110" t="s">
        <v>530</v>
      </c>
      <c r="I27" s="110" t="s">
        <v>573</v>
      </c>
      <c r="J27" s="110" t="s">
        <v>574</v>
      </c>
      <c r="K27" s="110" t="s">
        <v>575</v>
      </c>
      <c r="L27" s="110" t="s">
        <v>576</v>
      </c>
      <c r="M27" s="110" t="s">
        <v>577</v>
      </c>
      <c r="N27" s="2203" t="s">
        <v>609</v>
      </c>
      <c r="O27" s="81"/>
      <c r="P27" s="5"/>
      <c r="Q27" s="77"/>
      <c r="R27" s="937" t="str">
        <f t="shared" ca="1" si="2"/>
        <v>UAE Murban_BP</v>
      </c>
      <c r="S27" s="73"/>
      <c r="T27" s="76">
        <v>13</v>
      </c>
      <c r="U27" s="997"/>
    </row>
    <row r="28" spans="1:21" ht="18.75" customHeight="1" x14ac:dyDescent="0.25">
      <c r="A28" s="14"/>
      <c r="B28" s="15"/>
      <c r="C28" s="119" t="s">
        <v>582</v>
      </c>
      <c r="D28" s="120" t="s">
        <v>566</v>
      </c>
      <c r="E28" s="121">
        <f>SUM(F28:M28)</f>
        <v>102091.83870296778</v>
      </c>
      <c r="F28" s="129">
        <v>5808.7780690285281</v>
      </c>
      <c r="G28" s="129">
        <v>12643.806332856318</v>
      </c>
      <c r="H28" s="129">
        <v>18065.783147676117</v>
      </c>
      <c r="I28" s="129">
        <v>9143.0393805265176</v>
      </c>
      <c r="J28" s="129">
        <v>15922.21692372355</v>
      </c>
      <c r="K28" s="129">
        <v>15611.102060671319</v>
      </c>
      <c r="L28" s="129">
        <v>17312.756068557646</v>
      </c>
      <c r="M28" s="129">
        <v>7584.3567199277832</v>
      </c>
      <c r="N28" s="130">
        <v>40510.096859189369</v>
      </c>
      <c r="O28" s="82"/>
      <c r="P28" s="10"/>
      <c r="Q28" s="77"/>
      <c r="R28" s="937" t="str">
        <f t="shared" ca="1" si="2"/>
        <v>Margham Light_Ceric Emir</v>
      </c>
      <c r="S28" s="16"/>
      <c r="T28" s="76">
        <v>14</v>
      </c>
      <c r="U28" s="997"/>
    </row>
    <row r="29" spans="1:21" ht="18.75" customHeight="1" x14ac:dyDescent="0.25">
      <c r="A29" s="14"/>
      <c r="B29" s="15"/>
      <c r="C29" s="119" t="s">
        <v>582</v>
      </c>
      <c r="D29" s="120" t="s">
        <v>628</v>
      </c>
      <c r="E29" s="145">
        <f>E28*'Energy &amp; Unit Conversions'!$J$94</f>
        <v>16232.602353771877</v>
      </c>
      <c r="F29" s="129">
        <v>923.595712975536</v>
      </c>
      <c r="G29" s="129">
        <v>2010.3652069241546</v>
      </c>
      <c r="H29" s="129">
        <v>2872.4595204805028</v>
      </c>
      <c r="I29" s="129">
        <v>1453.7432615037164</v>
      </c>
      <c r="J29" s="129">
        <v>2531.6324908720444</v>
      </c>
      <c r="K29" s="129">
        <v>2482.1652276467398</v>
      </c>
      <c r="L29" s="129">
        <v>2752.7282149006655</v>
      </c>
      <c r="M29" s="129">
        <v>1205.9127184685176</v>
      </c>
      <c r="N29" s="130">
        <v>6441.1054006111099</v>
      </c>
      <c r="O29" s="82"/>
      <c r="P29" s="5"/>
      <c r="Q29" s="77"/>
      <c r="R29" s="937" t="str">
        <f t="shared" ca="1" si="2"/>
        <v>Angola Kuito_Chevron</v>
      </c>
      <c r="S29" s="16"/>
      <c r="T29" s="76">
        <v>15</v>
      </c>
      <c r="U29" s="997"/>
    </row>
    <row r="30" spans="1:21" ht="18.75" customHeight="1" x14ac:dyDescent="0.25">
      <c r="A30" s="14"/>
      <c r="B30" s="15"/>
      <c r="C30" s="119" t="s">
        <v>620</v>
      </c>
      <c r="D30" s="120" t="s">
        <v>622</v>
      </c>
      <c r="E30" s="129">
        <v>13995179.999999998</v>
      </c>
      <c r="F30" s="129">
        <v>629783.09999999986</v>
      </c>
      <c r="G30" s="129">
        <v>1539469.7999999998</v>
      </c>
      <c r="H30" s="129">
        <v>2379180.5999999996</v>
      </c>
      <c r="I30" s="129">
        <v>1259566.1999999997</v>
      </c>
      <c r="J30" s="129">
        <v>2239228.7999999998</v>
      </c>
      <c r="K30" s="129">
        <v>2239228.7999999998</v>
      </c>
      <c r="L30" s="129">
        <v>2519132.3999999994</v>
      </c>
      <c r="M30" s="129">
        <v>1119614.3999999999</v>
      </c>
      <c r="N30" s="130">
        <v>5877975.5999999987</v>
      </c>
      <c r="O30" s="82"/>
      <c r="P30" s="5"/>
      <c r="Q30" s="77"/>
      <c r="R30" s="937" t="str">
        <f t="shared" ca="1" si="2"/>
        <v>Azeri Light_Chevron</v>
      </c>
      <c r="S30" s="16"/>
      <c r="T30" s="76">
        <v>16</v>
      </c>
      <c r="U30" s="997"/>
    </row>
    <row r="31" spans="1:21" ht="18.75" customHeight="1" x14ac:dyDescent="0.25">
      <c r="A31" s="14"/>
      <c r="B31" s="15"/>
      <c r="C31" s="122" t="s">
        <v>776</v>
      </c>
      <c r="D31" s="120" t="s">
        <v>579</v>
      </c>
      <c r="E31" s="125">
        <v>0.2679025928066005</v>
      </c>
      <c r="F31" s="125">
        <v>4.7101680125476088E-2</v>
      </c>
      <c r="G31" s="125">
        <v>0</v>
      </c>
      <c r="H31" s="125">
        <v>0.11238283701786134</v>
      </c>
      <c r="I31" s="125">
        <v>0.22150163216524732</v>
      </c>
      <c r="J31" s="125">
        <v>0.29559167350651705</v>
      </c>
      <c r="K31" s="125">
        <v>0.3795373715530983</v>
      </c>
      <c r="L31" s="125">
        <v>0.43767698587342718</v>
      </c>
      <c r="M31" s="125">
        <v>0.4992535418286248</v>
      </c>
      <c r="N31" s="131">
        <v>0.42725742917143483</v>
      </c>
      <c r="O31" s="83"/>
      <c r="P31" s="5"/>
      <c r="Q31" s="77"/>
      <c r="R31" s="937" t="str">
        <f t="shared" ca="1" si="2"/>
        <v>Bonny Light_Chevron</v>
      </c>
      <c r="S31" s="16"/>
      <c r="T31" s="76">
        <v>17</v>
      </c>
      <c r="U31" s="997"/>
    </row>
    <row r="32" spans="1:21" ht="18.75" customHeight="1" x14ac:dyDescent="0.25">
      <c r="A32" s="14"/>
      <c r="B32" s="15"/>
      <c r="C32" s="122" t="s">
        <v>777</v>
      </c>
      <c r="D32" s="210" t="s">
        <v>778</v>
      </c>
      <c r="E32" s="125">
        <v>1119.6302350913529</v>
      </c>
      <c r="F32" s="132">
        <v>0</v>
      </c>
      <c r="G32" s="132">
        <v>0</v>
      </c>
      <c r="H32" s="132">
        <v>83.229470532426959</v>
      </c>
      <c r="I32" s="132">
        <v>449.21004429770892</v>
      </c>
      <c r="J32" s="132">
        <v>856.37965480833861</v>
      </c>
      <c r="K32" s="132">
        <v>1572.3634130053656</v>
      </c>
      <c r="L32" s="132">
        <v>2390.9234835609705</v>
      </c>
      <c r="M32" s="125">
        <v>3076.0900402859911</v>
      </c>
      <c r="N32" s="133">
        <v>2209.5989912969344</v>
      </c>
      <c r="O32" s="84"/>
      <c r="P32" s="5"/>
      <c r="Q32" s="77"/>
      <c r="R32" s="937" t="str">
        <f t="shared" ca="1" si="2"/>
        <v>Brazil Frade_Chevron</v>
      </c>
      <c r="S32" s="16"/>
      <c r="T32" s="76">
        <v>18</v>
      </c>
      <c r="U32" s="997"/>
    </row>
    <row r="33" spans="1:21" ht="18.75" customHeight="1" x14ac:dyDescent="0.25">
      <c r="A33" s="14"/>
      <c r="B33" s="15"/>
      <c r="C33" s="119" t="s">
        <v>779</v>
      </c>
      <c r="D33" s="120" t="s">
        <v>970</v>
      </c>
      <c r="E33" s="132">
        <v>29.3</v>
      </c>
      <c r="F33" s="125">
        <v>75.809572017021623</v>
      </c>
      <c r="G33" s="125">
        <v>53.100228665180595</v>
      </c>
      <c r="H33" s="125">
        <v>39.169122773267162</v>
      </c>
      <c r="I33" s="125">
        <v>31.653038245505243</v>
      </c>
      <c r="J33" s="125">
        <v>28.319820489490759</v>
      </c>
      <c r="K33" s="125">
        <v>25.196993950773305</v>
      </c>
      <c r="L33" s="125">
        <v>22.968806018957949</v>
      </c>
      <c r="M33" s="125">
        <v>20.75650238455033</v>
      </c>
      <c r="N33" s="131">
        <v>23.403444821802012</v>
      </c>
      <c r="O33" s="83"/>
      <c r="P33" s="5"/>
      <c r="Q33" s="77"/>
      <c r="R33" s="937" t="str">
        <f t="shared" ca="1" si="2"/>
        <v>Brent_Chevron</v>
      </c>
      <c r="S33" s="16"/>
      <c r="T33" s="76">
        <v>19</v>
      </c>
      <c r="U33" s="997"/>
    </row>
    <row r="34" spans="1:21" ht="18.75" customHeight="1" x14ac:dyDescent="0.25">
      <c r="A34" s="14"/>
      <c r="B34" s="15"/>
      <c r="C34" s="119" t="s">
        <v>580</v>
      </c>
      <c r="D34" s="120" t="s">
        <v>581</v>
      </c>
      <c r="E34" s="125">
        <v>880.19999999999993</v>
      </c>
      <c r="F34" s="125">
        <v>681.88179216535775</v>
      </c>
      <c r="G34" s="125">
        <v>765.76623724769809</v>
      </c>
      <c r="H34" s="125">
        <v>828.27297757777012</v>
      </c>
      <c r="I34" s="125">
        <v>866.42960511275919</v>
      </c>
      <c r="J34" s="125">
        <v>884.49994542007028</v>
      </c>
      <c r="K34" s="125">
        <v>902.12721339382381</v>
      </c>
      <c r="L34" s="125">
        <v>915.14025480750354</v>
      </c>
      <c r="M34" s="125">
        <v>928.43734281357058</v>
      </c>
      <c r="N34" s="131">
        <v>912.57249096441069</v>
      </c>
      <c r="O34" s="83"/>
      <c r="P34" s="1"/>
      <c r="Q34" s="77"/>
      <c r="R34" s="937" t="str">
        <f t="shared" ca="1" si="2"/>
        <v>Canada Hibernia_Chevron</v>
      </c>
      <c r="S34" s="16"/>
      <c r="T34" s="76">
        <v>20</v>
      </c>
      <c r="U34" s="2214"/>
    </row>
    <row r="35" spans="1:21" ht="18.75" customHeight="1" x14ac:dyDescent="0.25">
      <c r="A35" s="14"/>
      <c r="B35" s="15"/>
      <c r="C35" s="119" t="s">
        <v>541</v>
      </c>
      <c r="D35" s="120" t="s">
        <v>579</v>
      </c>
      <c r="E35" s="125">
        <v>12.74005473124851</v>
      </c>
      <c r="F35" s="125">
        <v>14.995073863213971</v>
      </c>
      <c r="G35" s="125">
        <v>13.862390355450135</v>
      </c>
      <c r="H35" s="125">
        <v>13.082276944067482</v>
      </c>
      <c r="I35" s="125">
        <v>12.685686297358101</v>
      </c>
      <c r="J35" s="125">
        <v>12.531619767481526</v>
      </c>
      <c r="K35" s="125">
        <v>12.392276922116455</v>
      </c>
      <c r="L35" s="125">
        <v>12.286905617317403</v>
      </c>
      <c r="M35" s="125">
        <v>12.190601744973181</v>
      </c>
      <c r="N35" s="131">
        <v>12.308703472032429</v>
      </c>
      <c r="O35" s="83"/>
      <c r="P35" s="14"/>
      <c r="Q35" s="77"/>
      <c r="R35" s="937" t="str">
        <f t="shared" ca="1" si="2"/>
        <v>China Bozhong_Chevron</v>
      </c>
      <c r="S35" s="16"/>
      <c r="T35" s="76">
        <v>21</v>
      </c>
      <c r="U35" s="997"/>
    </row>
    <row r="36" spans="1:21" ht="18.75" customHeight="1" x14ac:dyDescent="0.25">
      <c r="A36" s="14"/>
      <c r="B36" s="15"/>
      <c r="C36" s="119" t="s">
        <v>544</v>
      </c>
      <c r="D36" s="120" t="s">
        <v>579</v>
      </c>
      <c r="E36" s="125">
        <v>3.24</v>
      </c>
      <c r="F36" s="128"/>
      <c r="G36" s="128"/>
      <c r="H36" s="128"/>
      <c r="I36" s="128"/>
      <c r="J36" s="128"/>
      <c r="K36" s="128"/>
      <c r="L36" s="128"/>
      <c r="M36" s="125">
        <v>40.459499999999998</v>
      </c>
      <c r="N36" s="131">
        <v>7.7142857142857153</v>
      </c>
      <c r="O36" s="83"/>
      <c r="P36" s="6"/>
      <c r="Q36" s="77"/>
      <c r="R36" s="937" t="str">
        <f t="shared" ca="1" si="2"/>
        <v>Cossack_Chevron</v>
      </c>
      <c r="S36" s="16"/>
      <c r="T36" s="76">
        <v>22</v>
      </c>
      <c r="U36" s="997"/>
    </row>
    <row r="37" spans="1:21" ht="18.75" customHeight="1" x14ac:dyDescent="0.25">
      <c r="A37" s="29"/>
      <c r="B37" s="15"/>
      <c r="C37" s="119" t="s">
        <v>780</v>
      </c>
      <c r="D37" s="120" t="s">
        <v>783</v>
      </c>
      <c r="E37" s="125">
        <v>11.775654749934938</v>
      </c>
      <c r="F37" s="125">
        <v>12.229868958354864</v>
      </c>
      <c r="G37" s="125">
        <v>11.800490547906151</v>
      </c>
      <c r="H37" s="125">
        <v>11.822194350647777</v>
      </c>
      <c r="I37" s="125">
        <v>11.751471760487417</v>
      </c>
      <c r="J37" s="125">
        <v>11.859574975626648</v>
      </c>
      <c r="K37" s="125">
        <v>11.921680249799476</v>
      </c>
      <c r="L37" s="125">
        <v>12.108589734134455</v>
      </c>
      <c r="M37" s="125">
        <v>12.605257205403289</v>
      </c>
      <c r="N37" s="131">
        <v>12.274687808475145</v>
      </c>
      <c r="O37" s="83"/>
      <c r="P37" s="1"/>
      <c r="Q37" s="77"/>
      <c r="R37" s="937" t="str">
        <f t="shared" ca="1" si="2"/>
        <v xml:space="preserve">Ekofisk_Chevron </v>
      </c>
      <c r="S37" s="16"/>
      <c r="T37" s="76">
        <v>23</v>
      </c>
      <c r="U37" s="997"/>
    </row>
    <row r="38" spans="1:21" ht="18.75" customHeight="1" x14ac:dyDescent="0.25">
      <c r="A38" s="14"/>
      <c r="B38" s="15"/>
      <c r="C38" s="122" t="s">
        <v>781</v>
      </c>
      <c r="D38" s="120" t="s">
        <v>782</v>
      </c>
      <c r="E38" s="125">
        <v>345</v>
      </c>
      <c r="F38" s="134">
        <v>50</v>
      </c>
      <c r="G38" s="134">
        <v>138</v>
      </c>
      <c r="H38" s="134">
        <v>250</v>
      </c>
      <c r="I38" s="134">
        <v>315</v>
      </c>
      <c r="J38" s="134">
        <v>370</v>
      </c>
      <c r="K38" s="134">
        <v>420</v>
      </c>
      <c r="L38" s="134">
        <v>485</v>
      </c>
      <c r="M38" s="134">
        <v>620</v>
      </c>
      <c r="N38" s="135">
        <v>510</v>
      </c>
      <c r="O38" s="80"/>
      <c r="P38" s="3"/>
      <c r="Q38" s="77"/>
      <c r="R38" s="937" t="str">
        <f t="shared" ca="1" si="2"/>
        <v xml:space="preserve">Forties_Chevron </v>
      </c>
      <c r="S38" s="16"/>
      <c r="T38" s="76">
        <v>24</v>
      </c>
      <c r="U38" s="997"/>
    </row>
    <row r="39" spans="1:21" ht="18.75" customHeight="1" x14ac:dyDescent="0.25">
      <c r="A39" s="14"/>
      <c r="B39" s="15"/>
      <c r="C39" s="122"/>
      <c r="D39" s="210"/>
      <c r="E39" s="210"/>
      <c r="F39" s="210"/>
      <c r="G39" s="210"/>
      <c r="H39" s="210"/>
      <c r="I39" s="210"/>
      <c r="J39" s="210"/>
      <c r="K39" s="210"/>
      <c r="L39" s="210"/>
      <c r="M39" s="210"/>
      <c r="N39" s="115"/>
      <c r="O39" s="17"/>
      <c r="P39" s="4"/>
      <c r="Q39" s="77"/>
      <c r="R39" s="937" t="str">
        <f t="shared" ca="1" si="2"/>
        <v>Indonesia Duri_Chevron</v>
      </c>
      <c r="S39" s="16"/>
      <c r="T39" s="76">
        <v>25</v>
      </c>
      <c r="U39" s="997"/>
    </row>
    <row r="40" spans="1:21" ht="18.75" customHeight="1" x14ac:dyDescent="0.25">
      <c r="A40" s="14"/>
      <c r="B40" s="138"/>
      <c r="C40" s="2199" t="s">
        <v>1997</v>
      </c>
      <c r="D40" s="2200"/>
      <c r="E40" s="2200"/>
      <c r="F40" s="2200"/>
      <c r="G40" s="2200"/>
      <c r="H40" s="2200"/>
      <c r="I40" s="2200"/>
      <c r="J40" s="2200"/>
      <c r="K40" s="2200"/>
      <c r="L40" s="2200"/>
      <c r="M40" s="2200"/>
      <c r="N40" s="2201"/>
      <c r="O40" s="139"/>
      <c r="P40" s="4"/>
      <c r="Q40" s="77"/>
      <c r="R40" s="937" t="str">
        <f t="shared" ca="1" si="2"/>
        <v>Kuwait Eocene_Chevron</v>
      </c>
      <c r="S40" s="16"/>
      <c r="T40" s="76">
        <v>26</v>
      </c>
      <c r="U40" s="997"/>
    </row>
    <row r="41" spans="1:21" ht="15" x14ac:dyDescent="0.25">
      <c r="A41" s="14"/>
      <c r="B41" s="15"/>
      <c r="C41" s="2202" t="s">
        <v>1088</v>
      </c>
      <c r="D41" s="210">
        <v>134</v>
      </c>
      <c r="E41" s="104" t="s">
        <v>679</v>
      </c>
      <c r="F41" s="210">
        <v>80</v>
      </c>
      <c r="G41" s="210">
        <v>180</v>
      </c>
      <c r="H41" s="210">
        <v>290</v>
      </c>
      <c r="I41" s="210">
        <v>340</v>
      </c>
      <c r="J41" s="210">
        <v>400</v>
      </c>
      <c r="K41" s="210">
        <v>450</v>
      </c>
      <c r="L41" s="210">
        <v>525</v>
      </c>
      <c r="M41" s="210">
        <v>525</v>
      </c>
      <c r="N41" s="115">
        <v>400</v>
      </c>
      <c r="O41" s="80"/>
      <c r="P41" s="9"/>
      <c r="Q41" s="2045"/>
      <c r="R41" s="937" t="str">
        <f t="shared" ca="1" si="2"/>
        <v>Kuwait Ratawi_Chevron</v>
      </c>
      <c r="S41" s="16"/>
      <c r="T41" s="76">
        <v>27</v>
      </c>
      <c r="U41" s="2213"/>
    </row>
    <row r="42" spans="1:21" ht="18.75" customHeight="1" x14ac:dyDescent="0.25">
      <c r="A42" s="14"/>
      <c r="B42" s="15"/>
      <c r="C42" s="119" t="s">
        <v>568</v>
      </c>
      <c r="D42" s="120" t="s">
        <v>623</v>
      </c>
      <c r="E42" s="110" t="s">
        <v>608</v>
      </c>
      <c r="F42" s="110" t="s">
        <v>957</v>
      </c>
      <c r="G42" s="110" t="s">
        <v>572</v>
      </c>
      <c r="H42" s="110" t="s">
        <v>530</v>
      </c>
      <c r="I42" s="110" t="s">
        <v>573</v>
      </c>
      <c r="J42" s="110" t="s">
        <v>574</v>
      </c>
      <c r="K42" s="110" t="s">
        <v>575</v>
      </c>
      <c r="L42" s="110" t="s">
        <v>576</v>
      </c>
      <c r="M42" s="110" t="s">
        <v>577</v>
      </c>
      <c r="N42" s="2203" t="s">
        <v>609</v>
      </c>
      <c r="O42" s="81"/>
      <c r="P42" s="5"/>
      <c r="Q42" s="77"/>
      <c r="R42" s="937" t="str">
        <f t="shared" ca="1" si="2"/>
        <v>Nanhai Light_Chevron</v>
      </c>
      <c r="S42" s="73"/>
      <c r="T42" s="76">
        <v>28</v>
      </c>
      <c r="U42" s="2215"/>
    </row>
    <row r="43" spans="1:21" ht="18.75" customHeight="1" x14ac:dyDescent="0.25">
      <c r="A43" s="14"/>
      <c r="B43" s="15"/>
      <c r="C43" s="119" t="s">
        <v>582</v>
      </c>
      <c r="D43" s="120" t="s">
        <v>566</v>
      </c>
      <c r="E43" s="121">
        <v>101100.19457207517</v>
      </c>
      <c r="F43" s="129">
        <v>40657.404851028063</v>
      </c>
      <c r="G43" s="129">
        <v>51980.824864001508</v>
      </c>
      <c r="H43" s="129">
        <v>7790.5609287840489</v>
      </c>
      <c r="I43" s="129">
        <v>424.03915187676023</v>
      </c>
      <c r="J43" s="129">
        <v>166.2935112066404</v>
      </c>
      <c r="K43" s="129">
        <v>49.139540004270806</v>
      </c>
      <c r="L43" s="129">
        <v>24.103849814809159</v>
      </c>
      <c r="M43" s="129">
        <v>7.8278753590867733</v>
      </c>
      <c r="N43" s="130">
        <v>79.521956521672678</v>
      </c>
      <c r="O43" s="82"/>
      <c r="P43" s="10"/>
      <c r="Q43" s="77"/>
      <c r="R43" s="937" t="str">
        <f t="shared" ca="1" si="2"/>
        <v>Nigeria Agbami_Chevron</v>
      </c>
      <c r="S43" s="16"/>
      <c r="T43" s="76">
        <v>29</v>
      </c>
      <c r="U43" s="2216"/>
    </row>
    <row r="44" spans="1:21" ht="18.75" customHeight="1" x14ac:dyDescent="0.25">
      <c r="A44" s="14"/>
      <c r="B44" s="15"/>
      <c r="C44" s="119" t="s">
        <v>582</v>
      </c>
      <c r="D44" s="120" t="s">
        <v>628</v>
      </c>
      <c r="E44" s="145">
        <v>16074.930936959952</v>
      </c>
      <c r="F44" s="129">
        <v>6464.527371313462</v>
      </c>
      <c r="G44" s="129">
        <v>8264.9511533762397</v>
      </c>
      <c r="H44" s="129">
        <v>1238.6991876766638</v>
      </c>
      <c r="I44" s="129">
        <v>67.422225148404877</v>
      </c>
      <c r="J44" s="129">
        <v>26.440668281855825</v>
      </c>
      <c r="K44" s="129">
        <v>7.8131868606790578</v>
      </c>
      <c r="L44" s="129">
        <v>3.8325121205546564</v>
      </c>
      <c r="M44" s="129">
        <v>1.244632182094797</v>
      </c>
      <c r="N44" s="130">
        <v>12.643991086945956</v>
      </c>
      <c r="O44" s="82"/>
      <c r="P44" s="5"/>
      <c r="Q44" s="77"/>
      <c r="R44" s="937" t="str">
        <f t="shared" ca="1" si="2"/>
        <v>Nigeria Escravos_Chevron</v>
      </c>
      <c r="S44" s="153"/>
      <c r="T44" s="76">
        <v>30</v>
      </c>
      <c r="U44" s="997"/>
    </row>
    <row r="45" spans="1:21" ht="18.75" customHeight="1" x14ac:dyDescent="0.25">
      <c r="A45" s="14"/>
      <c r="B45" s="15"/>
      <c r="C45" s="119" t="s">
        <v>620</v>
      </c>
      <c r="D45" s="120" t="s">
        <v>622</v>
      </c>
      <c r="E45" s="129">
        <v>11242889.999999998</v>
      </c>
      <c r="F45" s="129">
        <v>4272298.1999999993</v>
      </c>
      <c r="G45" s="129">
        <v>5919381.584999999</v>
      </c>
      <c r="H45" s="129">
        <v>961267.09499999997</v>
      </c>
      <c r="I45" s="129">
        <v>56214.44999999999</v>
      </c>
      <c r="J45" s="129">
        <v>22485.779999999995</v>
      </c>
      <c r="K45" s="129">
        <v>6745.7339999999986</v>
      </c>
      <c r="L45" s="129">
        <v>3372.8669999999993</v>
      </c>
      <c r="M45" s="129">
        <v>1124.2889999999998</v>
      </c>
      <c r="N45" s="130">
        <v>11242.889999999998</v>
      </c>
      <c r="O45" s="82"/>
      <c r="P45" s="5"/>
      <c r="Q45" s="77"/>
      <c r="R45" s="937" t="str">
        <f t="shared" ca="1" si="2"/>
        <v>Nigeria Pennington_Chevron</v>
      </c>
      <c r="S45" s="16"/>
      <c r="T45" s="76">
        <v>31</v>
      </c>
      <c r="U45" s="997"/>
    </row>
    <row r="46" spans="1:21" ht="18.75" customHeight="1" x14ac:dyDescent="0.25">
      <c r="A46" s="14"/>
      <c r="B46" s="15"/>
      <c r="C46" s="122" t="s">
        <v>1343</v>
      </c>
      <c r="D46" s="120" t="s">
        <v>579</v>
      </c>
      <c r="E46" s="125">
        <v>5.8853357825785027E-4</v>
      </c>
      <c r="F46" s="125">
        <v>5.1147360146223898E-4</v>
      </c>
      <c r="G46" s="125">
        <v>0</v>
      </c>
      <c r="H46" s="125">
        <v>3.6808438732565101E-3</v>
      </c>
      <c r="I46" s="125">
        <v>8.3401354415892082E-3</v>
      </c>
      <c r="J46" s="125">
        <v>1.0564310003993195E-2</v>
      </c>
      <c r="K46" s="125">
        <v>1.2615588601334781E-2</v>
      </c>
      <c r="L46" s="125">
        <v>1.5325106554005374E-2</v>
      </c>
      <c r="M46" s="125">
        <v>4.4652761958328763E-2</v>
      </c>
      <c r="N46" s="131">
        <v>1.6632161322835359E-2</v>
      </c>
      <c r="O46" s="83"/>
      <c r="P46" s="5"/>
      <c r="Q46" s="77"/>
      <c r="R46" s="937" t="str">
        <f t="shared" ca="1" si="2"/>
        <v>Qin Huang Dao_Chevron</v>
      </c>
      <c r="S46" s="16"/>
      <c r="T46" s="76">
        <v>32</v>
      </c>
      <c r="U46" s="2217"/>
    </row>
    <row r="47" spans="1:21" ht="18.75" customHeight="1" x14ac:dyDescent="0.25">
      <c r="A47" s="14"/>
      <c r="B47" s="15"/>
      <c r="C47" s="122" t="s">
        <v>888</v>
      </c>
      <c r="D47" s="210" t="s">
        <v>778</v>
      </c>
      <c r="E47" s="125">
        <v>2.3247018972488549</v>
      </c>
      <c r="F47" s="132">
        <v>0</v>
      </c>
      <c r="G47" s="132">
        <v>0</v>
      </c>
      <c r="H47" s="132">
        <v>0</v>
      </c>
      <c r="I47" s="132">
        <v>0</v>
      </c>
      <c r="J47" s="132">
        <v>11.520313657383667</v>
      </c>
      <c r="K47" s="132">
        <v>343.77443807854615</v>
      </c>
      <c r="L47" s="132">
        <v>1418.5528548285693</v>
      </c>
      <c r="M47" s="125">
        <v>16698.307506383891</v>
      </c>
      <c r="N47" s="133">
        <v>2301.6612699340876</v>
      </c>
      <c r="O47" s="84"/>
      <c r="P47" s="5"/>
      <c r="Q47" s="77"/>
      <c r="R47" s="937" t="str">
        <f t="shared" ca="1" si="2"/>
        <v>Sumatran Light (Minas)_Chevron</v>
      </c>
      <c r="S47" s="16"/>
      <c r="T47" s="76">
        <v>33</v>
      </c>
      <c r="U47" s="997"/>
    </row>
    <row r="48" spans="1:21" ht="18.75" customHeight="1" x14ac:dyDescent="0.25">
      <c r="A48" s="14"/>
      <c r="B48" s="15"/>
      <c r="C48" s="119" t="s">
        <v>779</v>
      </c>
      <c r="D48" s="120" t="s">
        <v>970</v>
      </c>
      <c r="E48" s="132">
        <v>68.434036911328008</v>
      </c>
      <c r="F48" s="125">
        <v>82.39649565593524</v>
      </c>
      <c r="G48" s="125">
        <v>65.875118193762873</v>
      </c>
      <c r="H48" s="125">
        <v>50.658828873901598</v>
      </c>
      <c r="I48" s="125">
        <v>38.04444484138277</v>
      </c>
      <c r="J48" s="125">
        <v>34.723690156140719</v>
      </c>
      <c r="K48" s="125">
        <v>32.229693215654891</v>
      </c>
      <c r="L48" s="125">
        <v>29.124862794886752</v>
      </c>
      <c r="M48" s="125">
        <v>24.991773951763207</v>
      </c>
      <c r="N48" s="131">
        <v>27.477135855205603</v>
      </c>
      <c r="O48" s="83"/>
      <c r="P48" s="5"/>
      <c r="Q48" s="77"/>
      <c r="R48" s="937" t="str">
        <f t="shared" ca="1" si="2"/>
        <v>Tengiz_Chevron</v>
      </c>
      <c r="S48" s="16"/>
      <c r="T48" s="76">
        <v>34</v>
      </c>
      <c r="U48" s="997"/>
    </row>
    <row r="49" spans="1:21" ht="18.75" customHeight="1" x14ac:dyDescent="0.25">
      <c r="A49" s="14"/>
      <c r="B49" s="15"/>
      <c r="C49" s="119" t="s">
        <v>580</v>
      </c>
      <c r="D49" s="120" t="s">
        <v>581</v>
      </c>
      <c r="E49" s="125">
        <v>707.09999999999991</v>
      </c>
      <c r="F49" s="125">
        <v>660.88330276989052</v>
      </c>
      <c r="G49" s="125">
        <v>716.20285167468001</v>
      </c>
      <c r="H49" s="125">
        <v>776.02948687080141</v>
      </c>
      <c r="I49" s="125">
        <v>833.76735010250479</v>
      </c>
      <c r="J49" s="125">
        <v>850.42404224821496</v>
      </c>
      <c r="K49" s="125">
        <v>863.37804538489115</v>
      </c>
      <c r="L49" s="125">
        <v>880.06688404467843</v>
      </c>
      <c r="M49" s="125">
        <v>903.31024392101779</v>
      </c>
      <c r="N49" s="131">
        <v>889.18838384879132</v>
      </c>
      <c r="O49" s="83"/>
      <c r="P49" s="1"/>
      <c r="Q49" s="77"/>
      <c r="R49" s="937" t="str">
        <f t="shared" ca="1" si="2"/>
        <v>Basrah Medium_COA</v>
      </c>
      <c r="S49" s="16"/>
      <c r="T49" s="76">
        <v>35</v>
      </c>
      <c r="U49" s="2214"/>
    </row>
    <row r="50" spans="1:21" ht="18.75" customHeight="1" x14ac:dyDescent="0.25">
      <c r="A50" s="14"/>
      <c r="B50" s="15"/>
      <c r="C50" s="119" t="s">
        <v>541</v>
      </c>
      <c r="D50" s="120" t="s">
        <v>579</v>
      </c>
      <c r="E50" s="125">
        <v>15.426068539147039</v>
      </c>
      <c r="F50" s="125">
        <v>16.121920172279371</v>
      </c>
      <c r="G50" s="125">
        <v>15.1452666902687</v>
      </c>
      <c r="H50" s="125">
        <v>14.206638768099896</v>
      </c>
      <c r="I50" s="125">
        <v>14.094127707100746</v>
      </c>
      <c r="J50" s="125">
        <v>13.773458434041892</v>
      </c>
      <c r="K50" s="125">
        <v>13.538380579517433</v>
      </c>
      <c r="L50" s="125">
        <v>13.240266628456219</v>
      </c>
      <c r="M50" s="125">
        <v>9.756828420325105</v>
      </c>
      <c r="N50" s="131">
        <v>13.070791178279837</v>
      </c>
      <c r="O50" s="83"/>
      <c r="P50" s="14"/>
      <c r="Q50" s="77"/>
      <c r="R50" s="937" t="str">
        <f t="shared" ca="1" si="2"/>
        <v>Cusiana_COA</v>
      </c>
      <c r="S50" s="16"/>
      <c r="T50" s="76">
        <v>36</v>
      </c>
      <c r="U50" s="2217"/>
    </row>
    <row r="51" spans="1:21" ht="18.75" customHeight="1" x14ac:dyDescent="0.25">
      <c r="A51" s="14"/>
      <c r="B51" s="15"/>
      <c r="C51" s="119" t="s">
        <v>544</v>
      </c>
      <c r="D51" s="120" t="s">
        <v>579</v>
      </c>
      <c r="E51" s="125">
        <v>1E-3</v>
      </c>
      <c r="F51" s="128"/>
      <c r="G51" s="128"/>
      <c r="H51" s="128"/>
      <c r="I51" s="128"/>
      <c r="J51" s="128"/>
      <c r="K51" s="128"/>
      <c r="L51" s="128"/>
      <c r="M51" s="125">
        <v>9.99</v>
      </c>
      <c r="N51" s="131">
        <v>1</v>
      </c>
      <c r="O51" s="83"/>
      <c r="P51" s="6"/>
      <c r="Q51" s="77"/>
      <c r="R51" s="937" t="str">
        <f t="shared" ca="1" si="2"/>
        <v>Dukhan_Qatar_COA</v>
      </c>
      <c r="S51" s="16"/>
      <c r="T51" s="76">
        <v>37</v>
      </c>
      <c r="U51" s="997"/>
    </row>
    <row r="52" spans="1:21" ht="18.75" customHeight="1" x14ac:dyDescent="0.25">
      <c r="A52" s="29"/>
      <c r="B52" s="15"/>
      <c r="C52" s="119" t="s">
        <v>780</v>
      </c>
      <c r="D52" s="120" t="s">
        <v>783</v>
      </c>
      <c r="E52" s="125">
        <v>14.797739851876498</v>
      </c>
      <c r="F52" s="125">
        <v>12.772751784068991</v>
      </c>
      <c r="G52" s="125">
        <v>12.637545065286805</v>
      </c>
      <c r="H52" s="125">
        <v>12.658154203843159</v>
      </c>
      <c r="I52" s="125">
        <v>12.280649284588307</v>
      </c>
      <c r="J52" s="125">
        <v>12.302732251839652</v>
      </c>
      <c r="K52" s="125">
        <v>12.48661603659407</v>
      </c>
      <c r="L52" s="125">
        <v>12.591154258331089</v>
      </c>
      <c r="M52" s="125">
        <v>12.759521083000228</v>
      </c>
      <c r="N52" s="131">
        <v>12.782428589880887</v>
      </c>
      <c r="O52" s="83"/>
      <c r="P52" s="1"/>
      <c r="Q52" s="77"/>
      <c r="R52" s="937" t="str">
        <f t="shared" ca="1" si="2"/>
        <v>East Texas Sweet_COA</v>
      </c>
      <c r="S52" s="16"/>
      <c r="T52" s="76">
        <v>38</v>
      </c>
      <c r="U52" s="997"/>
    </row>
    <row r="53" spans="1:21" ht="18.75" customHeight="1" x14ac:dyDescent="0.25">
      <c r="A53" s="14"/>
      <c r="B53" s="15"/>
      <c r="C53" s="122" t="s">
        <v>1893</v>
      </c>
      <c r="D53" s="120" t="s">
        <v>782</v>
      </c>
      <c r="E53" s="125">
        <v>365</v>
      </c>
      <c r="F53" s="134">
        <v>62</v>
      </c>
      <c r="G53" s="134">
        <v>140</v>
      </c>
      <c r="H53" s="134">
        <v>255</v>
      </c>
      <c r="I53" s="134">
        <v>325</v>
      </c>
      <c r="J53" s="134">
        <v>365</v>
      </c>
      <c r="K53" s="134">
        <v>425</v>
      </c>
      <c r="L53" s="134">
        <v>485</v>
      </c>
      <c r="M53" s="134">
        <v>580</v>
      </c>
      <c r="N53" s="135">
        <v>545</v>
      </c>
      <c r="O53" s="80"/>
      <c r="P53" s="3"/>
      <c r="Q53" s="77"/>
      <c r="R53" s="937" t="str">
        <f t="shared" ref="R53:R72" ca="1" si="3">OFFSET($C$25,(ROW(C63)-ROW($C$25))*T$5*T$15,0)</f>
        <v>India Bombay_COA</v>
      </c>
      <c r="S53" s="16"/>
      <c r="T53" s="76">
        <v>39</v>
      </c>
      <c r="U53" s="997"/>
    </row>
    <row r="54" spans="1:21" ht="18.75" customHeight="1" x14ac:dyDescent="0.25">
      <c r="A54" s="14"/>
      <c r="B54" s="15"/>
      <c r="C54" s="122"/>
      <c r="D54" s="210"/>
      <c r="E54" s="210"/>
      <c r="F54" s="210"/>
      <c r="G54" s="210"/>
      <c r="H54" s="210"/>
      <c r="I54" s="210"/>
      <c r="J54" s="210"/>
      <c r="K54" s="210"/>
      <c r="L54" s="210"/>
      <c r="M54" s="210"/>
      <c r="N54" s="115"/>
      <c r="O54" s="17"/>
      <c r="P54" s="4"/>
      <c r="Q54" s="77"/>
      <c r="R54" s="937" t="str">
        <f t="shared" ca="1" si="3"/>
        <v>Fateh_COA</v>
      </c>
      <c r="S54" s="16"/>
      <c r="T54" s="76">
        <v>40</v>
      </c>
      <c r="U54" s="997"/>
    </row>
    <row r="55" spans="1:21" ht="18.75" customHeight="1" x14ac:dyDescent="0.25">
      <c r="A55" s="14"/>
      <c r="B55" s="138"/>
      <c r="C55" s="2199" t="s">
        <v>1998</v>
      </c>
      <c r="D55" s="2200"/>
      <c r="E55" s="2200"/>
      <c r="F55" s="2200"/>
      <c r="G55" s="2200"/>
      <c r="H55" s="2200"/>
      <c r="I55" s="2200"/>
      <c r="J55" s="2200"/>
      <c r="K55" s="2200"/>
      <c r="L55" s="2200"/>
      <c r="M55" s="2200"/>
      <c r="N55" s="2201"/>
      <c r="O55" s="139"/>
      <c r="P55" s="4"/>
      <c r="Q55" s="77"/>
      <c r="R55" s="937" t="str">
        <f t="shared" ca="1" si="3"/>
        <v>Iran Ardeshir_COA</v>
      </c>
      <c r="S55" s="16"/>
      <c r="T55" s="76">
        <v>41</v>
      </c>
      <c r="U55" s="997"/>
    </row>
    <row r="56" spans="1:21" ht="15" x14ac:dyDescent="0.25">
      <c r="A56" s="14"/>
      <c r="B56" s="15"/>
      <c r="C56" s="2202" t="s">
        <v>1088</v>
      </c>
      <c r="D56" s="210">
        <v>42</v>
      </c>
      <c r="E56" s="104" t="s">
        <v>679</v>
      </c>
      <c r="F56" s="210">
        <v>80</v>
      </c>
      <c r="G56" s="210">
        <v>180</v>
      </c>
      <c r="H56" s="210">
        <v>290</v>
      </c>
      <c r="I56" s="210">
        <v>340</v>
      </c>
      <c r="J56" s="210">
        <v>400</v>
      </c>
      <c r="K56" s="210">
        <v>450</v>
      </c>
      <c r="L56" s="210">
        <v>525</v>
      </c>
      <c r="M56" s="210">
        <v>525</v>
      </c>
      <c r="N56" s="115">
        <v>400</v>
      </c>
      <c r="O56" s="80"/>
      <c r="P56" s="9"/>
      <c r="Q56" s="77"/>
      <c r="R56" s="937" t="str">
        <f t="shared" ca="1" si="3"/>
        <v>Iranian Heavy_COA</v>
      </c>
      <c r="S56" s="16"/>
      <c r="T56" s="76">
        <v>42</v>
      </c>
      <c r="U56" s="997"/>
    </row>
    <row r="57" spans="1:21" ht="18.75" customHeight="1" x14ac:dyDescent="0.25">
      <c r="A57" s="14"/>
      <c r="B57" s="15"/>
      <c r="C57" s="119" t="s">
        <v>568</v>
      </c>
      <c r="D57" s="120" t="s">
        <v>623</v>
      </c>
      <c r="E57" s="110" t="s">
        <v>608</v>
      </c>
      <c r="F57" s="110" t="s">
        <v>957</v>
      </c>
      <c r="G57" s="110" t="s">
        <v>572</v>
      </c>
      <c r="H57" s="110" t="s">
        <v>530</v>
      </c>
      <c r="I57" s="110" t="s">
        <v>573</v>
      </c>
      <c r="J57" s="110" t="s">
        <v>574</v>
      </c>
      <c r="K57" s="110" t="s">
        <v>575</v>
      </c>
      <c r="L57" s="110" t="s">
        <v>576</v>
      </c>
      <c r="M57" s="110" t="s">
        <v>577</v>
      </c>
      <c r="N57" s="2203" t="s">
        <v>609</v>
      </c>
      <c r="O57" s="81"/>
      <c r="P57" s="5"/>
      <c r="Q57" s="77"/>
      <c r="R57" s="937" t="str">
        <f t="shared" ca="1" si="3"/>
        <v>Libya Es Sider_COA</v>
      </c>
      <c r="S57" s="16"/>
      <c r="T57" s="76">
        <v>43</v>
      </c>
      <c r="U57" s="997"/>
    </row>
    <row r="58" spans="1:21" ht="18.75" customHeight="1" x14ac:dyDescent="0.25">
      <c r="A58" s="14"/>
      <c r="B58" s="15"/>
      <c r="C58" s="119" t="s">
        <v>582</v>
      </c>
      <c r="D58" s="120" t="s">
        <v>566</v>
      </c>
      <c r="E58" s="121">
        <v>99477.73837839553</v>
      </c>
      <c r="F58" s="129">
        <v>3985.0334011230175</v>
      </c>
      <c r="G58" s="129">
        <v>9742.3638199916149</v>
      </c>
      <c r="H58" s="129">
        <v>12895.467526886712</v>
      </c>
      <c r="I58" s="129">
        <v>8006.6735673430139</v>
      </c>
      <c r="J58" s="129">
        <v>8722.6219328093612</v>
      </c>
      <c r="K58" s="129">
        <v>7601.8312293735817</v>
      </c>
      <c r="L58" s="129">
        <v>10337.242005765514</v>
      </c>
      <c r="M58" s="129">
        <v>38186.504895102706</v>
      </c>
      <c r="N58" s="130">
        <v>56094.12150836677</v>
      </c>
      <c r="O58" s="82"/>
      <c r="P58" s="10"/>
      <c r="Q58" s="77"/>
      <c r="R58" s="937" t="str">
        <f t="shared" ca="1" si="3"/>
        <v>Olmeca_COA</v>
      </c>
      <c r="S58" s="16"/>
      <c r="T58" s="76">
        <v>44</v>
      </c>
      <c r="U58" s="997"/>
    </row>
    <row r="59" spans="1:21" ht="18.75" customHeight="1" x14ac:dyDescent="0.25">
      <c r="A59" s="14"/>
      <c r="B59" s="15"/>
      <c r="C59" s="119" t="s">
        <v>582</v>
      </c>
      <c r="D59" s="120" t="s">
        <v>628</v>
      </c>
      <c r="E59" s="145">
        <v>15816.96040216489</v>
      </c>
      <c r="F59" s="129">
        <v>633.62031077855977</v>
      </c>
      <c r="G59" s="129">
        <v>1549.0358473786669</v>
      </c>
      <c r="H59" s="129">
        <v>2050.3793367749872</v>
      </c>
      <c r="I59" s="129">
        <v>1273.0610972075392</v>
      </c>
      <c r="J59" s="129">
        <v>1386.8968873166884</v>
      </c>
      <c r="K59" s="129">
        <v>1208.6911654703995</v>
      </c>
      <c r="L59" s="129">
        <v>1643.6214789167168</v>
      </c>
      <c r="M59" s="129">
        <v>6071.6542783213299</v>
      </c>
      <c r="N59" s="130">
        <v>8918.9653198303167</v>
      </c>
      <c r="O59" s="82"/>
      <c r="P59" s="5"/>
      <c r="Q59" s="77"/>
      <c r="R59" s="937" t="str">
        <f t="shared" ca="1" si="3"/>
        <v>Siberian Light_COA</v>
      </c>
      <c r="S59" s="16"/>
      <c r="T59" s="76">
        <v>45</v>
      </c>
      <c r="U59" s="997"/>
    </row>
    <row r="60" spans="1:21" ht="18.75" customHeight="1" x14ac:dyDescent="0.25">
      <c r="A60" s="14"/>
      <c r="B60" s="15"/>
      <c r="C60" s="119" t="s">
        <v>620</v>
      </c>
      <c r="D60" s="120" t="s">
        <v>622</v>
      </c>
      <c r="E60" s="129">
        <v>14810850</v>
      </c>
      <c r="F60" s="129">
        <v>444325.5</v>
      </c>
      <c r="G60" s="129">
        <v>1184868</v>
      </c>
      <c r="H60" s="129">
        <v>1777302</v>
      </c>
      <c r="I60" s="129">
        <v>1184868</v>
      </c>
      <c r="J60" s="129">
        <v>1332976.5</v>
      </c>
      <c r="K60" s="129">
        <v>1184868</v>
      </c>
      <c r="L60" s="129">
        <v>1629193.5</v>
      </c>
      <c r="M60" s="129">
        <v>6072448.5</v>
      </c>
      <c r="N60" s="130">
        <v>8886510</v>
      </c>
      <c r="O60" s="82"/>
      <c r="P60" s="5"/>
      <c r="Q60" s="77"/>
      <c r="R60" s="937" t="str">
        <f t="shared" ca="1" si="3"/>
        <v>Venezuela Leona_COA</v>
      </c>
      <c r="S60" s="16"/>
      <c r="T60" s="76">
        <v>46</v>
      </c>
      <c r="U60" s="997"/>
    </row>
    <row r="61" spans="1:21" ht="18.75" customHeight="1" x14ac:dyDescent="0.25">
      <c r="A61" s="14"/>
      <c r="B61" s="15"/>
      <c r="C61" s="122" t="s">
        <v>776</v>
      </c>
      <c r="D61" s="120" t="s">
        <v>579</v>
      </c>
      <c r="E61" s="125">
        <v>0.9570601729650412</v>
      </c>
      <c r="F61" s="125">
        <v>0</v>
      </c>
      <c r="G61" s="125">
        <v>0</v>
      </c>
      <c r="H61" s="125">
        <v>0.55308822439631022</v>
      </c>
      <c r="I61" s="125">
        <v>0.82341422804762088</v>
      </c>
      <c r="J61" s="125">
        <v>0.96426305293755465</v>
      </c>
      <c r="K61" s="125">
        <v>1.071932430671392</v>
      </c>
      <c r="L61" s="125">
        <v>1.1594570477684698</v>
      </c>
      <c r="M61" s="125">
        <v>1.2798485446854913</v>
      </c>
      <c r="N61" s="131">
        <v>1.2300546217154906</v>
      </c>
      <c r="O61" s="83"/>
      <c r="P61" s="5"/>
      <c r="Q61" s="77"/>
      <c r="R61" s="937" t="str">
        <f t="shared" ca="1" si="3"/>
        <v>Wyoming Sweet_COA</v>
      </c>
      <c r="S61" s="16"/>
      <c r="T61" s="76">
        <v>47</v>
      </c>
      <c r="U61" s="997"/>
    </row>
    <row r="62" spans="1:21" ht="18.75" customHeight="1" x14ac:dyDescent="0.25">
      <c r="A62" s="14"/>
      <c r="B62" s="15"/>
      <c r="C62" s="122" t="s">
        <v>777</v>
      </c>
      <c r="D62" s="210" t="s">
        <v>778</v>
      </c>
      <c r="E62" s="125">
        <v>3134.7397426286584</v>
      </c>
      <c r="F62" s="132">
        <v>0</v>
      </c>
      <c r="G62" s="132">
        <v>0</v>
      </c>
      <c r="H62" s="132">
        <v>274.61787559916229</v>
      </c>
      <c r="I62" s="132">
        <v>1177.8770460140231</v>
      </c>
      <c r="J62" s="132">
        <v>2011.7125199391676</v>
      </c>
      <c r="K62" s="132">
        <v>2909.0862162209187</v>
      </c>
      <c r="L62" s="132">
        <v>3852.2573118957853</v>
      </c>
      <c r="M62" s="125">
        <v>5292.7465987192727</v>
      </c>
      <c r="N62" s="133">
        <v>4710.8355118018526</v>
      </c>
      <c r="O62" s="84"/>
      <c r="P62" s="5"/>
      <c r="Q62" s="77"/>
      <c r="R62" s="937" t="str">
        <f t="shared" ca="1" si="3"/>
        <v>Albian Heavy Synthetic_Crude Monitor</v>
      </c>
      <c r="S62" s="16"/>
      <c r="T62" s="76">
        <v>48</v>
      </c>
      <c r="U62" s="997"/>
    </row>
    <row r="63" spans="1:21" ht="18.75" customHeight="1" x14ac:dyDescent="0.25">
      <c r="A63" s="14"/>
      <c r="B63" s="15"/>
      <c r="C63" s="119" t="s">
        <v>779</v>
      </c>
      <c r="D63" s="120" t="s">
        <v>970</v>
      </c>
      <c r="E63" s="132">
        <v>20.269573268921107</v>
      </c>
      <c r="F63" s="125">
        <v>70.084112458773262</v>
      </c>
      <c r="G63" s="125">
        <v>53.307650860908836</v>
      </c>
      <c r="H63" s="125">
        <v>31.580275275473369</v>
      </c>
      <c r="I63" s="125">
        <v>20.382495925107889</v>
      </c>
      <c r="J63" s="125">
        <v>15.57881746932479</v>
      </c>
      <c r="K63" s="125">
        <v>12.702844165886958</v>
      </c>
      <c r="L63" s="125">
        <v>11.112498401225935</v>
      </c>
      <c r="M63" s="125">
        <v>9.8421338012650779</v>
      </c>
      <c r="N63" s="131">
        <v>10.376899892885405</v>
      </c>
      <c r="O63" s="83"/>
      <c r="P63" s="5"/>
      <c r="Q63" s="77"/>
      <c r="R63" s="937" t="str">
        <f t="shared" ca="1" si="3"/>
        <v>Albian Residual Blend_Crude Monitor</v>
      </c>
      <c r="S63" s="16"/>
      <c r="T63" s="76">
        <v>49</v>
      </c>
      <c r="U63" s="997"/>
    </row>
    <row r="64" spans="1:21" ht="18.75" customHeight="1" x14ac:dyDescent="0.25">
      <c r="A64" s="14"/>
      <c r="B64" s="15"/>
      <c r="C64" s="119" t="s">
        <v>580</v>
      </c>
      <c r="D64" s="120" t="s">
        <v>581</v>
      </c>
      <c r="E64" s="125">
        <v>931.5</v>
      </c>
      <c r="F64" s="125">
        <v>701.24882747845606</v>
      </c>
      <c r="G64" s="125">
        <v>764.9067657182211</v>
      </c>
      <c r="H64" s="125">
        <v>866.81618767944337</v>
      </c>
      <c r="I64" s="125">
        <v>930.72359417706593</v>
      </c>
      <c r="J64" s="125">
        <v>961.12156007429553</v>
      </c>
      <c r="K64" s="125">
        <v>980.29011367752662</v>
      </c>
      <c r="L64" s="125">
        <v>991.22183598730646</v>
      </c>
      <c r="M64" s="125">
        <v>1000.1308081195443</v>
      </c>
      <c r="N64" s="131">
        <v>996.36108913237331</v>
      </c>
      <c r="O64" s="83"/>
      <c r="P64" s="1"/>
      <c r="Q64" s="77"/>
      <c r="R64" s="937" t="str">
        <f t="shared" ca="1" si="3"/>
        <v>Bow River North_Crude Monitor</v>
      </c>
      <c r="S64" s="16"/>
      <c r="T64" s="76">
        <v>50</v>
      </c>
      <c r="U64" s="997"/>
    </row>
    <row r="65" spans="1:21" ht="18.75" customHeight="1" x14ac:dyDescent="0.25">
      <c r="A65" s="14"/>
      <c r="B65" s="15"/>
      <c r="C65" s="119" t="s">
        <v>541</v>
      </c>
      <c r="D65" s="120" t="s">
        <v>579</v>
      </c>
      <c r="E65" s="125">
        <v>11.10502667588603</v>
      </c>
      <c r="F65" s="125">
        <v>14.830873920517993</v>
      </c>
      <c r="G65" s="125">
        <v>13.621098378852402</v>
      </c>
      <c r="H65" s="125">
        <v>12.022178397016024</v>
      </c>
      <c r="I65" s="125">
        <v>11.511416903501971</v>
      </c>
      <c r="J65" s="125">
        <v>10.853083546342894</v>
      </c>
      <c r="K65" s="125">
        <v>10.489812898670117</v>
      </c>
      <c r="L65" s="125">
        <v>10.354672256005369</v>
      </c>
      <c r="M65" s="125">
        <v>10.370393484915022</v>
      </c>
      <c r="N65" s="131">
        <v>10.383433848115597</v>
      </c>
      <c r="O65" s="83"/>
      <c r="P65" s="14"/>
      <c r="Q65" s="77"/>
      <c r="R65" s="937" t="str">
        <f t="shared" ca="1" si="3"/>
        <v>Christina Lake_Crude Monitor</v>
      </c>
      <c r="S65" s="16"/>
      <c r="T65" s="76">
        <v>51</v>
      </c>
      <c r="U65" s="997"/>
    </row>
    <row r="66" spans="1:21" ht="18.75" customHeight="1" x14ac:dyDescent="0.25">
      <c r="A66" s="14"/>
      <c r="B66" s="15"/>
      <c r="C66" s="119" t="s">
        <v>544</v>
      </c>
      <c r="D66" s="120" t="s">
        <v>579</v>
      </c>
      <c r="E66" s="125">
        <v>8.6</v>
      </c>
      <c r="F66" s="128"/>
      <c r="G66" s="128"/>
      <c r="H66" s="128"/>
      <c r="I66" s="128"/>
      <c r="J66" s="128"/>
      <c r="K66" s="128"/>
      <c r="L66" s="128"/>
      <c r="M66" s="125">
        <v>20.954634146341462</v>
      </c>
      <c r="N66" s="131">
        <v>14.333333333333336</v>
      </c>
      <c r="O66" s="83"/>
      <c r="P66" s="6"/>
      <c r="Q66" s="77"/>
      <c r="R66" s="937" t="str">
        <f t="shared" ca="1" si="3"/>
        <v>Cold Lake_Crude Monitor</v>
      </c>
      <c r="S66" s="16"/>
      <c r="T66" s="76">
        <v>52</v>
      </c>
      <c r="U66" s="997"/>
    </row>
    <row r="67" spans="1:21" ht="18.75" customHeight="1" x14ac:dyDescent="0.25">
      <c r="A67" s="29"/>
      <c r="B67" s="15"/>
      <c r="C67" s="119" t="s">
        <v>780</v>
      </c>
      <c r="D67" s="120" t="s">
        <v>783</v>
      </c>
      <c r="E67" s="125">
        <v>11.870789439622413</v>
      </c>
      <c r="F67" s="125">
        <v>12.132548342633072</v>
      </c>
      <c r="G67" s="125">
        <v>11.687902547224978</v>
      </c>
      <c r="H67" s="125">
        <v>11.113628514657709</v>
      </c>
      <c r="I67" s="125">
        <v>10.90859656801997</v>
      </c>
      <c r="J67" s="125">
        <v>10.914117271322196</v>
      </c>
      <c r="K67" s="125">
        <v>11.023619518340567</v>
      </c>
      <c r="L67" s="125">
        <v>11.22812731451085</v>
      </c>
      <c r="M67" s="125">
        <v>11.745170727185108</v>
      </c>
      <c r="N67" s="131">
        <v>11.499704177829427</v>
      </c>
      <c r="O67" s="83"/>
      <c r="P67" s="1"/>
      <c r="Q67" s="77"/>
      <c r="R67" s="937" t="str">
        <f t="shared" ca="1" si="3"/>
        <v>High Sour Edmonton_Crude Monitor</v>
      </c>
      <c r="S67" s="16"/>
      <c r="T67" s="76">
        <v>53</v>
      </c>
      <c r="U67" s="997"/>
    </row>
    <row r="68" spans="1:21" ht="18.75" customHeight="1" x14ac:dyDescent="0.25">
      <c r="A68" s="14"/>
      <c r="B68" s="15"/>
      <c r="C68" s="122" t="s">
        <v>781</v>
      </c>
      <c r="D68" s="120" t="s">
        <v>782</v>
      </c>
      <c r="E68" s="125">
        <v>480</v>
      </c>
      <c r="F68" s="134">
        <v>70</v>
      </c>
      <c r="G68" s="134">
        <v>125</v>
      </c>
      <c r="H68" s="134">
        <v>225</v>
      </c>
      <c r="I68" s="134">
        <v>310</v>
      </c>
      <c r="J68" s="134">
        <v>370</v>
      </c>
      <c r="K68" s="134">
        <v>430</v>
      </c>
      <c r="L68" s="134">
        <v>495</v>
      </c>
      <c r="M68" s="134">
        <v>630</v>
      </c>
      <c r="N68" s="135">
        <v>565</v>
      </c>
      <c r="O68" s="80"/>
      <c r="P68" s="3"/>
      <c r="Q68" s="77"/>
      <c r="R68" s="937" t="str">
        <f t="shared" ca="1" si="3"/>
        <v>Husky Synthetic Blend_Crude Monitor</v>
      </c>
      <c r="S68" s="16"/>
      <c r="T68" s="76">
        <v>54</v>
      </c>
      <c r="U68" s="997"/>
    </row>
    <row r="69" spans="1:21" ht="18.75" customHeight="1" x14ac:dyDescent="0.25">
      <c r="A69" s="14"/>
      <c r="B69" s="15"/>
      <c r="C69" s="122"/>
      <c r="D69" s="210"/>
      <c r="E69" s="210"/>
      <c r="F69" s="210"/>
      <c r="G69" s="210"/>
      <c r="H69" s="210"/>
      <c r="I69" s="210"/>
      <c r="J69" s="210"/>
      <c r="K69" s="210"/>
      <c r="L69" s="210"/>
      <c r="M69" s="210"/>
      <c r="N69" s="115"/>
      <c r="O69" s="17"/>
      <c r="P69" s="4"/>
      <c r="Q69" s="77"/>
      <c r="R69" s="937" t="str">
        <f t="shared" ca="1" si="3"/>
        <v>Lloyd Blend_Crude Monitor</v>
      </c>
      <c r="S69" s="16"/>
      <c r="T69" s="76">
        <v>55</v>
      </c>
      <c r="U69" s="997"/>
    </row>
    <row r="70" spans="1:21" ht="18.75" customHeight="1" x14ac:dyDescent="0.25">
      <c r="A70" s="14"/>
      <c r="B70" s="15"/>
      <c r="C70" s="2199" t="s">
        <v>1999</v>
      </c>
      <c r="D70" s="2200"/>
      <c r="E70" s="2200"/>
      <c r="F70" s="2200"/>
      <c r="G70" s="2200"/>
      <c r="H70" s="2200"/>
      <c r="I70" s="2200"/>
      <c r="J70" s="2200"/>
      <c r="K70" s="2200"/>
      <c r="L70" s="2200"/>
      <c r="M70" s="2200"/>
      <c r="N70" s="2201"/>
      <c r="O70" s="17"/>
      <c r="P70" s="4"/>
      <c r="Q70" s="77"/>
      <c r="R70" s="937" t="str">
        <f t="shared" ca="1" si="3"/>
        <v>Lloyd Kerrobert_Crude Monitor</v>
      </c>
      <c r="S70" s="16"/>
      <c r="T70" s="76">
        <v>56</v>
      </c>
      <c r="U70" s="997"/>
    </row>
    <row r="71" spans="1:21" ht="18.75" customHeight="1" x14ac:dyDescent="0.25">
      <c r="A71" s="14"/>
      <c r="B71" s="15"/>
      <c r="C71" s="2202" t="s">
        <v>1088</v>
      </c>
      <c r="D71" s="210">
        <v>65</v>
      </c>
      <c r="E71" s="104" t="s">
        <v>679</v>
      </c>
      <c r="F71" s="210">
        <v>80</v>
      </c>
      <c r="G71" s="210">
        <v>180</v>
      </c>
      <c r="H71" s="210">
        <v>290</v>
      </c>
      <c r="I71" s="210">
        <v>340</v>
      </c>
      <c r="J71" s="210">
        <v>400</v>
      </c>
      <c r="K71" s="210">
        <v>450</v>
      </c>
      <c r="L71" s="210">
        <v>525</v>
      </c>
      <c r="M71" s="210">
        <v>525</v>
      </c>
      <c r="N71" s="115">
        <v>400</v>
      </c>
      <c r="O71" s="17"/>
      <c r="P71" s="4"/>
      <c r="Q71" s="77"/>
      <c r="R71" s="937" t="str">
        <f t="shared" ca="1" si="3"/>
        <v>Midale_Crude Monitor</v>
      </c>
      <c r="S71" s="16"/>
      <c r="T71" s="76">
        <v>57</v>
      </c>
      <c r="U71" s="997"/>
    </row>
    <row r="72" spans="1:21" ht="18.75" customHeight="1" x14ac:dyDescent="0.25">
      <c r="A72" s="14"/>
      <c r="B72" s="15"/>
      <c r="C72" s="119" t="s">
        <v>568</v>
      </c>
      <c r="D72" s="120" t="s">
        <v>623</v>
      </c>
      <c r="E72" s="110" t="s">
        <v>608</v>
      </c>
      <c r="F72" s="110" t="s">
        <v>957</v>
      </c>
      <c r="G72" s="110" t="s">
        <v>572</v>
      </c>
      <c r="H72" s="110" t="s">
        <v>530</v>
      </c>
      <c r="I72" s="110" t="s">
        <v>573</v>
      </c>
      <c r="J72" s="110" t="s">
        <v>574</v>
      </c>
      <c r="K72" s="110" t="s">
        <v>575</v>
      </c>
      <c r="L72" s="110" t="s">
        <v>576</v>
      </c>
      <c r="M72" s="110" t="s">
        <v>577</v>
      </c>
      <c r="N72" s="2203" t="s">
        <v>609</v>
      </c>
      <c r="O72" s="17"/>
      <c r="P72" s="4"/>
      <c r="Q72" s="77"/>
      <c r="R72" s="937" t="str">
        <f t="shared" ca="1" si="3"/>
        <v>Light Sour Blend_Crude Monitor</v>
      </c>
      <c r="S72" s="16"/>
      <c r="T72" s="76">
        <v>58</v>
      </c>
      <c r="U72" s="997"/>
    </row>
    <row r="73" spans="1:21" ht="18.75" customHeight="1" x14ac:dyDescent="0.25">
      <c r="A73" s="14"/>
      <c r="B73" s="15"/>
      <c r="C73" s="119" t="s">
        <v>582</v>
      </c>
      <c r="D73" s="120" t="s">
        <v>566</v>
      </c>
      <c r="E73" s="121">
        <v>99274.323574514608</v>
      </c>
      <c r="F73" s="129">
        <v>9766.8402654912334</v>
      </c>
      <c r="G73" s="129">
        <v>20530.943478822555</v>
      </c>
      <c r="H73" s="129">
        <v>21124.772200949006</v>
      </c>
      <c r="I73" s="129">
        <v>8638.7157221292946</v>
      </c>
      <c r="J73" s="129">
        <v>8437.3310625923859</v>
      </c>
      <c r="K73" s="129">
        <v>8281.6158461561772</v>
      </c>
      <c r="L73" s="129">
        <v>9100.5811925821927</v>
      </c>
      <c r="M73" s="129">
        <v>13393.52380579178</v>
      </c>
      <c r="N73" s="130">
        <v>31251.560936360504</v>
      </c>
      <c r="O73" s="17"/>
      <c r="P73" s="4"/>
      <c r="Q73" s="77"/>
      <c r="R73" s="937" t="str">
        <f t="shared" ref="R73:R129" ca="1" si="4">OFFSET($C$25,(ROW(C83)-ROW($C$25))*T$5*T$15,0)</f>
        <v>Seal Heavy_Crude Monitor</v>
      </c>
      <c r="S73" s="16"/>
      <c r="T73" s="76">
        <v>59</v>
      </c>
      <c r="U73" s="997"/>
    </row>
    <row r="74" spans="1:21" ht="18.75" customHeight="1" x14ac:dyDescent="0.25">
      <c r="A74" s="14"/>
      <c r="B74" s="15"/>
      <c r="C74" s="119" t="s">
        <v>582</v>
      </c>
      <c r="D74" s="120" t="s">
        <v>628</v>
      </c>
      <c r="E74" s="145">
        <v>15784.617448347823</v>
      </c>
      <c r="F74" s="129">
        <v>1552.9276022131062</v>
      </c>
      <c r="G74" s="129">
        <v>3264.4200131327866</v>
      </c>
      <c r="H74" s="129">
        <v>3358.8387799508919</v>
      </c>
      <c r="I74" s="129">
        <v>1373.5557998185579</v>
      </c>
      <c r="J74" s="129">
        <v>1341.5356389521894</v>
      </c>
      <c r="K74" s="129">
        <v>1316.7769195388323</v>
      </c>
      <c r="L74" s="129">
        <v>1446.9924096205687</v>
      </c>
      <c r="M74" s="129">
        <v>2129.570285120893</v>
      </c>
      <c r="N74" s="130">
        <v>4968.9981888813199</v>
      </c>
      <c r="O74" s="17"/>
      <c r="P74" s="4"/>
      <c r="Q74" s="77"/>
      <c r="R74" s="937" t="str">
        <f t="shared" ca="1" si="4"/>
        <v>Smiley-Coleville_Crude Monitor</v>
      </c>
      <c r="S74" s="16"/>
      <c r="T74" s="76">
        <v>60</v>
      </c>
      <c r="U74" s="997"/>
    </row>
    <row r="75" spans="1:21" ht="18.75" customHeight="1" x14ac:dyDescent="0.25">
      <c r="A75" s="14"/>
      <c r="B75" s="15"/>
      <c r="C75" s="119" t="s">
        <v>620</v>
      </c>
      <c r="D75" s="120" t="s">
        <v>622</v>
      </c>
      <c r="E75" s="129">
        <v>13306710</v>
      </c>
      <c r="F75" s="129">
        <v>1064536.8</v>
      </c>
      <c r="G75" s="129">
        <v>2528274.9</v>
      </c>
      <c r="H75" s="129">
        <v>2794409.1</v>
      </c>
      <c r="I75" s="129">
        <v>1197603.8999999999</v>
      </c>
      <c r="J75" s="129">
        <v>1197603.8999999999</v>
      </c>
      <c r="K75" s="129">
        <v>1197603.8999999999</v>
      </c>
      <c r="L75" s="129">
        <v>1330671</v>
      </c>
      <c r="M75" s="129">
        <v>1996006.5</v>
      </c>
      <c r="N75" s="130">
        <v>4524281.3999999994</v>
      </c>
      <c r="O75" s="17"/>
      <c r="P75" s="4"/>
      <c r="Q75" s="77"/>
      <c r="R75" s="937" t="str">
        <f t="shared" ca="1" si="4"/>
        <v>Suncor Synthetic A_Crude Monitor</v>
      </c>
      <c r="S75" s="16"/>
      <c r="T75" s="76">
        <v>61</v>
      </c>
      <c r="U75" s="997"/>
    </row>
    <row r="76" spans="1:21" ht="18.75" customHeight="1" x14ac:dyDescent="0.25">
      <c r="A76" s="14"/>
      <c r="B76" s="15"/>
      <c r="C76" s="122" t="s">
        <v>776</v>
      </c>
      <c r="D76" s="120" t="s">
        <v>579</v>
      </c>
      <c r="E76" s="125">
        <v>0.3360591347578864</v>
      </c>
      <c r="F76" s="125">
        <v>0</v>
      </c>
      <c r="G76" s="125">
        <v>0</v>
      </c>
      <c r="H76" s="125">
        <v>0.20026024816252891</v>
      </c>
      <c r="I76" s="125">
        <v>0.36191486310575643</v>
      </c>
      <c r="J76" s="125">
        <v>0.4862413613180423</v>
      </c>
      <c r="K76" s="125">
        <v>0.62962083953580494</v>
      </c>
      <c r="L76" s="125">
        <v>0.74980703477559885</v>
      </c>
      <c r="M76" s="125">
        <v>0.57349228939887387</v>
      </c>
      <c r="N76" s="131">
        <v>0.64020712484003961</v>
      </c>
      <c r="O76" s="17"/>
      <c r="P76" s="4"/>
      <c r="Q76" s="77"/>
      <c r="R76" s="937" t="str">
        <f t="shared" ca="1" si="4"/>
        <v>Suncor Synthetic H_Crude Monitor</v>
      </c>
      <c r="S76" s="16"/>
      <c r="T76" s="76">
        <v>62</v>
      </c>
      <c r="U76" s="997"/>
    </row>
    <row r="77" spans="1:21" ht="18.75" customHeight="1" x14ac:dyDescent="0.25">
      <c r="A77" s="14"/>
      <c r="B77" s="15"/>
      <c r="C77" s="122" t="s">
        <v>777</v>
      </c>
      <c r="D77" s="210" t="s">
        <v>778</v>
      </c>
      <c r="E77" s="125">
        <v>518.55528977738811</v>
      </c>
      <c r="F77" s="132">
        <v>0</v>
      </c>
      <c r="G77" s="132">
        <v>0</v>
      </c>
      <c r="H77" s="132">
        <v>0.71203101022911142</v>
      </c>
      <c r="I77" s="132">
        <v>342.50263364660759</v>
      </c>
      <c r="J77" s="132">
        <v>704.07459082641253</v>
      </c>
      <c r="K77" s="132">
        <v>1206.9252584514097</v>
      </c>
      <c r="L77" s="132">
        <v>1703.3689981603065</v>
      </c>
      <c r="M77" s="125">
        <v>968.35759990673773</v>
      </c>
      <c r="N77" s="133">
        <v>1247.6876854784359</v>
      </c>
      <c r="O77" s="17"/>
      <c r="P77" s="4"/>
      <c r="Q77" s="77"/>
      <c r="R77" s="937" t="str">
        <f t="shared" ca="1" si="4"/>
        <v>Synbit Blend_Crude Monitor</v>
      </c>
      <c r="S77" s="16"/>
      <c r="T77" s="76">
        <v>63</v>
      </c>
      <c r="U77" s="997"/>
    </row>
    <row r="78" spans="1:21" ht="18.75" customHeight="1" x14ac:dyDescent="0.25">
      <c r="A78" s="14"/>
      <c r="B78" s="15"/>
      <c r="C78" s="119" t="s">
        <v>779</v>
      </c>
      <c r="D78" s="120" t="s">
        <v>970</v>
      </c>
      <c r="E78" s="132">
        <v>37.425029872147206</v>
      </c>
      <c r="F78" s="125">
        <v>74.714395356061956</v>
      </c>
      <c r="G78" s="125">
        <v>51.019885459413011</v>
      </c>
      <c r="H78" s="125">
        <v>38.413396292260352</v>
      </c>
      <c r="I78" s="125">
        <v>30.629317465346205</v>
      </c>
      <c r="J78" s="125">
        <v>26.849779111621757</v>
      </c>
      <c r="K78" s="125">
        <v>23.927353768338392</v>
      </c>
      <c r="L78" s="125">
        <v>22.217746743363733</v>
      </c>
      <c r="M78" s="125">
        <v>19.319840096809259</v>
      </c>
      <c r="N78" s="131">
        <v>23.755744521469424</v>
      </c>
      <c r="O78" s="17"/>
      <c r="P78" s="4"/>
      <c r="Q78" s="77"/>
      <c r="R78" s="937" t="str">
        <f t="shared" ca="1" si="4"/>
        <v>Syncrude Sweet Premium_Crude Monitor</v>
      </c>
      <c r="S78" s="16"/>
      <c r="T78" s="76">
        <v>64</v>
      </c>
      <c r="U78" s="997"/>
    </row>
    <row r="79" spans="1:21" ht="18.75" customHeight="1" x14ac:dyDescent="0.25">
      <c r="A79" s="14"/>
      <c r="B79" s="15"/>
      <c r="C79" s="119" t="s">
        <v>580</v>
      </c>
      <c r="D79" s="120" t="s">
        <v>581</v>
      </c>
      <c r="E79" s="125">
        <v>836.9</v>
      </c>
      <c r="F79" s="125">
        <v>685.50317380083186</v>
      </c>
      <c r="G79" s="125">
        <v>774.49436341792136</v>
      </c>
      <c r="H79" s="125">
        <v>831.95690030733056</v>
      </c>
      <c r="I79" s="125">
        <v>871.90043546698234</v>
      </c>
      <c r="J79" s="125">
        <v>892.71120738573302</v>
      </c>
      <c r="K79" s="125">
        <v>909.49642435973919</v>
      </c>
      <c r="L79" s="125">
        <v>919.61159654522965</v>
      </c>
      <c r="M79" s="125">
        <v>937.28134447870048</v>
      </c>
      <c r="N79" s="131">
        <v>910.50172047226283</v>
      </c>
      <c r="O79" s="17"/>
      <c r="P79" s="4"/>
      <c r="Q79" s="77"/>
      <c r="R79" s="937" t="str">
        <f t="shared" ca="1" si="4"/>
        <v>Syncrude Synthetic_Crude Monitor</v>
      </c>
      <c r="S79" s="16"/>
      <c r="T79" s="76">
        <v>65</v>
      </c>
      <c r="U79" s="997"/>
    </row>
    <row r="80" spans="1:21" ht="18.75" customHeight="1" x14ac:dyDescent="0.25">
      <c r="A80" s="14"/>
      <c r="B80" s="15"/>
      <c r="C80" s="119" t="s">
        <v>541</v>
      </c>
      <c r="D80" s="120" t="s">
        <v>579</v>
      </c>
      <c r="E80" s="125">
        <v>13.079263812018263</v>
      </c>
      <c r="F80" s="125">
        <v>15.223793293242297</v>
      </c>
      <c r="G80" s="125">
        <v>13.791769249210617</v>
      </c>
      <c r="H80" s="125">
        <v>12.991488997519738</v>
      </c>
      <c r="I80" s="125">
        <v>13.068747265548282</v>
      </c>
      <c r="J80" s="125">
        <v>12.650625883619874</v>
      </c>
      <c r="K80" s="125">
        <v>12.361679507371608</v>
      </c>
      <c r="L80" s="125">
        <v>12.236294439210347</v>
      </c>
      <c r="M80" s="125">
        <v>12.411915458134036</v>
      </c>
      <c r="N80" s="131">
        <v>12.346964465601722</v>
      </c>
      <c r="O80" s="17"/>
      <c r="P80" s="4"/>
      <c r="Q80" s="77"/>
      <c r="R80" s="937" t="str">
        <f t="shared" ca="1" si="4"/>
        <v>Wabasca Heavy_Crude Monitor</v>
      </c>
      <c r="S80" s="16"/>
      <c r="T80" s="76">
        <v>66</v>
      </c>
      <c r="U80" s="997"/>
    </row>
    <row r="81" spans="1:21" ht="18.75" customHeight="1" x14ac:dyDescent="0.25">
      <c r="A81" s="14"/>
      <c r="B81" s="15"/>
      <c r="C81" s="119" t="s">
        <v>544</v>
      </c>
      <c r="D81" s="120" t="s">
        <v>579</v>
      </c>
      <c r="E81" s="125">
        <v>2.27</v>
      </c>
      <c r="F81" s="128"/>
      <c r="G81" s="128"/>
      <c r="H81" s="128"/>
      <c r="I81" s="128"/>
      <c r="J81" s="128"/>
      <c r="K81" s="128"/>
      <c r="L81" s="128"/>
      <c r="M81" s="125">
        <v>15.118199999999998</v>
      </c>
      <c r="N81" s="131">
        <v>6.6764705882352944</v>
      </c>
      <c r="O81" s="17"/>
      <c r="P81" s="4"/>
      <c r="Q81" s="77"/>
      <c r="R81" s="937" t="str">
        <f t="shared" ca="1" si="4"/>
        <v>Western Canadian Blend_Crude Monitor</v>
      </c>
      <c r="S81" s="16"/>
      <c r="T81" s="76">
        <v>67</v>
      </c>
      <c r="U81" s="997"/>
    </row>
    <row r="82" spans="1:21" ht="18.75" customHeight="1" x14ac:dyDescent="0.25">
      <c r="A82" s="14"/>
      <c r="B82" s="15"/>
      <c r="C82" s="119" t="s">
        <v>780</v>
      </c>
      <c r="D82" s="120" t="s">
        <v>783</v>
      </c>
      <c r="E82" s="125">
        <v>12.132635758268117</v>
      </c>
      <c r="F82" s="125">
        <v>12.289474520064902</v>
      </c>
      <c r="G82" s="125">
        <v>11.872003673346502</v>
      </c>
      <c r="H82" s="125">
        <v>11.694369011915301</v>
      </c>
      <c r="I82" s="125">
        <v>11.677735923459608</v>
      </c>
      <c r="J82" s="125">
        <v>11.750489219650234</v>
      </c>
      <c r="K82" s="125">
        <v>11.909776219425371</v>
      </c>
      <c r="L82" s="125">
        <v>12.102462619218699</v>
      </c>
      <c r="M82" s="125">
        <v>12.532743940844114</v>
      </c>
      <c r="N82" s="131">
        <v>11.924560158188939</v>
      </c>
      <c r="O82" s="17"/>
      <c r="P82" s="4"/>
      <c r="Q82" s="77"/>
      <c r="R82" s="937" t="str">
        <f t="shared" ca="1" si="4"/>
        <v>Western Canadian Select_Crude Monitor</v>
      </c>
      <c r="S82" s="16"/>
      <c r="T82" s="76">
        <v>68</v>
      </c>
      <c r="U82" s="997"/>
    </row>
    <row r="83" spans="1:21" ht="18.75" customHeight="1" x14ac:dyDescent="0.25">
      <c r="A83" s="14"/>
      <c r="B83" s="15"/>
      <c r="C83" s="122" t="s">
        <v>781</v>
      </c>
      <c r="D83" s="120" t="s">
        <v>782</v>
      </c>
      <c r="E83" s="125">
        <v>310</v>
      </c>
      <c r="F83" s="134">
        <v>60</v>
      </c>
      <c r="G83" s="134">
        <v>160</v>
      </c>
      <c r="H83" s="134">
        <v>240</v>
      </c>
      <c r="I83" s="134">
        <v>315</v>
      </c>
      <c r="J83" s="134">
        <v>370</v>
      </c>
      <c r="K83" s="134">
        <v>435</v>
      </c>
      <c r="L83" s="134">
        <v>495</v>
      </c>
      <c r="M83" s="134">
        <v>630</v>
      </c>
      <c r="N83" s="135">
        <v>440</v>
      </c>
      <c r="O83" s="17"/>
      <c r="P83" s="4"/>
      <c r="Q83" s="77"/>
      <c r="R83" s="937" t="str">
        <f t="shared" ca="1" si="4"/>
        <v>Angola Girassol_Exxon</v>
      </c>
      <c r="S83" s="16"/>
      <c r="T83" s="76">
        <v>69</v>
      </c>
      <c r="U83" s="997"/>
    </row>
    <row r="84" spans="1:21" ht="18.75" customHeight="1" x14ac:dyDescent="0.25">
      <c r="A84" s="14"/>
      <c r="B84" s="15"/>
      <c r="C84" s="122"/>
      <c r="D84" s="210"/>
      <c r="E84" s="210"/>
      <c r="F84" s="210"/>
      <c r="G84" s="210"/>
      <c r="H84" s="210"/>
      <c r="I84" s="210"/>
      <c r="J84" s="210"/>
      <c r="K84" s="210"/>
      <c r="L84" s="210"/>
      <c r="M84" s="210"/>
      <c r="N84" s="115"/>
      <c r="O84" s="17"/>
      <c r="P84" s="4"/>
      <c r="Q84" s="77"/>
      <c r="R84" s="937" t="str">
        <f t="shared" ca="1" si="4"/>
        <v>Alaskan North Slope_Exxon</v>
      </c>
      <c r="S84" s="16"/>
      <c r="T84" s="76">
        <v>70</v>
      </c>
      <c r="U84" s="997"/>
    </row>
    <row r="85" spans="1:21" ht="18.75" customHeight="1" x14ac:dyDescent="0.25">
      <c r="A85" s="14"/>
      <c r="B85" s="138"/>
      <c r="C85" s="2199" t="s">
        <v>2000</v>
      </c>
      <c r="D85" s="2200"/>
      <c r="E85" s="2200"/>
      <c r="F85" s="2200"/>
      <c r="G85" s="2200"/>
      <c r="H85" s="2200"/>
      <c r="I85" s="2200"/>
      <c r="J85" s="2200"/>
      <c r="K85" s="2200"/>
      <c r="L85" s="2200"/>
      <c r="M85" s="2200"/>
      <c r="N85" s="2201"/>
      <c r="O85" s="139"/>
      <c r="P85" s="4"/>
      <c r="Q85" s="77"/>
      <c r="R85" s="937" t="str">
        <f t="shared" ca="1" si="4"/>
        <v xml:space="preserve">Azeri light_Exxon </v>
      </c>
      <c r="S85" s="16"/>
      <c r="T85" s="76">
        <v>71</v>
      </c>
      <c r="U85" s="997"/>
    </row>
    <row r="86" spans="1:21" ht="27" customHeight="1" x14ac:dyDescent="0.25">
      <c r="A86" s="14"/>
      <c r="B86" s="15"/>
      <c r="C86" s="2202" t="s">
        <v>1088</v>
      </c>
      <c r="D86" s="210">
        <v>67</v>
      </c>
      <c r="E86" s="104" t="s">
        <v>679</v>
      </c>
      <c r="F86" s="210">
        <v>80</v>
      </c>
      <c r="G86" s="210">
        <v>180</v>
      </c>
      <c r="H86" s="210">
        <v>290</v>
      </c>
      <c r="I86" s="210">
        <v>340</v>
      </c>
      <c r="J86" s="210">
        <v>400</v>
      </c>
      <c r="K86" s="210">
        <v>450</v>
      </c>
      <c r="L86" s="210">
        <v>525</v>
      </c>
      <c r="M86" s="210">
        <v>525</v>
      </c>
      <c r="N86" s="115">
        <v>400</v>
      </c>
      <c r="O86" s="80"/>
      <c r="P86" s="9"/>
      <c r="Q86" s="77"/>
      <c r="R86" s="937" t="str">
        <f t="shared" ca="1" si="4"/>
        <v>Brent_Exxon</v>
      </c>
      <c r="S86" s="16"/>
      <c r="T86" s="76">
        <v>72</v>
      </c>
      <c r="U86" s="997"/>
    </row>
    <row r="87" spans="1:21" ht="18.75" customHeight="1" x14ac:dyDescent="0.25">
      <c r="A87" s="14"/>
      <c r="B87" s="15"/>
      <c r="C87" s="119" t="s">
        <v>568</v>
      </c>
      <c r="D87" s="120" t="s">
        <v>623</v>
      </c>
      <c r="E87" s="110" t="s">
        <v>608</v>
      </c>
      <c r="F87" s="110" t="s">
        <v>957</v>
      </c>
      <c r="G87" s="110" t="s">
        <v>572</v>
      </c>
      <c r="H87" s="110" t="s">
        <v>530</v>
      </c>
      <c r="I87" s="110" t="s">
        <v>573</v>
      </c>
      <c r="J87" s="110" t="s">
        <v>574</v>
      </c>
      <c r="K87" s="110" t="s">
        <v>575</v>
      </c>
      <c r="L87" s="110" t="s">
        <v>576</v>
      </c>
      <c r="M87" s="110" t="s">
        <v>577</v>
      </c>
      <c r="N87" s="2203" t="s">
        <v>609</v>
      </c>
      <c r="O87" s="81"/>
      <c r="P87" s="5"/>
      <c r="Q87" s="77"/>
      <c r="R87" s="937" t="str">
        <f t="shared" ca="1" si="4"/>
        <v>Canada Hibernia_Exxon</v>
      </c>
      <c r="S87" s="16"/>
      <c r="T87" s="76">
        <v>73</v>
      </c>
      <c r="U87" s="997"/>
    </row>
    <row r="88" spans="1:21" ht="18.75" customHeight="1" x14ac:dyDescent="0.25">
      <c r="A88" s="14"/>
      <c r="B88" s="15"/>
      <c r="C88" s="119" t="s">
        <v>582</v>
      </c>
      <c r="D88" s="120" t="s">
        <v>566</v>
      </c>
      <c r="E88" s="121">
        <v>99735.640366509571</v>
      </c>
      <c r="F88" s="129">
        <v>10857.096576974624</v>
      </c>
      <c r="G88" s="129">
        <v>19961.955646323702</v>
      </c>
      <c r="H88" s="129">
        <v>20087.815153346779</v>
      </c>
      <c r="I88" s="129">
        <v>8640.9416922902074</v>
      </c>
      <c r="J88" s="129">
        <v>8444.1166486909751</v>
      </c>
      <c r="K88" s="129">
        <v>7385.3757701980894</v>
      </c>
      <c r="L88" s="129">
        <v>9129.8052563596357</v>
      </c>
      <c r="M88" s="129">
        <v>15228.533622325564</v>
      </c>
      <c r="N88" s="130">
        <v>31305.887235185866</v>
      </c>
      <c r="O88" s="82"/>
      <c r="P88" s="10"/>
      <c r="Q88" s="77"/>
      <c r="R88" s="937" t="str">
        <f t="shared" ca="1" si="4"/>
        <v>Nigera Bonga_Exxon</v>
      </c>
      <c r="S88" s="16"/>
      <c r="T88" s="76">
        <v>74</v>
      </c>
      <c r="U88" s="997"/>
    </row>
    <row r="89" spans="1:21" ht="18.75" customHeight="1" x14ac:dyDescent="0.25">
      <c r="A89" s="14"/>
      <c r="B89" s="15"/>
      <c r="C89" s="119" t="s">
        <v>582</v>
      </c>
      <c r="D89" s="120" t="s">
        <v>628</v>
      </c>
      <c r="E89" s="145">
        <v>15857.966818275023</v>
      </c>
      <c r="F89" s="129">
        <v>1726.2783557389653</v>
      </c>
      <c r="G89" s="129">
        <v>3173.9509477654688</v>
      </c>
      <c r="H89" s="129">
        <v>3193.962609382138</v>
      </c>
      <c r="I89" s="129">
        <v>1373.9097290741429</v>
      </c>
      <c r="J89" s="129">
        <v>1342.6145471418652</v>
      </c>
      <c r="K89" s="129">
        <v>1174.2747474614962</v>
      </c>
      <c r="L89" s="129">
        <v>1451.6390357611822</v>
      </c>
      <c r="M89" s="129">
        <v>2421.3368459497647</v>
      </c>
      <c r="N89" s="130">
        <v>4977.6360703945529</v>
      </c>
      <c r="O89" s="82"/>
      <c r="P89" s="5"/>
      <c r="Q89" s="77"/>
      <c r="R89" s="937" t="str">
        <f t="shared" ca="1" si="4"/>
        <v>Nigera Erha_Exxon</v>
      </c>
      <c r="S89" s="16"/>
      <c r="T89" s="76">
        <v>75</v>
      </c>
      <c r="U89" s="997"/>
    </row>
    <row r="90" spans="1:21" ht="18.75" customHeight="1" x14ac:dyDescent="0.25">
      <c r="A90" s="14"/>
      <c r="B90" s="15"/>
      <c r="C90" s="119" t="s">
        <v>620</v>
      </c>
      <c r="D90" s="120" t="s">
        <v>622</v>
      </c>
      <c r="E90" s="129">
        <v>13228800</v>
      </c>
      <c r="F90" s="129">
        <v>1190592</v>
      </c>
      <c r="G90" s="129">
        <v>2381184</v>
      </c>
      <c r="H90" s="129">
        <v>2645760</v>
      </c>
      <c r="I90" s="129">
        <v>1190592</v>
      </c>
      <c r="J90" s="129">
        <v>1190592</v>
      </c>
      <c r="K90" s="129">
        <v>1058304</v>
      </c>
      <c r="L90" s="129">
        <v>1322880</v>
      </c>
      <c r="M90" s="129">
        <v>2248896</v>
      </c>
      <c r="N90" s="130">
        <v>4630080</v>
      </c>
      <c r="O90" s="82"/>
      <c r="P90" s="5"/>
      <c r="Q90" s="77"/>
      <c r="R90" s="937" t="str">
        <f t="shared" ca="1" si="4"/>
        <v>Nigera Quaib_Exxon</v>
      </c>
      <c r="S90" s="16"/>
      <c r="T90" s="76">
        <v>76</v>
      </c>
      <c r="U90" s="997"/>
    </row>
    <row r="91" spans="1:21" ht="18.75" customHeight="1" x14ac:dyDescent="0.25">
      <c r="A91" s="14"/>
      <c r="B91" s="15"/>
      <c r="C91" s="122" t="s">
        <v>776</v>
      </c>
      <c r="D91" s="120" t="s">
        <v>579</v>
      </c>
      <c r="E91" s="125">
        <v>0.20788080522314911</v>
      </c>
      <c r="F91" s="125">
        <v>0</v>
      </c>
      <c r="G91" s="125">
        <v>0</v>
      </c>
      <c r="H91" s="125">
        <v>8.7185023447681184E-2</v>
      </c>
      <c r="I91" s="125">
        <v>0.16342766966216732</v>
      </c>
      <c r="J91" s="125">
        <v>0.22364194669933302</v>
      </c>
      <c r="K91" s="125">
        <v>0.28353802120783489</v>
      </c>
      <c r="L91" s="125">
        <v>0.33958471017937386</v>
      </c>
      <c r="M91" s="125">
        <v>0.58215307262655092</v>
      </c>
      <c r="N91" s="131">
        <v>0.44459295731736526</v>
      </c>
      <c r="O91" s="83"/>
      <c r="P91" s="5"/>
      <c r="Q91" s="77"/>
      <c r="R91" s="937" t="str">
        <f t="shared" ca="1" si="4"/>
        <v>Russia Sokol_Exxon</v>
      </c>
      <c r="S91" s="16"/>
      <c r="T91" s="76">
        <v>77</v>
      </c>
      <c r="U91" s="997"/>
    </row>
    <row r="92" spans="1:21" ht="18.75" customHeight="1" x14ac:dyDescent="0.25">
      <c r="A92" s="14"/>
      <c r="B92" s="15"/>
      <c r="C92" s="122" t="s">
        <v>777</v>
      </c>
      <c r="D92" s="210" t="s">
        <v>778</v>
      </c>
      <c r="E92" s="125">
        <v>1034.7379457505695</v>
      </c>
      <c r="F92" s="132">
        <v>0</v>
      </c>
      <c r="G92" s="132">
        <v>0</v>
      </c>
      <c r="H92" s="132">
        <v>26.652458387991146</v>
      </c>
      <c r="I92" s="132">
        <v>319.09826649876868</v>
      </c>
      <c r="J92" s="132">
        <v>629.57326540790291</v>
      </c>
      <c r="K92" s="132">
        <v>1003.7758820746949</v>
      </c>
      <c r="L92" s="132">
        <v>1426.0840739484361</v>
      </c>
      <c r="M92" s="125">
        <v>4241.8619896503033</v>
      </c>
      <c r="N92" s="133">
        <v>2697.2200462896308</v>
      </c>
      <c r="O92" s="84"/>
      <c r="P92" s="5"/>
      <c r="Q92" s="77"/>
      <c r="R92" s="937" t="str">
        <f t="shared" ca="1" si="4"/>
        <v>Thunderhorse_Exxon</v>
      </c>
      <c r="S92" s="16"/>
      <c r="T92" s="76">
        <v>78</v>
      </c>
      <c r="U92" s="997"/>
    </row>
    <row r="93" spans="1:21" ht="18.75" customHeight="1" x14ac:dyDescent="0.25">
      <c r="A93" s="14"/>
      <c r="B93" s="15"/>
      <c r="C93" s="119" t="s">
        <v>779</v>
      </c>
      <c r="D93" s="120" t="s">
        <v>970</v>
      </c>
      <c r="E93" s="132">
        <v>38.419900841346163</v>
      </c>
      <c r="F93" s="125">
        <v>73.46339886000959</v>
      </c>
      <c r="G93" s="125">
        <v>56.923776474473073</v>
      </c>
      <c r="H93" s="125">
        <v>39.150604251324111</v>
      </c>
      <c r="I93" s="125">
        <v>31.626188115430942</v>
      </c>
      <c r="J93" s="125">
        <v>27.910468205337892</v>
      </c>
      <c r="K93" s="125">
        <v>25.351159295615787</v>
      </c>
      <c r="L93" s="125">
        <v>23.619585858506042</v>
      </c>
      <c r="M93" s="125">
        <v>20.699872215364934</v>
      </c>
      <c r="N93" s="131">
        <v>20.471830614034275</v>
      </c>
      <c r="O93" s="83"/>
      <c r="P93" s="5"/>
      <c r="Q93" s="77"/>
      <c r="R93" s="937" t="str">
        <f t="shared" ca="1" si="4"/>
        <v>Belridge_Knovel</v>
      </c>
      <c r="S93" s="16"/>
      <c r="T93" s="76">
        <v>79</v>
      </c>
      <c r="U93" s="997"/>
    </row>
    <row r="94" spans="1:21" ht="18.75" customHeight="1" x14ac:dyDescent="0.25">
      <c r="A94" s="14"/>
      <c r="B94" s="15"/>
      <c r="C94" s="119" t="s">
        <v>580</v>
      </c>
      <c r="D94" s="120" t="s">
        <v>581</v>
      </c>
      <c r="E94" s="125">
        <v>832</v>
      </c>
      <c r="F94" s="125">
        <v>689.68715041922951</v>
      </c>
      <c r="G94" s="125">
        <v>750.22709524745676</v>
      </c>
      <c r="H94" s="125">
        <v>828.3628594236468</v>
      </c>
      <c r="I94" s="125">
        <v>866.57221708614156</v>
      </c>
      <c r="J94" s="125">
        <v>886.77126471965596</v>
      </c>
      <c r="K94" s="125">
        <v>901.24053360408425</v>
      </c>
      <c r="L94" s="125">
        <v>911.30092771742943</v>
      </c>
      <c r="M94" s="125">
        <v>928.78279358850409</v>
      </c>
      <c r="N94" s="131">
        <v>930.1764802650581</v>
      </c>
      <c r="O94" s="83"/>
      <c r="P94" s="1"/>
      <c r="Q94" s="77"/>
      <c r="R94" s="937" t="str">
        <f t="shared" ca="1" si="4"/>
        <v>Hamaca Venezuela_Knovel</v>
      </c>
      <c r="S94" s="16"/>
      <c r="T94" s="76">
        <v>80</v>
      </c>
      <c r="U94" s="997"/>
    </row>
    <row r="95" spans="1:21" ht="18.75" customHeight="1" x14ac:dyDescent="0.25">
      <c r="A95" s="14"/>
      <c r="B95" s="15"/>
      <c r="C95" s="119" t="s">
        <v>541</v>
      </c>
      <c r="D95" s="120" t="s">
        <v>579</v>
      </c>
      <c r="E95" s="125">
        <v>13.156982255596731</v>
      </c>
      <c r="F95" s="125">
        <v>15.060328049610405</v>
      </c>
      <c r="G95" s="125">
        <v>14.153616051058803</v>
      </c>
      <c r="H95" s="125">
        <v>13.082017495449573</v>
      </c>
      <c r="I95" s="125">
        <v>13.208750901626889</v>
      </c>
      <c r="J95" s="125">
        <v>12.806703114676992</v>
      </c>
      <c r="K95" s="125">
        <v>12.555210316554597</v>
      </c>
      <c r="L95" s="125">
        <v>12.41956459053916</v>
      </c>
      <c r="M95" s="125">
        <v>12.057259982386235</v>
      </c>
      <c r="N95" s="131">
        <v>12.274592803954125</v>
      </c>
      <c r="O95" s="83"/>
      <c r="P95" s="14"/>
      <c r="Q95" s="77"/>
      <c r="R95" s="937" t="str">
        <f t="shared" ca="1" si="4"/>
        <v>Midway-Sunset_Knovel</v>
      </c>
      <c r="S95" s="16"/>
      <c r="T95" s="76">
        <v>81</v>
      </c>
      <c r="U95" s="997"/>
    </row>
    <row r="96" spans="1:21" ht="18.75" customHeight="1" x14ac:dyDescent="0.25">
      <c r="A96" s="14"/>
      <c r="B96" s="15"/>
      <c r="C96" s="119" t="s">
        <v>544</v>
      </c>
      <c r="D96" s="120" t="s">
        <v>579</v>
      </c>
      <c r="E96" s="125">
        <v>1.71</v>
      </c>
      <c r="F96" s="128"/>
      <c r="G96" s="128"/>
      <c r="H96" s="128"/>
      <c r="I96" s="128"/>
      <c r="J96" s="128"/>
      <c r="K96" s="128"/>
      <c r="L96" s="128"/>
      <c r="M96" s="125">
        <v>10.048764705882355</v>
      </c>
      <c r="N96" s="131">
        <v>4.8857142857142861</v>
      </c>
      <c r="O96" s="83"/>
      <c r="P96" s="1"/>
      <c r="Q96" s="77"/>
      <c r="R96" s="937" t="str">
        <f t="shared" ca="1" si="4"/>
        <v>Wilmington CA_Knovel</v>
      </c>
      <c r="S96" s="16"/>
      <c r="T96" s="76">
        <v>82</v>
      </c>
      <c r="U96" s="997"/>
    </row>
    <row r="97" spans="1:21" ht="18.75" customHeight="1" x14ac:dyDescent="0.25">
      <c r="A97" s="14"/>
      <c r="B97" s="15"/>
      <c r="C97" s="119" t="s">
        <v>780</v>
      </c>
      <c r="D97" s="120" t="s">
        <v>783</v>
      </c>
      <c r="E97" s="125">
        <v>12.476980823347091</v>
      </c>
      <c r="F97" s="125">
        <v>11.965426446968982</v>
      </c>
      <c r="G97" s="125">
        <v>11.916599376457835</v>
      </c>
      <c r="H97" s="125">
        <v>11.745107694679218</v>
      </c>
      <c r="I97" s="125">
        <v>11.782739096301942</v>
      </c>
      <c r="J97" s="125">
        <v>11.829198617484799</v>
      </c>
      <c r="K97" s="125">
        <v>11.962034268514362</v>
      </c>
      <c r="L97" s="125">
        <v>12.239272903061376</v>
      </c>
      <c r="M97" s="125">
        <v>12.966077466087201</v>
      </c>
      <c r="N97" s="131">
        <v>12.628471413870173</v>
      </c>
      <c r="O97" s="83"/>
      <c r="P97" s="1"/>
      <c r="Q97" s="77"/>
      <c r="R97" s="937" t="str">
        <f t="shared" ca="1" si="4"/>
        <v>Basrah Heavy_O&amp;G</v>
      </c>
      <c r="S97" s="16"/>
      <c r="T97" s="76">
        <v>83</v>
      </c>
      <c r="U97" s="997"/>
    </row>
    <row r="98" spans="1:21" ht="18.75" customHeight="1" x14ac:dyDescent="0.25">
      <c r="A98" s="14"/>
      <c r="B98" s="15"/>
      <c r="C98" s="122" t="s">
        <v>781</v>
      </c>
      <c r="D98" s="120" t="s">
        <v>782</v>
      </c>
      <c r="E98" s="125">
        <v>350</v>
      </c>
      <c r="F98" s="134">
        <v>40</v>
      </c>
      <c r="G98" s="134">
        <v>125</v>
      </c>
      <c r="H98" s="134">
        <v>240</v>
      </c>
      <c r="I98" s="134">
        <v>320</v>
      </c>
      <c r="J98" s="134">
        <v>370</v>
      </c>
      <c r="K98" s="134">
        <v>425</v>
      </c>
      <c r="L98" s="134">
        <v>500</v>
      </c>
      <c r="M98" s="134">
        <v>700</v>
      </c>
      <c r="N98" s="135">
        <v>630</v>
      </c>
      <c r="O98" s="80"/>
      <c r="P98" s="3"/>
      <c r="Q98" s="77"/>
      <c r="R98" s="937" t="str">
        <f t="shared" ca="1" si="4"/>
        <v>Burgan (Wafra)_O&amp;G</v>
      </c>
      <c r="S98" s="16"/>
      <c r="T98" s="76">
        <v>84</v>
      </c>
      <c r="U98" s="997"/>
    </row>
    <row r="99" spans="1:21" ht="18.75" customHeight="1" x14ac:dyDescent="0.25">
      <c r="A99" s="14"/>
      <c r="B99" s="15"/>
      <c r="C99" s="122"/>
      <c r="D99" s="210"/>
      <c r="E99" s="210"/>
      <c r="F99" s="210"/>
      <c r="G99" s="210"/>
      <c r="H99" s="210"/>
      <c r="I99" s="210"/>
      <c r="J99" s="210"/>
      <c r="K99" s="210"/>
      <c r="L99" s="210"/>
      <c r="M99" s="210"/>
      <c r="N99" s="115"/>
      <c r="O99" s="80"/>
      <c r="P99" s="3"/>
      <c r="Q99" s="77"/>
      <c r="R99" s="937" t="str">
        <f t="shared" ca="1" si="4"/>
        <v>Kirkuk_O&amp;G</v>
      </c>
      <c r="S99" s="16"/>
      <c r="T99" s="76">
        <v>85</v>
      </c>
      <c r="U99" s="997"/>
    </row>
    <row r="100" spans="1:21" ht="18.75" customHeight="1" x14ac:dyDescent="0.25">
      <c r="A100" s="14"/>
      <c r="B100" s="15"/>
      <c r="C100" s="2199" t="s">
        <v>1994</v>
      </c>
      <c r="D100" s="2200"/>
      <c r="E100" s="2200"/>
      <c r="F100" s="2200"/>
      <c r="G100" s="2200"/>
      <c r="H100" s="2200"/>
      <c r="I100" s="2200"/>
      <c r="J100" s="2200"/>
      <c r="K100" s="2200"/>
      <c r="L100" s="2200"/>
      <c r="M100" s="2200"/>
      <c r="N100" s="2201"/>
      <c r="O100" s="80"/>
      <c r="P100" s="3"/>
      <c r="Q100" s="77"/>
      <c r="R100" s="937" t="str">
        <f t="shared" ca="1" si="4"/>
        <v>Marine Qatar_O&amp;G</v>
      </c>
      <c r="S100" s="16"/>
      <c r="T100" s="76">
        <v>86</v>
      </c>
      <c r="U100" s="997"/>
    </row>
    <row r="101" spans="1:21" ht="32.25" customHeight="1" x14ac:dyDescent="0.25">
      <c r="A101" s="14"/>
      <c r="B101" s="15"/>
      <c r="C101" s="2202" t="s">
        <v>1088</v>
      </c>
      <c r="D101" s="210">
        <v>44</v>
      </c>
      <c r="E101" s="104" t="s">
        <v>679</v>
      </c>
      <c r="F101" s="210">
        <v>80</v>
      </c>
      <c r="G101" s="210">
        <v>180</v>
      </c>
      <c r="H101" s="210">
        <v>290</v>
      </c>
      <c r="I101" s="210">
        <v>340</v>
      </c>
      <c r="J101" s="210">
        <v>400</v>
      </c>
      <c r="K101" s="210">
        <v>450</v>
      </c>
      <c r="L101" s="210">
        <v>525</v>
      </c>
      <c r="M101" s="210">
        <v>525</v>
      </c>
      <c r="N101" s="115">
        <v>400</v>
      </c>
      <c r="O101" s="80"/>
      <c r="P101" s="3"/>
      <c r="Q101" s="77"/>
      <c r="R101" s="937" t="str">
        <f t="shared" ca="1" si="4"/>
        <v>Merey_O&amp;G</v>
      </c>
      <c r="S101" s="16"/>
      <c r="T101" s="76">
        <v>87</v>
      </c>
      <c r="U101" s="997"/>
    </row>
    <row r="102" spans="1:21" ht="18.75" customHeight="1" x14ac:dyDescent="0.25">
      <c r="A102" s="14"/>
      <c r="B102" s="15"/>
      <c r="C102" s="119" t="s">
        <v>568</v>
      </c>
      <c r="D102" s="120" t="s">
        <v>623</v>
      </c>
      <c r="E102" s="110" t="s">
        <v>608</v>
      </c>
      <c r="F102" s="110" t="s">
        <v>957</v>
      </c>
      <c r="G102" s="110" t="s">
        <v>572</v>
      </c>
      <c r="H102" s="110" t="s">
        <v>530</v>
      </c>
      <c r="I102" s="110" t="s">
        <v>573</v>
      </c>
      <c r="J102" s="110" t="s">
        <v>574</v>
      </c>
      <c r="K102" s="110" t="s">
        <v>575</v>
      </c>
      <c r="L102" s="110" t="s">
        <v>576</v>
      </c>
      <c r="M102" s="110" t="s">
        <v>577</v>
      </c>
      <c r="N102" s="2203" t="s">
        <v>609</v>
      </c>
      <c r="O102" s="80"/>
      <c r="P102" s="3"/>
      <c r="Q102" s="77"/>
      <c r="R102" s="937" t="str">
        <f t="shared" ca="1" si="4"/>
        <v>Eagle Ford Ultralight_Platts</v>
      </c>
      <c r="S102" s="16"/>
      <c r="T102" s="76">
        <v>88</v>
      </c>
      <c r="U102" s="997"/>
    </row>
    <row r="103" spans="1:21" ht="18.75" customHeight="1" x14ac:dyDescent="0.25">
      <c r="A103" s="14"/>
      <c r="B103" s="15"/>
      <c r="C103" s="119" t="s">
        <v>582</v>
      </c>
      <c r="D103" s="120" t="s">
        <v>566</v>
      </c>
      <c r="E103" s="121">
        <v>99466.940895709209</v>
      </c>
      <c r="F103" s="129">
        <v>12985.416337383878</v>
      </c>
      <c r="G103" s="129">
        <v>23116.757053962192</v>
      </c>
      <c r="H103" s="129">
        <v>16025.115102468821</v>
      </c>
      <c r="I103" s="129">
        <v>10509.01357574647</v>
      </c>
      <c r="J103" s="129">
        <v>8339.4928942347578</v>
      </c>
      <c r="K103" s="129">
        <v>6382.0803375035575</v>
      </c>
      <c r="L103" s="129">
        <v>8072.6724379921534</v>
      </c>
      <c r="M103" s="129">
        <v>14036.393156417371</v>
      </c>
      <c r="N103" s="130">
        <v>28468.529829933617</v>
      </c>
      <c r="O103" s="80"/>
      <c r="P103" s="3"/>
      <c r="Q103" s="77"/>
      <c r="R103" s="937" t="str">
        <f t="shared" ca="1" si="4"/>
        <v>Angola Girassol_Statoil</v>
      </c>
      <c r="S103" s="16"/>
      <c r="T103" s="76">
        <v>89</v>
      </c>
      <c r="U103" s="997"/>
    </row>
    <row r="104" spans="1:21" ht="18.75" customHeight="1" x14ac:dyDescent="0.25">
      <c r="A104" s="14"/>
      <c r="B104" s="15"/>
      <c r="C104" s="119" t="s">
        <v>582</v>
      </c>
      <c r="D104" s="120" t="s">
        <v>628</v>
      </c>
      <c r="E104" s="145">
        <v>15815.243602417764</v>
      </c>
      <c r="F104" s="129">
        <v>2064.6811976440367</v>
      </c>
      <c r="G104" s="129">
        <v>3675.5643715799883</v>
      </c>
      <c r="H104" s="129">
        <v>2547.9933012925426</v>
      </c>
      <c r="I104" s="129">
        <v>1670.9331585436887</v>
      </c>
      <c r="J104" s="129">
        <v>1325.9793701833264</v>
      </c>
      <c r="K104" s="129">
        <v>1014.7507736630656</v>
      </c>
      <c r="L104" s="129">
        <v>1283.5549176407524</v>
      </c>
      <c r="M104" s="129">
        <v>2231.7865118703621</v>
      </c>
      <c r="N104" s="130">
        <v>4526.4962429594452</v>
      </c>
      <c r="O104" s="80"/>
      <c r="P104" s="3"/>
      <c r="Q104" s="77"/>
      <c r="R104" s="937" t="str">
        <f t="shared" ca="1" si="4"/>
        <v>Azeri Light_Statoil</v>
      </c>
      <c r="S104" s="16"/>
      <c r="T104" s="76">
        <v>90</v>
      </c>
      <c r="U104" s="997"/>
    </row>
    <row r="105" spans="1:21" ht="18.75" customHeight="1" x14ac:dyDescent="0.25">
      <c r="A105" s="14"/>
      <c r="B105" s="15"/>
      <c r="C105" s="119" t="s">
        <v>620</v>
      </c>
      <c r="D105" s="120" t="s">
        <v>622</v>
      </c>
      <c r="E105" s="129">
        <v>13212900</v>
      </c>
      <c r="F105" s="129">
        <v>1453419</v>
      </c>
      <c r="G105" s="129">
        <v>2774709</v>
      </c>
      <c r="H105" s="129">
        <v>2114064</v>
      </c>
      <c r="I105" s="129">
        <v>1453419</v>
      </c>
      <c r="J105" s="129">
        <v>1189161</v>
      </c>
      <c r="K105" s="129">
        <v>924903.00000000012</v>
      </c>
      <c r="L105" s="129">
        <v>1189161</v>
      </c>
      <c r="M105" s="129">
        <v>2114064</v>
      </c>
      <c r="N105" s="130">
        <v>4228128</v>
      </c>
      <c r="O105" s="80"/>
      <c r="P105" s="3"/>
      <c r="Q105" s="77"/>
      <c r="R105" s="937" t="str">
        <f t="shared" ca="1" si="4"/>
        <v>Ekofisk_Statoil</v>
      </c>
      <c r="S105" s="16"/>
      <c r="T105" s="76">
        <v>91</v>
      </c>
      <c r="U105" s="997"/>
    </row>
    <row r="106" spans="1:21" ht="18.75" customHeight="1" x14ac:dyDescent="0.25">
      <c r="A106" s="14"/>
      <c r="B106" s="15"/>
      <c r="C106" s="122" t="s">
        <v>776</v>
      </c>
      <c r="D106" s="120" t="s">
        <v>579</v>
      </c>
      <c r="E106" s="125">
        <v>0.7471881913150451</v>
      </c>
      <c r="F106" s="125">
        <v>0</v>
      </c>
      <c r="G106" s="125">
        <v>0</v>
      </c>
      <c r="H106" s="125">
        <v>0.36942775450677173</v>
      </c>
      <c r="I106" s="125">
        <v>0.69087924617610263</v>
      </c>
      <c r="J106" s="125">
        <v>0.9955249544185627</v>
      </c>
      <c r="K106" s="125">
        <v>1.2069373184043144</v>
      </c>
      <c r="L106" s="125">
        <v>1.4734757149592124</v>
      </c>
      <c r="M106" s="125">
        <v>1.9086710061393037</v>
      </c>
      <c r="N106" s="131">
        <v>1.6327680863028744</v>
      </c>
      <c r="O106" s="80"/>
      <c r="P106" s="3"/>
      <c r="Q106" s="77"/>
      <c r="R106" s="937" t="str">
        <f t="shared" ca="1" si="4"/>
        <v xml:space="preserve">Canada Hibernia_Statoil </v>
      </c>
      <c r="S106" s="16"/>
      <c r="T106" s="76">
        <v>92</v>
      </c>
      <c r="U106" s="997"/>
    </row>
    <row r="107" spans="1:21" ht="18.75" customHeight="1" x14ac:dyDescent="0.25">
      <c r="A107" s="14"/>
      <c r="B107" s="15"/>
      <c r="C107" s="122" t="s">
        <v>777</v>
      </c>
      <c r="D107" s="210" t="s">
        <v>778</v>
      </c>
      <c r="E107" s="125">
        <v>682.70334825350437</v>
      </c>
      <c r="F107" s="132">
        <v>0</v>
      </c>
      <c r="G107" s="132">
        <v>0</v>
      </c>
      <c r="H107" s="132">
        <v>13.040707954867685</v>
      </c>
      <c r="I107" s="132">
        <v>316.70495037693672</v>
      </c>
      <c r="J107" s="132">
        <v>700.77330963299892</v>
      </c>
      <c r="K107" s="132">
        <v>1017.5379946980165</v>
      </c>
      <c r="L107" s="132">
        <v>1487.2227828568757</v>
      </c>
      <c r="M107" s="125">
        <v>2360.1998905394535</v>
      </c>
      <c r="N107" s="133">
        <v>1820.9677892884142</v>
      </c>
      <c r="O107" s="80"/>
      <c r="P107" s="3"/>
      <c r="Q107" s="77"/>
      <c r="R107" s="937" t="str">
        <f t="shared" ca="1" si="4"/>
        <v xml:space="preserve">Forties_Statoil </v>
      </c>
      <c r="S107" s="16"/>
      <c r="T107" s="76">
        <v>93</v>
      </c>
      <c r="U107" s="997"/>
    </row>
    <row r="108" spans="1:21" ht="18.75" customHeight="1" x14ac:dyDescent="0.25">
      <c r="A108" s="14"/>
      <c r="B108" s="15"/>
      <c r="C108" s="119" t="s">
        <v>779</v>
      </c>
      <c r="D108" s="120" t="s">
        <v>970</v>
      </c>
      <c r="E108" s="132">
        <v>38.624377256317672</v>
      </c>
      <c r="F108" s="125">
        <v>69.312442498004032</v>
      </c>
      <c r="G108" s="125">
        <v>55.75569694168594</v>
      </c>
      <c r="H108" s="125">
        <v>38.876071489105271</v>
      </c>
      <c r="I108" s="125">
        <v>31.016212769770476</v>
      </c>
      <c r="J108" s="125">
        <v>26.124803698803603</v>
      </c>
      <c r="K108" s="125">
        <v>23.592805458915734</v>
      </c>
      <c r="L108" s="125">
        <v>21.081628703458136</v>
      </c>
      <c r="M108" s="125">
        <v>17.732346137627815</v>
      </c>
      <c r="N108" s="131">
        <v>19.836082220939929</v>
      </c>
      <c r="O108" s="80"/>
      <c r="P108" s="3"/>
      <c r="Q108" s="77"/>
      <c r="R108" s="937" t="str">
        <f t="shared" ca="1" si="4"/>
        <v>Nigeria Agbami_Statoil</v>
      </c>
      <c r="S108" s="16"/>
      <c r="T108" s="76">
        <v>94</v>
      </c>
      <c r="U108" s="997"/>
    </row>
    <row r="109" spans="1:21" ht="18.75" customHeight="1" x14ac:dyDescent="0.25">
      <c r="A109" s="14"/>
      <c r="B109" s="15"/>
      <c r="C109" s="119" t="s">
        <v>580</v>
      </c>
      <c r="D109" s="120" t="s">
        <v>581</v>
      </c>
      <c r="E109" s="125">
        <v>831</v>
      </c>
      <c r="F109" s="125">
        <v>703.94354424230971</v>
      </c>
      <c r="G109" s="125">
        <v>754.90692571036539</v>
      </c>
      <c r="H109" s="125">
        <v>829.6976286898323</v>
      </c>
      <c r="I109" s="125">
        <v>869.82473988770175</v>
      </c>
      <c r="J109" s="125">
        <v>896.81712003980101</v>
      </c>
      <c r="K109" s="125">
        <v>911.45828513268202</v>
      </c>
      <c r="L109" s="125">
        <v>926.45899575979672</v>
      </c>
      <c r="M109" s="125">
        <v>947.25189383293468</v>
      </c>
      <c r="N109" s="131">
        <v>934.08406260724735</v>
      </c>
      <c r="O109" s="80"/>
      <c r="P109" s="3"/>
      <c r="Q109" s="77"/>
      <c r="R109" s="937" t="str">
        <f t="shared" ca="1" si="4"/>
        <v>North Sea Dansk Blend_Statoil</v>
      </c>
      <c r="S109" s="16"/>
      <c r="T109" s="76">
        <v>95</v>
      </c>
      <c r="U109" s="997"/>
    </row>
    <row r="110" spans="1:21" ht="18.75" customHeight="1" x14ac:dyDescent="0.25">
      <c r="A110" s="14"/>
      <c r="B110" s="15"/>
      <c r="C110" s="119" t="s">
        <v>541</v>
      </c>
      <c r="D110" s="120" t="s">
        <v>579</v>
      </c>
      <c r="E110" s="125">
        <v>12.94060840904438</v>
      </c>
      <c r="F110" s="125">
        <v>14.515987137263126</v>
      </c>
      <c r="G110" s="125">
        <v>13.933797891126925</v>
      </c>
      <c r="H110" s="125">
        <v>13.008965641377527</v>
      </c>
      <c r="I110" s="125">
        <v>12.55444408273425</v>
      </c>
      <c r="J110" s="125">
        <v>12.291433343133662</v>
      </c>
      <c r="K110" s="125">
        <v>12.167474222548847</v>
      </c>
      <c r="L110" s="125">
        <v>12.065537382234922</v>
      </c>
      <c r="M110" s="125">
        <v>11.946739713912617</v>
      </c>
      <c r="N110" s="131">
        <v>12.028437231892442</v>
      </c>
      <c r="O110" s="80"/>
      <c r="P110" s="3"/>
      <c r="Q110" s="77"/>
      <c r="R110" s="937" t="str">
        <f t="shared" ca="1" si="4"/>
        <v>Norway Oseberg_Statoil</v>
      </c>
      <c r="S110" s="16"/>
      <c r="T110" s="76">
        <v>96</v>
      </c>
      <c r="U110" s="997"/>
    </row>
    <row r="111" spans="1:21" ht="18.75" customHeight="1" x14ac:dyDescent="0.25">
      <c r="A111" s="14"/>
      <c r="B111" s="15"/>
      <c r="C111" s="119" t="s">
        <v>544</v>
      </c>
      <c r="D111" s="120" t="s">
        <v>579</v>
      </c>
      <c r="E111" s="125">
        <v>1.94</v>
      </c>
      <c r="F111" s="128"/>
      <c r="G111" s="128"/>
      <c r="H111" s="128"/>
      <c r="I111" s="128"/>
      <c r="J111" s="128"/>
      <c r="K111" s="128"/>
      <c r="L111" s="128"/>
      <c r="M111" s="125">
        <v>12.112875000000001</v>
      </c>
      <c r="N111" s="131">
        <v>6.0625</v>
      </c>
      <c r="O111" s="80"/>
      <c r="P111" s="3"/>
      <c r="Q111" s="77"/>
      <c r="R111" s="937" t="str">
        <f t="shared" ca="1" si="4"/>
        <v>Snohvit Condensate_Statoil</v>
      </c>
      <c r="S111" s="16"/>
      <c r="T111" s="76">
        <v>97</v>
      </c>
      <c r="U111" s="997"/>
    </row>
    <row r="112" spans="1:21" ht="18.75" customHeight="1" x14ac:dyDescent="0.25">
      <c r="A112" s="14"/>
      <c r="B112" s="15"/>
      <c r="C112" s="119" t="s">
        <v>780</v>
      </c>
      <c r="D112" s="120" t="s">
        <v>783</v>
      </c>
      <c r="E112" s="125">
        <v>12.077460889824055</v>
      </c>
      <c r="F112" s="125">
        <v>11.967541796148772</v>
      </c>
      <c r="G112" s="125">
        <v>11.842725812874153</v>
      </c>
      <c r="H112" s="125">
        <v>11.688002754061078</v>
      </c>
      <c r="I112" s="125">
        <v>11.672337816611121</v>
      </c>
      <c r="J112" s="125">
        <v>11.726924497943982</v>
      </c>
      <c r="K112" s="125">
        <v>11.799631818759744</v>
      </c>
      <c r="L112" s="125">
        <v>11.934305063136815</v>
      </c>
      <c r="M112" s="125">
        <v>12.331790421707241</v>
      </c>
      <c r="N112" s="131">
        <v>12.042832838953487</v>
      </c>
      <c r="O112" s="80"/>
      <c r="P112" s="3"/>
      <c r="Q112" s="77"/>
      <c r="R112" s="937" t="str">
        <f t="shared" ca="1" si="4"/>
        <v>Angola Cabinda_Stratiev</v>
      </c>
      <c r="S112" s="16"/>
      <c r="T112" s="76">
        <v>98</v>
      </c>
      <c r="U112" s="997"/>
    </row>
    <row r="113" spans="1:21" ht="18.75" customHeight="1" x14ac:dyDescent="0.25">
      <c r="A113" s="14"/>
      <c r="B113" s="15"/>
      <c r="C113" s="122" t="s">
        <v>781</v>
      </c>
      <c r="D113" s="120" t="s">
        <v>782</v>
      </c>
      <c r="E113" s="125">
        <v>290</v>
      </c>
      <c r="F113" s="134">
        <v>60</v>
      </c>
      <c r="G113" s="134">
        <v>125</v>
      </c>
      <c r="H113" s="134">
        <v>235</v>
      </c>
      <c r="I113" s="134">
        <v>310</v>
      </c>
      <c r="J113" s="134">
        <v>375</v>
      </c>
      <c r="K113" s="134">
        <v>420</v>
      </c>
      <c r="L113" s="134">
        <v>480</v>
      </c>
      <c r="M113" s="134">
        <v>615</v>
      </c>
      <c r="N113" s="135">
        <v>520</v>
      </c>
      <c r="O113" s="80"/>
      <c r="P113" s="3"/>
      <c r="Q113" s="77"/>
      <c r="R113" s="937" t="str">
        <f t="shared" ca="1" si="4"/>
        <v>Arab Light_Stratiev</v>
      </c>
      <c r="S113" s="16"/>
      <c r="T113" s="76">
        <v>99</v>
      </c>
      <c r="U113" s="997"/>
    </row>
    <row r="114" spans="1:21" ht="18.75" customHeight="1" x14ac:dyDescent="0.25">
      <c r="A114" s="14"/>
      <c r="B114" s="15"/>
      <c r="C114" s="122"/>
      <c r="D114" s="210"/>
      <c r="E114" s="210"/>
      <c r="F114" s="210"/>
      <c r="G114" s="210"/>
      <c r="H114" s="210"/>
      <c r="I114" s="210"/>
      <c r="J114" s="210"/>
      <c r="K114" s="210"/>
      <c r="L114" s="210"/>
      <c r="M114" s="210"/>
      <c r="N114" s="115"/>
      <c r="O114" s="17"/>
      <c r="P114" s="4"/>
      <c r="Q114" s="77"/>
      <c r="R114" s="937" t="str">
        <f t="shared" ca="1" si="4"/>
        <v>Arab Medium_Stratiev</v>
      </c>
      <c r="S114" s="16"/>
      <c r="T114" s="76">
        <v>100</v>
      </c>
      <c r="U114" s="997"/>
    </row>
    <row r="115" spans="1:21" ht="18.75" customHeight="1" x14ac:dyDescent="0.25">
      <c r="A115" s="14"/>
      <c r="B115" s="15"/>
      <c r="C115" s="2199" t="s">
        <v>2001</v>
      </c>
      <c r="D115" s="2200"/>
      <c r="E115" s="2200"/>
      <c r="F115" s="2200"/>
      <c r="G115" s="2200"/>
      <c r="H115" s="2200"/>
      <c r="I115" s="2200"/>
      <c r="J115" s="2200"/>
      <c r="K115" s="2200"/>
      <c r="L115" s="2200"/>
      <c r="M115" s="2200"/>
      <c r="N115" s="2201"/>
      <c r="O115" s="80"/>
      <c r="P115" s="4"/>
      <c r="Q115" s="77"/>
      <c r="R115" s="937" t="str">
        <f t="shared" ca="1" si="4"/>
        <v>Arab Heavy_Stratiev</v>
      </c>
      <c r="S115" s="16"/>
      <c r="T115" s="76">
        <v>101</v>
      </c>
      <c r="U115" s="997"/>
    </row>
    <row r="116" spans="1:21" ht="35.25" customHeight="1" x14ac:dyDescent="0.25">
      <c r="A116" s="14"/>
      <c r="B116" s="15"/>
      <c r="C116" s="2202" t="s">
        <v>1088</v>
      </c>
      <c r="D116" s="210">
        <v>52</v>
      </c>
      <c r="E116" s="104" t="s">
        <v>679</v>
      </c>
      <c r="F116" s="210">
        <v>80</v>
      </c>
      <c r="G116" s="210">
        <v>180</v>
      </c>
      <c r="H116" s="210">
        <v>290</v>
      </c>
      <c r="I116" s="210">
        <v>340</v>
      </c>
      <c r="J116" s="210">
        <v>400</v>
      </c>
      <c r="K116" s="210">
        <v>450</v>
      </c>
      <c r="L116" s="210">
        <v>525</v>
      </c>
      <c r="M116" s="210">
        <v>525</v>
      </c>
      <c r="N116" s="115">
        <v>400</v>
      </c>
      <c r="O116" s="80"/>
      <c r="P116" s="9"/>
      <c r="Q116" s="77"/>
      <c r="R116" s="937" t="str">
        <f t="shared" ca="1" si="4"/>
        <v>Colombia Cano Limon_Stratiev</v>
      </c>
      <c r="S116" s="16"/>
      <c r="T116" s="76">
        <v>102</v>
      </c>
      <c r="U116" s="997"/>
    </row>
    <row r="117" spans="1:21" ht="18.75" customHeight="1" x14ac:dyDescent="0.25">
      <c r="A117" s="14"/>
      <c r="B117" s="15"/>
      <c r="C117" s="119" t="s">
        <v>568</v>
      </c>
      <c r="D117" s="120" t="s">
        <v>623</v>
      </c>
      <c r="E117" s="110" t="s">
        <v>608</v>
      </c>
      <c r="F117" s="110" t="s">
        <v>957</v>
      </c>
      <c r="G117" s="110" t="s">
        <v>572</v>
      </c>
      <c r="H117" s="110" t="s">
        <v>530</v>
      </c>
      <c r="I117" s="110" t="s">
        <v>573</v>
      </c>
      <c r="J117" s="110" t="s">
        <v>574</v>
      </c>
      <c r="K117" s="110" t="s">
        <v>575</v>
      </c>
      <c r="L117" s="110" t="s">
        <v>576</v>
      </c>
      <c r="M117" s="110" t="s">
        <v>577</v>
      </c>
      <c r="N117" s="2203" t="s">
        <v>609</v>
      </c>
      <c r="O117" s="81"/>
      <c r="P117" s="5"/>
      <c r="Q117" s="77"/>
      <c r="R117" s="937" t="str">
        <f t="shared" ca="1" si="4"/>
        <v>Congo Emeraude_Stratiev</v>
      </c>
      <c r="S117" s="16"/>
      <c r="T117" s="76">
        <v>103</v>
      </c>
      <c r="U117" s="997"/>
    </row>
    <row r="118" spans="1:21" ht="18.75" customHeight="1" x14ac:dyDescent="0.25">
      <c r="A118" s="14"/>
      <c r="B118" s="15"/>
      <c r="C118" s="119" t="s">
        <v>582</v>
      </c>
      <c r="D118" s="120" t="s">
        <v>566</v>
      </c>
      <c r="E118" s="121">
        <v>101393.74126321124</v>
      </c>
      <c r="F118" s="129">
        <v>23087.411525796375</v>
      </c>
      <c r="G118" s="129">
        <v>39322.455149962327</v>
      </c>
      <c r="H118" s="129">
        <v>19320.780015759326</v>
      </c>
      <c r="I118" s="129">
        <v>8070.5700106000049</v>
      </c>
      <c r="J118" s="129">
        <v>3589.9104951232484</v>
      </c>
      <c r="K118" s="129">
        <v>2710.6044583895209</v>
      </c>
      <c r="L118" s="129">
        <v>2718.5533644877255</v>
      </c>
      <c r="M118" s="129">
        <v>2573.4562430926994</v>
      </c>
      <c r="N118" s="130">
        <v>8013.2988811044615</v>
      </c>
      <c r="O118" s="82"/>
      <c r="P118" s="10"/>
      <c r="Q118" s="77"/>
      <c r="R118" s="937" t="str">
        <f t="shared" ca="1" si="4"/>
        <v>Ecuador Oriente_Stratiev</v>
      </c>
      <c r="S118" s="16"/>
      <c r="T118" s="76">
        <v>104</v>
      </c>
      <c r="U118" s="997"/>
    </row>
    <row r="119" spans="1:21" ht="18.75" customHeight="1" x14ac:dyDescent="0.25">
      <c r="A119" s="14"/>
      <c r="B119" s="15"/>
      <c r="C119" s="119" t="s">
        <v>582</v>
      </c>
      <c r="D119" s="120" t="s">
        <v>628</v>
      </c>
      <c r="E119" s="145">
        <v>16121.604860850588</v>
      </c>
      <c r="F119" s="129">
        <v>3670.8984326016239</v>
      </c>
      <c r="G119" s="129">
        <v>6252.2703688440097</v>
      </c>
      <c r="H119" s="129">
        <v>3072.0040225057332</v>
      </c>
      <c r="I119" s="129">
        <v>1283.2206316854008</v>
      </c>
      <c r="J119" s="129">
        <v>570.79576872459654</v>
      </c>
      <c r="K119" s="129">
        <v>430.98610888393387</v>
      </c>
      <c r="L119" s="129">
        <v>432.24998495354833</v>
      </c>
      <c r="M119" s="129">
        <v>409.17954265173921</v>
      </c>
      <c r="N119" s="130">
        <v>1274.1145220956093</v>
      </c>
      <c r="O119" s="82"/>
      <c r="P119" s="5"/>
      <c r="Q119" s="77"/>
      <c r="R119" s="937" t="str">
        <f t="shared" ca="1" si="4"/>
        <v>Isthmus_Stratiev</v>
      </c>
      <c r="S119" s="16"/>
      <c r="T119" s="76">
        <v>105</v>
      </c>
      <c r="U119" s="997"/>
    </row>
    <row r="120" spans="1:21" ht="18.75" customHeight="1" x14ac:dyDescent="0.25">
      <c r="A120" s="14"/>
      <c r="B120" s="15"/>
      <c r="C120" s="119" t="s">
        <v>620</v>
      </c>
      <c r="D120" s="120" t="s">
        <v>622</v>
      </c>
      <c r="E120" s="129">
        <v>12799500</v>
      </c>
      <c r="F120" s="129">
        <v>2367907.5</v>
      </c>
      <c r="G120" s="129">
        <v>4863810</v>
      </c>
      <c r="H120" s="129">
        <v>2687895</v>
      </c>
      <c r="I120" s="129">
        <v>1151955</v>
      </c>
      <c r="J120" s="129">
        <v>511980</v>
      </c>
      <c r="K120" s="129">
        <v>383985</v>
      </c>
      <c r="L120" s="129">
        <v>383985</v>
      </c>
      <c r="M120" s="129">
        <v>383985</v>
      </c>
      <c r="N120" s="130">
        <v>1151955</v>
      </c>
      <c r="O120" s="82"/>
      <c r="P120" s="5"/>
      <c r="Q120" s="77"/>
      <c r="R120" s="937" t="str">
        <f t="shared" ca="1" si="4"/>
        <v>Kuwait Export_Stratiev</v>
      </c>
      <c r="S120" s="16"/>
      <c r="T120" s="76">
        <v>106</v>
      </c>
      <c r="U120" s="997"/>
    </row>
    <row r="121" spans="1:21" ht="18.75" customHeight="1" x14ac:dyDescent="0.25">
      <c r="A121" s="14"/>
      <c r="B121" s="15"/>
      <c r="C121" s="122" t="s">
        <v>776</v>
      </c>
      <c r="D121" s="120" t="s">
        <v>579</v>
      </c>
      <c r="E121" s="125">
        <v>0.14376103131717205</v>
      </c>
      <c r="F121" s="125">
        <v>0</v>
      </c>
      <c r="G121" s="125">
        <v>0</v>
      </c>
      <c r="H121" s="125">
        <v>0.12696804349981988</v>
      </c>
      <c r="I121" s="125">
        <v>0.2561123079032212</v>
      </c>
      <c r="J121" s="125">
        <v>0.38356475950165592</v>
      </c>
      <c r="K121" s="125">
        <v>0.51616946968665289</v>
      </c>
      <c r="L121" s="125">
        <v>0.67494722124762474</v>
      </c>
      <c r="M121" s="125">
        <v>1.4323847787608466</v>
      </c>
      <c r="N121" s="131">
        <v>0.8745004898983747</v>
      </c>
      <c r="O121" s="83"/>
      <c r="P121" s="5"/>
      <c r="Q121" s="77"/>
      <c r="R121" s="937" t="str">
        <f t="shared" ca="1" si="4"/>
        <v>Louisiana light sweet_Stratiev</v>
      </c>
      <c r="S121" s="16"/>
      <c r="T121" s="76">
        <v>107</v>
      </c>
      <c r="U121" s="997"/>
    </row>
    <row r="122" spans="1:21" ht="18.75" customHeight="1" x14ac:dyDescent="0.25">
      <c r="A122" s="14"/>
      <c r="B122" s="15"/>
      <c r="C122" s="122" t="s">
        <v>777</v>
      </c>
      <c r="D122" s="210" t="s">
        <v>778</v>
      </c>
      <c r="E122" s="125">
        <v>552.58610908051583</v>
      </c>
      <c r="F122" s="132">
        <v>0</v>
      </c>
      <c r="G122" s="132">
        <v>0</v>
      </c>
      <c r="H122" s="132">
        <v>17.707546120234156</v>
      </c>
      <c r="I122" s="132">
        <v>368.38157952555196</v>
      </c>
      <c r="J122" s="132">
        <v>950.30621086137262</v>
      </c>
      <c r="K122" s="132">
        <v>1791.7232820713775</v>
      </c>
      <c r="L122" s="132">
        <v>3118.6103863748754</v>
      </c>
      <c r="M122" s="125">
        <v>11013.030791670819</v>
      </c>
      <c r="N122" s="133">
        <v>5307.7881533723576</v>
      </c>
      <c r="O122" s="84"/>
      <c r="P122" s="5"/>
      <c r="Q122" s="77"/>
      <c r="R122" s="937" t="str">
        <f t="shared" ca="1" si="4"/>
        <v>MAYA_Stratiev</v>
      </c>
      <c r="S122" s="16"/>
      <c r="T122" s="76">
        <v>108</v>
      </c>
      <c r="U122" s="997"/>
    </row>
    <row r="123" spans="1:21" ht="18.75" customHeight="1" x14ac:dyDescent="0.25">
      <c r="A123" s="14"/>
      <c r="B123" s="15"/>
      <c r="C123" s="119" t="s">
        <v>779</v>
      </c>
      <c r="D123" s="120" t="s">
        <v>970</v>
      </c>
      <c r="E123" s="132">
        <v>44.119077639751566</v>
      </c>
      <c r="F123" s="125">
        <v>87.647279852291419</v>
      </c>
      <c r="G123" s="125">
        <v>50.214505989768028</v>
      </c>
      <c r="H123" s="125">
        <v>30.061519681354525</v>
      </c>
      <c r="I123" s="125">
        <v>25.968709541511146</v>
      </c>
      <c r="J123" s="125">
        <v>26.099994506181901</v>
      </c>
      <c r="K123" s="125">
        <v>27.163657800918457</v>
      </c>
      <c r="L123" s="125">
        <v>27.628942403086654</v>
      </c>
      <c r="M123" s="125">
        <v>19.135766666706132</v>
      </c>
      <c r="N123" s="131">
        <v>24.851265439817809</v>
      </c>
      <c r="O123" s="83"/>
      <c r="P123" s="5"/>
      <c r="Q123" s="77"/>
      <c r="R123" s="937" t="str">
        <f t="shared" ca="1" si="4"/>
        <v>Russian Export Blend_Stratiev</v>
      </c>
      <c r="S123" s="16"/>
      <c r="T123" s="76">
        <v>109</v>
      </c>
      <c r="U123" s="997"/>
    </row>
    <row r="124" spans="1:21" ht="18.75" customHeight="1" x14ac:dyDescent="0.25">
      <c r="A124" s="14"/>
      <c r="B124" s="15"/>
      <c r="C124" s="119" t="s">
        <v>580</v>
      </c>
      <c r="D124" s="120" t="s">
        <v>581</v>
      </c>
      <c r="E124" s="125">
        <v>805</v>
      </c>
      <c r="F124" s="125">
        <v>645.04849248085202</v>
      </c>
      <c r="G124" s="125">
        <v>777.92701100020986</v>
      </c>
      <c r="H124" s="125">
        <v>874.96467462551425</v>
      </c>
      <c r="I124" s="125">
        <v>897.7061087983019</v>
      </c>
      <c r="J124" s="125">
        <v>896.95829586120385</v>
      </c>
      <c r="K124" s="125">
        <v>890.9451884524857</v>
      </c>
      <c r="L124" s="125">
        <v>888.34011189442811</v>
      </c>
      <c r="M124" s="125">
        <v>938.42668064863938</v>
      </c>
      <c r="N124" s="131">
        <v>904.12202358804723</v>
      </c>
      <c r="O124" s="83"/>
      <c r="P124" s="1"/>
      <c r="Q124" s="77"/>
      <c r="R124" s="937" t="str">
        <f t="shared" ca="1" si="4"/>
        <v>Venezuela Tia Juana_Stratiev</v>
      </c>
      <c r="S124" s="16"/>
      <c r="T124" s="76">
        <v>110</v>
      </c>
      <c r="U124" s="997"/>
    </row>
    <row r="125" spans="1:21" ht="18.75" customHeight="1" x14ac:dyDescent="0.25">
      <c r="A125" s="14"/>
      <c r="B125" s="15"/>
      <c r="C125" s="119" t="s">
        <v>541</v>
      </c>
      <c r="D125" s="120" t="s">
        <v>579</v>
      </c>
      <c r="E125" s="125">
        <v>13.308819238694035</v>
      </c>
      <c r="F125" s="125">
        <v>15.871906455275502</v>
      </c>
      <c r="G125" s="125">
        <v>13.519112330231819</v>
      </c>
      <c r="H125" s="125">
        <v>12.795803509616789</v>
      </c>
      <c r="I125" s="125">
        <v>12.86788883266702</v>
      </c>
      <c r="J125" s="125">
        <v>12.881890985179778</v>
      </c>
      <c r="K125" s="125">
        <v>12.615267501085963</v>
      </c>
      <c r="L125" s="125">
        <v>11.773005913048429</v>
      </c>
      <c r="M125" s="125">
        <v>4.7700428396397765</v>
      </c>
      <c r="N125" s="131">
        <v>9.7194387512580569</v>
      </c>
      <c r="O125" s="83"/>
      <c r="P125" s="14"/>
      <c r="Q125" s="77"/>
      <c r="R125" s="937" t="str">
        <f t="shared" ca="1" si="4"/>
        <v>West texas intermediate_Stratiev</v>
      </c>
      <c r="S125" s="16"/>
      <c r="T125" s="76">
        <v>111</v>
      </c>
      <c r="U125" s="997"/>
    </row>
    <row r="126" spans="1:21" ht="18.75" customHeight="1" x14ac:dyDescent="0.25">
      <c r="A126" s="14"/>
      <c r="B126" s="15"/>
      <c r="C126" s="119" t="s">
        <v>544</v>
      </c>
      <c r="D126" s="120" t="s">
        <v>579</v>
      </c>
      <c r="E126" s="125">
        <v>2.7400000000000001E-2</v>
      </c>
      <c r="F126" s="128"/>
      <c r="G126" s="128"/>
      <c r="H126" s="128"/>
      <c r="I126" s="128"/>
      <c r="J126" s="128"/>
      <c r="K126" s="128"/>
      <c r="L126" s="128"/>
      <c r="M126" s="125">
        <v>0.91242000000000012</v>
      </c>
      <c r="N126" s="131">
        <v>0.30444444444444446</v>
      </c>
      <c r="O126" s="83"/>
      <c r="P126" s="1"/>
      <c r="Q126" s="77"/>
      <c r="R126" s="937" t="str">
        <f t="shared" ca="1" si="4"/>
        <v>West texas sour_Stratiev</v>
      </c>
      <c r="S126" s="16"/>
      <c r="T126" s="76">
        <v>112</v>
      </c>
      <c r="U126" s="997"/>
    </row>
    <row r="127" spans="1:21" ht="18.75" customHeight="1" x14ac:dyDescent="0.25">
      <c r="A127" s="14"/>
      <c r="B127" s="15"/>
      <c r="C127" s="119" t="s">
        <v>780</v>
      </c>
      <c r="D127" s="120" t="s">
        <v>783</v>
      </c>
      <c r="E127" s="125">
        <v>11.334547899602729</v>
      </c>
      <c r="F127" s="125">
        <v>13.125230633698406</v>
      </c>
      <c r="G127" s="125">
        <v>11.492280906833306</v>
      </c>
      <c r="H127" s="125">
        <v>11.083313933005636</v>
      </c>
      <c r="I127" s="125">
        <v>11.374094753235179</v>
      </c>
      <c r="J127" s="125">
        <v>11.694850771824738</v>
      </c>
      <c r="K127" s="125">
        <v>12.042210896534707</v>
      </c>
      <c r="L127" s="125">
        <v>12.528495361595613</v>
      </c>
      <c r="M127" s="125">
        <v>12.136370463176624</v>
      </c>
      <c r="N127" s="131">
        <v>12.119928991834161</v>
      </c>
      <c r="O127" s="83"/>
      <c r="P127" s="1"/>
      <c r="Q127" s="77"/>
      <c r="R127" s="937" t="str">
        <f t="shared" ca="1" si="4"/>
        <v>Bakken_Various Sources</v>
      </c>
      <c r="S127" s="16"/>
      <c r="T127" s="76">
        <v>113</v>
      </c>
      <c r="U127" s="997"/>
    </row>
    <row r="128" spans="1:21" ht="18.75" customHeight="1" x14ac:dyDescent="0.25">
      <c r="A128" s="14"/>
      <c r="B128" s="15"/>
      <c r="C128" s="122" t="s">
        <v>781</v>
      </c>
      <c r="D128" s="120" t="s">
        <v>782</v>
      </c>
      <c r="E128" s="125">
        <v>150</v>
      </c>
      <c r="F128" s="134">
        <v>65</v>
      </c>
      <c r="G128" s="134">
        <v>125</v>
      </c>
      <c r="H128" s="134">
        <v>235</v>
      </c>
      <c r="I128" s="134">
        <v>320</v>
      </c>
      <c r="J128" s="134">
        <v>370</v>
      </c>
      <c r="K128" s="134">
        <v>415</v>
      </c>
      <c r="L128" s="134">
        <v>495</v>
      </c>
      <c r="M128" s="134">
        <v>550</v>
      </c>
      <c r="N128" s="135">
        <v>460</v>
      </c>
      <c r="O128" s="80"/>
      <c r="P128" s="3"/>
      <c r="Q128" s="77"/>
      <c r="R128" s="937" t="str">
        <f t="shared" ca="1" si="4"/>
        <v>Custom Assay</v>
      </c>
      <c r="S128" s="16"/>
      <c r="T128" s="76">
        <v>114</v>
      </c>
      <c r="U128" s="997"/>
    </row>
    <row r="129" spans="1:21" ht="18.75" customHeight="1" x14ac:dyDescent="0.25">
      <c r="A129" s="14"/>
      <c r="B129" s="15"/>
      <c r="C129" s="122"/>
      <c r="D129" s="210"/>
      <c r="E129" s="210"/>
      <c r="F129" s="210"/>
      <c r="G129" s="210"/>
      <c r="H129" s="210"/>
      <c r="I129" s="210"/>
      <c r="J129" s="210"/>
      <c r="K129" s="210"/>
      <c r="L129" s="210"/>
      <c r="M129" s="210"/>
      <c r="N129" s="115"/>
      <c r="O129" s="17"/>
      <c r="P129" s="4"/>
      <c r="Q129" s="77"/>
      <c r="R129" s="937" t="str">
        <f t="shared" ca="1" si="4"/>
        <v>Custom Blend</v>
      </c>
      <c r="S129" s="16"/>
      <c r="T129" s="76">
        <v>115</v>
      </c>
      <c r="U129" s="997"/>
    </row>
    <row r="130" spans="1:21" ht="18.75" customHeight="1" x14ac:dyDescent="0.25">
      <c r="A130" s="14"/>
      <c r="B130" s="15"/>
      <c r="C130" s="2199" t="s">
        <v>2002</v>
      </c>
      <c r="D130" s="2200"/>
      <c r="E130" s="2200"/>
      <c r="F130" s="2200"/>
      <c r="G130" s="2200"/>
      <c r="H130" s="2200"/>
      <c r="I130" s="2200"/>
      <c r="J130" s="2200"/>
      <c r="K130" s="2200"/>
      <c r="L130" s="2200"/>
      <c r="M130" s="2200"/>
      <c r="N130" s="2201"/>
      <c r="O130" s="80"/>
      <c r="P130" s="4"/>
      <c r="Q130" s="66"/>
      <c r="R130" s="2218"/>
      <c r="S130" s="50"/>
      <c r="T130" s="2219"/>
      <c r="U130" s="2220"/>
    </row>
    <row r="131" spans="1:21" ht="36.75" customHeight="1" x14ac:dyDescent="0.25">
      <c r="A131" s="14"/>
      <c r="B131" s="15"/>
      <c r="C131" s="2202" t="s">
        <v>1088</v>
      </c>
      <c r="D131" s="210">
        <v>30</v>
      </c>
      <c r="E131" s="104" t="s">
        <v>679</v>
      </c>
      <c r="F131" s="210">
        <v>80</v>
      </c>
      <c r="G131" s="210">
        <v>180</v>
      </c>
      <c r="H131" s="210">
        <v>290</v>
      </c>
      <c r="I131" s="210">
        <v>340</v>
      </c>
      <c r="J131" s="210">
        <v>400</v>
      </c>
      <c r="K131" s="210">
        <v>450</v>
      </c>
      <c r="L131" s="210">
        <v>525</v>
      </c>
      <c r="M131" s="210">
        <v>525</v>
      </c>
      <c r="N131" s="115">
        <v>400</v>
      </c>
      <c r="O131" s="80"/>
      <c r="P131" s="9"/>
      <c r="Q131" s="14"/>
      <c r="R131" s="13"/>
      <c r="S131" s="56"/>
      <c r="T131" s="3"/>
      <c r="U131" s="14"/>
    </row>
    <row r="132" spans="1:21" ht="18.75" customHeight="1" x14ac:dyDescent="0.25">
      <c r="A132" s="14"/>
      <c r="B132" s="15"/>
      <c r="C132" s="119" t="s">
        <v>568</v>
      </c>
      <c r="D132" s="120" t="s">
        <v>623</v>
      </c>
      <c r="E132" s="110" t="s">
        <v>608</v>
      </c>
      <c r="F132" s="110" t="s">
        <v>957</v>
      </c>
      <c r="G132" s="110" t="s">
        <v>572</v>
      </c>
      <c r="H132" s="110" t="s">
        <v>530</v>
      </c>
      <c r="I132" s="110" t="s">
        <v>573</v>
      </c>
      <c r="J132" s="110" t="s">
        <v>574</v>
      </c>
      <c r="K132" s="110" t="s">
        <v>575</v>
      </c>
      <c r="L132" s="110" t="s">
        <v>576</v>
      </c>
      <c r="M132" s="110" t="s">
        <v>577</v>
      </c>
      <c r="N132" s="2203" t="s">
        <v>609</v>
      </c>
      <c r="O132" s="81"/>
      <c r="P132" s="5"/>
      <c r="Q132" s="14"/>
      <c r="R132" s="13"/>
      <c r="S132" s="14"/>
      <c r="T132" s="14"/>
      <c r="U132" s="14"/>
    </row>
    <row r="133" spans="1:21" ht="18.75" customHeight="1" x14ac:dyDescent="0.25">
      <c r="A133" s="14"/>
      <c r="B133" s="15"/>
      <c r="C133" s="119" t="s">
        <v>582</v>
      </c>
      <c r="D133" s="120" t="s">
        <v>566</v>
      </c>
      <c r="E133" s="121">
        <v>101030.99016751231</v>
      </c>
      <c r="F133" s="129">
        <v>9035.969577994656</v>
      </c>
      <c r="G133" s="129">
        <v>16592.258120628794</v>
      </c>
      <c r="H133" s="129">
        <v>15983.678745406754</v>
      </c>
      <c r="I133" s="129">
        <v>7980.8069620422739</v>
      </c>
      <c r="J133" s="129">
        <v>8678.4162259000313</v>
      </c>
      <c r="K133" s="129">
        <v>7522.4732684087376</v>
      </c>
      <c r="L133" s="129">
        <v>9221.2733083654239</v>
      </c>
      <c r="M133" s="129">
        <v>26016.113958765654</v>
      </c>
      <c r="N133" s="130">
        <v>42683.154474202092</v>
      </c>
      <c r="O133" s="82"/>
      <c r="P133" s="10"/>
      <c r="Q133" s="14"/>
      <c r="R133" s="13"/>
      <c r="S133" s="14"/>
      <c r="T133" s="14"/>
      <c r="U133" s="37"/>
    </row>
    <row r="134" spans="1:21" ht="18.75" customHeight="1" x14ac:dyDescent="0.25">
      <c r="A134" s="14"/>
      <c r="B134" s="15"/>
      <c r="C134" s="119" t="s">
        <v>582</v>
      </c>
      <c r="D134" s="120" t="s">
        <v>628</v>
      </c>
      <c r="E134" s="145">
        <v>16063.927436634458</v>
      </c>
      <c r="F134" s="129">
        <v>1436.7191629011502</v>
      </c>
      <c r="G134" s="129">
        <v>2638.1690411799782</v>
      </c>
      <c r="H134" s="129">
        <v>2541.4049205196739</v>
      </c>
      <c r="I134" s="129">
        <v>1268.9483069647215</v>
      </c>
      <c r="J134" s="129">
        <v>1379.8681799181049</v>
      </c>
      <c r="K134" s="129">
        <v>1196.0732496769892</v>
      </c>
      <c r="L134" s="129">
        <v>1466.1824560301025</v>
      </c>
      <c r="M134" s="129">
        <v>4136.562119443739</v>
      </c>
      <c r="N134" s="130">
        <v>6786.6215613981331</v>
      </c>
      <c r="O134" s="82"/>
      <c r="P134" s="5"/>
      <c r="Q134" s="14"/>
      <c r="R134" s="13"/>
      <c r="S134" s="14"/>
      <c r="T134" s="14"/>
      <c r="U134" s="14"/>
    </row>
    <row r="135" spans="1:21" ht="18.75" customHeight="1" x14ac:dyDescent="0.25">
      <c r="A135" s="14"/>
      <c r="B135" s="15"/>
      <c r="C135" s="119" t="s">
        <v>620</v>
      </c>
      <c r="D135" s="120" t="s">
        <v>622</v>
      </c>
      <c r="E135" s="129">
        <v>13904550</v>
      </c>
      <c r="F135" s="129">
        <v>973318.50000000012</v>
      </c>
      <c r="G135" s="129">
        <v>1946637.0000000002</v>
      </c>
      <c r="H135" s="129">
        <v>2085682.5</v>
      </c>
      <c r="I135" s="129">
        <v>1112364</v>
      </c>
      <c r="J135" s="129">
        <v>1251409.5</v>
      </c>
      <c r="K135" s="129">
        <v>1112364</v>
      </c>
      <c r="L135" s="129">
        <v>1390455</v>
      </c>
      <c r="M135" s="129">
        <v>4032319.4999999995</v>
      </c>
      <c r="N135" s="130">
        <v>6535138.5</v>
      </c>
      <c r="O135" s="82"/>
      <c r="P135" s="5"/>
      <c r="Q135" s="14"/>
      <c r="R135" s="13"/>
      <c r="S135" s="14"/>
      <c r="T135" s="14"/>
      <c r="U135" s="14"/>
    </row>
    <row r="136" spans="1:21" ht="18.75" customHeight="1" x14ac:dyDescent="0.25">
      <c r="A136" s="14"/>
      <c r="B136" s="15"/>
      <c r="C136" s="122" t="s">
        <v>776</v>
      </c>
      <c r="D136" s="120" t="s">
        <v>579</v>
      </c>
      <c r="E136" s="125">
        <v>2.6586814587080059</v>
      </c>
      <c r="F136" s="125">
        <v>0</v>
      </c>
      <c r="G136" s="125">
        <v>0</v>
      </c>
      <c r="H136" s="125">
        <v>1.2276570331517809</v>
      </c>
      <c r="I136" s="125">
        <v>2.1731670561885874</v>
      </c>
      <c r="J136" s="125">
        <v>2.813989711581816</v>
      </c>
      <c r="K136" s="125">
        <v>3.3988896016120744</v>
      </c>
      <c r="L136" s="125">
        <v>3.9348885160396518</v>
      </c>
      <c r="M136" s="125">
        <v>4.7655877429822686</v>
      </c>
      <c r="N136" s="131">
        <v>4.3562137557399758</v>
      </c>
      <c r="O136" s="83"/>
      <c r="P136" s="5"/>
      <c r="Q136" s="14"/>
      <c r="R136" s="13"/>
      <c r="S136" s="14"/>
      <c r="T136" s="14"/>
      <c r="U136" s="55"/>
    </row>
    <row r="137" spans="1:21" ht="18.75" customHeight="1" x14ac:dyDescent="0.25">
      <c r="A137" s="14"/>
      <c r="B137" s="15"/>
      <c r="C137" s="122" t="s">
        <v>777</v>
      </c>
      <c r="D137" s="210" t="s">
        <v>778</v>
      </c>
      <c r="E137" s="125">
        <v>798.47791484549634</v>
      </c>
      <c r="F137" s="132">
        <v>0</v>
      </c>
      <c r="G137" s="132">
        <v>0</v>
      </c>
      <c r="H137" s="132">
        <v>28.129395833253056</v>
      </c>
      <c r="I137" s="132">
        <v>294.75574190026214</v>
      </c>
      <c r="J137" s="132">
        <v>558.29864702573559</v>
      </c>
      <c r="K137" s="132">
        <v>856.90052752717429</v>
      </c>
      <c r="L137" s="132">
        <v>1192.1593748280957</v>
      </c>
      <c r="M137" s="125">
        <v>1836.7696144868544</v>
      </c>
      <c r="N137" s="133">
        <v>1532.8322720982364</v>
      </c>
      <c r="O137" s="84"/>
      <c r="P137" s="5"/>
      <c r="Q137" s="14"/>
      <c r="R137" s="13"/>
      <c r="S137" s="14"/>
      <c r="T137" s="55"/>
      <c r="U137" s="37"/>
    </row>
    <row r="138" spans="1:21" ht="18.75" customHeight="1" x14ac:dyDescent="0.25">
      <c r="A138" s="14"/>
      <c r="B138" s="15"/>
      <c r="C138" s="119" t="s">
        <v>779</v>
      </c>
      <c r="D138" s="120" t="s">
        <v>970</v>
      </c>
      <c r="E138" s="132">
        <v>30.161929674099468</v>
      </c>
      <c r="F138" s="125">
        <v>77.162955882771598</v>
      </c>
      <c r="G138" s="125">
        <v>60.078202778139833</v>
      </c>
      <c r="H138" s="125">
        <v>40.747972349206606</v>
      </c>
      <c r="I138" s="125">
        <v>29.759554060410153</v>
      </c>
      <c r="J138" s="125">
        <v>24.371459247484793</v>
      </c>
      <c r="K138" s="125">
        <v>20.498499708671915</v>
      </c>
      <c r="L138" s="125">
        <v>17.559455130151036</v>
      </c>
      <c r="M138" s="125">
        <v>13.515045611957675</v>
      </c>
      <c r="N138" s="131">
        <v>15.300415720517947</v>
      </c>
      <c r="O138" s="83"/>
      <c r="P138" s="5"/>
      <c r="Q138" s="14"/>
      <c r="R138" s="13"/>
      <c r="S138" s="14"/>
      <c r="T138" s="14"/>
      <c r="U138" s="14"/>
    </row>
    <row r="139" spans="1:21" ht="18.75" customHeight="1" x14ac:dyDescent="0.25">
      <c r="A139" s="14"/>
      <c r="B139" s="15"/>
      <c r="C139" s="119" t="s">
        <v>580</v>
      </c>
      <c r="D139" s="120" t="s">
        <v>581</v>
      </c>
      <c r="E139" s="125">
        <v>874.5</v>
      </c>
      <c r="F139" s="125">
        <v>677.4591201488463</v>
      </c>
      <c r="G139" s="125">
        <v>737.87424900162</v>
      </c>
      <c r="H139" s="125">
        <v>820.68090887835126</v>
      </c>
      <c r="I139" s="125">
        <v>876.60308453441621</v>
      </c>
      <c r="J139" s="125">
        <v>906.90510746778079</v>
      </c>
      <c r="K139" s="125">
        <v>930.01327493981182</v>
      </c>
      <c r="L139" s="125">
        <v>948.35059189349101</v>
      </c>
      <c r="M139" s="125">
        <v>974.79969684155071</v>
      </c>
      <c r="N139" s="131">
        <v>962.94429280858208</v>
      </c>
      <c r="O139" s="83"/>
      <c r="P139" s="1"/>
      <c r="Q139" s="14"/>
      <c r="R139" s="13"/>
      <c r="S139" s="14"/>
      <c r="T139" s="14"/>
      <c r="U139" s="14"/>
    </row>
    <row r="140" spans="1:21" ht="18.75" customHeight="1" x14ac:dyDescent="0.25">
      <c r="A140" s="14"/>
      <c r="B140" s="15"/>
      <c r="C140" s="119" t="s">
        <v>541</v>
      </c>
      <c r="D140" s="120" t="s">
        <v>579</v>
      </c>
      <c r="E140" s="125">
        <v>12.521971326171739</v>
      </c>
      <c r="F140" s="125">
        <v>15.542986984157606</v>
      </c>
      <c r="G140" s="125">
        <v>14.483694482630794</v>
      </c>
      <c r="H140" s="125">
        <v>13.157841476144766</v>
      </c>
      <c r="I140" s="125">
        <v>12.933481014771125</v>
      </c>
      <c r="J140" s="125">
        <v>12.277668643584686</v>
      </c>
      <c r="K140" s="125">
        <v>11.810881167780206</v>
      </c>
      <c r="L140" s="125">
        <v>11.481151996011935</v>
      </c>
      <c r="M140" s="125">
        <v>11.034187710906071</v>
      </c>
      <c r="N140" s="131">
        <v>11.261489636566743</v>
      </c>
      <c r="O140" s="83"/>
      <c r="P140" s="14"/>
      <c r="Q140" s="14"/>
      <c r="R140" s="13"/>
      <c r="S140" s="14"/>
      <c r="T140" s="14"/>
      <c r="U140" s="14"/>
    </row>
    <row r="141" spans="1:21" ht="18.75" customHeight="1" x14ac:dyDescent="0.25">
      <c r="A141" s="14"/>
      <c r="B141" s="15"/>
      <c r="C141" s="119" t="s">
        <v>544</v>
      </c>
      <c r="D141" s="120" t="s">
        <v>579</v>
      </c>
      <c r="E141" s="125">
        <v>6.33</v>
      </c>
      <c r="F141" s="128"/>
      <c r="G141" s="128"/>
      <c r="H141" s="128"/>
      <c r="I141" s="128"/>
      <c r="J141" s="128"/>
      <c r="K141" s="128"/>
      <c r="L141" s="128"/>
      <c r="M141" s="125">
        <v>21.805758620689655</v>
      </c>
      <c r="N141" s="131">
        <v>13.468085106382979</v>
      </c>
      <c r="O141" s="83"/>
      <c r="P141" s="1"/>
      <c r="Q141" s="14"/>
      <c r="R141" s="13"/>
      <c r="S141" s="14"/>
      <c r="T141" s="14"/>
      <c r="U141" s="14"/>
    </row>
    <row r="142" spans="1:21" ht="18.75" customHeight="1" x14ac:dyDescent="0.25">
      <c r="A142" s="14"/>
      <c r="B142" s="15"/>
      <c r="C142" s="119" t="s">
        <v>780</v>
      </c>
      <c r="D142" s="120" t="s">
        <v>783</v>
      </c>
      <c r="E142" s="125">
        <v>12.058125435800466</v>
      </c>
      <c r="F142" s="125">
        <v>12.435398000100701</v>
      </c>
      <c r="G142" s="125">
        <v>12.116096675719588</v>
      </c>
      <c r="H142" s="125">
        <v>11.738390641409582</v>
      </c>
      <c r="I142" s="125">
        <v>11.58208131403916</v>
      </c>
      <c r="J142" s="125">
        <v>11.56658324257995</v>
      </c>
      <c r="K142" s="125">
        <v>11.619560195494238</v>
      </c>
      <c r="L142" s="125">
        <v>11.735707307534035</v>
      </c>
      <c r="M142" s="125">
        <v>12.050380328330192</v>
      </c>
      <c r="N142" s="131">
        <v>11.89877531326713</v>
      </c>
      <c r="O142" s="83"/>
      <c r="P142" s="1"/>
      <c r="Q142" s="14"/>
      <c r="R142" s="13"/>
      <c r="S142" s="14"/>
      <c r="T142" s="14"/>
      <c r="U142" s="14"/>
    </row>
    <row r="143" spans="1:21" ht="18.75" customHeight="1" x14ac:dyDescent="0.25">
      <c r="A143" s="14"/>
      <c r="B143" s="15"/>
      <c r="C143" s="122" t="s">
        <v>781</v>
      </c>
      <c r="D143" s="120" t="s">
        <v>782</v>
      </c>
      <c r="E143" s="125">
        <v>380</v>
      </c>
      <c r="F143" s="134">
        <v>60</v>
      </c>
      <c r="G143" s="134">
        <v>125</v>
      </c>
      <c r="H143" s="134">
        <v>225</v>
      </c>
      <c r="I143" s="134">
        <v>310</v>
      </c>
      <c r="J143" s="134">
        <v>370</v>
      </c>
      <c r="K143" s="134">
        <v>430</v>
      </c>
      <c r="L143" s="134">
        <v>495</v>
      </c>
      <c r="M143" s="134">
        <v>630</v>
      </c>
      <c r="N143" s="135">
        <v>565</v>
      </c>
      <c r="O143" s="80"/>
      <c r="P143" s="3"/>
      <c r="Q143" s="14"/>
      <c r="R143" s="13"/>
      <c r="S143" s="14"/>
      <c r="T143" s="14"/>
      <c r="U143" s="14"/>
    </row>
    <row r="144" spans="1:21" ht="18.75" customHeight="1" x14ac:dyDescent="0.25">
      <c r="A144" s="14"/>
      <c r="B144" s="15"/>
      <c r="C144" s="122"/>
      <c r="D144" s="210"/>
      <c r="E144" s="210"/>
      <c r="F144" s="210"/>
      <c r="G144" s="210"/>
      <c r="H144" s="210"/>
      <c r="I144" s="210"/>
      <c r="J144" s="210"/>
      <c r="K144" s="210"/>
      <c r="L144" s="210"/>
      <c r="M144" s="210"/>
      <c r="N144" s="115"/>
      <c r="O144" s="17"/>
      <c r="P144" s="4"/>
      <c r="Q144" s="14"/>
      <c r="R144" s="13"/>
      <c r="S144" s="14"/>
      <c r="T144" s="14"/>
      <c r="U144" s="14"/>
    </row>
    <row r="145" spans="1:21" ht="18.75" customHeight="1" x14ac:dyDescent="0.25">
      <c r="A145" s="14"/>
      <c r="B145" s="15"/>
      <c r="C145" s="2199" t="s">
        <v>2003</v>
      </c>
      <c r="D145" s="2200"/>
      <c r="E145" s="2200"/>
      <c r="F145" s="2200"/>
      <c r="G145" s="2200"/>
      <c r="H145" s="2200"/>
      <c r="I145" s="2200"/>
      <c r="J145" s="2200"/>
      <c r="K145" s="2200"/>
      <c r="L145" s="2200"/>
      <c r="M145" s="2200"/>
      <c r="N145" s="2201"/>
      <c r="O145" s="80"/>
      <c r="P145" s="4"/>
      <c r="Q145" s="14"/>
      <c r="R145" s="13"/>
      <c r="S145" s="14"/>
      <c r="T145" s="14"/>
      <c r="U145" s="14"/>
    </row>
    <row r="146" spans="1:21" ht="27" customHeight="1" x14ac:dyDescent="0.25">
      <c r="A146" s="14"/>
      <c r="B146" s="15"/>
      <c r="C146" s="2202" t="s">
        <v>1088</v>
      </c>
      <c r="D146" s="210">
        <v>29</v>
      </c>
      <c r="E146" s="104" t="s">
        <v>679</v>
      </c>
      <c r="F146" s="210">
        <v>80</v>
      </c>
      <c r="G146" s="210">
        <v>180</v>
      </c>
      <c r="H146" s="210">
        <v>290</v>
      </c>
      <c r="I146" s="210">
        <v>340</v>
      </c>
      <c r="J146" s="210">
        <v>400</v>
      </c>
      <c r="K146" s="210">
        <v>450</v>
      </c>
      <c r="L146" s="210">
        <v>525</v>
      </c>
      <c r="M146" s="210">
        <v>525</v>
      </c>
      <c r="N146" s="115">
        <v>400</v>
      </c>
      <c r="O146" s="80"/>
      <c r="P146" s="9"/>
      <c r="Q146" s="14"/>
      <c r="R146" s="13"/>
      <c r="S146" s="14"/>
      <c r="T146" s="14"/>
      <c r="U146" s="14"/>
    </row>
    <row r="147" spans="1:21" ht="18.75" customHeight="1" x14ac:dyDescent="0.25">
      <c r="A147" s="14"/>
      <c r="B147" s="15"/>
      <c r="C147" s="119" t="s">
        <v>568</v>
      </c>
      <c r="D147" s="120" t="s">
        <v>623</v>
      </c>
      <c r="E147" s="110" t="s">
        <v>608</v>
      </c>
      <c r="F147" s="110" t="s">
        <v>957</v>
      </c>
      <c r="G147" s="110" t="s">
        <v>572</v>
      </c>
      <c r="H147" s="110" t="s">
        <v>530</v>
      </c>
      <c r="I147" s="110" t="s">
        <v>573</v>
      </c>
      <c r="J147" s="110" t="s">
        <v>574</v>
      </c>
      <c r="K147" s="110" t="s">
        <v>575</v>
      </c>
      <c r="L147" s="110" t="s">
        <v>576</v>
      </c>
      <c r="M147" s="110" t="s">
        <v>577</v>
      </c>
      <c r="N147" s="2203" t="s">
        <v>609</v>
      </c>
      <c r="O147" s="81"/>
      <c r="P147" s="5"/>
      <c r="Q147" s="14"/>
      <c r="R147" s="13"/>
      <c r="S147" s="14"/>
      <c r="T147" s="14"/>
      <c r="U147" s="14"/>
    </row>
    <row r="148" spans="1:21" ht="18.75" customHeight="1" x14ac:dyDescent="0.25">
      <c r="A148" s="14"/>
      <c r="B148" s="15"/>
      <c r="C148" s="119" t="s">
        <v>582</v>
      </c>
      <c r="D148" s="120" t="s">
        <v>566</v>
      </c>
      <c r="E148" s="121">
        <v>101195.57451133372</v>
      </c>
      <c r="F148" s="129">
        <v>3970.6043993322828</v>
      </c>
      <c r="G148" s="129">
        <v>19151.403113545115</v>
      </c>
      <c r="H148" s="129">
        <v>15971.32232087494</v>
      </c>
      <c r="I148" s="129">
        <v>10917.623431998914</v>
      </c>
      <c r="J148" s="129">
        <v>5785.8189677918199</v>
      </c>
      <c r="K148" s="129">
        <v>7597.9435363628008</v>
      </c>
      <c r="L148" s="129">
        <v>9349.7032956380044</v>
      </c>
      <c r="M148" s="129">
        <v>28451.155445789853</v>
      </c>
      <c r="N148" s="130">
        <v>45258.229343251158</v>
      </c>
      <c r="O148" s="82"/>
      <c r="P148" s="10"/>
      <c r="Q148" s="14"/>
      <c r="R148" s="14"/>
      <c r="S148" s="14"/>
      <c r="T148" s="14"/>
      <c r="U148" s="14"/>
    </row>
    <row r="149" spans="1:21" ht="18.75" customHeight="1" x14ac:dyDescent="0.25">
      <c r="A149" s="14"/>
      <c r="B149" s="15"/>
      <c r="C149" s="119" t="s">
        <v>582</v>
      </c>
      <c r="D149" s="120" t="s">
        <v>628</v>
      </c>
      <c r="E149" s="145">
        <v>16090.096347302062</v>
      </c>
      <c r="F149" s="129">
        <v>631.326099493833</v>
      </c>
      <c r="G149" s="129">
        <v>3045.0730950536736</v>
      </c>
      <c r="H149" s="129">
        <v>2539.4402490191155</v>
      </c>
      <c r="I149" s="129">
        <v>1735.9021256878275</v>
      </c>
      <c r="J149" s="129">
        <v>919.94521587889938</v>
      </c>
      <c r="K149" s="129">
        <v>1208.0730222816853</v>
      </c>
      <c r="L149" s="129">
        <v>1486.6028240064427</v>
      </c>
      <c r="M149" s="129">
        <v>4523.7337158805867</v>
      </c>
      <c r="N149" s="130">
        <v>7196.0584655769344</v>
      </c>
      <c r="O149" s="82"/>
      <c r="P149" s="5"/>
      <c r="Q149" s="14"/>
      <c r="R149" s="37"/>
      <c r="S149" s="14"/>
      <c r="T149" s="14"/>
      <c r="U149" s="14"/>
    </row>
    <row r="150" spans="1:21" ht="18.75" customHeight="1" x14ac:dyDescent="0.25">
      <c r="A150" s="14"/>
      <c r="B150" s="15"/>
      <c r="C150" s="119" t="s">
        <v>620</v>
      </c>
      <c r="D150" s="120" t="s">
        <v>622</v>
      </c>
      <c r="E150" s="129">
        <v>14026980</v>
      </c>
      <c r="F150" s="129">
        <v>420809.39999999997</v>
      </c>
      <c r="G150" s="129">
        <v>2244316.8000000003</v>
      </c>
      <c r="H150" s="129">
        <v>2104047</v>
      </c>
      <c r="I150" s="129">
        <v>1542967.8</v>
      </c>
      <c r="J150" s="129">
        <v>841618.79999999993</v>
      </c>
      <c r="K150" s="129">
        <v>1122158.4000000001</v>
      </c>
      <c r="L150" s="129">
        <v>1402698</v>
      </c>
      <c r="M150" s="129">
        <v>4348363.8</v>
      </c>
      <c r="N150" s="130">
        <v>6873220.2000000002</v>
      </c>
      <c r="O150" s="82"/>
      <c r="P150" s="5"/>
      <c r="Q150" s="14"/>
      <c r="R150" s="14"/>
      <c r="S150" s="14"/>
      <c r="T150" s="14"/>
      <c r="U150" s="14"/>
    </row>
    <row r="151" spans="1:21" ht="18.75" customHeight="1" x14ac:dyDescent="0.25">
      <c r="A151" s="14"/>
      <c r="B151" s="15"/>
      <c r="C151" s="122" t="s">
        <v>776</v>
      </c>
      <c r="D151" s="120" t="s">
        <v>579</v>
      </c>
      <c r="E151" s="125">
        <v>1.5554725960974727</v>
      </c>
      <c r="F151" s="125">
        <v>0</v>
      </c>
      <c r="G151" s="125">
        <v>0</v>
      </c>
      <c r="H151" s="125">
        <v>0.72754486938817386</v>
      </c>
      <c r="I151" s="125">
        <v>1.2917478087233951</v>
      </c>
      <c r="J151" s="125">
        <v>1.622657193519603</v>
      </c>
      <c r="K151" s="125">
        <v>1.8517527386645332</v>
      </c>
      <c r="L151" s="125">
        <v>2.1664128145120216</v>
      </c>
      <c r="M151" s="125">
        <v>2.7164763695939746</v>
      </c>
      <c r="N151" s="131">
        <v>2.4630391328948917</v>
      </c>
      <c r="O151" s="83"/>
      <c r="P151" s="5"/>
      <c r="Q151" s="14"/>
      <c r="R151" s="14"/>
      <c r="S151" s="14"/>
      <c r="T151" s="14"/>
      <c r="U151" s="14"/>
    </row>
    <row r="152" spans="1:21" ht="18.75" customHeight="1" x14ac:dyDescent="0.25">
      <c r="A152" s="14"/>
      <c r="B152" s="15"/>
      <c r="C152" s="122" t="s">
        <v>777</v>
      </c>
      <c r="D152" s="210" t="s">
        <v>778</v>
      </c>
      <c r="E152" s="125">
        <v>1177.9742423711282</v>
      </c>
      <c r="F152" s="132">
        <v>0</v>
      </c>
      <c r="G152" s="132">
        <v>0</v>
      </c>
      <c r="H152" s="132">
        <v>0</v>
      </c>
      <c r="I152" s="132">
        <v>349.13334188768795</v>
      </c>
      <c r="J152" s="132">
        <v>731.31945881103275</v>
      </c>
      <c r="K152" s="132">
        <v>1058.8883326947589</v>
      </c>
      <c r="L152" s="132">
        <v>1599.7873949717277</v>
      </c>
      <c r="M152" s="125">
        <v>2745.1632294260226</v>
      </c>
      <c r="N152" s="133">
        <v>2236.1028719077967</v>
      </c>
      <c r="O152" s="84"/>
      <c r="P152" s="5"/>
      <c r="Q152" s="14"/>
      <c r="R152" s="14"/>
      <c r="S152" s="14"/>
      <c r="T152" s="14"/>
      <c r="U152" s="14"/>
    </row>
    <row r="153" spans="1:21" ht="18.75" customHeight="1" x14ac:dyDescent="0.25">
      <c r="A153" s="14"/>
      <c r="B153" s="15"/>
      <c r="C153" s="119" t="s">
        <v>779</v>
      </c>
      <c r="D153" s="120" t="s">
        <v>970</v>
      </c>
      <c r="E153" s="132">
        <v>28.750915325323035</v>
      </c>
      <c r="F153" s="125">
        <v>80.578557239798258</v>
      </c>
      <c r="G153" s="125">
        <v>60.297088661809653</v>
      </c>
      <c r="H153" s="125">
        <v>39.112564454547453</v>
      </c>
      <c r="I153" s="125">
        <v>27.536504252586809</v>
      </c>
      <c r="J153" s="125">
        <v>23.016544048847408</v>
      </c>
      <c r="K153" s="125">
        <v>20.68346577024721</v>
      </c>
      <c r="L153" s="125">
        <v>18.316354348411878</v>
      </c>
      <c r="M153" s="125">
        <v>15.561709533392275</v>
      </c>
      <c r="N153" s="131">
        <v>16.500394959025215</v>
      </c>
      <c r="O153" s="83"/>
      <c r="P153" s="5"/>
      <c r="Q153" s="14"/>
      <c r="R153" s="14"/>
      <c r="S153" s="14"/>
      <c r="T153" s="14"/>
      <c r="U153" s="14"/>
    </row>
    <row r="154" spans="1:21" ht="18.75" customHeight="1" x14ac:dyDescent="0.25">
      <c r="A154" s="14"/>
      <c r="B154" s="15"/>
      <c r="C154" s="119" t="s">
        <v>580</v>
      </c>
      <c r="D154" s="120" t="s">
        <v>581</v>
      </c>
      <c r="E154" s="125">
        <v>882.2</v>
      </c>
      <c r="F154" s="125">
        <v>666.54839763061398</v>
      </c>
      <c r="G154" s="125">
        <v>737.03215980122184</v>
      </c>
      <c r="H154" s="125">
        <v>828.54755130100398</v>
      </c>
      <c r="I154" s="125">
        <v>888.85644943180205</v>
      </c>
      <c r="J154" s="125">
        <v>914.85752137526174</v>
      </c>
      <c r="K154" s="125">
        <v>928.88292288870218</v>
      </c>
      <c r="L154" s="125">
        <v>943.55935381562347</v>
      </c>
      <c r="M154" s="125">
        <v>961.23336896136266</v>
      </c>
      <c r="N154" s="131">
        <v>955.13679229799709</v>
      </c>
      <c r="O154" s="83"/>
      <c r="P154" s="1"/>
      <c r="Q154" s="14"/>
      <c r="R154" s="14"/>
      <c r="S154" s="14"/>
      <c r="T154" s="14"/>
      <c r="U154" s="14"/>
    </row>
    <row r="155" spans="1:21" ht="18.75" customHeight="1" x14ac:dyDescent="0.25">
      <c r="A155" s="14"/>
      <c r="B155" s="15"/>
      <c r="C155" s="119" t="s">
        <v>541</v>
      </c>
      <c r="D155" s="120" t="s">
        <v>579</v>
      </c>
      <c r="E155" s="125">
        <v>12.55690893360226</v>
      </c>
      <c r="F155" s="125">
        <v>15.766378450303602</v>
      </c>
      <c r="G155" s="125">
        <v>14.43928056491225</v>
      </c>
      <c r="H155" s="125">
        <v>12.956048865992006</v>
      </c>
      <c r="I155" s="125">
        <v>12.189747463137451</v>
      </c>
      <c r="J155" s="125">
        <v>11.942054607365527</v>
      </c>
      <c r="K155" s="125">
        <v>11.841224216646344</v>
      </c>
      <c r="L155" s="125">
        <v>11.78444365472455</v>
      </c>
      <c r="M155" s="125">
        <v>11.764798579410247</v>
      </c>
      <c r="N155" s="131">
        <v>11.781285433512938</v>
      </c>
      <c r="O155" s="83"/>
      <c r="P155" s="14"/>
      <c r="Q155" s="14"/>
      <c r="R155" s="14"/>
      <c r="S155" s="14"/>
      <c r="T155" s="14"/>
      <c r="U155" s="14"/>
    </row>
    <row r="156" spans="1:21" ht="18.75" customHeight="1" x14ac:dyDescent="0.25">
      <c r="A156" s="14"/>
      <c r="B156" s="15"/>
      <c r="C156" s="119" t="s">
        <v>544</v>
      </c>
      <c r="D156" s="120" t="s">
        <v>579</v>
      </c>
      <c r="E156" s="125">
        <v>5.78</v>
      </c>
      <c r="F156" s="128"/>
      <c r="G156" s="128"/>
      <c r="H156" s="128"/>
      <c r="I156" s="128"/>
      <c r="J156" s="128"/>
      <c r="K156" s="128"/>
      <c r="L156" s="128"/>
      <c r="M156" s="125">
        <v>18.626516129032261</v>
      </c>
      <c r="N156" s="131">
        <v>11.795918367346939</v>
      </c>
      <c r="O156" s="83"/>
      <c r="P156" s="1"/>
      <c r="Q156" s="14"/>
      <c r="R156" s="14"/>
      <c r="S156" s="14"/>
      <c r="T156" s="14"/>
      <c r="U156" s="14"/>
    </row>
    <row r="157" spans="1:21" ht="18.75" customHeight="1" x14ac:dyDescent="0.25">
      <c r="A157" s="14"/>
      <c r="B157" s="15"/>
      <c r="C157" s="119" t="s">
        <v>780</v>
      </c>
      <c r="D157" s="120" t="s">
        <v>783</v>
      </c>
      <c r="E157" s="125">
        <v>12.043690087577493</v>
      </c>
      <c r="F157" s="125">
        <v>12.51120697748936</v>
      </c>
      <c r="G157" s="125">
        <v>12.078949506378805</v>
      </c>
      <c r="H157" s="125">
        <v>11.626940524094788</v>
      </c>
      <c r="I157" s="125">
        <v>11.487337858162604</v>
      </c>
      <c r="J157" s="125">
        <v>11.525161637025157</v>
      </c>
      <c r="K157" s="125">
        <v>11.606059150726743</v>
      </c>
      <c r="L157" s="125">
        <v>11.79529928497052</v>
      </c>
      <c r="M157" s="125">
        <v>12.197859595924353</v>
      </c>
      <c r="N157" s="131">
        <v>12.067178434274281</v>
      </c>
      <c r="O157" s="83"/>
      <c r="P157" s="1"/>
      <c r="Q157" s="14"/>
      <c r="R157" s="14"/>
      <c r="S157" s="14"/>
      <c r="T157" s="14"/>
      <c r="U157" s="14"/>
    </row>
    <row r="158" spans="1:21" ht="18.75" customHeight="1" x14ac:dyDescent="0.25">
      <c r="A158" s="14"/>
      <c r="B158" s="15"/>
      <c r="C158" s="122" t="s">
        <v>781</v>
      </c>
      <c r="D158" s="120" t="s">
        <v>782</v>
      </c>
      <c r="E158" s="125">
        <v>395</v>
      </c>
      <c r="F158" s="134">
        <v>50</v>
      </c>
      <c r="G158" s="134">
        <v>120</v>
      </c>
      <c r="H158" s="134">
        <v>225</v>
      </c>
      <c r="I158" s="134">
        <v>320</v>
      </c>
      <c r="J158" s="134">
        <v>380</v>
      </c>
      <c r="K158" s="134">
        <v>425</v>
      </c>
      <c r="L158" s="134">
        <v>495</v>
      </c>
      <c r="M158" s="134">
        <v>625</v>
      </c>
      <c r="N158" s="135">
        <v>580</v>
      </c>
      <c r="O158" s="80"/>
      <c r="P158" s="3"/>
      <c r="Q158" s="14"/>
      <c r="R158" s="14"/>
      <c r="S158" s="14"/>
      <c r="T158" s="14"/>
      <c r="U158" s="14"/>
    </row>
    <row r="159" spans="1:21" ht="18.75" customHeight="1" x14ac:dyDescent="0.25">
      <c r="A159" s="14"/>
      <c r="B159" s="15"/>
      <c r="C159" s="122"/>
      <c r="D159" s="210"/>
      <c r="E159" s="210"/>
      <c r="F159" s="210"/>
      <c r="G159" s="210"/>
      <c r="H159" s="210"/>
      <c r="I159" s="210"/>
      <c r="J159" s="210"/>
      <c r="K159" s="210"/>
      <c r="L159" s="210"/>
      <c r="M159" s="210"/>
      <c r="N159" s="115"/>
      <c r="O159" s="80"/>
      <c r="P159" s="3"/>
      <c r="Q159" s="14"/>
      <c r="R159" s="14"/>
      <c r="S159" s="14"/>
      <c r="T159" s="14"/>
      <c r="U159" s="14"/>
    </row>
    <row r="160" spans="1:21" ht="18.75" customHeight="1" x14ac:dyDescent="0.25">
      <c r="A160" s="14"/>
      <c r="B160" s="15"/>
      <c r="C160" s="2199" t="s">
        <v>2004</v>
      </c>
      <c r="D160" s="2200"/>
      <c r="E160" s="2200"/>
      <c r="F160" s="2200"/>
      <c r="G160" s="2200"/>
      <c r="H160" s="2200"/>
      <c r="I160" s="2200"/>
      <c r="J160" s="2200"/>
      <c r="K160" s="2200"/>
      <c r="L160" s="2200"/>
      <c r="M160" s="2200"/>
      <c r="N160" s="2201"/>
      <c r="O160" s="17"/>
      <c r="P160" s="4"/>
      <c r="Q160" s="14"/>
      <c r="R160" s="14"/>
      <c r="S160" s="14"/>
      <c r="T160" s="14"/>
      <c r="U160" s="14"/>
    </row>
    <row r="161" spans="1:21" ht="18.75" customHeight="1" x14ac:dyDescent="0.25">
      <c r="A161" s="14"/>
      <c r="B161" s="15"/>
      <c r="C161" s="2202" t="s">
        <v>1088</v>
      </c>
      <c r="D161" s="210">
        <v>39</v>
      </c>
      <c r="E161" s="104" t="s">
        <v>679</v>
      </c>
      <c r="F161" s="210">
        <v>80</v>
      </c>
      <c r="G161" s="210">
        <v>180</v>
      </c>
      <c r="H161" s="210">
        <v>290</v>
      </c>
      <c r="I161" s="210">
        <v>340</v>
      </c>
      <c r="J161" s="210">
        <v>400</v>
      </c>
      <c r="K161" s="210">
        <v>450</v>
      </c>
      <c r="L161" s="210">
        <v>525</v>
      </c>
      <c r="M161" s="210">
        <v>525</v>
      </c>
      <c r="N161" s="115">
        <v>400</v>
      </c>
      <c r="O161" s="80"/>
      <c r="P161" s="4"/>
      <c r="Q161" s="14"/>
      <c r="R161" s="14"/>
      <c r="S161" s="14"/>
      <c r="T161" s="14"/>
      <c r="U161" s="14"/>
    </row>
    <row r="162" spans="1:21" ht="33.75" customHeight="1" x14ac:dyDescent="0.25">
      <c r="A162" s="14"/>
      <c r="B162" s="15"/>
      <c r="C162" s="119" t="s">
        <v>568</v>
      </c>
      <c r="D162" s="120" t="s">
        <v>623</v>
      </c>
      <c r="E162" s="110" t="s">
        <v>608</v>
      </c>
      <c r="F162" s="110" t="s">
        <v>957</v>
      </c>
      <c r="G162" s="110" t="s">
        <v>572</v>
      </c>
      <c r="H162" s="110" t="s">
        <v>530</v>
      </c>
      <c r="I162" s="110" t="s">
        <v>573</v>
      </c>
      <c r="J162" s="110" t="s">
        <v>574</v>
      </c>
      <c r="K162" s="110" t="s">
        <v>575</v>
      </c>
      <c r="L162" s="110" t="s">
        <v>576</v>
      </c>
      <c r="M162" s="110" t="s">
        <v>577</v>
      </c>
      <c r="N162" s="2203" t="s">
        <v>609</v>
      </c>
      <c r="O162" s="80"/>
      <c r="P162" s="9"/>
      <c r="Q162" s="14"/>
      <c r="R162" s="14"/>
      <c r="S162" s="14"/>
      <c r="T162" s="14"/>
      <c r="U162" s="14"/>
    </row>
    <row r="163" spans="1:21" ht="18.75" customHeight="1" x14ac:dyDescent="0.25">
      <c r="A163" s="14"/>
      <c r="B163" s="15"/>
      <c r="C163" s="119" t="s">
        <v>582</v>
      </c>
      <c r="D163" s="120" t="s">
        <v>566</v>
      </c>
      <c r="E163" s="121">
        <v>100078.59452031655</v>
      </c>
      <c r="F163" s="129">
        <v>6025.2209652700112</v>
      </c>
      <c r="G163" s="129">
        <v>22307.921800468346</v>
      </c>
      <c r="H163" s="129">
        <v>20401.542207791164</v>
      </c>
      <c r="I163" s="129">
        <v>11647.92383631954</v>
      </c>
      <c r="J163" s="129">
        <v>10432.243389052042</v>
      </c>
      <c r="K163" s="129">
        <v>7465.3423026616683</v>
      </c>
      <c r="L163" s="129">
        <v>11054.462486696679</v>
      </c>
      <c r="M163" s="129">
        <v>10743.937532057098</v>
      </c>
      <c r="N163" s="130">
        <v>29099.74122740981</v>
      </c>
      <c r="O163" s="81"/>
      <c r="P163" s="5"/>
      <c r="Q163" s="14"/>
      <c r="R163" s="14"/>
      <c r="S163" s="14"/>
      <c r="T163" s="14"/>
      <c r="U163" s="14"/>
    </row>
    <row r="164" spans="1:21" ht="18.75" customHeight="1" x14ac:dyDescent="0.25">
      <c r="A164" s="14"/>
      <c r="B164" s="15"/>
      <c r="C164" s="119" t="s">
        <v>582</v>
      </c>
      <c r="D164" s="120" t="s">
        <v>628</v>
      </c>
      <c r="E164" s="145">
        <v>15912.496528730331</v>
      </c>
      <c r="F164" s="129">
        <v>958.01013347793173</v>
      </c>
      <c r="G164" s="129">
        <v>3546.9595662744673</v>
      </c>
      <c r="H164" s="129">
        <v>3243.8452110387952</v>
      </c>
      <c r="I164" s="129">
        <v>1852.019889974807</v>
      </c>
      <c r="J164" s="129">
        <v>1658.7266988592748</v>
      </c>
      <c r="K164" s="129">
        <v>1186.9894261232052</v>
      </c>
      <c r="L164" s="129">
        <v>1757.659535384772</v>
      </c>
      <c r="M164" s="129">
        <v>1708.2860675970785</v>
      </c>
      <c r="N164" s="130">
        <v>4626.8588551581597</v>
      </c>
      <c r="O164" s="82"/>
      <c r="P164" s="10"/>
      <c r="Q164" s="14"/>
      <c r="R164" s="14"/>
      <c r="S164" s="14"/>
      <c r="T164" s="14"/>
      <c r="U164" s="14"/>
    </row>
    <row r="165" spans="1:21" ht="18.75" customHeight="1" x14ac:dyDescent="0.25">
      <c r="A165" s="14"/>
      <c r="B165" s="15"/>
      <c r="C165" s="119" t="s">
        <v>620</v>
      </c>
      <c r="D165" s="120" t="s">
        <v>622</v>
      </c>
      <c r="E165" s="129">
        <v>13421189.999999998</v>
      </c>
      <c r="F165" s="129">
        <v>671059.5</v>
      </c>
      <c r="G165" s="129">
        <v>2684238</v>
      </c>
      <c r="H165" s="129">
        <v>2684238</v>
      </c>
      <c r="I165" s="129">
        <v>1610542.7999999998</v>
      </c>
      <c r="J165" s="129">
        <v>1476330.9</v>
      </c>
      <c r="K165" s="129">
        <v>1073695.2</v>
      </c>
      <c r="L165" s="129">
        <v>1610542.7999999998</v>
      </c>
      <c r="M165" s="129">
        <v>1610542.7999999998</v>
      </c>
      <c r="N165" s="130">
        <v>4294780.8</v>
      </c>
      <c r="O165" s="82"/>
      <c r="P165" s="5"/>
      <c r="Q165" s="14"/>
      <c r="R165" s="14"/>
      <c r="S165" s="14"/>
      <c r="T165" s="14"/>
      <c r="U165" s="14"/>
    </row>
    <row r="166" spans="1:21" ht="18.75" customHeight="1" x14ac:dyDescent="0.25">
      <c r="A166" s="14"/>
      <c r="B166" s="15"/>
      <c r="C166" s="122" t="s">
        <v>776</v>
      </c>
      <c r="D166" s="120" t="s">
        <v>579</v>
      </c>
      <c r="E166" s="125">
        <v>0.37132890236966448</v>
      </c>
      <c r="F166" s="125">
        <v>0</v>
      </c>
      <c r="G166" s="125">
        <v>0</v>
      </c>
      <c r="H166" s="125">
        <v>0.14160163872713302</v>
      </c>
      <c r="I166" s="125">
        <v>0.30261631631665831</v>
      </c>
      <c r="J166" s="125">
        <v>0.42698511571062442</v>
      </c>
      <c r="K166" s="125">
        <v>0.55316783704400385</v>
      </c>
      <c r="L166" s="125">
        <v>0.68473250458890411</v>
      </c>
      <c r="M166" s="125">
        <v>1.1108743868656779</v>
      </c>
      <c r="N166" s="131">
        <v>0.8116445435564692</v>
      </c>
      <c r="O166" s="82"/>
      <c r="P166" s="5"/>
      <c r="Q166" s="14"/>
      <c r="R166" s="14"/>
      <c r="S166" s="14"/>
      <c r="T166" s="14"/>
      <c r="U166" s="14"/>
    </row>
    <row r="167" spans="1:21" ht="18.75" customHeight="1" x14ac:dyDescent="0.25">
      <c r="A167" s="14"/>
      <c r="B167" s="15"/>
      <c r="C167" s="122" t="s">
        <v>777</v>
      </c>
      <c r="D167" s="210" t="s">
        <v>778</v>
      </c>
      <c r="E167" s="125">
        <v>697.96246122324681</v>
      </c>
      <c r="F167" s="132">
        <v>0</v>
      </c>
      <c r="G167" s="132">
        <v>0</v>
      </c>
      <c r="H167" s="132">
        <v>0</v>
      </c>
      <c r="I167" s="132">
        <v>246.79372573360695</v>
      </c>
      <c r="J167" s="132">
        <v>533.32127874415926</v>
      </c>
      <c r="K167" s="132">
        <v>894.35998443017058</v>
      </c>
      <c r="L167" s="132">
        <v>1353.027699756411</v>
      </c>
      <c r="M167" s="125">
        <v>3131.4145895681122</v>
      </c>
      <c r="N167" s="133">
        <v>1905.2558546042387</v>
      </c>
      <c r="O167" s="83"/>
      <c r="P167" s="5"/>
      <c r="Q167" s="14"/>
      <c r="R167" s="14"/>
      <c r="S167" s="14"/>
      <c r="T167" s="14"/>
      <c r="U167" s="14"/>
    </row>
    <row r="168" spans="1:21" ht="18.75" customHeight="1" x14ac:dyDescent="0.25">
      <c r="A168" s="14"/>
      <c r="B168" s="15"/>
      <c r="C168" s="119" t="s">
        <v>779</v>
      </c>
      <c r="D168" s="120" t="s">
        <v>970</v>
      </c>
      <c r="E168" s="132">
        <v>35.984133988863874</v>
      </c>
      <c r="F168" s="125">
        <v>70.307602499850645</v>
      </c>
      <c r="G168" s="125">
        <v>55.294320127681921</v>
      </c>
      <c r="H168" s="125">
        <v>39.331341455596728</v>
      </c>
      <c r="I168" s="125">
        <v>31.055558616151195</v>
      </c>
      <c r="J168" s="125">
        <v>27.325259776190506</v>
      </c>
      <c r="K168" s="125">
        <v>24.776720039070739</v>
      </c>
      <c r="L168" s="125">
        <v>22.773358066021075</v>
      </c>
      <c r="M168" s="125">
        <v>18.439748216315706</v>
      </c>
      <c r="N168" s="131">
        <v>20.790810274832822</v>
      </c>
      <c r="O168" s="84"/>
      <c r="P168" s="5"/>
      <c r="Q168" s="14"/>
      <c r="R168" s="14"/>
      <c r="S168" s="14"/>
      <c r="T168" s="14"/>
      <c r="U168" s="14"/>
    </row>
    <row r="169" spans="1:21" ht="18.75" customHeight="1" x14ac:dyDescent="0.25">
      <c r="A169" s="14"/>
      <c r="B169" s="15"/>
      <c r="C169" s="119" t="s">
        <v>580</v>
      </c>
      <c r="D169" s="120" t="s">
        <v>581</v>
      </c>
      <c r="E169" s="125">
        <v>844.09999999999991</v>
      </c>
      <c r="F169" s="125">
        <v>700.47223567855735</v>
      </c>
      <c r="G169" s="125">
        <v>756.77152497663712</v>
      </c>
      <c r="H169" s="125">
        <v>827.48646293773402</v>
      </c>
      <c r="I169" s="125">
        <v>869.614202697309</v>
      </c>
      <c r="J169" s="125">
        <v>890.03866701807442</v>
      </c>
      <c r="K169" s="125">
        <v>904.55329792344276</v>
      </c>
      <c r="L169" s="125">
        <v>916.29964027557446</v>
      </c>
      <c r="M169" s="125">
        <v>942.78284565385059</v>
      </c>
      <c r="N169" s="131">
        <v>928.22818556741811</v>
      </c>
      <c r="O169" s="83"/>
      <c r="P169" s="5"/>
      <c r="Q169" s="14"/>
      <c r="R169" s="14"/>
      <c r="S169" s="14"/>
      <c r="T169" s="14"/>
      <c r="U169" s="14"/>
    </row>
    <row r="170" spans="1:21" ht="18.75" customHeight="1" x14ac:dyDescent="0.25">
      <c r="A170" s="14"/>
      <c r="B170" s="15"/>
      <c r="C170" s="119" t="s">
        <v>541</v>
      </c>
      <c r="D170" s="120" t="s">
        <v>579</v>
      </c>
      <c r="E170" s="125">
        <v>12.972865483318774</v>
      </c>
      <c r="F170" s="125">
        <v>14.646767056850418</v>
      </c>
      <c r="G170" s="125">
        <v>13.874936342398097</v>
      </c>
      <c r="H170" s="125">
        <v>12.983062656417026</v>
      </c>
      <c r="I170" s="125">
        <v>13.11712004744237</v>
      </c>
      <c r="J170" s="125">
        <v>12.720849238275246</v>
      </c>
      <c r="K170" s="125">
        <v>12.479864513054988</v>
      </c>
      <c r="L170" s="125">
        <v>12.323319010491506</v>
      </c>
      <c r="M170" s="125">
        <v>11.819933887554068</v>
      </c>
      <c r="N170" s="131">
        <v>12.173685965030835</v>
      </c>
      <c r="O170" s="83"/>
      <c r="P170" s="1"/>
      <c r="Q170" s="14"/>
      <c r="R170" s="14"/>
      <c r="S170" s="14"/>
      <c r="T170" s="14"/>
      <c r="U170" s="14"/>
    </row>
    <row r="171" spans="1:21" ht="18.75" customHeight="1" x14ac:dyDescent="0.25">
      <c r="A171" s="14"/>
      <c r="B171" s="15"/>
      <c r="C171" s="119" t="s">
        <v>544</v>
      </c>
      <c r="D171" s="120" t="s">
        <v>579</v>
      </c>
      <c r="E171" s="125">
        <v>1.43</v>
      </c>
      <c r="F171" s="128"/>
      <c r="G171" s="128"/>
      <c r="H171" s="128"/>
      <c r="I171" s="128"/>
      <c r="J171" s="128"/>
      <c r="K171" s="128"/>
      <c r="L171" s="128"/>
      <c r="M171" s="125">
        <v>11.904749999999998</v>
      </c>
      <c r="N171" s="131">
        <v>4.4687499999999991</v>
      </c>
      <c r="O171" s="83"/>
      <c r="P171" s="14"/>
      <c r="Q171" s="14"/>
      <c r="R171" s="14"/>
      <c r="S171" s="14"/>
      <c r="T171" s="14"/>
      <c r="U171" s="14"/>
    </row>
    <row r="172" spans="1:21" ht="18.75" customHeight="1" x14ac:dyDescent="0.25">
      <c r="A172" s="14"/>
      <c r="B172" s="15"/>
      <c r="C172" s="119" t="s">
        <v>780</v>
      </c>
      <c r="D172" s="120" t="s">
        <v>783</v>
      </c>
      <c r="E172" s="125">
        <v>13.493803907079823</v>
      </c>
      <c r="F172" s="125">
        <v>12.145999321950812</v>
      </c>
      <c r="G172" s="125">
        <v>11.813546678706778</v>
      </c>
      <c r="H172" s="125">
        <v>11.680670472050583</v>
      </c>
      <c r="I172" s="125">
        <v>11.675163737808822</v>
      </c>
      <c r="J172" s="125">
        <v>11.724369758495039</v>
      </c>
      <c r="K172" s="125">
        <v>11.889705346731299</v>
      </c>
      <c r="L172" s="125">
        <v>12.066625149563015</v>
      </c>
      <c r="M172" s="125">
        <v>12.320096943396734</v>
      </c>
      <c r="N172" s="131">
        <v>12.01607635338986</v>
      </c>
      <c r="O172" s="83"/>
      <c r="P172" s="1"/>
      <c r="Q172" s="14"/>
      <c r="R172" s="14"/>
      <c r="S172" s="14"/>
      <c r="T172" s="14"/>
      <c r="U172" s="14"/>
    </row>
    <row r="173" spans="1:21" ht="18.75" customHeight="1" x14ac:dyDescent="0.25">
      <c r="A173" s="14"/>
      <c r="B173" s="15"/>
      <c r="C173" s="122" t="s">
        <v>781</v>
      </c>
      <c r="D173" s="120" t="s">
        <v>782</v>
      </c>
      <c r="E173" s="125">
        <v>550</v>
      </c>
      <c r="F173" s="134">
        <v>70</v>
      </c>
      <c r="G173" s="134">
        <v>125</v>
      </c>
      <c r="H173" s="134">
        <v>230</v>
      </c>
      <c r="I173" s="134">
        <v>310</v>
      </c>
      <c r="J173" s="134">
        <v>360</v>
      </c>
      <c r="K173" s="134">
        <v>420</v>
      </c>
      <c r="L173" s="134">
        <v>480</v>
      </c>
      <c r="M173" s="134">
        <v>600</v>
      </c>
      <c r="N173" s="135">
        <v>500</v>
      </c>
      <c r="O173" s="83"/>
      <c r="P173" s="1"/>
      <c r="Q173" s="14"/>
      <c r="R173" s="14"/>
      <c r="S173" s="14"/>
      <c r="T173" s="14"/>
      <c r="U173" s="14"/>
    </row>
    <row r="174" spans="1:21" ht="18.75" customHeight="1" x14ac:dyDescent="0.25">
      <c r="A174" s="14"/>
      <c r="B174" s="15"/>
      <c r="C174" s="122"/>
      <c r="D174" s="210"/>
      <c r="E174" s="210"/>
      <c r="F174" s="210"/>
      <c r="G174" s="210"/>
      <c r="H174" s="210"/>
      <c r="I174" s="210"/>
      <c r="J174" s="210"/>
      <c r="K174" s="210"/>
      <c r="L174" s="210"/>
      <c r="M174" s="210"/>
      <c r="N174" s="115"/>
      <c r="O174" s="80"/>
      <c r="P174" s="3"/>
      <c r="Q174" s="14"/>
      <c r="R174" s="14"/>
      <c r="S174" s="14"/>
      <c r="T174" s="14"/>
      <c r="U174" s="14"/>
    </row>
    <row r="175" spans="1:21" ht="18.75" customHeight="1" x14ac:dyDescent="0.25">
      <c r="A175" s="14"/>
      <c r="B175" s="15"/>
      <c r="C175" s="2199" t="s">
        <v>2005</v>
      </c>
      <c r="D175" s="2200"/>
      <c r="E175" s="2200"/>
      <c r="F175" s="2200"/>
      <c r="G175" s="2200"/>
      <c r="H175" s="2200"/>
      <c r="I175" s="2200"/>
      <c r="J175" s="2200"/>
      <c r="K175" s="2200"/>
      <c r="L175" s="2200"/>
      <c r="M175" s="2200"/>
      <c r="N175" s="2201"/>
      <c r="O175" s="17"/>
      <c r="P175" s="4"/>
      <c r="Q175" s="14"/>
      <c r="R175" s="14"/>
      <c r="S175" s="14"/>
      <c r="T175" s="14"/>
      <c r="U175" s="14"/>
    </row>
    <row r="176" spans="1:21" ht="18.75" customHeight="1" x14ac:dyDescent="0.25">
      <c r="A176" s="14"/>
      <c r="B176" s="15"/>
      <c r="C176" s="2202" t="s">
        <v>1088</v>
      </c>
      <c r="D176" s="210">
        <v>69</v>
      </c>
      <c r="E176" s="104" t="s">
        <v>679</v>
      </c>
      <c r="F176" s="210">
        <v>80</v>
      </c>
      <c r="G176" s="210">
        <v>180</v>
      </c>
      <c r="H176" s="210">
        <v>290</v>
      </c>
      <c r="I176" s="210">
        <v>340</v>
      </c>
      <c r="J176" s="210">
        <v>400</v>
      </c>
      <c r="K176" s="210">
        <v>450</v>
      </c>
      <c r="L176" s="210">
        <v>525</v>
      </c>
      <c r="M176" s="210">
        <v>525</v>
      </c>
      <c r="N176" s="115">
        <v>400</v>
      </c>
      <c r="O176" s="80"/>
      <c r="P176" s="4"/>
      <c r="Q176" s="14"/>
      <c r="R176" s="14"/>
      <c r="S176" s="14"/>
      <c r="T176" s="14"/>
      <c r="U176" s="14"/>
    </row>
    <row r="177" spans="1:21" ht="35.25" customHeight="1" x14ac:dyDescent="0.25">
      <c r="A177" s="14"/>
      <c r="B177" s="15"/>
      <c r="C177" s="119" t="s">
        <v>568</v>
      </c>
      <c r="D177" s="120" t="s">
        <v>623</v>
      </c>
      <c r="E177" s="110" t="s">
        <v>608</v>
      </c>
      <c r="F177" s="110" t="s">
        <v>957</v>
      </c>
      <c r="G177" s="110" t="s">
        <v>572</v>
      </c>
      <c r="H177" s="110" t="s">
        <v>530</v>
      </c>
      <c r="I177" s="110" t="s">
        <v>573</v>
      </c>
      <c r="J177" s="110" t="s">
        <v>574</v>
      </c>
      <c r="K177" s="110" t="s">
        <v>575</v>
      </c>
      <c r="L177" s="110" t="s">
        <v>576</v>
      </c>
      <c r="M177" s="110" t="s">
        <v>577</v>
      </c>
      <c r="N177" s="2203" t="s">
        <v>609</v>
      </c>
      <c r="O177" s="80"/>
      <c r="P177" s="9"/>
      <c r="Q177" s="14"/>
      <c r="R177" s="14"/>
      <c r="S177" s="14"/>
      <c r="T177" s="14"/>
      <c r="U177" s="14"/>
    </row>
    <row r="178" spans="1:21" ht="18.75" customHeight="1" x14ac:dyDescent="0.25">
      <c r="A178" s="14"/>
      <c r="B178" s="15"/>
      <c r="C178" s="119" t="s">
        <v>582</v>
      </c>
      <c r="D178" s="120" t="s">
        <v>566</v>
      </c>
      <c r="E178" s="121">
        <v>100818.8476208295</v>
      </c>
      <c r="F178" s="129">
        <v>10094.32320106612</v>
      </c>
      <c r="G178" s="129">
        <v>18386.300676069495</v>
      </c>
      <c r="H178" s="129">
        <v>18583.506258009667</v>
      </c>
      <c r="I178" s="129">
        <v>7794.029721685597</v>
      </c>
      <c r="J178" s="129">
        <v>9515.2545990667768</v>
      </c>
      <c r="K178" s="129">
        <v>6536.9188098507411</v>
      </c>
      <c r="L178" s="129">
        <v>10117.930470645251</v>
      </c>
      <c r="M178" s="129">
        <v>19790.583884435844</v>
      </c>
      <c r="N178" s="130">
        <v>36414.888666207888</v>
      </c>
      <c r="O178" s="81"/>
      <c r="P178" s="5"/>
      <c r="Q178" s="14"/>
      <c r="R178" s="14"/>
      <c r="S178" s="14"/>
      <c r="T178" s="14"/>
      <c r="U178" s="14"/>
    </row>
    <row r="179" spans="1:21" ht="18.75" customHeight="1" x14ac:dyDescent="0.25">
      <c r="A179" s="14"/>
      <c r="B179" s="15"/>
      <c r="C179" s="119" t="s">
        <v>582</v>
      </c>
      <c r="D179" s="120" t="s">
        <v>628</v>
      </c>
      <c r="E179" s="145">
        <v>16030.196771711891</v>
      </c>
      <c r="F179" s="129">
        <v>1604.9973889695129</v>
      </c>
      <c r="G179" s="129">
        <v>2923.4218074950495</v>
      </c>
      <c r="H179" s="129">
        <v>2954.7774950235371</v>
      </c>
      <c r="I179" s="129">
        <v>1239.2507257480099</v>
      </c>
      <c r="J179" s="129">
        <v>1512.9254812516176</v>
      </c>
      <c r="K179" s="129">
        <v>1039.3700907662678</v>
      </c>
      <c r="L179" s="129">
        <v>1608.750944832595</v>
      </c>
      <c r="M179" s="129">
        <v>3146.7028376252993</v>
      </c>
      <c r="N179" s="130">
        <v>5789.9672979270545</v>
      </c>
      <c r="O179" s="82"/>
      <c r="P179" s="10"/>
      <c r="Q179" s="14"/>
      <c r="R179" s="29"/>
      <c r="S179" s="14"/>
      <c r="T179" s="14"/>
      <c r="U179" s="37"/>
    </row>
    <row r="180" spans="1:21" ht="18.75" customHeight="1" x14ac:dyDescent="0.25">
      <c r="A180" s="14"/>
      <c r="B180" s="15"/>
      <c r="C180" s="119" t="s">
        <v>620</v>
      </c>
      <c r="D180" s="120" t="s">
        <v>622</v>
      </c>
      <c r="E180" s="129">
        <v>13626300</v>
      </c>
      <c r="F180" s="129">
        <v>1090104</v>
      </c>
      <c r="G180" s="129">
        <v>2180208</v>
      </c>
      <c r="H180" s="129">
        <v>2452734</v>
      </c>
      <c r="I180" s="129">
        <v>1090104</v>
      </c>
      <c r="J180" s="129">
        <v>1362630</v>
      </c>
      <c r="K180" s="129">
        <v>953841.00000000012</v>
      </c>
      <c r="L180" s="129">
        <v>1498893</v>
      </c>
      <c r="M180" s="129">
        <v>2997786</v>
      </c>
      <c r="N180" s="130">
        <v>5450520</v>
      </c>
      <c r="O180" s="82"/>
      <c r="P180" s="5"/>
      <c r="Q180" s="14"/>
      <c r="R180" s="29"/>
      <c r="S180" s="14"/>
      <c r="T180" s="14"/>
      <c r="U180" s="14"/>
    </row>
    <row r="181" spans="1:21" ht="18.75" customHeight="1" x14ac:dyDescent="0.25">
      <c r="A181" s="14"/>
      <c r="B181" s="15"/>
      <c r="C181" s="122" t="s">
        <v>776</v>
      </c>
      <c r="D181" s="120" t="s">
        <v>579</v>
      </c>
      <c r="E181" s="125">
        <v>0.67270040469200465</v>
      </c>
      <c r="F181" s="125">
        <v>0</v>
      </c>
      <c r="G181" s="125">
        <v>0</v>
      </c>
      <c r="H181" s="125">
        <v>0.31600925638758037</v>
      </c>
      <c r="I181" s="125">
        <v>0.58644904825460897</v>
      </c>
      <c r="J181" s="125">
        <v>0.74798919526936813</v>
      </c>
      <c r="K181" s="125">
        <v>0.91858576427716965</v>
      </c>
      <c r="L181" s="125">
        <v>1.0994949793070203</v>
      </c>
      <c r="M181" s="125">
        <v>1.4039020178716388</v>
      </c>
      <c r="N181" s="131">
        <v>1.2352597378873367</v>
      </c>
      <c r="O181" s="82"/>
      <c r="P181" s="5"/>
      <c r="Q181" s="14"/>
      <c r="R181" s="29"/>
      <c r="S181" s="14"/>
      <c r="T181" s="14"/>
      <c r="U181" s="14"/>
    </row>
    <row r="182" spans="1:21" ht="18.75" customHeight="1" x14ac:dyDescent="0.25">
      <c r="A182" s="14"/>
      <c r="B182" s="15"/>
      <c r="C182" s="122" t="s">
        <v>777</v>
      </c>
      <c r="D182" s="210" t="s">
        <v>778</v>
      </c>
      <c r="E182" s="125">
        <v>922.31282201379008</v>
      </c>
      <c r="F182" s="132">
        <v>0</v>
      </c>
      <c r="G182" s="132">
        <v>0</v>
      </c>
      <c r="H182" s="132">
        <v>40.65935821075027</v>
      </c>
      <c r="I182" s="132">
        <v>421.98195375533669</v>
      </c>
      <c r="J182" s="132">
        <v>730.19052560424416</v>
      </c>
      <c r="K182" s="132">
        <v>1112.9171503453135</v>
      </c>
      <c r="L182" s="132">
        <v>1590.3100906921477</v>
      </c>
      <c r="M182" s="125">
        <v>2524.4464462486158</v>
      </c>
      <c r="N182" s="133">
        <v>2020.541321687509</v>
      </c>
      <c r="O182" s="83"/>
      <c r="P182" s="5"/>
      <c r="Q182" s="14"/>
      <c r="R182" s="29"/>
      <c r="S182" s="14"/>
      <c r="T182" s="14"/>
      <c r="U182" s="55"/>
    </row>
    <row r="183" spans="1:21" ht="18.75" customHeight="1" x14ac:dyDescent="0.25">
      <c r="A183" s="14"/>
      <c r="B183" s="15"/>
      <c r="C183" s="119" t="s">
        <v>779</v>
      </c>
      <c r="D183" s="120" t="s">
        <v>970</v>
      </c>
      <c r="E183" s="132">
        <v>33.463077596266061</v>
      </c>
      <c r="F183" s="125">
        <v>76.630077511508034</v>
      </c>
      <c r="G183" s="125">
        <v>58.049220320985569</v>
      </c>
      <c r="H183" s="125">
        <v>38.795346354524327</v>
      </c>
      <c r="I183" s="125">
        <v>29.201413833281464</v>
      </c>
      <c r="J183" s="125">
        <v>25.452428631279773</v>
      </c>
      <c r="K183" s="125">
        <v>22.536158058419673</v>
      </c>
      <c r="L183" s="125">
        <v>20.221327012000714</v>
      </c>
      <c r="M183" s="125">
        <v>16.882797154042564</v>
      </c>
      <c r="N183" s="131">
        <v>18.664274507682066</v>
      </c>
      <c r="O183" s="84"/>
      <c r="P183" s="5"/>
      <c r="Q183" s="14"/>
      <c r="R183" s="29"/>
      <c r="S183" s="14"/>
      <c r="T183" s="55"/>
      <c r="U183" s="37"/>
    </row>
    <row r="184" spans="1:21" ht="18.75" customHeight="1" x14ac:dyDescent="0.25">
      <c r="A184" s="14"/>
      <c r="B184" s="15"/>
      <c r="C184" s="119" t="s">
        <v>580</v>
      </c>
      <c r="D184" s="120" t="s">
        <v>581</v>
      </c>
      <c r="E184" s="125">
        <v>857</v>
      </c>
      <c r="F184" s="125">
        <v>679.1936282836574</v>
      </c>
      <c r="G184" s="125">
        <v>745.77264027052036</v>
      </c>
      <c r="H184" s="125">
        <v>830.09093041046799</v>
      </c>
      <c r="I184" s="125">
        <v>879.64765914663064</v>
      </c>
      <c r="J184" s="125">
        <v>900.6590323752888</v>
      </c>
      <c r="K184" s="125">
        <v>917.71064847246851</v>
      </c>
      <c r="L184" s="125">
        <v>931.71227331025636</v>
      </c>
      <c r="M184" s="125">
        <v>952.67527780358148</v>
      </c>
      <c r="N184" s="131">
        <v>941.37319254832676</v>
      </c>
      <c r="O184" s="83"/>
      <c r="P184" s="5"/>
      <c r="Q184" s="14"/>
      <c r="R184" s="29"/>
      <c r="S184" s="14"/>
      <c r="T184" s="14"/>
      <c r="U184" s="14"/>
    </row>
    <row r="185" spans="1:21" ht="18.75" customHeight="1" x14ac:dyDescent="0.25">
      <c r="A185" s="14"/>
      <c r="B185" s="15"/>
      <c r="C185" s="119" t="s">
        <v>541</v>
      </c>
      <c r="D185" s="120" t="s">
        <v>579</v>
      </c>
      <c r="E185" s="125">
        <v>12.856779245517032</v>
      </c>
      <c r="F185" s="125">
        <v>15.474688392362779</v>
      </c>
      <c r="G185" s="125">
        <v>14.296676402511419</v>
      </c>
      <c r="H185" s="125">
        <v>12.998503751674223</v>
      </c>
      <c r="I185" s="125">
        <v>12.876882132301269</v>
      </c>
      <c r="J185" s="125">
        <v>12.441789774076135</v>
      </c>
      <c r="K185" s="125">
        <v>12.122443525970784</v>
      </c>
      <c r="L185" s="125">
        <v>11.906638487515973</v>
      </c>
      <c r="M185" s="125">
        <v>11.631702027219976</v>
      </c>
      <c r="N185" s="131">
        <v>11.793189316082767</v>
      </c>
      <c r="O185" s="83"/>
      <c r="P185" s="1"/>
      <c r="Q185" s="14"/>
      <c r="R185" s="29"/>
      <c r="S185" s="14"/>
      <c r="T185" s="14"/>
      <c r="U185" s="14"/>
    </row>
    <row r="186" spans="1:21" ht="18.75" customHeight="1" x14ac:dyDescent="0.25">
      <c r="A186" s="14"/>
      <c r="B186" s="15"/>
      <c r="C186" s="119" t="s">
        <v>544</v>
      </c>
      <c r="D186" s="120" t="s">
        <v>579</v>
      </c>
      <c r="E186" s="125">
        <v>4.0599999999999996</v>
      </c>
      <c r="F186" s="128"/>
      <c r="G186" s="128"/>
      <c r="H186" s="128"/>
      <c r="I186" s="128"/>
      <c r="J186" s="128"/>
      <c r="K186" s="128"/>
      <c r="L186" s="128"/>
      <c r="M186" s="125">
        <v>18.436090909090908</v>
      </c>
      <c r="N186" s="131">
        <v>10.149999999999999</v>
      </c>
      <c r="O186" s="83"/>
      <c r="P186" s="14"/>
      <c r="Q186" s="14"/>
      <c r="R186" s="29"/>
      <c r="S186" s="14"/>
      <c r="T186" s="14"/>
      <c r="U186" s="14"/>
    </row>
    <row r="187" spans="1:21" ht="18.75" customHeight="1" x14ac:dyDescent="0.25">
      <c r="A187" s="14"/>
      <c r="B187" s="15"/>
      <c r="C187" s="119" t="s">
        <v>780</v>
      </c>
      <c r="D187" s="120" t="s">
        <v>783</v>
      </c>
      <c r="E187" s="125">
        <v>12.047863998267845</v>
      </c>
      <c r="F187" s="125">
        <v>12.403640783759768</v>
      </c>
      <c r="G187" s="125">
        <v>12.037749055741889</v>
      </c>
      <c r="H187" s="125">
        <v>11.682464913054076</v>
      </c>
      <c r="I187" s="125">
        <v>11.607595650212382</v>
      </c>
      <c r="J187" s="125">
        <v>11.646797557764444</v>
      </c>
      <c r="K187" s="125">
        <v>11.747352136635524</v>
      </c>
      <c r="L187" s="125">
        <v>11.919306764128615</v>
      </c>
      <c r="M187" s="125">
        <v>12.28455464095622</v>
      </c>
      <c r="N187" s="131">
        <v>12.098383445624147</v>
      </c>
      <c r="O187" s="83"/>
      <c r="P187" s="1"/>
      <c r="Q187" s="37"/>
      <c r="R187" s="29"/>
      <c r="S187" s="14"/>
      <c r="T187" s="14"/>
      <c r="U187" s="14"/>
    </row>
    <row r="188" spans="1:21" ht="18.75" customHeight="1" x14ac:dyDescent="0.25">
      <c r="A188" s="14"/>
      <c r="B188" s="15"/>
      <c r="C188" s="122" t="s">
        <v>781</v>
      </c>
      <c r="D188" s="120" t="s">
        <v>782</v>
      </c>
      <c r="E188" s="125">
        <v>340</v>
      </c>
      <c r="F188" s="134">
        <v>60</v>
      </c>
      <c r="G188" s="134">
        <v>130</v>
      </c>
      <c r="H188" s="134">
        <v>235</v>
      </c>
      <c r="I188" s="134">
        <v>320</v>
      </c>
      <c r="J188" s="134">
        <v>370</v>
      </c>
      <c r="K188" s="134">
        <v>425</v>
      </c>
      <c r="L188" s="134">
        <v>490</v>
      </c>
      <c r="M188" s="134">
        <v>620</v>
      </c>
      <c r="N188" s="135">
        <v>550</v>
      </c>
      <c r="O188" s="83"/>
      <c r="P188" s="1"/>
      <c r="Q188" s="14"/>
      <c r="R188" s="14"/>
      <c r="S188" s="14"/>
      <c r="T188" s="14"/>
      <c r="U188" s="14"/>
    </row>
    <row r="189" spans="1:21" ht="18.75" customHeight="1" x14ac:dyDescent="0.25">
      <c r="A189" s="14"/>
      <c r="B189" s="15"/>
      <c r="C189" s="122"/>
      <c r="D189" s="210"/>
      <c r="E189" s="210"/>
      <c r="F189" s="210"/>
      <c r="G189" s="210"/>
      <c r="H189" s="210"/>
      <c r="I189" s="210"/>
      <c r="J189" s="210"/>
      <c r="K189" s="210"/>
      <c r="L189" s="210"/>
      <c r="M189" s="210"/>
      <c r="N189" s="115"/>
      <c r="O189" s="83"/>
      <c r="P189" s="1"/>
      <c r="Q189" s="14"/>
      <c r="R189" s="14"/>
      <c r="S189" s="14"/>
      <c r="T189" s="14"/>
      <c r="U189" s="14"/>
    </row>
    <row r="190" spans="1:21" ht="18.75" customHeight="1" x14ac:dyDescent="0.25">
      <c r="A190" s="14"/>
      <c r="B190" s="15"/>
      <c r="C190" s="2199" t="s">
        <v>2006</v>
      </c>
      <c r="D190" s="2200"/>
      <c r="E190" s="2200"/>
      <c r="F190" s="2200"/>
      <c r="G190" s="2200"/>
      <c r="H190" s="2200"/>
      <c r="I190" s="2200"/>
      <c r="J190" s="2200"/>
      <c r="K190" s="2200"/>
      <c r="L190" s="2200"/>
      <c r="M190" s="2200"/>
      <c r="N190" s="2201"/>
      <c r="O190" s="80"/>
      <c r="P190" s="3"/>
      <c r="Q190" s="14"/>
      <c r="R190" s="14"/>
      <c r="S190" s="14"/>
      <c r="T190" s="14"/>
      <c r="U190" s="14"/>
    </row>
    <row r="191" spans="1:21" ht="18.75" customHeight="1" x14ac:dyDescent="0.25">
      <c r="A191" s="14"/>
      <c r="B191" s="15"/>
      <c r="C191" s="2202" t="s">
        <v>407</v>
      </c>
      <c r="D191" s="210">
        <v>103</v>
      </c>
      <c r="E191" s="104" t="s">
        <v>679</v>
      </c>
      <c r="F191" s="210">
        <v>80</v>
      </c>
      <c r="G191" s="210">
        <v>180</v>
      </c>
      <c r="H191" s="210">
        <v>290</v>
      </c>
      <c r="I191" s="210">
        <v>340</v>
      </c>
      <c r="J191" s="210">
        <v>400</v>
      </c>
      <c r="K191" s="210">
        <v>450</v>
      </c>
      <c r="L191" s="210">
        <v>525</v>
      </c>
      <c r="M191" s="210">
        <v>525</v>
      </c>
      <c r="N191" s="115">
        <v>400</v>
      </c>
      <c r="O191" s="17"/>
      <c r="P191" s="4"/>
      <c r="Q191" s="14"/>
      <c r="R191" s="14"/>
      <c r="S191" s="14"/>
      <c r="T191" s="14"/>
      <c r="U191" s="14"/>
    </row>
    <row r="192" spans="1:21" ht="18.75" customHeight="1" x14ac:dyDescent="0.25">
      <c r="A192" s="14"/>
      <c r="B192" s="15"/>
      <c r="C192" s="119" t="s">
        <v>568</v>
      </c>
      <c r="D192" s="120" t="s">
        <v>623</v>
      </c>
      <c r="E192" s="110" t="s">
        <v>608</v>
      </c>
      <c r="F192" s="110" t="s">
        <v>957</v>
      </c>
      <c r="G192" s="110" t="s">
        <v>572</v>
      </c>
      <c r="H192" s="110" t="s">
        <v>530</v>
      </c>
      <c r="I192" s="110" t="s">
        <v>573</v>
      </c>
      <c r="J192" s="110" t="s">
        <v>574</v>
      </c>
      <c r="K192" s="110" t="s">
        <v>575</v>
      </c>
      <c r="L192" s="110" t="s">
        <v>576</v>
      </c>
      <c r="M192" s="110" t="s">
        <v>577</v>
      </c>
      <c r="N192" s="2203" t="s">
        <v>609</v>
      </c>
      <c r="O192" s="80"/>
      <c r="P192" s="4"/>
      <c r="Q192" s="14"/>
      <c r="R192" s="14"/>
      <c r="S192" s="14"/>
      <c r="T192" s="14"/>
      <c r="U192" s="14"/>
    </row>
    <row r="193" spans="1:21" ht="37.5" customHeight="1" x14ac:dyDescent="0.25">
      <c r="A193" s="14"/>
      <c r="B193" s="15"/>
      <c r="C193" s="119" t="s">
        <v>582</v>
      </c>
      <c r="D193" s="120" t="s">
        <v>566</v>
      </c>
      <c r="E193" s="121">
        <v>99850.950659553506</v>
      </c>
      <c r="F193" s="129">
        <v>9920.7902468868033</v>
      </c>
      <c r="G193" s="129">
        <v>24444.478866749669</v>
      </c>
      <c r="H193" s="129">
        <v>22046.022406932465</v>
      </c>
      <c r="I193" s="129">
        <v>8611.789913061235</v>
      </c>
      <c r="J193" s="129">
        <v>9379.9233438808587</v>
      </c>
      <c r="K193" s="129">
        <v>6432.6601462786284</v>
      </c>
      <c r="L193" s="129">
        <v>9000.1813647391264</v>
      </c>
      <c r="M193" s="129">
        <v>10015.104371024716</v>
      </c>
      <c r="N193" s="130">
        <v>25733.027898805762</v>
      </c>
      <c r="O193" s="80"/>
      <c r="P193" s="9"/>
      <c r="Q193" s="14"/>
      <c r="R193" s="14"/>
      <c r="S193" s="14"/>
      <c r="T193" s="14"/>
      <c r="U193" s="14"/>
    </row>
    <row r="194" spans="1:21" ht="18.75" customHeight="1" x14ac:dyDescent="0.25">
      <c r="A194" s="14"/>
      <c r="B194" s="15"/>
      <c r="C194" s="119" t="s">
        <v>582</v>
      </c>
      <c r="D194" s="120" t="s">
        <v>628</v>
      </c>
      <c r="E194" s="145">
        <v>15876.301154869008</v>
      </c>
      <c r="F194" s="129">
        <v>1577.4056492550017</v>
      </c>
      <c r="G194" s="129">
        <v>3886.6721398131976</v>
      </c>
      <c r="H194" s="129">
        <v>3505.317562702262</v>
      </c>
      <c r="I194" s="129">
        <v>1369.2745961767364</v>
      </c>
      <c r="J194" s="129">
        <v>1491.4078116770565</v>
      </c>
      <c r="K194" s="129">
        <v>1022.7929632583019</v>
      </c>
      <c r="L194" s="129">
        <v>1431.0288369935211</v>
      </c>
      <c r="M194" s="129">
        <v>1592.4015949929299</v>
      </c>
      <c r="N194" s="130">
        <v>4091.5514359101162</v>
      </c>
      <c r="O194" s="81"/>
      <c r="P194" s="5"/>
      <c r="Q194" s="14"/>
      <c r="R194" s="14"/>
      <c r="S194" s="14"/>
      <c r="T194" s="14"/>
      <c r="U194" s="14"/>
    </row>
    <row r="195" spans="1:21" ht="18.75" customHeight="1" x14ac:dyDescent="0.25">
      <c r="A195" s="14"/>
      <c r="B195" s="15"/>
      <c r="C195" s="119" t="s">
        <v>620</v>
      </c>
      <c r="D195" s="120" t="s">
        <v>622</v>
      </c>
      <c r="E195" s="129">
        <v>13174740</v>
      </c>
      <c r="F195" s="129">
        <v>1053979.2</v>
      </c>
      <c r="G195" s="129">
        <v>2898442.8</v>
      </c>
      <c r="H195" s="129">
        <v>2898442.8</v>
      </c>
      <c r="I195" s="129">
        <v>1185726.5999999999</v>
      </c>
      <c r="J195" s="129">
        <v>1317474</v>
      </c>
      <c r="K195" s="129">
        <v>922231.8</v>
      </c>
      <c r="L195" s="129">
        <v>1317474</v>
      </c>
      <c r="M195" s="129">
        <v>1580968.8</v>
      </c>
      <c r="N195" s="130">
        <v>3820674.6000000006</v>
      </c>
      <c r="O195" s="82"/>
      <c r="P195" s="10"/>
      <c r="Q195" s="14"/>
      <c r="R195" s="14"/>
      <c r="S195" s="14"/>
      <c r="T195" s="14"/>
      <c r="U195" s="14"/>
    </row>
    <row r="196" spans="1:21" ht="18.75" customHeight="1" x14ac:dyDescent="0.25">
      <c r="A196" s="14"/>
      <c r="B196" s="15"/>
      <c r="C196" s="122" t="s">
        <v>776</v>
      </c>
      <c r="D196" s="120" t="s">
        <v>579</v>
      </c>
      <c r="E196" s="125">
        <v>1.1927906143991334</v>
      </c>
      <c r="F196" s="125">
        <v>5.2571065355435598E-2</v>
      </c>
      <c r="G196" s="125">
        <v>0</v>
      </c>
      <c r="H196" s="125">
        <v>0.50434330936607275</v>
      </c>
      <c r="I196" s="125">
        <v>1.1589321200685188</v>
      </c>
      <c r="J196" s="125">
        <v>1.6168977117522743</v>
      </c>
      <c r="K196" s="125">
        <v>2.158200196522372</v>
      </c>
      <c r="L196" s="125">
        <v>2.5983326032443155</v>
      </c>
      <c r="M196" s="125">
        <v>3.3394038753980877</v>
      </c>
      <c r="N196" s="131">
        <v>2.7987439280302344</v>
      </c>
      <c r="O196" s="82"/>
      <c r="P196" s="5"/>
      <c r="Q196" s="14"/>
      <c r="R196" s="14"/>
      <c r="S196" s="14"/>
      <c r="T196" s="14"/>
      <c r="U196" s="14"/>
    </row>
    <row r="197" spans="1:21" ht="18.75" customHeight="1" x14ac:dyDescent="0.25">
      <c r="A197" s="14"/>
      <c r="B197" s="15"/>
      <c r="C197" s="122" t="s">
        <v>777</v>
      </c>
      <c r="D197" s="210" t="s">
        <v>778</v>
      </c>
      <c r="E197" s="125">
        <v>385.99655111569626</v>
      </c>
      <c r="F197" s="132">
        <v>0</v>
      </c>
      <c r="G197" s="132">
        <v>0</v>
      </c>
      <c r="H197" s="132">
        <v>8.7457980788601049</v>
      </c>
      <c r="I197" s="132">
        <v>124.61211685650142</v>
      </c>
      <c r="J197" s="132">
        <v>273.27074258478433</v>
      </c>
      <c r="K197" s="132">
        <v>554.14608327877966</v>
      </c>
      <c r="L197" s="132">
        <v>930.69398591977824</v>
      </c>
      <c r="M197" s="125">
        <v>1780.5890528440925</v>
      </c>
      <c r="N197" s="133">
        <v>1191.4838302164947</v>
      </c>
      <c r="O197" s="82"/>
      <c r="P197" s="5"/>
      <c r="Q197" s="14"/>
      <c r="R197" s="14"/>
      <c r="S197" s="14"/>
      <c r="T197" s="14"/>
      <c r="U197" s="14"/>
    </row>
    <row r="198" spans="1:21" ht="18.75" customHeight="1" x14ac:dyDescent="0.25">
      <c r="A198" s="14"/>
      <c r="B198" s="15"/>
      <c r="C198" s="119" t="s">
        <v>779</v>
      </c>
      <c r="D198" s="120" t="s">
        <v>970</v>
      </c>
      <c r="E198" s="132">
        <v>39.269973449191411</v>
      </c>
      <c r="F198" s="125">
        <v>80.063040820638292</v>
      </c>
      <c r="G198" s="125">
        <v>58.05778362691882</v>
      </c>
      <c r="H198" s="125">
        <v>39.458651564134598</v>
      </c>
      <c r="I198" s="125">
        <v>31.74295102174446</v>
      </c>
      <c r="J198" s="125">
        <v>28.523147826850078</v>
      </c>
      <c r="K198" s="125">
        <v>25.274739251903014</v>
      </c>
      <c r="L198" s="125">
        <v>22.044682637270398</v>
      </c>
      <c r="M198" s="125">
        <v>10.882873550821131</v>
      </c>
      <c r="N198" s="131">
        <v>19.882757895954512</v>
      </c>
      <c r="O198" s="83"/>
      <c r="P198" s="5"/>
      <c r="Q198" s="14"/>
      <c r="R198" s="14"/>
      <c r="S198" s="14"/>
      <c r="T198" s="14"/>
      <c r="U198" s="14"/>
    </row>
    <row r="199" spans="1:21" ht="18.75" customHeight="1" x14ac:dyDescent="0.25">
      <c r="A199" s="14"/>
      <c r="B199" s="15"/>
      <c r="C199" s="119" t="s">
        <v>580</v>
      </c>
      <c r="D199" s="120" t="s">
        <v>581</v>
      </c>
      <c r="E199" s="125">
        <v>828.6</v>
      </c>
      <c r="F199" s="125">
        <v>668.1725784979833</v>
      </c>
      <c r="G199" s="125">
        <v>745.73894986143739</v>
      </c>
      <c r="H199" s="125">
        <v>826.87024731807173</v>
      </c>
      <c r="I199" s="125">
        <v>865.95238333550049</v>
      </c>
      <c r="J199" s="125">
        <v>883.37608914528107</v>
      </c>
      <c r="K199" s="125">
        <v>901.67984443504076</v>
      </c>
      <c r="L199" s="125">
        <v>920.64811409943991</v>
      </c>
      <c r="M199" s="125">
        <v>992.82040722084275</v>
      </c>
      <c r="N199" s="131">
        <v>933.79605752167151</v>
      </c>
      <c r="O199" s="84"/>
      <c r="P199" s="5"/>
      <c r="Q199" s="14"/>
      <c r="R199" s="14"/>
      <c r="S199" s="14"/>
      <c r="T199" s="14"/>
      <c r="U199" s="14"/>
    </row>
    <row r="200" spans="1:21" ht="18.75" customHeight="1" x14ac:dyDescent="0.25">
      <c r="A200" s="14"/>
      <c r="B200" s="15"/>
      <c r="C200" s="119" t="s">
        <v>541</v>
      </c>
      <c r="D200" s="120" t="s">
        <v>579</v>
      </c>
      <c r="E200" s="125">
        <v>13.255282289988161</v>
      </c>
      <c r="F200" s="125">
        <v>15.919789535661803</v>
      </c>
      <c r="G200" s="125">
        <v>14.365580573821788</v>
      </c>
      <c r="H200" s="125">
        <v>13.1198266829179</v>
      </c>
      <c r="I200" s="125">
        <v>13.236737579959375</v>
      </c>
      <c r="J200" s="125">
        <v>12.895914346567743</v>
      </c>
      <c r="K200" s="125">
        <v>12.555367037111733</v>
      </c>
      <c r="L200" s="125">
        <v>12.185659026530839</v>
      </c>
      <c r="M200" s="125">
        <v>11.304750987903869</v>
      </c>
      <c r="N200" s="131">
        <v>11.910385219997824</v>
      </c>
      <c r="O200" s="83"/>
      <c r="P200" s="5"/>
      <c r="Q200" s="14"/>
      <c r="R200" s="14"/>
      <c r="S200" s="14"/>
      <c r="T200" s="14"/>
      <c r="U200" s="14"/>
    </row>
    <row r="201" spans="1:21" ht="18.75" customHeight="1" x14ac:dyDescent="0.25">
      <c r="A201" s="14"/>
      <c r="B201" s="15"/>
      <c r="C201" s="119" t="s">
        <v>544</v>
      </c>
      <c r="D201" s="120" t="s">
        <v>579</v>
      </c>
      <c r="E201" s="125">
        <v>1.6</v>
      </c>
      <c r="F201" s="128"/>
      <c r="G201" s="128"/>
      <c r="H201" s="128"/>
      <c r="I201" s="128"/>
      <c r="J201" s="128"/>
      <c r="K201" s="128"/>
      <c r="L201" s="128"/>
      <c r="M201" s="125">
        <v>13.319999999999999</v>
      </c>
      <c r="N201" s="131">
        <v>5.5172413793103443</v>
      </c>
      <c r="O201" s="83"/>
      <c r="P201" s="1"/>
      <c r="Q201" s="14"/>
      <c r="R201" s="14"/>
      <c r="S201" s="14"/>
      <c r="T201" s="14"/>
      <c r="U201" s="14"/>
    </row>
    <row r="202" spans="1:21" ht="18.75" customHeight="1" x14ac:dyDescent="0.25">
      <c r="A202" s="14"/>
      <c r="B202" s="15"/>
      <c r="C202" s="119" t="s">
        <v>780</v>
      </c>
      <c r="D202" s="120" t="s">
        <v>783</v>
      </c>
      <c r="E202" s="125">
        <v>12.22998945936034</v>
      </c>
      <c r="F202" s="125">
        <v>12.670993252615514</v>
      </c>
      <c r="G202" s="125">
        <v>12.038292887722507</v>
      </c>
      <c r="H202" s="125">
        <v>11.727968445615593</v>
      </c>
      <c r="I202" s="125">
        <v>11.791172977318302</v>
      </c>
      <c r="J202" s="125">
        <v>11.874663065418151</v>
      </c>
      <c r="K202" s="125">
        <v>11.927595198118675</v>
      </c>
      <c r="L202" s="125">
        <v>12.009631165866436</v>
      </c>
      <c r="M202" s="125">
        <v>11.67679722820885</v>
      </c>
      <c r="N202" s="131">
        <v>12.096963289533079</v>
      </c>
      <c r="O202" s="83"/>
      <c r="P202" s="14"/>
      <c r="Q202" s="14"/>
      <c r="R202" s="14"/>
      <c r="S202" s="14"/>
      <c r="T202" s="14"/>
      <c r="U202" s="14"/>
    </row>
    <row r="203" spans="1:21" ht="18.75" customHeight="1" x14ac:dyDescent="0.25">
      <c r="A203" s="14"/>
      <c r="B203" s="15"/>
      <c r="C203" s="122" t="s">
        <v>781</v>
      </c>
      <c r="D203" s="120" t="s">
        <v>782</v>
      </c>
      <c r="E203" s="125">
        <v>305</v>
      </c>
      <c r="F203" s="134">
        <v>65</v>
      </c>
      <c r="G203" s="134">
        <v>130</v>
      </c>
      <c r="H203" s="134">
        <v>235</v>
      </c>
      <c r="I203" s="134">
        <v>320</v>
      </c>
      <c r="J203" s="134">
        <v>370</v>
      </c>
      <c r="K203" s="134">
        <v>420</v>
      </c>
      <c r="L203" s="134">
        <v>480</v>
      </c>
      <c r="M203" s="134">
        <v>595</v>
      </c>
      <c r="N203" s="135">
        <v>530</v>
      </c>
      <c r="O203" s="83"/>
      <c r="P203" s="1"/>
      <c r="Q203" s="37"/>
      <c r="R203" s="14"/>
      <c r="S203" s="14"/>
      <c r="T203" s="14"/>
      <c r="U203" s="14"/>
    </row>
    <row r="204" spans="1:21" ht="18.75" customHeight="1" x14ac:dyDescent="0.25">
      <c r="A204" s="14"/>
      <c r="B204" s="15"/>
      <c r="C204" s="122"/>
      <c r="D204" s="210"/>
      <c r="E204" s="210"/>
      <c r="F204" s="210"/>
      <c r="G204" s="210"/>
      <c r="H204" s="210"/>
      <c r="I204" s="210"/>
      <c r="J204" s="210"/>
      <c r="K204" s="210"/>
      <c r="L204" s="210"/>
      <c r="M204" s="210"/>
      <c r="N204" s="115"/>
      <c r="O204" s="83"/>
      <c r="P204" s="1"/>
      <c r="Q204" s="14"/>
      <c r="R204" s="14"/>
      <c r="S204" s="14"/>
      <c r="T204" s="14"/>
      <c r="U204" s="14"/>
    </row>
    <row r="205" spans="1:21" ht="18.75" customHeight="1" x14ac:dyDescent="0.25">
      <c r="A205" s="14"/>
      <c r="B205" s="15"/>
      <c r="C205" s="2199" t="s">
        <v>2007</v>
      </c>
      <c r="D205" s="2200"/>
      <c r="E205" s="2200"/>
      <c r="F205" s="2200"/>
      <c r="G205" s="2200"/>
      <c r="H205" s="2200"/>
      <c r="I205" s="2200"/>
      <c r="J205" s="2200"/>
      <c r="K205" s="2200"/>
      <c r="L205" s="2200"/>
      <c r="M205" s="2200"/>
      <c r="N205" s="2201"/>
      <c r="O205" s="80"/>
      <c r="P205" s="3"/>
      <c r="Q205" s="14"/>
      <c r="R205" s="14"/>
      <c r="S205" s="14"/>
      <c r="T205" s="14"/>
      <c r="U205" s="14"/>
    </row>
    <row r="206" spans="1:21" ht="18.75" customHeight="1" x14ac:dyDescent="0.25">
      <c r="A206" s="14"/>
      <c r="B206" s="15"/>
      <c r="C206" s="2202" t="s">
        <v>1088</v>
      </c>
      <c r="D206" s="210">
        <v>40</v>
      </c>
      <c r="E206" s="104" t="s">
        <v>679</v>
      </c>
      <c r="F206" s="210">
        <v>80</v>
      </c>
      <c r="G206" s="210">
        <v>180</v>
      </c>
      <c r="H206" s="210">
        <v>290</v>
      </c>
      <c r="I206" s="210">
        <v>340</v>
      </c>
      <c r="J206" s="210">
        <v>400</v>
      </c>
      <c r="K206" s="210">
        <v>450</v>
      </c>
      <c r="L206" s="210">
        <v>525</v>
      </c>
      <c r="M206" s="210">
        <v>525</v>
      </c>
      <c r="N206" s="115">
        <v>400</v>
      </c>
      <c r="O206" s="80"/>
      <c r="P206" s="3"/>
      <c r="Q206" s="14"/>
      <c r="R206" s="14"/>
      <c r="S206" s="14"/>
      <c r="T206" s="14"/>
      <c r="U206" s="14"/>
    </row>
    <row r="207" spans="1:21" ht="18.75" customHeight="1" x14ac:dyDescent="0.25">
      <c r="A207" s="14"/>
      <c r="B207" s="15"/>
      <c r="C207" s="119" t="s">
        <v>568</v>
      </c>
      <c r="D207" s="120" t="s">
        <v>623</v>
      </c>
      <c r="E207" s="110" t="s">
        <v>608</v>
      </c>
      <c r="F207" s="110" t="s">
        <v>957</v>
      </c>
      <c r="G207" s="110" t="s">
        <v>572</v>
      </c>
      <c r="H207" s="110" t="s">
        <v>530</v>
      </c>
      <c r="I207" s="110" t="s">
        <v>573</v>
      </c>
      <c r="J207" s="110" t="s">
        <v>574</v>
      </c>
      <c r="K207" s="110" t="s">
        <v>575</v>
      </c>
      <c r="L207" s="110" t="s">
        <v>576</v>
      </c>
      <c r="M207" s="110" t="s">
        <v>577</v>
      </c>
      <c r="N207" s="2203" t="s">
        <v>609</v>
      </c>
      <c r="O207" s="80"/>
      <c r="P207" s="3"/>
      <c r="Q207" s="14"/>
      <c r="R207" s="14"/>
      <c r="S207" s="14"/>
      <c r="T207" s="14"/>
      <c r="U207" s="14"/>
    </row>
    <row r="208" spans="1:21" ht="18.75" customHeight="1" x14ac:dyDescent="0.25">
      <c r="A208" s="14"/>
      <c r="B208" s="15"/>
      <c r="C208" s="119" t="s">
        <v>582</v>
      </c>
      <c r="D208" s="120" t="s">
        <v>566</v>
      </c>
      <c r="E208" s="121">
        <v>99802.524617321033</v>
      </c>
      <c r="F208" s="129">
        <v>9724.6446817371889</v>
      </c>
      <c r="G208" s="129">
        <v>22317.446100771136</v>
      </c>
      <c r="H208" s="129">
        <v>22213.546436467695</v>
      </c>
      <c r="I208" s="129">
        <v>9545.5727146407644</v>
      </c>
      <c r="J208" s="129">
        <v>9296.6338503378793</v>
      </c>
      <c r="K208" s="129">
        <v>6388.6169526260173</v>
      </c>
      <c r="L208" s="129">
        <v>8993.4883889333287</v>
      </c>
      <c r="M208" s="129">
        <v>11322.575491807009</v>
      </c>
      <c r="N208" s="130">
        <v>26589.204850723923</v>
      </c>
      <c r="O208" s="80"/>
      <c r="P208" s="3"/>
      <c r="Q208" s="14"/>
      <c r="R208" s="14"/>
      <c r="S208" s="14"/>
      <c r="T208" s="14"/>
      <c r="U208" s="14"/>
    </row>
    <row r="209" spans="1:21" ht="18.75" customHeight="1" x14ac:dyDescent="0.25">
      <c r="A209" s="14"/>
      <c r="B209" s="15"/>
      <c r="C209" s="119" t="s">
        <v>582</v>
      </c>
      <c r="D209" s="120" t="s">
        <v>628</v>
      </c>
      <c r="E209" s="145">
        <v>15868.601414154044</v>
      </c>
      <c r="F209" s="129">
        <v>1546.2185043962131</v>
      </c>
      <c r="G209" s="129">
        <v>3548.4739300226106</v>
      </c>
      <c r="H209" s="129">
        <v>3531.9538833983638</v>
      </c>
      <c r="I209" s="129">
        <v>1517.7460616278815</v>
      </c>
      <c r="J209" s="129">
        <v>1478.1647822037228</v>
      </c>
      <c r="K209" s="129">
        <v>1015.7900954675368</v>
      </c>
      <c r="L209" s="129">
        <v>1429.9646538403993</v>
      </c>
      <c r="M209" s="129">
        <v>1800.2895031973144</v>
      </c>
      <c r="N209" s="130">
        <v>4227.6835712651036</v>
      </c>
      <c r="O209" s="80"/>
      <c r="P209" s="3"/>
      <c r="Q209" s="14"/>
      <c r="R209" s="14"/>
      <c r="S209" s="14"/>
      <c r="T209" s="14"/>
      <c r="U209" s="14"/>
    </row>
    <row r="210" spans="1:21" ht="18.75" customHeight="1" x14ac:dyDescent="0.25">
      <c r="A210" s="14"/>
      <c r="B210" s="15"/>
      <c r="C210" s="119" t="s">
        <v>620</v>
      </c>
      <c r="D210" s="120" t="s">
        <v>622</v>
      </c>
      <c r="E210" s="129">
        <v>13101600</v>
      </c>
      <c r="F210" s="129">
        <v>1048128</v>
      </c>
      <c r="G210" s="129">
        <v>2620320</v>
      </c>
      <c r="H210" s="129">
        <v>2882352</v>
      </c>
      <c r="I210" s="129">
        <v>1310160</v>
      </c>
      <c r="J210" s="129">
        <v>1310160</v>
      </c>
      <c r="K210" s="129">
        <v>917112.00000000012</v>
      </c>
      <c r="L210" s="129">
        <v>1310160</v>
      </c>
      <c r="M210" s="129">
        <v>1703208</v>
      </c>
      <c r="N210" s="130">
        <v>3930480.0000000005</v>
      </c>
      <c r="O210" s="80"/>
      <c r="P210" s="3"/>
      <c r="Q210" s="14"/>
      <c r="R210" s="14"/>
      <c r="S210" s="14"/>
      <c r="T210" s="14"/>
      <c r="U210" s="14"/>
    </row>
    <row r="211" spans="1:21" ht="18.75" customHeight="1" x14ac:dyDescent="0.25">
      <c r="A211" s="14"/>
      <c r="B211" s="15"/>
      <c r="C211" s="122" t="s">
        <v>776</v>
      </c>
      <c r="D211" s="120" t="s">
        <v>579</v>
      </c>
      <c r="E211" s="125">
        <v>0.87808459345048662</v>
      </c>
      <c r="F211" s="125">
        <v>0</v>
      </c>
      <c r="G211" s="125">
        <v>0</v>
      </c>
      <c r="H211" s="125">
        <v>0.56135211309349975</v>
      </c>
      <c r="I211" s="125">
        <v>0.96237910490511025</v>
      </c>
      <c r="J211" s="125">
        <v>1.2179856958885298</v>
      </c>
      <c r="K211" s="125">
        <v>1.4418483560196187</v>
      </c>
      <c r="L211" s="125">
        <v>1.6393694567302519</v>
      </c>
      <c r="M211" s="125">
        <v>2.0898793684319545</v>
      </c>
      <c r="N211" s="131">
        <v>1.7885021616351751</v>
      </c>
      <c r="O211" s="80"/>
      <c r="P211" s="3"/>
      <c r="Q211" s="14"/>
      <c r="R211" s="14"/>
      <c r="S211" s="14"/>
      <c r="T211" s="14"/>
      <c r="U211" s="14"/>
    </row>
    <row r="212" spans="1:21" ht="18.75" customHeight="1" x14ac:dyDescent="0.25">
      <c r="A212" s="14"/>
      <c r="B212" s="15"/>
      <c r="C212" s="122" t="s">
        <v>777</v>
      </c>
      <c r="D212" s="210" t="s">
        <v>778</v>
      </c>
      <c r="E212" s="125">
        <v>408.5917845993709</v>
      </c>
      <c r="F212" s="132">
        <v>0</v>
      </c>
      <c r="G212" s="132">
        <v>0</v>
      </c>
      <c r="H212" s="132">
        <v>0</v>
      </c>
      <c r="I212" s="132">
        <v>170.09816824702659</v>
      </c>
      <c r="J212" s="132">
        <v>361.73103236365534</v>
      </c>
      <c r="K212" s="132">
        <v>592.64607802427724</v>
      </c>
      <c r="L212" s="132">
        <v>871.20475941540587</v>
      </c>
      <c r="M212" s="125">
        <v>1744.6397164235593</v>
      </c>
      <c r="N212" s="133">
        <v>1184.6962151276757</v>
      </c>
      <c r="O212" s="80"/>
      <c r="P212" s="3"/>
      <c r="Q212" s="14"/>
      <c r="R212" s="14"/>
      <c r="S212" s="14"/>
      <c r="T212" s="14"/>
      <c r="U212" s="14"/>
    </row>
    <row r="213" spans="1:21" ht="18.75" customHeight="1" x14ac:dyDescent="0.25">
      <c r="A213" s="14"/>
      <c r="B213" s="15"/>
      <c r="C213" s="119" t="s">
        <v>779</v>
      </c>
      <c r="D213" s="120" t="s">
        <v>970</v>
      </c>
      <c r="E213" s="132">
        <v>40.069608616504865</v>
      </c>
      <c r="F213" s="125">
        <v>77.037898331566069</v>
      </c>
      <c r="G213" s="125">
        <v>59.932528726650787</v>
      </c>
      <c r="H213" s="125">
        <v>41.719370707840355</v>
      </c>
      <c r="I213" s="125">
        <v>32.258264691824422</v>
      </c>
      <c r="J213" s="125">
        <v>27.987615077467765</v>
      </c>
      <c r="K213" s="125">
        <v>25.070539066793827</v>
      </c>
      <c r="L213" s="125">
        <v>22.787028775016694</v>
      </c>
      <c r="M213" s="125">
        <v>17.918065704357957</v>
      </c>
      <c r="N213" s="131">
        <v>20.54961769734436</v>
      </c>
      <c r="O213" s="80"/>
      <c r="P213" s="3"/>
      <c r="Q213" s="14"/>
      <c r="R213" s="14"/>
      <c r="S213" s="14"/>
      <c r="T213" s="14"/>
      <c r="U213" s="14"/>
    </row>
    <row r="214" spans="1:21" ht="18.75" customHeight="1" x14ac:dyDescent="0.25">
      <c r="A214" s="14"/>
      <c r="B214" s="15"/>
      <c r="C214" s="119" t="s">
        <v>580</v>
      </c>
      <c r="D214" s="120" t="s">
        <v>581</v>
      </c>
      <c r="E214" s="125">
        <v>824</v>
      </c>
      <c r="F214" s="125">
        <v>677.86538385096242</v>
      </c>
      <c r="G214" s="125">
        <v>738.43574778166783</v>
      </c>
      <c r="H214" s="125">
        <v>816.07860554132378</v>
      </c>
      <c r="I214" s="125">
        <v>863.22740880300364</v>
      </c>
      <c r="J214" s="125">
        <v>886.34231837586287</v>
      </c>
      <c r="K214" s="125">
        <v>902.85582040242457</v>
      </c>
      <c r="L214" s="125">
        <v>916.21845091160492</v>
      </c>
      <c r="M214" s="125">
        <v>946.07450467000024</v>
      </c>
      <c r="N214" s="131">
        <v>929.70061116088516</v>
      </c>
      <c r="O214" s="80"/>
      <c r="P214" s="3"/>
      <c r="Q214" s="14"/>
      <c r="R214" s="14"/>
      <c r="S214" s="14"/>
      <c r="T214" s="14"/>
      <c r="U214" s="14"/>
    </row>
    <row r="215" spans="1:21" ht="18.75" customHeight="1" x14ac:dyDescent="0.25">
      <c r="A215" s="14"/>
      <c r="B215" s="15"/>
      <c r="C215" s="119" t="s">
        <v>541</v>
      </c>
      <c r="D215" s="120" t="s">
        <v>579</v>
      </c>
      <c r="E215" s="125">
        <v>13.307027312553796</v>
      </c>
      <c r="F215" s="125">
        <v>15.526708148411018</v>
      </c>
      <c r="G215" s="125">
        <v>14.465200347914358</v>
      </c>
      <c r="H215" s="125">
        <v>13.277546868903622</v>
      </c>
      <c r="I215" s="125">
        <v>13.284938688529358</v>
      </c>
      <c r="J215" s="125">
        <v>12.817974058080811</v>
      </c>
      <c r="K215" s="125">
        <v>12.524467231659543</v>
      </c>
      <c r="L215" s="125">
        <v>12.325452332618003</v>
      </c>
      <c r="M215" s="125">
        <v>11.778777429232777</v>
      </c>
      <c r="N215" s="131">
        <v>12.134996684260763</v>
      </c>
      <c r="O215" s="80"/>
      <c r="P215" s="3"/>
      <c r="Q215" s="14"/>
      <c r="R215" s="14"/>
      <c r="S215" s="14"/>
      <c r="T215" s="14"/>
      <c r="U215" s="14"/>
    </row>
    <row r="216" spans="1:21" ht="18.75" customHeight="1" x14ac:dyDescent="0.25">
      <c r="A216" s="14"/>
      <c r="B216" s="15"/>
      <c r="C216" s="119" t="s">
        <v>544</v>
      </c>
      <c r="D216" s="120" t="s">
        <v>579</v>
      </c>
      <c r="E216" s="125">
        <v>4.54</v>
      </c>
      <c r="F216" s="128"/>
      <c r="G216" s="128"/>
      <c r="H216" s="128"/>
      <c r="I216" s="128"/>
      <c r="J216" s="128"/>
      <c r="K216" s="128"/>
      <c r="L216" s="128"/>
      <c r="M216" s="125">
        <v>34.888153846153848</v>
      </c>
      <c r="N216" s="131">
        <v>15.133333333333331</v>
      </c>
      <c r="O216" s="80"/>
      <c r="P216" s="3"/>
      <c r="Q216" s="14"/>
      <c r="R216" s="14"/>
      <c r="S216" s="14"/>
      <c r="T216" s="14"/>
      <c r="U216" s="14"/>
    </row>
    <row r="217" spans="1:21" ht="18.75" customHeight="1" x14ac:dyDescent="0.25">
      <c r="A217" s="14"/>
      <c r="B217" s="15"/>
      <c r="C217" s="119" t="s">
        <v>780</v>
      </c>
      <c r="D217" s="120" t="s">
        <v>783</v>
      </c>
      <c r="E217" s="125">
        <v>13.822961016949126</v>
      </c>
      <c r="F217" s="125">
        <v>12.427945117936833</v>
      </c>
      <c r="G217" s="125">
        <v>12.10688372317389</v>
      </c>
      <c r="H217" s="125">
        <v>11.843953055535568</v>
      </c>
      <c r="I217" s="125">
        <v>11.79506458333095</v>
      </c>
      <c r="J217" s="125">
        <v>11.773264364268812</v>
      </c>
      <c r="K217" s="125">
        <v>11.912059422655194</v>
      </c>
      <c r="L217" s="125">
        <v>12.067694415981059</v>
      </c>
      <c r="M217" s="125">
        <v>12.277231864607074</v>
      </c>
      <c r="N217" s="131">
        <v>11.997045734130941</v>
      </c>
      <c r="O217" s="80"/>
      <c r="P217" s="3"/>
      <c r="Q217" s="14"/>
      <c r="R217" s="14"/>
      <c r="S217" s="14"/>
      <c r="T217" s="14"/>
      <c r="U217" s="16"/>
    </row>
    <row r="218" spans="1:21" ht="18.75" customHeight="1" x14ac:dyDescent="0.25">
      <c r="A218" s="14"/>
      <c r="B218" s="15"/>
      <c r="C218" s="122" t="s">
        <v>781</v>
      </c>
      <c r="D218" s="120" t="s">
        <v>782</v>
      </c>
      <c r="E218" s="125">
        <v>550</v>
      </c>
      <c r="F218" s="134">
        <v>60</v>
      </c>
      <c r="G218" s="134">
        <v>125</v>
      </c>
      <c r="H218" s="134">
        <v>230</v>
      </c>
      <c r="I218" s="134">
        <v>315</v>
      </c>
      <c r="J218" s="134">
        <v>360</v>
      </c>
      <c r="K218" s="134">
        <v>420</v>
      </c>
      <c r="L218" s="134">
        <v>480</v>
      </c>
      <c r="M218" s="134">
        <v>600</v>
      </c>
      <c r="N218" s="135">
        <v>500</v>
      </c>
      <c r="O218" s="80"/>
      <c r="P218" s="3"/>
      <c r="Q218" s="14"/>
      <c r="R218" s="16"/>
      <c r="S218" s="16"/>
      <c r="T218" s="16"/>
      <c r="U218" s="16"/>
    </row>
    <row r="219" spans="1:21" ht="18.75" customHeight="1" x14ac:dyDescent="0.25">
      <c r="A219" s="14"/>
      <c r="B219" s="15"/>
      <c r="C219" s="122"/>
      <c r="D219" s="210"/>
      <c r="E219" s="210"/>
      <c r="F219" s="210"/>
      <c r="G219" s="210"/>
      <c r="H219" s="210"/>
      <c r="I219" s="210"/>
      <c r="J219" s="210"/>
      <c r="K219" s="210"/>
      <c r="L219" s="210"/>
      <c r="M219" s="210"/>
      <c r="N219" s="115"/>
      <c r="O219" s="80"/>
      <c r="P219" s="3"/>
      <c r="Q219" s="14"/>
      <c r="R219" s="16"/>
      <c r="S219" s="16"/>
      <c r="T219" s="16"/>
      <c r="U219" s="16"/>
    </row>
    <row r="220" spans="1:21" ht="18.75" customHeight="1" x14ac:dyDescent="0.25">
      <c r="A220" s="14"/>
      <c r="B220" s="15"/>
      <c r="C220" s="2199" t="s">
        <v>2008</v>
      </c>
      <c r="D220" s="2200"/>
      <c r="E220" s="2200"/>
      <c r="F220" s="2200"/>
      <c r="G220" s="2200"/>
      <c r="H220" s="2200"/>
      <c r="I220" s="2200"/>
      <c r="J220" s="2200"/>
      <c r="K220" s="2200"/>
      <c r="L220" s="2200"/>
      <c r="M220" s="2200"/>
      <c r="N220" s="2201"/>
      <c r="O220" s="80"/>
      <c r="P220" s="3"/>
      <c r="Q220" s="14"/>
      <c r="R220" s="16"/>
      <c r="S220" s="16"/>
      <c r="T220" s="16"/>
      <c r="U220" s="14"/>
    </row>
    <row r="221" spans="1:21" ht="18.75" customHeight="1" x14ac:dyDescent="0.25">
      <c r="A221" s="14"/>
      <c r="B221" s="15"/>
      <c r="C221" s="2202" t="s">
        <v>1088</v>
      </c>
      <c r="D221" s="210"/>
      <c r="E221" s="104" t="s">
        <v>679</v>
      </c>
      <c r="F221" s="210">
        <v>80</v>
      </c>
      <c r="G221" s="210">
        <v>180</v>
      </c>
      <c r="H221" s="210">
        <v>290</v>
      </c>
      <c r="I221" s="210">
        <v>343</v>
      </c>
      <c r="J221" s="210">
        <v>399</v>
      </c>
      <c r="K221" s="210">
        <v>454</v>
      </c>
      <c r="L221" s="210">
        <v>525</v>
      </c>
      <c r="M221" s="210">
        <v>525</v>
      </c>
      <c r="N221" s="115">
        <v>399</v>
      </c>
      <c r="O221" s="80"/>
      <c r="P221" s="4"/>
      <c r="Q221" s="14"/>
      <c r="R221" s="14"/>
      <c r="S221" s="14"/>
      <c r="T221" s="14"/>
      <c r="U221" s="14"/>
    </row>
    <row r="222" spans="1:21" ht="18.75" customHeight="1" x14ac:dyDescent="0.25">
      <c r="A222" s="14"/>
      <c r="B222" s="15"/>
      <c r="C222" s="119" t="s">
        <v>568</v>
      </c>
      <c r="D222" s="120" t="s">
        <v>623</v>
      </c>
      <c r="E222" s="110" t="s">
        <v>608</v>
      </c>
      <c r="F222" s="110" t="s">
        <v>957</v>
      </c>
      <c r="G222" s="110" t="s">
        <v>572</v>
      </c>
      <c r="H222" s="110" t="s">
        <v>530</v>
      </c>
      <c r="I222" s="110" t="s">
        <v>573</v>
      </c>
      <c r="J222" s="110" t="s">
        <v>574</v>
      </c>
      <c r="K222" s="110" t="s">
        <v>575</v>
      </c>
      <c r="L222" s="110" t="s">
        <v>576</v>
      </c>
      <c r="M222" s="110" t="s">
        <v>577</v>
      </c>
      <c r="N222" s="2203" t="s">
        <v>609</v>
      </c>
      <c r="O222" s="80"/>
      <c r="P222" s="4"/>
      <c r="Q222" s="14"/>
      <c r="R222" s="14"/>
      <c r="S222" s="14"/>
      <c r="T222" s="14"/>
      <c r="U222" s="14"/>
    </row>
    <row r="223" spans="1:21" ht="32.25" customHeight="1" x14ac:dyDescent="0.25">
      <c r="A223" s="14"/>
      <c r="B223" s="15"/>
      <c r="C223" s="119" t="s">
        <v>582</v>
      </c>
      <c r="D223" s="120" t="s">
        <v>566</v>
      </c>
      <c r="E223" s="121">
        <v>100000</v>
      </c>
      <c r="F223" s="129">
        <v>21049.921277374397</v>
      </c>
      <c r="G223" s="129">
        <v>31317.453779112639</v>
      </c>
      <c r="H223" s="129">
        <v>24279.913914786346</v>
      </c>
      <c r="I223" s="129">
        <v>8487.2111025496615</v>
      </c>
      <c r="J223" s="129">
        <v>6840.5862043248262</v>
      </c>
      <c r="K223" s="129">
        <v>4583.7633155849526</v>
      </c>
      <c r="L223" s="129">
        <v>3006.1120368968832</v>
      </c>
      <c r="M223" s="129">
        <v>9.9999999999999998E-20</v>
      </c>
      <c r="N223" s="130">
        <v>7598.1418038492711</v>
      </c>
      <c r="O223" s="80"/>
      <c r="P223" s="9"/>
      <c r="Q223" s="14"/>
      <c r="R223" s="14"/>
      <c r="S223" s="14"/>
      <c r="T223" s="14"/>
      <c r="U223" s="14"/>
    </row>
    <row r="224" spans="1:21" ht="18.75" customHeight="1" x14ac:dyDescent="0.25">
      <c r="A224" s="14"/>
      <c r="B224" s="15"/>
      <c r="C224" s="119" t="s">
        <v>582</v>
      </c>
      <c r="D224" s="120" t="s">
        <v>628</v>
      </c>
      <c r="E224" s="145">
        <v>15900</v>
      </c>
      <c r="F224" s="129">
        <v>3346.9374831025293</v>
      </c>
      <c r="G224" s="129">
        <v>4979.4751508789095</v>
      </c>
      <c r="H224" s="129">
        <v>3860.5063124510293</v>
      </c>
      <c r="I224" s="129">
        <v>1349.4665653053962</v>
      </c>
      <c r="J224" s="129">
        <v>1087.6532064876474</v>
      </c>
      <c r="K224" s="129">
        <v>728.81836717800752</v>
      </c>
      <c r="L224" s="129">
        <v>477.97181386660446</v>
      </c>
      <c r="M224" s="129">
        <v>9.9999999999999998E-20</v>
      </c>
      <c r="N224" s="130">
        <v>1208.1045468120342</v>
      </c>
      <c r="O224" s="80"/>
      <c r="P224" s="5"/>
      <c r="Q224" s="14"/>
      <c r="R224" s="14"/>
      <c r="S224" s="14"/>
      <c r="T224" s="14"/>
      <c r="U224" s="14"/>
    </row>
    <row r="225" spans="1:21" ht="18.75" customHeight="1" x14ac:dyDescent="0.25">
      <c r="A225" s="14"/>
      <c r="B225" s="15"/>
      <c r="C225" s="119" t="s">
        <v>620</v>
      </c>
      <c r="D225" s="120" t="s">
        <v>622</v>
      </c>
      <c r="E225" s="129">
        <v>12361182.960732555</v>
      </c>
      <c r="F225" s="129">
        <v>2126253.0207746211</v>
      </c>
      <c r="G225" s="129">
        <v>3873669.3143286621</v>
      </c>
      <c r="H225" s="129">
        <v>3165670.7533568889</v>
      </c>
      <c r="I225" s="129">
        <v>1129046.4470783777</v>
      </c>
      <c r="J225" s="129">
        <v>920885.9053495503</v>
      </c>
      <c r="K225" s="129">
        <v>638240.29313724441</v>
      </c>
      <c r="L225" s="129">
        <v>443444.88979902409</v>
      </c>
      <c r="M225" s="129">
        <v>9.9999999999999998E-20</v>
      </c>
      <c r="N225" s="130">
        <v>1081685.1829362684</v>
      </c>
      <c r="O225" s="80"/>
      <c r="P225" s="10"/>
      <c r="Q225" s="14"/>
      <c r="R225" s="14"/>
      <c r="S225" s="14"/>
      <c r="T225" s="14"/>
      <c r="U225" s="14"/>
    </row>
    <row r="226" spans="1:21" ht="18.75" customHeight="1" x14ac:dyDescent="0.25">
      <c r="A226" s="14"/>
      <c r="B226" s="15"/>
      <c r="C226" s="122" t="s">
        <v>776</v>
      </c>
      <c r="D226" s="120" t="s">
        <v>579</v>
      </c>
      <c r="E226" s="125">
        <v>0.04</v>
      </c>
      <c r="F226" s="125">
        <v>2.0760409608497357E-2</v>
      </c>
      <c r="G226" s="125">
        <v>4.7725083892579817E-3</v>
      </c>
      <c r="H226" s="125">
        <v>4.4374801359853583E-2</v>
      </c>
      <c r="I226" s="125">
        <v>0.1177210347570963</v>
      </c>
      <c r="J226" s="125">
        <v>0.16514174722984507</v>
      </c>
      <c r="K226" s="125">
        <v>0.18043048323678931</v>
      </c>
      <c r="L226" s="125">
        <v>0.15517056790429726</v>
      </c>
      <c r="M226" s="125">
        <v>9.9999999999999998E-20</v>
      </c>
      <c r="N226" s="131">
        <v>0.17403697196211518</v>
      </c>
      <c r="O226" s="80"/>
      <c r="P226" s="5"/>
      <c r="Q226" s="14"/>
      <c r="R226" s="14"/>
      <c r="S226" s="14"/>
      <c r="T226" s="14"/>
      <c r="U226" s="14"/>
    </row>
    <row r="227" spans="1:21" ht="18.75" customHeight="1" x14ac:dyDescent="0.25">
      <c r="A227" s="14"/>
      <c r="B227" s="15"/>
      <c r="C227" s="122" t="s">
        <v>777</v>
      </c>
      <c r="D227" s="210" t="s">
        <v>778</v>
      </c>
      <c r="E227" s="125">
        <v>2.3247018972488549</v>
      </c>
      <c r="F227" s="132">
        <v>0</v>
      </c>
      <c r="G227" s="132">
        <v>0</v>
      </c>
      <c r="H227" s="132">
        <v>0</v>
      </c>
      <c r="I227" s="132">
        <v>0</v>
      </c>
      <c r="J227" s="132">
        <v>11.520313657383667</v>
      </c>
      <c r="K227" s="132">
        <v>343.77443807854615</v>
      </c>
      <c r="L227" s="132">
        <v>1418.5528548285693</v>
      </c>
      <c r="M227" s="125">
        <v>9.9999999999999998E-20</v>
      </c>
      <c r="N227" s="133">
        <v>2301.6612699340876</v>
      </c>
      <c r="O227" s="80"/>
      <c r="P227" s="5"/>
      <c r="Q227" s="14"/>
      <c r="R227" s="14"/>
      <c r="S227" s="14"/>
      <c r="T227" s="14"/>
      <c r="U227" s="14"/>
    </row>
    <row r="228" spans="1:21" ht="18.75" customHeight="1" x14ac:dyDescent="0.25">
      <c r="A228" s="14"/>
      <c r="B228" s="15"/>
      <c r="C228" s="119" t="s">
        <v>779</v>
      </c>
      <c r="D228" s="120" t="s">
        <v>970</v>
      </c>
      <c r="E228" s="132">
        <v>50.33</v>
      </c>
      <c r="F228" s="125">
        <v>91.014815263765172</v>
      </c>
      <c r="G228" s="125">
        <v>50.213545208710201</v>
      </c>
      <c r="H228" s="125">
        <v>40.887113728222232</v>
      </c>
      <c r="I228" s="125">
        <v>37.457158016432146</v>
      </c>
      <c r="J228" s="125">
        <v>35.459407159359841</v>
      </c>
      <c r="K228" s="125">
        <v>29.921495230743346</v>
      </c>
      <c r="L228" s="125">
        <v>20.866295192173681</v>
      </c>
      <c r="M228" s="125">
        <v>9.9999999999999998E-20</v>
      </c>
      <c r="N228" s="131">
        <v>26.38101634606997</v>
      </c>
      <c r="O228" s="80"/>
      <c r="P228" s="5"/>
      <c r="Q228" s="14"/>
      <c r="R228" s="14"/>
      <c r="S228" s="14"/>
      <c r="T228" s="14"/>
      <c r="U228" s="14"/>
    </row>
    <row r="229" spans="1:21" ht="18.75" customHeight="1" x14ac:dyDescent="0.25">
      <c r="A229" s="14"/>
      <c r="B229" s="15"/>
      <c r="C229" s="119" t="s">
        <v>580</v>
      </c>
      <c r="D229" s="120" t="s">
        <v>581</v>
      </c>
      <c r="E229" s="125">
        <v>777.43289061211033</v>
      </c>
      <c r="F229" s="125">
        <v>635.28316005581212</v>
      </c>
      <c r="G229" s="125">
        <v>777.92723067308305</v>
      </c>
      <c r="H229" s="125">
        <v>820.01439633626956</v>
      </c>
      <c r="I229" s="125">
        <v>836.66129721625566</v>
      </c>
      <c r="J229" s="125">
        <v>846.67235830008929</v>
      </c>
      <c r="K229" s="125">
        <v>875.71927640698414</v>
      </c>
      <c r="L229" s="125">
        <v>927.76368173622814</v>
      </c>
      <c r="M229" s="125">
        <v>9.9999999999999998E-20</v>
      </c>
      <c r="N229" s="131">
        <v>895.35726505676746</v>
      </c>
      <c r="O229" s="80"/>
      <c r="P229" s="5"/>
      <c r="Q229" s="14"/>
      <c r="R229" s="14"/>
      <c r="S229" s="14"/>
      <c r="T229" s="14"/>
      <c r="U229" s="14"/>
    </row>
    <row r="230" spans="1:21" ht="18.75" customHeight="1" x14ac:dyDescent="0.25">
      <c r="A230" s="14"/>
      <c r="B230" s="15"/>
      <c r="C230" s="119" t="s">
        <v>541</v>
      </c>
      <c r="D230" s="120" t="s">
        <v>579</v>
      </c>
      <c r="E230" s="125">
        <v>13.913653158123891</v>
      </c>
      <c r="F230" s="125">
        <v>16.837616783500273</v>
      </c>
      <c r="G230" s="125">
        <v>13.471487082269242</v>
      </c>
      <c r="H230" s="125">
        <v>13.11950330747225</v>
      </c>
      <c r="I230" s="125">
        <v>13.995275943281008</v>
      </c>
      <c r="J230" s="125">
        <v>13.908454620115219</v>
      </c>
      <c r="K230" s="125">
        <v>13.318036712564325</v>
      </c>
      <c r="L230" s="125">
        <v>12.092913474942709</v>
      </c>
      <c r="M230" s="125">
        <v>9.9999999999999998E-20</v>
      </c>
      <c r="N230" s="131">
        <v>12.815788324893337</v>
      </c>
      <c r="O230" s="80"/>
      <c r="P230" s="5"/>
      <c r="Q230" s="14"/>
      <c r="R230" s="14"/>
      <c r="S230" s="14"/>
      <c r="T230" s="14"/>
      <c r="U230" s="14"/>
    </row>
    <row r="231" spans="1:21" ht="18.75" customHeight="1" x14ac:dyDescent="0.25">
      <c r="A231" s="14"/>
      <c r="B231" s="15"/>
      <c r="C231" s="119" t="s">
        <v>544</v>
      </c>
      <c r="D231" s="120" t="s">
        <v>579</v>
      </c>
      <c r="E231" s="125">
        <v>0</v>
      </c>
      <c r="F231" s="128"/>
      <c r="G231" s="128"/>
      <c r="H231" s="128"/>
      <c r="I231" s="128"/>
      <c r="J231" s="128"/>
      <c r="K231" s="128"/>
      <c r="L231" s="128"/>
      <c r="M231" s="125">
        <v>9.9999999999999998E-20</v>
      </c>
      <c r="N231" s="131">
        <v>9.9999999999999998E-20</v>
      </c>
      <c r="O231" s="80"/>
      <c r="P231" s="1"/>
      <c r="Q231" s="14"/>
      <c r="R231" s="14"/>
      <c r="S231" s="14"/>
      <c r="T231" s="14"/>
      <c r="U231" s="14"/>
    </row>
    <row r="232" spans="1:21" ht="18.75" customHeight="1" x14ac:dyDescent="0.25">
      <c r="A232" s="14"/>
      <c r="B232" s="15"/>
      <c r="C232" s="119" t="s">
        <v>780</v>
      </c>
      <c r="D232" s="120" t="s">
        <v>783</v>
      </c>
      <c r="E232" s="125">
        <v>12.037008615230555</v>
      </c>
      <c r="F232" s="125">
        <v>12.956107144640548</v>
      </c>
      <c r="G232" s="125">
        <v>11.658924702530189</v>
      </c>
      <c r="H232" s="125">
        <v>11.696370085833591</v>
      </c>
      <c r="I232" s="125">
        <v>12.171587543922627</v>
      </c>
      <c r="J232" s="125">
        <v>12.520329888884399</v>
      </c>
      <c r="K232" s="125">
        <v>12.538309946008757</v>
      </c>
      <c r="L232" s="125">
        <v>12.151852421943108</v>
      </c>
      <c r="M232" s="125">
        <v>9.9999999999999998E-20</v>
      </c>
      <c r="N232" s="131">
        <v>12.413912830575113</v>
      </c>
      <c r="O232" s="80"/>
      <c r="P232" s="14"/>
      <c r="Q232" s="14"/>
      <c r="R232" s="14"/>
      <c r="S232" s="14"/>
      <c r="T232" s="14"/>
      <c r="U232" s="14"/>
    </row>
    <row r="233" spans="1:21" ht="18.75" customHeight="1" x14ac:dyDescent="0.25">
      <c r="A233" s="14"/>
      <c r="B233" s="15"/>
      <c r="C233" s="122" t="s">
        <v>781</v>
      </c>
      <c r="D233" s="120" t="s">
        <v>782</v>
      </c>
      <c r="E233" s="125">
        <v>183.47103318689221</v>
      </c>
      <c r="F233" s="134">
        <v>37.551686762792173</v>
      </c>
      <c r="G233" s="134">
        <v>142.57907830079489</v>
      </c>
      <c r="H233" s="134">
        <v>218.47699705038019</v>
      </c>
      <c r="I233" s="134">
        <v>315.29883645658299</v>
      </c>
      <c r="J233" s="134">
        <v>390.6105674612063</v>
      </c>
      <c r="K233" s="134">
        <v>464.46496813991871</v>
      </c>
      <c r="L233" s="134">
        <v>525.31806496059232</v>
      </c>
      <c r="M233" s="134">
        <v>9.9999999999999998E-20</v>
      </c>
      <c r="N233" s="135">
        <v>491.97633191859052</v>
      </c>
      <c r="O233" s="80"/>
      <c r="P233" s="1"/>
      <c r="Q233" s="14"/>
      <c r="R233" s="14"/>
      <c r="S233" s="14"/>
      <c r="T233" s="14"/>
      <c r="U233" s="14"/>
    </row>
    <row r="234" spans="1:21" ht="18.75" customHeight="1" x14ac:dyDescent="0.25">
      <c r="A234" s="14"/>
      <c r="B234" s="15"/>
      <c r="C234" s="122"/>
      <c r="D234" s="210"/>
      <c r="E234" s="210"/>
      <c r="F234" s="210"/>
      <c r="G234" s="210"/>
      <c r="H234" s="210"/>
      <c r="I234" s="210"/>
      <c r="J234" s="210"/>
      <c r="K234" s="210"/>
      <c r="L234" s="210"/>
      <c r="M234" s="210"/>
      <c r="N234" s="115"/>
      <c r="O234" s="80"/>
      <c r="P234" s="1"/>
      <c r="Q234" s="14"/>
      <c r="R234" s="14"/>
      <c r="S234" s="14"/>
      <c r="T234" s="14"/>
      <c r="U234" s="14"/>
    </row>
    <row r="235" spans="1:21" ht="18.75" customHeight="1" x14ac:dyDescent="0.25">
      <c r="A235" s="14"/>
      <c r="B235" s="15"/>
      <c r="C235" s="2199" t="s">
        <v>2009</v>
      </c>
      <c r="D235" s="2200"/>
      <c r="E235" s="2200"/>
      <c r="F235" s="2200"/>
      <c r="G235" s="2200"/>
      <c r="H235" s="2200"/>
      <c r="I235" s="2200"/>
      <c r="J235" s="2200"/>
      <c r="K235" s="2200"/>
      <c r="L235" s="2200"/>
      <c r="M235" s="2200"/>
      <c r="N235" s="2201"/>
      <c r="O235" s="80"/>
      <c r="P235" s="1"/>
      <c r="Q235" s="14"/>
      <c r="R235" s="14"/>
      <c r="S235" s="14"/>
      <c r="T235" s="14"/>
      <c r="U235" s="16"/>
    </row>
    <row r="236" spans="1:21" ht="18.75" customHeight="1" x14ac:dyDescent="0.25">
      <c r="A236" s="14"/>
      <c r="B236" s="15"/>
      <c r="C236" s="2202" t="s">
        <v>1088</v>
      </c>
      <c r="D236" s="210">
        <v>36</v>
      </c>
      <c r="E236" s="104" t="s">
        <v>679</v>
      </c>
      <c r="F236" s="210">
        <v>80</v>
      </c>
      <c r="G236" s="210">
        <v>180</v>
      </c>
      <c r="H236" s="210">
        <v>290</v>
      </c>
      <c r="I236" s="210">
        <v>340</v>
      </c>
      <c r="J236" s="210">
        <v>400</v>
      </c>
      <c r="K236" s="210">
        <v>450</v>
      </c>
      <c r="L236" s="210">
        <v>525</v>
      </c>
      <c r="M236" s="210">
        <v>525</v>
      </c>
      <c r="N236" s="115">
        <v>400</v>
      </c>
      <c r="O236" s="80"/>
      <c r="P236" s="3"/>
      <c r="Q236" s="14"/>
      <c r="R236" s="16"/>
      <c r="S236" s="16"/>
      <c r="T236" s="16"/>
      <c r="U236" s="16"/>
    </row>
    <row r="237" spans="1:21" ht="18.75" customHeight="1" x14ac:dyDescent="0.25">
      <c r="A237" s="14"/>
      <c r="B237" s="15"/>
      <c r="C237" s="119" t="s">
        <v>568</v>
      </c>
      <c r="D237" s="120" t="s">
        <v>623</v>
      </c>
      <c r="E237" s="110" t="s">
        <v>608</v>
      </c>
      <c r="F237" s="110" t="s">
        <v>957</v>
      </c>
      <c r="G237" s="110" t="s">
        <v>572</v>
      </c>
      <c r="H237" s="110" t="s">
        <v>530</v>
      </c>
      <c r="I237" s="110" t="s">
        <v>573</v>
      </c>
      <c r="J237" s="110" t="s">
        <v>574</v>
      </c>
      <c r="K237" s="110" t="s">
        <v>575</v>
      </c>
      <c r="L237" s="110" t="s">
        <v>576</v>
      </c>
      <c r="M237" s="110" t="s">
        <v>577</v>
      </c>
      <c r="N237" s="2203" t="s">
        <v>609</v>
      </c>
      <c r="O237" s="80"/>
      <c r="P237" s="4"/>
      <c r="Q237" s="14"/>
      <c r="R237" s="16"/>
      <c r="S237" s="16"/>
      <c r="T237" s="16"/>
      <c r="U237" s="16"/>
    </row>
    <row r="238" spans="1:21" ht="18.75" customHeight="1" x14ac:dyDescent="0.25">
      <c r="A238" s="14"/>
      <c r="B238" s="15"/>
      <c r="C238" s="119" t="s">
        <v>582</v>
      </c>
      <c r="D238" s="120" t="s">
        <v>566</v>
      </c>
      <c r="E238" s="121">
        <v>96240.387983486871</v>
      </c>
      <c r="F238" s="129">
        <v>2740.4302406555221</v>
      </c>
      <c r="G238" s="129">
        <v>6871.8901732998365</v>
      </c>
      <c r="H238" s="129">
        <v>9644.7915428382894</v>
      </c>
      <c r="I238" s="129">
        <v>6137.8328509569765</v>
      </c>
      <c r="J238" s="129">
        <v>7036.5788513165598</v>
      </c>
      <c r="K238" s="129">
        <v>6940.9534320316607</v>
      </c>
      <c r="L238" s="129">
        <v>11719.61720188395</v>
      </c>
      <c r="M238" s="129">
        <v>45148.29369050407</v>
      </c>
      <c r="N238" s="130">
        <v>66033.131890663964</v>
      </c>
      <c r="O238" s="82"/>
      <c r="P238" s="4"/>
      <c r="Q238" s="14"/>
      <c r="R238" s="16"/>
      <c r="S238" s="16"/>
      <c r="T238" s="16"/>
      <c r="U238" s="16"/>
    </row>
    <row r="239" spans="1:21" ht="32.25" customHeight="1" x14ac:dyDescent="0.25">
      <c r="A239" s="14"/>
      <c r="B239" s="15"/>
      <c r="C239" s="119" t="s">
        <v>582</v>
      </c>
      <c r="D239" s="120" t="s">
        <v>628</v>
      </c>
      <c r="E239" s="145">
        <v>15302.221689374413</v>
      </c>
      <c r="F239" s="129">
        <v>435.72840826422799</v>
      </c>
      <c r="G239" s="129">
        <v>1092.630537554674</v>
      </c>
      <c r="H239" s="129">
        <v>1533.5218553112879</v>
      </c>
      <c r="I239" s="129">
        <v>975.9154233021593</v>
      </c>
      <c r="J239" s="129">
        <v>1118.816037359333</v>
      </c>
      <c r="K239" s="129">
        <v>1103.6115956930341</v>
      </c>
      <c r="L239" s="129">
        <v>1863.4191350995482</v>
      </c>
      <c r="M239" s="129">
        <v>7178.5786967901477</v>
      </c>
      <c r="N239" s="130">
        <v>10499.26797061557</v>
      </c>
      <c r="O239" s="82"/>
      <c r="P239" s="9"/>
      <c r="Q239" s="14"/>
      <c r="R239" s="16"/>
      <c r="S239" s="16"/>
      <c r="T239" s="16"/>
      <c r="U239" s="16"/>
    </row>
    <row r="240" spans="1:21" ht="18.75" customHeight="1" x14ac:dyDescent="0.25">
      <c r="A240" s="14"/>
      <c r="B240" s="15"/>
      <c r="C240" s="119" t="s">
        <v>620</v>
      </c>
      <c r="D240" s="120" t="s">
        <v>622</v>
      </c>
      <c r="E240" s="129">
        <v>14637798.093528653</v>
      </c>
      <c r="F240" s="129">
        <v>292755.96187057305</v>
      </c>
      <c r="G240" s="129">
        <v>878267.8856117191</v>
      </c>
      <c r="H240" s="129">
        <v>1317401.8284175787</v>
      </c>
      <c r="I240" s="129">
        <v>878267.8856117191</v>
      </c>
      <c r="J240" s="129">
        <v>1024645.8665470058</v>
      </c>
      <c r="K240" s="129">
        <v>1024645.8665470058</v>
      </c>
      <c r="L240" s="129">
        <v>1756535.7712234382</v>
      </c>
      <c r="M240" s="129">
        <v>7465277.027699613</v>
      </c>
      <c r="N240" s="130">
        <v>10246458.665470056</v>
      </c>
      <c r="O240" s="82"/>
      <c r="P240" s="5"/>
      <c r="Q240" s="14"/>
      <c r="R240" s="16"/>
      <c r="S240" s="16"/>
      <c r="T240" s="16"/>
      <c r="U240" s="16"/>
    </row>
    <row r="241" spans="1:21" ht="18.75" customHeight="1" x14ac:dyDescent="0.25">
      <c r="A241" s="14"/>
      <c r="B241" s="15"/>
      <c r="C241" s="122" t="s">
        <v>776</v>
      </c>
      <c r="D241" s="120" t="s">
        <v>579</v>
      </c>
      <c r="E241" s="125">
        <v>0.87115722530567952</v>
      </c>
      <c r="F241" s="125">
        <v>0</v>
      </c>
      <c r="G241" s="125">
        <v>0</v>
      </c>
      <c r="H241" s="125">
        <v>0.21863459877012467</v>
      </c>
      <c r="I241" s="125">
        <v>0.41787129664685896</v>
      </c>
      <c r="J241" s="125">
        <v>0.5573699822523458</v>
      </c>
      <c r="K241" s="125">
        <v>0.71582420222208243</v>
      </c>
      <c r="L241" s="125">
        <v>0.89954809850688533</v>
      </c>
      <c r="M241" s="125">
        <v>1.2339969978108245</v>
      </c>
      <c r="N241" s="131">
        <v>1.1248456212284179</v>
      </c>
      <c r="O241" s="83"/>
      <c r="P241" s="10"/>
      <c r="Q241" s="14"/>
      <c r="R241" s="16"/>
      <c r="S241" s="16"/>
      <c r="T241" s="16"/>
      <c r="U241" s="16"/>
    </row>
    <row r="242" spans="1:21" ht="18.75" customHeight="1" x14ac:dyDescent="0.25">
      <c r="A242" s="14"/>
      <c r="B242" s="15"/>
      <c r="C242" s="122" t="s">
        <v>777</v>
      </c>
      <c r="D242" s="210" t="s">
        <v>778</v>
      </c>
      <c r="E242" s="125">
        <v>5003.1705300159529</v>
      </c>
      <c r="F242" s="132">
        <v>0</v>
      </c>
      <c r="G242" s="132">
        <v>0</v>
      </c>
      <c r="H242" s="132">
        <v>60.233511760701091</v>
      </c>
      <c r="I242" s="132">
        <v>568.12038077247166</v>
      </c>
      <c r="J242" s="132">
        <v>1156.1821530609971</v>
      </c>
      <c r="K242" s="132">
        <v>2105.4198996363684</v>
      </c>
      <c r="L242" s="132">
        <v>3712.4971469787656</v>
      </c>
      <c r="M242" s="125">
        <v>8411.4715485977922</v>
      </c>
      <c r="N242" s="133">
        <v>6975.3279148526744</v>
      </c>
      <c r="O242" s="84"/>
      <c r="P242" s="5"/>
      <c r="Q242" s="14"/>
      <c r="R242" s="16"/>
      <c r="S242" s="16"/>
      <c r="T242" s="16"/>
      <c r="U242" s="16"/>
    </row>
    <row r="243" spans="1:21" ht="18.75" customHeight="1" x14ac:dyDescent="0.25">
      <c r="A243" s="14"/>
      <c r="B243" s="15"/>
      <c r="C243" s="119" t="s">
        <v>779</v>
      </c>
      <c r="D243" s="120" t="s">
        <v>970</v>
      </c>
      <c r="E243" s="132">
        <v>22.050000033384492</v>
      </c>
      <c r="F243" s="125">
        <v>78.89653177207164</v>
      </c>
      <c r="G243" s="125">
        <v>44.363122723267409</v>
      </c>
      <c r="H243" s="125">
        <v>33.050860191645086</v>
      </c>
      <c r="I243" s="125">
        <v>25.577372411558713</v>
      </c>
      <c r="J243" s="125">
        <v>22.852383264938624</v>
      </c>
      <c r="K243" s="125">
        <v>20.754771388597376</v>
      </c>
      <c r="L243" s="125">
        <v>18.462268478377837</v>
      </c>
      <c r="M243" s="125">
        <v>4.4317744643951471</v>
      </c>
      <c r="N243" s="131">
        <v>13.348391485941903</v>
      </c>
      <c r="O243" s="83"/>
      <c r="P243" s="5"/>
      <c r="Q243" s="14"/>
      <c r="R243" s="16"/>
      <c r="S243" s="16"/>
      <c r="T243" s="16"/>
      <c r="U243" s="16"/>
    </row>
    <row r="244" spans="1:21" ht="18.75" customHeight="1" x14ac:dyDescent="0.25">
      <c r="A244" s="14"/>
      <c r="B244" s="15"/>
      <c r="C244" s="119" t="s">
        <v>580</v>
      </c>
      <c r="D244" s="120" t="s">
        <v>581</v>
      </c>
      <c r="E244" s="125">
        <v>920.61623229739951</v>
      </c>
      <c r="F244" s="125">
        <v>671.8771517257702</v>
      </c>
      <c r="G244" s="125">
        <v>803.81048801482143</v>
      </c>
      <c r="H244" s="125">
        <v>859.06948365607786</v>
      </c>
      <c r="I244" s="125">
        <v>899.94262273257777</v>
      </c>
      <c r="J244" s="125">
        <v>915.83051398280736</v>
      </c>
      <c r="K244" s="125">
        <v>928.44789828758519</v>
      </c>
      <c r="L244" s="125">
        <v>942.64126526188113</v>
      </c>
      <c r="M244" s="125">
        <v>1039.9380355107983</v>
      </c>
      <c r="N244" s="131">
        <v>975.92124461885783</v>
      </c>
      <c r="O244" s="83"/>
      <c r="P244" s="5"/>
      <c r="Q244" s="14"/>
      <c r="R244" s="16"/>
      <c r="S244" s="16"/>
      <c r="T244" s="16"/>
      <c r="U244" s="16"/>
    </row>
    <row r="245" spans="1:21" ht="18.75" customHeight="1" x14ac:dyDescent="0.25">
      <c r="A245" s="14"/>
      <c r="B245" s="15"/>
      <c r="C245" s="119" t="s">
        <v>541</v>
      </c>
      <c r="D245" s="120" t="s">
        <v>579</v>
      </c>
      <c r="E245" s="125">
        <v>9.0441184307512064</v>
      </c>
      <c r="F245" s="125">
        <v>16.409110329193773</v>
      </c>
      <c r="G245" s="125">
        <v>13.361442947882271</v>
      </c>
      <c r="H245" s="125">
        <v>13.071079724574359</v>
      </c>
      <c r="I245" s="125">
        <v>13.200933669218511</v>
      </c>
      <c r="J245" s="125">
        <v>13.178949348860506</v>
      </c>
      <c r="K245" s="125">
        <v>12.7728346676139</v>
      </c>
      <c r="L245" s="125">
        <v>11.416731005535631</v>
      </c>
      <c r="M245" s="125">
        <v>5.4101251962982486</v>
      </c>
      <c r="N245" s="131">
        <v>7.1760999964419376</v>
      </c>
      <c r="O245" s="83"/>
      <c r="P245" s="5"/>
      <c r="Q245" s="14"/>
      <c r="R245" s="16"/>
      <c r="S245" s="7"/>
      <c r="T245" s="16"/>
      <c r="U245" s="16"/>
    </row>
    <row r="246" spans="1:21" ht="18.75" customHeight="1" x14ac:dyDescent="0.25">
      <c r="A246" s="14"/>
      <c r="B246" s="15"/>
      <c r="C246" s="119" t="s">
        <v>544</v>
      </c>
      <c r="D246" s="120" t="s">
        <v>579</v>
      </c>
      <c r="E246" s="125">
        <v>6.14</v>
      </c>
      <c r="F246" s="128"/>
      <c r="G246" s="128"/>
      <c r="H246" s="128"/>
      <c r="I246" s="128"/>
      <c r="J246" s="128"/>
      <c r="K246" s="128"/>
      <c r="L246" s="128"/>
      <c r="M246" s="125">
        <v>12.027176470588234</v>
      </c>
      <c r="N246" s="131">
        <v>8.7714285714285722</v>
      </c>
      <c r="O246" s="83"/>
      <c r="P246" s="5"/>
      <c r="Q246" s="14"/>
      <c r="R246" s="16"/>
      <c r="S246" s="16"/>
      <c r="T246" s="16"/>
      <c r="U246" s="16"/>
    </row>
    <row r="247" spans="1:21" ht="18.75" customHeight="1" x14ac:dyDescent="0.25">
      <c r="A247" s="14"/>
      <c r="B247" s="15"/>
      <c r="C247" s="119" t="s">
        <v>780</v>
      </c>
      <c r="D247" s="120" t="s">
        <v>783</v>
      </c>
      <c r="E247" s="125">
        <v>12.371163411337561</v>
      </c>
      <c r="F247" s="125">
        <v>12.411978799770564</v>
      </c>
      <c r="G247" s="125">
        <v>11.526375407106283</v>
      </c>
      <c r="H247" s="125">
        <v>11.325289955356128</v>
      </c>
      <c r="I247" s="125">
        <v>11.345828149606445</v>
      </c>
      <c r="J247" s="125">
        <v>11.453858829215559</v>
      </c>
      <c r="K247" s="125">
        <v>11.611497173971662</v>
      </c>
      <c r="L247" s="125">
        <v>11.781114206159156</v>
      </c>
      <c r="M247" s="125">
        <v>11.419292610534736</v>
      </c>
      <c r="N247" s="131">
        <v>11.810180550277559</v>
      </c>
      <c r="O247" s="83"/>
      <c r="P247" s="1"/>
      <c r="Q247" s="14"/>
      <c r="R247" s="16"/>
      <c r="S247" s="16"/>
      <c r="T247" s="16"/>
      <c r="U247" s="16"/>
    </row>
    <row r="248" spans="1:21" ht="18.75" customHeight="1" x14ac:dyDescent="0.25">
      <c r="A248" s="14"/>
      <c r="B248" s="15"/>
      <c r="C248" s="122" t="s">
        <v>781</v>
      </c>
      <c r="D248" s="120" t="s">
        <v>782</v>
      </c>
      <c r="E248" s="125">
        <v>550</v>
      </c>
      <c r="F248" s="134">
        <v>50</v>
      </c>
      <c r="G248" s="134">
        <v>170</v>
      </c>
      <c r="H248" s="134">
        <v>240</v>
      </c>
      <c r="I248" s="134">
        <v>320</v>
      </c>
      <c r="J248" s="134">
        <v>370</v>
      </c>
      <c r="K248" s="134">
        <v>425</v>
      </c>
      <c r="L248" s="134">
        <v>490</v>
      </c>
      <c r="M248" s="134">
        <v>660</v>
      </c>
      <c r="N248" s="135">
        <v>580</v>
      </c>
      <c r="O248" s="80"/>
      <c r="P248" s="14"/>
      <c r="Q248" s="14"/>
      <c r="R248" s="16"/>
      <c r="S248" s="16"/>
      <c r="T248" s="16"/>
      <c r="U248" s="16"/>
    </row>
    <row r="249" spans="1:21" ht="18.75" customHeight="1" x14ac:dyDescent="0.25">
      <c r="A249" s="14"/>
      <c r="B249" s="15"/>
      <c r="C249" s="122"/>
      <c r="D249" s="210"/>
      <c r="E249" s="210"/>
      <c r="F249" s="210"/>
      <c r="G249" s="210"/>
      <c r="H249" s="210"/>
      <c r="I249" s="210"/>
      <c r="J249" s="210"/>
      <c r="K249" s="210"/>
      <c r="L249" s="210"/>
      <c r="M249" s="210"/>
      <c r="N249" s="115"/>
      <c r="O249" s="80"/>
      <c r="P249" s="1"/>
      <c r="Q249" s="14"/>
      <c r="R249" s="57"/>
      <c r="S249" s="16"/>
      <c r="T249" s="16"/>
      <c r="U249" s="16"/>
    </row>
    <row r="250" spans="1:21" ht="18.75" customHeight="1" x14ac:dyDescent="0.25">
      <c r="A250" s="14"/>
      <c r="B250" s="15"/>
      <c r="C250" s="2199" t="s">
        <v>2010</v>
      </c>
      <c r="D250" s="2200"/>
      <c r="E250" s="2200"/>
      <c r="F250" s="2200"/>
      <c r="G250" s="2200"/>
      <c r="H250" s="2200"/>
      <c r="I250" s="2200"/>
      <c r="J250" s="2200"/>
      <c r="K250" s="2200"/>
      <c r="L250" s="2200"/>
      <c r="M250" s="2200"/>
      <c r="N250" s="2201"/>
      <c r="O250" s="80"/>
      <c r="P250" s="1"/>
      <c r="Q250" s="14"/>
      <c r="R250" s="16"/>
      <c r="S250" s="16"/>
      <c r="T250" s="16"/>
      <c r="U250" s="16"/>
    </row>
    <row r="251" spans="1:21" ht="18.75" customHeight="1" x14ac:dyDescent="0.25">
      <c r="A251" s="14"/>
      <c r="B251" s="15"/>
      <c r="C251" s="2202" t="s">
        <v>1088</v>
      </c>
      <c r="D251" s="210">
        <v>64</v>
      </c>
      <c r="E251" s="104" t="s">
        <v>679</v>
      </c>
      <c r="F251" s="210">
        <v>80</v>
      </c>
      <c r="G251" s="210">
        <v>180</v>
      </c>
      <c r="H251" s="210">
        <v>290</v>
      </c>
      <c r="I251" s="210">
        <v>340</v>
      </c>
      <c r="J251" s="210">
        <v>400</v>
      </c>
      <c r="K251" s="210">
        <v>450</v>
      </c>
      <c r="L251" s="210">
        <v>525</v>
      </c>
      <c r="M251" s="210">
        <v>525</v>
      </c>
      <c r="N251" s="115">
        <v>400</v>
      </c>
      <c r="O251" s="17"/>
      <c r="P251" s="3"/>
      <c r="Q251" s="14"/>
      <c r="R251" s="16"/>
      <c r="S251" s="16"/>
      <c r="T251" s="16"/>
      <c r="U251" s="16"/>
    </row>
    <row r="252" spans="1:21" ht="18.75" customHeight="1" x14ac:dyDescent="0.25">
      <c r="A252" s="14"/>
      <c r="B252" s="15"/>
      <c r="C252" s="119" t="s">
        <v>568</v>
      </c>
      <c r="D252" s="120" t="s">
        <v>623</v>
      </c>
      <c r="E252" s="110" t="s">
        <v>608</v>
      </c>
      <c r="F252" s="110" t="s">
        <v>957</v>
      </c>
      <c r="G252" s="110" t="s">
        <v>572</v>
      </c>
      <c r="H252" s="110" t="s">
        <v>530</v>
      </c>
      <c r="I252" s="110" t="s">
        <v>573</v>
      </c>
      <c r="J252" s="110" t="s">
        <v>574</v>
      </c>
      <c r="K252" s="110" t="s">
        <v>575</v>
      </c>
      <c r="L252" s="110" t="s">
        <v>576</v>
      </c>
      <c r="M252" s="110" t="s">
        <v>577</v>
      </c>
      <c r="N252" s="2203" t="s">
        <v>609</v>
      </c>
      <c r="O252" s="80"/>
      <c r="P252" s="4"/>
      <c r="Q252" s="14"/>
      <c r="R252" s="16"/>
      <c r="S252" s="16"/>
      <c r="T252" s="16"/>
      <c r="U252" s="16"/>
    </row>
    <row r="253" spans="1:21" ht="18.75" customHeight="1" x14ac:dyDescent="0.25">
      <c r="A253" s="14"/>
      <c r="B253" s="15"/>
      <c r="C253" s="119" t="s">
        <v>582</v>
      </c>
      <c r="D253" s="120" t="s">
        <v>566</v>
      </c>
      <c r="E253" s="121">
        <v>98714.999534473944</v>
      </c>
      <c r="F253" s="129">
        <v>4426.9179600753978</v>
      </c>
      <c r="G253" s="129">
        <v>15824.089609395462</v>
      </c>
      <c r="H253" s="129">
        <v>23420.89342796912</v>
      </c>
      <c r="I253" s="129">
        <v>10791.924896960578</v>
      </c>
      <c r="J253" s="129">
        <v>11607.176150511195</v>
      </c>
      <c r="K253" s="129">
        <v>8624.3910409934851</v>
      </c>
      <c r="L253" s="129">
        <v>9448.9136149770493</v>
      </c>
      <c r="M253" s="129">
        <v>14570.692833591642</v>
      </c>
      <c r="N253" s="130">
        <v>33456.231739926276</v>
      </c>
      <c r="O253" s="80"/>
      <c r="P253" s="4"/>
      <c r="Q253" s="14"/>
      <c r="R253" s="16"/>
      <c r="S253" s="16"/>
      <c r="T253" s="16"/>
      <c r="U253" s="16"/>
    </row>
    <row r="254" spans="1:21" ht="37.5" customHeight="1" x14ac:dyDescent="0.25">
      <c r="A254" s="14"/>
      <c r="B254" s="15"/>
      <c r="C254" s="119" t="s">
        <v>582</v>
      </c>
      <c r="D254" s="120" t="s">
        <v>628</v>
      </c>
      <c r="E254" s="145">
        <v>15695.684925981357</v>
      </c>
      <c r="F254" s="129">
        <v>703.87995565198821</v>
      </c>
      <c r="G254" s="129">
        <v>2516.0302478938784</v>
      </c>
      <c r="H254" s="129">
        <v>3723.9220550470905</v>
      </c>
      <c r="I254" s="129">
        <v>1715.9160586167318</v>
      </c>
      <c r="J254" s="129">
        <v>1845.5410079312801</v>
      </c>
      <c r="K254" s="129">
        <v>1371.2781755179642</v>
      </c>
      <c r="L254" s="129">
        <v>1502.377264781351</v>
      </c>
      <c r="M254" s="129">
        <v>2316.740160541071</v>
      </c>
      <c r="N254" s="130">
        <v>5319.5408466482777</v>
      </c>
      <c r="O254" s="81"/>
      <c r="P254" s="9"/>
      <c r="Q254" s="14"/>
      <c r="R254" s="16"/>
      <c r="S254" s="16"/>
      <c r="T254" s="16"/>
      <c r="U254" s="16"/>
    </row>
    <row r="255" spans="1:21" ht="18.75" customHeight="1" x14ac:dyDescent="0.25">
      <c r="A255" s="14"/>
      <c r="B255" s="15"/>
      <c r="C255" s="119" t="s">
        <v>620</v>
      </c>
      <c r="D255" s="120" t="s">
        <v>622</v>
      </c>
      <c r="E255" s="129">
        <v>13412295.066556685</v>
      </c>
      <c r="F255" s="129">
        <v>469430.32732948399</v>
      </c>
      <c r="G255" s="129">
        <v>1877721.309317936</v>
      </c>
      <c r="H255" s="129">
        <v>3084827.8653080375</v>
      </c>
      <c r="I255" s="129">
        <v>1475352.4573212352</v>
      </c>
      <c r="J255" s="129">
        <v>1609475.407986802</v>
      </c>
      <c r="K255" s="129">
        <v>1207106.5559901015</v>
      </c>
      <c r="L255" s="129">
        <v>1341229.5066556686</v>
      </c>
      <c r="M255" s="129">
        <v>2280090.1613146365</v>
      </c>
      <c r="N255" s="130">
        <v>4828426.2239604061</v>
      </c>
      <c r="O255" s="82"/>
      <c r="P255" s="5"/>
      <c r="Q255" s="14"/>
      <c r="R255" s="16"/>
      <c r="S255" s="16"/>
      <c r="T255" s="16"/>
      <c r="U255" s="16"/>
    </row>
    <row r="256" spans="1:21" ht="18.75" customHeight="1" x14ac:dyDescent="0.25">
      <c r="A256" s="14"/>
      <c r="B256" s="15"/>
      <c r="C256" s="122" t="s">
        <v>776</v>
      </c>
      <c r="D256" s="120" t="s">
        <v>579</v>
      </c>
      <c r="E256" s="125">
        <v>0.1480912169868249</v>
      </c>
      <c r="F256" s="125">
        <v>1.2067430662740276E-3</v>
      </c>
      <c r="G256" s="125">
        <v>0</v>
      </c>
      <c r="H256" s="125">
        <v>5.3176248611467719E-2</v>
      </c>
      <c r="I256" s="125">
        <v>9.6988764137366471E-2</v>
      </c>
      <c r="J256" s="125">
        <v>0.14143366094406912</v>
      </c>
      <c r="K256" s="125">
        <v>0.18737099717540201</v>
      </c>
      <c r="L256" s="125">
        <v>0.24844530229625689</v>
      </c>
      <c r="M256" s="125">
        <v>0.39099835561798379</v>
      </c>
      <c r="N256" s="131">
        <v>0.30049344564019204</v>
      </c>
      <c r="O256" s="82"/>
      <c r="P256" s="10"/>
      <c r="Q256" s="14"/>
      <c r="R256" s="16"/>
      <c r="S256" s="16"/>
      <c r="T256" s="16"/>
      <c r="U256" s="16"/>
    </row>
    <row r="257" spans="1:21" ht="18.75" customHeight="1" x14ac:dyDescent="0.25">
      <c r="A257" s="14"/>
      <c r="B257" s="15"/>
      <c r="C257" s="122" t="s">
        <v>777</v>
      </c>
      <c r="D257" s="210" t="s">
        <v>778</v>
      </c>
      <c r="E257" s="125">
        <v>909.64645544219479</v>
      </c>
      <c r="F257" s="132">
        <v>0</v>
      </c>
      <c r="G257" s="132">
        <v>0</v>
      </c>
      <c r="H257" s="132">
        <v>0</v>
      </c>
      <c r="I257" s="132">
        <v>0</v>
      </c>
      <c r="J257" s="132">
        <v>202.08236132457023</v>
      </c>
      <c r="K257" s="132">
        <v>642.42295256582929</v>
      </c>
      <c r="L257" s="132">
        <v>1512.6544897617387</v>
      </c>
      <c r="M257" s="125">
        <v>3978.3121022126343</v>
      </c>
      <c r="N257" s="133">
        <v>2459.4349224534626</v>
      </c>
      <c r="O257" s="82"/>
      <c r="P257" s="5"/>
      <c r="Q257" s="14"/>
      <c r="R257" s="16"/>
      <c r="S257" s="16"/>
      <c r="T257" s="16"/>
      <c r="U257" s="16"/>
    </row>
    <row r="258" spans="1:21" ht="18.75" customHeight="1" x14ac:dyDescent="0.25">
      <c r="A258" s="14"/>
      <c r="B258" s="15"/>
      <c r="C258" s="119" t="s">
        <v>779</v>
      </c>
      <c r="D258" s="120" t="s">
        <v>970</v>
      </c>
      <c r="E258" s="132">
        <v>36.080111129111259</v>
      </c>
      <c r="F258" s="125">
        <v>80.460972488255351</v>
      </c>
      <c r="G258" s="125">
        <v>57.914478232821864</v>
      </c>
      <c r="H258" s="125">
        <v>39.14677927835379</v>
      </c>
      <c r="I258" s="125">
        <v>32.910179411788732</v>
      </c>
      <c r="J258" s="125">
        <v>30.594322433152996</v>
      </c>
      <c r="K258" s="125">
        <v>29.086267674511106</v>
      </c>
      <c r="L258" s="125">
        <v>26.844999364722639</v>
      </c>
      <c r="M258" s="125">
        <v>12.132842604790142</v>
      </c>
      <c r="N258" s="131">
        <v>24.238862026059593</v>
      </c>
      <c r="O258" s="83"/>
      <c r="P258" s="5"/>
      <c r="Q258" s="14"/>
      <c r="R258" s="16"/>
      <c r="S258" s="16"/>
      <c r="T258" s="16"/>
      <c r="U258" s="16"/>
    </row>
    <row r="259" spans="1:21" ht="18.75" customHeight="1" x14ac:dyDescent="0.25">
      <c r="A259" s="14"/>
      <c r="B259" s="15"/>
      <c r="C259" s="119" t="s">
        <v>580</v>
      </c>
      <c r="D259" s="120" t="s">
        <v>581</v>
      </c>
      <c r="E259" s="125">
        <v>843.54057022369091</v>
      </c>
      <c r="F259" s="125">
        <v>666.91816347385713</v>
      </c>
      <c r="G259" s="125">
        <v>746.30315390275655</v>
      </c>
      <c r="H259" s="125">
        <v>828.38142681507566</v>
      </c>
      <c r="I259" s="125">
        <v>859.80456323170938</v>
      </c>
      <c r="J259" s="125">
        <v>872.08867268189795</v>
      </c>
      <c r="K259" s="125">
        <v>880.27839831560721</v>
      </c>
      <c r="L259" s="125">
        <v>892.73815445474338</v>
      </c>
      <c r="M259" s="125">
        <v>984.18035831093164</v>
      </c>
      <c r="N259" s="131">
        <v>907.67725319802514</v>
      </c>
      <c r="O259" s="84"/>
      <c r="P259" s="5"/>
      <c r="Q259" s="14"/>
      <c r="R259" s="16"/>
      <c r="S259" s="16"/>
      <c r="T259" s="16"/>
      <c r="U259" s="16"/>
    </row>
    <row r="260" spans="1:21" ht="18.75" customHeight="1" x14ac:dyDescent="0.25">
      <c r="A260" s="14"/>
      <c r="B260" s="15"/>
      <c r="C260" s="119" t="s">
        <v>541</v>
      </c>
      <c r="D260" s="120" t="s">
        <v>579</v>
      </c>
      <c r="E260" s="125">
        <v>12.721383063412913</v>
      </c>
      <c r="F260" s="125">
        <v>16.853739738478808</v>
      </c>
      <c r="G260" s="125">
        <v>14.003698491939705</v>
      </c>
      <c r="H260" s="125">
        <v>13.547435686968765</v>
      </c>
      <c r="I260" s="125">
        <v>14.420243486004736</v>
      </c>
      <c r="J260" s="125">
        <v>14.755769420597847</v>
      </c>
      <c r="K260" s="125">
        <v>14.312706950908645</v>
      </c>
      <c r="L260" s="125">
        <v>12.598082175367924</v>
      </c>
      <c r="M260" s="125">
        <v>6.7659012861232188</v>
      </c>
      <c r="N260" s="131">
        <v>10.272652949331995</v>
      </c>
      <c r="O260" s="83"/>
      <c r="P260" s="5"/>
      <c r="Q260" s="14"/>
      <c r="R260" s="16"/>
      <c r="S260" s="16"/>
      <c r="T260" s="16"/>
      <c r="U260" s="16"/>
    </row>
    <row r="261" spans="1:21" ht="18.75" customHeight="1" x14ac:dyDescent="0.25">
      <c r="A261" s="14"/>
      <c r="B261" s="15"/>
      <c r="C261" s="119" t="s">
        <v>544</v>
      </c>
      <c r="D261" s="120" t="s">
        <v>579</v>
      </c>
      <c r="E261" s="125">
        <v>1.3</v>
      </c>
      <c r="F261" s="128"/>
      <c r="G261" s="128"/>
      <c r="H261" s="128"/>
      <c r="I261" s="128"/>
      <c r="J261" s="128"/>
      <c r="K261" s="128"/>
      <c r="L261" s="128"/>
      <c r="M261" s="125">
        <v>7.6394117647058817</v>
      </c>
      <c r="N261" s="131">
        <v>3.6111111111111112</v>
      </c>
      <c r="O261" s="83"/>
      <c r="P261" s="5"/>
      <c r="Q261" s="14"/>
      <c r="R261" s="16"/>
      <c r="S261" s="16"/>
      <c r="T261" s="16"/>
      <c r="U261" s="16"/>
    </row>
    <row r="262" spans="1:21" ht="18.75" customHeight="1" x14ac:dyDescent="0.25">
      <c r="A262" s="14"/>
      <c r="B262" s="15"/>
      <c r="C262" s="119" t="s">
        <v>780</v>
      </c>
      <c r="D262" s="120" t="s">
        <v>783</v>
      </c>
      <c r="E262" s="125">
        <v>12.172094441032554</v>
      </c>
      <c r="F262" s="125">
        <v>12.63194534089066</v>
      </c>
      <c r="G262" s="125">
        <v>12.029191956737131</v>
      </c>
      <c r="H262" s="125">
        <v>11.706573632932908</v>
      </c>
      <c r="I262" s="125">
        <v>11.842020236160282</v>
      </c>
      <c r="J262" s="125">
        <v>12.059446458383762</v>
      </c>
      <c r="K262" s="125">
        <v>12.246887084557333</v>
      </c>
      <c r="L262" s="125">
        <v>12.385092122155175</v>
      </c>
      <c r="M262" s="125">
        <v>11.869076366613038</v>
      </c>
      <c r="N262" s="131">
        <v>12.393191725226014</v>
      </c>
      <c r="O262" s="83"/>
      <c r="P262" s="1"/>
      <c r="Q262" s="14"/>
      <c r="R262" s="16"/>
      <c r="S262" s="16"/>
      <c r="T262" s="16"/>
      <c r="U262" s="16"/>
    </row>
    <row r="263" spans="1:21" ht="18.75" customHeight="1" x14ac:dyDescent="0.25">
      <c r="A263" s="14"/>
      <c r="B263" s="15"/>
      <c r="C263" s="122" t="s">
        <v>781</v>
      </c>
      <c r="D263" s="120" t="s">
        <v>782</v>
      </c>
      <c r="E263" s="125">
        <v>330</v>
      </c>
      <c r="F263" s="134">
        <v>60</v>
      </c>
      <c r="G263" s="134">
        <v>130</v>
      </c>
      <c r="H263" s="134">
        <v>235</v>
      </c>
      <c r="I263" s="134">
        <v>315</v>
      </c>
      <c r="J263" s="134">
        <v>375</v>
      </c>
      <c r="K263" s="134">
        <v>425</v>
      </c>
      <c r="L263" s="134">
        <v>480</v>
      </c>
      <c r="M263" s="134">
        <v>615</v>
      </c>
      <c r="N263" s="135">
        <v>520</v>
      </c>
      <c r="O263" s="83"/>
      <c r="P263" s="14"/>
      <c r="Q263" s="14"/>
      <c r="R263" s="16"/>
      <c r="S263" s="16"/>
      <c r="T263" s="16"/>
      <c r="U263" s="16"/>
    </row>
    <row r="264" spans="1:21" ht="18.75" customHeight="1" x14ac:dyDescent="0.25">
      <c r="A264" s="14"/>
      <c r="B264" s="15"/>
      <c r="C264" s="122"/>
      <c r="D264" s="210"/>
      <c r="E264" s="210"/>
      <c r="F264" s="210"/>
      <c r="G264" s="210"/>
      <c r="H264" s="210"/>
      <c r="I264" s="210"/>
      <c r="J264" s="210"/>
      <c r="K264" s="210"/>
      <c r="L264" s="210"/>
      <c r="M264" s="210"/>
      <c r="N264" s="115"/>
      <c r="O264" s="83"/>
      <c r="P264" s="1"/>
      <c r="Q264" s="14"/>
      <c r="R264" s="57"/>
      <c r="S264" s="16"/>
      <c r="T264" s="16"/>
      <c r="U264" s="16"/>
    </row>
    <row r="265" spans="1:21" ht="18.75" customHeight="1" x14ac:dyDescent="0.25">
      <c r="A265" s="14"/>
      <c r="B265" s="15"/>
      <c r="C265" s="2199" t="s">
        <v>2011</v>
      </c>
      <c r="D265" s="2200" t="s">
        <v>1174</v>
      </c>
      <c r="E265" s="2200" t="s">
        <v>1173</v>
      </c>
      <c r="F265" s="2200"/>
      <c r="G265" s="2200"/>
      <c r="H265" s="2200"/>
      <c r="I265" s="2200"/>
      <c r="J265" s="2200"/>
      <c r="K265" s="2200"/>
      <c r="L265" s="2200"/>
      <c r="M265" s="2200"/>
      <c r="N265" s="2201"/>
      <c r="O265" s="83"/>
      <c r="P265" s="1"/>
      <c r="Q265" s="14"/>
      <c r="R265" s="16"/>
      <c r="S265" s="16"/>
      <c r="T265" s="16"/>
      <c r="U265" s="16"/>
    </row>
    <row r="266" spans="1:21" ht="18.75" customHeight="1" x14ac:dyDescent="0.25">
      <c r="A266" s="14"/>
      <c r="B266" s="15"/>
      <c r="C266" s="2202" t="s">
        <v>407</v>
      </c>
      <c r="D266" s="210" t="s">
        <v>407</v>
      </c>
      <c r="E266" s="104" t="s">
        <v>679</v>
      </c>
      <c r="F266" s="210">
        <v>80</v>
      </c>
      <c r="G266" s="210">
        <v>180</v>
      </c>
      <c r="H266" s="210">
        <v>290</v>
      </c>
      <c r="I266" s="210">
        <v>343</v>
      </c>
      <c r="J266" s="210">
        <v>399</v>
      </c>
      <c r="K266" s="210">
        <v>454</v>
      </c>
      <c r="L266" s="210">
        <v>525</v>
      </c>
      <c r="M266" s="210">
        <v>525</v>
      </c>
      <c r="N266" s="115">
        <v>399</v>
      </c>
      <c r="O266" s="80"/>
      <c r="P266" s="3"/>
      <c r="Q266" s="14"/>
      <c r="R266" s="16"/>
      <c r="S266" s="16"/>
      <c r="T266" s="16"/>
      <c r="U266" s="16"/>
    </row>
    <row r="267" spans="1:21" ht="18.75" customHeight="1" x14ac:dyDescent="0.25">
      <c r="A267" s="14"/>
      <c r="B267" s="15"/>
      <c r="C267" s="119" t="s">
        <v>568</v>
      </c>
      <c r="D267" s="120" t="s">
        <v>623</v>
      </c>
      <c r="E267" s="110" t="s">
        <v>608</v>
      </c>
      <c r="F267" s="110" t="s">
        <v>957</v>
      </c>
      <c r="G267" s="110" t="s">
        <v>572</v>
      </c>
      <c r="H267" s="110" t="s">
        <v>530</v>
      </c>
      <c r="I267" s="110" t="s">
        <v>573</v>
      </c>
      <c r="J267" s="110" t="s">
        <v>574</v>
      </c>
      <c r="K267" s="110" t="s">
        <v>575</v>
      </c>
      <c r="L267" s="110" t="s">
        <v>576</v>
      </c>
      <c r="M267" s="110" t="s">
        <v>577</v>
      </c>
      <c r="N267" s="2203" t="s">
        <v>609</v>
      </c>
      <c r="O267" s="17"/>
      <c r="P267" s="4"/>
      <c r="Q267" s="14"/>
      <c r="R267" s="16"/>
      <c r="S267" s="16"/>
      <c r="T267" s="16"/>
      <c r="U267" s="16"/>
    </row>
    <row r="268" spans="1:21" ht="18.75" customHeight="1" x14ac:dyDescent="0.25">
      <c r="A268" s="14"/>
      <c r="B268" s="15"/>
      <c r="C268" s="119" t="s">
        <v>582</v>
      </c>
      <c r="D268" s="120" t="s">
        <v>566</v>
      </c>
      <c r="E268" s="121">
        <v>99177.64135868111</v>
      </c>
      <c r="F268" s="129">
        <v>7538.9890466543711</v>
      </c>
      <c r="G268" s="129">
        <v>17316.22160970941</v>
      </c>
      <c r="H268" s="129">
        <v>26885.40784502351</v>
      </c>
      <c r="I268" s="129">
        <v>12524.817625479878</v>
      </c>
      <c r="J268" s="129">
        <v>11182.517606223304</v>
      </c>
      <c r="K268" s="129">
        <v>8218.2707229657353</v>
      </c>
      <c r="L268" s="129">
        <v>6475.5173608741952</v>
      </c>
      <c r="M268" s="129">
        <v>9035.8995417507103</v>
      </c>
      <c r="N268" s="130">
        <v>28238.054386063879</v>
      </c>
      <c r="O268" s="80"/>
      <c r="P268" s="4"/>
      <c r="Q268" s="14"/>
      <c r="R268" s="16"/>
      <c r="S268" s="16"/>
      <c r="T268" s="16"/>
      <c r="U268" s="16"/>
    </row>
    <row r="269" spans="1:21" ht="36.75" customHeight="1" x14ac:dyDescent="0.25">
      <c r="A269" s="14"/>
      <c r="B269" s="15"/>
      <c r="C269" s="119" t="s">
        <v>582</v>
      </c>
      <c r="D269" s="120" t="s">
        <v>628</v>
      </c>
      <c r="E269" s="145">
        <v>15769.244976030297</v>
      </c>
      <c r="F269" s="129">
        <v>1198.699258418045</v>
      </c>
      <c r="G269" s="129">
        <v>2753.2792359437963</v>
      </c>
      <c r="H269" s="129">
        <v>4274.7798473587382</v>
      </c>
      <c r="I269" s="129">
        <v>1991.4460024513007</v>
      </c>
      <c r="J269" s="129">
        <v>1778.0202993895052</v>
      </c>
      <c r="K269" s="129">
        <v>1306.7050449515521</v>
      </c>
      <c r="L269" s="129">
        <v>1029.6072603789971</v>
      </c>
      <c r="M269" s="129">
        <v>1436.7080271383629</v>
      </c>
      <c r="N269" s="130">
        <v>4489.8506473841571</v>
      </c>
      <c r="O269" s="80"/>
      <c r="P269" s="9"/>
      <c r="Q269" s="14"/>
      <c r="R269" s="16"/>
      <c r="S269" s="16"/>
      <c r="T269" s="16"/>
      <c r="U269" s="16"/>
    </row>
    <row r="270" spans="1:21" ht="18.75" customHeight="1" x14ac:dyDescent="0.25">
      <c r="A270" s="14"/>
      <c r="B270" s="15"/>
      <c r="C270" s="119" t="s">
        <v>620</v>
      </c>
      <c r="D270" s="120" t="s">
        <v>622</v>
      </c>
      <c r="E270" s="129">
        <v>13687328.970000003</v>
      </c>
      <c r="F270" s="129">
        <v>854451.48145949247</v>
      </c>
      <c r="G270" s="129">
        <v>2157056.7659129584</v>
      </c>
      <c r="H270" s="129">
        <v>3607246.9722799896</v>
      </c>
      <c r="I270" s="129">
        <v>1757731.9563253336</v>
      </c>
      <c r="J270" s="129">
        <v>1609417.4951285068</v>
      </c>
      <c r="K270" s="129">
        <v>1209891.7354650162</v>
      </c>
      <c r="L270" s="129">
        <v>975521.165617669</v>
      </c>
      <c r="M270" s="129">
        <v>1516011.3978110366</v>
      </c>
      <c r="N270" s="130">
        <v>3701424.2988937218</v>
      </c>
      <c r="O270" s="81"/>
      <c r="P270" s="5"/>
      <c r="Q270" s="14"/>
      <c r="R270" s="16"/>
      <c r="S270" s="16"/>
      <c r="T270" s="16"/>
      <c r="U270" s="16"/>
    </row>
    <row r="271" spans="1:21" ht="18.75" customHeight="1" x14ac:dyDescent="0.25">
      <c r="A271" s="14"/>
      <c r="B271" s="15"/>
      <c r="C271" s="122" t="s">
        <v>776</v>
      </c>
      <c r="D271" s="120" t="s">
        <v>579</v>
      </c>
      <c r="E271" s="125">
        <v>0.16980000000000001</v>
      </c>
      <c r="F271" s="125">
        <v>0</v>
      </c>
      <c r="G271" s="125">
        <v>0</v>
      </c>
      <c r="H271" s="125">
        <v>6.487028883905413E-2</v>
      </c>
      <c r="I271" s="125">
        <v>0.1510983114584932</v>
      </c>
      <c r="J271" s="125">
        <v>0.21055860465850654</v>
      </c>
      <c r="K271" s="125">
        <v>0.27398518285937168</v>
      </c>
      <c r="L271" s="125">
        <v>0.34883282222603118</v>
      </c>
      <c r="M271" s="125">
        <v>0.53683769453568042</v>
      </c>
      <c r="N271" s="131">
        <v>0.40136935229494802</v>
      </c>
      <c r="O271" s="82"/>
      <c r="P271" s="10"/>
      <c r="Q271" s="14"/>
      <c r="R271" s="16"/>
      <c r="S271" s="16"/>
      <c r="T271" s="16"/>
      <c r="U271" s="16"/>
    </row>
    <row r="272" spans="1:21" ht="18.75" customHeight="1" x14ac:dyDescent="0.25">
      <c r="A272" s="14"/>
      <c r="B272" s="15"/>
      <c r="C272" s="122" t="s">
        <v>777</v>
      </c>
      <c r="D272" s="210" t="s">
        <v>778</v>
      </c>
      <c r="E272" s="125">
        <v>1040</v>
      </c>
      <c r="F272" s="132">
        <v>0</v>
      </c>
      <c r="G272" s="132">
        <v>0</v>
      </c>
      <c r="H272" s="132">
        <v>0</v>
      </c>
      <c r="I272" s="132">
        <v>147.76502983461546</v>
      </c>
      <c r="J272" s="132">
        <v>573.33295706164199</v>
      </c>
      <c r="K272" s="132">
        <v>1315.9260423987175</v>
      </c>
      <c r="L272" s="132">
        <v>2546.2715056129705</v>
      </c>
      <c r="M272" s="125">
        <v>5170.9765737434327</v>
      </c>
      <c r="N272" s="133">
        <v>3219.1200607523342</v>
      </c>
      <c r="O272" s="82"/>
      <c r="P272" s="5"/>
      <c r="Q272" s="14"/>
      <c r="R272" s="16"/>
      <c r="S272" s="16"/>
      <c r="T272" s="16"/>
      <c r="U272" s="16"/>
    </row>
    <row r="273" spans="1:21" ht="18.75" customHeight="1" x14ac:dyDescent="0.25">
      <c r="A273" s="14"/>
      <c r="B273" s="15"/>
      <c r="C273" s="119" t="s">
        <v>779</v>
      </c>
      <c r="D273" s="120" t="s">
        <v>970</v>
      </c>
      <c r="E273" s="132">
        <v>32.710282000696282</v>
      </c>
      <c r="F273" s="125">
        <v>66.810065343505755</v>
      </c>
      <c r="G273" s="125">
        <v>48.930774481465882</v>
      </c>
      <c r="H273" s="125">
        <v>36.017353731652683</v>
      </c>
      <c r="I273" s="125">
        <v>28.65400910502008</v>
      </c>
      <c r="J273" s="125">
        <v>24.667236439282533</v>
      </c>
      <c r="K273" s="125">
        <v>21.169746955325756</v>
      </c>
      <c r="L273" s="125">
        <v>17.695879132085047</v>
      </c>
      <c r="M273" s="125">
        <v>2.4639609223786181</v>
      </c>
      <c r="N273" s="131">
        <v>39.968737839092263</v>
      </c>
      <c r="O273" s="82"/>
      <c r="P273" s="5"/>
      <c r="Q273" s="14"/>
      <c r="R273" s="16"/>
      <c r="S273" s="16"/>
      <c r="T273" s="16"/>
      <c r="U273" s="16"/>
    </row>
    <row r="274" spans="1:21" ht="18.75" customHeight="1" x14ac:dyDescent="0.25">
      <c r="A274" s="14"/>
      <c r="B274" s="15"/>
      <c r="C274" s="119" t="s">
        <v>580</v>
      </c>
      <c r="D274" s="120" t="s">
        <v>581</v>
      </c>
      <c r="E274" s="125">
        <v>860.83830000000012</v>
      </c>
      <c r="F274" s="125">
        <v>712.81555858066895</v>
      </c>
      <c r="G274" s="125">
        <v>783.45005394033024</v>
      </c>
      <c r="H274" s="125">
        <v>843.84391736776865</v>
      </c>
      <c r="I274" s="125">
        <v>882.64103277804918</v>
      </c>
      <c r="J274" s="125">
        <v>905.17385863429718</v>
      </c>
      <c r="K274" s="125">
        <v>925.910357612398</v>
      </c>
      <c r="L274" s="125">
        <v>947.46919836072334</v>
      </c>
      <c r="M274" s="125">
        <v>1055.1979728481299</v>
      </c>
      <c r="N274" s="131">
        <v>824.39809017928417</v>
      </c>
      <c r="O274" s="83"/>
      <c r="P274" s="5"/>
      <c r="Q274" s="14"/>
      <c r="R274" s="16"/>
      <c r="S274" s="16"/>
      <c r="T274" s="16"/>
      <c r="U274" s="16"/>
    </row>
    <row r="275" spans="1:21" ht="18.75" customHeight="1" x14ac:dyDescent="0.25">
      <c r="A275" s="14"/>
      <c r="B275" s="15"/>
      <c r="C275" s="119" t="s">
        <v>541</v>
      </c>
      <c r="D275" s="120" t="s">
        <v>579</v>
      </c>
      <c r="E275" s="125">
        <v>12.931648905131908</v>
      </c>
      <c r="F275" s="125">
        <v>15.321692746753095</v>
      </c>
      <c r="G275" s="125">
        <v>13.50174052285624</v>
      </c>
      <c r="H275" s="125">
        <v>12.638480433923334</v>
      </c>
      <c r="I275" s="125">
        <v>12.394831175477673</v>
      </c>
      <c r="J275" s="125">
        <v>12.331915988948797</v>
      </c>
      <c r="K275" s="125">
        <v>12.271763653145852</v>
      </c>
      <c r="L275" s="125">
        <v>12.125465535911589</v>
      </c>
      <c r="M275" s="125">
        <v>13.775491885583563</v>
      </c>
      <c r="N275" s="131">
        <v>12.849096068230626</v>
      </c>
      <c r="O275" s="84"/>
      <c r="P275" s="5"/>
      <c r="Q275" s="14"/>
      <c r="R275" s="16"/>
      <c r="S275" s="16"/>
      <c r="T275" s="16"/>
      <c r="U275" s="16"/>
    </row>
    <row r="276" spans="1:21" ht="18.75" customHeight="1" x14ac:dyDescent="0.25">
      <c r="A276" s="14"/>
      <c r="B276" s="15"/>
      <c r="C276" s="119" t="s">
        <v>544</v>
      </c>
      <c r="D276" s="120" t="s">
        <v>579</v>
      </c>
      <c r="E276" s="125">
        <v>1.2</v>
      </c>
      <c r="F276" s="128"/>
      <c r="G276" s="128"/>
      <c r="H276" s="128"/>
      <c r="I276" s="128"/>
      <c r="J276" s="128"/>
      <c r="K276" s="128"/>
      <c r="L276" s="128"/>
      <c r="M276" s="125">
        <v>10.823381666475589</v>
      </c>
      <c r="N276" s="131">
        <v>4.4374255523499508</v>
      </c>
      <c r="O276" s="83"/>
      <c r="P276" s="5"/>
      <c r="Q276" s="14"/>
      <c r="R276" s="16"/>
      <c r="S276" s="16"/>
      <c r="T276" s="16"/>
      <c r="U276" s="16"/>
    </row>
    <row r="277" spans="1:21" ht="18.75" customHeight="1" x14ac:dyDescent="0.25">
      <c r="A277" s="14"/>
      <c r="B277" s="15"/>
      <c r="C277" s="119" t="s">
        <v>780</v>
      </c>
      <c r="D277" s="120" t="s">
        <v>783</v>
      </c>
      <c r="E277" s="125">
        <v>11.700153491056373</v>
      </c>
      <c r="F277" s="125">
        <v>11.603591066684944</v>
      </c>
      <c r="G277" s="125">
        <v>11.538317381501681</v>
      </c>
      <c r="H277" s="125">
        <v>11.509389111178706</v>
      </c>
      <c r="I277" s="125">
        <v>11.541600381019759</v>
      </c>
      <c r="J277" s="125">
        <v>11.585905176337866</v>
      </c>
      <c r="K277" s="125">
        <v>11.638857688170157</v>
      </c>
      <c r="L277" s="125">
        <v>11.689687554365658</v>
      </c>
      <c r="M277" s="125">
        <v>11.195866150132154</v>
      </c>
      <c r="N277" s="131">
        <v>11.510907375147308</v>
      </c>
      <c r="O277" s="83"/>
      <c r="P277" s="1"/>
      <c r="Q277" s="14"/>
      <c r="R277" s="16"/>
      <c r="S277" s="16"/>
      <c r="T277" s="16"/>
      <c r="U277" s="16"/>
    </row>
    <row r="278" spans="1:21" ht="18.75" customHeight="1" x14ac:dyDescent="0.25">
      <c r="A278" s="14"/>
      <c r="B278" s="15"/>
      <c r="C278" s="122" t="s">
        <v>781</v>
      </c>
      <c r="D278" s="120" t="s">
        <v>782</v>
      </c>
      <c r="E278" s="125">
        <v>296.18836685568135</v>
      </c>
      <c r="F278" s="134">
        <v>42.161482600405243</v>
      </c>
      <c r="G278" s="134">
        <v>138.4661602490732</v>
      </c>
      <c r="H278" s="134">
        <v>237.32469926339931</v>
      </c>
      <c r="I278" s="134">
        <v>315.93975462006586</v>
      </c>
      <c r="J278" s="134">
        <v>369.56279912297532</v>
      </c>
      <c r="K278" s="134">
        <v>424.22910543216562</v>
      </c>
      <c r="L278" s="134">
        <v>483.91826373810716</v>
      </c>
      <c r="M278" s="134">
        <v>645.61822707976467</v>
      </c>
      <c r="N278" s="135">
        <v>203.02943911373549</v>
      </c>
      <c r="O278" s="83"/>
      <c r="P278" s="14"/>
      <c r="Q278" s="14"/>
      <c r="R278" s="16"/>
      <c r="S278" s="16"/>
      <c r="T278" s="16"/>
      <c r="U278" s="16"/>
    </row>
    <row r="279" spans="1:21" ht="18.75" customHeight="1" x14ac:dyDescent="0.25">
      <c r="A279" s="14"/>
      <c r="B279" s="15"/>
      <c r="C279" s="122"/>
      <c r="D279" s="210"/>
      <c r="E279" s="210"/>
      <c r="F279" s="210"/>
      <c r="G279" s="210"/>
      <c r="H279" s="210"/>
      <c r="I279" s="210"/>
      <c r="J279" s="210"/>
      <c r="K279" s="210"/>
      <c r="L279" s="210"/>
      <c r="M279" s="210"/>
      <c r="N279" s="115"/>
      <c r="O279" s="83"/>
      <c r="P279" s="1"/>
      <c r="Q279" s="14"/>
      <c r="R279" s="16"/>
      <c r="S279" s="16"/>
      <c r="T279" s="16"/>
      <c r="U279" s="16"/>
    </row>
    <row r="280" spans="1:21" ht="18.75" customHeight="1" x14ac:dyDescent="0.25">
      <c r="A280" s="14"/>
      <c r="B280" s="15"/>
      <c r="C280" s="2199" t="s">
        <v>1289</v>
      </c>
      <c r="D280" s="2200"/>
      <c r="E280" s="2200"/>
      <c r="F280" s="2200"/>
      <c r="G280" s="2200"/>
      <c r="H280" s="2200"/>
      <c r="I280" s="2200"/>
      <c r="J280" s="2200"/>
      <c r="K280" s="2200"/>
      <c r="L280" s="2200"/>
      <c r="M280" s="2200"/>
      <c r="N280" s="2201"/>
      <c r="O280" s="83"/>
      <c r="P280" s="1"/>
      <c r="Q280" s="14"/>
      <c r="R280" s="57"/>
      <c r="S280" s="16"/>
      <c r="T280" s="16"/>
      <c r="U280" s="16"/>
    </row>
    <row r="281" spans="1:21" ht="18.75" customHeight="1" x14ac:dyDescent="0.25">
      <c r="A281" s="14"/>
      <c r="B281" s="15"/>
      <c r="C281" s="2202" t="s">
        <v>1088</v>
      </c>
      <c r="D281" s="210">
        <v>37</v>
      </c>
      <c r="E281" s="104" t="s">
        <v>679</v>
      </c>
      <c r="F281" s="210">
        <v>80</v>
      </c>
      <c r="G281" s="210">
        <v>180</v>
      </c>
      <c r="H281" s="210">
        <v>290</v>
      </c>
      <c r="I281" s="210">
        <v>340</v>
      </c>
      <c r="J281" s="210">
        <v>400</v>
      </c>
      <c r="K281" s="210">
        <v>450</v>
      </c>
      <c r="L281" s="210">
        <v>525</v>
      </c>
      <c r="M281" s="210">
        <v>525</v>
      </c>
      <c r="N281" s="115">
        <v>400</v>
      </c>
      <c r="O281" s="80"/>
      <c r="P281" s="3"/>
      <c r="Q281" s="14"/>
      <c r="R281" s="16"/>
      <c r="S281" s="16"/>
      <c r="T281" s="16"/>
      <c r="U281" s="16"/>
    </row>
    <row r="282" spans="1:21" ht="18.75" customHeight="1" x14ac:dyDescent="0.25">
      <c r="A282" s="14"/>
      <c r="B282" s="15"/>
      <c r="C282" s="119" t="s">
        <v>568</v>
      </c>
      <c r="D282" s="120" t="s">
        <v>623</v>
      </c>
      <c r="E282" s="110" t="s">
        <v>608</v>
      </c>
      <c r="F282" s="110" t="s">
        <v>957</v>
      </c>
      <c r="G282" s="110" t="s">
        <v>572</v>
      </c>
      <c r="H282" s="110" t="s">
        <v>530</v>
      </c>
      <c r="I282" s="110" t="s">
        <v>573</v>
      </c>
      <c r="J282" s="110" t="s">
        <v>574</v>
      </c>
      <c r="K282" s="110" t="s">
        <v>575</v>
      </c>
      <c r="L282" s="110" t="s">
        <v>576</v>
      </c>
      <c r="M282" s="110" t="s">
        <v>577</v>
      </c>
      <c r="N282" s="2203" t="s">
        <v>609</v>
      </c>
      <c r="O282" s="17"/>
      <c r="P282" s="3"/>
      <c r="Q282" s="14"/>
      <c r="R282" s="16"/>
      <c r="S282" s="16"/>
      <c r="T282" s="16"/>
      <c r="U282" s="16"/>
    </row>
    <row r="283" spans="1:21" ht="18.75" customHeight="1" x14ac:dyDescent="0.25">
      <c r="A283" s="14"/>
      <c r="B283" s="15"/>
      <c r="C283" s="119" t="s">
        <v>582</v>
      </c>
      <c r="D283" s="120" t="s">
        <v>566</v>
      </c>
      <c r="E283" s="121">
        <v>97816.559662112719</v>
      </c>
      <c r="F283" s="129">
        <v>2787.4796239572484</v>
      </c>
      <c r="G283" s="129">
        <v>4602.678995438594</v>
      </c>
      <c r="H283" s="129">
        <v>8499.6288896164424</v>
      </c>
      <c r="I283" s="129">
        <v>5096.6609774663975</v>
      </c>
      <c r="J283" s="129">
        <v>7013.371012475146</v>
      </c>
      <c r="K283" s="129">
        <v>5942.9738899775766</v>
      </c>
      <c r="L283" s="129">
        <v>12749.690537144525</v>
      </c>
      <c r="M283" s="129">
        <v>51124.075736036793</v>
      </c>
      <c r="N283" s="130">
        <v>70374.813504538237</v>
      </c>
      <c r="O283" s="80"/>
      <c r="P283" s="4"/>
      <c r="Q283" s="14"/>
      <c r="R283" s="16"/>
      <c r="S283" s="16"/>
      <c r="T283" s="16"/>
      <c r="U283" s="16"/>
    </row>
    <row r="284" spans="1:21" ht="18.75" customHeight="1" x14ac:dyDescent="0.25">
      <c r="A284" s="14"/>
      <c r="B284" s="15"/>
      <c r="C284" s="119" t="s">
        <v>582</v>
      </c>
      <c r="D284" s="120" t="s">
        <v>628</v>
      </c>
      <c r="E284" s="145">
        <v>15552.832986275922</v>
      </c>
      <c r="F284" s="129">
        <v>443.20926020920251</v>
      </c>
      <c r="G284" s="129">
        <v>731.82596027473642</v>
      </c>
      <c r="H284" s="129">
        <v>1351.4409934490143</v>
      </c>
      <c r="I284" s="129">
        <v>810.36909541715715</v>
      </c>
      <c r="J284" s="129">
        <v>1115.1259909835483</v>
      </c>
      <c r="K284" s="129">
        <v>944.93284850643477</v>
      </c>
      <c r="L284" s="129">
        <v>2027.2007954059793</v>
      </c>
      <c r="M284" s="129">
        <v>8128.7280420298503</v>
      </c>
      <c r="N284" s="130">
        <v>11189.595347221581</v>
      </c>
      <c r="O284" s="80"/>
      <c r="P284" s="4"/>
      <c r="Q284" s="14"/>
      <c r="R284" s="16"/>
      <c r="S284" s="16"/>
      <c r="T284" s="16"/>
      <c r="U284" s="16"/>
    </row>
    <row r="285" spans="1:21" ht="28.5" customHeight="1" x14ac:dyDescent="0.25">
      <c r="A285" s="14"/>
      <c r="B285" s="15"/>
      <c r="C285" s="119" t="s">
        <v>620</v>
      </c>
      <c r="D285" s="120" t="s">
        <v>622</v>
      </c>
      <c r="E285" s="129">
        <v>14854343.50719418</v>
      </c>
      <c r="F285" s="129">
        <v>297086.87014388363</v>
      </c>
      <c r="G285" s="129">
        <v>594173.74028776726</v>
      </c>
      <c r="H285" s="129">
        <v>1188347.4805755345</v>
      </c>
      <c r="I285" s="129">
        <v>742717.17535970907</v>
      </c>
      <c r="J285" s="129">
        <v>1039804.0455035927</v>
      </c>
      <c r="K285" s="129">
        <v>891260.61043165077</v>
      </c>
      <c r="L285" s="129">
        <v>1931064.6559352435</v>
      </c>
      <c r="M285" s="129">
        <v>8169888.9289568001</v>
      </c>
      <c r="N285" s="130">
        <v>10992214.195323693</v>
      </c>
      <c r="O285" s="81"/>
      <c r="P285" s="9"/>
      <c r="Q285" s="14"/>
      <c r="R285" s="16"/>
      <c r="S285" s="16"/>
      <c r="T285" s="16"/>
      <c r="U285" s="16"/>
    </row>
    <row r="286" spans="1:21" ht="18.75" customHeight="1" x14ac:dyDescent="0.25">
      <c r="A286" s="14"/>
      <c r="B286" s="15"/>
      <c r="C286" s="122" t="s">
        <v>776</v>
      </c>
      <c r="D286" s="120" t="s">
        <v>579</v>
      </c>
      <c r="E286" s="125">
        <v>0.80039122516622274</v>
      </c>
      <c r="F286" s="125">
        <v>8.5384376362425282E-2</v>
      </c>
      <c r="G286" s="125">
        <v>0</v>
      </c>
      <c r="H286" s="125">
        <v>0.20230474672634424</v>
      </c>
      <c r="I286" s="125">
        <v>0.37732556471120027</v>
      </c>
      <c r="J286" s="125">
        <v>0.51678170850393357</v>
      </c>
      <c r="K286" s="125">
        <v>0.66927662143912359</v>
      </c>
      <c r="L286" s="125">
        <v>0.82884595168631792</v>
      </c>
      <c r="M286" s="125">
        <v>1.0537301619353867</v>
      </c>
      <c r="N286" s="131">
        <v>0.98305156766220458</v>
      </c>
      <c r="O286" s="82"/>
      <c r="P286" s="5"/>
      <c r="Q286" s="14"/>
      <c r="R286" s="16"/>
      <c r="S286" s="16"/>
      <c r="T286" s="16"/>
      <c r="U286" s="16"/>
    </row>
    <row r="287" spans="1:21" ht="18.75" customHeight="1" x14ac:dyDescent="0.25">
      <c r="A287" s="14"/>
      <c r="B287" s="15"/>
      <c r="C287" s="122" t="s">
        <v>777</v>
      </c>
      <c r="D287" s="210" t="s">
        <v>778</v>
      </c>
      <c r="E287" s="125">
        <v>5905.6700416467474</v>
      </c>
      <c r="F287" s="132">
        <v>0</v>
      </c>
      <c r="G287" s="132">
        <v>0</v>
      </c>
      <c r="H287" s="132">
        <v>241.60916713669837</v>
      </c>
      <c r="I287" s="132">
        <v>1012.7904013169413</v>
      </c>
      <c r="J287" s="132">
        <v>1789.5646001512578</v>
      </c>
      <c r="K287" s="132">
        <v>2858.2947863452655</v>
      </c>
      <c r="L287" s="132">
        <v>4406.583066574206</v>
      </c>
      <c r="M287" s="125">
        <v>9029.2341461163887</v>
      </c>
      <c r="N287" s="133">
        <v>7716.8003597288871</v>
      </c>
      <c r="O287" s="82"/>
      <c r="P287" s="10"/>
      <c r="Q287" s="14"/>
      <c r="R287" s="16"/>
      <c r="S287" s="16"/>
      <c r="T287" s="16"/>
      <c r="U287" s="16"/>
    </row>
    <row r="288" spans="1:21" ht="18.75" customHeight="1" x14ac:dyDescent="0.25">
      <c r="A288" s="14"/>
      <c r="B288" s="15"/>
      <c r="C288" s="119" t="s">
        <v>779</v>
      </c>
      <c r="D288" s="120" t="s">
        <v>970</v>
      </c>
      <c r="E288" s="132">
        <v>19.811560599190216</v>
      </c>
      <c r="F288" s="125">
        <v>79.388946019707603</v>
      </c>
      <c r="G288" s="125">
        <v>42.609635434231691</v>
      </c>
      <c r="H288" s="125">
        <v>29.26151397522824</v>
      </c>
      <c r="I288" s="125">
        <v>22.736745269086967</v>
      </c>
      <c r="J288" s="125">
        <v>20.100587565533857</v>
      </c>
      <c r="K288" s="125">
        <v>18.373442315457908</v>
      </c>
      <c r="L288" s="125">
        <v>16.898120948620459</v>
      </c>
      <c r="M288" s="125">
        <v>9.1484306147440293</v>
      </c>
      <c r="N288" s="131">
        <v>12.398957543900679</v>
      </c>
      <c r="O288" s="82"/>
      <c r="P288" s="5"/>
      <c r="Q288" s="14"/>
      <c r="R288" s="16"/>
      <c r="S288" s="16"/>
      <c r="T288" s="16"/>
      <c r="U288" s="16"/>
    </row>
    <row r="289" spans="1:21" ht="18.75" customHeight="1" x14ac:dyDescent="0.25">
      <c r="A289" s="14"/>
      <c r="B289" s="15"/>
      <c r="C289" s="119" t="s">
        <v>580</v>
      </c>
      <c r="D289" s="120" t="s">
        <v>581</v>
      </c>
      <c r="E289" s="125">
        <v>934.23544070403648</v>
      </c>
      <c r="F289" s="125">
        <v>670.30835502772084</v>
      </c>
      <c r="G289" s="125">
        <v>811.90579801884473</v>
      </c>
      <c r="H289" s="125">
        <v>879.31880587901321</v>
      </c>
      <c r="I289" s="125">
        <v>916.5171519496032</v>
      </c>
      <c r="J289" s="125">
        <v>932.45431808694457</v>
      </c>
      <c r="K289" s="125">
        <v>943.19994467372089</v>
      </c>
      <c r="L289" s="125">
        <v>952.57690324086366</v>
      </c>
      <c r="M289" s="125">
        <v>1005.0636319377553</v>
      </c>
      <c r="N289" s="131">
        <v>982.36029581294031</v>
      </c>
      <c r="O289" s="83"/>
      <c r="P289" s="5"/>
      <c r="Q289" s="14"/>
      <c r="R289" s="16"/>
      <c r="S289" s="16"/>
      <c r="T289" s="16"/>
      <c r="U289" s="16"/>
    </row>
    <row r="290" spans="1:21" ht="18.75" customHeight="1" x14ac:dyDescent="0.25">
      <c r="A290" s="14"/>
      <c r="B290" s="15"/>
      <c r="C290" s="119" t="s">
        <v>541</v>
      </c>
      <c r="D290" s="120" t="s">
        <v>579</v>
      </c>
      <c r="E290" s="125">
        <v>7.9543546365414155</v>
      </c>
      <c r="F290" s="125">
        <v>16.39850023553722</v>
      </c>
      <c r="G290" s="125">
        <v>13.637703968460343</v>
      </c>
      <c r="H290" s="125">
        <v>13.215484447042501</v>
      </c>
      <c r="I290" s="125">
        <v>13.136881553747688</v>
      </c>
      <c r="J290" s="125">
        <v>12.976061618645883</v>
      </c>
      <c r="K290" s="125">
        <v>12.47028764634376</v>
      </c>
      <c r="L290" s="125">
        <v>11.129053897261471</v>
      </c>
      <c r="M290" s="125">
        <v>4.115409201657533</v>
      </c>
      <c r="N290" s="131">
        <v>6.0249585491030544</v>
      </c>
      <c r="O290" s="84"/>
      <c r="P290" s="5"/>
      <c r="Q290" s="14"/>
      <c r="R290" s="16"/>
      <c r="S290" s="16"/>
      <c r="T290" s="16"/>
      <c r="U290" s="16"/>
    </row>
    <row r="291" spans="1:21" ht="18.75" customHeight="1" x14ac:dyDescent="0.25">
      <c r="A291" s="14"/>
      <c r="B291" s="15"/>
      <c r="C291" s="119" t="s">
        <v>544</v>
      </c>
      <c r="D291" s="120" t="s">
        <v>579</v>
      </c>
      <c r="E291" s="125">
        <v>6.04</v>
      </c>
      <c r="F291" s="128"/>
      <c r="G291" s="128"/>
      <c r="H291" s="128"/>
      <c r="I291" s="128"/>
      <c r="J291" s="128"/>
      <c r="K291" s="128"/>
      <c r="L291" s="128"/>
      <c r="M291" s="125">
        <v>10.970836363636364</v>
      </c>
      <c r="N291" s="131">
        <v>8.1621621621621632</v>
      </c>
      <c r="O291" s="83"/>
      <c r="P291" s="5"/>
      <c r="Q291" s="14"/>
      <c r="R291" s="16"/>
      <c r="S291" s="16"/>
      <c r="T291" s="16"/>
      <c r="U291" s="16"/>
    </row>
    <row r="292" spans="1:21" ht="18.75" customHeight="1" x14ac:dyDescent="0.25">
      <c r="A292" s="14"/>
      <c r="B292" s="15"/>
      <c r="C292" s="119" t="s">
        <v>780</v>
      </c>
      <c r="D292" s="120" t="s">
        <v>783</v>
      </c>
      <c r="E292" s="125">
        <v>12.190817595507026</v>
      </c>
      <c r="F292" s="125">
        <v>12.441027925014623</v>
      </c>
      <c r="G292" s="125">
        <v>11.411448795705104</v>
      </c>
      <c r="H292" s="125">
        <v>11.135897527547503</v>
      </c>
      <c r="I292" s="125">
        <v>11.140647308465633</v>
      </c>
      <c r="J292" s="125">
        <v>11.249659329336609</v>
      </c>
      <c r="K292" s="125">
        <v>11.429888443086751</v>
      </c>
      <c r="L292" s="125">
        <v>11.658233958545335</v>
      </c>
      <c r="M292" s="125">
        <v>11.730503683904164</v>
      </c>
      <c r="N292" s="131">
        <v>11.823743390824731</v>
      </c>
      <c r="O292" s="83"/>
      <c r="P292" s="5"/>
      <c r="Q292" s="14"/>
      <c r="R292" s="16"/>
      <c r="S292" s="16"/>
      <c r="T292" s="16"/>
      <c r="U292" s="16"/>
    </row>
    <row r="293" spans="1:21" ht="18.75" customHeight="1" x14ac:dyDescent="0.25">
      <c r="A293" s="14"/>
      <c r="B293" s="15"/>
      <c r="C293" s="122" t="s">
        <v>781</v>
      </c>
      <c r="D293" s="120" t="s">
        <v>782</v>
      </c>
      <c r="E293" s="125">
        <v>550</v>
      </c>
      <c r="F293" s="134">
        <v>50</v>
      </c>
      <c r="G293" s="134">
        <v>170</v>
      </c>
      <c r="H293" s="134">
        <v>250</v>
      </c>
      <c r="I293" s="134">
        <v>320</v>
      </c>
      <c r="J293" s="134">
        <v>370</v>
      </c>
      <c r="K293" s="134">
        <v>425</v>
      </c>
      <c r="L293" s="134">
        <v>490</v>
      </c>
      <c r="M293" s="134">
        <v>640</v>
      </c>
      <c r="N293" s="135">
        <v>600</v>
      </c>
      <c r="O293" s="83"/>
      <c r="P293" s="1"/>
      <c r="Q293" s="14"/>
      <c r="R293" s="16"/>
      <c r="S293" s="16"/>
      <c r="T293" s="16"/>
      <c r="U293" s="16"/>
    </row>
    <row r="294" spans="1:21" ht="18.75" customHeight="1" x14ac:dyDescent="0.25">
      <c r="A294" s="14"/>
      <c r="B294" s="15"/>
      <c r="C294" s="122"/>
      <c r="D294" s="210"/>
      <c r="E294" s="210"/>
      <c r="F294" s="210"/>
      <c r="G294" s="210"/>
      <c r="H294" s="210"/>
      <c r="I294" s="210"/>
      <c r="J294" s="210"/>
      <c r="K294" s="210"/>
      <c r="L294" s="210"/>
      <c r="M294" s="210"/>
      <c r="N294" s="115"/>
      <c r="O294" s="83"/>
      <c r="P294" s="14"/>
      <c r="Q294" s="14"/>
      <c r="R294" s="16"/>
      <c r="S294" s="16"/>
      <c r="T294" s="16"/>
      <c r="U294" s="16"/>
    </row>
    <row r="295" spans="1:21" ht="18.75" customHeight="1" x14ac:dyDescent="0.25">
      <c r="A295" s="14"/>
      <c r="B295" s="15"/>
      <c r="C295" s="2199" t="s">
        <v>2012</v>
      </c>
      <c r="D295" s="2200" t="s">
        <v>2013</v>
      </c>
      <c r="E295" s="2200" t="s">
        <v>2014</v>
      </c>
      <c r="F295" s="2200"/>
      <c r="G295" s="2200"/>
      <c r="H295" s="2200"/>
      <c r="I295" s="2200"/>
      <c r="J295" s="2200"/>
      <c r="K295" s="2200"/>
      <c r="L295" s="2200"/>
      <c r="M295" s="2200"/>
      <c r="N295" s="2201"/>
      <c r="O295" s="83"/>
      <c r="P295" s="1"/>
      <c r="Q295" s="14"/>
      <c r="R295" s="16"/>
      <c r="S295" s="16"/>
      <c r="T295" s="16"/>
      <c r="U295" s="16"/>
    </row>
    <row r="296" spans="1:21" ht="18.75" customHeight="1" x14ac:dyDescent="0.25">
      <c r="A296" s="14"/>
      <c r="B296" s="15"/>
      <c r="C296" s="2202" t="s">
        <v>1088</v>
      </c>
      <c r="D296" s="210">
        <v>22</v>
      </c>
      <c r="E296" s="104" t="s">
        <v>679</v>
      </c>
      <c r="F296" s="210">
        <v>80</v>
      </c>
      <c r="G296" s="210">
        <v>182</v>
      </c>
      <c r="H296" s="210">
        <v>291</v>
      </c>
      <c r="I296" s="210">
        <v>340</v>
      </c>
      <c r="J296" s="210">
        <v>396</v>
      </c>
      <c r="K296" s="210">
        <v>450</v>
      </c>
      <c r="L296" s="210">
        <v>524</v>
      </c>
      <c r="M296" s="210">
        <v>524</v>
      </c>
      <c r="N296" s="115">
        <v>396</v>
      </c>
      <c r="O296" s="80"/>
      <c r="P296" s="1"/>
      <c r="Q296" s="14"/>
      <c r="R296" s="57"/>
      <c r="S296" s="16"/>
      <c r="T296" s="16"/>
      <c r="U296" s="16"/>
    </row>
    <row r="297" spans="1:21" ht="18.75" customHeight="1" x14ac:dyDescent="0.25">
      <c r="A297" s="14"/>
      <c r="B297" s="15"/>
      <c r="C297" s="119" t="s">
        <v>568</v>
      </c>
      <c r="D297" s="120" t="s">
        <v>623</v>
      </c>
      <c r="E297" s="110" t="s">
        <v>608</v>
      </c>
      <c r="F297" s="110" t="s">
        <v>957</v>
      </c>
      <c r="G297" s="110" t="s">
        <v>572</v>
      </c>
      <c r="H297" s="110" t="s">
        <v>530</v>
      </c>
      <c r="I297" s="110" t="s">
        <v>573</v>
      </c>
      <c r="J297" s="110" t="s">
        <v>574</v>
      </c>
      <c r="K297" s="110" t="s">
        <v>575</v>
      </c>
      <c r="L297" s="110" t="s">
        <v>576</v>
      </c>
      <c r="M297" s="110" t="s">
        <v>577</v>
      </c>
      <c r="N297" s="2203" t="s">
        <v>609</v>
      </c>
      <c r="O297" s="17"/>
      <c r="P297" s="3"/>
      <c r="Q297" s="14"/>
      <c r="R297" s="16"/>
      <c r="S297" s="16"/>
      <c r="T297" s="16"/>
      <c r="U297" s="16"/>
    </row>
    <row r="298" spans="1:21" ht="18.75" customHeight="1" x14ac:dyDescent="0.25">
      <c r="A298" s="14"/>
      <c r="B298" s="15"/>
      <c r="C298" s="119" t="s">
        <v>582</v>
      </c>
      <c r="D298" s="120" t="s">
        <v>566</v>
      </c>
      <c r="E298" s="121">
        <v>99274.034008717572</v>
      </c>
      <c r="F298" s="129">
        <v>7281.2230008894912</v>
      </c>
      <c r="G298" s="129">
        <v>24357.022102698698</v>
      </c>
      <c r="H298" s="129">
        <v>20012.621284267454</v>
      </c>
      <c r="I298" s="129">
        <v>7655.8604818803324</v>
      </c>
      <c r="J298" s="129">
        <v>8454.5462150582498</v>
      </c>
      <c r="K298" s="129">
        <v>8335.9351713742672</v>
      </c>
      <c r="L298" s="129">
        <v>7320.9154927080817</v>
      </c>
      <c r="M298" s="129">
        <v>15855.910259841008</v>
      </c>
      <c r="N298" s="130">
        <v>31760.39808892303</v>
      </c>
      <c r="O298" s="80"/>
      <c r="P298" s="3"/>
      <c r="Q298" s="14"/>
      <c r="R298" s="16"/>
      <c r="S298" s="16"/>
      <c r="T298" s="16"/>
      <c r="U298" s="16"/>
    </row>
    <row r="299" spans="1:21" ht="18.75" customHeight="1" x14ac:dyDescent="0.25">
      <c r="A299" s="14"/>
      <c r="B299" s="15"/>
      <c r="C299" s="119" t="s">
        <v>582</v>
      </c>
      <c r="D299" s="120" t="s">
        <v>628</v>
      </c>
      <c r="E299" s="145">
        <v>15784.571407386095</v>
      </c>
      <c r="F299" s="129">
        <v>1157.7144571414292</v>
      </c>
      <c r="G299" s="129">
        <v>3872.7665143290933</v>
      </c>
      <c r="H299" s="129">
        <v>3182.0067841985251</v>
      </c>
      <c r="I299" s="129">
        <v>1217.2818166189729</v>
      </c>
      <c r="J299" s="129">
        <v>1344.2728481942618</v>
      </c>
      <c r="K299" s="129">
        <v>1325.4136922485086</v>
      </c>
      <c r="L299" s="129">
        <v>1164.025563340585</v>
      </c>
      <c r="M299" s="129">
        <v>2521.0897313147202</v>
      </c>
      <c r="N299" s="130">
        <v>5049.903296138762</v>
      </c>
      <c r="O299" s="80"/>
      <c r="P299" s="4"/>
      <c r="Q299" s="14"/>
      <c r="R299" s="16"/>
      <c r="S299" s="16"/>
      <c r="T299" s="16"/>
      <c r="U299" s="16"/>
    </row>
    <row r="300" spans="1:21" ht="18.75" customHeight="1" x14ac:dyDescent="0.25">
      <c r="A300" s="14"/>
      <c r="B300" s="15"/>
      <c r="C300" s="119" t="s">
        <v>620</v>
      </c>
      <c r="D300" s="120" t="s">
        <v>622</v>
      </c>
      <c r="E300" s="129">
        <v>13197000</v>
      </c>
      <c r="F300" s="129">
        <v>791820</v>
      </c>
      <c r="G300" s="129">
        <v>2903340</v>
      </c>
      <c r="H300" s="129">
        <v>2639400</v>
      </c>
      <c r="I300" s="129">
        <v>1055760</v>
      </c>
      <c r="J300" s="129">
        <v>1187730</v>
      </c>
      <c r="K300" s="129">
        <v>1187730</v>
      </c>
      <c r="L300" s="129">
        <v>1055760</v>
      </c>
      <c r="M300" s="129">
        <v>2375460</v>
      </c>
      <c r="N300" s="130">
        <v>4618950</v>
      </c>
      <c r="O300" s="81"/>
      <c r="P300" s="4"/>
      <c r="Q300" s="14"/>
      <c r="R300" s="16"/>
      <c r="S300" s="16"/>
      <c r="T300" s="16"/>
      <c r="U300" s="16"/>
    </row>
    <row r="301" spans="1:21" ht="36.75" customHeight="1" x14ac:dyDescent="0.25">
      <c r="A301" s="14"/>
      <c r="B301" s="15"/>
      <c r="C301" s="122" t="s">
        <v>776</v>
      </c>
      <c r="D301" s="120" t="s">
        <v>579</v>
      </c>
      <c r="E301" s="125">
        <v>0.37390201784840038</v>
      </c>
      <c r="F301" s="125">
        <v>0</v>
      </c>
      <c r="G301" s="125">
        <v>0</v>
      </c>
      <c r="H301" s="125">
        <v>0.10099195971858893</v>
      </c>
      <c r="I301" s="125">
        <v>0.26282505325580341</v>
      </c>
      <c r="J301" s="125">
        <v>0.39421382724853948</v>
      </c>
      <c r="K301" s="125">
        <v>0.55497334095414064</v>
      </c>
      <c r="L301" s="125">
        <v>0.73483668510523492</v>
      </c>
      <c r="M301" s="125">
        <v>1.0470213427642132</v>
      </c>
      <c r="N301" s="131">
        <v>0.84913822054814214</v>
      </c>
      <c r="O301" s="82"/>
      <c r="P301" s="9"/>
      <c r="Q301" s="14"/>
      <c r="R301" s="16"/>
      <c r="S301" s="16"/>
      <c r="T301" s="16"/>
      <c r="U301" s="16"/>
    </row>
    <row r="302" spans="1:21" ht="18.75" customHeight="1" x14ac:dyDescent="0.25">
      <c r="A302" s="14"/>
      <c r="B302" s="15"/>
      <c r="C302" s="122" t="s">
        <v>777</v>
      </c>
      <c r="D302" s="210" t="s">
        <v>778</v>
      </c>
      <c r="E302" s="125">
        <v>756.86541395449467</v>
      </c>
      <c r="F302" s="132">
        <v>0</v>
      </c>
      <c r="G302" s="132">
        <v>0</v>
      </c>
      <c r="H302" s="132">
        <v>12.576140888562634</v>
      </c>
      <c r="I302" s="132">
        <v>226.06353666082958</v>
      </c>
      <c r="J302" s="132">
        <v>478.99499250855854</v>
      </c>
      <c r="K302" s="132">
        <v>886.98886840935472</v>
      </c>
      <c r="L302" s="132">
        <v>1492.9228306423461</v>
      </c>
      <c r="M302" s="125">
        <v>2743.8484939439763</v>
      </c>
      <c r="N302" s="133">
        <v>1980.4444386232726</v>
      </c>
      <c r="O302" s="82"/>
      <c r="P302" s="5"/>
      <c r="Q302" s="14"/>
      <c r="R302" s="16"/>
      <c r="S302" s="16"/>
      <c r="T302" s="16"/>
      <c r="U302" s="16"/>
    </row>
    <row r="303" spans="1:21" ht="18.75" customHeight="1" x14ac:dyDescent="0.25">
      <c r="A303" s="14"/>
      <c r="B303" s="15"/>
      <c r="C303" s="119" t="s">
        <v>779</v>
      </c>
      <c r="D303" s="120" t="s">
        <v>970</v>
      </c>
      <c r="E303" s="132">
        <v>38.200000000000003</v>
      </c>
      <c r="F303" s="125">
        <v>75.182372684147907</v>
      </c>
      <c r="G303" s="125">
        <v>57.0609970801614</v>
      </c>
      <c r="H303" s="125">
        <v>38.921482084385332</v>
      </c>
      <c r="I303" s="125">
        <v>31.487530646348461</v>
      </c>
      <c r="J303" s="125">
        <v>28.491956615214605</v>
      </c>
      <c r="K303" s="125">
        <v>26.247387542852834</v>
      </c>
      <c r="L303" s="125">
        <v>24.356802909504339</v>
      </c>
      <c r="M303" s="125">
        <v>18.526863764073738</v>
      </c>
      <c r="N303" s="131">
        <v>23.0497295937339</v>
      </c>
      <c r="O303" s="82"/>
      <c r="P303" s="10"/>
      <c r="Q303" s="14"/>
      <c r="R303" s="16"/>
      <c r="S303" s="16"/>
      <c r="T303" s="16"/>
      <c r="U303" s="16"/>
    </row>
    <row r="304" spans="1:21" ht="18.75" customHeight="1" x14ac:dyDescent="0.25">
      <c r="A304" s="14"/>
      <c r="B304" s="15"/>
      <c r="C304" s="119" t="s">
        <v>580</v>
      </c>
      <c r="D304" s="120" t="s">
        <v>581</v>
      </c>
      <c r="E304" s="125">
        <v>830</v>
      </c>
      <c r="F304" s="125">
        <v>683.9510339666333</v>
      </c>
      <c r="G304" s="125">
        <v>749.68113601936727</v>
      </c>
      <c r="H304" s="125">
        <v>829.47654703533408</v>
      </c>
      <c r="I304" s="125">
        <v>867.30943121486587</v>
      </c>
      <c r="J304" s="125">
        <v>883.54830761884159</v>
      </c>
      <c r="K304" s="125">
        <v>896.12021284091759</v>
      </c>
      <c r="L304" s="125">
        <v>906.99039028844129</v>
      </c>
      <c r="M304" s="125">
        <v>942.23540340280704</v>
      </c>
      <c r="N304" s="131">
        <v>914.66107945705107</v>
      </c>
      <c r="O304" s="83"/>
      <c r="P304" s="5"/>
      <c r="Q304" s="14"/>
      <c r="R304" s="16"/>
      <c r="S304" s="16"/>
      <c r="T304" s="16"/>
      <c r="U304" s="16"/>
    </row>
    <row r="305" spans="1:21" ht="18.75" customHeight="1" x14ac:dyDescent="0.25">
      <c r="A305" s="14"/>
      <c r="B305" s="15"/>
      <c r="C305" s="119" t="s">
        <v>541</v>
      </c>
      <c r="D305" s="120" t="s">
        <v>579</v>
      </c>
      <c r="E305" s="125">
        <v>12.996650927454118</v>
      </c>
      <c r="F305" s="125">
        <v>15.642463220032433</v>
      </c>
      <c r="G305" s="125">
        <v>14.051490546425786</v>
      </c>
      <c r="H305" s="125">
        <v>13.352048695299274</v>
      </c>
      <c r="I305" s="125">
        <v>13.488438551972772</v>
      </c>
      <c r="J305" s="125">
        <v>13.542702189522174</v>
      </c>
      <c r="K305" s="125">
        <v>13.309213945412424</v>
      </c>
      <c r="L305" s="125">
        <v>12.442355463232538</v>
      </c>
      <c r="M305" s="125">
        <v>10.029052786767256</v>
      </c>
      <c r="N305" s="131">
        <v>11.42413483932522</v>
      </c>
      <c r="O305" s="84"/>
      <c r="P305" s="5"/>
      <c r="Q305" s="14"/>
      <c r="R305" s="16"/>
      <c r="S305" s="16"/>
      <c r="T305" s="16"/>
      <c r="U305" s="16"/>
    </row>
    <row r="306" spans="1:21" ht="18.75" customHeight="1" x14ac:dyDescent="0.25">
      <c r="A306" s="14"/>
      <c r="B306" s="15"/>
      <c r="C306" s="119" t="s">
        <v>544</v>
      </c>
      <c r="D306" s="120" t="s">
        <v>579</v>
      </c>
      <c r="E306" s="125">
        <v>2.04</v>
      </c>
      <c r="F306" s="128"/>
      <c r="G306" s="128"/>
      <c r="H306" s="128"/>
      <c r="I306" s="128"/>
      <c r="J306" s="128"/>
      <c r="K306" s="128"/>
      <c r="L306" s="128"/>
      <c r="M306" s="125">
        <v>11.322000000000001</v>
      </c>
      <c r="N306" s="131">
        <v>5.8285714285714283</v>
      </c>
      <c r="O306" s="83"/>
      <c r="P306" s="5"/>
      <c r="Q306" s="14"/>
      <c r="R306" s="16"/>
      <c r="S306" s="16"/>
      <c r="T306" s="16"/>
      <c r="U306" s="16"/>
    </row>
    <row r="307" spans="1:21" ht="18.75" customHeight="1" x14ac:dyDescent="0.25">
      <c r="A307" s="14"/>
      <c r="B307" s="15"/>
      <c r="C307" s="119" t="s">
        <v>780</v>
      </c>
      <c r="D307" s="120" t="s">
        <v>783</v>
      </c>
      <c r="E307" s="125">
        <v>12.162183909880365</v>
      </c>
      <c r="F307" s="125">
        <v>12.31736391856955</v>
      </c>
      <c r="G307" s="125">
        <v>11.955154509662361</v>
      </c>
      <c r="H307" s="125">
        <v>11.691117975336329</v>
      </c>
      <c r="I307" s="125">
        <v>11.739550696077266</v>
      </c>
      <c r="J307" s="125">
        <v>11.860029255866896</v>
      </c>
      <c r="K307" s="125">
        <v>12.041860779036108</v>
      </c>
      <c r="L307" s="125">
        <v>12.244191912504011</v>
      </c>
      <c r="M307" s="125">
        <v>12.420666282545861</v>
      </c>
      <c r="N307" s="131">
        <v>12.350035309751911</v>
      </c>
      <c r="O307" s="83"/>
      <c r="P307" s="5"/>
      <c r="Q307" s="14"/>
      <c r="R307" s="16"/>
      <c r="S307" s="16"/>
      <c r="T307" s="16"/>
      <c r="U307" s="16"/>
    </row>
    <row r="308" spans="1:21" ht="18.75" customHeight="1" x14ac:dyDescent="0.25">
      <c r="A308" s="14"/>
      <c r="B308" s="15"/>
      <c r="C308" s="122" t="s">
        <v>781</v>
      </c>
      <c r="D308" s="120" t="s">
        <v>782</v>
      </c>
      <c r="E308" s="125">
        <v>306.26</v>
      </c>
      <c r="F308" s="134">
        <v>60</v>
      </c>
      <c r="G308" s="134">
        <v>128</v>
      </c>
      <c r="H308" s="134">
        <v>235</v>
      </c>
      <c r="I308" s="134">
        <v>315</v>
      </c>
      <c r="J308" s="134">
        <v>368</v>
      </c>
      <c r="K308" s="134">
        <v>427</v>
      </c>
      <c r="L308" s="134">
        <v>490</v>
      </c>
      <c r="M308" s="134">
        <v>620</v>
      </c>
      <c r="N308" s="135">
        <v>530</v>
      </c>
      <c r="O308" s="83"/>
      <c r="P308" s="5"/>
      <c r="Q308" s="14"/>
      <c r="R308" s="16"/>
      <c r="S308" s="16"/>
      <c r="T308" s="16"/>
      <c r="U308" s="16"/>
    </row>
    <row r="309" spans="1:21" ht="18.75" customHeight="1" x14ac:dyDescent="0.25">
      <c r="A309" s="14"/>
      <c r="B309" s="15"/>
      <c r="C309" s="122"/>
      <c r="D309" s="210"/>
      <c r="E309" s="210"/>
      <c r="F309" s="210"/>
      <c r="G309" s="210"/>
      <c r="H309" s="210"/>
      <c r="I309" s="210"/>
      <c r="J309" s="210"/>
      <c r="K309" s="210"/>
      <c r="L309" s="210"/>
      <c r="M309" s="210"/>
      <c r="N309" s="115"/>
      <c r="O309" s="83"/>
      <c r="P309" s="5"/>
      <c r="Q309" s="14"/>
      <c r="R309" s="16"/>
      <c r="S309" s="16"/>
      <c r="T309" s="16"/>
      <c r="U309" s="16"/>
    </row>
    <row r="310" spans="1:21" ht="18.75" customHeight="1" x14ac:dyDescent="0.25">
      <c r="A310" s="14"/>
      <c r="B310" s="15"/>
      <c r="C310" s="2199" t="s">
        <v>2015</v>
      </c>
      <c r="D310" s="2200"/>
      <c r="E310" s="2200"/>
      <c r="F310" s="2200"/>
      <c r="G310" s="2200"/>
      <c r="H310" s="2200"/>
      <c r="I310" s="2200"/>
      <c r="J310" s="2200"/>
      <c r="K310" s="2200"/>
      <c r="L310" s="2200"/>
      <c r="M310" s="2200"/>
      <c r="N310" s="2201"/>
      <c r="O310" s="83"/>
      <c r="P310" s="1"/>
      <c r="Q310" s="14"/>
      <c r="R310" s="16"/>
      <c r="S310" s="16"/>
      <c r="T310" s="16"/>
      <c r="U310" s="16"/>
    </row>
    <row r="311" spans="1:21" ht="18.75" customHeight="1" x14ac:dyDescent="0.25">
      <c r="A311" s="14"/>
      <c r="B311" s="15"/>
      <c r="C311" s="2202" t="s">
        <v>1088</v>
      </c>
      <c r="D311" s="210">
        <v>35</v>
      </c>
      <c r="E311" s="104" t="s">
        <v>679</v>
      </c>
      <c r="F311" s="210">
        <v>80</v>
      </c>
      <c r="G311" s="210">
        <v>180</v>
      </c>
      <c r="H311" s="210">
        <v>290</v>
      </c>
      <c r="I311" s="210">
        <v>340</v>
      </c>
      <c r="J311" s="210">
        <v>400</v>
      </c>
      <c r="K311" s="210">
        <v>450</v>
      </c>
      <c r="L311" s="210">
        <v>525</v>
      </c>
      <c r="M311" s="210">
        <v>525</v>
      </c>
      <c r="N311" s="115">
        <v>400</v>
      </c>
      <c r="O311" s="80"/>
      <c r="P311" s="14"/>
      <c r="Q311" s="14"/>
      <c r="R311" s="16"/>
      <c r="S311" s="16"/>
      <c r="T311" s="16"/>
      <c r="U311" s="16"/>
    </row>
    <row r="312" spans="1:21" ht="18.75" customHeight="1" x14ac:dyDescent="0.25">
      <c r="A312" s="14"/>
      <c r="B312" s="15"/>
      <c r="C312" s="119" t="s">
        <v>568</v>
      </c>
      <c r="D312" s="120" t="s">
        <v>623</v>
      </c>
      <c r="E312" s="110" t="s">
        <v>608</v>
      </c>
      <c r="F312" s="110" t="s">
        <v>957</v>
      </c>
      <c r="G312" s="110" t="s">
        <v>572</v>
      </c>
      <c r="H312" s="110" t="s">
        <v>530</v>
      </c>
      <c r="I312" s="110" t="s">
        <v>573</v>
      </c>
      <c r="J312" s="110" t="s">
        <v>574</v>
      </c>
      <c r="K312" s="110" t="s">
        <v>575</v>
      </c>
      <c r="L312" s="110" t="s">
        <v>576</v>
      </c>
      <c r="M312" s="110" t="s">
        <v>577</v>
      </c>
      <c r="N312" s="2203" t="s">
        <v>609</v>
      </c>
      <c r="O312" s="80"/>
      <c r="P312" s="1"/>
      <c r="Q312" s="14"/>
      <c r="R312" s="57"/>
      <c r="S312" s="16"/>
      <c r="T312" s="16"/>
      <c r="U312" s="16"/>
    </row>
    <row r="313" spans="1:21" ht="18.75" customHeight="1" x14ac:dyDescent="0.25">
      <c r="A313" s="14"/>
      <c r="B313" s="15"/>
      <c r="C313" s="119" t="s">
        <v>582</v>
      </c>
      <c r="D313" s="120" t="s">
        <v>566</v>
      </c>
      <c r="E313" s="121">
        <v>96313.816327129432</v>
      </c>
      <c r="F313" s="129">
        <v>1258.1912572210554</v>
      </c>
      <c r="G313" s="129">
        <v>15914.504814943788</v>
      </c>
      <c r="H313" s="129">
        <v>16566.802595151607</v>
      </c>
      <c r="I313" s="129">
        <v>6872.7020419748442</v>
      </c>
      <c r="J313" s="129">
        <v>6754.6123083430602</v>
      </c>
      <c r="K313" s="129">
        <v>7633.5175275625343</v>
      </c>
      <c r="L313" s="129">
        <v>11304.906189347219</v>
      </c>
      <c r="M313" s="129">
        <v>30008.579592585316</v>
      </c>
      <c r="N313" s="130">
        <v>51587.32041102033</v>
      </c>
      <c r="O313" s="17"/>
      <c r="P313" s="1"/>
      <c r="Q313" s="14"/>
      <c r="R313" s="16"/>
      <c r="S313" s="16"/>
      <c r="T313" s="16"/>
      <c r="U313" s="16"/>
    </row>
    <row r="314" spans="1:21" ht="18.75" customHeight="1" x14ac:dyDescent="0.25">
      <c r="A314" s="14"/>
      <c r="B314" s="15"/>
      <c r="C314" s="119" t="s">
        <v>582</v>
      </c>
      <c r="D314" s="120" t="s">
        <v>628</v>
      </c>
      <c r="E314" s="145">
        <v>15313.89679601358</v>
      </c>
      <c r="F314" s="129">
        <v>200.0524098981478</v>
      </c>
      <c r="G314" s="129">
        <v>2530.4062655760622</v>
      </c>
      <c r="H314" s="129">
        <v>2634.1216126291056</v>
      </c>
      <c r="I314" s="129">
        <v>1092.7596246740002</v>
      </c>
      <c r="J314" s="129">
        <v>1073.9833570265466</v>
      </c>
      <c r="K314" s="129">
        <v>1213.7292868824429</v>
      </c>
      <c r="L314" s="129">
        <v>1797.4800841062079</v>
      </c>
      <c r="M314" s="129">
        <v>4771.3641552210656</v>
      </c>
      <c r="N314" s="130">
        <v>8202.3839453522323</v>
      </c>
      <c r="O314" s="80"/>
      <c r="P314" s="3"/>
      <c r="Q314" s="14"/>
      <c r="R314" s="16"/>
      <c r="S314" s="16"/>
      <c r="T314" s="16"/>
      <c r="U314" s="16"/>
    </row>
    <row r="315" spans="1:21" ht="18.75" customHeight="1" x14ac:dyDescent="0.25">
      <c r="A315" s="14"/>
      <c r="B315" s="15"/>
      <c r="C315" s="119" t="s">
        <v>620</v>
      </c>
      <c r="D315" s="120" t="s">
        <v>622</v>
      </c>
      <c r="E315" s="129">
        <v>13619490.815149315</v>
      </c>
      <c r="F315" s="129">
        <v>136194.90815149315</v>
      </c>
      <c r="G315" s="129">
        <v>1906728.7141209042</v>
      </c>
      <c r="H315" s="129">
        <v>2179118.5304238903</v>
      </c>
      <c r="I315" s="129">
        <v>953364.35706045211</v>
      </c>
      <c r="J315" s="129">
        <v>953364.35706045211</v>
      </c>
      <c r="K315" s="129">
        <v>1089559.2652119452</v>
      </c>
      <c r="L315" s="129">
        <v>1634338.8978179176</v>
      </c>
      <c r="M315" s="129">
        <v>4766821.78530226</v>
      </c>
      <c r="N315" s="130">
        <v>7490719.9483321235</v>
      </c>
      <c r="O315" s="80"/>
      <c r="P315" s="4"/>
      <c r="Q315" s="14"/>
      <c r="R315" s="16"/>
      <c r="S315" s="16"/>
      <c r="T315" s="16"/>
      <c r="U315" s="16"/>
    </row>
    <row r="316" spans="1:21" ht="18.75" customHeight="1" x14ac:dyDescent="0.25">
      <c r="A316" s="14"/>
      <c r="B316" s="15"/>
      <c r="C316" s="122" t="s">
        <v>776</v>
      </c>
      <c r="D316" s="120" t="s">
        <v>579</v>
      </c>
      <c r="E316" s="125">
        <v>0.5617336262950976</v>
      </c>
      <c r="F316" s="125">
        <v>3.5150221996102515E-3</v>
      </c>
      <c r="G316" s="125">
        <v>0</v>
      </c>
      <c r="H316" s="125">
        <v>8.0725696556645299E-2</v>
      </c>
      <c r="I316" s="125">
        <v>0.27516514179512419</v>
      </c>
      <c r="J316" s="125">
        <v>0.42356009859597865</v>
      </c>
      <c r="K316" s="125">
        <v>0.58902734612495722</v>
      </c>
      <c r="L316" s="125">
        <v>0.83681687322441312</v>
      </c>
      <c r="M316" s="125">
        <v>1.0066611009135282</v>
      </c>
      <c r="N316" s="131">
        <v>0.90885745053938372</v>
      </c>
      <c r="O316" s="81"/>
      <c r="P316" s="4"/>
      <c r="Q316" s="14"/>
      <c r="R316" s="16"/>
      <c r="S316" s="16"/>
      <c r="T316" s="16"/>
      <c r="U316" s="16"/>
    </row>
    <row r="317" spans="1:21" ht="37.5" customHeight="1" x14ac:dyDescent="0.25">
      <c r="A317" s="14"/>
      <c r="B317" s="15"/>
      <c r="C317" s="122" t="s">
        <v>777</v>
      </c>
      <c r="D317" s="210" t="s">
        <v>778</v>
      </c>
      <c r="E317" s="125">
        <v>1050.2621463886244</v>
      </c>
      <c r="F317" s="132">
        <v>0</v>
      </c>
      <c r="G317" s="132">
        <v>0</v>
      </c>
      <c r="H317" s="132">
        <v>0</v>
      </c>
      <c r="I317" s="132">
        <v>132.01762970168159</v>
      </c>
      <c r="J317" s="132">
        <v>364.18501227713273</v>
      </c>
      <c r="K317" s="132">
        <v>735.09409835825397</v>
      </c>
      <c r="L317" s="132">
        <v>1543.5558210009847</v>
      </c>
      <c r="M317" s="125">
        <v>2204.2678144609404</v>
      </c>
      <c r="N317" s="133">
        <v>1846.4144753638316</v>
      </c>
      <c r="O317" s="82"/>
      <c r="P317" s="9"/>
      <c r="Q317" s="14"/>
      <c r="R317" s="16"/>
      <c r="S317" s="16"/>
      <c r="T317" s="16"/>
      <c r="U317" s="16"/>
    </row>
    <row r="318" spans="1:21" ht="18.75" customHeight="1" x14ac:dyDescent="0.25">
      <c r="A318" s="14"/>
      <c r="B318" s="15"/>
      <c r="C318" s="119" t="s">
        <v>779</v>
      </c>
      <c r="D318" s="120" t="s">
        <v>970</v>
      </c>
      <c r="E318" s="132">
        <v>33.530684939403045</v>
      </c>
      <c r="F318" s="125">
        <v>76.14016496395935</v>
      </c>
      <c r="G318" s="125">
        <v>56.098687862971488</v>
      </c>
      <c r="H318" s="125">
        <v>39.376923720859324</v>
      </c>
      <c r="I318" s="125">
        <v>30.529532195934621</v>
      </c>
      <c r="J318" s="125">
        <v>27.745470820853939</v>
      </c>
      <c r="K318" s="125">
        <v>25.97057825882294</v>
      </c>
      <c r="L318" s="125">
        <v>23.971367633639034</v>
      </c>
      <c r="M318" s="125">
        <v>9.9953269777984985</v>
      </c>
      <c r="N318" s="131">
        <v>23.290742211256941</v>
      </c>
      <c r="O318" s="82"/>
      <c r="P318" s="5"/>
      <c r="Q318" s="14"/>
      <c r="R318" s="16"/>
      <c r="S318" s="16"/>
      <c r="T318" s="16"/>
      <c r="U318" s="16"/>
    </row>
    <row r="319" spans="1:21" ht="18.75" customHeight="1" x14ac:dyDescent="0.25">
      <c r="A319" s="14"/>
      <c r="B319" s="15"/>
      <c r="C319" s="119" t="s">
        <v>580</v>
      </c>
      <c r="D319" s="120" t="s">
        <v>581</v>
      </c>
      <c r="E319" s="125">
        <v>856.57174938046001</v>
      </c>
      <c r="F319" s="125">
        <v>680.79613847608096</v>
      </c>
      <c r="G319" s="125">
        <v>753.52671231503848</v>
      </c>
      <c r="H319" s="125">
        <v>827.26572682759377</v>
      </c>
      <c r="I319" s="125">
        <v>872.4373920246793</v>
      </c>
      <c r="J319" s="125">
        <v>887.69006598012572</v>
      </c>
      <c r="K319" s="125">
        <v>897.69545564032808</v>
      </c>
      <c r="L319" s="125">
        <v>909.23894638342449</v>
      </c>
      <c r="M319" s="125">
        <v>999.04799345197011</v>
      </c>
      <c r="N319" s="131">
        <v>913.23693187718141</v>
      </c>
      <c r="O319" s="82"/>
      <c r="P319" s="10"/>
      <c r="Q319" s="14"/>
      <c r="R319" s="16"/>
      <c r="S319" s="16"/>
      <c r="T319" s="16"/>
      <c r="U319" s="16"/>
    </row>
    <row r="320" spans="1:21" ht="18.75" customHeight="1" x14ac:dyDescent="0.25">
      <c r="A320" s="14"/>
      <c r="B320" s="15"/>
      <c r="C320" s="119" t="s">
        <v>541</v>
      </c>
      <c r="D320" s="120" t="s">
        <v>579</v>
      </c>
      <c r="E320" s="125">
        <v>12.792084883146956</v>
      </c>
      <c r="F320" s="125">
        <v>16.05446989418915</v>
      </c>
      <c r="G320" s="125">
        <v>14.009198457021157</v>
      </c>
      <c r="H320" s="125">
        <v>13.239658913658756</v>
      </c>
      <c r="I320" s="125">
        <v>13.542351242425241</v>
      </c>
      <c r="J320" s="125">
        <v>13.745996192555026</v>
      </c>
      <c r="K320" s="125">
        <v>13.672548012373042</v>
      </c>
      <c r="L320" s="125">
        <v>12.647168209913989</v>
      </c>
      <c r="M320" s="125">
        <v>11.515024649738747</v>
      </c>
      <c r="N320" s="131">
        <v>12.075859370160149</v>
      </c>
      <c r="O320" s="83"/>
      <c r="P320" s="5"/>
      <c r="Q320" s="14"/>
      <c r="R320" s="16"/>
      <c r="S320" s="16"/>
      <c r="T320" s="16"/>
      <c r="U320" s="16"/>
    </row>
    <row r="321" spans="1:21" ht="18.75" customHeight="1" x14ac:dyDescent="0.25">
      <c r="A321" s="14"/>
      <c r="B321" s="15"/>
      <c r="C321" s="119" t="s">
        <v>544</v>
      </c>
      <c r="D321" s="120" t="s">
        <v>579</v>
      </c>
      <c r="E321" s="125">
        <v>2.61</v>
      </c>
      <c r="F321" s="128"/>
      <c r="G321" s="128"/>
      <c r="H321" s="128"/>
      <c r="I321" s="128"/>
      <c r="J321" s="128"/>
      <c r="K321" s="128"/>
      <c r="L321" s="128"/>
      <c r="M321" s="125">
        <v>7.4496857142857129</v>
      </c>
      <c r="N321" s="131">
        <v>4.7454545454545451</v>
      </c>
      <c r="O321" s="84"/>
      <c r="P321" s="5"/>
      <c r="Q321" s="14"/>
      <c r="R321" s="16"/>
      <c r="S321" s="16"/>
      <c r="T321" s="16"/>
      <c r="U321" s="16"/>
    </row>
    <row r="322" spans="1:21" ht="18.75" customHeight="1" x14ac:dyDescent="0.25">
      <c r="A322" s="14"/>
      <c r="B322" s="15"/>
      <c r="C322" s="119" t="s">
        <v>780</v>
      </c>
      <c r="D322" s="120" t="s">
        <v>783</v>
      </c>
      <c r="E322" s="125">
        <v>12.792734214928467</v>
      </c>
      <c r="F322" s="125">
        <v>12.557443329820448</v>
      </c>
      <c r="G322" s="125">
        <v>12.011579239332368</v>
      </c>
      <c r="H322" s="125">
        <v>11.644956134353203</v>
      </c>
      <c r="I322" s="125">
        <v>11.637383149813402</v>
      </c>
      <c r="J322" s="125">
        <v>11.755389444350929</v>
      </c>
      <c r="K322" s="125">
        <v>11.922642129744233</v>
      </c>
      <c r="L322" s="125">
        <v>12.160328511953361</v>
      </c>
      <c r="M322" s="125">
        <v>11.886672914771623</v>
      </c>
      <c r="N322" s="131">
        <v>12.213326423647802</v>
      </c>
      <c r="O322" s="83"/>
      <c r="P322" s="5"/>
      <c r="Q322" s="14"/>
      <c r="R322" s="16"/>
      <c r="S322" s="16"/>
      <c r="T322" s="16"/>
      <c r="U322" s="16"/>
    </row>
    <row r="323" spans="1:21" ht="18.75" customHeight="1" x14ac:dyDescent="0.25">
      <c r="A323" s="14"/>
      <c r="B323" s="15"/>
      <c r="C323" s="122" t="s">
        <v>781</v>
      </c>
      <c r="D323" s="120" t="s">
        <v>782</v>
      </c>
      <c r="E323" s="125">
        <v>460</v>
      </c>
      <c r="F323" s="134">
        <v>75</v>
      </c>
      <c r="G323" s="134">
        <v>140</v>
      </c>
      <c r="H323" s="134">
        <v>225</v>
      </c>
      <c r="I323" s="134">
        <v>310</v>
      </c>
      <c r="J323" s="134">
        <v>360</v>
      </c>
      <c r="K323" s="134">
        <v>410</v>
      </c>
      <c r="L323" s="134">
        <v>480</v>
      </c>
      <c r="M323" s="134">
        <v>660</v>
      </c>
      <c r="N323" s="135">
        <v>500</v>
      </c>
      <c r="O323" s="83"/>
      <c r="P323" s="5"/>
      <c r="Q323" s="14"/>
      <c r="R323" s="16"/>
      <c r="S323" s="16"/>
      <c r="T323" s="16"/>
      <c r="U323" s="16"/>
    </row>
    <row r="324" spans="1:21" ht="18.75" customHeight="1" x14ac:dyDescent="0.25">
      <c r="A324" s="14"/>
      <c r="B324" s="15"/>
      <c r="C324" s="122"/>
      <c r="D324" s="210"/>
      <c r="E324" s="210"/>
      <c r="F324" s="210"/>
      <c r="G324" s="210"/>
      <c r="H324" s="210"/>
      <c r="I324" s="210"/>
      <c r="J324" s="210"/>
      <c r="K324" s="210"/>
      <c r="L324" s="210"/>
      <c r="M324" s="210"/>
      <c r="N324" s="115"/>
      <c r="O324" s="83"/>
      <c r="P324" s="5"/>
      <c r="Q324" s="14"/>
      <c r="R324" s="16"/>
      <c r="S324" s="16"/>
      <c r="T324" s="16"/>
      <c r="U324" s="16"/>
    </row>
    <row r="325" spans="1:21" ht="18.75" customHeight="1" x14ac:dyDescent="0.25">
      <c r="A325" s="14"/>
      <c r="B325" s="15"/>
      <c r="C325" s="2199" t="s">
        <v>2016</v>
      </c>
      <c r="D325" s="2200"/>
      <c r="E325" s="2200"/>
      <c r="F325" s="2200"/>
      <c r="G325" s="2200"/>
      <c r="H325" s="2200"/>
      <c r="I325" s="2200"/>
      <c r="J325" s="2200"/>
      <c r="K325" s="2200"/>
      <c r="L325" s="2200"/>
      <c r="M325" s="2200"/>
      <c r="N325" s="2201"/>
      <c r="O325" s="83"/>
      <c r="P325" s="1"/>
      <c r="Q325" s="14"/>
      <c r="R325" s="16"/>
      <c r="S325" s="16"/>
      <c r="T325" s="16"/>
      <c r="U325" s="16"/>
    </row>
    <row r="326" spans="1:21" ht="18.75" customHeight="1" x14ac:dyDescent="0.25">
      <c r="A326" s="14"/>
      <c r="B326" s="15"/>
      <c r="C326" s="2202" t="s">
        <v>1088</v>
      </c>
      <c r="D326" s="210">
        <v>59</v>
      </c>
      <c r="E326" s="104" t="s">
        <v>679</v>
      </c>
      <c r="F326" s="210">
        <v>80</v>
      </c>
      <c r="G326" s="210">
        <v>180</v>
      </c>
      <c r="H326" s="210">
        <v>290</v>
      </c>
      <c r="I326" s="210">
        <v>340</v>
      </c>
      <c r="J326" s="210">
        <v>400</v>
      </c>
      <c r="K326" s="210">
        <v>450</v>
      </c>
      <c r="L326" s="210">
        <v>525</v>
      </c>
      <c r="M326" s="210">
        <v>525</v>
      </c>
      <c r="N326" s="115">
        <v>400</v>
      </c>
      <c r="O326" s="83"/>
      <c r="P326" s="14"/>
      <c r="Q326" s="14"/>
      <c r="R326" s="16"/>
      <c r="S326" s="16"/>
      <c r="T326" s="16"/>
      <c r="U326" s="16"/>
    </row>
    <row r="327" spans="1:21" ht="18.75" customHeight="1" x14ac:dyDescent="0.25">
      <c r="A327" s="14"/>
      <c r="B327" s="15"/>
      <c r="C327" s="119" t="s">
        <v>568</v>
      </c>
      <c r="D327" s="120" t="s">
        <v>623</v>
      </c>
      <c r="E327" s="110" t="s">
        <v>608</v>
      </c>
      <c r="F327" s="110" t="s">
        <v>957</v>
      </c>
      <c r="G327" s="110" t="s">
        <v>572</v>
      </c>
      <c r="H327" s="110" t="s">
        <v>530</v>
      </c>
      <c r="I327" s="110" t="s">
        <v>573</v>
      </c>
      <c r="J327" s="110" t="s">
        <v>574</v>
      </c>
      <c r="K327" s="110" t="s">
        <v>575</v>
      </c>
      <c r="L327" s="110" t="s">
        <v>576</v>
      </c>
      <c r="M327" s="110" t="s">
        <v>577</v>
      </c>
      <c r="N327" s="2203" t="s">
        <v>609</v>
      </c>
      <c r="O327" s="80"/>
      <c r="P327" s="1"/>
      <c r="Q327" s="14"/>
      <c r="R327" s="57"/>
      <c r="S327" s="16"/>
      <c r="T327" s="16"/>
      <c r="U327" s="16"/>
    </row>
    <row r="328" spans="1:21" ht="18.75" customHeight="1" x14ac:dyDescent="0.25">
      <c r="A328" s="14"/>
      <c r="B328" s="15"/>
      <c r="C328" s="119" t="s">
        <v>582</v>
      </c>
      <c r="D328" s="120" t="s">
        <v>566</v>
      </c>
      <c r="E328" s="121">
        <v>100263.999270402</v>
      </c>
      <c r="F328" s="129">
        <v>1436.2169189421877</v>
      </c>
      <c r="G328" s="129">
        <v>1181.6048957640799</v>
      </c>
      <c r="H328" s="129">
        <v>8271.2342703485592</v>
      </c>
      <c r="I328" s="129">
        <v>7310.7759279815273</v>
      </c>
      <c r="J328" s="129">
        <v>12336.53216203155</v>
      </c>
      <c r="K328" s="129">
        <v>11193.448017612052</v>
      </c>
      <c r="L328" s="129">
        <v>15134.39470186061</v>
      </c>
      <c r="M328" s="129">
        <v>43399.792375861434</v>
      </c>
      <c r="N328" s="130">
        <v>71406.717084148142</v>
      </c>
      <c r="O328" s="80"/>
      <c r="P328" s="1"/>
      <c r="Q328" s="14"/>
      <c r="R328" s="16"/>
      <c r="S328" s="16"/>
      <c r="T328" s="16"/>
      <c r="U328" s="16"/>
    </row>
    <row r="329" spans="1:21" ht="18.75" customHeight="1" x14ac:dyDescent="0.25">
      <c r="A329" s="14"/>
      <c r="B329" s="15"/>
      <c r="C329" s="119" t="s">
        <v>582</v>
      </c>
      <c r="D329" s="120" t="s">
        <v>628</v>
      </c>
      <c r="E329" s="145">
        <v>15941.975883993919</v>
      </c>
      <c r="F329" s="129">
        <v>228.35849011180784</v>
      </c>
      <c r="G329" s="129">
        <v>187.8751784264887</v>
      </c>
      <c r="H329" s="129">
        <v>1315.1262489854209</v>
      </c>
      <c r="I329" s="129">
        <v>1162.4133725490628</v>
      </c>
      <c r="J329" s="129">
        <v>1961.5086137630165</v>
      </c>
      <c r="K329" s="129">
        <v>1779.7582348003164</v>
      </c>
      <c r="L329" s="129">
        <v>2406.368757595837</v>
      </c>
      <c r="M329" s="129">
        <v>6900.5669877619684</v>
      </c>
      <c r="N329" s="130">
        <v>11353.668016379555</v>
      </c>
      <c r="O329" s="17"/>
      <c r="P329" s="3"/>
      <c r="Q329" s="14"/>
      <c r="R329" s="16"/>
      <c r="S329" s="16"/>
      <c r="T329" s="16"/>
      <c r="U329" s="16"/>
    </row>
    <row r="330" spans="1:21" ht="18.75" customHeight="1" x14ac:dyDescent="0.25">
      <c r="A330" s="14"/>
      <c r="B330" s="15"/>
      <c r="C330" s="119" t="s">
        <v>620</v>
      </c>
      <c r="D330" s="120" t="s">
        <v>622</v>
      </c>
      <c r="E330" s="129">
        <v>15146104.996951425</v>
      </c>
      <c r="F330" s="129">
        <v>151461.04996951425</v>
      </c>
      <c r="G330" s="129">
        <v>151461.04996951425</v>
      </c>
      <c r="H330" s="129">
        <v>1060227.3497865999</v>
      </c>
      <c r="I330" s="129">
        <v>1060227.3497865999</v>
      </c>
      <c r="J330" s="129">
        <v>1817532.599634171</v>
      </c>
      <c r="K330" s="129">
        <v>1666071.5496646569</v>
      </c>
      <c r="L330" s="129">
        <v>2271915.7495427136</v>
      </c>
      <c r="M330" s="129">
        <v>6967208.2985976562</v>
      </c>
      <c r="N330" s="130">
        <v>10905195.597805025</v>
      </c>
      <c r="O330" s="80"/>
      <c r="P330" s="4"/>
      <c r="Q330" s="14"/>
      <c r="R330" s="16"/>
      <c r="S330" s="16"/>
      <c r="T330" s="16"/>
      <c r="U330" s="16"/>
    </row>
    <row r="331" spans="1:21" ht="18.75" customHeight="1" x14ac:dyDescent="0.25">
      <c r="A331" s="14"/>
      <c r="B331" s="15"/>
      <c r="C331" s="122" t="s">
        <v>776</v>
      </c>
      <c r="D331" s="120" t="s">
        <v>579</v>
      </c>
      <c r="E331" s="125">
        <v>0.28213400729391436</v>
      </c>
      <c r="F331" s="125">
        <v>1.8334105224057803E-2</v>
      </c>
      <c r="G331" s="125">
        <v>0</v>
      </c>
      <c r="H331" s="125">
        <v>3.2433019079691122E-2</v>
      </c>
      <c r="I331" s="125">
        <v>0.13373759233511928</v>
      </c>
      <c r="J331" s="125">
        <v>0.1775583497312147</v>
      </c>
      <c r="K331" s="125">
        <v>0.22805440161484697</v>
      </c>
      <c r="L331" s="125">
        <v>0.28285991360116758</v>
      </c>
      <c r="M331" s="125">
        <v>0.39455815273278899</v>
      </c>
      <c r="N331" s="131">
        <v>0.34584961315957125</v>
      </c>
      <c r="O331" s="80"/>
      <c r="P331" s="4"/>
      <c r="Q331" s="14"/>
      <c r="R331" s="16"/>
      <c r="S331" s="16"/>
      <c r="T331" s="16"/>
      <c r="U331" s="16"/>
    </row>
    <row r="332" spans="1:21" ht="30.75" customHeight="1" x14ac:dyDescent="0.25">
      <c r="A332" s="14"/>
      <c r="B332" s="15"/>
      <c r="C332" s="122" t="s">
        <v>777</v>
      </c>
      <c r="D332" s="210" t="s">
        <v>778</v>
      </c>
      <c r="E332" s="125">
        <v>4250.2742645473272</v>
      </c>
      <c r="F332" s="132">
        <v>0</v>
      </c>
      <c r="G332" s="132">
        <v>0</v>
      </c>
      <c r="H332" s="132">
        <v>0</v>
      </c>
      <c r="I332" s="132">
        <v>424.81387264853151</v>
      </c>
      <c r="J332" s="132">
        <v>938.05974054854539</v>
      </c>
      <c r="K332" s="132">
        <v>1806.861495615394</v>
      </c>
      <c r="L332" s="132">
        <v>3194.8705470753112</v>
      </c>
      <c r="M332" s="125">
        <v>7456.4886478632907</v>
      </c>
      <c r="N332" s="133">
        <v>5705.514061939034</v>
      </c>
      <c r="O332" s="81"/>
      <c r="P332" s="9"/>
      <c r="Q332" s="14"/>
      <c r="R332" s="16"/>
      <c r="S332" s="16"/>
      <c r="T332" s="16"/>
      <c r="U332" s="16"/>
    </row>
    <row r="333" spans="1:21" ht="18.75" customHeight="1" x14ac:dyDescent="0.25">
      <c r="A333" s="14"/>
      <c r="B333" s="15"/>
      <c r="C333" s="119" t="s">
        <v>779</v>
      </c>
      <c r="D333" s="120" t="s">
        <v>970</v>
      </c>
      <c r="E333" s="132">
        <v>16.89682533578096</v>
      </c>
      <c r="F333" s="125">
        <v>81.630031264557303</v>
      </c>
      <c r="G333" s="125">
        <v>43.846415332605837</v>
      </c>
      <c r="H333" s="125">
        <v>43.846415332605837</v>
      </c>
      <c r="I333" s="125">
        <v>23.485134064815199</v>
      </c>
      <c r="J333" s="125">
        <v>21.058517374853338</v>
      </c>
      <c r="K333" s="125">
        <v>19.506559124974515</v>
      </c>
      <c r="L333" s="125">
        <v>18.226408475651866</v>
      </c>
      <c r="M333" s="125">
        <v>8.5085088871710326</v>
      </c>
      <c r="N333" s="131">
        <v>15.674029485248084</v>
      </c>
      <c r="O333" s="82"/>
      <c r="P333" s="5"/>
      <c r="Q333" s="14"/>
      <c r="R333" s="16"/>
      <c r="S333" s="16"/>
      <c r="T333" s="16"/>
      <c r="U333" s="16"/>
    </row>
    <row r="334" spans="1:21" ht="18.75" customHeight="1" x14ac:dyDescent="0.25">
      <c r="A334" s="14"/>
      <c r="B334" s="15"/>
      <c r="C334" s="119" t="s">
        <v>580</v>
      </c>
      <c r="D334" s="120" t="s">
        <v>581</v>
      </c>
      <c r="E334" s="125">
        <v>952.58521993405191</v>
      </c>
      <c r="F334" s="125">
        <v>663.25999044465823</v>
      </c>
      <c r="G334" s="125">
        <v>806.17914105549357</v>
      </c>
      <c r="H334" s="125">
        <v>806.17914105549357</v>
      </c>
      <c r="I334" s="125">
        <v>912.09149414861031</v>
      </c>
      <c r="J334" s="125">
        <v>926.59934648329806</v>
      </c>
      <c r="K334" s="125">
        <v>936.12239970986013</v>
      </c>
      <c r="L334" s="125">
        <v>944.12618281021355</v>
      </c>
      <c r="M334" s="125">
        <v>1009.657367424137</v>
      </c>
      <c r="N334" s="131">
        <v>960.49977699475323</v>
      </c>
      <c r="O334" s="82"/>
      <c r="P334" s="10"/>
      <c r="Q334" s="14"/>
      <c r="R334" s="16"/>
      <c r="S334" s="16"/>
      <c r="T334" s="16"/>
      <c r="U334" s="16"/>
    </row>
    <row r="335" spans="1:21" ht="18.75" customHeight="1" x14ac:dyDescent="0.25">
      <c r="A335" s="14"/>
      <c r="B335" s="15"/>
      <c r="C335" s="119" t="s">
        <v>541</v>
      </c>
      <c r="D335" s="120" t="s">
        <v>579</v>
      </c>
      <c r="E335" s="125">
        <v>9.571023889085323</v>
      </c>
      <c r="F335" s="125">
        <v>16.697047078422504</v>
      </c>
      <c r="G335" s="125">
        <v>13.258811051235785</v>
      </c>
      <c r="H335" s="125">
        <v>13.258811051235785</v>
      </c>
      <c r="I335" s="125">
        <v>13.357946548567071</v>
      </c>
      <c r="J335" s="125">
        <v>13.420244938191072</v>
      </c>
      <c r="K335" s="125">
        <v>13.02742321687758</v>
      </c>
      <c r="L335" s="125">
        <v>11.684899818596804</v>
      </c>
      <c r="M335" s="125">
        <v>5.6785029490729455</v>
      </c>
      <c r="N335" s="131">
        <v>8.052587337805015</v>
      </c>
      <c r="O335" s="82"/>
      <c r="P335" s="5"/>
      <c r="Q335" s="14"/>
      <c r="R335" s="16"/>
      <c r="S335" s="16"/>
      <c r="T335" s="16"/>
      <c r="U335" s="16"/>
    </row>
    <row r="336" spans="1:21" ht="18.75" customHeight="1" x14ac:dyDescent="0.25">
      <c r="A336" s="14"/>
      <c r="B336" s="15"/>
      <c r="C336" s="119" t="s">
        <v>544</v>
      </c>
      <c r="D336" s="120" t="s">
        <v>579</v>
      </c>
      <c r="E336" s="125">
        <v>8</v>
      </c>
      <c r="F336" s="128"/>
      <c r="G336" s="128"/>
      <c r="H336" s="128"/>
      <c r="I336" s="128"/>
      <c r="J336" s="128"/>
      <c r="K336" s="128"/>
      <c r="L336" s="128"/>
      <c r="M336" s="125">
        <v>17.373913043478261</v>
      </c>
      <c r="N336" s="131">
        <v>11.111111111111112</v>
      </c>
      <c r="O336" s="83"/>
      <c r="P336" s="5"/>
      <c r="Q336" s="14"/>
      <c r="R336" s="16"/>
      <c r="S336" s="16"/>
      <c r="T336" s="16"/>
      <c r="U336" s="16"/>
    </row>
    <row r="337" spans="1:21" ht="18.75" customHeight="1" x14ac:dyDescent="0.25">
      <c r="A337" s="14"/>
      <c r="B337" s="15"/>
      <c r="C337" s="119" t="s">
        <v>780</v>
      </c>
      <c r="D337" s="120" t="s">
        <v>783</v>
      </c>
      <c r="E337" s="125">
        <v>11.759097448484594</v>
      </c>
      <c r="F337" s="125">
        <v>12.508052238274106</v>
      </c>
      <c r="G337" s="125">
        <v>11.449123121976422</v>
      </c>
      <c r="H337" s="125">
        <v>12.14618887744218</v>
      </c>
      <c r="I337" s="125">
        <v>11.194704048370706</v>
      </c>
      <c r="J337" s="125">
        <v>11.320743381115776</v>
      </c>
      <c r="K337" s="125">
        <v>11.516304011620237</v>
      </c>
      <c r="L337" s="125">
        <v>11.736839944076436</v>
      </c>
      <c r="M337" s="125">
        <v>11.719603447347961</v>
      </c>
      <c r="N337" s="131">
        <v>11.905289904667628</v>
      </c>
      <c r="O337" s="84"/>
      <c r="P337" s="5"/>
      <c r="Q337" s="14"/>
      <c r="R337" s="16"/>
      <c r="S337" s="16"/>
      <c r="T337" s="16"/>
      <c r="U337" s="16"/>
    </row>
    <row r="338" spans="1:21" ht="18.75" customHeight="1" x14ac:dyDescent="0.25">
      <c r="A338" s="14"/>
      <c r="B338" s="15"/>
      <c r="C338" s="122" t="s">
        <v>781</v>
      </c>
      <c r="D338" s="120" t="s">
        <v>782</v>
      </c>
      <c r="E338" s="125">
        <v>510</v>
      </c>
      <c r="F338" s="134">
        <v>45</v>
      </c>
      <c r="G338" s="134">
        <v>165</v>
      </c>
      <c r="H338" s="134">
        <v>250</v>
      </c>
      <c r="I338" s="134">
        <v>320</v>
      </c>
      <c r="J338" s="134">
        <v>370</v>
      </c>
      <c r="K338" s="134">
        <v>425</v>
      </c>
      <c r="L338" s="134">
        <v>485</v>
      </c>
      <c r="M338" s="134">
        <v>650</v>
      </c>
      <c r="N338" s="135">
        <v>560</v>
      </c>
      <c r="O338" s="83"/>
      <c r="P338" s="5"/>
      <c r="Q338" s="14"/>
      <c r="R338" s="16"/>
      <c r="S338" s="16"/>
      <c r="T338" s="16"/>
      <c r="U338" s="16"/>
    </row>
    <row r="339" spans="1:21" ht="18.75" customHeight="1" x14ac:dyDescent="0.25">
      <c r="A339" s="14"/>
      <c r="B339" s="15"/>
      <c r="C339" s="122"/>
      <c r="D339" s="210"/>
      <c r="E339" s="210"/>
      <c r="F339" s="210"/>
      <c r="G339" s="210"/>
      <c r="H339" s="210"/>
      <c r="I339" s="210"/>
      <c r="J339" s="210"/>
      <c r="K339" s="210"/>
      <c r="L339" s="210"/>
      <c r="M339" s="210"/>
      <c r="N339" s="115"/>
      <c r="O339" s="83"/>
      <c r="P339" s="5"/>
      <c r="Q339" s="14"/>
      <c r="R339" s="16"/>
      <c r="S339" s="16"/>
      <c r="T339" s="16"/>
      <c r="U339" s="16"/>
    </row>
    <row r="340" spans="1:21" ht="18.75" customHeight="1" x14ac:dyDescent="0.25">
      <c r="A340" s="14"/>
      <c r="B340" s="15"/>
      <c r="C340" s="2199" t="s">
        <v>2017</v>
      </c>
      <c r="D340" s="2200"/>
      <c r="E340" s="2200"/>
      <c r="F340" s="2200"/>
      <c r="G340" s="2200"/>
      <c r="H340" s="2200"/>
      <c r="I340" s="2200"/>
      <c r="J340" s="2200"/>
      <c r="K340" s="2200"/>
      <c r="L340" s="2200"/>
      <c r="M340" s="2200"/>
      <c r="N340" s="2201"/>
      <c r="O340" s="83"/>
      <c r="P340" s="1"/>
      <c r="Q340" s="14"/>
      <c r="R340" s="16"/>
      <c r="S340" s="16"/>
      <c r="T340" s="16"/>
      <c r="U340" s="16"/>
    </row>
    <row r="341" spans="1:21" ht="18.75" customHeight="1" x14ac:dyDescent="0.25">
      <c r="A341" s="14"/>
      <c r="B341" s="15"/>
      <c r="C341" s="2202" t="s">
        <v>1088</v>
      </c>
      <c r="D341" s="210">
        <v>130</v>
      </c>
      <c r="E341" s="104" t="s">
        <v>679</v>
      </c>
      <c r="F341" s="210">
        <v>80</v>
      </c>
      <c r="G341" s="210">
        <v>180</v>
      </c>
      <c r="H341" s="210">
        <v>290</v>
      </c>
      <c r="I341" s="210">
        <v>340</v>
      </c>
      <c r="J341" s="210">
        <v>400</v>
      </c>
      <c r="K341" s="210">
        <v>450</v>
      </c>
      <c r="L341" s="210">
        <v>525</v>
      </c>
      <c r="M341" s="210">
        <v>525</v>
      </c>
      <c r="N341" s="115">
        <v>400</v>
      </c>
      <c r="O341" s="83"/>
      <c r="P341" s="14"/>
      <c r="Q341" s="14"/>
      <c r="R341" s="16"/>
      <c r="S341" s="16"/>
      <c r="T341" s="16"/>
      <c r="U341" s="16"/>
    </row>
    <row r="342" spans="1:21" ht="18.75" customHeight="1" x14ac:dyDescent="0.25">
      <c r="A342" s="14"/>
      <c r="B342" s="15"/>
      <c r="C342" s="119" t="s">
        <v>568</v>
      </c>
      <c r="D342" s="120" t="s">
        <v>623</v>
      </c>
      <c r="E342" s="110" t="s">
        <v>608</v>
      </c>
      <c r="F342" s="110" t="s">
        <v>957</v>
      </c>
      <c r="G342" s="110" t="s">
        <v>572</v>
      </c>
      <c r="H342" s="110" t="s">
        <v>530</v>
      </c>
      <c r="I342" s="110" t="s">
        <v>573</v>
      </c>
      <c r="J342" s="110" t="s">
        <v>574</v>
      </c>
      <c r="K342" s="110" t="s">
        <v>575</v>
      </c>
      <c r="L342" s="110" t="s">
        <v>576</v>
      </c>
      <c r="M342" s="110" t="s">
        <v>577</v>
      </c>
      <c r="N342" s="2203" t="s">
        <v>609</v>
      </c>
      <c r="O342" s="83"/>
      <c r="P342" s="1"/>
      <c r="Q342" s="14"/>
      <c r="R342" s="57"/>
      <c r="S342" s="16"/>
      <c r="T342" s="16"/>
      <c r="U342" s="16"/>
    </row>
    <row r="343" spans="1:21" ht="18.75" customHeight="1" x14ac:dyDescent="0.25">
      <c r="A343" s="14"/>
      <c r="B343" s="15"/>
      <c r="C343" s="119" t="s">
        <v>582</v>
      </c>
      <c r="D343" s="120" t="s">
        <v>566</v>
      </c>
      <c r="E343" s="121">
        <v>97185.259010990092</v>
      </c>
      <c r="F343" s="129">
        <v>9547.4020661100512</v>
      </c>
      <c r="G343" s="129">
        <v>24945.94608999493</v>
      </c>
      <c r="H343" s="129">
        <v>18856.074958221801</v>
      </c>
      <c r="I343" s="129">
        <v>6434.1229982481491</v>
      </c>
      <c r="J343" s="129">
        <v>9625.7941953255176</v>
      </c>
      <c r="K343" s="129">
        <v>9156.4651758503533</v>
      </c>
      <c r="L343" s="129">
        <v>9974.4698454859827</v>
      </c>
      <c r="M343" s="129">
        <v>8644.9836817532996</v>
      </c>
      <c r="N343" s="130">
        <v>28017.403037555268</v>
      </c>
      <c r="O343" s="83"/>
      <c r="P343" s="1"/>
      <c r="Q343" s="14"/>
      <c r="R343" s="16"/>
      <c r="S343" s="16"/>
      <c r="T343" s="16"/>
      <c r="U343" s="16"/>
    </row>
    <row r="344" spans="1:21" ht="18.75" customHeight="1" x14ac:dyDescent="0.25">
      <c r="A344" s="14"/>
      <c r="B344" s="15"/>
      <c r="C344" s="119" t="s">
        <v>582</v>
      </c>
      <c r="D344" s="120" t="s">
        <v>628</v>
      </c>
      <c r="E344" s="145">
        <v>15452.456182747424</v>
      </c>
      <c r="F344" s="129">
        <v>1518.0369285114982</v>
      </c>
      <c r="G344" s="129">
        <v>3966.4054283091941</v>
      </c>
      <c r="H344" s="129">
        <v>2998.1159183572663</v>
      </c>
      <c r="I344" s="129">
        <v>1023.0255567214557</v>
      </c>
      <c r="J344" s="129">
        <v>1530.5012770567573</v>
      </c>
      <c r="K344" s="129">
        <v>1455.8779629602061</v>
      </c>
      <c r="L344" s="129">
        <v>1585.9407054322712</v>
      </c>
      <c r="M344" s="129">
        <v>1374.5524053987747</v>
      </c>
      <c r="N344" s="130">
        <v>4454.7670829712879</v>
      </c>
      <c r="O344" s="80"/>
      <c r="P344" s="3"/>
      <c r="Q344" s="14"/>
      <c r="R344" s="16"/>
      <c r="S344" s="16"/>
      <c r="T344" s="16"/>
      <c r="U344" s="16"/>
    </row>
    <row r="345" spans="1:21" ht="18.75" customHeight="1" x14ac:dyDescent="0.25">
      <c r="A345" s="14"/>
      <c r="B345" s="15"/>
      <c r="C345" s="119" t="s">
        <v>620</v>
      </c>
      <c r="D345" s="120" t="s">
        <v>622</v>
      </c>
      <c r="E345" s="129">
        <v>12571791.858221475</v>
      </c>
      <c r="F345" s="129">
        <v>1005743.348657718</v>
      </c>
      <c r="G345" s="129">
        <v>2954371.0866820463</v>
      </c>
      <c r="H345" s="129">
        <v>2514358.3716442953</v>
      </c>
      <c r="I345" s="129">
        <v>880025.4300755033</v>
      </c>
      <c r="J345" s="129">
        <v>1320038.1451132549</v>
      </c>
      <c r="K345" s="129">
        <v>1257179.1858221476</v>
      </c>
      <c r="L345" s="129">
        <v>1382897.1044043622</v>
      </c>
      <c r="M345" s="129">
        <v>1257179.1858221476</v>
      </c>
      <c r="N345" s="130">
        <v>3897255.4760486581</v>
      </c>
      <c r="O345" s="17"/>
      <c r="P345" s="4"/>
      <c r="Q345" s="14"/>
      <c r="R345" s="16"/>
      <c r="S345" s="16"/>
      <c r="T345" s="16"/>
      <c r="U345" s="16"/>
    </row>
    <row r="346" spans="1:21" ht="18.75" customHeight="1" x14ac:dyDescent="0.25">
      <c r="A346" s="14"/>
      <c r="B346" s="15"/>
      <c r="C346" s="122" t="s">
        <v>1343</v>
      </c>
      <c r="D346" s="120" t="s">
        <v>579</v>
      </c>
      <c r="E346" s="125">
        <v>5.9015296707146607E-2</v>
      </c>
      <c r="F346" s="125">
        <v>1.3145280627072931E-2</v>
      </c>
      <c r="G346" s="125">
        <v>0</v>
      </c>
      <c r="H346" s="125">
        <v>2.2772016292148756E-2</v>
      </c>
      <c r="I346" s="125">
        <v>5.2802981443537386E-2</v>
      </c>
      <c r="J346" s="125">
        <v>7.2974746914081692E-2</v>
      </c>
      <c r="K346" s="125">
        <v>0.10375591133873792</v>
      </c>
      <c r="L346" s="125">
        <v>0.13132261722968458</v>
      </c>
      <c r="M346" s="125">
        <v>0.17229634842385733</v>
      </c>
      <c r="N346" s="131">
        <v>0.13564746410169298</v>
      </c>
      <c r="O346" s="80"/>
      <c r="P346" s="4"/>
      <c r="Q346" s="14"/>
      <c r="R346" s="16"/>
      <c r="S346" s="16"/>
      <c r="T346" s="16"/>
      <c r="U346" s="16"/>
    </row>
    <row r="347" spans="1:21" ht="37.5" customHeight="1" x14ac:dyDescent="0.25">
      <c r="A347" s="14"/>
      <c r="B347" s="15"/>
      <c r="C347" s="122" t="s">
        <v>888</v>
      </c>
      <c r="D347" s="210" t="s">
        <v>778</v>
      </c>
      <c r="E347" s="125">
        <v>153.4312286463778</v>
      </c>
      <c r="F347" s="132">
        <v>15.565557923885137</v>
      </c>
      <c r="G347" s="132">
        <v>120.83956323210361</v>
      </c>
      <c r="H347" s="132">
        <v>197.79093923054069</v>
      </c>
      <c r="I347" s="132">
        <v>196.03513747007537</v>
      </c>
      <c r="J347" s="132">
        <v>185.63778171202614</v>
      </c>
      <c r="K347" s="132">
        <v>169.61240463892489</v>
      </c>
      <c r="L347" s="132">
        <v>163.91593338491441</v>
      </c>
      <c r="M347" s="125">
        <v>160.24078967913422</v>
      </c>
      <c r="N347" s="133">
        <v>164.5679745295048</v>
      </c>
      <c r="O347" s="80"/>
      <c r="P347" s="9"/>
      <c r="Q347" s="14"/>
      <c r="R347" s="16"/>
      <c r="S347" s="16"/>
      <c r="T347" s="16"/>
      <c r="U347" s="16"/>
    </row>
    <row r="348" spans="1:21" ht="18.75" customHeight="1" x14ac:dyDescent="0.25">
      <c r="A348" s="14"/>
      <c r="B348" s="15"/>
      <c r="C348" s="119" t="s">
        <v>779</v>
      </c>
      <c r="D348" s="120" t="s">
        <v>970</v>
      </c>
      <c r="E348" s="132">
        <v>47.3</v>
      </c>
      <c r="F348" s="125">
        <v>81.865214374790185</v>
      </c>
      <c r="G348" s="125">
        <v>58.284398771266986</v>
      </c>
      <c r="H348" s="125">
        <v>37.058124937847666</v>
      </c>
      <c r="I348" s="125">
        <v>32.831080204291922</v>
      </c>
      <c r="J348" s="125">
        <v>32.398758579605925</v>
      </c>
      <c r="K348" s="125">
        <v>32.202849561177516</v>
      </c>
      <c r="L348" s="125">
        <v>30.615868674522488</v>
      </c>
      <c r="M348" s="125">
        <v>23.058384260055448</v>
      </c>
      <c r="N348" s="131">
        <v>30.082593651211823</v>
      </c>
      <c r="O348" s="81"/>
      <c r="P348" s="5"/>
      <c r="Q348" s="14"/>
      <c r="R348" s="16"/>
      <c r="S348" s="16"/>
      <c r="T348" s="16"/>
      <c r="U348" s="16"/>
    </row>
    <row r="349" spans="1:21" ht="18.75" customHeight="1" x14ac:dyDescent="0.25">
      <c r="A349" s="14"/>
      <c r="B349" s="15"/>
      <c r="C349" s="119" t="s">
        <v>580</v>
      </c>
      <c r="D349" s="120" t="s">
        <v>581</v>
      </c>
      <c r="E349" s="125">
        <v>790.67873322147636</v>
      </c>
      <c r="F349" s="125">
        <v>662.5289080706973</v>
      </c>
      <c r="G349" s="125">
        <v>744.84848815403132</v>
      </c>
      <c r="H349" s="125">
        <v>838.64614981997352</v>
      </c>
      <c r="I349" s="125">
        <v>860.21842200674587</v>
      </c>
      <c r="J349" s="125">
        <v>862.48745094271646</v>
      </c>
      <c r="K349" s="125">
        <v>863.51962032995652</v>
      </c>
      <c r="L349" s="125">
        <v>871.97276648967363</v>
      </c>
      <c r="M349" s="125">
        <v>914.60986200626121</v>
      </c>
      <c r="N349" s="131">
        <v>874.85055973997748</v>
      </c>
      <c r="O349" s="82"/>
      <c r="P349" s="10"/>
      <c r="Q349" s="14"/>
      <c r="R349" s="16"/>
      <c r="S349" s="16"/>
      <c r="T349" s="16"/>
      <c r="U349" s="16"/>
    </row>
    <row r="350" spans="1:21" ht="18.75" customHeight="1" x14ac:dyDescent="0.25">
      <c r="A350" s="14"/>
      <c r="B350" s="15"/>
      <c r="C350" s="119" t="s">
        <v>541</v>
      </c>
      <c r="D350" s="120" t="s">
        <v>579</v>
      </c>
      <c r="E350" s="125">
        <v>13.718187129070357</v>
      </c>
      <c r="F350" s="125">
        <v>16.194878282069883</v>
      </c>
      <c r="G350" s="125">
        <v>14.255826133254532</v>
      </c>
      <c r="H350" s="125">
        <v>12.817028120325828</v>
      </c>
      <c r="I350" s="125">
        <v>13.387402469755635</v>
      </c>
      <c r="J350" s="125">
        <v>13.433081733761451</v>
      </c>
      <c r="K350" s="125">
        <v>13.558060573003051</v>
      </c>
      <c r="L350" s="125">
        <v>13.476346704149655</v>
      </c>
      <c r="M350" s="125">
        <v>13.232761514401718</v>
      </c>
      <c r="N350" s="131">
        <v>13.424130149022382</v>
      </c>
      <c r="O350" s="82"/>
      <c r="P350" s="5"/>
      <c r="Q350" s="14"/>
      <c r="R350" s="16"/>
      <c r="S350" s="16"/>
      <c r="T350" s="16"/>
      <c r="U350" s="16"/>
    </row>
    <row r="351" spans="1:21" ht="18.75" customHeight="1" x14ac:dyDescent="0.25">
      <c r="A351" s="14"/>
      <c r="B351" s="15"/>
      <c r="C351" s="119" t="s">
        <v>544</v>
      </c>
      <c r="D351" s="120" t="s">
        <v>579</v>
      </c>
      <c r="E351" s="125">
        <v>2.33</v>
      </c>
      <c r="F351" s="128"/>
      <c r="G351" s="128"/>
      <c r="H351" s="128"/>
      <c r="I351" s="128"/>
      <c r="J351" s="128"/>
      <c r="K351" s="128"/>
      <c r="L351" s="128"/>
      <c r="M351" s="125">
        <v>23.276699999999998</v>
      </c>
      <c r="N351" s="131">
        <v>7.5161290322580623</v>
      </c>
      <c r="O351" s="82"/>
      <c r="P351" s="5"/>
      <c r="Q351" s="14"/>
      <c r="R351" s="16"/>
      <c r="S351" s="16"/>
      <c r="T351" s="16"/>
      <c r="U351" s="16"/>
    </row>
    <row r="352" spans="1:21" ht="18.75" customHeight="1" x14ac:dyDescent="0.25">
      <c r="A352" s="14"/>
      <c r="B352" s="15"/>
      <c r="C352" s="119" t="s">
        <v>780</v>
      </c>
      <c r="D352" s="120" t="s">
        <v>783</v>
      </c>
      <c r="E352" s="125">
        <v>13.233544054777239</v>
      </c>
      <c r="F352" s="125">
        <v>12.741026514747594</v>
      </c>
      <c r="G352" s="125">
        <v>12.151526059154699</v>
      </c>
      <c r="H352" s="125">
        <v>11.713045977315396</v>
      </c>
      <c r="I352" s="125">
        <v>11.903028521131947</v>
      </c>
      <c r="J352" s="125">
        <v>12.130656835495044</v>
      </c>
      <c r="K352" s="125">
        <v>12.484568842832847</v>
      </c>
      <c r="L352" s="125">
        <v>12.708032085984367</v>
      </c>
      <c r="M352" s="125">
        <v>12.601882595621303</v>
      </c>
      <c r="N352" s="131">
        <v>12.99191832588752</v>
      </c>
      <c r="O352" s="83"/>
      <c r="P352" s="5"/>
      <c r="Q352" s="14"/>
      <c r="R352" s="16"/>
      <c r="S352" s="16"/>
      <c r="T352" s="16"/>
      <c r="U352" s="16"/>
    </row>
    <row r="353" spans="1:21" ht="18.75" customHeight="1" x14ac:dyDescent="0.25">
      <c r="A353" s="14"/>
      <c r="B353" s="15"/>
      <c r="C353" s="122" t="s">
        <v>1893</v>
      </c>
      <c r="D353" s="120" t="s">
        <v>782</v>
      </c>
      <c r="E353" s="125">
        <v>365</v>
      </c>
      <c r="F353" s="134">
        <v>62</v>
      </c>
      <c r="G353" s="134">
        <v>140</v>
      </c>
      <c r="H353" s="134">
        <v>255</v>
      </c>
      <c r="I353" s="134">
        <v>325</v>
      </c>
      <c r="J353" s="134">
        <v>365</v>
      </c>
      <c r="K353" s="134">
        <v>425</v>
      </c>
      <c r="L353" s="134">
        <v>485</v>
      </c>
      <c r="M353" s="134">
        <v>580</v>
      </c>
      <c r="N353" s="135">
        <v>545</v>
      </c>
      <c r="O353" s="84"/>
      <c r="P353" s="5"/>
      <c r="Q353" s="14"/>
      <c r="R353" s="16"/>
      <c r="S353" s="16"/>
      <c r="T353" s="16"/>
      <c r="U353" s="16"/>
    </row>
    <row r="354" spans="1:21" ht="18.75" customHeight="1" x14ac:dyDescent="0.25">
      <c r="A354" s="14"/>
      <c r="B354" s="15"/>
      <c r="C354" s="122"/>
      <c r="D354" s="210"/>
      <c r="E354" s="210"/>
      <c r="F354" s="210"/>
      <c r="G354" s="210"/>
      <c r="H354" s="210"/>
      <c r="I354" s="210"/>
      <c r="J354" s="210"/>
      <c r="K354" s="210"/>
      <c r="L354" s="210"/>
      <c r="M354" s="210"/>
      <c r="N354" s="115"/>
      <c r="O354" s="83"/>
      <c r="P354" s="5"/>
      <c r="Q354" s="14"/>
      <c r="R354" s="16"/>
      <c r="S354" s="16"/>
      <c r="T354" s="16"/>
      <c r="U354" s="16"/>
    </row>
    <row r="355" spans="1:21" ht="18.75" customHeight="1" x14ac:dyDescent="0.25">
      <c r="A355" s="14"/>
      <c r="B355" s="15"/>
      <c r="C355" s="2199" t="s">
        <v>2018</v>
      </c>
      <c r="D355" s="2200"/>
      <c r="E355" s="2200"/>
      <c r="F355" s="2200"/>
      <c r="G355" s="2200"/>
      <c r="H355" s="2200"/>
      <c r="I355" s="2200"/>
      <c r="J355" s="2200"/>
      <c r="K355" s="2200"/>
      <c r="L355" s="2200"/>
      <c r="M355" s="2200"/>
      <c r="N355" s="2201"/>
      <c r="O355" s="83"/>
      <c r="P355" s="1"/>
      <c r="Q355" s="14"/>
      <c r="R355" s="16"/>
      <c r="S355" s="16"/>
      <c r="T355" s="16"/>
      <c r="U355" s="16"/>
    </row>
    <row r="356" spans="1:21" ht="18.75" customHeight="1" x14ac:dyDescent="0.25">
      <c r="A356" s="14"/>
      <c r="B356" s="15"/>
      <c r="C356" s="2202" t="s">
        <v>1088</v>
      </c>
      <c r="D356" s="210">
        <v>28</v>
      </c>
      <c r="E356" s="104" t="s">
        <v>679</v>
      </c>
      <c r="F356" s="210">
        <v>80</v>
      </c>
      <c r="G356" s="210">
        <v>185</v>
      </c>
      <c r="H356" s="210">
        <v>295</v>
      </c>
      <c r="I356" s="210">
        <v>340</v>
      </c>
      <c r="J356" s="210">
        <v>400</v>
      </c>
      <c r="K356" s="210">
        <v>451</v>
      </c>
      <c r="L356" s="210">
        <v>535</v>
      </c>
      <c r="M356" s="210">
        <v>535</v>
      </c>
      <c r="N356" s="115">
        <v>400</v>
      </c>
      <c r="O356" s="83"/>
      <c r="P356" s="14"/>
      <c r="Q356" s="14"/>
      <c r="R356" s="16"/>
      <c r="S356" s="16"/>
      <c r="T356" s="16"/>
      <c r="U356" s="16"/>
    </row>
    <row r="357" spans="1:21" ht="18.75" customHeight="1" x14ac:dyDescent="0.25">
      <c r="A357" s="14"/>
      <c r="B357" s="15"/>
      <c r="C357" s="119" t="s">
        <v>568</v>
      </c>
      <c r="D357" s="120" t="s">
        <v>623</v>
      </c>
      <c r="E357" s="110" t="s">
        <v>608</v>
      </c>
      <c r="F357" s="110" t="s">
        <v>957</v>
      </c>
      <c r="G357" s="110" t="s">
        <v>572</v>
      </c>
      <c r="H357" s="110" t="s">
        <v>530</v>
      </c>
      <c r="I357" s="110" t="s">
        <v>573</v>
      </c>
      <c r="J357" s="110" t="s">
        <v>574</v>
      </c>
      <c r="K357" s="110" t="s">
        <v>575</v>
      </c>
      <c r="L357" s="110" t="s">
        <v>576</v>
      </c>
      <c r="M357" s="110" t="s">
        <v>577</v>
      </c>
      <c r="N357" s="2203" t="s">
        <v>609</v>
      </c>
      <c r="O357" s="83"/>
      <c r="P357" s="1"/>
      <c r="Q357" s="14"/>
      <c r="R357" s="57"/>
      <c r="S357" s="16"/>
      <c r="T357" s="16"/>
      <c r="U357" s="16"/>
    </row>
    <row r="358" spans="1:21" ht="18.75" customHeight="1" x14ac:dyDescent="0.25">
      <c r="A358" s="14"/>
      <c r="B358" s="15"/>
      <c r="C358" s="119" t="s">
        <v>582</v>
      </c>
      <c r="D358" s="120" t="s">
        <v>566</v>
      </c>
      <c r="E358" s="121">
        <v>96385.417538727139</v>
      </c>
      <c r="F358" s="129">
        <v>3713.6695911606703</v>
      </c>
      <c r="G358" s="129">
        <v>19118.584452627543</v>
      </c>
      <c r="H358" s="129">
        <v>13052.680760790246</v>
      </c>
      <c r="I358" s="129">
        <v>6706.0462464299526</v>
      </c>
      <c r="J358" s="129">
        <v>9430.6523478902709</v>
      </c>
      <c r="K358" s="129">
        <v>4683.9516719683843</v>
      </c>
      <c r="L358" s="129">
        <v>14811.516705939066</v>
      </c>
      <c r="M358" s="129">
        <v>24868.315761921018</v>
      </c>
      <c r="N358" s="130">
        <v>44767.649171872697</v>
      </c>
      <c r="O358" s="83"/>
      <c r="P358" s="1"/>
      <c r="Q358" s="14"/>
      <c r="R358" s="16"/>
      <c r="S358" s="16"/>
      <c r="T358" s="16"/>
      <c r="U358" s="16"/>
    </row>
    <row r="359" spans="1:21" ht="18.75" customHeight="1" x14ac:dyDescent="0.25">
      <c r="A359" s="14"/>
      <c r="B359" s="15"/>
      <c r="C359" s="119" t="s">
        <v>582</v>
      </c>
      <c r="D359" s="120" t="s">
        <v>628</v>
      </c>
      <c r="E359" s="145">
        <v>15325.281388657615</v>
      </c>
      <c r="F359" s="129">
        <v>590.47346499454659</v>
      </c>
      <c r="G359" s="129">
        <v>3039.8549279677795</v>
      </c>
      <c r="H359" s="129">
        <v>2075.3762409656492</v>
      </c>
      <c r="I359" s="129">
        <v>1066.2613531823624</v>
      </c>
      <c r="J359" s="129">
        <v>1499.4737233145531</v>
      </c>
      <c r="K359" s="129">
        <v>744.74831584297306</v>
      </c>
      <c r="L359" s="129">
        <v>2355.0311562443117</v>
      </c>
      <c r="M359" s="129">
        <v>3954.0622061454419</v>
      </c>
      <c r="N359" s="130">
        <v>7118.0562183277589</v>
      </c>
      <c r="O359" s="80"/>
      <c r="P359" s="3"/>
      <c r="Q359" s="14"/>
      <c r="R359" s="16"/>
      <c r="S359" s="16"/>
      <c r="T359" s="16"/>
      <c r="U359" s="16"/>
    </row>
    <row r="360" spans="1:21" ht="18.75" customHeight="1" x14ac:dyDescent="0.25">
      <c r="A360" s="14"/>
      <c r="B360" s="15"/>
      <c r="C360" s="119" t="s">
        <v>620</v>
      </c>
      <c r="D360" s="120" t="s">
        <v>622</v>
      </c>
      <c r="E360" s="129">
        <v>13228876.494806876</v>
      </c>
      <c r="F360" s="129">
        <v>396866.29484420631</v>
      </c>
      <c r="G360" s="129">
        <v>2248909.004117169</v>
      </c>
      <c r="H360" s="129">
        <v>1719753.9443248939</v>
      </c>
      <c r="I360" s="129">
        <v>926021.35463648138</v>
      </c>
      <c r="J360" s="129">
        <v>1322887.6494806877</v>
      </c>
      <c r="K360" s="129">
        <v>661443.82474034384</v>
      </c>
      <c r="L360" s="129">
        <v>2116620.2391691003</v>
      </c>
      <c r="M360" s="129">
        <v>3836374.1834939937</v>
      </c>
      <c r="N360" s="130">
        <v>6614438.2474034382</v>
      </c>
      <c r="O360" s="17"/>
      <c r="P360" s="4"/>
      <c r="Q360" s="14"/>
      <c r="R360" s="16"/>
      <c r="S360" s="16"/>
      <c r="T360" s="16"/>
      <c r="U360" s="16"/>
    </row>
    <row r="361" spans="1:21" ht="18.75" customHeight="1" x14ac:dyDescent="0.25">
      <c r="A361" s="14"/>
      <c r="B361" s="15"/>
      <c r="C361" s="122" t="s">
        <v>776</v>
      </c>
      <c r="D361" s="120" t="s">
        <v>579</v>
      </c>
      <c r="E361" s="125">
        <v>0.32522289358320805</v>
      </c>
      <c r="F361" s="125">
        <v>0</v>
      </c>
      <c r="G361" s="125">
        <v>0</v>
      </c>
      <c r="H361" s="125">
        <v>5.1434805843667358E-2</v>
      </c>
      <c r="I361" s="125">
        <v>0.14214991603190352</v>
      </c>
      <c r="J361" s="125">
        <v>0.21800794814571328</v>
      </c>
      <c r="K361" s="125">
        <v>0.27192333102034688</v>
      </c>
      <c r="L361" s="125">
        <v>0.38997941367387101</v>
      </c>
      <c r="M361" s="125">
        <v>0.72686967982031048</v>
      </c>
      <c r="N361" s="131">
        <v>0.57357015977345349</v>
      </c>
      <c r="O361" s="80"/>
      <c r="P361" s="4"/>
      <c r="Q361" s="14"/>
      <c r="R361" s="16"/>
      <c r="S361" s="16"/>
      <c r="T361" s="16"/>
      <c r="U361" s="16"/>
    </row>
    <row r="362" spans="1:21" ht="28.5" customHeight="1" x14ac:dyDescent="0.25">
      <c r="A362" s="14"/>
      <c r="B362" s="15"/>
      <c r="C362" s="122" t="s">
        <v>777</v>
      </c>
      <c r="D362" s="210" t="s">
        <v>778</v>
      </c>
      <c r="E362" s="125">
        <v>1731.6706769710852</v>
      </c>
      <c r="F362" s="132">
        <v>0</v>
      </c>
      <c r="G362" s="132">
        <v>1.13527884851095</v>
      </c>
      <c r="H362" s="132">
        <v>3.3296935980871467</v>
      </c>
      <c r="I362" s="132">
        <v>174.84248306233712</v>
      </c>
      <c r="J362" s="132">
        <v>446.48456684174357</v>
      </c>
      <c r="K362" s="132">
        <v>708.3731383202728</v>
      </c>
      <c r="L362" s="132">
        <v>1489.5820158586712</v>
      </c>
      <c r="M362" s="125">
        <v>4828.9848601625818</v>
      </c>
      <c r="N362" s="133">
        <v>3348.3147778010989</v>
      </c>
      <c r="O362" s="80"/>
      <c r="P362" s="9"/>
      <c r="Q362" s="14"/>
      <c r="R362" s="16"/>
      <c r="S362" s="16"/>
      <c r="T362" s="16"/>
      <c r="U362" s="16"/>
    </row>
    <row r="363" spans="1:21" ht="18.75" customHeight="1" x14ac:dyDescent="0.25">
      <c r="A363" s="14"/>
      <c r="B363" s="15"/>
      <c r="C363" s="119" t="s">
        <v>779</v>
      </c>
      <c r="D363" s="120" t="s">
        <v>970</v>
      </c>
      <c r="E363" s="132">
        <v>38.403611892690236</v>
      </c>
      <c r="F363" s="125">
        <v>78.821958971416095</v>
      </c>
      <c r="G363" s="125">
        <v>59.577444280991308</v>
      </c>
      <c r="H363" s="125">
        <v>39.092123549268535</v>
      </c>
      <c r="I363" s="125">
        <v>31.268782683980959</v>
      </c>
      <c r="J363" s="125">
        <v>28.730189641083655</v>
      </c>
      <c r="K363" s="125">
        <v>27.664061399646783</v>
      </c>
      <c r="L363" s="125">
        <v>25.783136621748042</v>
      </c>
      <c r="M363" s="125">
        <v>14.197126539251769</v>
      </c>
      <c r="N363" s="131">
        <v>20.623705804919496</v>
      </c>
      <c r="O363" s="81"/>
      <c r="P363" s="5"/>
      <c r="Q363" s="14"/>
      <c r="R363" s="16"/>
      <c r="S363" s="16"/>
      <c r="T363" s="16"/>
      <c r="U363" s="16"/>
    </row>
    <row r="364" spans="1:21" ht="18.75" customHeight="1" x14ac:dyDescent="0.25">
      <c r="A364" s="14"/>
      <c r="B364" s="15"/>
      <c r="C364" s="119" t="s">
        <v>580</v>
      </c>
      <c r="D364" s="120" t="s">
        <v>581</v>
      </c>
      <c r="E364" s="125">
        <v>832.00481099414321</v>
      </c>
      <c r="F364" s="125">
        <v>672.11537583297093</v>
      </c>
      <c r="G364" s="125">
        <v>739.80800314724945</v>
      </c>
      <c r="H364" s="125">
        <v>828.64683057406091</v>
      </c>
      <c r="I364" s="125">
        <v>868.47502431995599</v>
      </c>
      <c r="J364" s="125">
        <v>882.234632665969</v>
      </c>
      <c r="K364" s="125">
        <v>888.14410273846977</v>
      </c>
      <c r="L364" s="125">
        <v>898.76528111185701</v>
      </c>
      <c r="M364" s="125">
        <v>970.23617320219785</v>
      </c>
      <c r="N364" s="131">
        <v>929.24782335554028</v>
      </c>
      <c r="O364" s="82"/>
      <c r="P364" s="10"/>
      <c r="Q364" s="14"/>
      <c r="R364" s="16"/>
      <c r="S364" s="16"/>
      <c r="T364" s="16"/>
      <c r="U364" s="16"/>
    </row>
    <row r="365" spans="1:21" ht="18.75" customHeight="1" x14ac:dyDescent="0.25">
      <c r="A365" s="14"/>
      <c r="B365" s="15"/>
      <c r="C365" s="119" t="s">
        <v>541</v>
      </c>
      <c r="D365" s="120" t="s">
        <v>579</v>
      </c>
      <c r="E365" s="125">
        <v>10.820232457183725</v>
      </c>
      <c r="F365" s="125">
        <v>16.411115916267988</v>
      </c>
      <c r="G365" s="125">
        <v>14.151872918425846</v>
      </c>
      <c r="H365" s="125">
        <v>13.139217839094812</v>
      </c>
      <c r="I365" s="125">
        <v>13.612005790923764</v>
      </c>
      <c r="J365" s="125">
        <v>13.857154941718811</v>
      </c>
      <c r="K365" s="125">
        <v>13.790461785948942</v>
      </c>
      <c r="L365" s="125">
        <v>12.715399277126288</v>
      </c>
      <c r="M365" s="125">
        <v>3.9704806596785081</v>
      </c>
      <c r="N365" s="131">
        <v>7.750852729888841</v>
      </c>
      <c r="O365" s="82"/>
      <c r="P365" s="5"/>
      <c r="Q365" s="14"/>
      <c r="R365" s="16"/>
      <c r="S365" s="16"/>
      <c r="T365" s="16"/>
      <c r="U365" s="16"/>
    </row>
    <row r="366" spans="1:21" ht="18.75" customHeight="1" x14ac:dyDescent="0.25">
      <c r="A366" s="14"/>
      <c r="B366" s="15"/>
      <c r="C366" s="119" t="s">
        <v>544</v>
      </c>
      <c r="D366" s="120" t="s">
        <v>579</v>
      </c>
      <c r="E366" s="125">
        <v>1.83</v>
      </c>
      <c r="F366" s="128"/>
      <c r="G366" s="128"/>
      <c r="H366" s="128"/>
      <c r="I366" s="128"/>
      <c r="J366" s="128"/>
      <c r="K366" s="128"/>
      <c r="L366" s="128"/>
      <c r="M366" s="125">
        <v>6.3040344827586212</v>
      </c>
      <c r="N366" s="131">
        <v>3.66</v>
      </c>
      <c r="O366" s="82"/>
      <c r="P366" s="5"/>
      <c r="Q366" s="14"/>
      <c r="R366" s="16"/>
      <c r="S366" s="16"/>
      <c r="T366" s="16"/>
      <c r="U366" s="16"/>
    </row>
    <row r="367" spans="1:21" ht="18.75" customHeight="1" x14ac:dyDescent="0.25">
      <c r="A367" s="14"/>
      <c r="B367" s="15"/>
      <c r="C367" s="119" t="s">
        <v>780</v>
      </c>
      <c r="D367" s="120" t="s">
        <v>783</v>
      </c>
      <c r="E367" s="125">
        <v>12.832529223307107</v>
      </c>
      <c r="F367" s="125">
        <v>12.471245147423145</v>
      </c>
      <c r="G367" s="125">
        <v>12.134802351452462</v>
      </c>
      <c r="H367" s="125">
        <v>11.346639581738179</v>
      </c>
      <c r="I367" s="125">
        <v>11.75692340723921</v>
      </c>
      <c r="J367" s="125">
        <v>11.890026791340709</v>
      </c>
      <c r="K367" s="125">
        <v>12.021389342218496</v>
      </c>
      <c r="L367" s="125">
        <v>12.203241628191687</v>
      </c>
      <c r="M367" s="125">
        <v>11.971493514503578</v>
      </c>
      <c r="N367" s="131">
        <v>12.181346139539524</v>
      </c>
      <c r="O367" s="83"/>
      <c r="P367" s="5"/>
      <c r="Q367" s="14"/>
      <c r="R367" s="16"/>
      <c r="S367" s="16"/>
      <c r="T367" s="16"/>
      <c r="U367" s="16"/>
    </row>
    <row r="368" spans="1:21" ht="18.75" customHeight="1" x14ac:dyDescent="0.25">
      <c r="A368" s="14"/>
      <c r="B368" s="15"/>
      <c r="C368" s="122" t="s">
        <v>781</v>
      </c>
      <c r="D368" s="120" t="s">
        <v>782</v>
      </c>
      <c r="E368" s="125">
        <v>405</v>
      </c>
      <c r="F368" s="134">
        <v>55</v>
      </c>
      <c r="G368" s="134">
        <v>130</v>
      </c>
      <c r="H368" s="134">
        <v>190</v>
      </c>
      <c r="I368" s="134">
        <v>320</v>
      </c>
      <c r="J368" s="134">
        <v>370</v>
      </c>
      <c r="K368" s="134">
        <v>405</v>
      </c>
      <c r="L368" s="134">
        <v>462</v>
      </c>
      <c r="M368" s="134">
        <v>600</v>
      </c>
      <c r="N368" s="135">
        <v>535</v>
      </c>
      <c r="O368" s="84"/>
      <c r="P368" s="5"/>
      <c r="Q368" s="14"/>
      <c r="R368" s="16"/>
      <c r="S368" s="16"/>
      <c r="T368" s="16"/>
      <c r="U368" s="16"/>
    </row>
    <row r="369" spans="1:21" ht="18.75" customHeight="1" x14ac:dyDescent="0.25">
      <c r="A369" s="14"/>
      <c r="B369" s="15"/>
      <c r="C369" s="122"/>
      <c r="D369" s="210"/>
      <c r="E369" s="210"/>
      <c r="F369" s="210"/>
      <c r="G369" s="210"/>
      <c r="H369" s="210"/>
      <c r="I369" s="210"/>
      <c r="J369" s="210"/>
      <c r="K369" s="210"/>
      <c r="L369" s="210"/>
      <c r="M369" s="210"/>
      <c r="N369" s="115"/>
      <c r="O369" s="83"/>
      <c r="P369" s="5"/>
      <c r="Q369" s="14"/>
      <c r="R369" s="16"/>
      <c r="S369" s="16"/>
      <c r="T369" s="16"/>
      <c r="U369" s="16"/>
    </row>
    <row r="370" spans="1:21" ht="18.75" customHeight="1" x14ac:dyDescent="0.25">
      <c r="A370" s="14"/>
      <c r="B370" s="15"/>
      <c r="C370" s="2199" t="s">
        <v>2019</v>
      </c>
      <c r="D370" s="2200"/>
      <c r="E370" s="2200"/>
      <c r="F370" s="2200"/>
      <c r="G370" s="2200"/>
      <c r="H370" s="2200"/>
      <c r="I370" s="2200"/>
      <c r="J370" s="2200"/>
      <c r="K370" s="2200"/>
      <c r="L370" s="2200"/>
      <c r="M370" s="2200"/>
      <c r="N370" s="2201"/>
      <c r="O370" s="83"/>
      <c r="P370" s="1"/>
      <c r="Q370" s="14"/>
      <c r="R370" s="16"/>
      <c r="S370" s="16"/>
      <c r="T370" s="16"/>
      <c r="U370" s="16"/>
    </row>
    <row r="371" spans="1:21" ht="18.75" customHeight="1" x14ac:dyDescent="0.25">
      <c r="A371" s="14"/>
      <c r="B371" s="15"/>
      <c r="C371" s="2202" t="s">
        <v>1088</v>
      </c>
      <c r="D371" s="210">
        <v>48</v>
      </c>
      <c r="E371" s="104" t="s">
        <v>679</v>
      </c>
      <c r="F371" s="210">
        <v>80</v>
      </c>
      <c r="G371" s="210">
        <v>180</v>
      </c>
      <c r="H371" s="210">
        <v>290</v>
      </c>
      <c r="I371" s="210">
        <v>340</v>
      </c>
      <c r="J371" s="210">
        <v>400</v>
      </c>
      <c r="K371" s="210">
        <v>450</v>
      </c>
      <c r="L371" s="210">
        <v>525</v>
      </c>
      <c r="M371" s="210">
        <v>525</v>
      </c>
      <c r="N371" s="115">
        <v>400</v>
      </c>
      <c r="O371" s="83"/>
      <c r="P371" s="14"/>
      <c r="Q371" s="14"/>
      <c r="R371" s="16"/>
      <c r="S371" s="16"/>
      <c r="T371" s="16"/>
      <c r="U371" s="16"/>
    </row>
    <row r="372" spans="1:21" ht="18.75" customHeight="1" x14ac:dyDescent="0.25">
      <c r="A372" s="14"/>
      <c r="B372" s="15"/>
      <c r="C372" s="119" t="s">
        <v>568</v>
      </c>
      <c r="D372" s="120" t="s">
        <v>623</v>
      </c>
      <c r="E372" s="110" t="s">
        <v>608</v>
      </c>
      <c r="F372" s="110" t="s">
        <v>957</v>
      </c>
      <c r="G372" s="110" t="s">
        <v>572</v>
      </c>
      <c r="H372" s="110" t="s">
        <v>530</v>
      </c>
      <c r="I372" s="110" t="s">
        <v>573</v>
      </c>
      <c r="J372" s="110" t="s">
        <v>574</v>
      </c>
      <c r="K372" s="110" t="s">
        <v>575</v>
      </c>
      <c r="L372" s="110" t="s">
        <v>576</v>
      </c>
      <c r="M372" s="110" t="s">
        <v>577</v>
      </c>
      <c r="N372" s="2203" t="s">
        <v>609</v>
      </c>
      <c r="O372" s="83"/>
      <c r="P372" s="1"/>
      <c r="Q372" s="14"/>
      <c r="R372" s="57"/>
      <c r="S372" s="16"/>
      <c r="T372" s="16"/>
      <c r="U372" s="16"/>
    </row>
    <row r="373" spans="1:21" ht="18.75" customHeight="1" x14ac:dyDescent="0.25">
      <c r="A373" s="14"/>
      <c r="B373" s="15"/>
      <c r="C373" s="119" t="s">
        <v>582</v>
      </c>
      <c r="D373" s="120" t="s">
        <v>566</v>
      </c>
      <c r="E373" s="121">
        <v>95614.743033239181</v>
      </c>
      <c r="F373" s="129">
        <v>3695.9321052203709</v>
      </c>
      <c r="G373" s="129">
        <v>19325.703167885444</v>
      </c>
      <c r="H373" s="129">
        <v>21999.443016798432</v>
      </c>
      <c r="I373" s="129">
        <v>5711.9879588989497</v>
      </c>
      <c r="J373" s="129">
        <v>7544.8499175261877</v>
      </c>
      <c r="K373" s="129">
        <v>7456.4840290339907</v>
      </c>
      <c r="L373" s="129">
        <v>10025.170078547841</v>
      </c>
      <c r="M373" s="129">
        <v>19855.172759327961</v>
      </c>
      <c r="N373" s="130">
        <v>37325.019041568507</v>
      </c>
      <c r="O373" s="83"/>
      <c r="P373" s="1"/>
      <c r="Q373" s="14"/>
      <c r="R373" s="16"/>
      <c r="S373" s="16"/>
      <c r="T373" s="16"/>
      <c r="U373" s="16"/>
    </row>
    <row r="374" spans="1:21" ht="18.75" customHeight="1" x14ac:dyDescent="0.25">
      <c r="A374" s="14"/>
      <c r="B374" s="15"/>
      <c r="C374" s="119" t="s">
        <v>582</v>
      </c>
      <c r="D374" s="120" t="s">
        <v>628</v>
      </c>
      <c r="E374" s="145">
        <v>15202.74414228503</v>
      </c>
      <c r="F374" s="129">
        <v>587.65320473003896</v>
      </c>
      <c r="G374" s="129">
        <v>3072.7868036937857</v>
      </c>
      <c r="H374" s="129">
        <v>3497.9114396709506</v>
      </c>
      <c r="I374" s="129">
        <v>908.20608546493304</v>
      </c>
      <c r="J374" s="129">
        <v>1199.6311368866639</v>
      </c>
      <c r="K374" s="129">
        <v>1185.5809606164046</v>
      </c>
      <c r="L374" s="129">
        <v>1594.0020424891065</v>
      </c>
      <c r="M374" s="129">
        <v>3156.9724687331459</v>
      </c>
      <c r="N374" s="130">
        <v>5934.6780276093923</v>
      </c>
      <c r="O374" s="80"/>
      <c r="P374" s="3"/>
      <c r="Q374" s="14"/>
      <c r="R374" s="16"/>
      <c r="S374" s="16"/>
      <c r="T374" s="16"/>
      <c r="U374" s="16"/>
    </row>
    <row r="375" spans="1:21" ht="18.75" customHeight="1" x14ac:dyDescent="0.25">
      <c r="A375" s="14"/>
      <c r="B375" s="15"/>
      <c r="C375" s="119" t="s">
        <v>620</v>
      </c>
      <c r="D375" s="120" t="s">
        <v>622</v>
      </c>
      <c r="E375" s="129">
        <v>13082147.033233088</v>
      </c>
      <c r="F375" s="129">
        <v>392464.41099699261</v>
      </c>
      <c r="G375" s="129">
        <v>2354786.4659819556</v>
      </c>
      <c r="H375" s="129">
        <v>2878072.3473112793</v>
      </c>
      <c r="I375" s="129">
        <v>784928.82199398521</v>
      </c>
      <c r="J375" s="129">
        <v>1046571.762658647</v>
      </c>
      <c r="K375" s="129">
        <v>1046571.762658647</v>
      </c>
      <c r="L375" s="129">
        <v>1439036.1736556396</v>
      </c>
      <c r="M375" s="129">
        <v>3139715.2879759409</v>
      </c>
      <c r="N375" s="130">
        <v>5625323.2242902275</v>
      </c>
      <c r="O375" s="17"/>
      <c r="P375" s="4"/>
      <c r="Q375" s="14"/>
      <c r="R375" s="16"/>
      <c r="S375" s="16"/>
      <c r="T375" s="16"/>
      <c r="U375" s="16"/>
    </row>
    <row r="376" spans="1:21" ht="18.75" customHeight="1" x14ac:dyDescent="0.25">
      <c r="A376" s="14"/>
      <c r="B376" s="15"/>
      <c r="C376" s="122" t="s">
        <v>776</v>
      </c>
      <c r="D376" s="120" t="s">
        <v>579</v>
      </c>
      <c r="E376" s="125">
        <v>0.84916650362103263</v>
      </c>
      <c r="F376" s="125">
        <v>0</v>
      </c>
      <c r="G376" s="125">
        <v>0</v>
      </c>
      <c r="H376" s="125">
        <v>0.13608700026791454</v>
      </c>
      <c r="I376" s="125">
        <v>0.35667349894522199</v>
      </c>
      <c r="J376" s="125">
        <v>0.4905958372725705</v>
      </c>
      <c r="K376" s="125">
        <v>0.75604234330363174</v>
      </c>
      <c r="L376" s="125">
        <v>1.1837767577813572</v>
      </c>
      <c r="M376" s="125">
        <v>2.3661685659305527</v>
      </c>
      <c r="N376" s="131">
        <v>1.7641378759152846</v>
      </c>
      <c r="O376" s="80"/>
      <c r="P376" s="4"/>
      <c r="Q376" s="14"/>
      <c r="R376" s="16"/>
      <c r="S376" s="16"/>
      <c r="T376" s="16"/>
      <c r="U376" s="16"/>
    </row>
    <row r="377" spans="1:21" ht="30.75" customHeight="1" x14ac:dyDescent="0.25">
      <c r="A377" s="14"/>
      <c r="B377" s="15"/>
      <c r="C377" s="122" t="s">
        <v>777</v>
      </c>
      <c r="D377" s="210" t="s">
        <v>778</v>
      </c>
      <c r="E377" s="125">
        <v>1303.1202097126338</v>
      </c>
      <c r="F377" s="132">
        <v>0</v>
      </c>
      <c r="G377" s="132">
        <v>0</v>
      </c>
      <c r="H377" s="132">
        <v>0</v>
      </c>
      <c r="I377" s="132">
        <v>0</v>
      </c>
      <c r="J377" s="132">
        <v>80.36214443850622</v>
      </c>
      <c r="K377" s="132">
        <v>453.89813187097388</v>
      </c>
      <c r="L377" s="132">
        <v>1381.7398341766411</v>
      </c>
      <c r="M377" s="125">
        <v>4618.2833577018537</v>
      </c>
      <c r="N377" s="133">
        <v>3015.5610189710542</v>
      </c>
      <c r="O377" s="80"/>
      <c r="P377" s="9"/>
      <c r="Q377" s="14"/>
      <c r="R377" s="16"/>
      <c r="S377" s="16"/>
      <c r="T377" s="16"/>
      <c r="U377" s="16"/>
    </row>
    <row r="378" spans="1:21" ht="18.75" customHeight="1" x14ac:dyDescent="0.25">
      <c r="A378" s="14"/>
      <c r="B378" s="15"/>
      <c r="C378" s="119" t="s">
        <v>779</v>
      </c>
      <c r="D378" s="120" t="s">
        <v>970</v>
      </c>
      <c r="E378" s="132">
        <v>40.309252108254725</v>
      </c>
      <c r="F378" s="125">
        <v>80.165110280266475</v>
      </c>
      <c r="G378" s="125">
        <v>52.963033763362638</v>
      </c>
      <c r="H378" s="125">
        <v>40.304902341559327</v>
      </c>
      <c r="I378" s="125">
        <v>32.062063211630829</v>
      </c>
      <c r="J378" s="125">
        <v>30.534377699900205</v>
      </c>
      <c r="K378" s="125">
        <v>28.636618048184488</v>
      </c>
      <c r="L378" s="125">
        <v>25.083361223032483</v>
      </c>
      <c r="M378" s="125">
        <v>10.637599260847054</v>
      </c>
      <c r="N378" s="131">
        <v>17.634502475773274</v>
      </c>
      <c r="O378" s="81"/>
      <c r="P378" s="5"/>
      <c r="Q378" s="14"/>
      <c r="R378" s="16"/>
      <c r="S378" s="16"/>
      <c r="T378" s="16"/>
      <c r="U378" s="16"/>
    </row>
    <row r="379" spans="1:21" ht="18.75" customHeight="1" x14ac:dyDescent="0.25">
      <c r="A379" s="14"/>
      <c r="B379" s="15"/>
      <c r="C379" s="119" t="s">
        <v>580</v>
      </c>
      <c r="D379" s="120" t="s">
        <v>581</v>
      </c>
      <c r="E379" s="125">
        <v>822.77654297063441</v>
      </c>
      <c r="F379" s="125">
        <v>667.85037133811966</v>
      </c>
      <c r="G379" s="125">
        <v>766.33577804723564</v>
      </c>
      <c r="H379" s="125">
        <v>822.79737407589153</v>
      </c>
      <c r="I379" s="125">
        <v>864.26289644619681</v>
      </c>
      <c r="J379" s="125">
        <v>872.41130250649928</v>
      </c>
      <c r="K379" s="125">
        <v>882.75014311508153</v>
      </c>
      <c r="L379" s="125">
        <v>902.78188816403235</v>
      </c>
      <c r="M379" s="125">
        <v>994.53362963151528</v>
      </c>
      <c r="N379" s="131">
        <v>947.87336366354168</v>
      </c>
      <c r="O379" s="82"/>
      <c r="P379" s="10"/>
      <c r="Q379" s="14"/>
      <c r="R379" s="16"/>
      <c r="S379" s="16"/>
      <c r="T379" s="16"/>
      <c r="U379" s="16"/>
    </row>
    <row r="380" spans="1:21" ht="18.75" customHeight="1" x14ac:dyDescent="0.25">
      <c r="A380" s="14"/>
      <c r="B380" s="15"/>
      <c r="C380" s="119" t="s">
        <v>541</v>
      </c>
      <c r="D380" s="120" t="s">
        <v>579</v>
      </c>
      <c r="E380" s="125">
        <v>10.613303505734013</v>
      </c>
      <c r="F380" s="125">
        <v>16.68668430910553</v>
      </c>
      <c r="G380" s="125">
        <v>13.507936012737421</v>
      </c>
      <c r="H380" s="125">
        <v>13.239768907462324</v>
      </c>
      <c r="I380" s="125">
        <v>14.292685871117651</v>
      </c>
      <c r="J380" s="125">
        <v>14.577751787781892</v>
      </c>
      <c r="K380" s="125">
        <v>14.237956478127742</v>
      </c>
      <c r="L380" s="125">
        <v>11.876337758793156</v>
      </c>
      <c r="M380" s="125">
        <v>1.2471265313305193</v>
      </c>
      <c r="N380" s="131">
        <v>6.3831256726437005</v>
      </c>
      <c r="O380" s="82"/>
      <c r="P380" s="5"/>
      <c r="Q380" s="14"/>
      <c r="R380" s="16"/>
      <c r="S380" s="16"/>
      <c r="T380" s="16"/>
      <c r="U380" s="16"/>
    </row>
    <row r="381" spans="1:21" ht="18.75" customHeight="1" x14ac:dyDescent="0.25">
      <c r="A381" s="14"/>
      <c r="B381" s="15"/>
      <c r="C381" s="119" t="s">
        <v>544</v>
      </c>
      <c r="D381" s="120" t="s">
        <v>579</v>
      </c>
      <c r="E381" s="125">
        <v>1.55</v>
      </c>
      <c r="F381" s="128"/>
      <c r="G381" s="128"/>
      <c r="H381" s="128"/>
      <c r="I381" s="128"/>
      <c r="J381" s="128"/>
      <c r="K381" s="128"/>
      <c r="L381" s="128"/>
      <c r="M381" s="125">
        <v>6.4518750000000002</v>
      </c>
      <c r="N381" s="131">
        <v>3.6046511627906979</v>
      </c>
      <c r="O381" s="82"/>
      <c r="P381" s="5"/>
      <c r="Q381" s="14"/>
      <c r="R381" s="16"/>
      <c r="S381" s="16"/>
      <c r="T381" s="16"/>
      <c r="U381" s="16"/>
    </row>
    <row r="382" spans="1:21" ht="18.75" customHeight="1" x14ac:dyDescent="0.25">
      <c r="A382" s="14"/>
      <c r="B382" s="15"/>
      <c r="C382" s="119" t="s">
        <v>780</v>
      </c>
      <c r="D382" s="120" t="s">
        <v>783</v>
      </c>
      <c r="E382" s="125">
        <v>12.682839004867434</v>
      </c>
      <c r="F382" s="125">
        <v>12.677106425451514</v>
      </c>
      <c r="G382" s="125">
        <v>11.905341492487223</v>
      </c>
      <c r="H382" s="125">
        <v>11.668892161466481</v>
      </c>
      <c r="I382" s="125">
        <v>11.814222713962796</v>
      </c>
      <c r="J382" s="125">
        <v>11.961264602483997</v>
      </c>
      <c r="K382" s="125">
        <v>12.183370647521613</v>
      </c>
      <c r="L382" s="125">
        <v>12.301270713431483</v>
      </c>
      <c r="M382" s="125">
        <v>11.679017892366717</v>
      </c>
      <c r="N382" s="131">
        <v>12.063877662195955</v>
      </c>
      <c r="O382" s="83"/>
      <c r="P382" s="5"/>
      <c r="Q382" s="14"/>
      <c r="R382" s="16"/>
      <c r="S382" s="16"/>
      <c r="T382" s="16"/>
      <c r="U382" s="16"/>
    </row>
    <row r="383" spans="1:21" ht="18.75" customHeight="1" x14ac:dyDescent="0.25">
      <c r="A383" s="14"/>
      <c r="B383" s="15"/>
      <c r="C383" s="122" t="s">
        <v>781</v>
      </c>
      <c r="D383" s="120" t="s">
        <v>782</v>
      </c>
      <c r="E383" s="125">
        <v>360</v>
      </c>
      <c r="F383" s="134">
        <v>65</v>
      </c>
      <c r="G383" s="134">
        <v>150</v>
      </c>
      <c r="H383" s="134">
        <v>220</v>
      </c>
      <c r="I383" s="134">
        <v>320</v>
      </c>
      <c r="J383" s="134">
        <v>360</v>
      </c>
      <c r="K383" s="134">
        <v>420</v>
      </c>
      <c r="L383" s="134">
        <v>490</v>
      </c>
      <c r="M383" s="134">
        <v>600</v>
      </c>
      <c r="N383" s="135">
        <v>560</v>
      </c>
      <c r="O383" s="84"/>
      <c r="P383" s="5"/>
      <c r="Q383" s="14"/>
      <c r="R383" s="16"/>
      <c r="S383" s="16"/>
      <c r="T383" s="16"/>
      <c r="U383" s="16"/>
    </row>
    <row r="384" spans="1:21" ht="18.75" customHeight="1" x14ac:dyDescent="0.25">
      <c r="A384" s="14"/>
      <c r="B384" s="15"/>
      <c r="C384" s="122"/>
      <c r="D384" s="210"/>
      <c r="E384" s="210"/>
      <c r="F384" s="210"/>
      <c r="G384" s="210"/>
      <c r="H384" s="210"/>
      <c r="I384" s="210"/>
      <c r="J384" s="210"/>
      <c r="K384" s="210"/>
      <c r="L384" s="210"/>
      <c r="M384" s="210"/>
      <c r="N384" s="115"/>
      <c r="O384" s="83"/>
      <c r="P384" s="1"/>
      <c r="Q384" s="14"/>
      <c r="R384" s="57"/>
      <c r="S384" s="16"/>
      <c r="T384" s="16"/>
      <c r="U384" s="16"/>
    </row>
    <row r="385" spans="1:21" ht="18.75" customHeight="1" x14ac:dyDescent="0.25">
      <c r="A385" s="14"/>
      <c r="B385" s="15"/>
      <c r="C385" s="2199" t="s">
        <v>2020</v>
      </c>
      <c r="D385" s="2200"/>
      <c r="E385" s="2200"/>
      <c r="F385" s="2200"/>
      <c r="G385" s="2200"/>
      <c r="H385" s="2200"/>
      <c r="I385" s="2200"/>
      <c r="J385" s="2200"/>
      <c r="K385" s="2200"/>
      <c r="L385" s="2200"/>
      <c r="M385" s="2200"/>
      <c r="N385" s="2201"/>
      <c r="O385" s="83"/>
      <c r="P385" s="1"/>
      <c r="Q385" s="14"/>
      <c r="R385" s="16"/>
      <c r="S385" s="16"/>
      <c r="T385" s="16"/>
      <c r="U385" s="16"/>
    </row>
    <row r="386" spans="1:21" ht="18.75" customHeight="1" x14ac:dyDescent="0.25">
      <c r="A386" s="14"/>
      <c r="B386" s="15"/>
      <c r="C386" s="2202" t="s">
        <v>1088</v>
      </c>
      <c r="D386" s="210">
        <v>60</v>
      </c>
      <c r="E386" s="104" t="s">
        <v>679</v>
      </c>
      <c r="F386" s="210">
        <v>80</v>
      </c>
      <c r="G386" s="210">
        <v>180</v>
      </c>
      <c r="H386" s="210">
        <v>290</v>
      </c>
      <c r="I386" s="210">
        <v>340</v>
      </c>
      <c r="J386" s="210">
        <v>400</v>
      </c>
      <c r="K386" s="210">
        <v>450</v>
      </c>
      <c r="L386" s="210">
        <v>525</v>
      </c>
      <c r="M386" s="210">
        <v>525</v>
      </c>
      <c r="N386" s="115">
        <v>400</v>
      </c>
      <c r="O386" s="83"/>
      <c r="P386" s="3"/>
      <c r="Q386" s="14"/>
      <c r="R386" s="16"/>
      <c r="S386" s="16"/>
      <c r="T386" s="16"/>
      <c r="U386" s="16"/>
    </row>
    <row r="387" spans="1:21" ht="18.75" customHeight="1" x14ac:dyDescent="0.25">
      <c r="A387" s="14"/>
      <c r="B387" s="15"/>
      <c r="C387" s="119" t="s">
        <v>568</v>
      </c>
      <c r="D387" s="120" t="s">
        <v>623</v>
      </c>
      <c r="E387" s="110" t="s">
        <v>608</v>
      </c>
      <c r="F387" s="110" t="s">
        <v>957</v>
      </c>
      <c r="G387" s="110" t="s">
        <v>572</v>
      </c>
      <c r="H387" s="110" t="s">
        <v>530</v>
      </c>
      <c r="I387" s="110" t="s">
        <v>573</v>
      </c>
      <c r="J387" s="110" t="s">
        <v>574</v>
      </c>
      <c r="K387" s="110" t="s">
        <v>575</v>
      </c>
      <c r="L387" s="110" t="s">
        <v>576</v>
      </c>
      <c r="M387" s="110" t="s">
        <v>577</v>
      </c>
      <c r="N387" s="2203" t="s">
        <v>609</v>
      </c>
      <c r="O387" s="83"/>
      <c r="P387" s="4"/>
      <c r="Q387" s="14"/>
      <c r="R387" s="16"/>
      <c r="S387" s="16"/>
      <c r="T387" s="16"/>
      <c r="U387" s="16"/>
    </row>
    <row r="388" spans="1:21" ht="18.75" customHeight="1" x14ac:dyDescent="0.25">
      <c r="A388" s="14"/>
      <c r="B388" s="15"/>
      <c r="C388" s="119" t="s">
        <v>582</v>
      </c>
      <c r="D388" s="120" t="s">
        <v>566</v>
      </c>
      <c r="E388" s="121">
        <v>98075.786471751519</v>
      </c>
      <c r="F388" s="129">
        <v>1392.9889661302061</v>
      </c>
      <c r="G388" s="129">
        <v>1153.7311511562009</v>
      </c>
      <c r="H388" s="129">
        <v>5318.2104658242915</v>
      </c>
      <c r="I388" s="129">
        <v>4100.1415945838044</v>
      </c>
      <c r="J388" s="129">
        <v>5052.746759435513</v>
      </c>
      <c r="K388" s="129">
        <v>6029.7344483721208</v>
      </c>
      <c r="L388" s="129">
        <v>11038.228512929672</v>
      </c>
      <c r="M388" s="129">
        <v>63990.004573319697</v>
      </c>
      <c r="N388" s="130">
        <v>83319.322209147707</v>
      </c>
      <c r="O388" s="83"/>
      <c r="P388" s="4"/>
      <c r="Q388" s="14"/>
      <c r="R388" s="16"/>
      <c r="S388" s="16"/>
      <c r="T388" s="16"/>
      <c r="U388" s="16"/>
    </row>
    <row r="389" spans="1:21" ht="32.25" customHeight="1" x14ac:dyDescent="0.25">
      <c r="A389" s="14"/>
      <c r="B389" s="15"/>
      <c r="C389" s="119" t="s">
        <v>582</v>
      </c>
      <c r="D389" s="120" t="s">
        <v>628</v>
      </c>
      <c r="E389" s="145">
        <v>15594.050049008492</v>
      </c>
      <c r="F389" s="129">
        <v>221.48524561470279</v>
      </c>
      <c r="G389" s="129">
        <v>183.44325303383593</v>
      </c>
      <c r="H389" s="129">
        <v>845.59546406606239</v>
      </c>
      <c r="I389" s="129">
        <v>651.92251353882489</v>
      </c>
      <c r="J389" s="129">
        <v>803.38673475024655</v>
      </c>
      <c r="K389" s="129">
        <v>958.72777729116729</v>
      </c>
      <c r="L389" s="129">
        <v>1755.0783335558181</v>
      </c>
      <c r="M389" s="129">
        <v>10174.410727157832</v>
      </c>
      <c r="N389" s="130">
        <v>13247.772231254485</v>
      </c>
      <c r="O389" s="80"/>
      <c r="P389" s="9"/>
      <c r="Q389" s="14"/>
      <c r="R389" s="16"/>
      <c r="S389" s="16"/>
      <c r="T389" s="16"/>
      <c r="U389" s="16"/>
    </row>
    <row r="390" spans="1:21" ht="18.75" customHeight="1" x14ac:dyDescent="0.25">
      <c r="A390" s="14"/>
      <c r="B390" s="15"/>
      <c r="C390" s="119" t="s">
        <v>620</v>
      </c>
      <c r="D390" s="120" t="s">
        <v>622</v>
      </c>
      <c r="E390" s="129">
        <v>14807456.956718601</v>
      </c>
      <c r="F390" s="129">
        <v>148074.56956718603</v>
      </c>
      <c r="G390" s="129">
        <v>148074.56956718603</v>
      </c>
      <c r="H390" s="129">
        <v>740372.84783593006</v>
      </c>
      <c r="I390" s="129">
        <v>592298.27826874412</v>
      </c>
      <c r="J390" s="129">
        <v>740372.84783593006</v>
      </c>
      <c r="K390" s="129">
        <v>888447.41740311601</v>
      </c>
      <c r="L390" s="129">
        <v>1628820.2652390462</v>
      </c>
      <c r="M390" s="129">
        <v>9920996.1610014644</v>
      </c>
      <c r="N390" s="130">
        <v>12438263.843643626</v>
      </c>
      <c r="O390" s="17"/>
      <c r="P390" s="5"/>
      <c r="Q390" s="14"/>
      <c r="R390" s="16"/>
      <c r="S390" s="16"/>
      <c r="T390" s="16"/>
      <c r="U390" s="16"/>
    </row>
    <row r="391" spans="1:21" ht="18.75" customHeight="1" x14ac:dyDescent="0.25">
      <c r="A391" s="14"/>
      <c r="B391" s="15"/>
      <c r="C391" s="122" t="s">
        <v>776</v>
      </c>
      <c r="D391" s="120" t="s">
        <v>579</v>
      </c>
      <c r="E391" s="125">
        <v>0.2385576781397836</v>
      </c>
      <c r="F391" s="125">
        <v>2.880774666020533E-4</v>
      </c>
      <c r="G391" s="125">
        <v>0</v>
      </c>
      <c r="H391" s="125">
        <v>8.8154329943049281E-2</v>
      </c>
      <c r="I391" s="125">
        <v>0.13069222408344722</v>
      </c>
      <c r="J391" s="125">
        <v>0.16427772908258492</v>
      </c>
      <c r="K391" s="125">
        <v>0.19593592253532158</v>
      </c>
      <c r="L391" s="125">
        <v>0.22826992178824268</v>
      </c>
      <c r="M391" s="125">
        <v>0.27438755030100292</v>
      </c>
      <c r="N391" s="131">
        <v>0.26274464934583086</v>
      </c>
      <c r="O391" s="80"/>
      <c r="P391" s="10"/>
      <c r="Q391" s="14"/>
      <c r="R391" s="16"/>
      <c r="S391" s="16"/>
      <c r="T391" s="16"/>
      <c r="U391" s="16"/>
    </row>
    <row r="392" spans="1:21" ht="18.75" customHeight="1" x14ac:dyDescent="0.25">
      <c r="A392" s="14"/>
      <c r="B392" s="15"/>
      <c r="C392" s="122" t="s">
        <v>777</v>
      </c>
      <c r="D392" s="210" t="s">
        <v>778</v>
      </c>
      <c r="E392" s="125">
        <v>3806.8683369032046</v>
      </c>
      <c r="F392" s="132">
        <v>0</v>
      </c>
      <c r="G392" s="132">
        <v>0</v>
      </c>
      <c r="H392" s="132">
        <v>57.998908899874777</v>
      </c>
      <c r="I392" s="132">
        <v>369.89984826778198</v>
      </c>
      <c r="J392" s="132">
        <v>768.83769860297377</v>
      </c>
      <c r="K392" s="132">
        <v>1323.8888258813533</v>
      </c>
      <c r="L392" s="132">
        <v>2207.0811357213543</v>
      </c>
      <c r="M392" s="125">
        <v>5117.1914300225671</v>
      </c>
      <c r="N392" s="133">
        <v>4465.1553721397022</v>
      </c>
      <c r="O392" s="80"/>
      <c r="P392" s="5"/>
      <c r="Q392" s="14"/>
      <c r="R392" s="16"/>
      <c r="S392" s="16"/>
      <c r="T392" s="16"/>
      <c r="U392" s="16"/>
    </row>
    <row r="393" spans="1:21" ht="18.75" customHeight="1" x14ac:dyDescent="0.25">
      <c r="A393" s="14"/>
      <c r="B393" s="15"/>
      <c r="C393" s="119" t="s">
        <v>779</v>
      </c>
      <c r="D393" s="120" t="s">
        <v>970</v>
      </c>
      <c r="E393" s="132">
        <v>20.290675760173599</v>
      </c>
      <c r="F393" s="125">
        <v>79.94273649536953</v>
      </c>
      <c r="G393" s="125">
        <v>43.625631079562652</v>
      </c>
      <c r="H393" s="125">
        <v>29.950952088459346</v>
      </c>
      <c r="I393" s="125">
        <v>24.090815838567806</v>
      </c>
      <c r="J393" s="125">
        <v>21.89196901194876</v>
      </c>
      <c r="K393" s="125">
        <v>21.042911095466962</v>
      </c>
      <c r="L393" s="125">
        <v>20.818196833891932</v>
      </c>
      <c r="M393" s="125">
        <v>13.471433374340194</v>
      </c>
      <c r="N393" s="131">
        <v>19.060669309597245</v>
      </c>
      <c r="O393" s="81"/>
      <c r="P393" s="5"/>
      <c r="Q393" s="14"/>
      <c r="R393" s="16"/>
      <c r="S393" s="16"/>
      <c r="T393" s="16"/>
      <c r="U393" s="16"/>
    </row>
    <row r="394" spans="1:21" ht="18.75" customHeight="1" x14ac:dyDescent="0.25">
      <c r="A394" s="14"/>
      <c r="B394" s="15"/>
      <c r="C394" s="119" t="s">
        <v>580</v>
      </c>
      <c r="D394" s="120" t="s">
        <v>581</v>
      </c>
      <c r="E394" s="125">
        <v>931.28660105148435</v>
      </c>
      <c r="F394" s="125">
        <v>668.55274786464804</v>
      </c>
      <c r="G394" s="125">
        <v>807.19550661192113</v>
      </c>
      <c r="H394" s="125">
        <v>875.56388284751756</v>
      </c>
      <c r="I394" s="125">
        <v>908.54091700803053</v>
      </c>
      <c r="J394" s="125">
        <v>921.564690841073</v>
      </c>
      <c r="K394" s="125">
        <v>926.69414451866146</v>
      </c>
      <c r="L394" s="125">
        <v>928.06129167980157</v>
      </c>
      <c r="M394" s="125">
        <v>975.09294907075594</v>
      </c>
      <c r="N394" s="131">
        <v>938.89475351176054</v>
      </c>
      <c r="O394" s="82"/>
      <c r="P394" s="5"/>
      <c r="Q394" s="14"/>
      <c r="R394" s="16"/>
      <c r="S394" s="16"/>
      <c r="T394" s="16"/>
      <c r="U394" s="16"/>
    </row>
    <row r="395" spans="1:21" ht="18.75" customHeight="1" x14ac:dyDescent="0.25">
      <c r="A395" s="14"/>
      <c r="B395" s="15"/>
      <c r="C395" s="119" t="s">
        <v>541</v>
      </c>
      <c r="D395" s="120" t="s">
        <v>579</v>
      </c>
      <c r="E395" s="125">
        <v>8.1652950926983809</v>
      </c>
      <c r="F395" s="125">
        <v>16.493653560149134</v>
      </c>
      <c r="G395" s="125">
        <v>13.4098857815681</v>
      </c>
      <c r="H395" s="125">
        <v>13.032814437644232</v>
      </c>
      <c r="I395" s="125">
        <v>13.159472108176768</v>
      </c>
      <c r="J395" s="125">
        <v>13.203037496208342</v>
      </c>
      <c r="K395" s="125">
        <v>12.946210595770516</v>
      </c>
      <c r="L395" s="125">
        <v>11.940596544080737</v>
      </c>
      <c r="M395" s="125">
        <v>5.8773880039796946</v>
      </c>
      <c r="N395" s="131">
        <v>7.176295497930365</v>
      </c>
      <c r="O395" s="82"/>
      <c r="P395" s="5"/>
      <c r="Q395" s="14"/>
      <c r="R395" s="16"/>
      <c r="S395" s="16"/>
      <c r="T395" s="16"/>
      <c r="U395" s="16"/>
    </row>
    <row r="396" spans="1:21" ht="18.75" customHeight="1" x14ac:dyDescent="0.25">
      <c r="A396" s="14"/>
      <c r="B396" s="15"/>
      <c r="C396" s="119" t="s">
        <v>544</v>
      </c>
      <c r="D396" s="120" t="s">
        <v>579</v>
      </c>
      <c r="E396" s="125">
        <v>8</v>
      </c>
      <c r="F396" s="128"/>
      <c r="G396" s="128"/>
      <c r="H396" s="128"/>
      <c r="I396" s="128"/>
      <c r="J396" s="128"/>
      <c r="K396" s="128"/>
      <c r="L396" s="128"/>
      <c r="M396" s="125">
        <v>11.92835820895522</v>
      </c>
      <c r="N396" s="131">
        <v>9.5238095238095219</v>
      </c>
      <c r="O396" s="82"/>
      <c r="P396" s="5"/>
      <c r="Q396" s="14"/>
      <c r="R396" s="16"/>
      <c r="S396" s="16"/>
      <c r="T396" s="16"/>
      <c r="U396" s="16"/>
    </row>
    <row r="397" spans="1:21" ht="18.75" customHeight="1" x14ac:dyDescent="0.25">
      <c r="A397" s="14"/>
      <c r="B397" s="15"/>
      <c r="C397" s="119" t="s">
        <v>780</v>
      </c>
      <c r="D397" s="120" t="s">
        <v>783</v>
      </c>
      <c r="E397" s="125">
        <v>12.566691598539659</v>
      </c>
      <c r="F397" s="125">
        <v>12.409029256908468</v>
      </c>
      <c r="G397" s="125">
        <v>11.434707166613491</v>
      </c>
      <c r="H397" s="125">
        <v>11.183654680305535</v>
      </c>
      <c r="I397" s="125">
        <v>11.238452942389257</v>
      </c>
      <c r="J397" s="125">
        <v>11.41201128872676</v>
      </c>
      <c r="K397" s="125">
        <v>11.661177848905963</v>
      </c>
      <c r="L397" s="125">
        <v>11.992273647405367</v>
      </c>
      <c r="M397" s="125">
        <v>12.329090619888582</v>
      </c>
      <c r="N397" s="131">
        <v>12.418164913417662</v>
      </c>
      <c r="O397" s="83"/>
      <c r="P397" s="1"/>
      <c r="Q397" s="14"/>
      <c r="R397" s="16"/>
      <c r="S397" s="16"/>
      <c r="T397" s="16"/>
      <c r="U397" s="16"/>
    </row>
    <row r="398" spans="1:21" ht="18.75" customHeight="1" x14ac:dyDescent="0.25">
      <c r="A398" s="14"/>
      <c r="B398" s="15"/>
      <c r="C398" s="122" t="s">
        <v>781</v>
      </c>
      <c r="D398" s="120" t="s">
        <v>782</v>
      </c>
      <c r="E398" s="125">
        <v>620</v>
      </c>
      <c r="F398" s="134">
        <v>45</v>
      </c>
      <c r="G398" s="134">
        <v>165</v>
      </c>
      <c r="H398" s="134">
        <v>250</v>
      </c>
      <c r="I398" s="134">
        <v>320</v>
      </c>
      <c r="J398" s="134">
        <v>375</v>
      </c>
      <c r="K398" s="134">
        <v>430</v>
      </c>
      <c r="L398" s="134">
        <v>495</v>
      </c>
      <c r="M398" s="134">
        <v>695</v>
      </c>
      <c r="N398" s="135">
        <v>610</v>
      </c>
      <c r="O398" s="84"/>
      <c r="P398" s="14"/>
      <c r="Q398" s="14"/>
      <c r="R398" s="16"/>
      <c r="S398" s="16"/>
      <c r="T398" s="16"/>
      <c r="U398" s="16"/>
    </row>
    <row r="399" spans="1:21" ht="18.75" customHeight="1" x14ac:dyDescent="0.25">
      <c r="A399" s="14"/>
      <c r="B399" s="15"/>
      <c r="C399" s="122"/>
      <c r="D399" s="210"/>
      <c r="E399" s="210"/>
      <c r="F399" s="210"/>
      <c r="G399" s="210"/>
      <c r="H399" s="210"/>
      <c r="I399" s="210"/>
      <c r="J399" s="210"/>
      <c r="K399" s="210"/>
      <c r="L399" s="210"/>
      <c r="M399" s="210"/>
      <c r="N399" s="115"/>
      <c r="O399" s="83"/>
      <c r="P399" s="1"/>
      <c r="Q399" s="14"/>
      <c r="R399" s="16"/>
      <c r="S399" s="16"/>
      <c r="T399" s="16"/>
      <c r="U399" s="16"/>
    </row>
    <row r="400" spans="1:21" ht="18.75" customHeight="1" x14ac:dyDescent="0.25">
      <c r="A400" s="14"/>
      <c r="B400" s="15"/>
      <c r="C400" s="2199" t="s">
        <v>2021</v>
      </c>
      <c r="D400" s="2200"/>
      <c r="E400" s="2200"/>
      <c r="F400" s="2200"/>
      <c r="G400" s="2200"/>
      <c r="H400" s="2200"/>
      <c r="I400" s="2200"/>
      <c r="J400" s="2200"/>
      <c r="K400" s="2200"/>
      <c r="L400" s="2200"/>
      <c r="M400" s="2200"/>
      <c r="N400" s="2201"/>
      <c r="O400" s="83"/>
      <c r="P400" s="1"/>
      <c r="Q400" s="14"/>
      <c r="R400" s="16"/>
      <c r="S400" s="16"/>
      <c r="T400" s="16"/>
      <c r="U400" s="16"/>
    </row>
    <row r="401" spans="1:21" ht="18.75" customHeight="1" x14ac:dyDescent="0.25">
      <c r="A401" s="14"/>
      <c r="B401" s="15"/>
      <c r="C401" s="2202" t="s">
        <v>1088</v>
      </c>
      <c r="D401" s="210">
        <v>27</v>
      </c>
      <c r="E401" s="104" t="s">
        <v>679</v>
      </c>
      <c r="F401" s="210">
        <v>80</v>
      </c>
      <c r="G401" s="210">
        <v>180</v>
      </c>
      <c r="H401" s="210">
        <v>300</v>
      </c>
      <c r="I401" s="210">
        <v>340</v>
      </c>
      <c r="J401" s="210">
        <v>400</v>
      </c>
      <c r="K401" s="210">
        <v>455</v>
      </c>
      <c r="L401" s="210">
        <v>525</v>
      </c>
      <c r="M401" s="210">
        <v>525</v>
      </c>
      <c r="N401" s="115">
        <v>400</v>
      </c>
      <c r="O401" s="83"/>
      <c r="P401" s="3"/>
      <c r="Q401" s="14"/>
      <c r="R401" s="16"/>
      <c r="S401" s="16"/>
      <c r="T401" s="16"/>
      <c r="U401" s="16"/>
    </row>
    <row r="402" spans="1:21" ht="18.75" customHeight="1" x14ac:dyDescent="0.25">
      <c r="A402" s="14"/>
      <c r="B402" s="15"/>
      <c r="C402" s="119" t="s">
        <v>568</v>
      </c>
      <c r="D402" s="120" t="s">
        <v>623</v>
      </c>
      <c r="E402" s="110" t="s">
        <v>608</v>
      </c>
      <c r="F402" s="110" t="s">
        <v>957</v>
      </c>
      <c r="G402" s="110" t="s">
        <v>572</v>
      </c>
      <c r="H402" s="110" t="s">
        <v>530</v>
      </c>
      <c r="I402" s="110" t="s">
        <v>573</v>
      </c>
      <c r="J402" s="110" t="s">
        <v>574</v>
      </c>
      <c r="K402" s="110" t="s">
        <v>575</v>
      </c>
      <c r="L402" s="110" t="s">
        <v>576</v>
      </c>
      <c r="M402" s="110" t="s">
        <v>577</v>
      </c>
      <c r="N402" s="2203" t="s">
        <v>609</v>
      </c>
      <c r="O402" s="83"/>
      <c r="P402" s="4"/>
      <c r="Q402" s="14"/>
      <c r="R402" s="16"/>
      <c r="S402" s="16"/>
      <c r="T402" s="16"/>
      <c r="U402" s="16"/>
    </row>
    <row r="403" spans="1:21" ht="18.75" customHeight="1" x14ac:dyDescent="0.25">
      <c r="A403" s="14"/>
      <c r="B403" s="15"/>
      <c r="C403" s="119" t="s">
        <v>582</v>
      </c>
      <c r="D403" s="120" t="s">
        <v>566</v>
      </c>
      <c r="E403" s="121">
        <v>96067.021137073112</v>
      </c>
      <c r="F403" s="129">
        <v>1406.5382316881305</v>
      </c>
      <c r="G403" s="129">
        <v>6089.015459420194</v>
      </c>
      <c r="H403" s="129">
        <v>6707.3572647605633</v>
      </c>
      <c r="I403" s="129">
        <v>4204.7282896143743</v>
      </c>
      <c r="J403" s="129">
        <v>6157.8474491391671</v>
      </c>
      <c r="K403" s="129">
        <v>5050.3552031529516</v>
      </c>
      <c r="L403" s="129">
        <v>11944.589957805179</v>
      </c>
      <c r="M403" s="129">
        <v>54506.589281492561</v>
      </c>
      <c r="N403" s="130">
        <v>74299.211016789763</v>
      </c>
      <c r="O403" s="83"/>
      <c r="P403" s="4"/>
      <c r="Q403" s="14"/>
      <c r="R403" s="16"/>
      <c r="S403" s="16"/>
      <c r="T403" s="16"/>
      <c r="U403" s="16"/>
    </row>
    <row r="404" spans="1:21" ht="32.25" customHeight="1" x14ac:dyDescent="0.25">
      <c r="A404" s="14"/>
      <c r="B404" s="15"/>
      <c r="C404" s="119" t="s">
        <v>582</v>
      </c>
      <c r="D404" s="120" t="s">
        <v>628</v>
      </c>
      <c r="E404" s="145">
        <v>15274.656360794625</v>
      </c>
      <c r="F404" s="129">
        <v>223.63957883841275</v>
      </c>
      <c r="G404" s="129">
        <v>968.15345804781089</v>
      </c>
      <c r="H404" s="129">
        <v>1066.4698050969296</v>
      </c>
      <c r="I404" s="129">
        <v>668.55179804868555</v>
      </c>
      <c r="J404" s="129">
        <v>979.09774441312754</v>
      </c>
      <c r="K404" s="129">
        <v>803.00647730131925</v>
      </c>
      <c r="L404" s="129">
        <v>1899.1898032910235</v>
      </c>
      <c r="M404" s="129">
        <v>8666.5476957573173</v>
      </c>
      <c r="N404" s="130">
        <v>11813.574551669572</v>
      </c>
      <c r="O404" s="80"/>
      <c r="P404" s="9"/>
      <c r="Q404" s="14"/>
      <c r="R404" s="16"/>
      <c r="S404" s="16"/>
      <c r="T404" s="16"/>
      <c r="U404" s="16"/>
    </row>
    <row r="405" spans="1:21" ht="18.75" customHeight="1" x14ac:dyDescent="0.25">
      <c r="A405" s="14"/>
      <c r="B405" s="15"/>
      <c r="C405" s="119" t="s">
        <v>620</v>
      </c>
      <c r="D405" s="120" t="s">
        <v>622</v>
      </c>
      <c r="E405" s="129">
        <v>15004819.513495136</v>
      </c>
      <c r="F405" s="129">
        <v>150048.19513495135</v>
      </c>
      <c r="G405" s="129">
        <v>750240.9756747568</v>
      </c>
      <c r="H405" s="129">
        <v>900289.17080970819</v>
      </c>
      <c r="I405" s="129">
        <v>600192.78053980542</v>
      </c>
      <c r="J405" s="129">
        <v>900289.17080970819</v>
      </c>
      <c r="K405" s="129">
        <v>750240.9756747568</v>
      </c>
      <c r="L405" s="129">
        <v>1800578.3416194164</v>
      </c>
      <c r="M405" s="129">
        <v>9152939.9032320324</v>
      </c>
      <c r="N405" s="130">
        <v>11703759.220526207</v>
      </c>
      <c r="O405" s="17"/>
      <c r="P405" s="5"/>
      <c r="Q405" s="14"/>
      <c r="R405" s="16"/>
      <c r="S405" s="16"/>
      <c r="T405" s="16"/>
      <c r="U405" s="16"/>
    </row>
    <row r="406" spans="1:21" ht="18.75" customHeight="1" x14ac:dyDescent="0.25">
      <c r="A406" s="14"/>
      <c r="B406" s="15"/>
      <c r="C406" s="122" t="s">
        <v>776</v>
      </c>
      <c r="D406" s="120" t="s">
        <v>579</v>
      </c>
      <c r="E406" s="125">
        <v>5.2636619312318871</v>
      </c>
      <c r="F406" s="125">
        <v>0.26932864028536496</v>
      </c>
      <c r="G406" s="125">
        <v>0.62746952329502936</v>
      </c>
      <c r="H406" s="125">
        <v>1.2440536296776483</v>
      </c>
      <c r="I406" s="125">
        <v>2.1985737346788001</v>
      </c>
      <c r="J406" s="125">
        <v>2.9152684514249367</v>
      </c>
      <c r="K406" s="125">
        <v>3.6772170966679512</v>
      </c>
      <c r="L406" s="125">
        <v>4.5983474474303083</v>
      </c>
      <c r="M406" s="125">
        <v>6.8138202391572786</v>
      </c>
      <c r="N406" s="131">
        <v>6.2719139671935569</v>
      </c>
      <c r="O406" s="80"/>
      <c r="P406" s="10"/>
      <c r="Q406" s="14"/>
      <c r="R406" s="16"/>
      <c r="S406" s="16"/>
      <c r="T406" s="16"/>
      <c r="U406" s="16"/>
    </row>
    <row r="407" spans="1:21" ht="18.75" customHeight="1" x14ac:dyDescent="0.25">
      <c r="A407" s="14"/>
      <c r="B407" s="15"/>
      <c r="C407" s="122" t="s">
        <v>777</v>
      </c>
      <c r="D407" s="210" t="s">
        <v>778</v>
      </c>
      <c r="E407" s="125">
        <v>2036.6770861350542</v>
      </c>
      <c r="F407" s="132">
        <v>0</v>
      </c>
      <c r="G407" s="132">
        <v>15.721234774769428</v>
      </c>
      <c r="H407" s="132">
        <v>12.051287742322756</v>
      </c>
      <c r="I407" s="132">
        <v>189.07634854185471</v>
      </c>
      <c r="J407" s="132">
        <v>397.38490574658766</v>
      </c>
      <c r="K407" s="132">
        <v>693.89825412715754</v>
      </c>
      <c r="L407" s="132">
        <v>1174.8577974934972</v>
      </c>
      <c r="M407" s="125">
        <v>2996.8589351470973</v>
      </c>
      <c r="N407" s="133">
        <v>2568.9253831350088</v>
      </c>
      <c r="O407" s="80"/>
      <c r="P407" s="5"/>
      <c r="Q407" s="14"/>
      <c r="R407" s="16"/>
      <c r="S407" s="16"/>
      <c r="T407" s="16"/>
      <c r="U407" s="16"/>
    </row>
    <row r="408" spans="1:21" ht="18.75" customHeight="1" x14ac:dyDescent="0.25">
      <c r="A408" s="14"/>
      <c r="B408" s="15"/>
      <c r="C408" s="119" t="s">
        <v>779</v>
      </c>
      <c r="D408" s="120" t="s">
        <v>970</v>
      </c>
      <c r="E408" s="132">
        <v>18.294130860988219</v>
      </c>
      <c r="F408" s="125">
        <v>79.19117193847481</v>
      </c>
      <c r="G408" s="125">
        <v>50.91975570859374</v>
      </c>
      <c r="H408" s="125">
        <v>35.953791974823957</v>
      </c>
      <c r="I408" s="125">
        <v>25.960904912348738</v>
      </c>
      <c r="J408" s="125">
        <v>22.23490110305913</v>
      </c>
      <c r="K408" s="125">
        <v>19.802713639113179</v>
      </c>
      <c r="L408" s="125">
        <v>17.602455935026214</v>
      </c>
      <c r="M408" s="125">
        <v>2.3486420920989275</v>
      </c>
      <c r="N408" s="131">
        <v>11.186996639963851</v>
      </c>
      <c r="O408" s="81"/>
      <c r="P408" s="5"/>
      <c r="Q408" s="14"/>
      <c r="R408" s="16"/>
      <c r="S408" s="16"/>
      <c r="T408" s="16"/>
      <c r="U408" s="16"/>
    </row>
    <row r="409" spans="1:21" ht="18.75" customHeight="1" x14ac:dyDescent="0.25">
      <c r="A409" s="14"/>
      <c r="B409" s="15"/>
      <c r="C409" s="119" t="s">
        <v>580</v>
      </c>
      <c r="D409" s="120" t="s">
        <v>581</v>
      </c>
      <c r="E409" s="125">
        <v>943.69934047139225</v>
      </c>
      <c r="F409" s="125">
        <v>670.93756800251492</v>
      </c>
      <c r="G409" s="125">
        <v>774.91948145033348</v>
      </c>
      <c r="H409" s="125">
        <v>844.17689699886296</v>
      </c>
      <c r="I409" s="125">
        <v>897.75060405431429</v>
      </c>
      <c r="J409" s="125">
        <v>919.50898257797814</v>
      </c>
      <c r="K409" s="125">
        <v>934.29006724342673</v>
      </c>
      <c r="L409" s="125">
        <v>948.07708976705351</v>
      </c>
      <c r="M409" s="125">
        <v>1056.1229482084113</v>
      </c>
      <c r="N409" s="131">
        <v>990.70430963439048</v>
      </c>
      <c r="O409" s="82"/>
      <c r="P409" s="5"/>
      <c r="Q409" s="14"/>
      <c r="R409" s="16"/>
      <c r="S409" s="16"/>
      <c r="T409" s="16"/>
      <c r="U409" s="16"/>
    </row>
    <row r="410" spans="1:21" ht="18.75" customHeight="1" x14ac:dyDescent="0.25">
      <c r="A410" s="14"/>
      <c r="B410" s="15"/>
      <c r="C410" s="119" t="s">
        <v>541</v>
      </c>
      <c r="D410" s="120" t="s">
        <v>579</v>
      </c>
      <c r="E410" s="125">
        <v>8.2093287622371705</v>
      </c>
      <c r="F410" s="125">
        <v>16.28897965740618</v>
      </c>
      <c r="G410" s="125">
        <v>13.789827231102411</v>
      </c>
      <c r="H410" s="125">
        <v>12.970773787331733</v>
      </c>
      <c r="I410" s="125">
        <v>12.731676772709573</v>
      </c>
      <c r="J410" s="125">
        <v>12.626564710292502</v>
      </c>
      <c r="K410" s="125">
        <v>12.317709219108753</v>
      </c>
      <c r="L410" s="125">
        <v>11.409195624750723</v>
      </c>
      <c r="M410" s="125">
        <v>5.4538545695354523</v>
      </c>
      <c r="N410" s="131">
        <v>6.8100515683873724</v>
      </c>
      <c r="O410" s="82"/>
      <c r="P410" s="5"/>
      <c r="Q410" s="14"/>
      <c r="R410" s="16"/>
      <c r="S410" s="16"/>
      <c r="T410" s="16"/>
      <c r="U410" s="16"/>
    </row>
    <row r="411" spans="1:21" ht="18.75" customHeight="1" x14ac:dyDescent="0.25">
      <c r="A411" s="14"/>
      <c r="B411" s="15"/>
      <c r="C411" s="119" t="s">
        <v>544</v>
      </c>
      <c r="D411" s="120" t="s">
        <v>579</v>
      </c>
      <c r="E411" s="125">
        <v>10.44</v>
      </c>
      <c r="F411" s="128"/>
      <c r="G411" s="128"/>
      <c r="H411" s="128"/>
      <c r="I411" s="128"/>
      <c r="J411" s="128"/>
      <c r="K411" s="128"/>
      <c r="L411" s="128"/>
      <c r="M411" s="125">
        <v>17.097639344262294</v>
      </c>
      <c r="N411" s="131">
        <v>13.384615384615383</v>
      </c>
      <c r="O411" s="82"/>
      <c r="P411" s="5"/>
      <c r="Q411" s="14"/>
      <c r="R411" s="16"/>
      <c r="S411" s="16"/>
      <c r="T411" s="16"/>
      <c r="U411" s="16"/>
    </row>
    <row r="412" spans="1:21" ht="18.75" customHeight="1" x14ac:dyDescent="0.25">
      <c r="A412" s="14"/>
      <c r="B412" s="15"/>
      <c r="C412" s="119" t="s">
        <v>780</v>
      </c>
      <c r="D412" s="120" t="s">
        <v>783</v>
      </c>
      <c r="E412" s="125">
        <v>12.308132004442138</v>
      </c>
      <c r="F412" s="125">
        <v>12.680666138470334</v>
      </c>
      <c r="G412" s="125">
        <v>11.865490734953267</v>
      </c>
      <c r="H412" s="125">
        <v>11.487530876099973</v>
      </c>
      <c r="I412" s="125">
        <v>11.373531018434369</v>
      </c>
      <c r="J412" s="125">
        <v>11.43752465112915</v>
      </c>
      <c r="K412" s="125">
        <v>11.566370669716552</v>
      </c>
      <c r="L412" s="125">
        <v>11.739092834869842</v>
      </c>
      <c r="M412" s="125">
        <v>11.402715631988112</v>
      </c>
      <c r="N412" s="131">
        <v>11.813001509587849</v>
      </c>
      <c r="O412" s="83"/>
      <c r="P412" s="1"/>
      <c r="Q412" s="14"/>
      <c r="R412" s="16"/>
      <c r="S412" s="16"/>
      <c r="T412" s="16"/>
      <c r="U412" s="16"/>
    </row>
    <row r="413" spans="1:21" ht="18.75" customHeight="1" x14ac:dyDescent="0.25">
      <c r="A413" s="14"/>
      <c r="B413" s="15"/>
      <c r="C413" s="122" t="s">
        <v>781</v>
      </c>
      <c r="D413" s="120" t="s">
        <v>782</v>
      </c>
      <c r="E413" s="125">
        <v>600</v>
      </c>
      <c r="F413" s="134">
        <v>70</v>
      </c>
      <c r="G413" s="134">
        <v>160</v>
      </c>
      <c r="H413" s="134">
        <v>235</v>
      </c>
      <c r="I413" s="134">
        <v>320</v>
      </c>
      <c r="J413" s="134">
        <v>375</v>
      </c>
      <c r="K413" s="134">
        <v>430</v>
      </c>
      <c r="L413" s="134">
        <v>495</v>
      </c>
      <c r="M413" s="134">
        <v>700</v>
      </c>
      <c r="N413" s="135">
        <v>620</v>
      </c>
      <c r="O413" s="84"/>
      <c r="P413" s="14"/>
      <c r="Q413" s="14"/>
      <c r="R413" s="16"/>
      <c r="S413" s="16"/>
      <c r="T413" s="16"/>
      <c r="U413" s="16"/>
    </row>
    <row r="414" spans="1:21" ht="18.75" customHeight="1" x14ac:dyDescent="0.25">
      <c r="A414" s="14"/>
      <c r="B414" s="15"/>
      <c r="C414" s="122"/>
      <c r="D414" s="210"/>
      <c r="E414" s="210"/>
      <c r="F414" s="210"/>
      <c r="G414" s="210"/>
      <c r="H414" s="210"/>
      <c r="I414" s="210"/>
      <c r="J414" s="210"/>
      <c r="K414" s="210"/>
      <c r="L414" s="210"/>
      <c r="M414" s="210"/>
      <c r="N414" s="115"/>
      <c r="O414" s="83"/>
      <c r="P414" s="1"/>
      <c r="Q414" s="14"/>
      <c r="R414" s="16"/>
      <c r="S414" s="16"/>
      <c r="T414" s="16"/>
      <c r="U414" s="16"/>
    </row>
    <row r="415" spans="1:21" ht="18.75" customHeight="1" x14ac:dyDescent="0.25">
      <c r="A415" s="14"/>
      <c r="B415" s="15"/>
      <c r="C415" s="2199" t="s">
        <v>1291</v>
      </c>
      <c r="D415" s="2200"/>
      <c r="E415" s="2200"/>
      <c r="F415" s="2200"/>
      <c r="G415" s="2200"/>
      <c r="H415" s="2200"/>
      <c r="I415" s="2200"/>
      <c r="J415" s="2200"/>
      <c r="K415" s="2200"/>
      <c r="L415" s="2200"/>
      <c r="M415" s="2200"/>
      <c r="N415" s="2201"/>
      <c r="O415" s="83"/>
      <c r="P415" s="1"/>
      <c r="Q415" s="14"/>
      <c r="R415" s="16"/>
      <c r="S415" s="16"/>
      <c r="T415" s="16"/>
      <c r="U415" s="16"/>
    </row>
    <row r="416" spans="1:21" ht="18.75" customHeight="1" x14ac:dyDescent="0.25">
      <c r="A416" s="14"/>
      <c r="B416" s="15"/>
      <c r="C416" s="2202" t="s">
        <v>1088</v>
      </c>
      <c r="D416" s="210">
        <v>41</v>
      </c>
      <c r="E416" s="104" t="s">
        <v>679</v>
      </c>
      <c r="F416" s="210">
        <v>80</v>
      </c>
      <c r="G416" s="210">
        <v>180</v>
      </c>
      <c r="H416" s="210">
        <v>290</v>
      </c>
      <c r="I416" s="210">
        <v>340</v>
      </c>
      <c r="J416" s="210">
        <v>400</v>
      </c>
      <c r="K416" s="210">
        <v>450</v>
      </c>
      <c r="L416" s="210">
        <v>525</v>
      </c>
      <c r="M416" s="210">
        <v>525</v>
      </c>
      <c r="N416" s="115">
        <v>400</v>
      </c>
      <c r="O416" s="80"/>
      <c r="P416" s="3"/>
      <c r="Q416" s="14"/>
      <c r="R416" s="16"/>
      <c r="S416" s="16"/>
      <c r="T416" s="16"/>
      <c r="U416" s="16"/>
    </row>
    <row r="417" spans="1:21" ht="18.75" customHeight="1" x14ac:dyDescent="0.25">
      <c r="A417" s="14"/>
      <c r="B417" s="15"/>
      <c r="C417" s="119" t="s">
        <v>568</v>
      </c>
      <c r="D417" s="120" t="s">
        <v>623</v>
      </c>
      <c r="E417" s="110" t="s">
        <v>608</v>
      </c>
      <c r="F417" s="110" t="s">
        <v>957</v>
      </c>
      <c r="G417" s="110" t="s">
        <v>572</v>
      </c>
      <c r="H417" s="110" t="s">
        <v>530</v>
      </c>
      <c r="I417" s="110" t="s">
        <v>573</v>
      </c>
      <c r="J417" s="110" t="s">
        <v>574</v>
      </c>
      <c r="K417" s="110" t="s">
        <v>575</v>
      </c>
      <c r="L417" s="110" t="s">
        <v>576</v>
      </c>
      <c r="M417" s="110" t="s">
        <v>577</v>
      </c>
      <c r="N417" s="2203" t="s">
        <v>609</v>
      </c>
      <c r="O417" s="17"/>
      <c r="P417" s="4"/>
      <c r="Q417" s="14"/>
      <c r="R417" s="16"/>
      <c r="S417" s="16"/>
      <c r="T417" s="16"/>
      <c r="U417" s="16"/>
    </row>
    <row r="418" spans="1:21" ht="18.75" customHeight="1" x14ac:dyDescent="0.25">
      <c r="A418" s="14"/>
      <c r="B418" s="15"/>
      <c r="C418" s="119" t="s">
        <v>582</v>
      </c>
      <c r="D418" s="120" t="s">
        <v>566</v>
      </c>
      <c r="E418" s="121">
        <v>96515.909807448974</v>
      </c>
      <c r="F418" s="129">
        <v>2052.462662479229</v>
      </c>
      <c r="G418" s="129">
        <v>9737.5196546423012</v>
      </c>
      <c r="H418" s="129">
        <v>14290.098946814041</v>
      </c>
      <c r="I418" s="129">
        <v>5090.682105708891</v>
      </c>
      <c r="J418" s="129">
        <v>5980.3860371484016</v>
      </c>
      <c r="K418" s="129">
        <v>4890.8055637039251</v>
      </c>
      <c r="L418" s="129">
        <v>8627.1183401132348</v>
      </c>
      <c r="M418" s="129">
        <v>45846.836496838951</v>
      </c>
      <c r="N418" s="130">
        <v>59719.057199484494</v>
      </c>
      <c r="O418" s="80"/>
      <c r="P418" s="4"/>
      <c r="Q418" s="14"/>
      <c r="R418" s="16"/>
      <c r="S418" s="16"/>
      <c r="T418" s="16"/>
      <c r="U418" s="16"/>
    </row>
    <row r="419" spans="1:21" ht="30" customHeight="1" x14ac:dyDescent="0.25">
      <c r="A419" s="14"/>
      <c r="B419" s="15"/>
      <c r="C419" s="119" t="s">
        <v>582</v>
      </c>
      <c r="D419" s="120" t="s">
        <v>628</v>
      </c>
      <c r="E419" s="145">
        <v>15346.029659384387</v>
      </c>
      <c r="F419" s="129">
        <v>326.34156333419742</v>
      </c>
      <c r="G419" s="129">
        <v>1548.2656250881259</v>
      </c>
      <c r="H419" s="129">
        <v>2272.1257325434326</v>
      </c>
      <c r="I419" s="129">
        <v>809.41845480771372</v>
      </c>
      <c r="J419" s="129">
        <v>950.88137990659584</v>
      </c>
      <c r="K419" s="129">
        <v>777.63808462892405</v>
      </c>
      <c r="L419" s="129">
        <v>1371.7118160780044</v>
      </c>
      <c r="M419" s="129">
        <v>7289.6470029973934</v>
      </c>
      <c r="N419" s="130">
        <v>9495.3300947180342</v>
      </c>
      <c r="O419" s="80"/>
      <c r="P419" s="9"/>
      <c r="Q419" s="14"/>
      <c r="R419" s="16"/>
      <c r="S419" s="16"/>
      <c r="T419" s="16"/>
      <c r="U419" s="16"/>
    </row>
    <row r="420" spans="1:21" ht="18.75" customHeight="1" x14ac:dyDescent="0.25">
      <c r="A420" s="14"/>
      <c r="B420" s="15"/>
      <c r="C420" s="119" t="s">
        <v>620</v>
      </c>
      <c r="D420" s="120" t="s">
        <v>622</v>
      </c>
      <c r="E420" s="129">
        <v>14435664.267064655</v>
      </c>
      <c r="F420" s="129">
        <v>216534.96400596981</v>
      </c>
      <c r="G420" s="129">
        <v>1154853.1413651723</v>
      </c>
      <c r="H420" s="129">
        <v>1876636.3547184053</v>
      </c>
      <c r="I420" s="129">
        <v>721783.21335323283</v>
      </c>
      <c r="J420" s="129">
        <v>866139.85602387926</v>
      </c>
      <c r="K420" s="129">
        <v>721783.21335323283</v>
      </c>
      <c r="L420" s="129">
        <v>1299209.7840358189</v>
      </c>
      <c r="M420" s="129">
        <v>7506545.4188736212</v>
      </c>
      <c r="N420" s="130">
        <v>9527538.4162626732</v>
      </c>
      <c r="O420" s="81"/>
      <c r="P420" s="5"/>
      <c r="Q420" s="14"/>
      <c r="R420" s="16"/>
      <c r="S420" s="16"/>
      <c r="T420" s="16"/>
      <c r="U420" s="16"/>
    </row>
    <row r="421" spans="1:21" ht="18.75" customHeight="1" x14ac:dyDescent="0.25">
      <c r="A421" s="14"/>
      <c r="B421" s="15"/>
      <c r="C421" s="122" t="s">
        <v>776</v>
      </c>
      <c r="D421" s="120" t="s">
        <v>579</v>
      </c>
      <c r="E421" s="125">
        <v>5.0170490621742205</v>
      </c>
      <c r="F421" s="125">
        <v>0</v>
      </c>
      <c r="G421" s="125">
        <v>0</v>
      </c>
      <c r="H421" s="125">
        <v>1.2772931828607688</v>
      </c>
      <c r="I421" s="125">
        <v>2.4899597340899335</v>
      </c>
      <c r="J421" s="125">
        <v>3.016059431063038</v>
      </c>
      <c r="K421" s="125">
        <v>3.6214386453396132</v>
      </c>
      <c r="L421" s="125">
        <v>4.4991506220248061</v>
      </c>
      <c r="M421" s="125">
        <v>7.6145075145862089</v>
      </c>
      <c r="N421" s="131">
        <v>6.8871809027788506</v>
      </c>
      <c r="O421" s="82"/>
      <c r="P421" s="10"/>
      <c r="Q421" s="14"/>
      <c r="R421" s="16"/>
      <c r="S421" s="16"/>
      <c r="T421" s="16"/>
      <c r="U421" s="16"/>
    </row>
    <row r="422" spans="1:21" ht="18.75" customHeight="1" x14ac:dyDescent="0.25">
      <c r="A422" s="14"/>
      <c r="B422" s="15"/>
      <c r="C422" s="122" t="s">
        <v>777</v>
      </c>
      <c r="D422" s="210" t="s">
        <v>778</v>
      </c>
      <c r="E422" s="125">
        <v>2291.0107166099197</v>
      </c>
      <c r="F422" s="132">
        <v>0</v>
      </c>
      <c r="G422" s="132">
        <v>0</v>
      </c>
      <c r="H422" s="132">
        <v>0</v>
      </c>
      <c r="I422" s="132">
        <v>322.99712600153157</v>
      </c>
      <c r="J422" s="132">
        <v>524.13932059227818</v>
      </c>
      <c r="K422" s="132">
        <v>798.34172918183049</v>
      </c>
      <c r="L422" s="132">
        <v>1282.3750532519803</v>
      </c>
      <c r="M422" s="125">
        <v>4015.541653504878</v>
      </c>
      <c r="N422" s="133">
        <v>3399.1098501125848</v>
      </c>
      <c r="O422" s="82"/>
      <c r="P422" s="5"/>
      <c r="Q422" s="14"/>
      <c r="R422" s="16"/>
      <c r="S422" s="16"/>
      <c r="T422" s="16"/>
      <c r="U422" s="16"/>
    </row>
    <row r="423" spans="1:21" ht="18.75" customHeight="1" x14ac:dyDescent="0.25">
      <c r="A423" s="14"/>
      <c r="B423" s="15"/>
      <c r="C423" s="119" t="s">
        <v>779</v>
      </c>
      <c r="D423" s="120" t="s">
        <v>970</v>
      </c>
      <c r="E423" s="132">
        <v>24.200067289458616</v>
      </c>
      <c r="F423" s="125">
        <v>81.545716438078244</v>
      </c>
      <c r="G423" s="125">
        <v>58.016558182529003</v>
      </c>
      <c r="H423" s="125">
        <v>39.651489814766734</v>
      </c>
      <c r="I423" s="125">
        <v>27.023909281623418</v>
      </c>
      <c r="J423" s="125">
        <v>23.691084733490811</v>
      </c>
      <c r="K423" s="125">
        <v>20.799751073671928</v>
      </c>
      <c r="L423" s="125">
        <v>17.749211785528146</v>
      </c>
      <c r="M423" s="125">
        <v>5.7760678378198236</v>
      </c>
      <c r="N423" s="131">
        <v>9.382745824587289</v>
      </c>
      <c r="O423" s="82"/>
      <c r="P423" s="5"/>
      <c r="Q423" s="14"/>
      <c r="R423" s="16"/>
      <c r="S423" s="16"/>
      <c r="T423" s="16"/>
      <c r="U423" s="16"/>
    </row>
    <row r="424" spans="1:21" ht="18.75" customHeight="1" x14ac:dyDescent="0.25">
      <c r="A424" s="14"/>
      <c r="B424" s="15"/>
      <c r="C424" s="119" t="s">
        <v>580</v>
      </c>
      <c r="D424" s="120" t="s">
        <v>581</v>
      </c>
      <c r="E424" s="125">
        <v>907.90341302293427</v>
      </c>
      <c r="F424" s="125">
        <v>663.5224817631406</v>
      </c>
      <c r="G424" s="125">
        <v>745.90117009117159</v>
      </c>
      <c r="H424" s="125">
        <v>825.93860359025382</v>
      </c>
      <c r="I424" s="125">
        <v>891.73061111474215</v>
      </c>
      <c r="J424" s="125">
        <v>910.88107762606455</v>
      </c>
      <c r="K424" s="125">
        <v>928.17369367609581</v>
      </c>
      <c r="L424" s="125">
        <v>947.14485127824946</v>
      </c>
      <c r="M424" s="125">
        <v>1029.7543098845586</v>
      </c>
      <c r="N424" s="131">
        <v>1003.3920170466275</v>
      </c>
      <c r="O424" s="83"/>
      <c r="P424" s="5"/>
      <c r="Q424" s="14"/>
      <c r="R424" s="16"/>
      <c r="S424" s="16"/>
      <c r="T424" s="16"/>
      <c r="U424" s="16"/>
    </row>
    <row r="425" spans="1:21" ht="18.75" customHeight="1" x14ac:dyDescent="0.25">
      <c r="A425" s="14"/>
      <c r="B425" s="15"/>
      <c r="C425" s="119" t="s">
        <v>541</v>
      </c>
      <c r="D425" s="120" t="s">
        <v>579</v>
      </c>
      <c r="E425" s="125">
        <v>8.6344472676101827</v>
      </c>
      <c r="F425" s="125">
        <v>16.276001645048801</v>
      </c>
      <c r="G425" s="125">
        <v>14.465501054570694</v>
      </c>
      <c r="H425" s="125">
        <v>13.369111737506666</v>
      </c>
      <c r="I425" s="125">
        <v>12.753384312938644</v>
      </c>
      <c r="J425" s="125">
        <v>12.542720198269379</v>
      </c>
      <c r="K425" s="125">
        <v>12.25207201120922</v>
      </c>
      <c r="L425" s="125">
        <v>11.613760568680449</v>
      </c>
      <c r="M425" s="125">
        <v>4.7057849104002516</v>
      </c>
      <c r="N425" s="131">
        <v>6.2194700078027765</v>
      </c>
      <c r="O425" s="84"/>
      <c r="P425" s="5"/>
      <c r="Q425" s="14"/>
      <c r="R425" s="16"/>
      <c r="S425" s="16"/>
      <c r="T425" s="16"/>
      <c r="U425" s="16"/>
    </row>
    <row r="426" spans="1:21" ht="18.75" customHeight="1" x14ac:dyDescent="0.25">
      <c r="A426" s="14"/>
      <c r="B426" s="15"/>
      <c r="C426" s="119" t="s">
        <v>544</v>
      </c>
      <c r="D426" s="120" t="s">
        <v>579</v>
      </c>
      <c r="E426" s="125">
        <v>10.210000000000001</v>
      </c>
      <c r="F426" s="128"/>
      <c r="G426" s="128"/>
      <c r="H426" s="128"/>
      <c r="I426" s="128"/>
      <c r="J426" s="128"/>
      <c r="K426" s="128"/>
      <c r="L426" s="128"/>
      <c r="M426" s="125">
        <v>19.614980769230772</v>
      </c>
      <c r="N426" s="131">
        <v>15.469696969696969</v>
      </c>
      <c r="O426" s="83"/>
      <c r="P426" s="5"/>
      <c r="Q426" s="14"/>
      <c r="R426" s="16"/>
      <c r="S426" s="16"/>
      <c r="T426" s="16"/>
      <c r="U426" s="16"/>
    </row>
    <row r="427" spans="1:21" ht="18.75" customHeight="1" x14ac:dyDescent="0.25">
      <c r="A427" s="14"/>
      <c r="B427" s="15"/>
      <c r="C427" s="119" t="s">
        <v>780</v>
      </c>
      <c r="D427" s="120" t="s">
        <v>783</v>
      </c>
      <c r="E427" s="125">
        <v>12.594983270761519</v>
      </c>
      <c r="F427" s="125">
        <v>12.822376834903128</v>
      </c>
      <c r="G427" s="125">
        <v>12.231498623937092</v>
      </c>
      <c r="H427" s="125">
        <v>11.779581377975875</v>
      </c>
      <c r="I427" s="125">
        <v>11.577587708281085</v>
      </c>
      <c r="J427" s="125">
        <v>11.575474634051593</v>
      </c>
      <c r="K427" s="125">
        <v>11.614927486738651</v>
      </c>
      <c r="L427" s="125">
        <v>11.72509609961031</v>
      </c>
      <c r="M427" s="125">
        <v>11.852786875265254</v>
      </c>
      <c r="N427" s="131">
        <v>11.960706835157811</v>
      </c>
      <c r="O427" s="83"/>
      <c r="P427" s="1"/>
      <c r="Q427" s="14"/>
      <c r="R427" s="16"/>
      <c r="S427" s="16"/>
      <c r="T427" s="16"/>
      <c r="U427" s="16"/>
    </row>
    <row r="428" spans="1:21" ht="18.75" customHeight="1" x14ac:dyDescent="0.25">
      <c r="A428" s="14"/>
      <c r="B428" s="15"/>
      <c r="C428" s="122" t="s">
        <v>781</v>
      </c>
      <c r="D428" s="120" t="s">
        <v>782</v>
      </c>
      <c r="E428" s="125">
        <v>560</v>
      </c>
      <c r="F428" s="134">
        <v>70</v>
      </c>
      <c r="G428" s="134">
        <v>150</v>
      </c>
      <c r="H428" s="134">
        <v>240</v>
      </c>
      <c r="I428" s="134">
        <v>340</v>
      </c>
      <c r="J428" s="134">
        <v>380</v>
      </c>
      <c r="K428" s="134">
        <v>425</v>
      </c>
      <c r="L428" s="134">
        <v>490</v>
      </c>
      <c r="M428" s="134">
        <v>740</v>
      </c>
      <c r="N428" s="135">
        <v>690</v>
      </c>
      <c r="O428" s="83"/>
      <c r="P428" s="14"/>
      <c r="Q428" s="14"/>
      <c r="R428" s="16"/>
      <c r="S428" s="16"/>
      <c r="T428" s="16"/>
      <c r="U428" s="16"/>
    </row>
    <row r="429" spans="1:21" ht="18.75" customHeight="1" x14ac:dyDescent="0.25">
      <c r="A429" s="14"/>
      <c r="B429" s="15"/>
      <c r="C429" s="122"/>
      <c r="D429" s="210"/>
      <c r="E429" s="210"/>
      <c r="F429" s="210"/>
      <c r="G429" s="210"/>
      <c r="H429" s="210"/>
      <c r="I429" s="210"/>
      <c r="J429" s="210"/>
      <c r="K429" s="210"/>
      <c r="L429" s="210"/>
      <c r="M429" s="210"/>
      <c r="N429" s="115"/>
      <c r="O429" s="83"/>
      <c r="P429" s="14"/>
      <c r="Q429" s="14"/>
      <c r="R429" s="16"/>
      <c r="S429" s="16"/>
      <c r="T429" s="16"/>
      <c r="U429" s="16"/>
    </row>
    <row r="430" spans="1:21" ht="18.75" customHeight="1" x14ac:dyDescent="0.25">
      <c r="A430" s="14"/>
      <c r="B430" s="15"/>
      <c r="C430" s="2199" t="s">
        <v>2022</v>
      </c>
      <c r="D430" s="2200"/>
      <c r="E430" s="2200"/>
      <c r="F430" s="2200"/>
      <c r="G430" s="2200"/>
      <c r="H430" s="2200"/>
      <c r="I430" s="2200"/>
      <c r="J430" s="2200"/>
      <c r="K430" s="2200"/>
      <c r="L430" s="2200"/>
      <c r="M430" s="2200"/>
      <c r="N430" s="2201"/>
      <c r="O430" s="83"/>
      <c r="P430" s="1"/>
      <c r="Q430" s="14"/>
      <c r="R430" s="16"/>
      <c r="S430" s="16"/>
      <c r="T430" s="16"/>
      <c r="U430" s="16"/>
    </row>
    <row r="431" spans="1:21" ht="18.75" customHeight="1" x14ac:dyDescent="0.25">
      <c r="A431" s="14"/>
      <c r="B431" s="15"/>
      <c r="C431" s="2202" t="s">
        <v>1088</v>
      </c>
      <c r="D431" s="210">
        <v>103</v>
      </c>
      <c r="E431" s="104" t="s">
        <v>679</v>
      </c>
      <c r="F431" s="210">
        <v>80</v>
      </c>
      <c r="G431" s="210">
        <v>180</v>
      </c>
      <c r="H431" s="210">
        <v>290</v>
      </c>
      <c r="I431" s="210">
        <v>340</v>
      </c>
      <c r="J431" s="210">
        <v>400</v>
      </c>
      <c r="K431" s="210">
        <v>450</v>
      </c>
      <c r="L431" s="210">
        <v>525</v>
      </c>
      <c r="M431" s="210">
        <v>525</v>
      </c>
      <c r="N431" s="115">
        <v>400</v>
      </c>
      <c r="O431" s="80"/>
      <c r="P431" s="1"/>
      <c r="Q431" s="14"/>
      <c r="R431" s="16"/>
      <c r="S431" s="16"/>
      <c r="T431" s="16"/>
      <c r="U431" s="16"/>
    </row>
    <row r="432" spans="1:21" ht="18.75" customHeight="1" x14ac:dyDescent="0.25">
      <c r="A432" s="14"/>
      <c r="B432" s="15"/>
      <c r="C432" s="119" t="s">
        <v>568</v>
      </c>
      <c r="D432" s="120" t="s">
        <v>623</v>
      </c>
      <c r="E432" s="110" t="s">
        <v>608</v>
      </c>
      <c r="F432" s="110" t="s">
        <v>957</v>
      </c>
      <c r="G432" s="110" t="s">
        <v>572</v>
      </c>
      <c r="H432" s="110" t="s">
        <v>530</v>
      </c>
      <c r="I432" s="110" t="s">
        <v>573</v>
      </c>
      <c r="J432" s="110" t="s">
        <v>574</v>
      </c>
      <c r="K432" s="110" t="s">
        <v>575</v>
      </c>
      <c r="L432" s="110" t="s">
        <v>576</v>
      </c>
      <c r="M432" s="110" t="s">
        <v>577</v>
      </c>
      <c r="N432" s="2203" t="s">
        <v>609</v>
      </c>
      <c r="O432" s="17"/>
      <c r="P432" s="3"/>
      <c r="Q432" s="14"/>
      <c r="R432" s="16"/>
      <c r="S432" s="16"/>
      <c r="T432" s="16"/>
      <c r="U432" s="16"/>
    </row>
    <row r="433" spans="1:21" ht="18.75" customHeight="1" x14ac:dyDescent="0.25">
      <c r="A433" s="14"/>
      <c r="B433" s="15"/>
      <c r="C433" s="119" t="s">
        <v>582</v>
      </c>
      <c r="D433" s="120" t="s">
        <v>566</v>
      </c>
      <c r="E433" s="121">
        <v>99857.756286474614</v>
      </c>
      <c r="F433" s="129">
        <v>3837.3117369801689</v>
      </c>
      <c r="G433" s="129">
        <v>17909.174483676699</v>
      </c>
      <c r="H433" s="129">
        <v>23066.138301643528</v>
      </c>
      <c r="I433" s="129">
        <v>10113.971030138791</v>
      </c>
      <c r="J433" s="129">
        <v>12945.627583197525</v>
      </c>
      <c r="K433" s="129">
        <v>9693.4432912836055</v>
      </c>
      <c r="L433" s="129">
        <v>8566.8401977422309</v>
      </c>
      <c r="M433" s="129">
        <v>13725.249661812071</v>
      </c>
      <c r="N433" s="130">
        <v>32964.429733559751</v>
      </c>
      <c r="O433" s="80"/>
      <c r="P433" s="4"/>
      <c r="Q433" s="14"/>
      <c r="R433" s="16"/>
      <c r="S433" s="16"/>
      <c r="T433" s="16"/>
      <c r="U433" s="16"/>
    </row>
    <row r="434" spans="1:21" ht="18.75" customHeight="1" x14ac:dyDescent="0.25">
      <c r="A434" s="14"/>
      <c r="B434" s="15"/>
      <c r="C434" s="119" t="s">
        <v>582</v>
      </c>
      <c r="D434" s="120" t="s">
        <v>628</v>
      </c>
      <c r="E434" s="145">
        <v>15877.383249549464</v>
      </c>
      <c r="F434" s="129">
        <v>610.13256617984689</v>
      </c>
      <c r="G434" s="129">
        <v>2847.5587429045954</v>
      </c>
      <c r="H434" s="129">
        <v>3667.5159899613209</v>
      </c>
      <c r="I434" s="129">
        <v>1608.1213937920679</v>
      </c>
      <c r="J434" s="129">
        <v>2058.3547857284066</v>
      </c>
      <c r="K434" s="129">
        <v>1541.2574833140932</v>
      </c>
      <c r="L434" s="129">
        <v>1362.1275914410146</v>
      </c>
      <c r="M434" s="129">
        <v>2182.3146962281194</v>
      </c>
      <c r="N434" s="130">
        <v>5241.3443276360003</v>
      </c>
      <c r="O434" s="80"/>
      <c r="P434" s="4"/>
      <c r="Q434" s="14"/>
      <c r="R434" s="16"/>
      <c r="S434" s="16"/>
      <c r="T434" s="16"/>
      <c r="U434" s="16"/>
    </row>
    <row r="435" spans="1:21" ht="28.5" customHeight="1" x14ac:dyDescent="0.25">
      <c r="A435" s="14"/>
      <c r="B435" s="15"/>
      <c r="C435" s="119" t="s">
        <v>620</v>
      </c>
      <c r="D435" s="120" t="s">
        <v>622</v>
      </c>
      <c r="E435" s="129">
        <v>13143880.702579934</v>
      </c>
      <c r="F435" s="129">
        <v>407460.30177997798</v>
      </c>
      <c r="G435" s="129">
        <v>2089877.0317102096</v>
      </c>
      <c r="H435" s="129">
        <v>2957373.1580804852</v>
      </c>
      <c r="I435" s="129">
        <v>1340675.8316631531</v>
      </c>
      <c r="J435" s="129">
        <v>1748136.1334431313</v>
      </c>
      <c r="K435" s="129">
        <v>1314388.0702579934</v>
      </c>
      <c r="L435" s="129">
        <v>1182949.2632321941</v>
      </c>
      <c r="M435" s="129">
        <v>2103020.9124127897</v>
      </c>
      <c r="N435" s="130">
        <v>4600358.245902977</v>
      </c>
      <c r="O435" s="81"/>
      <c r="P435" s="9"/>
      <c r="Q435" s="14"/>
      <c r="R435" s="16"/>
      <c r="S435" s="16"/>
      <c r="T435" s="16"/>
      <c r="U435" s="16"/>
    </row>
    <row r="436" spans="1:21" ht="18.75" customHeight="1" x14ac:dyDescent="0.25">
      <c r="A436" s="14"/>
      <c r="B436" s="15"/>
      <c r="C436" s="122" t="s">
        <v>1343</v>
      </c>
      <c r="D436" s="120" t="s">
        <v>579</v>
      </c>
      <c r="E436" s="125">
        <v>4.7176244836914474E-2</v>
      </c>
      <c r="F436" s="125">
        <v>0</v>
      </c>
      <c r="G436" s="125">
        <v>0</v>
      </c>
      <c r="H436" s="125">
        <v>1.7426265402297358E-2</v>
      </c>
      <c r="I436" s="125">
        <v>2.7086100001023877E-2</v>
      </c>
      <c r="J436" s="125">
        <v>4.6083245331781597E-2</v>
      </c>
      <c r="K436" s="125">
        <v>5.2888756654912328E-2</v>
      </c>
      <c r="L436" s="125">
        <v>8.2892605073345144E-2</v>
      </c>
      <c r="M436" s="125">
        <v>0.13508919481296178</v>
      </c>
      <c r="N436" s="131">
        <v>9.8181375120474784E-2</v>
      </c>
      <c r="O436" s="82"/>
      <c r="P436" s="5"/>
      <c r="Q436" s="14"/>
      <c r="R436" s="16"/>
      <c r="S436" s="16"/>
      <c r="T436" s="16"/>
      <c r="U436" s="16"/>
    </row>
    <row r="437" spans="1:21" ht="18.75" customHeight="1" x14ac:dyDescent="0.25">
      <c r="A437" s="14"/>
      <c r="B437" s="15"/>
      <c r="C437" s="122" t="s">
        <v>888</v>
      </c>
      <c r="D437" s="210" t="s">
        <v>778</v>
      </c>
      <c r="E437" s="125">
        <v>400.44458335193195</v>
      </c>
      <c r="F437" s="132">
        <v>0</v>
      </c>
      <c r="G437" s="132">
        <v>0</v>
      </c>
      <c r="H437" s="132">
        <v>0</v>
      </c>
      <c r="I437" s="132">
        <v>0</v>
      </c>
      <c r="J437" s="132">
        <v>0</v>
      </c>
      <c r="K437" s="132">
        <v>0</v>
      </c>
      <c r="L437" s="132">
        <v>694.56647389097907</v>
      </c>
      <c r="M437" s="125">
        <v>2112.0850043858991</v>
      </c>
      <c r="N437" s="133">
        <v>1144.12738100552</v>
      </c>
      <c r="O437" s="82"/>
      <c r="P437" s="10"/>
      <c r="Q437" s="14"/>
      <c r="R437" s="16"/>
      <c r="S437" s="16"/>
      <c r="T437" s="16"/>
      <c r="U437" s="16"/>
    </row>
    <row r="438" spans="1:21" ht="18.75" customHeight="1" x14ac:dyDescent="0.25">
      <c r="A438" s="14"/>
      <c r="B438" s="15"/>
      <c r="C438" s="119" t="s">
        <v>779</v>
      </c>
      <c r="D438" s="120" t="s">
        <v>970</v>
      </c>
      <c r="E438" s="132">
        <v>39.50230507332779</v>
      </c>
      <c r="F438" s="125">
        <v>80.173920099530406</v>
      </c>
      <c r="G438" s="125">
        <v>61.110699287367368</v>
      </c>
      <c r="H438" s="125">
        <v>43.805014165387462</v>
      </c>
      <c r="I438" s="125">
        <v>38.06003525476406</v>
      </c>
      <c r="J438" s="125">
        <v>34.946026868242868</v>
      </c>
      <c r="K438" s="125">
        <v>34.260114690708193</v>
      </c>
      <c r="L438" s="125">
        <v>31.272157889862726</v>
      </c>
      <c r="M438" s="125">
        <v>15.190583117298573</v>
      </c>
      <c r="N438" s="131">
        <v>29.556956281898934</v>
      </c>
      <c r="O438" s="82"/>
      <c r="P438" s="5"/>
      <c r="Q438" s="14"/>
      <c r="R438" s="16"/>
      <c r="S438" s="16"/>
      <c r="T438" s="16"/>
      <c r="U438" s="16"/>
    </row>
    <row r="439" spans="1:21" ht="18.75" customHeight="1" x14ac:dyDescent="0.25">
      <c r="A439" s="14"/>
      <c r="B439" s="15"/>
      <c r="C439" s="119" t="s">
        <v>580</v>
      </c>
      <c r="D439" s="120" t="s">
        <v>581</v>
      </c>
      <c r="E439" s="125">
        <v>826.65916368427258</v>
      </c>
      <c r="F439" s="125">
        <v>667.82257556118088</v>
      </c>
      <c r="G439" s="125">
        <v>733.91884782628654</v>
      </c>
      <c r="H439" s="125">
        <v>806.36953354133152</v>
      </c>
      <c r="I439" s="125">
        <v>833.69068830167191</v>
      </c>
      <c r="J439" s="125">
        <v>849.28805547217871</v>
      </c>
      <c r="K439" s="125">
        <v>852.80239316777022</v>
      </c>
      <c r="L439" s="125">
        <v>868.45701582238337</v>
      </c>
      <c r="M439" s="125">
        <v>963.66528440999821</v>
      </c>
      <c r="N439" s="131">
        <v>877.7057865949962</v>
      </c>
      <c r="O439" s="83"/>
      <c r="P439" s="5"/>
      <c r="Q439" s="14"/>
      <c r="R439" s="16"/>
      <c r="S439" s="16"/>
      <c r="T439" s="16"/>
      <c r="U439" s="16"/>
    </row>
    <row r="440" spans="1:21" ht="18.75" customHeight="1" x14ac:dyDescent="0.25">
      <c r="A440" s="14"/>
      <c r="B440" s="15"/>
      <c r="C440" s="119" t="s">
        <v>541</v>
      </c>
      <c r="D440" s="120" t="s">
        <v>579</v>
      </c>
      <c r="E440" s="125">
        <v>13.738831007037168</v>
      </c>
      <c r="F440" s="125">
        <v>16.695640095667066</v>
      </c>
      <c r="G440" s="125">
        <v>14.336344656143972</v>
      </c>
      <c r="H440" s="125">
        <v>13.907619661374412</v>
      </c>
      <c r="I440" s="125">
        <v>14.728548848072055</v>
      </c>
      <c r="J440" s="125">
        <v>15.101388923317575</v>
      </c>
      <c r="K440" s="125">
        <v>14.953727139279305</v>
      </c>
      <c r="L440" s="125">
        <v>13.41960472275797</v>
      </c>
      <c r="M440" s="125">
        <v>9.9914943228413726</v>
      </c>
      <c r="N440" s="131">
        <v>12.290789230373623</v>
      </c>
      <c r="O440" s="84"/>
      <c r="P440" s="5"/>
      <c r="Q440" s="14"/>
      <c r="R440" s="16"/>
      <c r="S440" s="16"/>
      <c r="T440" s="16"/>
      <c r="U440" s="16"/>
    </row>
    <row r="441" spans="1:21" ht="18.75" customHeight="1" x14ac:dyDescent="0.25">
      <c r="A441" s="14"/>
      <c r="B441" s="15"/>
      <c r="C441" s="119" t="s">
        <v>544</v>
      </c>
      <c r="D441" s="120" t="s">
        <v>579</v>
      </c>
      <c r="E441" s="125">
        <v>2.3199999999999998</v>
      </c>
      <c r="F441" s="128"/>
      <c r="G441" s="128"/>
      <c r="H441" s="128"/>
      <c r="I441" s="128"/>
      <c r="J441" s="128"/>
      <c r="K441" s="128"/>
      <c r="L441" s="128"/>
      <c r="M441" s="125">
        <v>14.485499999999996</v>
      </c>
      <c r="N441" s="131">
        <v>6.6285714285714281</v>
      </c>
      <c r="O441" s="83"/>
      <c r="P441" s="5"/>
      <c r="Q441" s="14"/>
      <c r="R441" s="16"/>
      <c r="S441" s="16"/>
      <c r="T441" s="16"/>
      <c r="U441" s="16"/>
    </row>
    <row r="442" spans="1:21" ht="18.75" customHeight="1" x14ac:dyDescent="0.25">
      <c r="A442" s="14"/>
      <c r="B442" s="15"/>
      <c r="C442" s="119" t="s">
        <v>780</v>
      </c>
      <c r="D442" s="120" t="s">
        <v>783</v>
      </c>
      <c r="E442" s="125">
        <v>12.656412402999667</v>
      </c>
      <c r="F442" s="125">
        <v>12.640031489534749</v>
      </c>
      <c r="G442" s="125">
        <v>12.332488586078675</v>
      </c>
      <c r="H442" s="125">
        <v>12.181884983178607</v>
      </c>
      <c r="I442" s="125">
        <v>12.281778548358147</v>
      </c>
      <c r="J442" s="125">
        <v>12.319188083353065</v>
      </c>
      <c r="K442" s="125">
        <v>12.641463290342063</v>
      </c>
      <c r="L442" s="125">
        <v>12.75947766299308</v>
      </c>
      <c r="M442" s="125">
        <v>11.960383224614086</v>
      </c>
      <c r="N442" s="131">
        <v>12.949654876484741</v>
      </c>
      <c r="O442" s="83"/>
      <c r="P442" s="5"/>
      <c r="Q442" s="14"/>
      <c r="R442" s="16"/>
      <c r="S442" s="16"/>
      <c r="T442" s="16"/>
      <c r="U442" s="16"/>
    </row>
    <row r="443" spans="1:21" ht="18.75" customHeight="1" x14ac:dyDescent="0.25">
      <c r="A443" s="14"/>
      <c r="B443" s="15"/>
      <c r="C443" s="122" t="s">
        <v>1893</v>
      </c>
      <c r="D443" s="120" t="s">
        <v>782</v>
      </c>
      <c r="E443" s="125">
        <v>365</v>
      </c>
      <c r="F443" s="134">
        <v>62</v>
      </c>
      <c r="G443" s="134">
        <v>140</v>
      </c>
      <c r="H443" s="134">
        <v>255</v>
      </c>
      <c r="I443" s="134">
        <v>325</v>
      </c>
      <c r="J443" s="134">
        <v>365</v>
      </c>
      <c r="K443" s="134">
        <v>425</v>
      </c>
      <c r="L443" s="134">
        <v>485</v>
      </c>
      <c r="M443" s="134">
        <v>580</v>
      </c>
      <c r="N443" s="135">
        <v>545</v>
      </c>
      <c r="O443" s="83"/>
      <c r="P443" s="1"/>
      <c r="Q443" s="14"/>
      <c r="R443" s="16"/>
      <c r="S443" s="16"/>
      <c r="T443" s="16"/>
      <c r="U443" s="16"/>
    </row>
    <row r="444" spans="1:21" ht="18.75" customHeight="1" x14ac:dyDescent="0.25">
      <c r="A444" s="14"/>
      <c r="B444" s="15"/>
      <c r="C444" s="122"/>
      <c r="D444" s="210"/>
      <c r="E444" s="210"/>
      <c r="F444" s="210"/>
      <c r="G444" s="210"/>
      <c r="H444" s="210"/>
      <c r="I444" s="210"/>
      <c r="J444" s="210"/>
      <c r="K444" s="210"/>
      <c r="L444" s="210"/>
      <c r="M444" s="210"/>
      <c r="N444" s="115"/>
      <c r="O444" s="83"/>
      <c r="P444" s="14"/>
      <c r="Q444" s="14"/>
      <c r="R444" s="16"/>
      <c r="S444" s="16"/>
      <c r="T444" s="16"/>
      <c r="U444" s="16"/>
    </row>
    <row r="445" spans="1:21" ht="18.75" customHeight="1" x14ac:dyDescent="0.25">
      <c r="A445" s="14"/>
      <c r="B445" s="15"/>
      <c r="C445" s="2199" t="s">
        <v>1287</v>
      </c>
      <c r="D445" s="2200"/>
      <c r="E445" s="2200"/>
      <c r="F445" s="2200"/>
      <c r="G445" s="2200"/>
      <c r="H445" s="2200"/>
      <c r="I445" s="2200"/>
      <c r="J445" s="2200"/>
      <c r="K445" s="2200"/>
      <c r="L445" s="2200"/>
      <c r="M445" s="2200"/>
      <c r="N445" s="2201"/>
      <c r="O445" s="83"/>
      <c r="P445" s="1"/>
      <c r="Q445" s="14"/>
      <c r="R445" s="16"/>
      <c r="S445" s="16"/>
      <c r="T445" s="16"/>
      <c r="U445" s="16"/>
    </row>
    <row r="446" spans="1:21" ht="18.75" customHeight="1" x14ac:dyDescent="0.25">
      <c r="A446" s="14"/>
      <c r="B446" s="15"/>
      <c r="C446" s="2202" t="s">
        <v>1088</v>
      </c>
      <c r="D446" s="210">
        <v>32</v>
      </c>
      <c r="E446" s="104" t="s">
        <v>679</v>
      </c>
      <c r="F446" s="210">
        <v>80</v>
      </c>
      <c r="G446" s="210">
        <v>180</v>
      </c>
      <c r="H446" s="210">
        <v>290</v>
      </c>
      <c r="I446" s="210">
        <v>340</v>
      </c>
      <c r="J446" s="210">
        <v>400</v>
      </c>
      <c r="K446" s="210">
        <v>450</v>
      </c>
      <c r="L446" s="210">
        <v>525</v>
      </c>
      <c r="M446" s="210">
        <v>525</v>
      </c>
      <c r="N446" s="115">
        <v>400</v>
      </c>
      <c r="O446" s="80"/>
      <c r="P446" s="1"/>
      <c r="Q446" s="14"/>
      <c r="R446" s="16"/>
      <c r="S446" s="16"/>
      <c r="T446" s="16"/>
      <c r="U446" s="16"/>
    </row>
    <row r="447" spans="1:21" ht="18.75" customHeight="1" x14ac:dyDescent="0.25">
      <c r="A447" s="14"/>
      <c r="B447" s="15"/>
      <c r="C447" s="119" t="s">
        <v>568</v>
      </c>
      <c r="D447" s="120" t="s">
        <v>623</v>
      </c>
      <c r="E447" s="110" t="s">
        <v>608</v>
      </c>
      <c r="F447" s="110" t="s">
        <v>957</v>
      </c>
      <c r="G447" s="110" t="s">
        <v>572</v>
      </c>
      <c r="H447" s="110" t="s">
        <v>530</v>
      </c>
      <c r="I447" s="110" t="s">
        <v>573</v>
      </c>
      <c r="J447" s="110" t="s">
        <v>574</v>
      </c>
      <c r="K447" s="110" t="s">
        <v>575</v>
      </c>
      <c r="L447" s="110" t="s">
        <v>576</v>
      </c>
      <c r="M447" s="110" t="s">
        <v>577</v>
      </c>
      <c r="N447" s="2203" t="s">
        <v>609</v>
      </c>
      <c r="O447" s="17"/>
      <c r="P447" s="3"/>
      <c r="Q447" s="14"/>
      <c r="R447" s="16"/>
      <c r="S447" s="16"/>
      <c r="T447" s="16"/>
      <c r="U447" s="16"/>
    </row>
    <row r="448" spans="1:21" ht="18.75" customHeight="1" x14ac:dyDescent="0.25">
      <c r="A448" s="14"/>
      <c r="B448" s="15"/>
      <c r="C448" s="119" t="s">
        <v>582</v>
      </c>
      <c r="D448" s="120" t="s">
        <v>566</v>
      </c>
      <c r="E448" s="121">
        <v>95429.629389577603</v>
      </c>
      <c r="F448" s="129">
        <v>4715.7139989247726</v>
      </c>
      <c r="G448" s="129">
        <v>20652.83542836062</v>
      </c>
      <c r="H448" s="129">
        <v>24311.754285833333</v>
      </c>
      <c r="I448" s="129">
        <v>7472.8801237157086</v>
      </c>
      <c r="J448" s="129">
        <v>11006.083802636691</v>
      </c>
      <c r="K448" s="129">
        <v>10736.63810221856</v>
      </c>
      <c r="L448" s="129">
        <v>5206.2733654103513</v>
      </c>
      <c r="M448" s="129">
        <v>11327.450282477552</v>
      </c>
      <c r="N448" s="130">
        <v>27193.774234112108</v>
      </c>
      <c r="O448" s="80"/>
      <c r="P448" s="4"/>
      <c r="Q448" s="14"/>
      <c r="R448" s="16"/>
      <c r="S448" s="16"/>
      <c r="T448" s="16"/>
      <c r="U448" s="16"/>
    </row>
    <row r="449" spans="1:21" ht="18.75" customHeight="1" x14ac:dyDescent="0.25">
      <c r="A449" s="14"/>
      <c r="B449" s="15"/>
      <c r="C449" s="119" t="s">
        <v>582</v>
      </c>
      <c r="D449" s="120" t="s">
        <v>628</v>
      </c>
      <c r="E449" s="145">
        <v>15173.311072942839</v>
      </c>
      <c r="F449" s="129">
        <v>749.79852582903891</v>
      </c>
      <c r="G449" s="129">
        <v>3283.8008331093388</v>
      </c>
      <c r="H449" s="129">
        <v>3865.5689314474998</v>
      </c>
      <c r="I449" s="129">
        <v>1188.1879396707977</v>
      </c>
      <c r="J449" s="129">
        <v>1749.9673246192338</v>
      </c>
      <c r="K449" s="129">
        <v>1707.1254582527511</v>
      </c>
      <c r="L449" s="129">
        <v>827.79746510024586</v>
      </c>
      <c r="M449" s="129">
        <v>1801.0645949139307</v>
      </c>
      <c r="N449" s="130">
        <v>4323.8101032238255</v>
      </c>
      <c r="O449" s="80"/>
      <c r="P449" s="4"/>
      <c r="Q449" s="14"/>
      <c r="R449" s="16"/>
      <c r="S449" s="16"/>
      <c r="T449" s="16"/>
      <c r="U449" s="16"/>
    </row>
    <row r="450" spans="1:21" ht="27" customHeight="1" x14ac:dyDescent="0.25">
      <c r="A450" s="14"/>
      <c r="B450" s="15"/>
      <c r="C450" s="119" t="s">
        <v>620</v>
      </c>
      <c r="D450" s="120" t="s">
        <v>622</v>
      </c>
      <c r="E450" s="129">
        <v>12530279.628247827</v>
      </c>
      <c r="F450" s="129">
        <v>501211.18512991309</v>
      </c>
      <c r="G450" s="129">
        <v>2380753.129367087</v>
      </c>
      <c r="H450" s="129">
        <v>3132569.9070619568</v>
      </c>
      <c r="I450" s="129">
        <v>1002422.3702598262</v>
      </c>
      <c r="J450" s="129">
        <v>1503633.5553897391</v>
      </c>
      <c r="K450" s="129">
        <v>1503633.5553897391</v>
      </c>
      <c r="L450" s="129">
        <v>751816.77769486955</v>
      </c>
      <c r="M450" s="129">
        <v>1754239.1479546961</v>
      </c>
      <c r="N450" s="130">
        <v>4009689.4810393048</v>
      </c>
      <c r="O450" s="81"/>
      <c r="P450" s="9"/>
      <c r="Q450" s="14"/>
      <c r="R450" s="16"/>
      <c r="S450" s="16"/>
      <c r="T450" s="16"/>
      <c r="U450" s="16"/>
    </row>
    <row r="451" spans="1:21" ht="18.75" customHeight="1" x14ac:dyDescent="0.25">
      <c r="A451" s="14"/>
      <c r="B451" s="15"/>
      <c r="C451" s="122" t="s">
        <v>776</v>
      </c>
      <c r="D451" s="120" t="s">
        <v>579</v>
      </c>
      <c r="E451" s="125">
        <v>8.1672024040305338E-2</v>
      </c>
      <c r="F451" s="125">
        <v>0</v>
      </c>
      <c r="G451" s="125">
        <v>0</v>
      </c>
      <c r="H451" s="125">
        <v>1.9889992918012689E-2</v>
      </c>
      <c r="I451" s="125">
        <v>3.1761471649029954E-2</v>
      </c>
      <c r="J451" s="125">
        <v>5.5514968810694398E-2</v>
      </c>
      <c r="K451" s="125">
        <v>0.10625820604851577</v>
      </c>
      <c r="L451" s="125">
        <v>0.17026082493850525</v>
      </c>
      <c r="M451" s="125">
        <v>0.31807269713903025</v>
      </c>
      <c r="N451" s="131">
        <v>0.21092753694248889</v>
      </c>
      <c r="O451" s="82"/>
      <c r="P451" s="5"/>
      <c r="Q451" s="14"/>
      <c r="R451" s="16"/>
      <c r="S451" s="16"/>
      <c r="T451" s="16"/>
      <c r="U451" s="16"/>
    </row>
    <row r="452" spans="1:21" ht="18.75" customHeight="1" x14ac:dyDescent="0.25">
      <c r="A452" s="14"/>
      <c r="B452" s="15"/>
      <c r="C452" s="122" t="s">
        <v>777</v>
      </c>
      <c r="D452" s="210" t="s">
        <v>778</v>
      </c>
      <c r="E452" s="125">
        <v>894.58194779151654</v>
      </c>
      <c r="F452" s="132">
        <v>0</v>
      </c>
      <c r="G452" s="132">
        <v>0</v>
      </c>
      <c r="H452" s="132">
        <v>0</v>
      </c>
      <c r="I452" s="132">
        <v>0</v>
      </c>
      <c r="J452" s="132">
        <v>75.632670510376556</v>
      </c>
      <c r="K452" s="132">
        <v>832.4771193907236</v>
      </c>
      <c r="L452" s="132">
        <v>1984.1964973454869</v>
      </c>
      <c r="M452" s="125">
        <v>4761.1213083046805</v>
      </c>
      <c r="N452" s="133">
        <v>2767.2063354070979</v>
      </c>
      <c r="O452" s="82"/>
      <c r="P452" s="10"/>
      <c r="Q452" s="14"/>
      <c r="R452" s="16"/>
      <c r="S452" s="16"/>
      <c r="T452" s="16"/>
      <c r="U452" s="16"/>
    </row>
    <row r="453" spans="1:21" ht="18.75" customHeight="1" x14ac:dyDescent="0.25">
      <c r="A453" s="14"/>
      <c r="B453" s="15"/>
      <c r="C453" s="119" t="s">
        <v>779</v>
      </c>
      <c r="D453" s="120" t="s">
        <v>970</v>
      </c>
      <c r="E453" s="132">
        <v>47.876196256866649</v>
      </c>
      <c r="F453" s="125">
        <v>79.971709940595815</v>
      </c>
      <c r="G453" s="125">
        <v>63.480371634651746</v>
      </c>
      <c r="H453" s="125">
        <v>42.938000324974311</v>
      </c>
      <c r="I453" s="125">
        <v>36.057101459458352</v>
      </c>
      <c r="J453" s="125">
        <v>33.019120683440008</v>
      </c>
      <c r="K453" s="125">
        <v>28.99144194687571</v>
      </c>
      <c r="L453" s="125">
        <v>24.146918826790767</v>
      </c>
      <c r="M453" s="125">
        <v>13.633924639970871</v>
      </c>
      <c r="N453" s="131">
        <v>20.934868249469247</v>
      </c>
      <c r="O453" s="82"/>
      <c r="P453" s="5"/>
      <c r="Q453" s="14"/>
      <c r="R453" s="16"/>
      <c r="S453" s="16"/>
      <c r="T453" s="16"/>
      <c r="U453" s="16"/>
    </row>
    <row r="454" spans="1:21" ht="18.75" customHeight="1" x14ac:dyDescent="0.25">
      <c r="A454" s="14"/>
      <c r="B454" s="15"/>
      <c r="C454" s="119" t="s">
        <v>580</v>
      </c>
      <c r="D454" s="120" t="s">
        <v>581</v>
      </c>
      <c r="E454" s="125">
        <v>788.06790114766204</v>
      </c>
      <c r="F454" s="125">
        <v>668.46115038134121</v>
      </c>
      <c r="G454" s="125">
        <v>724.99924641069617</v>
      </c>
      <c r="H454" s="125">
        <v>810.37745351728483</v>
      </c>
      <c r="I454" s="125">
        <v>843.65640888221753</v>
      </c>
      <c r="J454" s="125">
        <v>859.23521784437139</v>
      </c>
      <c r="K454" s="125">
        <v>880.79850729231896</v>
      </c>
      <c r="L454" s="125">
        <v>908.21343310567511</v>
      </c>
      <c r="M454" s="125">
        <v>974.0012395493942</v>
      </c>
      <c r="N454" s="131">
        <v>927.35096715965562</v>
      </c>
      <c r="O454" s="83"/>
      <c r="P454" s="5"/>
      <c r="Q454" s="14"/>
      <c r="R454" s="16"/>
      <c r="S454" s="16"/>
      <c r="T454" s="16"/>
      <c r="U454" s="16"/>
    </row>
    <row r="455" spans="1:21" ht="18.75" customHeight="1" x14ac:dyDescent="0.25">
      <c r="A455" s="14"/>
      <c r="B455" s="15"/>
      <c r="C455" s="119" t="s">
        <v>541</v>
      </c>
      <c r="D455" s="120" t="s">
        <v>579</v>
      </c>
      <c r="E455" s="125">
        <v>13.268760763740422</v>
      </c>
      <c r="F455" s="125">
        <v>16.686243955970447</v>
      </c>
      <c r="G455" s="125">
        <v>14.592097137409112</v>
      </c>
      <c r="H455" s="125">
        <v>13.923563812078861</v>
      </c>
      <c r="I455" s="125">
        <v>14.838415791833953</v>
      </c>
      <c r="J455" s="125">
        <v>15.015621869865207</v>
      </c>
      <c r="K455" s="125">
        <v>14.063223159986691</v>
      </c>
      <c r="L455" s="125">
        <v>12.025166035772166</v>
      </c>
      <c r="M455" s="125">
        <v>6.7848354807063105</v>
      </c>
      <c r="N455" s="131">
        <v>10.496792839511301</v>
      </c>
      <c r="O455" s="84"/>
      <c r="P455" s="5"/>
      <c r="Q455" s="14"/>
      <c r="R455" s="16"/>
      <c r="S455" s="16"/>
      <c r="T455" s="16"/>
      <c r="U455" s="16"/>
    </row>
    <row r="456" spans="1:21" ht="18.75" customHeight="1" x14ac:dyDescent="0.25">
      <c r="A456" s="14"/>
      <c r="B456" s="15"/>
      <c r="C456" s="119" t="s">
        <v>544</v>
      </c>
      <c r="D456" s="120" t="s">
        <v>579</v>
      </c>
      <c r="E456" s="125">
        <v>0.68</v>
      </c>
      <c r="F456" s="128"/>
      <c r="G456" s="128"/>
      <c r="H456" s="128"/>
      <c r="I456" s="128"/>
      <c r="J456" s="128"/>
      <c r="K456" s="128"/>
      <c r="L456" s="128"/>
      <c r="M456" s="125">
        <v>4.8522857142857134</v>
      </c>
      <c r="N456" s="131">
        <v>2.125</v>
      </c>
      <c r="O456" s="83"/>
      <c r="P456" s="5"/>
      <c r="Q456" s="14"/>
      <c r="R456" s="16"/>
      <c r="S456" s="16"/>
      <c r="T456" s="16"/>
      <c r="U456" s="16"/>
    </row>
    <row r="457" spans="1:21" ht="18.75" customHeight="1" x14ac:dyDescent="0.25">
      <c r="A457" s="14"/>
      <c r="B457" s="15"/>
      <c r="C457" s="119" t="s">
        <v>780</v>
      </c>
      <c r="D457" s="120" t="s">
        <v>783</v>
      </c>
      <c r="E457" s="125">
        <v>12.883265757213964</v>
      </c>
      <c r="F457" s="125">
        <v>12.72764362557727</v>
      </c>
      <c r="G457" s="125">
        <v>12.279425512358616</v>
      </c>
      <c r="H457" s="125">
        <v>11.927277408455449</v>
      </c>
      <c r="I457" s="125">
        <v>12.068684513904209</v>
      </c>
      <c r="J457" s="125">
        <v>12.208290815829852</v>
      </c>
      <c r="K457" s="125">
        <v>12.268805114113881</v>
      </c>
      <c r="L457" s="125">
        <v>12.157873702179463</v>
      </c>
      <c r="M457" s="125">
        <v>11.645555872129846</v>
      </c>
      <c r="N457" s="131">
        <v>12.027442841094679</v>
      </c>
      <c r="O457" s="83"/>
      <c r="P457" s="5"/>
      <c r="Q457" s="14"/>
      <c r="R457" s="16"/>
      <c r="S457" s="16"/>
      <c r="T457" s="16"/>
      <c r="U457" s="16"/>
    </row>
    <row r="458" spans="1:21" ht="18.75" customHeight="1" x14ac:dyDescent="0.25">
      <c r="A458" s="14"/>
      <c r="B458" s="15"/>
      <c r="C458" s="122" t="s">
        <v>781</v>
      </c>
      <c r="D458" s="120" t="s">
        <v>782</v>
      </c>
      <c r="E458" s="125">
        <v>310</v>
      </c>
      <c r="F458" s="134">
        <v>70</v>
      </c>
      <c r="G458" s="134">
        <v>120</v>
      </c>
      <c r="H458" s="134">
        <v>230</v>
      </c>
      <c r="I458" s="134">
        <v>315</v>
      </c>
      <c r="J458" s="134">
        <v>370</v>
      </c>
      <c r="K458" s="134">
        <v>430</v>
      </c>
      <c r="L458" s="134">
        <v>477</v>
      </c>
      <c r="M458" s="134">
        <v>540</v>
      </c>
      <c r="N458" s="135">
        <v>500</v>
      </c>
      <c r="O458" s="83"/>
      <c r="P458" s="1"/>
      <c r="Q458" s="14"/>
      <c r="R458" s="16"/>
      <c r="S458" s="16"/>
      <c r="T458" s="16"/>
      <c r="U458" s="16"/>
    </row>
    <row r="459" spans="1:21" ht="18.75" customHeight="1" x14ac:dyDescent="0.25">
      <c r="A459" s="14"/>
      <c r="B459" s="15"/>
      <c r="C459" s="122"/>
      <c r="D459" s="210"/>
      <c r="E459" s="210"/>
      <c r="F459" s="210"/>
      <c r="G459" s="210"/>
      <c r="H459" s="210"/>
      <c r="I459" s="210"/>
      <c r="J459" s="210"/>
      <c r="K459" s="210"/>
      <c r="L459" s="210"/>
      <c r="M459" s="210"/>
      <c r="N459" s="115"/>
      <c r="O459" s="83"/>
      <c r="P459" s="14"/>
      <c r="Q459" s="14"/>
      <c r="R459" s="16"/>
      <c r="S459" s="16"/>
      <c r="T459" s="16"/>
      <c r="U459" s="16"/>
    </row>
    <row r="460" spans="1:21" ht="18.75" customHeight="1" x14ac:dyDescent="0.25">
      <c r="A460" s="14"/>
      <c r="B460" s="15"/>
      <c r="C460" s="2199" t="s">
        <v>1894</v>
      </c>
      <c r="D460" s="2200"/>
      <c r="E460" s="2200"/>
      <c r="F460" s="2200"/>
      <c r="G460" s="2200"/>
      <c r="H460" s="2200"/>
      <c r="I460" s="2200"/>
      <c r="J460" s="2200"/>
      <c r="K460" s="2200"/>
      <c r="L460" s="2200"/>
      <c r="M460" s="2200"/>
      <c r="N460" s="2201"/>
      <c r="O460" s="83"/>
      <c r="P460" s="1"/>
      <c r="Q460" s="14"/>
      <c r="R460" s="16"/>
      <c r="S460" s="16"/>
      <c r="T460" s="16"/>
      <c r="U460" s="16"/>
    </row>
    <row r="461" spans="1:21" ht="18.75" customHeight="1" x14ac:dyDescent="0.25">
      <c r="A461" s="14"/>
      <c r="B461" s="15"/>
      <c r="C461" s="2202" t="s">
        <v>1088</v>
      </c>
      <c r="D461" s="210">
        <v>33</v>
      </c>
      <c r="E461" s="104" t="s">
        <v>679</v>
      </c>
      <c r="F461" s="210">
        <v>80</v>
      </c>
      <c r="G461" s="210">
        <v>180</v>
      </c>
      <c r="H461" s="210">
        <v>290</v>
      </c>
      <c r="I461" s="210">
        <v>340</v>
      </c>
      <c r="J461" s="210">
        <v>400</v>
      </c>
      <c r="K461" s="210">
        <v>450</v>
      </c>
      <c r="L461" s="210">
        <v>525</v>
      </c>
      <c r="M461" s="210">
        <v>525</v>
      </c>
      <c r="N461" s="115">
        <v>400</v>
      </c>
      <c r="O461" s="83"/>
      <c r="P461" s="1"/>
      <c r="Q461" s="14"/>
      <c r="R461" s="16"/>
      <c r="S461" s="16"/>
      <c r="T461" s="16"/>
      <c r="U461" s="16"/>
    </row>
    <row r="462" spans="1:21" ht="18.75" customHeight="1" x14ac:dyDescent="0.25">
      <c r="A462" s="14"/>
      <c r="B462" s="15"/>
      <c r="C462" s="119" t="s">
        <v>568</v>
      </c>
      <c r="D462" s="120" t="s">
        <v>623</v>
      </c>
      <c r="E462" s="110" t="s">
        <v>608</v>
      </c>
      <c r="F462" s="110" t="s">
        <v>957</v>
      </c>
      <c r="G462" s="110" t="s">
        <v>572</v>
      </c>
      <c r="H462" s="110" t="s">
        <v>530</v>
      </c>
      <c r="I462" s="110" t="s">
        <v>573</v>
      </c>
      <c r="J462" s="110" t="s">
        <v>574</v>
      </c>
      <c r="K462" s="110" t="s">
        <v>575</v>
      </c>
      <c r="L462" s="110" t="s">
        <v>576</v>
      </c>
      <c r="M462" s="110" t="s">
        <v>577</v>
      </c>
      <c r="N462" s="2203" t="s">
        <v>609</v>
      </c>
      <c r="O462" s="80"/>
      <c r="P462" s="3"/>
      <c r="Q462" s="14"/>
      <c r="R462" s="16"/>
      <c r="S462" s="16"/>
      <c r="T462" s="16"/>
      <c r="U462" s="16"/>
    </row>
    <row r="463" spans="1:21" ht="18.75" customHeight="1" x14ac:dyDescent="0.25">
      <c r="A463" s="14"/>
      <c r="B463" s="15"/>
      <c r="C463" s="119" t="s">
        <v>582</v>
      </c>
      <c r="D463" s="120" t="s">
        <v>566</v>
      </c>
      <c r="E463" s="121">
        <v>96561.256605731993</v>
      </c>
      <c r="F463" s="129">
        <v>2528.0958222566046</v>
      </c>
      <c r="G463" s="129">
        <v>11249.865116675346</v>
      </c>
      <c r="H463" s="129">
        <v>10393.753969312787</v>
      </c>
      <c r="I463" s="129">
        <v>13638.502383161396</v>
      </c>
      <c r="J463" s="129">
        <v>13253.24325635841</v>
      </c>
      <c r="K463" s="129">
        <v>10321.180742421615</v>
      </c>
      <c r="L463" s="129">
        <v>10231.316806829531</v>
      </c>
      <c r="M463" s="129">
        <v>24945.298508716303</v>
      </c>
      <c r="N463" s="130">
        <v>45964.432153673952</v>
      </c>
      <c r="O463" s="17"/>
      <c r="P463" s="4"/>
      <c r="Q463" s="14"/>
      <c r="R463" s="16"/>
      <c r="S463" s="16"/>
      <c r="T463" s="16"/>
      <c r="U463" s="16"/>
    </row>
    <row r="464" spans="1:21" ht="18.75" customHeight="1" x14ac:dyDescent="0.25">
      <c r="A464" s="14"/>
      <c r="B464" s="15"/>
      <c r="C464" s="119" t="s">
        <v>582</v>
      </c>
      <c r="D464" s="120" t="s">
        <v>628</v>
      </c>
      <c r="E464" s="145">
        <v>15353.239800311387</v>
      </c>
      <c r="F464" s="129">
        <v>401.96723573880013</v>
      </c>
      <c r="G464" s="129">
        <v>1788.7285535513802</v>
      </c>
      <c r="H464" s="129">
        <v>1652.6068811207333</v>
      </c>
      <c r="I464" s="129">
        <v>2168.5218789226619</v>
      </c>
      <c r="J464" s="129">
        <v>2107.2656777609873</v>
      </c>
      <c r="K464" s="129">
        <v>1641.0677380450368</v>
      </c>
      <c r="L464" s="129">
        <v>1626.7793722858953</v>
      </c>
      <c r="M464" s="129">
        <v>3966.3024628858925</v>
      </c>
      <c r="N464" s="130">
        <v>7308.3447124341583</v>
      </c>
      <c r="O464" s="80"/>
      <c r="P464" s="4"/>
      <c r="Q464" s="14"/>
      <c r="R464" s="16"/>
      <c r="S464" s="16"/>
      <c r="T464" s="16"/>
      <c r="U464" s="16"/>
    </row>
    <row r="465" spans="1:21" ht="28.5" customHeight="1" x14ac:dyDescent="0.25">
      <c r="A465" s="14"/>
      <c r="B465" s="15"/>
      <c r="C465" s="119" t="s">
        <v>620</v>
      </c>
      <c r="D465" s="120" t="s">
        <v>622</v>
      </c>
      <c r="E465" s="129">
        <v>13621427.11599656</v>
      </c>
      <c r="F465" s="129">
        <v>272428.54231993121</v>
      </c>
      <c r="G465" s="129">
        <v>1362142.7115996561</v>
      </c>
      <c r="H465" s="129">
        <v>1362142.7115996561</v>
      </c>
      <c r="I465" s="129">
        <v>1906999.7962395186</v>
      </c>
      <c r="J465" s="129">
        <v>1906999.7962395186</v>
      </c>
      <c r="K465" s="129">
        <v>1498356.9827596217</v>
      </c>
      <c r="L465" s="129">
        <v>1498356.9827596217</v>
      </c>
      <c r="M465" s="129">
        <v>3813999.5924790371</v>
      </c>
      <c r="N465" s="130">
        <v>6810713.55799828</v>
      </c>
      <c r="O465" s="80"/>
      <c r="P465" s="9"/>
      <c r="Q465" s="14"/>
      <c r="R465" s="16"/>
      <c r="S465" s="16"/>
      <c r="T465" s="16"/>
      <c r="U465" s="16"/>
    </row>
    <row r="466" spans="1:21" ht="18.75" customHeight="1" x14ac:dyDescent="0.25">
      <c r="A466" s="14"/>
      <c r="B466" s="15"/>
      <c r="C466" s="122" t="s">
        <v>776</v>
      </c>
      <c r="D466" s="120" t="s">
        <v>579</v>
      </c>
      <c r="E466" s="125">
        <v>0.23538302057496277</v>
      </c>
      <c r="F466" s="125">
        <v>3.5793046701230458E-3</v>
      </c>
      <c r="G466" s="125">
        <v>0</v>
      </c>
      <c r="H466" s="125">
        <v>4.5915602630851329E-2</v>
      </c>
      <c r="I466" s="125">
        <v>0.11052643836308498</v>
      </c>
      <c r="J466" s="125">
        <v>0.1914740896788775</v>
      </c>
      <c r="K466" s="125">
        <v>0.26174901440356274</v>
      </c>
      <c r="L466" s="125">
        <v>0.33473765329730165</v>
      </c>
      <c r="M466" s="125">
        <v>0.43866523873394758</v>
      </c>
      <c r="N466" s="131">
        <v>0.37687960058520087</v>
      </c>
      <c r="O466" s="81"/>
      <c r="P466" s="5"/>
      <c r="Q466" s="14"/>
      <c r="R466" s="16"/>
      <c r="S466" s="16"/>
      <c r="T466" s="16"/>
      <c r="U466" s="16"/>
    </row>
    <row r="467" spans="1:21" ht="18.75" customHeight="1" x14ac:dyDescent="0.25">
      <c r="A467" s="14"/>
      <c r="B467" s="15"/>
      <c r="C467" s="122" t="s">
        <v>777</v>
      </c>
      <c r="D467" s="210" t="s">
        <v>778</v>
      </c>
      <c r="E467" s="125">
        <v>2153.2288427374629</v>
      </c>
      <c r="F467" s="132">
        <v>0</v>
      </c>
      <c r="G467" s="132">
        <v>59.098889480544926</v>
      </c>
      <c r="H467" s="132">
        <v>29.675716498714792</v>
      </c>
      <c r="I467" s="132">
        <v>36.57930173596742</v>
      </c>
      <c r="J467" s="132">
        <v>394.44184236007277</v>
      </c>
      <c r="K467" s="132">
        <v>1168.2149275655247</v>
      </c>
      <c r="L467" s="132">
        <v>2700.9763288733611</v>
      </c>
      <c r="M467" s="125">
        <v>5922.8477991350492</v>
      </c>
      <c r="N467" s="133">
        <v>4168.0168439321824</v>
      </c>
      <c r="O467" s="82"/>
      <c r="P467" s="10"/>
      <c r="Q467" s="14"/>
      <c r="R467" s="16"/>
      <c r="S467" s="16"/>
      <c r="T467" s="16"/>
      <c r="U467" s="16"/>
    </row>
    <row r="468" spans="1:21" ht="18.75" customHeight="1" x14ac:dyDescent="0.25">
      <c r="A468" s="14"/>
      <c r="B468" s="15"/>
      <c r="C468" s="119" t="s">
        <v>779</v>
      </c>
      <c r="D468" s="120" t="s">
        <v>970</v>
      </c>
      <c r="E468" s="132">
        <v>33.507225646015598</v>
      </c>
      <c r="F468" s="125">
        <v>77.077038898922481</v>
      </c>
      <c r="G468" s="125">
        <v>54.130903179448843</v>
      </c>
      <c r="H468" s="125">
        <v>40.004450652356553</v>
      </c>
      <c r="I468" s="125">
        <v>29.246531443716705</v>
      </c>
      <c r="J468" s="125">
        <v>24.705778610247663</v>
      </c>
      <c r="K468" s="125">
        <v>23.324490881643115</v>
      </c>
      <c r="L468" s="125">
        <v>21.976472818217459</v>
      </c>
      <c r="M468" s="125">
        <v>15.505517851248854</v>
      </c>
      <c r="N468" s="131">
        <v>20.189268561445019</v>
      </c>
      <c r="O468" s="82"/>
      <c r="P468" s="5"/>
      <c r="Q468" s="14"/>
      <c r="R468" s="16"/>
      <c r="S468" s="16"/>
      <c r="T468" s="16"/>
      <c r="U468" s="16"/>
    </row>
    <row r="469" spans="1:21" ht="18.75" customHeight="1" x14ac:dyDescent="0.25">
      <c r="A469" s="14"/>
      <c r="B469" s="15"/>
      <c r="C469" s="119" t="s">
        <v>580</v>
      </c>
      <c r="D469" s="120" t="s">
        <v>581</v>
      </c>
      <c r="E469" s="125">
        <v>856.69352930795981</v>
      </c>
      <c r="F469" s="125">
        <v>677.73817888221197</v>
      </c>
      <c r="G469" s="125">
        <v>761.51448966095427</v>
      </c>
      <c r="H469" s="125">
        <v>824.23879941483983</v>
      </c>
      <c r="I469" s="125">
        <v>879.40076361458262</v>
      </c>
      <c r="J469" s="125">
        <v>904.9641041303081</v>
      </c>
      <c r="K469" s="125">
        <v>913.03786432641539</v>
      </c>
      <c r="L469" s="125">
        <v>921.05727936184803</v>
      </c>
      <c r="M469" s="125">
        <v>961.60079272017003</v>
      </c>
      <c r="N469" s="131">
        <v>931.90918408798836</v>
      </c>
      <c r="O469" s="82"/>
      <c r="P469" s="5"/>
      <c r="Q469" s="14"/>
      <c r="R469" s="16"/>
      <c r="S469" s="16"/>
      <c r="T469" s="16"/>
      <c r="U469" s="16"/>
    </row>
    <row r="470" spans="1:21" ht="18.75" customHeight="1" x14ac:dyDescent="0.25">
      <c r="A470" s="14"/>
      <c r="B470" s="15"/>
      <c r="C470" s="119" t="s">
        <v>541</v>
      </c>
      <c r="D470" s="120" t="s">
        <v>579</v>
      </c>
      <c r="E470" s="125">
        <v>11.447433961659138</v>
      </c>
      <c r="F470" s="125">
        <v>16.26443569744545</v>
      </c>
      <c r="G470" s="125">
        <v>13.742366295896296</v>
      </c>
      <c r="H470" s="125">
        <v>12.922449163093894</v>
      </c>
      <c r="I470" s="125">
        <v>13.129711935056037</v>
      </c>
      <c r="J470" s="125">
        <v>13.656026127495124</v>
      </c>
      <c r="K470" s="125">
        <v>13.439594532940099</v>
      </c>
      <c r="L470" s="125">
        <v>11.718593922269044</v>
      </c>
      <c r="M470" s="125">
        <v>6.9223558677894346</v>
      </c>
      <c r="N470" s="131">
        <v>9.4113207461080961</v>
      </c>
      <c r="O470" s="83"/>
      <c r="P470" s="5"/>
      <c r="Q470" s="14"/>
      <c r="R470" s="16"/>
      <c r="S470" s="16"/>
      <c r="T470" s="16"/>
      <c r="U470" s="16"/>
    </row>
    <row r="471" spans="1:21" ht="18.75" customHeight="1" x14ac:dyDescent="0.25">
      <c r="A471" s="14"/>
      <c r="B471" s="15"/>
      <c r="C471" s="119" t="s">
        <v>544</v>
      </c>
      <c r="D471" s="120" t="s">
        <v>579</v>
      </c>
      <c r="E471" s="125">
        <v>0.39</v>
      </c>
      <c r="F471" s="128"/>
      <c r="G471" s="128"/>
      <c r="H471" s="128"/>
      <c r="I471" s="128"/>
      <c r="J471" s="128"/>
      <c r="K471" s="128"/>
      <c r="L471" s="128"/>
      <c r="M471" s="125">
        <v>1.3914642857142858</v>
      </c>
      <c r="N471" s="131">
        <v>0.78000000000000014</v>
      </c>
      <c r="O471" s="84"/>
      <c r="P471" s="5"/>
      <c r="Q471" s="14"/>
      <c r="R471" s="16"/>
      <c r="S471" s="16"/>
      <c r="T471" s="16"/>
      <c r="U471" s="16"/>
    </row>
    <row r="472" spans="1:21" ht="18.75" customHeight="1" x14ac:dyDescent="0.25">
      <c r="A472" s="14"/>
      <c r="B472" s="15"/>
      <c r="C472" s="119" t="s">
        <v>780</v>
      </c>
      <c r="D472" s="120" t="s">
        <v>783</v>
      </c>
      <c r="E472" s="125">
        <v>12.493267770731459</v>
      </c>
      <c r="F472" s="125">
        <v>12.614102605483838</v>
      </c>
      <c r="G472" s="125">
        <v>11.885585811972465</v>
      </c>
      <c r="H472" s="125">
        <v>11.488837093942868</v>
      </c>
      <c r="I472" s="125">
        <v>11.343758652991324</v>
      </c>
      <c r="J472" s="125">
        <v>11.531001488182083</v>
      </c>
      <c r="K472" s="125">
        <v>11.807473236720096</v>
      </c>
      <c r="L472" s="125">
        <v>12.083466708063758</v>
      </c>
      <c r="M472" s="125">
        <v>12.079000082944969</v>
      </c>
      <c r="N472" s="131">
        <v>12.171557109179901</v>
      </c>
      <c r="O472" s="83"/>
      <c r="P472" s="5"/>
      <c r="Q472" s="14"/>
      <c r="R472" s="16"/>
      <c r="S472" s="16"/>
      <c r="T472" s="16"/>
      <c r="U472" s="16"/>
    </row>
    <row r="473" spans="1:21" ht="18.75" customHeight="1" x14ac:dyDescent="0.25">
      <c r="A473" s="14"/>
      <c r="B473" s="15"/>
      <c r="C473" s="122" t="s">
        <v>781</v>
      </c>
      <c r="D473" s="120" t="s">
        <v>782</v>
      </c>
      <c r="E473" s="125">
        <v>410</v>
      </c>
      <c r="F473" s="134">
        <v>75</v>
      </c>
      <c r="G473" s="134">
        <v>140</v>
      </c>
      <c r="H473" s="134">
        <v>200</v>
      </c>
      <c r="I473" s="134">
        <v>280</v>
      </c>
      <c r="J473" s="134">
        <v>360</v>
      </c>
      <c r="K473" s="134">
        <v>425</v>
      </c>
      <c r="L473" s="134">
        <v>495</v>
      </c>
      <c r="M473" s="134">
        <v>600</v>
      </c>
      <c r="N473" s="135">
        <v>540</v>
      </c>
      <c r="O473" s="83"/>
      <c r="P473" s="1"/>
      <c r="Q473" s="14"/>
      <c r="R473" s="16"/>
      <c r="S473" s="16"/>
      <c r="T473" s="16"/>
      <c r="U473" s="16"/>
    </row>
    <row r="474" spans="1:21" ht="18.75" customHeight="1" x14ac:dyDescent="0.25">
      <c r="A474" s="14"/>
      <c r="B474" s="15"/>
      <c r="C474" s="122"/>
      <c r="D474" s="210"/>
      <c r="E474" s="210"/>
      <c r="F474" s="210"/>
      <c r="G474" s="210"/>
      <c r="H474" s="210"/>
      <c r="I474" s="210"/>
      <c r="J474" s="210"/>
      <c r="K474" s="210"/>
      <c r="L474" s="210"/>
      <c r="M474" s="210"/>
      <c r="N474" s="115"/>
      <c r="O474" s="83"/>
      <c r="P474" s="14"/>
      <c r="Q474" s="14"/>
      <c r="R474" s="16"/>
      <c r="S474" s="16"/>
      <c r="T474" s="16"/>
      <c r="U474" s="16"/>
    </row>
    <row r="475" spans="1:21" ht="18.75" customHeight="1" x14ac:dyDescent="0.25">
      <c r="A475" s="14"/>
      <c r="B475" s="15"/>
      <c r="C475" s="2199" t="s">
        <v>1288</v>
      </c>
      <c r="D475" s="2200"/>
      <c r="E475" s="2200"/>
      <c r="F475" s="2200"/>
      <c r="G475" s="2200"/>
      <c r="H475" s="2200"/>
      <c r="I475" s="2200"/>
      <c r="J475" s="2200"/>
      <c r="K475" s="2200"/>
      <c r="L475" s="2200"/>
      <c r="M475" s="2200"/>
      <c r="N475" s="2201"/>
      <c r="O475" s="83"/>
      <c r="P475" s="1"/>
      <c r="Q475" s="14"/>
      <c r="R475" s="16"/>
      <c r="S475" s="16"/>
      <c r="T475" s="16"/>
      <c r="U475" s="16"/>
    </row>
    <row r="476" spans="1:21" ht="18.75" customHeight="1" x14ac:dyDescent="0.25">
      <c r="A476" s="14"/>
      <c r="B476" s="15"/>
      <c r="C476" s="2202" t="s">
        <v>1088</v>
      </c>
      <c r="D476" s="210">
        <v>34</v>
      </c>
      <c r="E476" s="104" t="s">
        <v>679</v>
      </c>
      <c r="F476" s="210">
        <v>80</v>
      </c>
      <c r="G476" s="210">
        <v>180</v>
      </c>
      <c r="H476" s="210">
        <v>290</v>
      </c>
      <c r="I476" s="210">
        <v>340</v>
      </c>
      <c r="J476" s="210">
        <v>400</v>
      </c>
      <c r="K476" s="210">
        <v>450</v>
      </c>
      <c r="L476" s="210">
        <v>525</v>
      </c>
      <c r="M476" s="210">
        <v>525</v>
      </c>
      <c r="N476" s="115">
        <v>400</v>
      </c>
      <c r="O476" s="83"/>
      <c r="P476" s="1"/>
      <c r="Q476" s="14"/>
      <c r="R476" s="16"/>
      <c r="S476" s="16"/>
      <c r="T476" s="16"/>
      <c r="U476" s="16"/>
    </row>
    <row r="477" spans="1:21" ht="18.75" customHeight="1" x14ac:dyDescent="0.25">
      <c r="A477" s="14"/>
      <c r="B477" s="15"/>
      <c r="C477" s="119" t="s">
        <v>568</v>
      </c>
      <c r="D477" s="120" t="s">
        <v>623</v>
      </c>
      <c r="E477" s="110" t="s">
        <v>608</v>
      </c>
      <c r="F477" s="110" t="s">
        <v>957</v>
      </c>
      <c r="G477" s="110" t="s">
        <v>572</v>
      </c>
      <c r="H477" s="110" t="s">
        <v>530</v>
      </c>
      <c r="I477" s="110" t="s">
        <v>573</v>
      </c>
      <c r="J477" s="110" t="s">
        <v>574</v>
      </c>
      <c r="K477" s="110" t="s">
        <v>575</v>
      </c>
      <c r="L477" s="110" t="s">
        <v>576</v>
      </c>
      <c r="M477" s="110" t="s">
        <v>577</v>
      </c>
      <c r="N477" s="2203" t="s">
        <v>609</v>
      </c>
      <c r="O477" s="80"/>
      <c r="P477" s="3"/>
      <c r="Q477" s="14"/>
      <c r="R477" s="16"/>
      <c r="S477" s="16"/>
      <c r="T477" s="16"/>
      <c r="U477" s="16"/>
    </row>
    <row r="478" spans="1:21" ht="18.75" customHeight="1" x14ac:dyDescent="0.25">
      <c r="A478" s="14"/>
      <c r="B478" s="15"/>
      <c r="C478" s="119" t="s">
        <v>582</v>
      </c>
      <c r="D478" s="120" t="s">
        <v>566</v>
      </c>
      <c r="E478" s="121">
        <v>96201.082987782851</v>
      </c>
      <c r="F478" s="129">
        <v>2495.1618975658776</v>
      </c>
      <c r="G478" s="129">
        <v>17643.308634415494</v>
      </c>
      <c r="H478" s="129">
        <v>20332.317552705896</v>
      </c>
      <c r="I478" s="129">
        <v>12299.438781895717</v>
      </c>
      <c r="J478" s="129">
        <v>10281.093029220036</v>
      </c>
      <c r="K478" s="129">
        <v>9338.3766176524659</v>
      </c>
      <c r="L478" s="129">
        <v>12773.412148018078</v>
      </c>
      <c r="M478" s="129">
        <v>11037.974326309277</v>
      </c>
      <c r="N478" s="130">
        <v>33480.622765022832</v>
      </c>
      <c r="O478" s="17"/>
      <c r="P478" s="4"/>
      <c r="Q478" s="14"/>
      <c r="R478" s="16"/>
      <c r="S478" s="16"/>
      <c r="T478" s="16"/>
      <c r="U478" s="16"/>
    </row>
    <row r="479" spans="1:21" ht="18.75" customHeight="1" x14ac:dyDescent="0.25">
      <c r="A479" s="14"/>
      <c r="B479" s="15"/>
      <c r="C479" s="119" t="s">
        <v>582</v>
      </c>
      <c r="D479" s="120" t="s">
        <v>628</v>
      </c>
      <c r="E479" s="145">
        <v>15295.972195057473</v>
      </c>
      <c r="F479" s="129">
        <v>396.73074171297452</v>
      </c>
      <c r="G479" s="129">
        <v>2805.2860728720634</v>
      </c>
      <c r="H479" s="129">
        <v>3232.8384908802377</v>
      </c>
      <c r="I479" s="129">
        <v>1955.6107663214191</v>
      </c>
      <c r="J479" s="129">
        <v>1634.6937916459856</v>
      </c>
      <c r="K479" s="129">
        <v>1484.801882206742</v>
      </c>
      <c r="L479" s="129">
        <v>2030.9725315348746</v>
      </c>
      <c r="M479" s="129">
        <v>1755.0379178831749</v>
      </c>
      <c r="N479" s="130">
        <v>5323.4190196386298</v>
      </c>
      <c r="O479" s="80"/>
      <c r="P479" s="4"/>
      <c r="Q479" s="14"/>
      <c r="R479" s="16"/>
      <c r="S479" s="16"/>
      <c r="T479" s="16"/>
      <c r="U479" s="16"/>
    </row>
    <row r="480" spans="1:21" ht="33.75" customHeight="1" x14ac:dyDescent="0.25">
      <c r="A480" s="14"/>
      <c r="B480" s="15"/>
      <c r="C480" s="119" t="s">
        <v>620</v>
      </c>
      <c r="D480" s="120" t="s">
        <v>622</v>
      </c>
      <c r="E480" s="129">
        <v>13465666.287929066</v>
      </c>
      <c r="F480" s="129">
        <v>269313.32575858134</v>
      </c>
      <c r="G480" s="129">
        <v>2154506.6060686507</v>
      </c>
      <c r="H480" s="129">
        <v>2827789.9204651038</v>
      </c>
      <c r="I480" s="129">
        <v>1750536.6174307787</v>
      </c>
      <c r="J480" s="129">
        <v>1481223.2916721972</v>
      </c>
      <c r="K480" s="129">
        <v>1346566.6287929066</v>
      </c>
      <c r="L480" s="129">
        <v>1885193.2803100694</v>
      </c>
      <c r="M480" s="129">
        <v>1750536.6174307787</v>
      </c>
      <c r="N480" s="130">
        <v>4982296.5265337545</v>
      </c>
      <c r="O480" s="80"/>
      <c r="P480" s="9"/>
      <c r="Q480" s="14"/>
      <c r="R480" s="16"/>
      <c r="S480" s="16"/>
      <c r="T480" s="16"/>
      <c r="U480" s="16"/>
    </row>
    <row r="481" spans="1:21" ht="18.75" customHeight="1" x14ac:dyDescent="0.25">
      <c r="A481" s="14"/>
      <c r="B481" s="15"/>
      <c r="C481" s="122" t="s">
        <v>776</v>
      </c>
      <c r="D481" s="120" t="s">
        <v>579</v>
      </c>
      <c r="E481" s="125">
        <v>0.14637009016903879</v>
      </c>
      <c r="F481" s="125">
        <v>0</v>
      </c>
      <c r="G481" s="125">
        <v>0</v>
      </c>
      <c r="H481" s="125">
        <v>6.4183522028092715E-2</v>
      </c>
      <c r="I481" s="125">
        <v>0.10269200416129093</v>
      </c>
      <c r="J481" s="125">
        <v>0.14639557954567445</v>
      </c>
      <c r="K481" s="125">
        <v>0.15097549439090446</v>
      </c>
      <c r="L481" s="125">
        <v>0.26064070802422729</v>
      </c>
      <c r="M481" s="125">
        <v>0.39885252068973093</v>
      </c>
      <c r="N481" s="131">
        <v>0.27956236824904673</v>
      </c>
      <c r="O481" s="81"/>
      <c r="P481" s="5"/>
      <c r="Q481" s="14"/>
      <c r="R481" s="16"/>
      <c r="S481" s="16"/>
      <c r="T481" s="16"/>
      <c r="U481" s="16"/>
    </row>
    <row r="482" spans="1:21" ht="18.75" customHeight="1" x14ac:dyDescent="0.25">
      <c r="A482" s="14"/>
      <c r="B482" s="15"/>
      <c r="C482" s="122" t="s">
        <v>777</v>
      </c>
      <c r="D482" s="210" t="s">
        <v>778</v>
      </c>
      <c r="E482" s="125">
        <v>1034.729911605692</v>
      </c>
      <c r="F482" s="132">
        <v>0</v>
      </c>
      <c r="G482" s="132">
        <v>0</v>
      </c>
      <c r="H482" s="132">
        <v>0</v>
      </c>
      <c r="I482" s="132">
        <v>1.3359906591686013</v>
      </c>
      <c r="J482" s="132">
        <v>210.60600941375287</v>
      </c>
      <c r="K482" s="132">
        <v>246.3415166440318</v>
      </c>
      <c r="L482" s="132">
        <v>2140.9898411260638</v>
      </c>
      <c r="M482" s="125">
        <v>5284.7449412495016</v>
      </c>
      <c r="N482" s="133">
        <v>2733.4853291472627</v>
      </c>
      <c r="O482" s="82"/>
      <c r="P482" s="10"/>
      <c r="Q482" s="14"/>
      <c r="R482" s="16"/>
      <c r="S482" s="16"/>
      <c r="T482" s="16"/>
      <c r="U482" s="16"/>
    </row>
    <row r="483" spans="1:21" ht="18.75" customHeight="1" x14ac:dyDescent="0.25">
      <c r="A483" s="14"/>
      <c r="B483" s="15"/>
      <c r="C483" s="119" t="s">
        <v>779</v>
      </c>
      <c r="D483" s="120" t="s">
        <v>970</v>
      </c>
      <c r="E483" s="132">
        <v>35.415906698566488</v>
      </c>
      <c r="F483" s="125">
        <v>76.741105245962046</v>
      </c>
      <c r="G483" s="125">
        <v>52.559303617256802</v>
      </c>
      <c r="H483" s="125">
        <v>30.108915218718266</v>
      </c>
      <c r="I483" s="125">
        <v>26.420921243356574</v>
      </c>
      <c r="J483" s="125">
        <v>24.507087711324886</v>
      </c>
      <c r="K483" s="125">
        <v>24.372360022815371</v>
      </c>
      <c r="L483" s="125">
        <v>20.791833594351516</v>
      </c>
      <c r="M483" s="125">
        <v>10.224114830108562</v>
      </c>
      <c r="N483" s="131">
        <v>19.539148801525727</v>
      </c>
      <c r="O483" s="82"/>
      <c r="P483" s="5"/>
      <c r="Q483" s="14"/>
      <c r="R483" s="16"/>
      <c r="S483" s="16"/>
      <c r="T483" s="16"/>
      <c r="U483" s="16"/>
    </row>
    <row r="484" spans="1:21" ht="18.75" customHeight="1" x14ac:dyDescent="0.25">
      <c r="A484" s="14"/>
      <c r="B484" s="15"/>
      <c r="C484" s="119" t="s">
        <v>580</v>
      </c>
      <c r="D484" s="120" t="s">
        <v>581</v>
      </c>
      <c r="E484" s="125">
        <v>846.89725081314873</v>
      </c>
      <c r="F484" s="125">
        <v>678.83150318969558</v>
      </c>
      <c r="G484" s="125">
        <v>768.01671918716579</v>
      </c>
      <c r="H484" s="125">
        <v>874.70807107816654</v>
      </c>
      <c r="I484" s="125">
        <v>895.13549811530595</v>
      </c>
      <c r="J484" s="125">
        <v>906.1166679912219</v>
      </c>
      <c r="K484" s="125">
        <v>906.89986652738651</v>
      </c>
      <c r="L484" s="125">
        <v>928.22194837138693</v>
      </c>
      <c r="M484" s="125">
        <v>997.43521185124848</v>
      </c>
      <c r="N484" s="131">
        <v>935.92041283121989</v>
      </c>
      <c r="O484" s="82"/>
      <c r="P484" s="5"/>
      <c r="Q484" s="14"/>
      <c r="R484" s="16"/>
      <c r="S484" s="16"/>
      <c r="T484" s="16"/>
      <c r="U484" s="16"/>
    </row>
    <row r="485" spans="1:21" ht="18.75" customHeight="1" x14ac:dyDescent="0.25">
      <c r="A485" s="14"/>
      <c r="B485" s="15"/>
      <c r="C485" s="119" t="s">
        <v>541</v>
      </c>
      <c r="D485" s="120" t="s">
        <v>579</v>
      </c>
      <c r="E485" s="125">
        <v>12.53710408568578</v>
      </c>
      <c r="F485" s="125">
        <v>16.537327896353325</v>
      </c>
      <c r="G485" s="125">
        <v>13.501494589955961</v>
      </c>
      <c r="H485" s="125">
        <v>13.05285238970751</v>
      </c>
      <c r="I485" s="125">
        <v>13.671561740557134</v>
      </c>
      <c r="J485" s="125">
        <v>14.120705108190442</v>
      </c>
      <c r="K485" s="125">
        <v>14.139402123802732</v>
      </c>
      <c r="L485" s="125">
        <v>11.881446125177717</v>
      </c>
      <c r="M485" s="125">
        <v>6.9007394880665389</v>
      </c>
      <c r="N485" s="131">
        <v>10.741726495550822</v>
      </c>
      <c r="O485" s="83"/>
      <c r="P485" s="5"/>
      <c r="Q485" s="14"/>
      <c r="R485" s="16"/>
      <c r="S485" s="16"/>
      <c r="T485" s="16"/>
      <c r="U485" s="16"/>
    </row>
    <row r="486" spans="1:21" ht="18.75" customHeight="1" x14ac:dyDescent="0.25">
      <c r="A486" s="14"/>
      <c r="B486" s="15"/>
      <c r="C486" s="119" t="s">
        <v>544</v>
      </c>
      <c r="D486" s="120" t="s">
        <v>579</v>
      </c>
      <c r="E486" s="125">
        <v>1.39</v>
      </c>
      <c r="F486" s="128"/>
      <c r="G486" s="128"/>
      <c r="H486" s="128"/>
      <c r="I486" s="128"/>
      <c r="J486" s="128"/>
      <c r="K486" s="128"/>
      <c r="L486" s="128"/>
      <c r="M486" s="125">
        <v>10.681615384615382</v>
      </c>
      <c r="N486" s="131">
        <v>3.7567567567567561</v>
      </c>
      <c r="O486" s="84"/>
      <c r="P486" s="5"/>
      <c r="Q486" s="14"/>
      <c r="R486" s="16"/>
      <c r="S486" s="16"/>
      <c r="T486" s="16"/>
      <c r="U486" s="16"/>
    </row>
    <row r="487" spans="1:21" ht="18.75" customHeight="1" x14ac:dyDescent="0.25">
      <c r="A487" s="14"/>
      <c r="B487" s="15"/>
      <c r="C487" s="119" t="s">
        <v>780</v>
      </c>
      <c r="D487" s="120" t="s">
        <v>783</v>
      </c>
      <c r="E487" s="125">
        <v>12.938871528180444</v>
      </c>
      <c r="F487" s="125">
        <v>12.593786363631677</v>
      </c>
      <c r="G487" s="125">
        <v>11.784959347636221</v>
      </c>
      <c r="H487" s="125">
        <v>11.265475173194785</v>
      </c>
      <c r="I487" s="125">
        <v>11.342292006731833</v>
      </c>
      <c r="J487" s="125">
        <v>11.5163342647826</v>
      </c>
      <c r="K487" s="125">
        <v>11.536598116801038</v>
      </c>
      <c r="L487" s="125">
        <v>11.91163848612311</v>
      </c>
      <c r="M487" s="125">
        <v>11.555443365998988</v>
      </c>
      <c r="N487" s="131">
        <v>11.917317539219047</v>
      </c>
      <c r="O487" s="83"/>
      <c r="P487" s="5"/>
      <c r="Q487" s="14"/>
      <c r="R487" s="16"/>
      <c r="S487" s="16"/>
      <c r="T487" s="16"/>
      <c r="U487" s="16"/>
    </row>
    <row r="488" spans="1:21" ht="18.75" customHeight="1" x14ac:dyDescent="0.25">
      <c r="A488" s="14"/>
      <c r="B488" s="15"/>
      <c r="C488" s="122" t="s">
        <v>781</v>
      </c>
      <c r="D488" s="120" t="s">
        <v>782</v>
      </c>
      <c r="E488" s="125">
        <v>460</v>
      </c>
      <c r="F488" s="134">
        <v>75</v>
      </c>
      <c r="G488" s="134">
        <v>140</v>
      </c>
      <c r="H488" s="134">
        <v>260</v>
      </c>
      <c r="I488" s="134">
        <v>310</v>
      </c>
      <c r="J488" s="134">
        <v>360</v>
      </c>
      <c r="K488" s="134">
        <v>365</v>
      </c>
      <c r="L488" s="134">
        <v>480</v>
      </c>
      <c r="M488" s="134">
        <v>580</v>
      </c>
      <c r="N488" s="135">
        <v>500</v>
      </c>
      <c r="O488" s="83"/>
      <c r="P488" s="1"/>
      <c r="Q488" s="14"/>
      <c r="R488" s="16"/>
      <c r="S488" s="16"/>
      <c r="T488" s="16"/>
      <c r="U488" s="16"/>
    </row>
    <row r="489" spans="1:21" ht="18.75" customHeight="1" x14ac:dyDescent="0.25">
      <c r="A489" s="14"/>
      <c r="B489" s="15"/>
      <c r="C489" s="122"/>
      <c r="D489" s="210"/>
      <c r="E489" s="210"/>
      <c r="F489" s="210"/>
      <c r="G489" s="210"/>
      <c r="H489" s="210"/>
      <c r="I489" s="210"/>
      <c r="J489" s="210"/>
      <c r="K489" s="210"/>
      <c r="L489" s="210"/>
      <c r="M489" s="210"/>
      <c r="N489" s="115"/>
      <c r="O489" s="83"/>
      <c r="P489" s="1"/>
      <c r="Q489" s="14"/>
      <c r="R489" s="16"/>
      <c r="S489" s="16"/>
      <c r="T489" s="16"/>
      <c r="U489" s="16"/>
    </row>
    <row r="490" spans="1:21" ht="18.75" customHeight="1" x14ac:dyDescent="0.25">
      <c r="A490" s="14"/>
      <c r="B490" s="15"/>
      <c r="C490" s="2199" t="s">
        <v>2023</v>
      </c>
      <c r="D490" s="2200"/>
      <c r="E490" s="2200"/>
      <c r="F490" s="2200"/>
      <c r="G490" s="2200"/>
      <c r="H490" s="2200"/>
      <c r="I490" s="2200"/>
      <c r="J490" s="2200"/>
      <c r="K490" s="2200"/>
      <c r="L490" s="2200"/>
      <c r="M490" s="2200"/>
      <c r="N490" s="2201"/>
      <c r="O490" s="83"/>
      <c r="P490" s="1"/>
      <c r="Q490" s="14"/>
      <c r="R490" s="16"/>
      <c r="S490" s="16"/>
      <c r="T490" s="16"/>
      <c r="U490" s="16"/>
    </row>
    <row r="491" spans="1:21" ht="18.75" customHeight="1" x14ac:dyDescent="0.25">
      <c r="A491" s="14"/>
      <c r="B491" s="15"/>
      <c r="C491" s="2202" t="s">
        <v>1088</v>
      </c>
      <c r="D491" s="210">
        <v>104</v>
      </c>
      <c r="E491" s="104" t="s">
        <v>679</v>
      </c>
      <c r="F491" s="210">
        <v>80</v>
      </c>
      <c r="G491" s="210">
        <v>180</v>
      </c>
      <c r="H491" s="210">
        <v>290</v>
      </c>
      <c r="I491" s="210">
        <v>340</v>
      </c>
      <c r="J491" s="210">
        <v>400</v>
      </c>
      <c r="K491" s="210">
        <v>450</v>
      </c>
      <c r="L491" s="210">
        <v>525</v>
      </c>
      <c r="M491" s="210">
        <v>525</v>
      </c>
      <c r="N491" s="115">
        <v>400</v>
      </c>
      <c r="O491" s="83"/>
      <c r="P491" s="3"/>
      <c r="Q491" s="14"/>
      <c r="R491" s="16"/>
      <c r="S491" s="16"/>
      <c r="T491" s="16"/>
      <c r="U491" s="16"/>
    </row>
    <row r="492" spans="1:21" ht="18.75" customHeight="1" x14ac:dyDescent="0.25">
      <c r="A492" s="14"/>
      <c r="B492" s="15"/>
      <c r="C492" s="119" t="s">
        <v>568</v>
      </c>
      <c r="D492" s="120" t="s">
        <v>623</v>
      </c>
      <c r="E492" s="110" t="s">
        <v>608</v>
      </c>
      <c r="F492" s="110" t="s">
        <v>957</v>
      </c>
      <c r="G492" s="110" t="s">
        <v>572</v>
      </c>
      <c r="H492" s="110" t="s">
        <v>530</v>
      </c>
      <c r="I492" s="110" t="s">
        <v>573</v>
      </c>
      <c r="J492" s="110" t="s">
        <v>574</v>
      </c>
      <c r="K492" s="110" t="s">
        <v>575</v>
      </c>
      <c r="L492" s="110" t="s">
        <v>576</v>
      </c>
      <c r="M492" s="110" t="s">
        <v>577</v>
      </c>
      <c r="N492" s="2203" t="s">
        <v>609</v>
      </c>
      <c r="O492" s="80"/>
      <c r="P492" s="4"/>
      <c r="Q492" s="14"/>
      <c r="R492" s="16"/>
      <c r="S492" s="16"/>
      <c r="T492" s="16"/>
      <c r="U492" s="16"/>
    </row>
    <row r="493" spans="1:21" ht="18.75" customHeight="1" x14ac:dyDescent="0.25">
      <c r="A493" s="14"/>
      <c r="B493" s="15"/>
      <c r="C493" s="119" t="s">
        <v>582</v>
      </c>
      <c r="D493" s="120" t="s">
        <v>566</v>
      </c>
      <c r="E493" s="121">
        <v>101109.90982351791</v>
      </c>
      <c r="F493" s="129">
        <v>141.1283054543126</v>
      </c>
      <c r="G493" s="129">
        <v>1533.593770512658</v>
      </c>
      <c r="H493" s="129">
        <v>8517.765620760716</v>
      </c>
      <c r="I493" s="129">
        <v>7061.7874672469961</v>
      </c>
      <c r="J493" s="129">
        <v>12747.290863791361</v>
      </c>
      <c r="K493" s="129">
        <v>11321.844434242263</v>
      </c>
      <c r="L493" s="129">
        <v>15034.553012657912</v>
      </c>
      <c r="M493" s="129">
        <v>44751.946348851692</v>
      </c>
      <c r="N493" s="130">
        <v>71906.456580977028</v>
      </c>
      <c r="O493" s="17"/>
      <c r="P493" s="4"/>
      <c r="Q493" s="14"/>
      <c r="R493" s="16"/>
      <c r="S493" s="16"/>
      <c r="T493" s="16"/>
      <c r="U493" s="16"/>
    </row>
    <row r="494" spans="1:21" ht="30" customHeight="1" x14ac:dyDescent="0.25">
      <c r="A494" s="14"/>
      <c r="B494" s="15"/>
      <c r="C494" s="119" t="s">
        <v>582</v>
      </c>
      <c r="D494" s="120" t="s">
        <v>628</v>
      </c>
      <c r="E494" s="145">
        <v>16076.475661939348</v>
      </c>
      <c r="F494" s="129">
        <v>22.439400567235705</v>
      </c>
      <c r="G494" s="129">
        <v>243.84140951151264</v>
      </c>
      <c r="H494" s="129">
        <v>1354.3247337009539</v>
      </c>
      <c r="I494" s="129">
        <v>1122.8242072922724</v>
      </c>
      <c r="J494" s="129">
        <v>2026.8192473428264</v>
      </c>
      <c r="K494" s="129">
        <v>1800.1732650445199</v>
      </c>
      <c r="L494" s="129">
        <v>2390.4939290126081</v>
      </c>
      <c r="M494" s="129">
        <v>7115.5594694674191</v>
      </c>
      <c r="N494" s="130">
        <v>11433.126596375349</v>
      </c>
      <c r="O494" s="80"/>
      <c r="P494" s="9"/>
      <c r="Q494" s="14"/>
      <c r="R494" s="16"/>
      <c r="S494" s="16"/>
      <c r="T494" s="16"/>
      <c r="U494" s="16"/>
    </row>
    <row r="495" spans="1:21" ht="18.75" customHeight="1" x14ac:dyDescent="0.25">
      <c r="A495" s="14"/>
      <c r="B495" s="15"/>
      <c r="C495" s="119" t="s">
        <v>620</v>
      </c>
      <c r="D495" s="120" t="s">
        <v>622</v>
      </c>
      <c r="E495" s="129">
        <v>15188362.436669877</v>
      </c>
      <c r="F495" s="129">
        <v>15188.362436669877</v>
      </c>
      <c r="G495" s="129">
        <v>197448.71167670839</v>
      </c>
      <c r="H495" s="129">
        <v>1230257.3573702602</v>
      </c>
      <c r="I495" s="129">
        <v>1047997.0081302216</v>
      </c>
      <c r="J495" s="129">
        <v>1913733.6670204045</v>
      </c>
      <c r="K495" s="129">
        <v>1701096.5929070262</v>
      </c>
      <c r="L495" s="129">
        <v>2247877.6406271416</v>
      </c>
      <c r="M495" s="129">
        <v>6834763.0965014445</v>
      </c>
      <c r="N495" s="130">
        <v>10783737.330035612</v>
      </c>
      <c r="O495" s="80"/>
      <c r="P495" s="5"/>
      <c r="Q495" s="14"/>
      <c r="R495" s="16"/>
      <c r="S495" s="16"/>
      <c r="T495" s="16"/>
      <c r="U495" s="16"/>
    </row>
    <row r="496" spans="1:21" ht="18.75" customHeight="1" x14ac:dyDescent="0.25">
      <c r="A496" s="14"/>
      <c r="B496" s="15"/>
      <c r="C496" s="122" t="s">
        <v>1343</v>
      </c>
      <c r="D496" s="120" t="s">
        <v>579</v>
      </c>
      <c r="E496" s="125">
        <v>0.28662049273627493</v>
      </c>
      <c r="F496" s="125">
        <v>0</v>
      </c>
      <c r="G496" s="125">
        <v>0</v>
      </c>
      <c r="H496" s="125">
        <v>9.1810221098948708E-2</v>
      </c>
      <c r="I496" s="125">
        <v>0.13475129595392152</v>
      </c>
      <c r="J496" s="125">
        <v>0.18041042479456443</v>
      </c>
      <c r="K496" s="125">
        <v>0.23093199310789525</v>
      </c>
      <c r="L496" s="125">
        <v>0.28278496281742921</v>
      </c>
      <c r="M496" s="125">
        <v>0.39875056479391241</v>
      </c>
      <c r="N496" s="131">
        <v>0.34810466462299211</v>
      </c>
      <c r="O496" s="81"/>
      <c r="P496" s="10"/>
      <c r="Q496" s="14"/>
      <c r="R496" s="16"/>
      <c r="S496" s="16"/>
      <c r="T496" s="16"/>
      <c r="U496" s="16"/>
    </row>
    <row r="497" spans="1:21" ht="18.75" customHeight="1" x14ac:dyDescent="0.25">
      <c r="A497" s="14"/>
      <c r="B497" s="15"/>
      <c r="C497" s="122" t="s">
        <v>888</v>
      </c>
      <c r="D497" s="210" t="s">
        <v>778</v>
      </c>
      <c r="E497" s="125">
        <v>4116.8722363894167</v>
      </c>
      <c r="F497" s="132">
        <v>0</v>
      </c>
      <c r="G497" s="132">
        <v>0</v>
      </c>
      <c r="H497" s="132">
        <v>138.02288558770215</v>
      </c>
      <c r="I497" s="132">
        <v>487.47963895450107</v>
      </c>
      <c r="J497" s="132">
        <v>1011.9360783696575</v>
      </c>
      <c r="K497" s="132">
        <v>1813.7062419365575</v>
      </c>
      <c r="L497" s="132">
        <v>2985.9652964412003</v>
      </c>
      <c r="M497" s="125">
        <v>7332.2097304981844</v>
      </c>
      <c r="N497" s="133">
        <v>5555.7075235132043</v>
      </c>
      <c r="O497" s="82"/>
      <c r="P497" s="5"/>
      <c r="Q497" s="14"/>
      <c r="R497" s="16"/>
      <c r="S497" s="16"/>
      <c r="T497" s="16"/>
      <c r="U497" s="16"/>
    </row>
    <row r="498" spans="1:21" ht="18.75" customHeight="1" x14ac:dyDescent="0.25">
      <c r="A498" s="14"/>
      <c r="B498" s="15"/>
      <c r="C498" s="119" t="s">
        <v>779</v>
      </c>
      <c r="D498" s="120" t="s">
        <v>970</v>
      </c>
      <c r="E498" s="132">
        <v>16.483951997579851</v>
      </c>
      <c r="F498" s="125">
        <v>77.347243798507833</v>
      </c>
      <c r="G498" s="125">
        <v>43.074820707178986</v>
      </c>
      <c r="H498" s="125">
        <v>24.116372685097474</v>
      </c>
      <c r="I498" s="125">
        <v>19.953799647853657</v>
      </c>
      <c r="J498" s="125">
        <v>18.213847562419772</v>
      </c>
      <c r="K498" s="125">
        <v>18.093864578658383</v>
      </c>
      <c r="L498" s="125">
        <v>18.829227792583652</v>
      </c>
      <c r="M498" s="125">
        <v>15.668219561927515</v>
      </c>
      <c r="N498" s="131">
        <v>18.373262239371343</v>
      </c>
      <c r="O498" s="82"/>
      <c r="P498" s="5"/>
      <c r="Q498" s="14"/>
      <c r="R498" s="16"/>
      <c r="S498" s="16"/>
      <c r="T498" s="16"/>
      <c r="U498" s="16"/>
    </row>
    <row r="499" spans="1:21" ht="18.75" customHeight="1" x14ac:dyDescent="0.25">
      <c r="A499" s="14"/>
      <c r="B499" s="15"/>
      <c r="C499" s="119" t="s">
        <v>580</v>
      </c>
      <c r="D499" s="120" t="s">
        <v>581</v>
      </c>
      <c r="E499" s="125">
        <v>955.2429205452753</v>
      </c>
      <c r="F499" s="125">
        <v>676.86132662771581</v>
      </c>
      <c r="G499" s="125">
        <v>809.74233241292893</v>
      </c>
      <c r="H499" s="125">
        <v>908.39170751046129</v>
      </c>
      <c r="I499" s="125">
        <v>933.35804600926895</v>
      </c>
      <c r="J499" s="125">
        <v>944.20539450141996</v>
      </c>
      <c r="K499" s="125">
        <v>944.96270216798075</v>
      </c>
      <c r="L499" s="125">
        <v>940.34024238481379</v>
      </c>
      <c r="M499" s="125">
        <v>960.5376957116498</v>
      </c>
      <c r="N499" s="131">
        <v>943.20107794961245</v>
      </c>
      <c r="O499" s="82"/>
      <c r="P499" s="5"/>
      <c r="Q499" s="14"/>
      <c r="R499" s="16"/>
      <c r="S499" s="16"/>
      <c r="T499" s="16"/>
      <c r="U499" s="16"/>
    </row>
    <row r="500" spans="1:21" ht="18.75" customHeight="1" x14ac:dyDescent="0.25">
      <c r="A500" s="14"/>
      <c r="B500" s="15"/>
      <c r="C500" s="119" t="s">
        <v>541</v>
      </c>
      <c r="D500" s="120" t="s">
        <v>579</v>
      </c>
      <c r="E500" s="125">
        <v>9.8036732197775933</v>
      </c>
      <c r="F500" s="125">
        <v>16.391522819372693</v>
      </c>
      <c r="G500" s="125">
        <v>13.815081060182891</v>
      </c>
      <c r="H500" s="125">
        <v>13.108504588393693</v>
      </c>
      <c r="I500" s="125">
        <v>13.117715758066247</v>
      </c>
      <c r="J500" s="125">
        <v>13.107570614250626</v>
      </c>
      <c r="K500" s="125">
        <v>12.840406573591324</v>
      </c>
      <c r="L500" s="125">
        <v>11.945905315081692</v>
      </c>
      <c r="M500" s="125">
        <v>6.1846688087544086</v>
      </c>
      <c r="N500" s="131">
        <v>8.4355218124138069</v>
      </c>
      <c r="O500" s="83"/>
      <c r="P500" s="5"/>
      <c r="Q500" s="14"/>
      <c r="R500" s="16"/>
      <c r="S500" s="16"/>
      <c r="T500" s="16"/>
      <c r="U500" s="16"/>
    </row>
    <row r="501" spans="1:21" ht="18.75" customHeight="1" x14ac:dyDescent="0.25">
      <c r="A501" s="14"/>
      <c r="B501" s="15"/>
      <c r="C501" s="119" t="s">
        <v>544</v>
      </c>
      <c r="D501" s="120" t="s">
        <v>579</v>
      </c>
      <c r="E501" s="125">
        <v>7.11</v>
      </c>
      <c r="F501" s="128"/>
      <c r="G501" s="128"/>
      <c r="H501" s="128"/>
      <c r="I501" s="128"/>
      <c r="J501" s="128"/>
      <c r="K501" s="128"/>
      <c r="L501" s="128"/>
      <c r="M501" s="125">
        <v>15.784200000000002</v>
      </c>
      <c r="N501" s="131">
        <v>10.014084507042256</v>
      </c>
      <c r="O501" s="84"/>
      <c r="P501" s="5"/>
      <c r="Q501" s="14"/>
      <c r="R501" s="16"/>
      <c r="S501" s="16"/>
      <c r="T501" s="16"/>
      <c r="U501" s="16"/>
    </row>
    <row r="502" spans="1:21" ht="18.75" customHeight="1" x14ac:dyDescent="0.25">
      <c r="A502" s="14"/>
      <c r="B502" s="15"/>
      <c r="C502" s="119" t="s">
        <v>780</v>
      </c>
      <c r="D502" s="120" t="s">
        <v>783</v>
      </c>
      <c r="E502" s="125">
        <v>10.952752506487769</v>
      </c>
      <c r="F502" s="125">
        <v>12.471237537786481</v>
      </c>
      <c r="G502" s="125">
        <v>11.1776863474023</v>
      </c>
      <c r="H502" s="125">
        <v>10.813728076031298</v>
      </c>
      <c r="I502" s="125">
        <v>10.970285685465372</v>
      </c>
      <c r="J502" s="125">
        <v>11.080787457088848</v>
      </c>
      <c r="K502" s="125">
        <v>11.408566838048394</v>
      </c>
      <c r="L502" s="125">
        <v>11.784094091892159</v>
      </c>
      <c r="M502" s="125">
        <v>11.999327203146343</v>
      </c>
      <c r="N502" s="131">
        <v>12.050438962820991</v>
      </c>
      <c r="O502" s="83"/>
      <c r="P502" s="1"/>
      <c r="Q502" s="14"/>
      <c r="R502" s="16"/>
      <c r="S502" s="16"/>
      <c r="T502" s="16"/>
      <c r="U502" s="16"/>
    </row>
    <row r="503" spans="1:21" ht="18.75" customHeight="1" x14ac:dyDescent="0.25">
      <c r="A503" s="14"/>
      <c r="B503" s="15"/>
      <c r="C503" s="122" t="s">
        <v>1893</v>
      </c>
      <c r="D503" s="120" t="s">
        <v>782</v>
      </c>
      <c r="E503" s="125">
        <v>365</v>
      </c>
      <c r="F503" s="134">
        <v>62</v>
      </c>
      <c r="G503" s="134">
        <v>140</v>
      </c>
      <c r="H503" s="134">
        <v>255</v>
      </c>
      <c r="I503" s="134">
        <v>325</v>
      </c>
      <c r="J503" s="134">
        <v>365</v>
      </c>
      <c r="K503" s="134">
        <v>425</v>
      </c>
      <c r="L503" s="134">
        <v>485</v>
      </c>
      <c r="M503" s="134">
        <v>580</v>
      </c>
      <c r="N503" s="135">
        <v>545</v>
      </c>
      <c r="O503" s="83"/>
      <c r="P503" s="14"/>
      <c r="Q503" s="14"/>
      <c r="R503" s="16"/>
      <c r="S503" s="16"/>
      <c r="T503" s="16"/>
      <c r="U503" s="16"/>
    </row>
    <row r="504" spans="1:21" ht="18.75" customHeight="1" x14ac:dyDescent="0.25">
      <c r="A504" s="14"/>
      <c r="B504" s="15"/>
      <c r="C504" s="122"/>
      <c r="D504" s="210"/>
      <c r="E504" s="210"/>
      <c r="F504" s="210"/>
      <c r="G504" s="210"/>
      <c r="H504" s="210"/>
      <c r="I504" s="210"/>
      <c r="J504" s="210"/>
      <c r="K504" s="210"/>
      <c r="L504" s="210"/>
      <c r="M504" s="210"/>
      <c r="N504" s="115"/>
      <c r="O504" s="83"/>
      <c r="P504" s="1"/>
      <c r="Q504" s="14"/>
      <c r="R504" s="16"/>
      <c r="S504" s="16"/>
      <c r="T504" s="16"/>
      <c r="U504" s="16"/>
    </row>
    <row r="505" spans="1:21" ht="18.75" customHeight="1" x14ac:dyDescent="0.25">
      <c r="A505" s="14"/>
      <c r="B505" s="15"/>
      <c r="C505" s="2199" t="s">
        <v>2024</v>
      </c>
      <c r="D505" s="2200"/>
      <c r="E505" s="2200"/>
      <c r="F505" s="2200"/>
      <c r="G505" s="2200"/>
      <c r="H505" s="2200"/>
      <c r="I505" s="2200"/>
      <c r="J505" s="2200"/>
      <c r="K505" s="2200"/>
      <c r="L505" s="2200"/>
      <c r="M505" s="2200"/>
      <c r="N505" s="2201"/>
      <c r="O505" s="83"/>
      <c r="P505" s="1"/>
      <c r="Q505" s="14"/>
      <c r="R505" s="16"/>
      <c r="S505" s="16"/>
      <c r="T505" s="16"/>
      <c r="U505" s="16"/>
    </row>
    <row r="506" spans="1:21" ht="18.75" customHeight="1" x14ac:dyDescent="0.25">
      <c r="A506" s="14"/>
      <c r="B506" s="15"/>
      <c r="C506" s="2202" t="s">
        <v>1088</v>
      </c>
      <c r="D506" s="210">
        <v>102</v>
      </c>
      <c r="E506" s="104" t="s">
        <v>679</v>
      </c>
      <c r="F506" s="210">
        <v>80</v>
      </c>
      <c r="G506" s="210">
        <v>180</v>
      </c>
      <c r="H506" s="210">
        <v>290</v>
      </c>
      <c r="I506" s="210">
        <v>340</v>
      </c>
      <c r="J506" s="210">
        <v>400</v>
      </c>
      <c r="K506" s="210">
        <v>450</v>
      </c>
      <c r="L506" s="210">
        <v>525</v>
      </c>
      <c r="M506" s="210">
        <v>525</v>
      </c>
      <c r="N506" s="115">
        <v>400</v>
      </c>
      <c r="O506" s="83"/>
      <c r="P506" s="3"/>
      <c r="Q506" s="14"/>
      <c r="R506" s="16"/>
      <c r="S506" s="16"/>
      <c r="T506" s="16"/>
      <c r="U506" s="16"/>
    </row>
    <row r="507" spans="1:21" ht="18.75" customHeight="1" x14ac:dyDescent="0.25">
      <c r="A507" s="14"/>
      <c r="B507" s="15"/>
      <c r="C507" s="119" t="s">
        <v>568</v>
      </c>
      <c r="D507" s="120" t="s">
        <v>623</v>
      </c>
      <c r="E507" s="110" t="s">
        <v>608</v>
      </c>
      <c r="F507" s="110" t="s">
        <v>957</v>
      </c>
      <c r="G507" s="110" t="s">
        <v>572</v>
      </c>
      <c r="H507" s="110" t="s">
        <v>530</v>
      </c>
      <c r="I507" s="110" t="s">
        <v>573</v>
      </c>
      <c r="J507" s="110" t="s">
        <v>574</v>
      </c>
      <c r="K507" s="110" t="s">
        <v>575</v>
      </c>
      <c r="L507" s="110" t="s">
        <v>576</v>
      </c>
      <c r="M507" s="110" t="s">
        <v>577</v>
      </c>
      <c r="N507" s="2203" t="s">
        <v>609</v>
      </c>
      <c r="O507" s="80"/>
      <c r="P507" s="4"/>
      <c r="Q507" s="14"/>
      <c r="R507" s="16"/>
      <c r="S507" s="16"/>
      <c r="T507" s="16"/>
      <c r="U507" s="16"/>
    </row>
    <row r="508" spans="1:21" ht="18.75" customHeight="1" x14ac:dyDescent="0.25">
      <c r="A508" s="14"/>
      <c r="B508" s="15"/>
      <c r="C508" s="119" t="s">
        <v>582</v>
      </c>
      <c r="D508" s="120" t="s">
        <v>566</v>
      </c>
      <c r="E508" s="121">
        <v>100204.26884769501</v>
      </c>
      <c r="F508" s="129">
        <v>2520.2480120017271</v>
      </c>
      <c r="G508" s="129">
        <v>11450.75422063957</v>
      </c>
      <c r="H508" s="129">
        <v>17767.494681464661</v>
      </c>
      <c r="I508" s="129">
        <v>8391.4798004264812</v>
      </c>
      <c r="J508" s="129">
        <v>12695.490172491965</v>
      </c>
      <c r="K508" s="129">
        <v>10498.345056017366</v>
      </c>
      <c r="L508" s="129">
        <v>10877.690099427598</v>
      </c>
      <c r="M508" s="129">
        <v>26002.766805225652</v>
      </c>
      <c r="N508" s="130">
        <v>48131.30043115851</v>
      </c>
      <c r="O508" s="17"/>
      <c r="P508" s="4"/>
      <c r="Q508" s="14"/>
      <c r="R508" s="16"/>
      <c r="S508" s="16"/>
      <c r="T508" s="16"/>
      <c r="U508" s="16"/>
    </row>
    <row r="509" spans="1:21" ht="32.25" customHeight="1" x14ac:dyDescent="0.25">
      <c r="A509" s="14"/>
      <c r="B509" s="15"/>
      <c r="C509" s="119" t="s">
        <v>582</v>
      </c>
      <c r="D509" s="120" t="s">
        <v>628</v>
      </c>
      <c r="E509" s="145">
        <v>15932.478746783507</v>
      </c>
      <c r="F509" s="129">
        <v>400.71943390827465</v>
      </c>
      <c r="G509" s="129">
        <v>1820.6699210816917</v>
      </c>
      <c r="H509" s="129">
        <v>2825.0316543528811</v>
      </c>
      <c r="I509" s="129">
        <v>1334.2452882678106</v>
      </c>
      <c r="J509" s="129">
        <v>2018.5829374262225</v>
      </c>
      <c r="K509" s="129">
        <v>1669.2368639067613</v>
      </c>
      <c r="L509" s="129">
        <v>1729.552725808988</v>
      </c>
      <c r="M509" s="129">
        <v>4134.4399220308787</v>
      </c>
      <c r="N509" s="130">
        <v>7652.8767685542034</v>
      </c>
      <c r="O509" s="80"/>
      <c r="P509" s="9"/>
      <c r="Q509" s="14"/>
      <c r="R509" s="16"/>
      <c r="S509" s="16"/>
      <c r="T509" s="16"/>
      <c r="U509" s="16"/>
    </row>
    <row r="510" spans="1:21" ht="18.75" customHeight="1" x14ac:dyDescent="0.25">
      <c r="A510" s="14"/>
      <c r="B510" s="15"/>
      <c r="C510" s="119" t="s">
        <v>620</v>
      </c>
      <c r="D510" s="120" t="s">
        <v>622</v>
      </c>
      <c r="E510" s="129">
        <v>13585794.691481765</v>
      </c>
      <c r="F510" s="129">
        <v>271715.89382963529</v>
      </c>
      <c r="G510" s="129">
        <v>1358579.4691481767</v>
      </c>
      <c r="H510" s="129">
        <v>2309585.0975519004</v>
      </c>
      <c r="I510" s="129">
        <v>1127620.9593929865</v>
      </c>
      <c r="J510" s="129">
        <v>1725395.9258181842</v>
      </c>
      <c r="K510" s="129">
        <v>1440094.2372970672</v>
      </c>
      <c r="L510" s="129">
        <v>1508023.210754476</v>
      </c>
      <c r="M510" s="129">
        <v>3871951.487072303</v>
      </c>
      <c r="N510" s="130">
        <v>6820068.9351238459</v>
      </c>
      <c r="O510" s="80"/>
      <c r="P510" s="5"/>
      <c r="Q510" s="14"/>
      <c r="R510" s="16"/>
      <c r="S510" s="16"/>
      <c r="T510" s="16"/>
      <c r="U510" s="16"/>
    </row>
    <row r="511" spans="1:21" ht="18.75" customHeight="1" x14ac:dyDescent="0.25">
      <c r="A511" s="14"/>
      <c r="B511" s="15"/>
      <c r="C511" s="122" t="s">
        <v>1343</v>
      </c>
      <c r="D511" s="120" t="s">
        <v>579</v>
      </c>
      <c r="E511" s="125">
        <v>8.7656346305252278E-2</v>
      </c>
      <c r="F511" s="125">
        <v>0</v>
      </c>
      <c r="G511" s="125">
        <v>0</v>
      </c>
      <c r="H511" s="125">
        <v>2.8255990294119338E-2</v>
      </c>
      <c r="I511" s="125">
        <v>4.8220851727582309E-2</v>
      </c>
      <c r="J511" s="125">
        <v>6.2206685759097768E-2</v>
      </c>
      <c r="K511" s="125">
        <v>8.1418336444188763E-2</v>
      </c>
      <c r="L511" s="125">
        <v>0.10722515857901886</v>
      </c>
      <c r="M511" s="125">
        <v>0.17690495405298992</v>
      </c>
      <c r="N511" s="131">
        <v>0.14133515571804231</v>
      </c>
      <c r="O511" s="81"/>
      <c r="P511" s="10"/>
      <c r="Q511" s="14"/>
      <c r="R511" s="16"/>
      <c r="S511" s="16"/>
      <c r="T511" s="16"/>
      <c r="U511" s="16"/>
    </row>
    <row r="512" spans="1:21" ht="18.75" customHeight="1" x14ac:dyDescent="0.25">
      <c r="A512" s="14"/>
      <c r="B512" s="15"/>
      <c r="C512" s="122" t="s">
        <v>888</v>
      </c>
      <c r="D512" s="210" t="s">
        <v>778</v>
      </c>
      <c r="E512" s="125">
        <v>860.26500544536316</v>
      </c>
      <c r="F512" s="132">
        <v>0</v>
      </c>
      <c r="G512" s="132">
        <v>0</v>
      </c>
      <c r="H512" s="132">
        <v>0</v>
      </c>
      <c r="I512" s="132">
        <v>0</v>
      </c>
      <c r="J512" s="132">
        <v>0</v>
      </c>
      <c r="K512" s="132">
        <v>171.50276619767465</v>
      </c>
      <c r="L512" s="132">
        <v>653.37308440772085</v>
      </c>
      <c r="M512" s="125">
        <v>2700.2150872250968</v>
      </c>
      <c r="N512" s="133">
        <v>1713.6753096521179</v>
      </c>
      <c r="O512" s="82"/>
      <c r="P512" s="5"/>
      <c r="Q512" s="14"/>
      <c r="R512" s="16"/>
      <c r="S512" s="16"/>
      <c r="T512" s="16"/>
      <c r="U512" s="16"/>
    </row>
    <row r="513" spans="1:21" ht="18.75" customHeight="1" x14ac:dyDescent="0.25">
      <c r="A513" s="14"/>
      <c r="B513" s="15"/>
      <c r="C513" s="119" t="s">
        <v>779</v>
      </c>
      <c r="D513" s="120" t="s">
        <v>970</v>
      </c>
      <c r="E513" s="132">
        <v>33.940001765907482</v>
      </c>
      <c r="F513" s="125">
        <v>76.974917778045324</v>
      </c>
      <c r="G513" s="125">
        <v>57.941279848358292</v>
      </c>
      <c r="H513" s="125">
        <v>41.40907949866267</v>
      </c>
      <c r="I513" s="125">
        <v>35.763425662787256</v>
      </c>
      <c r="J513" s="125">
        <v>33.881253272136377</v>
      </c>
      <c r="K513" s="125">
        <v>32.353417415718809</v>
      </c>
      <c r="L513" s="125">
        <v>30.626582816062722</v>
      </c>
      <c r="M513" s="125">
        <v>19.443781971053085</v>
      </c>
      <c r="N513" s="131">
        <v>27.122359130005748</v>
      </c>
      <c r="O513" s="82"/>
      <c r="P513" s="5"/>
      <c r="Q513" s="14"/>
      <c r="R513" s="16"/>
      <c r="S513" s="16"/>
      <c r="T513" s="16"/>
      <c r="U513" s="16"/>
    </row>
    <row r="514" spans="1:21" ht="18.75" customHeight="1" x14ac:dyDescent="0.25">
      <c r="A514" s="14"/>
      <c r="B514" s="15"/>
      <c r="C514" s="119" t="s">
        <v>580</v>
      </c>
      <c r="D514" s="120" t="s">
        <v>581</v>
      </c>
      <c r="E514" s="125">
        <v>854.45249631960792</v>
      </c>
      <c r="F514" s="125">
        <v>678.07016789665238</v>
      </c>
      <c r="G514" s="125">
        <v>746.19756904701376</v>
      </c>
      <c r="H514" s="125">
        <v>817.54308628479703</v>
      </c>
      <c r="I514" s="125">
        <v>845.13767394069282</v>
      </c>
      <c r="J514" s="125">
        <v>854.75602405424866</v>
      </c>
      <c r="K514" s="125">
        <v>862.72611660792234</v>
      </c>
      <c r="L514" s="125">
        <v>871.91514213543678</v>
      </c>
      <c r="M514" s="125">
        <v>936.51173075224199</v>
      </c>
      <c r="N514" s="131">
        <v>891.17715355715927</v>
      </c>
      <c r="O514" s="82"/>
      <c r="P514" s="5"/>
      <c r="Q514" s="14"/>
      <c r="R514" s="16"/>
      <c r="S514" s="16"/>
      <c r="T514" s="16"/>
      <c r="U514" s="16"/>
    </row>
    <row r="515" spans="1:21" ht="18.75" customHeight="1" x14ac:dyDescent="0.25">
      <c r="A515" s="14"/>
      <c r="B515" s="15"/>
      <c r="C515" s="119" t="s">
        <v>541</v>
      </c>
      <c r="D515" s="120" t="s">
        <v>579</v>
      </c>
      <c r="E515" s="125">
        <v>12.146757990910967</v>
      </c>
      <c r="F515" s="125">
        <v>16.281575563564346</v>
      </c>
      <c r="G515" s="125">
        <v>14.361356075960213</v>
      </c>
      <c r="H515" s="125">
        <v>13.957421243845598</v>
      </c>
      <c r="I515" s="125">
        <v>14.411158845410085</v>
      </c>
      <c r="J515" s="125">
        <v>14.592539843117997</v>
      </c>
      <c r="K515" s="125">
        <v>14.414502219294665</v>
      </c>
      <c r="L515" s="125">
        <v>13.226465353236794</v>
      </c>
      <c r="M515" s="125">
        <v>6.900967111896021</v>
      </c>
      <c r="N515" s="131">
        <v>9.8861564070615238</v>
      </c>
      <c r="O515" s="83"/>
      <c r="P515" s="5"/>
      <c r="Q515" s="14"/>
      <c r="R515" s="16"/>
      <c r="S515" s="16"/>
      <c r="T515" s="16"/>
      <c r="U515" s="16"/>
    </row>
    <row r="516" spans="1:21" ht="18.75" customHeight="1" x14ac:dyDescent="0.25">
      <c r="A516" s="14"/>
      <c r="B516" s="15"/>
      <c r="C516" s="119" t="s">
        <v>544</v>
      </c>
      <c r="D516" s="120" t="s">
        <v>579</v>
      </c>
      <c r="E516" s="125">
        <v>3.52</v>
      </c>
      <c r="F516" s="128"/>
      <c r="G516" s="128"/>
      <c r="H516" s="128"/>
      <c r="I516" s="128"/>
      <c r="J516" s="128"/>
      <c r="K516" s="128"/>
      <c r="L516" s="128"/>
      <c r="M516" s="125">
        <v>12.338526315789473</v>
      </c>
      <c r="N516" s="131">
        <v>7.0119521912350598</v>
      </c>
      <c r="O516" s="84"/>
      <c r="P516" s="5"/>
      <c r="Q516" s="14"/>
      <c r="R516" s="16"/>
      <c r="S516" s="16"/>
      <c r="T516" s="16"/>
      <c r="U516" s="16"/>
    </row>
    <row r="517" spans="1:21" ht="18.75" customHeight="1" x14ac:dyDescent="0.25">
      <c r="A517" s="14"/>
      <c r="B517" s="15"/>
      <c r="C517" s="119" t="s">
        <v>780</v>
      </c>
      <c r="D517" s="120" t="s">
        <v>783</v>
      </c>
      <c r="E517" s="125">
        <v>12.244729036865554</v>
      </c>
      <c r="F517" s="125">
        <v>12.449004224297475</v>
      </c>
      <c r="G517" s="125">
        <v>12.129556821640403</v>
      </c>
      <c r="H517" s="125">
        <v>12.01539230938825</v>
      </c>
      <c r="I517" s="125">
        <v>12.115427731207669</v>
      </c>
      <c r="J517" s="125">
        <v>12.240380878138083</v>
      </c>
      <c r="K517" s="125">
        <v>12.496051689653031</v>
      </c>
      <c r="L517" s="125">
        <v>12.708871952282344</v>
      </c>
      <c r="M517" s="125">
        <v>12.307166822718106</v>
      </c>
      <c r="N517" s="131">
        <v>12.7539030529801</v>
      </c>
      <c r="O517" s="83"/>
      <c r="P517" s="1"/>
      <c r="Q517" s="14"/>
      <c r="R517" s="16"/>
      <c r="S517" s="16"/>
      <c r="T517" s="16"/>
      <c r="U517" s="16"/>
    </row>
    <row r="518" spans="1:21" ht="18.75" customHeight="1" x14ac:dyDescent="0.25">
      <c r="A518" s="14"/>
      <c r="B518" s="15"/>
      <c r="C518" s="122" t="s">
        <v>1893</v>
      </c>
      <c r="D518" s="120" t="s">
        <v>782</v>
      </c>
      <c r="E518" s="125">
        <v>365</v>
      </c>
      <c r="F518" s="134">
        <v>62</v>
      </c>
      <c r="G518" s="134">
        <v>140</v>
      </c>
      <c r="H518" s="134">
        <v>255</v>
      </c>
      <c r="I518" s="134">
        <v>325</v>
      </c>
      <c r="J518" s="134">
        <v>365</v>
      </c>
      <c r="K518" s="134">
        <v>425</v>
      </c>
      <c r="L518" s="134">
        <v>485</v>
      </c>
      <c r="M518" s="134">
        <v>580</v>
      </c>
      <c r="N518" s="135">
        <v>545</v>
      </c>
      <c r="O518" s="83"/>
      <c r="P518" s="14"/>
      <c r="Q518" s="14"/>
      <c r="R518" s="16"/>
      <c r="S518" s="16"/>
      <c r="T518" s="16"/>
      <c r="U518" s="16"/>
    </row>
    <row r="519" spans="1:21" ht="18.75" customHeight="1" x14ac:dyDescent="0.25">
      <c r="A519" s="14"/>
      <c r="B519" s="15"/>
      <c r="C519" s="122"/>
      <c r="D519" s="210"/>
      <c r="E519" s="210"/>
      <c r="F519" s="210"/>
      <c r="G519" s="210"/>
      <c r="H519" s="210"/>
      <c r="I519" s="210"/>
      <c r="J519" s="210"/>
      <c r="K519" s="210"/>
      <c r="L519" s="210"/>
      <c r="M519" s="210"/>
      <c r="N519" s="115"/>
      <c r="O519" s="83"/>
      <c r="P519" s="1"/>
      <c r="Q519" s="14"/>
      <c r="R519" s="16"/>
      <c r="S519" s="16"/>
      <c r="T519" s="16"/>
      <c r="U519" s="16"/>
    </row>
    <row r="520" spans="1:21" ht="18.75" customHeight="1" x14ac:dyDescent="0.25">
      <c r="A520" s="14"/>
      <c r="B520" s="15"/>
      <c r="C520" s="2199" t="s">
        <v>2025</v>
      </c>
      <c r="D520" s="2200"/>
      <c r="E520" s="2200"/>
      <c r="F520" s="2200"/>
      <c r="G520" s="2200"/>
      <c r="H520" s="2200"/>
      <c r="I520" s="2200"/>
      <c r="J520" s="2200"/>
      <c r="K520" s="2200"/>
      <c r="L520" s="2200"/>
      <c r="M520" s="2200"/>
      <c r="N520" s="2201"/>
      <c r="O520" s="83"/>
      <c r="P520" s="1"/>
      <c r="Q520" s="14"/>
      <c r="R520" s="16"/>
      <c r="S520" s="16"/>
      <c r="T520" s="16"/>
      <c r="U520" s="16"/>
    </row>
    <row r="521" spans="1:21" ht="18.75" customHeight="1" x14ac:dyDescent="0.25">
      <c r="A521" s="14"/>
      <c r="B521" s="15"/>
      <c r="C521" s="2202" t="s">
        <v>1088</v>
      </c>
      <c r="D521" s="210">
        <v>43</v>
      </c>
      <c r="E521" s="104" t="s">
        <v>679</v>
      </c>
      <c r="F521" s="210">
        <v>80</v>
      </c>
      <c r="G521" s="210">
        <v>180</v>
      </c>
      <c r="H521" s="210">
        <v>290</v>
      </c>
      <c r="I521" s="210">
        <v>340</v>
      </c>
      <c r="J521" s="210">
        <v>400</v>
      </c>
      <c r="K521" s="210">
        <v>450</v>
      </c>
      <c r="L521" s="210">
        <v>525</v>
      </c>
      <c r="M521" s="210">
        <v>525</v>
      </c>
      <c r="N521" s="115">
        <v>400</v>
      </c>
      <c r="O521" s="80"/>
      <c r="P521" s="3"/>
      <c r="Q521" s="14"/>
      <c r="R521" s="16"/>
      <c r="S521" s="16"/>
      <c r="T521" s="16"/>
      <c r="U521" s="16"/>
    </row>
    <row r="522" spans="1:21" ht="18.75" customHeight="1" x14ac:dyDescent="0.25">
      <c r="A522" s="14"/>
      <c r="B522" s="15"/>
      <c r="C522" s="119" t="s">
        <v>568</v>
      </c>
      <c r="D522" s="120" t="s">
        <v>623</v>
      </c>
      <c r="E522" s="110" t="s">
        <v>608</v>
      </c>
      <c r="F522" s="110" t="s">
        <v>957</v>
      </c>
      <c r="G522" s="110" t="s">
        <v>572</v>
      </c>
      <c r="H522" s="110" t="s">
        <v>530</v>
      </c>
      <c r="I522" s="110" t="s">
        <v>573</v>
      </c>
      <c r="J522" s="110" t="s">
        <v>574</v>
      </c>
      <c r="K522" s="110" t="s">
        <v>575</v>
      </c>
      <c r="L522" s="110" t="s">
        <v>576</v>
      </c>
      <c r="M522" s="110" t="s">
        <v>577</v>
      </c>
      <c r="N522" s="2203" t="s">
        <v>609</v>
      </c>
      <c r="O522" s="17"/>
      <c r="P522" s="4"/>
      <c r="Q522" s="14"/>
      <c r="R522" s="16"/>
      <c r="S522" s="16"/>
      <c r="T522" s="16"/>
      <c r="U522" s="16"/>
    </row>
    <row r="523" spans="1:21" ht="18.75" customHeight="1" x14ac:dyDescent="0.25">
      <c r="A523" s="14"/>
      <c r="B523" s="15"/>
      <c r="C523" s="119" t="s">
        <v>582</v>
      </c>
      <c r="D523" s="120" t="s">
        <v>566</v>
      </c>
      <c r="E523" s="121">
        <v>95119.027493766931</v>
      </c>
      <c r="F523" s="129">
        <v>3590.7922357310681</v>
      </c>
      <c r="G523" s="129">
        <v>24930.532038607176</v>
      </c>
      <c r="H523" s="129">
        <v>26132.321036140616</v>
      </c>
      <c r="I523" s="129">
        <v>8241.6846287550707</v>
      </c>
      <c r="J523" s="129">
        <v>8127.9604946794725</v>
      </c>
      <c r="K523" s="129">
        <v>6262.6765712279785</v>
      </c>
      <c r="L523" s="129">
        <v>7896.6414716560494</v>
      </c>
      <c r="M523" s="129">
        <v>9936.4190169694957</v>
      </c>
      <c r="N523" s="130">
        <v>24403.560684510485</v>
      </c>
      <c r="O523" s="80"/>
      <c r="P523" s="4"/>
      <c r="Q523" s="14"/>
      <c r="R523" s="16"/>
      <c r="S523" s="16"/>
      <c r="T523" s="16"/>
      <c r="U523" s="16"/>
    </row>
    <row r="524" spans="1:21" ht="32.25" customHeight="1" x14ac:dyDescent="0.25">
      <c r="A524" s="14"/>
      <c r="B524" s="15"/>
      <c r="C524" s="119" t="s">
        <v>582</v>
      </c>
      <c r="D524" s="120" t="s">
        <v>628</v>
      </c>
      <c r="E524" s="145">
        <v>15123.925371508942</v>
      </c>
      <c r="F524" s="129">
        <v>570.9359654812398</v>
      </c>
      <c r="G524" s="129">
        <v>3963.9545941385409</v>
      </c>
      <c r="H524" s="129">
        <v>4155.0390447463578</v>
      </c>
      <c r="I524" s="129">
        <v>1310.4278559720562</v>
      </c>
      <c r="J524" s="129">
        <v>1292.3457186540361</v>
      </c>
      <c r="K524" s="129">
        <v>995.76557482524856</v>
      </c>
      <c r="L524" s="129">
        <v>1255.5659939933118</v>
      </c>
      <c r="M524" s="129">
        <v>1579.8906236981497</v>
      </c>
      <c r="N524" s="130">
        <v>3880.1661488371669</v>
      </c>
      <c r="O524" s="80"/>
      <c r="P524" s="9"/>
      <c r="Q524" s="14"/>
      <c r="R524" s="16"/>
      <c r="S524" s="16"/>
      <c r="T524" s="16"/>
      <c r="U524" s="16"/>
    </row>
    <row r="525" spans="1:21" ht="18.75" customHeight="1" x14ac:dyDescent="0.25">
      <c r="A525" s="14"/>
      <c r="B525" s="15"/>
      <c r="C525" s="119" t="s">
        <v>620</v>
      </c>
      <c r="D525" s="120" t="s">
        <v>622</v>
      </c>
      <c r="E525" s="129">
        <v>12632546.049126778</v>
      </c>
      <c r="F525" s="129">
        <v>378976.38147380331</v>
      </c>
      <c r="G525" s="129">
        <v>3031811.0517904265</v>
      </c>
      <c r="H525" s="129">
        <v>3410787.4332642304</v>
      </c>
      <c r="I525" s="129">
        <v>1136929.14442141</v>
      </c>
      <c r="J525" s="129">
        <v>1136929.14442141</v>
      </c>
      <c r="K525" s="129">
        <v>884278.22343887459</v>
      </c>
      <c r="L525" s="129">
        <v>1136929.14442141</v>
      </c>
      <c r="M525" s="129">
        <v>1515905.5258952132</v>
      </c>
      <c r="N525" s="130">
        <v>3537112.8937554983</v>
      </c>
      <c r="O525" s="81"/>
      <c r="P525" s="5"/>
      <c r="Q525" s="14"/>
      <c r="R525" s="16"/>
      <c r="S525" s="16"/>
      <c r="T525" s="16"/>
      <c r="U525" s="16"/>
    </row>
    <row r="526" spans="1:21" ht="18.75" customHeight="1" x14ac:dyDescent="0.25">
      <c r="A526" s="14"/>
      <c r="B526" s="15"/>
      <c r="C526" s="122" t="s">
        <v>776</v>
      </c>
      <c r="D526" s="120" t="s">
        <v>579</v>
      </c>
      <c r="E526" s="125">
        <v>0.70595502129498922</v>
      </c>
      <c r="F526" s="125">
        <v>6.0353890428540308E-2</v>
      </c>
      <c r="G526" s="125">
        <v>0</v>
      </c>
      <c r="H526" s="125">
        <v>0.33604066820776085</v>
      </c>
      <c r="I526" s="125">
        <v>0.7093468958656165</v>
      </c>
      <c r="J526" s="125">
        <v>0.97721064468056129</v>
      </c>
      <c r="K526" s="125">
        <v>1.2384600174250471</v>
      </c>
      <c r="L526" s="125">
        <v>1.5769727805367464</v>
      </c>
      <c r="M526" s="125">
        <v>1.9416957837401756</v>
      </c>
      <c r="N526" s="131">
        <v>1.6486544482745766</v>
      </c>
      <c r="O526" s="82"/>
      <c r="P526" s="10"/>
      <c r="Q526" s="14"/>
      <c r="R526" s="16"/>
      <c r="S526" s="16"/>
      <c r="T526" s="16"/>
      <c r="U526" s="16"/>
    </row>
    <row r="527" spans="1:21" ht="18.75" customHeight="1" x14ac:dyDescent="0.25">
      <c r="A527" s="14"/>
      <c r="B527" s="15"/>
      <c r="C527" s="122" t="s">
        <v>777</v>
      </c>
      <c r="D527" s="210" t="s">
        <v>778</v>
      </c>
      <c r="E527" s="125">
        <v>312.275923596849</v>
      </c>
      <c r="F527" s="132">
        <v>0</v>
      </c>
      <c r="G527" s="132">
        <v>32.678466983314536</v>
      </c>
      <c r="H527" s="132">
        <v>28.865136313537164</v>
      </c>
      <c r="I527" s="132">
        <v>60.580699464128429</v>
      </c>
      <c r="J527" s="132">
        <v>172.85655718053226</v>
      </c>
      <c r="K527" s="132">
        <v>382.15109697919888</v>
      </c>
      <c r="L527" s="132">
        <v>849.1791266795824</v>
      </c>
      <c r="M527" s="125">
        <v>1437.1121119039387</v>
      </c>
      <c r="N527" s="133">
        <v>984.39339863635337</v>
      </c>
      <c r="O527" s="82"/>
      <c r="P527" s="5"/>
      <c r="Q527" s="14"/>
      <c r="R527" s="16"/>
      <c r="S527" s="16"/>
      <c r="T527" s="16"/>
      <c r="U527" s="16"/>
    </row>
    <row r="528" spans="1:21" ht="18.75" customHeight="1" x14ac:dyDescent="0.25">
      <c r="A528" s="14"/>
      <c r="B528" s="15"/>
      <c r="C528" s="119" t="s">
        <v>779</v>
      </c>
      <c r="D528" s="120" t="s">
        <v>970</v>
      </c>
      <c r="E528" s="132">
        <v>46.424061310298356</v>
      </c>
      <c r="F528" s="125">
        <v>81.462779300919266</v>
      </c>
      <c r="G528" s="125">
        <v>53.322562955645864</v>
      </c>
      <c r="H528" s="125">
        <v>40.706247785728991</v>
      </c>
      <c r="I528" s="125">
        <v>31.432666798528928</v>
      </c>
      <c r="J528" s="125">
        <v>29.184415709225888</v>
      </c>
      <c r="K528" s="125">
        <v>27.682978603676546</v>
      </c>
      <c r="L528" s="125">
        <v>24.611391260930574</v>
      </c>
      <c r="M528" s="125">
        <v>15.827335531674592</v>
      </c>
      <c r="N528" s="131">
        <v>23.570736693586767</v>
      </c>
      <c r="O528" s="82"/>
      <c r="P528" s="5"/>
      <c r="Q528" s="14"/>
      <c r="R528" s="16"/>
      <c r="S528" s="16"/>
      <c r="T528" s="16"/>
      <c r="U528" s="16"/>
    </row>
    <row r="529" spans="1:21" ht="18.75" customHeight="1" x14ac:dyDescent="0.25">
      <c r="A529" s="14"/>
      <c r="B529" s="15"/>
      <c r="C529" s="119" t="s">
        <v>580</v>
      </c>
      <c r="D529" s="120" t="s">
        <v>581</v>
      </c>
      <c r="E529" s="125">
        <v>794.49975151740739</v>
      </c>
      <c r="F529" s="125">
        <v>663.78088680114161</v>
      </c>
      <c r="G529" s="125">
        <v>764.84505051433598</v>
      </c>
      <c r="H529" s="125">
        <v>820.87975504751</v>
      </c>
      <c r="I529" s="125">
        <v>867.60147782271667</v>
      </c>
      <c r="J529" s="125">
        <v>879.74071334836731</v>
      </c>
      <c r="K529" s="125">
        <v>888.03855625764186</v>
      </c>
      <c r="L529" s="125">
        <v>905.51125935278105</v>
      </c>
      <c r="M529" s="125">
        <v>959.50029904401708</v>
      </c>
      <c r="N529" s="131">
        <v>911.58799857462884</v>
      </c>
      <c r="O529" s="83"/>
      <c r="P529" s="5"/>
      <c r="Q529" s="14"/>
      <c r="R529" s="16"/>
      <c r="S529" s="16"/>
      <c r="T529" s="16"/>
      <c r="U529" s="16"/>
    </row>
    <row r="530" spans="1:21" ht="18.75" customHeight="1" x14ac:dyDescent="0.25">
      <c r="A530" s="14"/>
      <c r="B530" s="15"/>
      <c r="C530" s="119" t="s">
        <v>541</v>
      </c>
      <c r="D530" s="120" t="s">
        <v>579</v>
      </c>
      <c r="E530" s="125">
        <v>12.864501237806998</v>
      </c>
      <c r="F530" s="125">
        <v>16.811508973857308</v>
      </c>
      <c r="G530" s="125">
        <v>13.746241934597979</v>
      </c>
      <c r="H530" s="125">
        <v>13.331764394782343</v>
      </c>
      <c r="I530" s="125">
        <v>14.059375831431819</v>
      </c>
      <c r="J530" s="125">
        <v>14.295307397899613</v>
      </c>
      <c r="K530" s="125">
        <v>13.752981236266784</v>
      </c>
      <c r="L530" s="125">
        <v>11.267651270578057</v>
      </c>
      <c r="M530" s="125">
        <v>7.7730227180500142</v>
      </c>
      <c r="N530" s="131">
        <v>10.391285810916791</v>
      </c>
      <c r="O530" s="84"/>
      <c r="P530" s="5"/>
      <c r="Q530" s="14"/>
      <c r="R530" s="16"/>
      <c r="S530" s="16"/>
      <c r="T530" s="16"/>
      <c r="U530" s="16"/>
    </row>
    <row r="531" spans="1:21" ht="18.75" customHeight="1" x14ac:dyDescent="0.25">
      <c r="A531" s="14"/>
      <c r="B531" s="15"/>
      <c r="C531" s="119" t="s">
        <v>544</v>
      </c>
      <c r="D531" s="120" t="s">
        <v>579</v>
      </c>
      <c r="E531" s="125">
        <v>0.39</v>
      </c>
      <c r="F531" s="128"/>
      <c r="G531" s="128"/>
      <c r="H531" s="128"/>
      <c r="I531" s="128"/>
      <c r="J531" s="128"/>
      <c r="K531" s="128"/>
      <c r="L531" s="128"/>
      <c r="M531" s="125">
        <v>3.24675</v>
      </c>
      <c r="N531" s="131">
        <v>1.3928571428571426</v>
      </c>
      <c r="O531" s="83"/>
      <c r="P531" s="5"/>
      <c r="Q531" s="14"/>
      <c r="R531" s="16"/>
      <c r="S531" s="16"/>
      <c r="T531" s="16"/>
      <c r="U531" s="16"/>
    </row>
    <row r="532" spans="1:21" ht="18.75" customHeight="1" x14ac:dyDescent="0.25">
      <c r="A532" s="14"/>
      <c r="B532" s="15"/>
      <c r="C532" s="119" t="s">
        <v>780</v>
      </c>
      <c r="D532" s="120" t="s">
        <v>783</v>
      </c>
      <c r="E532" s="125">
        <v>12.479839682702877</v>
      </c>
      <c r="F532" s="125">
        <v>12.817385177506583</v>
      </c>
      <c r="G532" s="125">
        <v>12.021781302370316</v>
      </c>
      <c r="H532" s="125">
        <v>11.73554718718041</v>
      </c>
      <c r="I532" s="125">
        <v>11.801736941764021</v>
      </c>
      <c r="J532" s="125">
        <v>12.015719505611219</v>
      </c>
      <c r="K532" s="125">
        <v>12.226194981511643</v>
      </c>
      <c r="L532" s="125">
        <v>12.344024165760301</v>
      </c>
      <c r="M532" s="125">
        <v>12.059051633171807</v>
      </c>
      <c r="N532" s="131">
        <v>12.340024485950623</v>
      </c>
      <c r="O532" s="83"/>
      <c r="P532" s="1"/>
      <c r="Q532" s="14"/>
      <c r="R532" s="16"/>
      <c r="S532" s="16"/>
      <c r="T532" s="16"/>
      <c r="U532" s="16"/>
    </row>
    <row r="533" spans="1:21" ht="18.75" customHeight="1" x14ac:dyDescent="0.25">
      <c r="A533" s="14"/>
      <c r="B533" s="15"/>
      <c r="C533" s="122" t="s">
        <v>781</v>
      </c>
      <c r="D533" s="120" t="s">
        <v>782</v>
      </c>
      <c r="E533" s="125">
        <v>270</v>
      </c>
      <c r="F533" s="134">
        <v>70</v>
      </c>
      <c r="G533" s="134">
        <v>160</v>
      </c>
      <c r="H533" s="134">
        <v>225</v>
      </c>
      <c r="I533" s="134">
        <v>325</v>
      </c>
      <c r="J533" s="134">
        <v>385</v>
      </c>
      <c r="K533" s="134">
        <v>440</v>
      </c>
      <c r="L533" s="134">
        <v>505</v>
      </c>
      <c r="M533" s="134">
        <v>590</v>
      </c>
      <c r="N533" s="135">
        <v>520</v>
      </c>
      <c r="O533" s="83"/>
      <c r="P533" s="14"/>
      <c r="Q533" s="14"/>
      <c r="R533" s="16"/>
      <c r="S533" s="16"/>
      <c r="T533" s="16"/>
      <c r="U533" s="16"/>
    </row>
    <row r="534" spans="1:21" ht="18.75" customHeight="1" x14ac:dyDescent="0.25">
      <c r="A534" s="14"/>
      <c r="B534" s="15"/>
      <c r="C534" s="122"/>
      <c r="D534" s="210"/>
      <c r="E534" s="210"/>
      <c r="F534" s="210"/>
      <c r="G534" s="210"/>
      <c r="H534" s="210"/>
      <c r="I534" s="210"/>
      <c r="J534" s="210"/>
      <c r="K534" s="210"/>
      <c r="L534" s="210"/>
      <c r="M534" s="210"/>
      <c r="N534" s="115"/>
      <c r="O534" s="83"/>
      <c r="P534" s="1"/>
      <c r="Q534" s="14"/>
      <c r="R534" s="16"/>
      <c r="S534" s="16"/>
      <c r="T534" s="16"/>
      <c r="U534" s="16"/>
    </row>
    <row r="535" spans="1:21" ht="18.75" customHeight="1" x14ac:dyDescent="0.25">
      <c r="A535" s="14"/>
      <c r="B535" s="15"/>
      <c r="C535" s="2199" t="s">
        <v>2026</v>
      </c>
      <c r="D535" s="2200"/>
      <c r="E535" s="2200"/>
      <c r="F535" s="2200"/>
      <c r="G535" s="2200"/>
      <c r="H535" s="2200"/>
      <c r="I535" s="2200"/>
      <c r="J535" s="2200"/>
      <c r="K535" s="2200"/>
      <c r="L535" s="2200"/>
      <c r="M535" s="2200"/>
      <c r="N535" s="2201"/>
      <c r="O535" s="83"/>
      <c r="P535" s="1"/>
      <c r="Q535" s="14"/>
      <c r="R535" s="16"/>
      <c r="S535" s="16"/>
      <c r="T535" s="16"/>
      <c r="U535" s="16"/>
    </row>
    <row r="536" spans="1:21" ht="18.75" customHeight="1" x14ac:dyDescent="0.25">
      <c r="A536" s="14"/>
      <c r="B536" s="15"/>
      <c r="C536" s="2202" t="s">
        <v>407</v>
      </c>
      <c r="D536" s="210">
        <v>99</v>
      </c>
      <c r="E536" s="104" t="s">
        <v>679</v>
      </c>
      <c r="F536" s="210">
        <v>80</v>
      </c>
      <c r="G536" s="210">
        <v>180</v>
      </c>
      <c r="H536" s="210">
        <v>290</v>
      </c>
      <c r="I536" s="210">
        <v>340</v>
      </c>
      <c r="J536" s="210">
        <v>400</v>
      </c>
      <c r="K536" s="210">
        <v>450</v>
      </c>
      <c r="L536" s="210">
        <v>525</v>
      </c>
      <c r="M536" s="210">
        <v>525</v>
      </c>
      <c r="N536" s="115">
        <v>400</v>
      </c>
      <c r="O536" s="80"/>
      <c r="P536" s="3"/>
      <c r="Q536" s="14"/>
      <c r="R536" s="16"/>
      <c r="S536" s="16"/>
      <c r="T536" s="16"/>
      <c r="U536" s="16"/>
    </row>
    <row r="537" spans="1:21" ht="18.75" customHeight="1" x14ac:dyDescent="0.25">
      <c r="A537" s="14"/>
      <c r="B537" s="15"/>
      <c r="C537" s="119" t="s">
        <v>568</v>
      </c>
      <c r="D537" s="120" t="s">
        <v>623</v>
      </c>
      <c r="E537" s="110" t="s">
        <v>608</v>
      </c>
      <c r="F537" s="110" t="s">
        <v>957</v>
      </c>
      <c r="G537" s="110" t="s">
        <v>572</v>
      </c>
      <c r="H537" s="110" t="s">
        <v>530</v>
      </c>
      <c r="I537" s="110" t="s">
        <v>573</v>
      </c>
      <c r="J537" s="110" t="s">
        <v>574</v>
      </c>
      <c r="K537" s="110" t="s">
        <v>575</v>
      </c>
      <c r="L537" s="110" t="s">
        <v>576</v>
      </c>
      <c r="M537" s="110" t="s">
        <v>577</v>
      </c>
      <c r="N537" s="2203" t="s">
        <v>609</v>
      </c>
      <c r="O537" s="17"/>
      <c r="P537" s="4"/>
      <c r="Q537" s="14"/>
      <c r="R537" s="16"/>
      <c r="S537" s="16"/>
      <c r="T537" s="16"/>
      <c r="U537" s="16"/>
    </row>
    <row r="538" spans="1:21" ht="18.75" customHeight="1" x14ac:dyDescent="0.25">
      <c r="A538" s="14"/>
      <c r="B538" s="15"/>
      <c r="C538" s="119" t="s">
        <v>582</v>
      </c>
      <c r="D538" s="120" t="s">
        <v>566</v>
      </c>
      <c r="E538" s="121">
        <v>100558.38583794692</v>
      </c>
      <c r="F538" s="129">
        <v>9236.7456454234598</v>
      </c>
      <c r="G538" s="129">
        <v>15351.794678000155</v>
      </c>
      <c r="H538" s="129">
        <v>19922.680278410477</v>
      </c>
      <c r="I538" s="129">
        <v>7485.3767007820215</v>
      </c>
      <c r="J538" s="129">
        <v>7825.4885256548559</v>
      </c>
      <c r="K538" s="129">
        <v>6248.8201568379491</v>
      </c>
      <c r="L538" s="129">
        <v>10357.320068029991</v>
      </c>
      <c r="M538" s="129">
        <v>24130.159784807995</v>
      </c>
      <c r="N538" s="130">
        <v>41209.603218308373</v>
      </c>
      <c r="O538" s="80"/>
      <c r="P538" s="4"/>
      <c r="Q538" s="14"/>
      <c r="R538" s="16"/>
      <c r="S538" s="16"/>
      <c r="T538" s="16"/>
      <c r="U538" s="16"/>
    </row>
    <row r="539" spans="1:21" ht="30" customHeight="1" x14ac:dyDescent="0.25">
      <c r="A539" s="14"/>
      <c r="B539" s="15"/>
      <c r="C539" s="119" t="s">
        <v>582</v>
      </c>
      <c r="D539" s="120" t="s">
        <v>628</v>
      </c>
      <c r="E539" s="145">
        <v>15988.783348233559</v>
      </c>
      <c r="F539" s="129">
        <v>1468.6425576223301</v>
      </c>
      <c r="G539" s="129">
        <v>2440.9353538020246</v>
      </c>
      <c r="H539" s="129">
        <v>3167.7061642672656</v>
      </c>
      <c r="I539" s="129">
        <v>1190.1748954243415</v>
      </c>
      <c r="J539" s="129">
        <v>1244.2526755791221</v>
      </c>
      <c r="K539" s="129">
        <v>993.56240493723385</v>
      </c>
      <c r="L539" s="129">
        <v>1646.8138908167687</v>
      </c>
      <c r="M539" s="129">
        <v>3836.6954057844709</v>
      </c>
      <c r="N539" s="130">
        <v>6552.3269117110312</v>
      </c>
      <c r="O539" s="80"/>
      <c r="P539" s="9"/>
      <c r="Q539" s="14"/>
      <c r="R539" s="16"/>
      <c r="S539" s="16"/>
      <c r="T539" s="16"/>
      <c r="U539" s="16"/>
    </row>
    <row r="540" spans="1:21" ht="18.75" customHeight="1" x14ac:dyDescent="0.25">
      <c r="A540" s="14"/>
      <c r="B540" s="15"/>
      <c r="C540" s="119" t="s">
        <v>620</v>
      </c>
      <c r="D540" s="120" t="s">
        <v>622</v>
      </c>
      <c r="E540" s="129">
        <v>13964970</v>
      </c>
      <c r="F540" s="129">
        <v>977547.90000000014</v>
      </c>
      <c r="G540" s="129">
        <v>1815446.1</v>
      </c>
      <c r="H540" s="129">
        <v>2653344.2999999998</v>
      </c>
      <c r="I540" s="129">
        <v>1047372.75</v>
      </c>
      <c r="J540" s="129">
        <v>1117197.6000000001</v>
      </c>
      <c r="K540" s="129">
        <v>907723.05</v>
      </c>
      <c r="L540" s="129">
        <v>1536146.7</v>
      </c>
      <c r="M540" s="129">
        <v>3910191.6000000006</v>
      </c>
      <c r="N540" s="130">
        <v>6354061.3500000006</v>
      </c>
      <c r="O540" s="81"/>
      <c r="P540" s="5"/>
      <c r="Q540" s="14"/>
      <c r="R540" s="16"/>
      <c r="S540" s="16"/>
      <c r="T540" s="16"/>
      <c r="U540" s="16"/>
    </row>
    <row r="541" spans="1:21" ht="18.75" customHeight="1" x14ac:dyDescent="0.25">
      <c r="A541" s="14"/>
      <c r="B541" s="15"/>
      <c r="C541" s="122" t="s">
        <v>776</v>
      </c>
      <c r="D541" s="120" t="s">
        <v>579</v>
      </c>
      <c r="E541" s="125">
        <v>2.6750922925098455</v>
      </c>
      <c r="F541" s="125">
        <v>0</v>
      </c>
      <c r="G541" s="125">
        <v>0</v>
      </c>
      <c r="H541" s="125">
        <v>0.87278950541069822</v>
      </c>
      <c r="I541" s="125">
        <v>1.6994173559315799</v>
      </c>
      <c r="J541" s="125">
        <v>2.294868270745547</v>
      </c>
      <c r="K541" s="125">
        <v>2.9906385193498934</v>
      </c>
      <c r="L541" s="125">
        <v>3.8316882289948762</v>
      </c>
      <c r="M541" s="125">
        <v>5.6512118363575734</v>
      </c>
      <c r="N541" s="131">
        <v>4.8312451057742862</v>
      </c>
      <c r="O541" s="82"/>
      <c r="P541" s="10"/>
      <c r="Q541" s="14"/>
      <c r="R541" s="16"/>
      <c r="S541" s="16"/>
      <c r="T541" s="16"/>
      <c r="U541" s="16"/>
    </row>
    <row r="542" spans="1:21" ht="18.75" customHeight="1" x14ac:dyDescent="0.25">
      <c r="A542" s="14"/>
      <c r="B542" s="15"/>
      <c r="C542" s="122" t="s">
        <v>777</v>
      </c>
      <c r="D542" s="210" t="s">
        <v>778</v>
      </c>
      <c r="E542" s="125">
        <v>1981.9728424112545</v>
      </c>
      <c r="F542" s="132">
        <v>305.89522551206255</v>
      </c>
      <c r="G542" s="132">
        <v>1793.6639364822049</v>
      </c>
      <c r="H542" s="132">
        <v>2181.8387750776801</v>
      </c>
      <c r="I542" s="132">
        <v>1678.7768552070902</v>
      </c>
      <c r="J542" s="132">
        <v>1309.3314857162186</v>
      </c>
      <c r="K542" s="132">
        <v>1046.3676969643147</v>
      </c>
      <c r="L542" s="132">
        <v>1168.0057697644497</v>
      </c>
      <c r="M542" s="125">
        <v>3163.1613558691611</v>
      </c>
      <c r="N542" s="133">
        <v>2378.416955209088</v>
      </c>
      <c r="O542" s="82"/>
      <c r="P542" s="5"/>
      <c r="Q542" s="14"/>
      <c r="R542" s="16"/>
      <c r="S542" s="16"/>
      <c r="T542" s="16"/>
      <c r="U542" s="16"/>
    </row>
    <row r="543" spans="1:21" ht="18.75" customHeight="1" x14ac:dyDescent="0.25">
      <c r="A543" s="14"/>
      <c r="B543" s="15"/>
      <c r="C543" s="119" t="s">
        <v>779</v>
      </c>
      <c r="D543" s="120" t="s">
        <v>970</v>
      </c>
      <c r="E543" s="132">
        <v>29.6</v>
      </c>
      <c r="F543" s="125">
        <v>80.87652515593831</v>
      </c>
      <c r="G543" s="125">
        <v>58.564657439134059</v>
      </c>
      <c r="H543" s="125">
        <v>37.263969032555607</v>
      </c>
      <c r="I543" s="125">
        <v>29.1341811939038</v>
      </c>
      <c r="J543" s="125">
        <v>25.937084332400318</v>
      </c>
      <c r="K543" s="125">
        <v>23.228471480948343</v>
      </c>
      <c r="L543" s="125">
        <v>20.044534612160092</v>
      </c>
      <c r="M543" s="125">
        <v>7.2035998196566453</v>
      </c>
      <c r="N543" s="131">
        <v>14.271493229755166</v>
      </c>
      <c r="O543" s="82"/>
      <c r="P543" s="5"/>
      <c r="Q543" s="14"/>
      <c r="R543" s="16"/>
      <c r="S543" s="16"/>
      <c r="T543" s="16"/>
      <c r="U543" s="16"/>
    </row>
    <row r="544" spans="1:21" ht="18.75" customHeight="1" x14ac:dyDescent="0.25">
      <c r="A544" s="14"/>
      <c r="B544" s="15"/>
      <c r="C544" s="119" t="s">
        <v>580</v>
      </c>
      <c r="D544" s="120" t="s">
        <v>581</v>
      </c>
      <c r="E544" s="125">
        <v>878.3</v>
      </c>
      <c r="F544" s="125">
        <v>665.6132187689077</v>
      </c>
      <c r="G544" s="125">
        <v>743.75017641177737</v>
      </c>
      <c r="H544" s="125">
        <v>837.62323978485392</v>
      </c>
      <c r="I544" s="125">
        <v>880.01583130903873</v>
      </c>
      <c r="J544" s="125">
        <v>897.88643571131092</v>
      </c>
      <c r="K544" s="125">
        <v>913.60446559704872</v>
      </c>
      <c r="L544" s="125">
        <v>932.79921220370488</v>
      </c>
      <c r="M544" s="125">
        <v>1019.15611911874</v>
      </c>
      <c r="N544" s="131">
        <v>969.74119814494168</v>
      </c>
      <c r="O544" s="83"/>
      <c r="P544" s="5"/>
      <c r="Q544" s="14"/>
      <c r="R544" s="16"/>
      <c r="S544" s="16"/>
      <c r="T544" s="16"/>
      <c r="U544" s="16"/>
    </row>
    <row r="545" spans="1:21" ht="18.75" customHeight="1" x14ac:dyDescent="0.25">
      <c r="A545" s="14"/>
      <c r="B545" s="15"/>
      <c r="C545" s="119" t="s">
        <v>541</v>
      </c>
      <c r="D545" s="120" t="s">
        <v>579</v>
      </c>
      <c r="E545" s="125">
        <v>12.444590373524031</v>
      </c>
      <c r="F545" s="125">
        <v>16.0252476752283</v>
      </c>
      <c r="G545" s="125">
        <v>14.361769265421218</v>
      </c>
      <c r="H545" s="125">
        <v>12.85021234157268</v>
      </c>
      <c r="I545" s="125">
        <v>12.867208084100575</v>
      </c>
      <c r="J545" s="125">
        <v>12.514642196141288</v>
      </c>
      <c r="K545" s="125">
        <v>12.230337101622574</v>
      </c>
      <c r="L545" s="125">
        <v>11.878078209689292</v>
      </c>
      <c r="M545" s="125">
        <v>10.52314353637267</v>
      </c>
      <c r="N545" s="131">
        <v>11.094594955726674</v>
      </c>
      <c r="O545" s="84"/>
      <c r="P545" s="5"/>
      <c r="Q545" s="14"/>
      <c r="R545" s="16"/>
      <c r="S545" s="16"/>
      <c r="T545" s="16"/>
      <c r="U545" s="16"/>
    </row>
    <row r="546" spans="1:21" ht="18.75" customHeight="1" x14ac:dyDescent="0.25">
      <c r="A546" s="14"/>
      <c r="B546" s="15"/>
      <c r="C546" s="119" t="s">
        <v>544</v>
      </c>
      <c r="D546" s="120" t="s">
        <v>579</v>
      </c>
      <c r="E546" s="125">
        <v>6.4</v>
      </c>
      <c r="F546" s="128"/>
      <c r="G546" s="128"/>
      <c r="H546" s="128"/>
      <c r="I546" s="128"/>
      <c r="J546" s="128"/>
      <c r="K546" s="128"/>
      <c r="L546" s="128"/>
      <c r="M546" s="125">
        <v>22.834285714285709</v>
      </c>
      <c r="N546" s="131">
        <v>14.065934065934064</v>
      </c>
      <c r="O546" s="83"/>
      <c r="P546" s="5"/>
      <c r="Q546" s="14"/>
      <c r="R546" s="16"/>
      <c r="S546" s="16"/>
      <c r="T546" s="16"/>
      <c r="U546" s="16"/>
    </row>
    <row r="547" spans="1:21" ht="18.75" customHeight="1" x14ac:dyDescent="0.25">
      <c r="A547" s="14"/>
      <c r="B547" s="15"/>
      <c r="C547" s="119" t="s">
        <v>780</v>
      </c>
      <c r="D547" s="120" t="s">
        <v>783</v>
      </c>
      <c r="E547" s="125">
        <v>11.923512009086203</v>
      </c>
      <c r="F547" s="125">
        <v>12.656710459312276</v>
      </c>
      <c r="G547" s="125">
        <v>12.070483047851059</v>
      </c>
      <c r="H547" s="125">
        <v>11.615259142884014</v>
      </c>
      <c r="I547" s="125">
        <v>11.602739381223971</v>
      </c>
      <c r="J547" s="125">
        <v>11.682761874375489</v>
      </c>
      <c r="K547" s="125">
        <v>11.800150451433007</v>
      </c>
      <c r="L547" s="125">
        <v>11.905417860776877</v>
      </c>
      <c r="M547" s="125">
        <v>11.525915284734774</v>
      </c>
      <c r="N547" s="131">
        <v>11.838825316037415</v>
      </c>
      <c r="O547" s="83"/>
      <c r="P547" s="1"/>
      <c r="Q547" s="14"/>
      <c r="R547" s="16"/>
      <c r="S547" s="16"/>
      <c r="T547" s="16"/>
      <c r="U547" s="16"/>
    </row>
    <row r="548" spans="1:21" ht="18.75" customHeight="1" x14ac:dyDescent="0.25">
      <c r="A548" s="14"/>
      <c r="B548" s="15"/>
      <c r="C548" s="122" t="s">
        <v>781</v>
      </c>
      <c r="D548" s="120" t="s">
        <v>782</v>
      </c>
      <c r="E548" s="125">
        <v>365</v>
      </c>
      <c r="F548" s="134">
        <v>60</v>
      </c>
      <c r="G548" s="134">
        <v>130</v>
      </c>
      <c r="H548" s="134">
        <v>240</v>
      </c>
      <c r="I548" s="134">
        <v>320</v>
      </c>
      <c r="J548" s="134">
        <v>370</v>
      </c>
      <c r="K548" s="134">
        <v>425</v>
      </c>
      <c r="L548" s="134">
        <v>490</v>
      </c>
      <c r="M548" s="134">
        <v>630</v>
      </c>
      <c r="N548" s="135">
        <v>570</v>
      </c>
      <c r="O548" s="83"/>
      <c r="P548" s="14"/>
      <c r="Q548" s="14"/>
      <c r="R548" s="16"/>
      <c r="S548" s="16"/>
      <c r="T548" s="16"/>
      <c r="U548" s="16"/>
    </row>
    <row r="549" spans="1:21" ht="18.75" customHeight="1" x14ac:dyDescent="0.25">
      <c r="A549" s="14"/>
      <c r="B549" s="15"/>
      <c r="C549" s="122"/>
      <c r="D549" s="210"/>
      <c r="E549" s="210"/>
      <c r="F549" s="210"/>
      <c r="G549" s="210"/>
      <c r="H549" s="210"/>
      <c r="I549" s="210"/>
      <c r="J549" s="210"/>
      <c r="K549" s="210"/>
      <c r="L549" s="210"/>
      <c r="M549" s="210"/>
      <c r="N549" s="115"/>
      <c r="O549" s="83"/>
      <c r="P549" s="1"/>
      <c r="Q549" s="14"/>
      <c r="R549" s="16"/>
      <c r="S549" s="16"/>
      <c r="T549" s="16"/>
      <c r="U549" s="16"/>
    </row>
    <row r="550" spans="1:21" ht="18.75" customHeight="1" x14ac:dyDescent="0.25">
      <c r="A550" s="14"/>
      <c r="B550" s="15"/>
      <c r="C550" s="2199" t="s">
        <v>2027</v>
      </c>
      <c r="D550" s="2200"/>
      <c r="E550" s="2200"/>
      <c r="F550" s="2200"/>
      <c r="G550" s="2200"/>
      <c r="H550" s="2200"/>
      <c r="I550" s="2200"/>
      <c r="J550" s="2200"/>
      <c r="K550" s="2200"/>
      <c r="L550" s="2200"/>
      <c r="M550" s="2200"/>
      <c r="N550" s="2201"/>
      <c r="O550" s="83"/>
      <c r="P550" s="1"/>
      <c r="Q550" s="14"/>
      <c r="R550" s="16"/>
      <c r="S550" s="16"/>
      <c r="T550" s="16"/>
      <c r="U550" s="16"/>
    </row>
    <row r="551" spans="1:21" ht="18.75" customHeight="1" x14ac:dyDescent="0.25">
      <c r="A551" s="14"/>
      <c r="B551" s="15"/>
      <c r="C551" s="2202" t="s">
        <v>407</v>
      </c>
      <c r="D551" s="210">
        <v>100</v>
      </c>
      <c r="E551" s="104" t="s">
        <v>679</v>
      </c>
      <c r="F551" s="210">
        <v>80</v>
      </c>
      <c r="G551" s="210">
        <v>180</v>
      </c>
      <c r="H551" s="210">
        <v>290</v>
      </c>
      <c r="I551" s="210">
        <v>340</v>
      </c>
      <c r="J551" s="210">
        <v>400</v>
      </c>
      <c r="K551" s="210">
        <v>450</v>
      </c>
      <c r="L551" s="210">
        <v>525</v>
      </c>
      <c r="M551" s="210">
        <v>525</v>
      </c>
      <c r="N551" s="115">
        <v>400</v>
      </c>
      <c r="O551" s="80"/>
      <c r="P551" s="3"/>
      <c r="Q551" s="14"/>
      <c r="R551" s="16"/>
      <c r="S551" s="16"/>
      <c r="T551" s="16"/>
      <c r="U551" s="16"/>
    </row>
    <row r="552" spans="1:21" ht="18.75" customHeight="1" x14ac:dyDescent="0.25">
      <c r="A552" s="14"/>
      <c r="B552" s="15"/>
      <c r="C552" s="119" t="s">
        <v>568</v>
      </c>
      <c r="D552" s="120" t="s">
        <v>623</v>
      </c>
      <c r="E552" s="110" t="s">
        <v>608</v>
      </c>
      <c r="F552" s="110" t="s">
        <v>957</v>
      </c>
      <c r="G552" s="110" t="s">
        <v>572</v>
      </c>
      <c r="H552" s="110" t="s">
        <v>530</v>
      </c>
      <c r="I552" s="110" t="s">
        <v>573</v>
      </c>
      <c r="J552" s="110" t="s">
        <v>574</v>
      </c>
      <c r="K552" s="110" t="s">
        <v>575</v>
      </c>
      <c r="L552" s="110" t="s">
        <v>576</v>
      </c>
      <c r="M552" s="110" t="s">
        <v>577</v>
      </c>
      <c r="N552" s="2203" t="s">
        <v>609</v>
      </c>
      <c r="O552" s="17"/>
      <c r="P552" s="4"/>
      <c r="Q552" s="14"/>
      <c r="R552" s="16"/>
      <c r="S552" s="16"/>
      <c r="T552" s="16"/>
      <c r="U552" s="16"/>
    </row>
    <row r="553" spans="1:21" ht="18.75" customHeight="1" x14ac:dyDescent="0.25">
      <c r="A553" s="14"/>
      <c r="B553" s="15"/>
      <c r="C553" s="119" t="s">
        <v>582</v>
      </c>
      <c r="D553" s="120" t="s">
        <v>566</v>
      </c>
      <c r="E553" s="121">
        <v>101446.00721669404</v>
      </c>
      <c r="F553" s="129">
        <v>10231.297255257719</v>
      </c>
      <c r="G553" s="129">
        <v>19226.689195240295</v>
      </c>
      <c r="H553" s="129">
        <v>24059.343844328905</v>
      </c>
      <c r="I553" s="129">
        <v>9635.4154263838427</v>
      </c>
      <c r="J553" s="129">
        <v>12318.656412410528</v>
      </c>
      <c r="K553" s="129">
        <v>9387.05625608843</v>
      </c>
      <c r="L553" s="129">
        <v>6522.9678689183265</v>
      </c>
      <c r="M553" s="129">
        <v>10064.580958065997</v>
      </c>
      <c r="N553" s="130">
        <v>25958.579572779028</v>
      </c>
      <c r="O553" s="80"/>
      <c r="P553" s="4"/>
      <c r="Q553" s="14"/>
      <c r="R553" s="16"/>
      <c r="S553" s="16"/>
      <c r="T553" s="16"/>
      <c r="U553" s="16"/>
    </row>
    <row r="554" spans="1:21" ht="30" customHeight="1" x14ac:dyDescent="0.25">
      <c r="A554" s="14"/>
      <c r="B554" s="15"/>
      <c r="C554" s="119" t="s">
        <v>582</v>
      </c>
      <c r="D554" s="120" t="s">
        <v>628</v>
      </c>
      <c r="E554" s="145">
        <v>16129.915147454352</v>
      </c>
      <c r="F554" s="129">
        <v>1626.7762635859774</v>
      </c>
      <c r="G554" s="129">
        <v>3057.0435820432067</v>
      </c>
      <c r="H554" s="129">
        <v>3825.4356712482959</v>
      </c>
      <c r="I554" s="129">
        <v>1532.031052795031</v>
      </c>
      <c r="J554" s="129">
        <v>1958.6663695732739</v>
      </c>
      <c r="K554" s="129">
        <v>1492.5419447180604</v>
      </c>
      <c r="L554" s="129">
        <v>1037.151891158014</v>
      </c>
      <c r="M554" s="129">
        <v>1600.2683723324935</v>
      </c>
      <c r="N554" s="130">
        <v>4127.4141520718658</v>
      </c>
      <c r="O554" s="80"/>
      <c r="P554" s="9"/>
      <c r="Q554" s="14"/>
      <c r="R554" s="16"/>
      <c r="S554" s="16"/>
      <c r="T554" s="16"/>
      <c r="U554" s="16"/>
    </row>
    <row r="555" spans="1:21" ht="18.75" customHeight="1" x14ac:dyDescent="0.25">
      <c r="A555" s="14"/>
      <c r="B555" s="15"/>
      <c r="C555" s="119" t="s">
        <v>620</v>
      </c>
      <c r="D555" s="120" t="s">
        <v>622</v>
      </c>
      <c r="E555" s="129">
        <v>13405290</v>
      </c>
      <c r="F555" s="129">
        <v>1072423.2</v>
      </c>
      <c r="G555" s="129">
        <v>2278899.3000000003</v>
      </c>
      <c r="H555" s="129">
        <v>3217269.6</v>
      </c>
      <c r="I555" s="129">
        <v>1340529</v>
      </c>
      <c r="J555" s="129">
        <v>1742687.7</v>
      </c>
      <c r="K555" s="129">
        <v>1340529</v>
      </c>
      <c r="L555" s="129">
        <v>938370.3</v>
      </c>
      <c r="M555" s="129">
        <v>1474581.9</v>
      </c>
      <c r="N555" s="130">
        <v>3753481.2</v>
      </c>
      <c r="O555" s="81"/>
      <c r="P555" s="5"/>
      <c r="Q555" s="14"/>
      <c r="R555" s="16"/>
      <c r="S555" s="16"/>
      <c r="T555" s="16"/>
      <c r="U555" s="16"/>
    </row>
    <row r="556" spans="1:21" ht="18.75" customHeight="1" x14ac:dyDescent="0.25">
      <c r="A556" s="14"/>
      <c r="B556" s="15"/>
      <c r="C556" s="122" t="s">
        <v>776</v>
      </c>
      <c r="D556" s="120" t="s">
        <v>579</v>
      </c>
      <c r="E556" s="125">
        <v>0.97402134098989424</v>
      </c>
      <c r="F556" s="125">
        <v>7.9473099633989019E-3</v>
      </c>
      <c r="G556" s="125">
        <v>0</v>
      </c>
      <c r="H556" s="125">
        <v>0.47196851989031796</v>
      </c>
      <c r="I556" s="125">
        <v>0.88123888044476273</v>
      </c>
      <c r="J556" s="125">
        <v>1.2680153030169361</v>
      </c>
      <c r="K556" s="125">
        <v>1.6539446904528701</v>
      </c>
      <c r="L556" s="125">
        <v>1.9830662288745069</v>
      </c>
      <c r="M556" s="125">
        <v>2.7539829901451407</v>
      </c>
      <c r="N556" s="131">
        <v>2.1683829785088138</v>
      </c>
      <c r="O556" s="82"/>
      <c r="P556" s="10"/>
      <c r="Q556" s="14"/>
      <c r="R556" s="16"/>
      <c r="S556" s="16"/>
      <c r="T556" s="16"/>
      <c r="U556" s="16"/>
    </row>
    <row r="557" spans="1:21" ht="18.75" customHeight="1" x14ac:dyDescent="0.25">
      <c r="A557" s="14"/>
      <c r="B557" s="15"/>
      <c r="C557" s="122" t="s">
        <v>777</v>
      </c>
      <c r="D557" s="210" t="s">
        <v>778</v>
      </c>
      <c r="E557" s="125">
        <v>1497.8644614312122</v>
      </c>
      <c r="F557" s="132">
        <v>2.9390752123076709</v>
      </c>
      <c r="G557" s="132">
        <v>1711.2162825099122</v>
      </c>
      <c r="H557" s="132">
        <v>2191.0582312954757</v>
      </c>
      <c r="I557" s="132">
        <v>1751.2709550351792</v>
      </c>
      <c r="J557" s="132">
        <v>1316.1716271603273</v>
      </c>
      <c r="K557" s="132">
        <v>1056.8116822812553</v>
      </c>
      <c r="L557" s="132">
        <v>1066.3669498713025</v>
      </c>
      <c r="M557" s="125">
        <v>1402.8393647559171</v>
      </c>
      <c r="N557" s="133">
        <v>1195.1399458652413</v>
      </c>
      <c r="O557" s="82"/>
      <c r="P557" s="5"/>
      <c r="Q557" s="14"/>
      <c r="R557" s="16"/>
      <c r="S557" s="16"/>
      <c r="T557" s="16"/>
      <c r="U557" s="16"/>
    </row>
    <row r="558" spans="1:21" ht="18.75" customHeight="1" x14ac:dyDescent="0.25">
      <c r="A558" s="14"/>
      <c r="B558" s="15"/>
      <c r="C558" s="119" t="s">
        <v>779</v>
      </c>
      <c r="D558" s="120" t="s">
        <v>970</v>
      </c>
      <c r="E558" s="132">
        <v>36.35</v>
      </c>
      <c r="F558" s="125">
        <v>82.932236535667883</v>
      </c>
      <c r="G558" s="125">
        <v>58.129082674805964</v>
      </c>
      <c r="H558" s="125">
        <v>36.582266969906513</v>
      </c>
      <c r="I558" s="125">
        <v>30.054776742939495</v>
      </c>
      <c r="J558" s="125">
        <v>27.380043321986534</v>
      </c>
      <c r="K558" s="125">
        <v>25.890596109972719</v>
      </c>
      <c r="L558" s="125">
        <v>24.741557262787509</v>
      </c>
      <c r="M558" s="125">
        <v>21.909541565635024</v>
      </c>
      <c r="N558" s="131">
        <v>23.94338782146788</v>
      </c>
      <c r="O558" s="82"/>
      <c r="P558" s="5"/>
      <c r="Q558" s="14"/>
      <c r="R558" s="16"/>
      <c r="S558" s="16"/>
      <c r="T558" s="16"/>
      <c r="U558" s="16"/>
    </row>
    <row r="559" spans="1:21" ht="18.75" customHeight="1" x14ac:dyDescent="0.25">
      <c r="A559" s="14"/>
      <c r="B559" s="15"/>
      <c r="C559" s="119" t="s">
        <v>580</v>
      </c>
      <c r="D559" s="120" t="s">
        <v>581</v>
      </c>
      <c r="E559" s="125">
        <v>843.1</v>
      </c>
      <c r="F559" s="125">
        <v>659.23214150912702</v>
      </c>
      <c r="G559" s="125">
        <v>745.45855786487493</v>
      </c>
      <c r="H559" s="125">
        <v>841.02044224159124</v>
      </c>
      <c r="I559" s="125">
        <v>875.00119371232358</v>
      </c>
      <c r="J559" s="125">
        <v>889.73177212394353</v>
      </c>
      <c r="K559" s="125">
        <v>898.15164307038924</v>
      </c>
      <c r="L559" s="125">
        <v>904.75687119683005</v>
      </c>
      <c r="M559" s="125">
        <v>921.45912866521405</v>
      </c>
      <c r="N559" s="131">
        <v>909.40260940759731</v>
      </c>
      <c r="O559" s="83"/>
      <c r="P559" s="5"/>
      <c r="Q559" s="14"/>
      <c r="R559" s="16"/>
      <c r="S559" s="16"/>
      <c r="T559" s="16"/>
      <c r="U559" s="16"/>
    </row>
    <row r="560" spans="1:21" ht="18.75" customHeight="1" x14ac:dyDescent="0.25">
      <c r="A560" s="14"/>
      <c r="B560" s="15"/>
      <c r="C560" s="119" t="s">
        <v>541</v>
      </c>
      <c r="D560" s="120" t="s">
        <v>579</v>
      </c>
      <c r="E560" s="125">
        <v>13.229496491576905</v>
      </c>
      <c r="F560" s="125">
        <v>16.073557778766698</v>
      </c>
      <c r="G560" s="125">
        <v>14.236074472605038</v>
      </c>
      <c r="H560" s="125">
        <v>12.766349182738992</v>
      </c>
      <c r="I560" s="125">
        <v>12.987272108578459</v>
      </c>
      <c r="J560" s="125">
        <v>12.740613172221124</v>
      </c>
      <c r="K560" s="125">
        <v>12.648073638936637</v>
      </c>
      <c r="L560" s="125">
        <v>12.579815445797323</v>
      </c>
      <c r="M560" s="125">
        <v>12.35594578844805</v>
      </c>
      <c r="N560" s="131">
        <v>12.516244577959863</v>
      </c>
      <c r="O560" s="84"/>
      <c r="P560" s="5"/>
      <c r="Q560" s="14"/>
      <c r="R560" s="16"/>
      <c r="S560" s="16"/>
      <c r="T560" s="16"/>
      <c r="U560" s="16"/>
    </row>
    <row r="561" spans="1:21" ht="18.75" customHeight="1" x14ac:dyDescent="0.25">
      <c r="A561" s="14"/>
      <c r="B561" s="15"/>
      <c r="C561" s="119" t="s">
        <v>544</v>
      </c>
      <c r="D561" s="120" t="s">
        <v>579</v>
      </c>
      <c r="E561" s="125">
        <v>1.2</v>
      </c>
      <c r="F561" s="128"/>
      <c r="G561" s="128"/>
      <c r="H561" s="128"/>
      <c r="I561" s="128"/>
      <c r="J561" s="128"/>
      <c r="K561" s="128"/>
      <c r="L561" s="128"/>
      <c r="M561" s="125">
        <v>10.89818181818182</v>
      </c>
      <c r="N561" s="131">
        <v>4.2857142857142856</v>
      </c>
      <c r="O561" s="83"/>
      <c r="P561" s="5"/>
      <c r="Q561" s="14"/>
      <c r="R561" s="16"/>
      <c r="S561" s="16"/>
      <c r="T561" s="16"/>
      <c r="U561" s="16"/>
    </row>
    <row r="562" spans="1:21" ht="18.75" customHeight="1" x14ac:dyDescent="0.25">
      <c r="A562" s="14"/>
      <c r="B562" s="15"/>
      <c r="C562" s="119" t="s">
        <v>780</v>
      </c>
      <c r="D562" s="120" t="s">
        <v>783</v>
      </c>
      <c r="E562" s="125">
        <v>11.986116825647859</v>
      </c>
      <c r="F562" s="125">
        <v>12.650058208903385</v>
      </c>
      <c r="G562" s="125">
        <v>11.99282728879497</v>
      </c>
      <c r="H562" s="125">
        <v>11.56834067941519</v>
      </c>
      <c r="I562" s="125">
        <v>11.636353310256581</v>
      </c>
      <c r="J562" s="125">
        <v>11.820311451916162</v>
      </c>
      <c r="K562" s="125">
        <v>12.031760242434885</v>
      </c>
      <c r="L562" s="125">
        <v>12.19346625892239</v>
      </c>
      <c r="M562" s="125">
        <v>12.334770654410953</v>
      </c>
      <c r="N562" s="131">
        <v>12.264821582612724</v>
      </c>
      <c r="O562" s="83"/>
      <c r="P562" s="1"/>
      <c r="Q562" s="14"/>
      <c r="R562" s="16"/>
      <c r="S562" s="16"/>
      <c r="T562" s="16"/>
      <c r="U562" s="16"/>
    </row>
    <row r="563" spans="1:21" ht="18.75" customHeight="1" x14ac:dyDescent="0.25">
      <c r="A563" s="14"/>
      <c r="B563" s="15"/>
      <c r="C563" s="122" t="s">
        <v>781</v>
      </c>
      <c r="D563" s="120" t="s">
        <v>782</v>
      </c>
      <c r="E563" s="125">
        <v>300</v>
      </c>
      <c r="F563" s="134">
        <v>50</v>
      </c>
      <c r="G563" s="134">
        <v>125</v>
      </c>
      <c r="H563" s="134">
        <v>240</v>
      </c>
      <c r="I563" s="134">
        <v>315</v>
      </c>
      <c r="J563" s="134">
        <v>375</v>
      </c>
      <c r="K563" s="134">
        <v>430</v>
      </c>
      <c r="L563" s="134">
        <v>475</v>
      </c>
      <c r="M563" s="134">
        <v>545</v>
      </c>
      <c r="N563" s="135">
        <v>500</v>
      </c>
      <c r="O563" s="83"/>
      <c r="P563" s="14"/>
      <c r="Q563" s="14"/>
      <c r="R563" s="16"/>
      <c r="S563" s="16"/>
      <c r="T563" s="16"/>
      <c r="U563" s="16"/>
    </row>
    <row r="564" spans="1:21" ht="18.75" customHeight="1" x14ac:dyDescent="0.25">
      <c r="A564" s="14"/>
      <c r="B564" s="15"/>
      <c r="C564" s="122"/>
      <c r="D564" s="210"/>
      <c r="E564" s="210"/>
      <c r="F564" s="210"/>
      <c r="G564" s="210"/>
      <c r="H564" s="210"/>
      <c r="I564" s="210"/>
      <c r="J564" s="210"/>
      <c r="K564" s="210"/>
      <c r="L564" s="210"/>
      <c r="M564" s="210"/>
      <c r="N564" s="115"/>
      <c r="O564" s="83"/>
      <c r="P564" s="1"/>
      <c r="Q564" s="14"/>
      <c r="R564" s="16"/>
      <c r="S564" s="16"/>
      <c r="T564" s="16"/>
      <c r="U564" s="16"/>
    </row>
    <row r="565" spans="1:21" ht="18.75" customHeight="1" x14ac:dyDescent="0.25">
      <c r="A565" s="14"/>
      <c r="B565" s="15"/>
      <c r="C565" s="2199" t="s">
        <v>2028</v>
      </c>
      <c r="D565" s="2200"/>
      <c r="E565" s="2200"/>
      <c r="F565" s="2200"/>
      <c r="G565" s="2200"/>
      <c r="H565" s="2200"/>
      <c r="I565" s="2200"/>
      <c r="J565" s="2200"/>
      <c r="K565" s="2200"/>
      <c r="L565" s="2200"/>
      <c r="M565" s="2200"/>
      <c r="N565" s="2201"/>
      <c r="O565" s="83"/>
      <c r="P565" s="1"/>
      <c r="Q565" s="14"/>
      <c r="R565" s="16"/>
      <c r="S565" s="16"/>
      <c r="T565" s="16"/>
      <c r="U565" s="16"/>
    </row>
    <row r="566" spans="1:21" ht="18.75" customHeight="1" x14ac:dyDescent="0.25">
      <c r="A566" s="14"/>
      <c r="B566" s="15"/>
      <c r="C566" s="2202" t="s">
        <v>407</v>
      </c>
      <c r="D566" s="210">
        <v>95</v>
      </c>
      <c r="E566" s="104" t="s">
        <v>679</v>
      </c>
      <c r="F566" s="210">
        <v>80</v>
      </c>
      <c r="G566" s="210">
        <v>180</v>
      </c>
      <c r="H566" s="210">
        <v>290</v>
      </c>
      <c r="I566" s="210">
        <v>340</v>
      </c>
      <c r="J566" s="210">
        <v>400</v>
      </c>
      <c r="K566" s="210">
        <v>450</v>
      </c>
      <c r="L566" s="210">
        <v>525</v>
      </c>
      <c r="M566" s="210">
        <v>525</v>
      </c>
      <c r="N566" s="115">
        <v>400</v>
      </c>
      <c r="O566" s="80"/>
      <c r="P566" s="3"/>
      <c r="Q566" s="14"/>
      <c r="R566" s="16"/>
      <c r="S566" s="16"/>
      <c r="T566" s="16"/>
      <c r="U566" s="16"/>
    </row>
    <row r="567" spans="1:21" ht="18.75" customHeight="1" x14ac:dyDescent="0.25">
      <c r="A567" s="14"/>
      <c r="B567" s="15"/>
      <c r="C567" s="119" t="s">
        <v>568</v>
      </c>
      <c r="D567" s="120" t="s">
        <v>623</v>
      </c>
      <c r="E567" s="110" t="s">
        <v>608</v>
      </c>
      <c r="F567" s="110" t="s">
        <v>957</v>
      </c>
      <c r="G567" s="110" t="s">
        <v>572</v>
      </c>
      <c r="H567" s="110" t="s">
        <v>530</v>
      </c>
      <c r="I567" s="110" t="s">
        <v>573</v>
      </c>
      <c r="J567" s="110" t="s">
        <v>574</v>
      </c>
      <c r="K567" s="110" t="s">
        <v>575</v>
      </c>
      <c r="L567" s="110" t="s">
        <v>576</v>
      </c>
      <c r="M567" s="110" t="s">
        <v>577</v>
      </c>
      <c r="N567" s="2203" t="s">
        <v>609</v>
      </c>
      <c r="O567" s="17"/>
      <c r="P567" s="4"/>
      <c r="Q567" s="14"/>
      <c r="R567" s="16"/>
      <c r="S567" s="16"/>
      <c r="T567" s="16"/>
      <c r="U567" s="16"/>
    </row>
    <row r="568" spans="1:21" ht="18.75" customHeight="1" x14ac:dyDescent="0.25">
      <c r="A568" s="14"/>
      <c r="B568" s="15"/>
      <c r="C568" s="119" t="s">
        <v>582</v>
      </c>
      <c r="D568" s="120" t="s">
        <v>566</v>
      </c>
      <c r="E568" s="121">
        <v>97697.948377317254</v>
      </c>
      <c r="F568" s="129">
        <v>11025.818207120687</v>
      </c>
      <c r="G568" s="129">
        <v>21208.53700662019</v>
      </c>
      <c r="H568" s="129">
        <v>21431.220170106899</v>
      </c>
      <c r="I568" s="129">
        <v>7048.1286803576349</v>
      </c>
      <c r="J568" s="129">
        <v>7399.392982955038</v>
      </c>
      <c r="K568" s="129">
        <v>5033.3173206972433</v>
      </c>
      <c r="L568" s="129">
        <v>9017.9096909509444</v>
      </c>
      <c r="M568" s="129">
        <v>15533.624318508613</v>
      </c>
      <c r="N568" s="130">
        <v>29987.76027150661</v>
      </c>
      <c r="O568" s="80"/>
      <c r="P568" s="4"/>
      <c r="Q568" s="14"/>
      <c r="R568" s="16"/>
      <c r="S568" s="16"/>
      <c r="T568" s="16"/>
      <c r="U568" s="16"/>
    </row>
    <row r="569" spans="1:21" ht="28.5" customHeight="1" x14ac:dyDescent="0.25">
      <c r="A569" s="14"/>
      <c r="B569" s="15"/>
      <c r="C569" s="119" t="s">
        <v>582</v>
      </c>
      <c r="D569" s="120" t="s">
        <v>628</v>
      </c>
      <c r="E569" s="145">
        <v>15533.973791993443</v>
      </c>
      <c r="F569" s="129">
        <v>1753.1050949321893</v>
      </c>
      <c r="G569" s="129">
        <v>3372.1573840526103</v>
      </c>
      <c r="H569" s="129">
        <v>3407.5640070469967</v>
      </c>
      <c r="I569" s="129">
        <v>1120.652460176864</v>
      </c>
      <c r="J569" s="129">
        <v>1176.503484289851</v>
      </c>
      <c r="K569" s="129">
        <v>800.29745399086164</v>
      </c>
      <c r="L569" s="129">
        <v>1433.8476408612003</v>
      </c>
      <c r="M569" s="129">
        <v>2469.8462666428695</v>
      </c>
      <c r="N569" s="130">
        <v>4768.0538831695512</v>
      </c>
      <c r="O569" s="80"/>
      <c r="P569" s="9"/>
      <c r="Q569" s="14"/>
      <c r="R569" s="16"/>
      <c r="S569" s="16"/>
      <c r="T569" s="16"/>
      <c r="U569" s="16"/>
    </row>
    <row r="570" spans="1:21" ht="18.75" customHeight="1" x14ac:dyDescent="0.25">
      <c r="A570" s="14"/>
      <c r="B570" s="15"/>
      <c r="C570" s="119" t="s">
        <v>620</v>
      </c>
      <c r="D570" s="120" t="s">
        <v>622</v>
      </c>
      <c r="E570" s="129">
        <v>12982350</v>
      </c>
      <c r="F570" s="129">
        <v>1168411.5</v>
      </c>
      <c r="G570" s="129">
        <v>2531558.25</v>
      </c>
      <c r="H570" s="129">
        <v>2856117</v>
      </c>
      <c r="I570" s="129">
        <v>973676.25</v>
      </c>
      <c r="J570" s="129">
        <v>1038588</v>
      </c>
      <c r="K570" s="129">
        <v>714029.25</v>
      </c>
      <c r="L570" s="129">
        <v>1298235</v>
      </c>
      <c r="M570" s="129">
        <v>2401734.75</v>
      </c>
      <c r="N570" s="130">
        <v>4413999</v>
      </c>
      <c r="O570" s="81"/>
      <c r="P570" s="5"/>
      <c r="Q570" s="14"/>
      <c r="R570" s="16"/>
      <c r="S570" s="16"/>
      <c r="T570" s="16"/>
      <c r="U570" s="16"/>
    </row>
    <row r="571" spans="1:21" ht="18.75" customHeight="1" x14ac:dyDescent="0.25">
      <c r="A571" s="14"/>
      <c r="B571" s="15"/>
      <c r="C571" s="122" t="s">
        <v>776</v>
      </c>
      <c r="D571" s="120" t="s">
        <v>579</v>
      </c>
      <c r="E571" s="125">
        <v>1.6386120359657328</v>
      </c>
      <c r="F571" s="125">
        <v>0</v>
      </c>
      <c r="G571" s="125">
        <v>0</v>
      </c>
      <c r="H571" s="125">
        <v>0.92433081086711544</v>
      </c>
      <c r="I571" s="125">
        <v>1.5438698178994961</v>
      </c>
      <c r="J571" s="125">
        <v>2.0518855381902421</v>
      </c>
      <c r="K571" s="125">
        <v>2.5390433541757189</v>
      </c>
      <c r="L571" s="125">
        <v>3.0717031564985486</v>
      </c>
      <c r="M571" s="125">
        <v>3.8297323137717116</v>
      </c>
      <c r="N571" s="131">
        <v>3.3979946416978999</v>
      </c>
      <c r="O571" s="82"/>
      <c r="P571" s="10"/>
      <c r="Q571" s="14"/>
      <c r="R571" s="16"/>
      <c r="S571" s="16"/>
      <c r="T571" s="16"/>
      <c r="U571" s="16"/>
    </row>
    <row r="572" spans="1:21" ht="18.75" customHeight="1" x14ac:dyDescent="0.25">
      <c r="A572" s="14"/>
      <c r="B572" s="15"/>
      <c r="C572" s="122" t="s">
        <v>777</v>
      </c>
      <c r="D572" s="210" t="s">
        <v>778</v>
      </c>
      <c r="E572" s="125">
        <v>1767.6017357544622</v>
      </c>
      <c r="F572" s="132">
        <v>310.15152229096293</v>
      </c>
      <c r="G572" s="132">
        <v>1848.0633695029264</v>
      </c>
      <c r="H572" s="132">
        <v>2167.7425757364945</v>
      </c>
      <c r="I572" s="132">
        <v>1734.6690807311115</v>
      </c>
      <c r="J572" s="132">
        <v>1329.7690471802871</v>
      </c>
      <c r="K572" s="132">
        <v>1058.5291565940097</v>
      </c>
      <c r="L572" s="132">
        <v>1182.1888190607751</v>
      </c>
      <c r="M572" s="125">
        <v>2645.9064037036305</v>
      </c>
      <c r="N572" s="133">
        <v>1958.6196182468229</v>
      </c>
      <c r="O572" s="82"/>
      <c r="P572" s="5"/>
      <c r="Q572" s="14"/>
      <c r="R572" s="16"/>
      <c r="S572" s="16"/>
      <c r="T572" s="16"/>
      <c r="U572" s="16"/>
    </row>
    <row r="573" spans="1:21" ht="18.75" customHeight="1" x14ac:dyDescent="0.25">
      <c r="A573" s="14"/>
      <c r="B573" s="15"/>
      <c r="C573" s="119" t="s">
        <v>779</v>
      </c>
      <c r="D573" s="120" t="s">
        <v>970</v>
      </c>
      <c r="E573" s="132">
        <v>41.8</v>
      </c>
      <c r="F573" s="125">
        <v>80.599955818250578</v>
      </c>
      <c r="G573" s="125">
        <v>56.799150129233091</v>
      </c>
      <c r="H573" s="125">
        <v>37.153934430822645</v>
      </c>
      <c r="I573" s="125">
        <v>31.198976561005722</v>
      </c>
      <c r="J573" s="125">
        <v>28.63208790457071</v>
      </c>
      <c r="K573" s="125">
        <v>26.939652551087107</v>
      </c>
      <c r="L573" s="125">
        <v>24.62704562910082</v>
      </c>
      <c r="M573" s="125">
        <v>13.869510822099329</v>
      </c>
      <c r="N573" s="131">
        <v>21.199414983644118</v>
      </c>
      <c r="O573" s="82"/>
      <c r="P573" s="5"/>
      <c r="Q573" s="14"/>
      <c r="R573" s="16"/>
      <c r="S573" s="16"/>
      <c r="T573" s="16"/>
      <c r="U573" s="16"/>
    </row>
    <row r="574" spans="1:21" ht="18.75" customHeight="1" x14ac:dyDescent="0.25">
      <c r="A574" s="14"/>
      <c r="B574" s="15"/>
      <c r="C574" s="119" t="s">
        <v>580</v>
      </c>
      <c r="D574" s="120" t="s">
        <v>581</v>
      </c>
      <c r="E574" s="125">
        <v>816.5</v>
      </c>
      <c r="F574" s="125">
        <v>666.48115014758685</v>
      </c>
      <c r="G574" s="125">
        <v>750.72363525263745</v>
      </c>
      <c r="H574" s="125">
        <v>838.16972890118006</v>
      </c>
      <c r="I574" s="125">
        <v>868.84764420749332</v>
      </c>
      <c r="J574" s="125">
        <v>882.77511615437493</v>
      </c>
      <c r="K574" s="125">
        <v>892.20482514261914</v>
      </c>
      <c r="L574" s="125">
        <v>905.42046658475624</v>
      </c>
      <c r="M574" s="125">
        <v>972.42277077615449</v>
      </c>
      <c r="N574" s="131">
        <v>925.74436198816727</v>
      </c>
      <c r="O574" s="83"/>
      <c r="P574" s="5"/>
      <c r="Q574" s="14"/>
      <c r="R574" s="16"/>
      <c r="S574" s="16"/>
      <c r="T574" s="16"/>
      <c r="U574" s="16"/>
    </row>
    <row r="575" spans="1:21" ht="18.75" customHeight="1" x14ac:dyDescent="0.25">
      <c r="A575" s="14"/>
      <c r="B575" s="15"/>
      <c r="C575" s="119" t="s">
        <v>541</v>
      </c>
      <c r="D575" s="120" t="s">
        <v>579</v>
      </c>
      <c r="E575" s="125">
        <v>13.214251173797441</v>
      </c>
      <c r="F575" s="125">
        <v>15.989405322729274</v>
      </c>
      <c r="G575" s="125">
        <v>14.20632881602657</v>
      </c>
      <c r="H575" s="125">
        <v>12.875339890993605</v>
      </c>
      <c r="I575" s="125">
        <v>13.14896204767026</v>
      </c>
      <c r="J575" s="125">
        <v>12.91170544180784</v>
      </c>
      <c r="K575" s="125">
        <v>12.792631523556956</v>
      </c>
      <c r="L575" s="125">
        <v>12.60917889185863</v>
      </c>
      <c r="M575" s="125">
        <v>11.831213987603462</v>
      </c>
      <c r="N575" s="131">
        <v>12.215550619670989</v>
      </c>
      <c r="O575" s="84"/>
      <c r="P575" s="5"/>
      <c r="Q575" s="14"/>
      <c r="R575" s="16"/>
      <c r="S575" s="16"/>
      <c r="T575" s="16"/>
      <c r="U575" s="16"/>
    </row>
    <row r="576" spans="1:21" ht="18.75" customHeight="1" x14ac:dyDescent="0.25">
      <c r="A576" s="14"/>
      <c r="B576" s="15"/>
      <c r="C576" s="119" t="s">
        <v>544</v>
      </c>
      <c r="D576" s="120" t="s">
        <v>579</v>
      </c>
      <c r="E576" s="125">
        <v>1.7</v>
      </c>
      <c r="F576" s="128"/>
      <c r="G576" s="128"/>
      <c r="H576" s="128"/>
      <c r="I576" s="128"/>
      <c r="J576" s="128"/>
      <c r="K576" s="128"/>
      <c r="L576" s="128"/>
      <c r="M576" s="125">
        <v>9.18</v>
      </c>
      <c r="N576" s="131">
        <v>5</v>
      </c>
      <c r="O576" s="83"/>
      <c r="P576" s="5"/>
      <c r="Q576" s="14"/>
      <c r="R576" s="16"/>
      <c r="S576" s="16"/>
      <c r="T576" s="16"/>
      <c r="U576" s="16"/>
    </row>
    <row r="577" spans="1:21" ht="18.75" customHeight="1" x14ac:dyDescent="0.25">
      <c r="A577" s="14"/>
      <c r="B577" s="15"/>
      <c r="C577" s="119" t="s">
        <v>780</v>
      </c>
      <c r="D577" s="120" t="s">
        <v>783</v>
      </c>
      <c r="E577" s="125">
        <v>12.339208277627591</v>
      </c>
      <c r="F577" s="125">
        <v>12.640228138460351</v>
      </c>
      <c r="G577" s="125">
        <v>12.007594742258162</v>
      </c>
      <c r="H577" s="125">
        <v>11.645264926339467</v>
      </c>
      <c r="I577" s="125">
        <v>11.718766926300477</v>
      </c>
      <c r="J577" s="125">
        <v>11.882747062857401</v>
      </c>
      <c r="K577" s="125">
        <v>12.083178484741923</v>
      </c>
      <c r="L577" s="125">
        <v>12.292150864856591</v>
      </c>
      <c r="M577" s="125">
        <v>12.057502174850931</v>
      </c>
      <c r="N577" s="131">
        <v>12.327493166082194</v>
      </c>
      <c r="O577" s="83"/>
      <c r="P577" s="1"/>
      <c r="Q577" s="14"/>
      <c r="R577" s="16"/>
      <c r="S577" s="16"/>
      <c r="T577" s="16"/>
      <c r="U577" s="16"/>
    </row>
    <row r="578" spans="1:21" ht="18.75" customHeight="1" x14ac:dyDescent="0.25">
      <c r="A578" s="14"/>
      <c r="B578" s="15"/>
      <c r="C578" s="122" t="s">
        <v>781</v>
      </c>
      <c r="D578" s="120" t="s">
        <v>782</v>
      </c>
      <c r="E578" s="125">
        <v>295</v>
      </c>
      <c r="F578" s="134">
        <v>60</v>
      </c>
      <c r="G578" s="134">
        <v>135</v>
      </c>
      <c r="H578" s="134">
        <v>245</v>
      </c>
      <c r="I578" s="134">
        <v>315</v>
      </c>
      <c r="J578" s="134">
        <v>370</v>
      </c>
      <c r="K578" s="134">
        <v>425</v>
      </c>
      <c r="L578" s="134">
        <v>495</v>
      </c>
      <c r="M578" s="134">
        <v>625</v>
      </c>
      <c r="N578" s="135">
        <v>555</v>
      </c>
      <c r="O578" s="83"/>
      <c r="P578" s="14"/>
      <c r="Q578" s="14"/>
      <c r="R578" s="16"/>
      <c r="S578" s="16"/>
      <c r="T578" s="16"/>
      <c r="U578" s="16"/>
    </row>
    <row r="579" spans="1:21" ht="18.75" customHeight="1" x14ac:dyDescent="0.25">
      <c r="A579" s="14"/>
      <c r="B579" s="15"/>
      <c r="C579" s="122"/>
      <c r="D579" s="210"/>
      <c r="E579" s="210"/>
      <c r="F579" s="210"/>
      <c r="G579" s="210"/>
      <c r="H579" s="210"/>
      <c r="I579" s="210"/>
      <c r="J579" s="210"/>
      <c r="K579" s="210"/>
      <c r="L579" s="210"/>
      <c r="M579" s="210"/>
      <c r="N579" s="115"/>
      <c r="O579" s="83"/>
      <c r="P579" s="58"/>
      <c r="Q579" s="14"/>
      <c r="R579" s="16"/>
      <c r="S579" s="16"/>
      <c r="T579" s="16"/>
      <c r="U579" s="16"/>
    </row>
    <row r="580" spans="1:21" ht="18.75" customHeight="1" x14ac:dyDescent="0.25">
      <c r="A580" s="14"/>
      <c r="B580" s="15"/>
      <c r="C580" s="2199" t="s">
        <v>2029</v>
      </c>
      <c r="D580" s="2200"/>
      <c r="E580" s="2200"/>
      <c r="F580" s="2200"/>
      <c r="G580" s="2200"/>
      <c r="H580" s="2200"/>
      <c r="I580" s="2200"/>
      <c r="J580" s="2200"/>
      <c r="K580" s="2200"/>
      <c r="L580" s="2200"/>
      <c r="M580" s="2200"/>
      <c r="N580" s="2201"/>
      <c r="O580" s="83"/>
      <c r="P580" s="61"/>
      <c r="Q580" s="14"/>
      <c r="R580" s="16"/>
      <c r="S580" s="16"/>
      <c r="T580" s="16"/>
      <c r="U580" s="16"/>
    </row>
    <row r="581" spans="1:21" ht="18.75" customHeight="1" x14ac:dyDescent="0.25">
      <c r="A581" s="14"/>
      <c r="B581" s="15"/>
      <c r="C581" s="2202" t="s">
        <v>407</v>
      </c>
      <c r="D581" s="210">
        <v>96</v>
      </c>
      <c r="E581" s="104" t="s">
        <v>679</v>
      </c>
      <c r="F581" s="210">
        <v>80</v>
      </c>
      <c r="G581" s="210">
        <v>180</v>
      </c>
      <c r="H581" s="210">
        <v>290</v>
      </c>
      <c r="I581" s="210">
        <v>340</v>
      </c>
      <c r="J581" s="210">
        <v>400</v>
      </c>
      <c r="K581" s="210">
        <v>450</v>
      </c>
      <c r="L581" s="210">
        <v>525</v>
      </c>
      <c r="M581" s="210">
        <v>525</v>
      </c>
      <c r="N581" s="115">
        <v>400</v>
      </c>
      <c r="O581" s="80"/>
      <c r="P581" s="59"/>
      <c r="Q581" s="14"/>
      <c r="R581" s="16"/>
      <c r="S581" s="16"/>
      <c r="T581" s="16"/>
      <c r="U581" s="16"/>
    </row>
    <row r="582" spans="1:21" ht="18.75" customHeight="1" x14ac:dyDescent="0.25">
      <c r="A582" s="14"/>
      <c r="B582" s="15"/>
      <c r="C582" s="119" t="s">
        <v>568</v>
      </c>
      <c r="D582" s="120" t="s">
        <v>623</v>
      </c>
      <c r="E582" s="110" t="s">
        <v>608</v>
      </c>
      <c r="F582" s="110" t="s">
        <v>957</v>
      </c>
      <c r="G582" s="110" t="s">
        <v>572</v>
      </c>
      <c r="H582" s="110" t="s">
        <v>530</v>
      </c>
      <c r="I582" s="110" t="s">
        <v>573</v>
      </c>
      <c r="J582" s="110" t="s">
        <v>574</v>
      </c>
      <c r="K582" s="110" t="s">
        <v>575</v>
      </c>
      <c r="L582" s="110" t="s">
        <v>576</v>
      </c>
      <c r="M582" s="110" t="s">
        <v>577</v>
      </c>
      <c r="N582" s="2203" t="s">
        <v>609</v>
      </c>
      <c r="O582" s="17"/>
      <c r="P582" s="62"/>
      <c r="Q582" s="14"/>
      <c r="R582" s="16"/>
      <c r="S582" s="16"/>
      <c r="T582" s="16"/>
      <c r="U582" s="16"/>
    </row>
    <row r="583" spans="1:21" ht="18.75" customHeight="1" x14ac:dyDescent="0.25">
      <c r="A583" s="14"/>
      <c r="B583" s="15"/>
      <c r="C583" s="119" t="s">
        <v>582</v>
      </c>
      <c r="D583" s="120" t="s">
        <v>566</v>
      </c>
      <c r="E583" s="121">
        <v>99933.109740622574</v>
      </c>
      <c r="F583" s="129">
        <v>10154.971942688404</v>
      </c>
      <c r="G583" s="129">
        <v>19949.321987710944</v>
      </c>
      <c r="H583" s="129">
        <v>22922.368314009818</v>
      </c>
      <c r="I583" s="129">
        <v>8189.0224530313953</v>
      </c>
      <c r="J583" s="129">
        <v>8124.9901737256141</v>
      </c>
      <c r="K583" s="129">
        <v>6186.8755743923039</v>
      </c>
      <c r="L583" s="129">
        <v>9863.5480134075078</v>
      </c>
      <c r="M583" s="129">
        <v>14542.011281656598</v>
      </c>
      <c r="N583" s="130">
        <v>31379.914650541039</v>
      </c>
      <c r="O583" s="80"/>
      <c r="P583" s="62"/>
      <c r="Q583" s="14"/>
      <c r="R583" s="16"/>
      <c r="S583" s="16"/>
      <c r="T583" s="16"/>
      <c r="U583" s="16"/>
    </row>
    <row r="584" spans="1:21" ht="30" customHeight="1" x14ac:dyDescent="0.25">
      <c r="A584" s="14"/>
      <c r="B584" s="15"/>
      <c r="C584" s="119" t="s">
        <v>582</v>
      </c>
      <c r="D584" s="120" t="s">
        <v>628</v>
      </c>
      <c r="E584" s="145">
        <v>15889.36444875899</v>
      </c>
      <c r="F584" s="129">
        <v>1614.6405388874562</v>
      </c>
      <c r="G584" s="129">
        <v>3171.9421960460404</v>
      </c>
      <c r="H584" s="129">
        <v>3644.6565619275611</v>
      </c>
      <c r="I584" s="129">
        <v>1302.0545700319919</v>
      </c>
      <c r="J584" s="129">
        <v>1291.8734376223726</v>
      </c>
      <c r="K584" s="129">
        <v>983.71321632837635</v>
      </c>
      <c r="L584" s="129">
        <v>1568.3041341317937</v>
      </c>
      <c r="M584" s="129">
        <v>2312.179793783399</v>
      </c>
      <c r="N584" s="130">
        <v>4989.4064294360251</v>
      </c>
      <c r="O584" s="80"/>
      <c r="P584" s="62"/>
      <c r="Q584" s="14"/>
      <c r="R584" s="16"/>
      <c r="S584" s="16"/>
      <c r="T584" s="16"/>
      <c r="U584" s="16"/>
    </row>
    <row r="585" spans="1:21" ht="18.75" customHeight="1" x14ac:dyDescent="0.25">
      <c r="A585" s="14"/>
      <c r="B585" s="15"/>
      <c r="C585" s="119" t="s">
        <v>620</v>
      </c>
      <c r="D585" s="120" t="s">
        <v>622</v>
      </c>
      <c r="E585" s="129">
        <v>13352820</v>
      </c>
      <c r="F585" s="129">
        <v>1068225.6000000001</v>
      </c>
      <c r="G585" s="129">
        <v>2403507.6</v>
      </c>
      <c r="H585" s="129">
        <v>3071148.6</v>
      </c>
      <c r="I585" s="129">
        <v>1134989.7000000002</v>
      </c>
      <c r="J585" s="129">
        <v>1134989.7000000002</v>
      </c>
      <c r="K585" s="129">
        <v>867933.3</v>
      </c>
      <c r="L585" s="129">
        <v>1402046.0999999999</v>
      </c>
      <c r="M585" s="129">
        <v>2269979.4000000004</v>
      </c>
      <c r="N585" s="130">
        <v>4539958.8</v>
      </c>
      <c r="O585" s="81"/>
      <c r="P585" s="60"/>
      <c r="Q585" s="14"/>
      <c r="R585" s="16"/>
      <c r="S585" s="16"/>
      <c r="T585" s="16"/>
      <c r="U585" s="16"/>
    </row>
    <row r="586" spans="1:21" ht="18.75" customHeight="1" x14ac:dyDescent="0.25">
      <c r="A586" s="14"/>
      <c r="B586" s="15"/>
      <c r="C586" s="122" t="s">
        <v>776</v>
      </c>
      <c r="D586" s="120" t="s">
        <v>579</v>
      </c>
      <c r="E586" s="125">
        <v>0.28928644816627597</v>
      </c>
      <c r="F586" s="125">
        <v>0</v>
      </c>
      <c r="G586" s="125">
        <v>0</v>
      </c>
      <c r="H586" s="125">
        <v>7.7313397455474331E-2</v>
      </c>
      <c r="I586" s="125">
        <v>0.15138719640413625</v>
      </c>
      <c r="J586" s="125">
        <v>0.23198672862604347</v>
      </c>
      <c r="K586" s="125">
        <v>0.34561485140734194</v>
      </c>
      <c r="L586" s="125">
        <v>0.55012693034981042</v>
      </c>
      <c r="M586" s="125">
        <v>0.93346641232790706</v>
      </c>
      <c r="N586" s="131">
        <v>0.70269877389397517</v>
      </c>
      <c r="O586" s="82"/>
      <c r="P586" s="63"/>
      <c r="Q586" s="14"/>
      <c r="R586" s="16"/>
      <c r="S586" s="16"/>
      <c r="T586" s="16"/>
      <c r="U586" s="16"/>
    </row>
    <row r="587" spans="1:21" ht="18.75" customHeight="1" x14ac:dyDescent="0.25">
      <c r="A587" s="14"/>
      <c r="B587" s="15"/>
      <c r="C587" s="122" t="s">
        <v>777</v>
      </c>
      <c r="D587" s="210" t="s">
        <v>778</v>
      </c>
      <c r="E587" s="125">
        <v>1776.6847633724576</v>
      </c>
      <c r="F587" s="132">
        <v>144.23411852764821</v>
      </c>
      <c r="G587" s="132">
        <v>1877.44067202107</v>
      </c>
      <c r="H587" s="132">
        <v>2207.0782603494463</v>
      </c>
      <c r="I587" s="132">
        <v>1638.3654276241177</v>
      </c>
      <c r="J587" s="132">
        <v>1197.3101000096431</v>
      </c>
      <c r="K587" s="132">
        <v>965.24158935744344</v>
      </c>
      <c r="L587" s="132">
        <v>1314.3751252975489</v>
      </c>
      <c r="M587" s="125">
        <v>2810.5658925454959</v>
      </c>
      <c r="N587" s="133">
        <v>1995.7243917565029</v>
      </c>
      <c r="O587" s="82"/>
      <c r="P587" s="60"/>
      <c r="Q587" s="14"/>
      <c r="R587" s="16"/>
      <c r="S587" s="16"/>
      <c r="T587" s="16"/>
      <c r="U587" s="16"/>
    </row>
    <row r="588" spans="1:21" ht="18.75" customHeight="1" x14ac:dyDescent="0.25">
      <c r="A588" s="14"/>
      <c r="B588" s="15"/>
      <c r="C588" s="119" t="s">
        <v>779</v>
      </c>
      <c r="D588" s="120" t="s">
        <v>970</v>
      </c>
      <c r="E588" s="132">
        <v>37</v>
      </c>
      <c r="F588" s="125">
        <v>82.16890260902403</v>
      </c>
      <c r="G588" s="125">
        <v>55.055567108290106</v>
      </c>
      <c r="H588" s="125">
        <v>36.258382122177309</v>
      </c>
      <c r="I588" s="125">
        <v>30.668206943809452</v>
      </c>
      <c r="J588" s="125">
        <v>29.400167934134998</v>
      </c>
      <c r="K588" s="125">
        <v>28.717740950435285</v>
      </c>
      <c r="L588" s="125">
        <v>26.6235086850524</v>
      </c>
      <c r="M588" s="125">
        <v>12.488608434571205</v>
      </c>
      <c r="N588" s="131">
        <v>23.855065946981483</v>
      </c>
      <c r="O588" s="82"/>
      <c r="P588" s="60"/>
      <c r="Q588" s="14"/>
      <c r="R588" s="16"/>
      <c r="S588" s="16"/>
      <c r="T588" s="16"/>
      <c r="U588" s="16"/>
    </row>
    <row r="589" spans="1:21" ht="18.75" customHeight="1" x14ac:dyDescent="0.25">
      <c r="A589" s="14"/>
      <c r="B589" s="15"/>
      <c r="C589" s="119" t="s">
        <v>580</v>
      </c>
      <c r="D589" s="120" t="s">
        <v>581</v>
      </c>
      <c r="E589" s="125">
        <v>839.8</v>
      </c>
      <c r="F589" s="125">
        <v>661.58725380204123</v>
      </c>
      <c r="G589" s="125">
        <v>757.74003794775126</v>
      </c>
      <c r="H589" s="125">
        <v>842.64416902308949</v>
      </c>
      <c r="I589" s="125">
        <v>871.69134544960968</v>
      </c>
      <c r="J589" s="125">
        <v>878.56106252086965</v>
      </c>
      <c r="K589" s="125">
        <v>882.30318104242338</v>
      </c>
      <c r="L589" s="125">
        <v>893.98865276610809</v>
      </c>
      <c r="M589" s="125">
        <v>981.74865384739542</v>
      </c>
      <c r="N589" s="131">
        <v>909.91961953942712</v>
      </c>
      <c r="O589" s="83"/>
      <c r="P589" s="60"/>
      <c r="Q589" s="14"/>
      <c r="R589" s="16"/>
      <c r="S589" s="16"/>
      <c r="T589" s="16"/>
      <c r="U589" s="16"/>
    </row>
    <row r="590" spans="1:21" ht="18.75" customHeight="1" x14ac:dyDescent="0.25">
      <c r="A590" s="14"/>
      <c r="B590" s="15"/>
      <c r="C590" s="119" t="s">
        <v>541</v>
      </c>
      <c r="D590" s="120" t="s">
        <v>579</v>
      </c>
      <c r="E590" s="125">
        <v>13.227632032592778</v>
      </c>
      <c r="F590" s="125">
        <v>16.192580516861948</v>
      </c>
      <c r="G590" s="125">
        <v>13.98533932387827</v>
      </c>
      <c r="H590" s="125">
        <v>12.686508136368674</v>
      </c>
      <c r="I590" s="125">
        <v>13.074241290118515</v>
      </c>
      <c r="J590" s="125">
        <v>13.022433416742665</v>
      </c>
      <c r="K590" s="125">
        <v>13.052805953000096</v>
      </c>
      <c r="L590" s="125">
        <v>12.909559879871338</v>
      </c>
      <c r="M590" s="125">
        <v>12.204788924507298</v>
      </c>
      <c r="N590" s="131">
        <v>12.584559680875699</v>
      </c>
      <c r="O590" s="84"/>
      <c r="P590" s="60"/>
      <c r="Q590" s="14"/>
      <c r="R590" s="16"/>
      <c r="S590" s="16"/>
      <c r="T590" s="16"/>
      <c r="U590" s="16"/>
    </row>
    <row r="591" spans="1:21" ht="18.75" customHeight="1" x14ac:dyDescent="0.25">
      <c r="A591" s="14"/>
      <c r="B591" s="15"/>
      <c r="C591" s="119" t="s">
        <v>544</v>
      </c>
      <c r="D591" s="120" t="s">
        <v>579</v>
      </c>
      <c r="E591" s="125">
        <v>2.11</v>
      </c>
      <c r="F591" s="128"/>
      <c r="G591" s="128"/>
      <c r="H591" s="128"/>
      <c r="I591" s="128"/>
      <c r="J591" s="128"/>
      <c r="K591" s="128"/>
      <c r="L591" s="128"/>
      <c r="M591" s="125">
        <v>12.399352941176469</v>
      </c>
      <c r="N591" s="131">
        <v>6.2058823529411766</v>
      </c>
      <c r="O591" s="83"/>
      <c r="P591" s="60"/>
      <c r="Q591" s="14"/>
      <c r="R591" s="16"/>
      <c r="S591" s="16"/>
      <c r="T591" s="16"/>
      <c r="U591" s="16"/>
    </row>
    <row r="592" spans="1:21" ht="18.75" customHeight="1" x14ac:dyDescent="0.25">
      <c r="A592" s="14"/>
      <c r="B592" s="15"/>
      <c r="C592" s="119" t="s">
        <v>780</v>
      </c>
      <c r="D592" s="120" t="s">
        <v>783</v>
      </c>
      <c r="E592" s="125">
        <v>12.032533125538659</v>
      </c>
      <c r="F592" s="125">
        <v>12.733730493498442</v>
      </c>
      <c r="G592" s="125">
        <v>11.89640869441569</v>
      </c>
      <c r="H592" s="125">
        <v>11.508426125356577</v>
      </c>
      <c r="I592" s="125">
        <v>11.680537027336406</v>
      </c>
      <c r="J592" s="125">
        <v>11.939743139251432</v>
      </c>
      <c r="K592" s="125">
        <v>12.218781909421523</v>
      </c>
      <c r="L592" s="125">
        <v>12.449335835474489</v>
      </c>
      <c r="M592" s="125">
        <v>11.898475017546387</v>
      </c>
      <c r="N592" s="131">
        <v>12.440098161018977</v>
      </c>
      <c r="O592" s="83"/>
      <c r="P592" s="64"/>
      <c r="Q592" s="14"/>
      <c r="R592" s="16"/>
      <c r="S592" s="16"/>
      <c r="T592" s="16"/>
      <c r="U592" s="16"/>
    </row>
    <row r="593" spans="1:21" ht="18.75" customHeight="1" x14ac:dyDescent="0.25">
      <c r="A593" s="14"/>
      <c r="B593" s="15"/>
      <c r="C593" s="122" t="s">
        <v>781</v>
      </c>
      <c r="D593" s="120" t="s">
        <v>782</v>
      </c>
      <c r="E593" s="125">
        <v>300</v>
      </c>
      <c r="F593" s="134">
        <v>60</v>
      </c>
      <c r="G593" s="134">
        <v>135</v>
      </c>
      <c r="H593" s="134">
        <v>235</v>
      </c>
      <c r="I593" s="134">
        <v>315</v>
      </c>
      <c r="J593" s="134">
        <v>370</v>
      </c>
      <c r="K593" s="134">
        <v>425</v>
      </c>
      <c r="L593" s="134">
        <v>495</v>
      </c>
      <c r="M593" s="134">
        <v>615</v>
      </c>
      <c r="N593" s="135">
        <v>535</v>
      </c>
      <c r="O593" s="83"/>
      <c r="P593" s="64"/>
      <c r="Q593" s="14"/>
      <c r="R593" s="16"/>
      <c r="S593" s="16"/>
      <c r="T593" s="16"/>
      <c r="U593" s="16"/>
    </row>
    <row r="594" spans="1:21" ht="18.75" customHeight="1" x14ac:dyDescent="0.25">
      <c r="A594" s="14"/>
      <c r="B594" s="15"/>
      <c r="C594" s="122"/>
      <c r="D594" s="210"/>
      <c r="E594" s="210"/>
      <c r="F594" s="210"/>
      <c r="G594" s="210"/>
      <c r="H594" s="210"/>
      <c r="I594" s="210"/>
      <c r="J594" s="210"/>
      <c r="K594" s="210"/>
      <c r="L594" s="210"/>
      <c r="M594" s="210"/>
      <c r="N594" s="115"/>
      <c r="O594" s="83"/>
      <c r="P594" s="58"/>
      <c r="Q594" s="14"/>
      <c r="R594" s="16"/>
      <c r="S594" s="16"/>
      <c r="T594" s="16"/>
      <c r="U594" s="16"/>
    </row>
    <row r="595" spans="1:21" ht="18.75" customHeight="1" x14ac:dyDescent="0.25">
      <c r="A595" s="14"/>
      <c r="B595" s="15"/>
      <c r="C595" s="2199" t="s">
        <v>2115</v>
      </c>
      <c r="D595" s="2200"/>
      <c r="E595" s="2200"/>
      <c r="F595" s="2200"/>
      <c r="G595" s="2200"/>
      <c r="H595" s="2200"/>
      <c r="I595" s="2200"/>
      <c r="J595" s="2200"/>
      <c r="K595" s="2200"/>
      <c r="L595" s="2200"/>
      <c r="M595" s="2200"/>
      <c r="N595" s="2201"/>
      <c r="O595" s="83"/>
      <c r="P595" s="61"/>
      <c r="Q595" s="14"/>
      <c r="R595" s="16"/>
      <c r="S595" s="16"/>
      <c r="T595" s="16"/>
      <c r="U595" s="16"/>
    </row>
    <row r="596" spans="1:21" ht="18.75" customHeight="1" x14ac:dyDescent="0.25">
      <c r="A596" s="14"/>
      <c r="B596" s="15"/>
      <c r="C596" s="2202"/>
      <c r="D596" s="210"/>
      <c r="E596" s="104" t="s">
        <v>679</v>
      </c>
      <c r="F596" s="210">
        <v>80</v>
      </c>
      <c r="G596" s="210">
        <v>180</v>
      </c>
      <c r="H596" s="210">
        <v>290</v>
      </c>
      <c r="I596" s="210">
        <v>340</v>
      </c>
      <c r="J596" s="210">
        <v>400</v>
      </c>
      <c r="K596" s="210">
        <v>450</v>
      </c>
      <c r="L596" s="210">
        <v>525</v>
      </c>
      <c r="M596" s="210">
        <v>525</v>
      </c>
      <c r="N596" s="115">
        <v>400</v>
      </c>
      <c r="O596" s="80"/>
      <c r="P596" s="59"/>
      <c r="Q596" s="14"/>
      <c r="R596" s="16"/>
      <c r="S596" s="16"/>
      <c r="T596" s="16"/>
      <c r="U596" s="16"/>
    </row>
    <row r="597" spans="1:21" ht="18.75" customHeight="1" x14ac:dyDescent="0.25">
      <c r="A597" s="14"/>
      <c r="B597" s="15"/>
      <c r="C597" s="119" t="s">
        <v>568</v>
      </c>
      <c r="D597" s="120" t="s">
        <v>623</v>
      </c>
      <c r="E597" s="110" t="s">
        <v>608</v>
      </c>
      <c r="F597" s="110" t="s">
        <v>957</v>
      </c>
      <c r="G597" s="110" t="s">
        <v>572</v>
      </c>
      <c r="H597" s="110" t="s">
        <v>530</v>
      </c>
      <c r="I597" s="110" t="s">
        <v>573</v>
      </c>
      <c r="J597" s="110" t="s">
        <v>574</v>
      </c>
      <c r="K597" s="110" t="s">
        <v>575</v>
      </c>
      <c r="L597" s="110" t="s">
        <v>576</v>
      </c>
      <c r="M597" s="110" t="s">
        <v>577</v>
      </c>
      <c r="N597" s="2203" t="s">
        <v>609</v>
      </c>
      <c r="O597" s="17"/>
      <c r="P597" s="62"/>
      <c r="Q597" s="14"/>
      <c r="R597" s="16"/>
      <c r="S597" s="16"/>
      <c r="T597" s="16"/>
      <c r="U597" s="16"/>
    </row>
    <row r="598" spans="1:21" ht="18.75" customHeight="1" x14ac:dyDescent="0.25">
      <c r="A598" s="14"/>
      <c r="B598" s="15"/>
      <c r="C598" s="119" t="s">
        <v>582</v>
      </c>
      <c r="D598" s="120" t="s">
        <v>566</v>
      </c>
      <c r="E598" s="121">
        <v>100997.4008131164</v>
      </c>
      <c r="F598" s="129">
        <v>8069.6930935268847</v>
      </c>
      <c r="G598" s="129">
        <v>23422.245511688197</v>
      </c>
      <c r="H598" s="129">
        <v>25601.806214844244</v>
      </c>
      <c r="I598" s="129">
        <v>7256.1123846495584</v>
      </c>
      <c r="J598" s="129">
        <v>9689.0940056987929</v>
      </c>
      <c r="K598" s="129">
        <v>7284.4845152908565</v>
      </c>
      <c r="L598" s="129">
        <v>10580.174178294246</v>
      </c>
      <c r="M598" s="129">
        <v>9093.7909091236306</v>
      </c>
      <c r="N598" s="130">
        <v>27310.331948861367</v>
      </c>
      <c r="O598" s="80"/>
      <c r="P598" s="62"/>
      <c r="Q598" s="14"/>
      <c r="R598" s="16"/>
      <c r="S598" s="16"/>
      <c r="T598" s="16"/>
      <c r="U598" s="16"/>
    </row>
    <row r="599" spans="1:21" ht="33.75" customHeight="1" x14ac:dyDescent="0.25">
      <c r="A599" s="14"/>
      <c r="B599" s="15"/>
      <c r="C599" s="119" t="s">
        <v>582</v>
      </c>
      <c r="D599" s="120" t="s">
        <v>628</v>
      </c>
      <c r="E599" s="145">
        <v>16058.586729285507</v>
      </c>
      <c r="F599" s="129">
        <v>1283.0812018707747</v>
      </c>
      <c r="G599" s="129">
        <v>3724.1370363584233</v>
      </c>
      <c r="H599" s="129">
        <v>4070.6871881602351</v>
      </c>
      <c r="I599" s="129">
        <v>1153.7218691592798</v>
      </c>
      <c r="J599" s="129">
        <v>1540.5659469061081</v>
      </c>
      <c r="K599" s="129">
        <v>1158.2330379312461</v>
      </c>
      <c r="L599" s="129">
        <v>1682.2476943487852</v>
      </c>
      <c r="M599" s="129">
        <v>1445.9127545506572</v>
      </c>
      <c r="N599" s="130">
        <v>4342.3427798689572</v>
      </c>
      <c r="O599" s="80"/>
      <c r="P599" s="62"/>
      <c r="Q599" s="14"/>
      <c r="R599" s="16"/>
      <c r="S599" s="16"/>
      <c r="T599" s="16"/>
      <c r="U599" s="16"/>
    </row>
    <row r="600" spans="1:21" ht="18.75" customHeight="1" x14ac:dyDescent="0.25">
      <c r="A600" s="14"/>
      <c r="B600" s="15"/>
      <c r="C600" s="119" t="s">
        <v>620</v>
      </c>
      <c r="D600" s="120" t="s">
        <v>622</v>
      </c>
      <c r="E600" s="129">
        <v>13281270</v>
      </c>
      <c r="F600" s="129">
        <v>863282.55</v>
      </c>
      <c r="G600" s="129">
        <v>2855473.05</v>
      </c>
      <c r="H600" s="129">
        <v>3453130.2</v>
      </c>
      <c r="I600" s="129">
        <v>996095.25</v>
      </c>
      <c r="J600" s="129">
        <v>1328127</v>
      </c>
      <c r="K600" s="129">
        <v>996095.25</v>
      </c>
      <c r="L600" s="129">
        <v>1460939.7</v>
      </c>
      <c r="M600" s="129">
        <v>1328127</v>
      </c>
      <c r="N600" s="130">
        <v>3785161.95</v>
      </c>
      <c r="O600" s="81"/>
      <c r="P600" s="60"/>
      <c r="Q600" s="14"/>
      <c r="R600" s="16"/>
      <c r="S600" s="16"/>
      <c r="T600" s="16"/>
      <c r="U600" s="16"/>
    </row>
    <row r="601" spans="1:21" ht="18.75" customHeight="1" x14ac:dyDescent="0.25">
      <c r="A601" s="14"/>
      <c r="B601" s="15"/>
      <c r="C601" s="122" t="s">
        <v>776</v>
      </c>
      <c r="D601" s="120" t="s">
        <v>579</v>
      </c>
      <c r="E601" s="125">
        <v>0.14500765777996358</v>
      </c>
      <c r="F601" s="125">
        <v>0</v>
      </c>
      <c r="G601" s="125">
        <v>0</v>
      </c>
      <c r="H601" s="125">
        <v>0.10860493600364857</v>
      </c>
      <c r="I601" s="125">
        <v>0.14286939967947659</v>
      </c>
      <c r="J601" s="125">
        <v>0.1749955484095615</v>
      </c>
      <c r="K601" s="125">
        <v>0.21574943631311677</v>
      </c>
      <c r="L601" s="125">
        <v>0.29608024147322837</v>
      </c>
      <c r="M601" s="125">
        <v>0.39805580316559197</v>
      </c>
      <c r="N601" s="131">
        <v>0.31072145474420371</v>
      </c>
      <c r="O601" s="82"/>
      <c r="P601" s="63"/>
      <c r="Q601" s="14"/>
      <c r="R601" s="16"/>
      <c r="S601" s="16"/>
      <c r="T601" s="16"/>
      <c r="U601" s="16"/>
    </row>
    <row r="602" spans="1:21" ht="18.75" customHeight="1" x14ac:dyDescent="0.25">
      <c r="A602" s="14"/>
      <c r="B602" s="15"/>
      <c r="C602" s="122" t="s">
        <v>777</v>
      </c>
      <c r="D602" s="210" t="s">
        <v>778</v>
      </c>
      <c r="E602" s="125">
        <v>1615.5227506348729</v>
      </c>
      <c r="F602" s="132">
        <v>177.82871560903186</v>
      </c>
      <c r="G602" s="132">
        <v>1850.6377522977555</v>
      </c>
      <c r="H602" s="132">
        <v>2218.0574536619242</v>
      </c>
      <c r="I602" s="132">
        <v>1665.6566860769217</v>
      </c>
      <c r="J602" s="132">
        <v>1206.7274438617187</v>
      </c>
      <c r="K602" s="132">
        <v>960.44011762820628</v>
      </c>
      <c r="L602" s="132">
        <v>1227.539688284729</v>
      </c>
      <c r="M602" s="125">
        <v>1767.2245904879148</v>
      </c>
      <c r="N602" s="133">
        <v>1346.6134511657092</v>
      </c>
      <c r="O602" s="82"/>
      <c r="P602" s="60"/>
      <c r="Q602" s="14"/>
      <c r="R602" s="16"/>
      <c r="S602" s="16"/>
      <c r="T602" s="16"/>
      <c r="U602" s="16"/>
    </row>
    <row r="603" spans="1:21" ht="18.75" customHeight="1" x14ac:dyDescent="0.25">
      <c r="A603" s="14"/>
      <c r="B603" s="15"/>
      <c r="C603" s="119" t="s">
        <v>779</v>
      </c>
      <c r="D603" s="120" t="s">
        <v>970</v>
      </c>
      <c r="E603" s="132">
        <v>37.9</v>
      </c>
      <c r="F603" s="125">
        <v>78.601730209305003</v>
      </c>
      <c r="G603" s="125">
        <v>52.863963699440944</v>
      </c>
      <c r="H603" s="125">
        <v>35.141522790280376</v>
      </c>
      <c r="I603" s="125">
        <v>32.230166985756966</v>
      </c>
      <c r="J603" s="125">
        <v>32.47178978889022</v>
      </c>
      <c r="K603" s="125">
        <v>32.870368438186063</v>
      </c>
      <c r="L603" s="125">
        <v>31.274398746460236</v>
      </c>
      <c r="M603" s="125">
        <v>22.397275685209763</v>
      </c>
      <c r="N603" s="131">
        <v>30.669092519451169</v>
      </c>
      <c r="O603" s="82"/>
      <c r="P603" s="60"/>
      <c r="Q603" s="14"/>
      <c r="R603" s="16"/>
      <c r="S603" s="16"/>
      <c r="T603" s="16"/>
      <c r="U603" s="16"/>
    </row>
    <row r="604" spans="1:21" ht="18.75" customHeight="1" x14ac:dyDescent="0.25">
      <c r="A604" s="14"/>
      <c r="B604" s="15"/>
      <c r="C604" s="119" t="s">
        <v>580</v>
      </c>
      <c r="D604" s="120" t="s">
        <v>581</v>
      </c>
      <c r="E604" s="125">
        <v>835.3</v>
      </c>
      <c r="F604" s="125">
        <v>672.81988758100863</v>
      </c>
      <c r="G604" s="125">
        <v>766.74757725676227</v>
      </c>
      <c r="H604" s="125">
        <v>848.29171105153318</v>
      </c>
      <c r="I604" s="125">
        <v>863.37554711159044</v>
      </c>
      <c r="J604" s="125">
        <v>862.10330863618947</v>
      </c>
      <c r="K604" s="125">
        <v>860.01281035736542</v>
      </c>
      <c r="L604" s="125">
        <v>868.44506008703092</v>
      </c>
      <c r="M604" s="125">
        <v>918.53882318974274</v>
      </c>
      <c r="N604" s="131">
        <v>871.68658530320556</v>
      </c>
      <c r="O604" s="83"/>
      <c r="P604" s="60"/>
      <c r="Q604" s="14"/>
      <c r="R604" s="16"/>
      <c r="S604" s="16"/>
      <c r="T604" s="16"/>
      <c r="U604" s="16"/>
    </row>
    <row r="605" spans="1:21" ht="18.75" customHeight="1" x14ac:dyDescent="0.25">
      <c r="A605" s="14"/>
      <c r="B605" s="15"/>
      <c r="C605" s="119" t="s">
        <v>541</v>
      </c>
      <c r="D605" s="120" t="s">
        <v>579</v>
      </c>
      <c r="E605" s="125">
        <v>13.441362072260231</v>
      </c>
      <c r="F605" s="125">
        <v>15.834451514868634</v>
      </c>
      <c r="G605" s="125">
        <v>13.7069243535267</v>
      </c>
      <c r="H605" s="125">
        <v>12.588921404605102</v>
      </c>
      <c r="I605" s="125">
        <v>13.292746223851246</v>
      </c>
      <c r="J605" s="125">
        <v>13.454875411580435</v>
      </c>
      <c r="K605" s="125">
        <v>13.62914509713984</v>
      </c>
      <c r="L605" s="125">
        <v>13.569040300411345</v>
      </c>
      <c r="M605" s="125">
        <v>13.347905993105805</v>
      </c>
      <c r="N605" s="131">
        <v>13.507266367162512</v>
      </c>
      <c r="O605" s="84"/>
      <c r="P605" s="60"/>
      <c r="Q605" s="14"/>
      <c r="R605" s="16"/>
      <c r="S605" s="16"/>
      <c r="T605" s="16"/>
      <c r="U605" s="16"/>
    </row>
    <row r="606" spans="1:21" ht="18.75" customHeight="1" x14ac:dyDescent="0.25">
      <c r="A606" s="14"/>
      <c r="B606" s="15"/>
      <c r="C606" s="119" t="s">
        <v>544</v>
      </c>
      <c r="D606" s="120" t="s">
        <v>579</v>
      </c>
      <c r="E606" s="125">
        <v>1.2</v>
      </c>
      <c r="F606" s="128"/>
      <c r="G606" s="128"/>
      <c r="H606" s="128"/>
      <c r="I606" s="128"/>
      <c r="J606" s="128"/>
      <c r="K606" s="128"/>
      <c r="L606" s="128"/>
      <c r="M606" s="125">
        <v>11.988</v>
      </c>
      <c r="N606" s="131">
        <v>4.2105263157894735</v>
      </c>
      <c r="O606" s="83"/>
      <c r="P606" s="60"/>
      <c r="Q606" s="14"/>
      <c r="R606" s="16"/>
      <c r="S606" s="16"/>
      <c r="T606" s="16"/>
      <c r="U606" s="16"/>
    </row>
    <row r="607" spans="1:21" ht="18.75" customHeight="1" x14ac:dyDescent="0.25">
      <c r="A607" s="14"/>
      <c r="B607" s="15"/>
      <c r="C607" s="119" t="s">
        <v>780</v>
      </c>
      <c r="D607" s="120" t="s">
        <v>783</v>
      </c>
      <c r="E607" s="125">
        <v>11.954427249894129</v>
      </c>
      <c r="F607" s="125">
        <v>12.583472025730343</v>
      </c>
      <c r="G607" s="125">
        <v>11.756652962373611</v>
      </c>
      <c r="H607" s="125">
        <v>11.469180787046627</v>
      </c>
      <c r="I607" s="125">
        <v>11.793040781611184</v>
      </c>
      <c r="J607" s="125">
        <v>12.16767562955002</v>
      </c>
      <c r="K607" s="125">
        <v>12.511490000102429</v>
      </c>
      <c r="L607" s="125">
        <v>12.787641857707923</v>
      </c>
      <c r="M607" s="125">
        <v>12.498760375456923</v>
      </c>
      <c r="N607" s="131">
        <v>12.795494320090933</v>
      </c>
      <c r="O607" s="83"/>
      <c r="P607" s="64"/>
      <c r="Q607" s="14"/>
      <c r="R607" s="16"/>
      <c r="S607" s="16"/>
      <c r="T607" s="16"/>
      <c r="U607" s="16"/>
    </row>
    <row r="608" spans="1:21" ht="18.75" customHeight="1" x14ac:dyDescent="0.25">
      <c r="A608" s="14"/>
      <c r="B608" s="15"/>
      <c r="C608" s="122" t="s">
        <v>781</v>
      </c>
      <c r="D608" s="120" t="s">
        <v>782</v>
      </c>
      <c r="E608" s="125">
        <v>280</v>
      </c>
      <c r="F608" s="134">
        <v>65</v>
      </c>
      <c r="G608" s="134">
        <v>135</v>
      </c>
      <c r="H608" s="134">
        <v>240</v>
      </c>
      <c r="I608" s="134">
        <v>315</v>
      </c>
      <c r="J608" s="134">
        <v>370</v>
      </c>
      <c r="K608" s="134">
        <v>421</v>
      </c>
      <c r="L608" s="134">
        <v>490</v>
      </c>
      <c r="M608" s="134">
        <v>570</v>
      </c>
      <c r="N608" s="135">
        <v>500</v>
      </c>
      <c r="O608" s="83"/>
      <c r="P608" s="14"/>
      <c r="Q608" s="14"/>
      <c r="R608" s="16"/>
      <c r="S608" s="16"/>
      <c r="T608" s="16"/>
      <c r="U608" s="16"/>
    </row>
    <row r="609" spans="1:21" ht="18.75" customHeight="1" x14ac:dyDescent="0.25">
      <c r="A609" s="14"/>
      <c r="B609" s="15"/>
      <c r="C609" s="122"/>
      <c r="D609" s="210"/>
      <c r="E609" s="210"/>
      <c r="F609" s="210"/>
      <c r="G609" s="210"/>
      <c r="H609" s="210"/>
      <c r="I609" s="210"/>
      <c r="J609" s="210"/>
      <c r="K609" s="210"/>
      <c r="L609" s="210"/>
      <c r="M609" s="210"/>
      <c r="N609" s="115"/>
      <c r="O609" s="83"/>
      <c r="P609" s="58"/>
      <c r="Q609" s="14"/>
      <c r="R609" s="16"/>
      <c r="S609" s="16"/>
      <c r="T609" s="16"/>
      <c r="U609" s="16"/>
    </row>
    <row r="610" spans="1:21" ht="18.75" customHeight="1" x14ac:dyDescent="0.25">
      <c r="A610" s="14"/>
      <c r="B610" s="15"/>
      <c r="C610" s="2199" t="s">
        <v>2030</v>
      </c>
      <c r="D610" s="2200"/>
      <c r="E610" s="2200"/>
      <c r="F610" s="2200"/>
      <c r="G610" s="2200"/>
      <c r="H610" s="2200"/>
      <c r="I610" s="2200"/>
      <c r="J610" s="2200"/>
      <c r="K610" s="2200"/>
      <c r="L610" s="2200"/>
      <c r="M610" s="2200"/>
      <c r="N610" s="2201"/>
      <c r="O610" s="83"/>
      <c r="P610" s="61"/>
      <c r="Q610" s="14"/>
      <c r="R610" s="16"/>
      <c r="S610" s="16"/>
      <c r="T610" s="16"/>
      <c r="U610" s="16"/>
    </row>
    <row r="611" spans="1:21" ht="18.75" customHeight="1" x14ac:dyDescent="0.25">
      <c r="A611" s="14"/>
      <c r="B611" s="15"/>
      <c r="C611" s="2202" t="s">
        <v>407</v>
      </c>
      <c r="D611" s="210">
        <v>94</v>
      </c>
      <c r="E611" s="104" t="s">
        <v>679</v>
      </c>
      <c r="F611" s="210">
        <v>80</v>
      </c>
      <c r="G611" s="210">
        <v>180</v>
      </c>
      <c r="H611" s="210">
        <v>290</v>
      </c>
      <c r="I611" s="210">
        <v>340</v>
      </c>
      <c r="J611" s="210">
        <v>400</v>
      </c>
      <c r="K611" s="210">
        <v>450</v>
      </c>
      <c r="L611" s="210">
        <v>525</v>
      </c>
      <c r="M611" s="210">
        <v>525</v>
      </c>
      <c r="N611" s="115">
        <v>400</v>
      </c>
      <c r="O611" s="80"/>
      <c r="P611" s="59"/>
      <c r="Q611" s="14"/>
      <c r="R611" s="16"/>
      <c r="S611" s="16"/>
      <c r="T611" s="16"/>
      <c r="U611" s="16"/>
    </row>
    <row r="612" spans="1:21" ht="18.75" customHeight="1" x14ac:dyDescent="0.25">
      <c r="A612" s="14"/>
      <c r="B612" s="15"/>
      <c r="C612" s="119" t="s">
        <v>568</v>
      </c>
      <c r="D612" s="120" t="s">
        <v>623</v>
      </c>
      <c r="E612" s="110" t="s">
        <v>608</v>
      </c>
      <c r="F612" s="110" t="s">
        <v>957</v>
      </c>
      <c r="G612" s="110" t="s">
        <v>572</v>
      </c>
      <c r="H612" s="110" t="s">
        <v>530</v>
      </c>
      <c r="I612" s="110" t="s">
        <v>573</v>
      </c>
      <c r="J612" s="110" t="s">
        <v>574</v>
      </c>
      <c r="K612" s="110" t="s">
        <v>575</v>
      </c>
      <c r="L612" s="110" t="s">
        <v>576</v>
      </c>
      <c r="M612" s="110" t="s">
        <v>577</v>
      </c>
      <c r="N612" s="2203" t="s">
        <v>609</v>
      </c>
      <c r="O612" s="17"/>
      <c r="P612" s="62"/>
      <c r="Q612" s="14"/>
      <c r="R612" s="16"/>
      <c r="S612" s="16"/>
      <c r="T612" s="16"/>
      <c r="U612" s="16"/>
    </row>
    <row r="613" spans="1:21" ht="18.75" customHeight="1" x14ac:dyDescent="0.25">
      <c r="A613" s="14"/>
      <c r="B613" s="15"/>
      <c r="C613" s="119" t="s">
        <v>582</v>
      </c>
      <c r="D613" s="120" t="s">
        <v>566</v>
      </c>
      <c r="E613" s="121">
        <v>99238.492458879482</v>
      </c>
      <c r="F613" s="129">
        <v>5192.2706473949193</v>
      </c>
      <c r="G613" s="129">
        <v>17596.243108924682</v>
      </c>
      <c r="H613" s="129">
        <v>19193.500713436006</v>
      </c>
      <c r="I613" s="129">
        <v>7649.8412029154279</v>
      </c>
      <c r="J613" s="129">
        <v>9567.7290143677674</v>
      </c>
      <c r="K613" s="129">
        <v>7228.4008368537106</v>
      </c>
      <c r="L613" s="129">
        <v>12075.475568565924</v>
      </c>
      <c r="M613" s="129">
        <v>20735.031366421048</v>
      </c>
      <c r="N613" s="130">
        <v>41046.973279176258</v>
      </c>
      <c r="O613" s="80"/>
      <c r="P613" s="62"/>
      <c r="Q613" s="14"/>
      <c r="R613" s="16"/>
      <c r="S613" s="16"/>
      <c r="T613" s="16"/>
      <c r="U613" s="16"/>
    </row>
    <row r="614" spans="1:21" ht="27" customHeight="1" x14ac:dyDescent="0.25">
      <c r="A614" s="14"/>
      <c r="B614" s="15"/>
      <c r="C614" s="119" t="s">
        <v>582</v>
      </c>
      <c r="D614" s="120" t="s">
        <v>628</v>
      </c>
      <c r="E614" s="145">
        <v>15778.920300961838</v>
      </c>
      <c r="F614" s="129">
        <v>825.57103293579223</v>
      </c>
      <c r="G614" s="129">
        <v>2797.8026543190244</v>
      </c>
      <c r="H614" s="129">
        <v>3051.7666134363249</v>
      </c>
      <c r="I614" s="129">
        <v>1216.324751263553</v>
      </c>
      <c r="J614" s="129">
        <v>1521.268913284475</v>
      </c>
      <c r="K614" s="129">
        <v>1149.3157330597401</v>
      </c>
      <c r="L614" s="129">
        <v>1920.000615401982</v>
      </c>
      <c r="M614" s="129">
        <v>3296.8699872609468</v>
      </c>
      <c r="N614" s="130">
        <v>6526.4687513890249</v>
      </c>
      <c r="O614" s="80"/>
      <c r="P614" s="62"/>
      <c r="Q614" s="14"/>
      <c r="R614" s="16"/>
      <c r="S614" s="16"/>
      <c r="T614" s="16"/>
      <c r="U614" s="16"/>
    </row>
    <row r="615" spans="1:21" ht="18.75" customHeight="1" x14ac:dyDescent="0.25">
      <c r="A615" s="14"/>
      <c r="B615" s="15"/>
      <c r="C615" s="119" t="s">
        <v>620</v>
      </c>
      <c r="D615" s="120" t="s">
        <v>622</v>
      </c>
      <c r="E615" s="129">
        <v>13840950</v>
      </c>
      <c r="F615" s="129">
        <v>553638</v>
      </c>
      <c r="G615" s="129">
        <v>2145347.25</v>
      </c>
      <c r="H615" s="129">
        <v>2698985.25</v>
      </c>
      <c r="I615" s="129">
        <v>1107276</v>
      </c>
      <c r="J615" s="129">
        <v>1384095</v>
      </c>
      <c r="K615" s="129">
        <v>1038071.25</v>
      </c>
      <c r="L615" s="129">
        <v>1730118.75</v>
      </c>
      <c r="M615" s="129">
        <v>3183418.5</v>
      </c>
      <c r="N615" s="130">
        <v>5951608.5000000009</v>
      </c>
      <c r="O615" s="81"/>
      <c r="P615" s="60"/>
      <c r="Q615" s="14"/>
      <c r="R615" s="16"/>
      <c r="S615" s="16"/>
      <c r="T615" s="16"/>
      <c r="U615" s="16"/>
    </row>
    <row r="616" spans="1:21" ht="18.75" customHeight="1" x14ac:dyDescent="0.25">
      <c r="A616" s="14"/>
      <c r="B616" s="15"/>
      <c r="C616" s="122" t="s">
        <v>776</v>
      </c>
      <c r="D616" s="120" t="s">
        <v>579</v>
      </c>
      <c r="E616" s="125">
        <v>1.9307954327671384</v>
      </c>
      <c r="F616" s="125">
        <v>0</v>
      </c>
      <c r="G616" s="125">
        <v>0</v>
      </c>
      <c r="H616" s="125">
        <v>0.89067483427588101</v>
      </c>
      <c r="I616" s="125">
        <v>1.5500083283606778</v>
      </c>
      <c r="J616" s="125">
        <v>2.0545133496827077</v>
      </c>
      <c r="K616" s="125">
        <v>2.5371761985981474</v>
      </c>
      <c r="L616" s="125">
        <v>3.0641509804732063</v>
      </c>
      <c r="M616" s="125">
        <v>3.7145858756182806</v>
      </c>
      <c r="N616" s="131">
        <v>3.3201438112702704</v>
      </c>
      <c r="O616" s="82"/>
      <c r="P616" s="63"/>
      <c r="Q616" s="14"/>
      <c r="R616" s="16"/>
      <c r="S616" s="16"/>
      <c r="T616" s="16"/>
      <c r="U616" s="16"/>
    </row>
    <row r="617" spans="1:21" ht="18.75" customHeight="1" x14ac:dyDescent="0.25">
      <c r="A617" s="14"/>
      <c r="B617" s="15"/>
      <c r="C617" s="122" t="s">
        <v>777</v>
      </c>
      <c r="D617" s="210" t="s">
        <v>778</v>
      </c>
      <c r="E617" s="125">
        <v>1733.0944981869286</v>
      </c>
      <c r="F617" s="132">
        <v>248.23552273936912</v>
      </c>
      <c r="G617" s="132">
        <v>1706.7073827234435</v>
      </c>
      <c r="H617" s="132">
        <v>2267.6180844932987</v>
      </c>
      <c r="I617" s="132">
        <v>1777.7337065615502</v>
      </c>
      <c r="J617" s="132">
        <v>1320.0224432367395</v>
      </c>
      <c r="K617" s="132">
        <v>1007.9725118742317</v>
      </c>
      <c r="L617" s="132">
        <v>1143.6984538994693</v>
      </c>
      <c r="M617" s="125">
        <v>2276.7770456627295</v>
      </c>
      <c r="N617" s="133">
        <v>1726.0906177451834</v>
      </c>
      <c r="O617" s="82"/>
      <c r="P617" s="60"/>
      <c r="Q617" s="14"/>
      <c r="R617" s="16"/>
      <c r="S617" s="16"/>
      <c r="T617" s="16"/>
      <c r="U617" s="16"/>
    </row>
    <row r="618" spans="1:21" ht="18.75" customHeight="1" x14ac:dyDescent="0.25">
      <c r="A618" s="14"/>
      <c r="B618" s="15"/>
      <c r="C618" s="119" t="s">
        <v>779</v>
      </c>
      <c r="D618" s="120" t="s">
        <v>970</v>
      </c>
      <c r="E618" s="132">
        <v>31.1</v>
      </c>
      <c r="F618" s="125">
        <v>79.293397732402013</v>
      </c>
      <c r="G618" s="125">
        <v>52.852031983022613</v>
      </c>
      <c r="H618" s="125">
        <v>28.337712414351188</v>
      </c>
      <c r="I618" s="125">
        <v>23.7823541743644</v>
      </c>
      <c r="J618" s="125">
        <v>23.870491600498468</v>
      </c>
      <c r="K618" s="125">
        <v>25.009476083042159</v>
      </c>
      <c r="L618" s="125">
        <v>25.375059699576838</v>
      </c>
      <c r="M618" s="125">
        <v>14.898468721839293</v>
      </c>
      <c r="N618" s="131">
        <v>23.514511694300808</v>
      </c>
      <c r="O618" s="82"/>
      <c r="P618" s="60"/>
      <c r="Q618" s="14"/>
      <c r="R618" s="16"/>
      <c r="S618" s="16"/>
      <c r="T618" s="16"/>
      <c r="U618" s="16"/>
    </row>
    <row r="619" spans="1:21" ht="18.75" customHeight="1" x14ac:dyDescent="0.25">
      <c r="A619" s="14"/>
      <c r="B619" s="15"/>
      <c r="C619" s="119" t="s">
        <v>580</v>
      </c>
      <c r="D619" s="120" t="s">
        <v>581</v>
      </c>
      <c r="E619" s="125">
        <v>870.5</v>
      </c>
      <c r="F619" s="125">
        <v>670.61219194091871</v>
      </c>
      <c r="G619" s="125">
        <v>766.79720304367572</v>
      </c>
      <c r="H619" s="125">
        <v>884.40093620426342</v>
      </c>
      <c r="I619" s="125">
        <v>910.34569414930513</v>
      </c>
      <c r="J619" s="125">
        <v>909.82927996056162</v>
      </c>
      <c r="K619" s="125">
        <v>903.20807428296325</v>
      </c>
      <c r="L619" s="125">
        <v>901.10322680171259</v>
      </c>
      <c r="M619" s="125">
        <v>965.58812215849525</v>
      </c>
      <c r="N619" s="131">
        <v>911.91863880958954</v>
      </c>
      <c r="O619" s="83"/>
      <c r="P619" s="60"/>
      <c r="Q619" s="14"/>
      <c r="R619" s="16"/>
      <c r="S619" s="16"/>
      <c r="T619" s="16"/>
      <c r="U619" s="16"/>
    </row>
    <row r="620" spans="1:21" ht="18.75" customHeight="1" x14ac:dyDescent="0.25">
      <c r="A620" s="14"/>
      <c r="B620" s="15"/>
      <c r="C620" s="119" t="s">
        <v>541</v>
      </c>
      <c r="D620" s="120" t="s">
        <v>579</v>
      </c>
      <c r="E620" s="125">
        <v>12.623745570992837</v>
      </c>
      <c r="F620" s="125">
        <v>16.023711382797757</v>
      </c>
      <c r="G620" s="125">
        <v>13.635354674128523</v>
      </c>
      <c r="H620" s="125">
        <v>11.747400907330578</v>
      </c>
      <c r="I620" s="125">
        <v>12.058564194812636</v>
      </c>
      <c r="J620" s="125">
        <v>12.200833432966732</v>
      </c>
      <c r="K620" s="125">
        <v>12.503511450350814</v>
      </c>
      <c r="L620" s="125">
        <v>12.722618173856294</v>
      </c>
      <c r="M620" s="125">
        <v>12.459629803789177</v>
      </c>
      <c r="N620" s="131">
        <v>12.543733686929901</v>
      </c>
      <c r="O620" s="84"/>
      <c r="P620" s="60"/>
      <c r="Q620" s="14"/>
      <c r="R620" s="16"/>
      <c r="S620" s="16"/>
      <c r="T620" s="16"/>
      <c r="U620" s="16"/>
    </row>
    <row r="621" spans="1:21" ht="18.75" customHeight="1" x14ac:dyDescent="0.25">
      <c r="A621" s="14"/>
      <c r="B621" s="15"/>
      <c r="C621" s="119" t="s">
        <v>544</v>
      </c>
      <c r="D621" s="120" t="s">
        <v>579</v>
      </c>
      <c r="E621" s="125">
        <v>4.62</v>
      </c>
      <c r="F621" s="128"/>
      <c r="G621" s="128"/>
      <c r="H621" s="128"/>
      <c r="I621" s="128"/>
      <c r="J621" s="128"/>
      <c r="K621" s="128"/>
      <c r="L621" s="128"/>
      <c r="M621" s="125">
        <v>20.066869565217392</v>
      </c>
      <c r="N621" s="131">
        <v>10.744186046511626</v>
      </c>
      <c r="O621" s="83"/>
      <c r="P621" s="60"/>
      <c r="Q621" s="14"/>
      <c r="R621" s="16"/>
      <c r="S621" s="16"/>
      <c r="T621" s="16"/>
      <c r="U621" s="16"/>
    </row>
    <row r="622" spans="1:21" ht="18.75" customHeight="1" x14ac:dyDescent="0.25">
      <c r="A622" s="14"/>
      <c r="B622" s="15"/>
      <c r="C622" s="119" t="s">
        <v>780</v>
      </c>
      <c r="D622" s="120" t="s">
        <v>783</v>
      </c>
      <c r="E622" s="125">
        <v>12.003018445665903</v>
      </c>
      <c r="F622" s="125">
        <v>12.686818703628164</v>
      </c>
      <c r="G622" s="125">
        <v>11.707689934940008</v>
      </c>
      <c r="H622" s="125">
        <v>11.000905354035121</v>
      </c>
      <c r="I622" s="125">
        <v>11.184567689362787</v>
      </c>
      <c r="J622" s="125">
        <v>11.529408483206545</v>
      </c>
      <c r="K622" s="125">
        <v>11.935976276235971</v>
      </c>
      <c r="L622" s="125">
        <v>12.351043299324157</v>
      </c>
      <c r="M622" s="125">
        <v>12.074868795390858</v>
      </c>
      <c r="N622" s="131">
        <v>12.438374841754486</v>
      </c>
      <c r="O622" s="83"/>
      <c r="P622" s="64"/>
      <c r="Q622" s="14"/>
      <c r="R622" s="16"/>
      <c r="S622" s="16"/>
      <c r="T622" s="16"/>
      <c r="U622" s="16"/>
    </row>
    <row r="623" spans="1:21" ht="18.75" customHeight="1" x14ac:dyDescent="0.25">
      <c r="A623" s="14"/>
      <c r="B623" s="15"/>
      <c r="C623" s="122" t="s">
        <v>781</v>
      </c>
      <c r="D623" s="120" t="s">
        <v>782</v>
      </c>
      <c r="E623" s="125">
        <v>360</v>
      </c>
      <c r="F623" s="134">
        <v>70</v>
      </c>
      <c r="G623" s="134">
        <v>130</v>
      </c>
      <c r="H623" s="134">
        <v>240</v>
      </c>
      <c r="I623" s="134">
        <v>315</v>
      </c>
      <c r="J623" s="134">
        <v>370</v>
      </c>
      <c r="K623" s="134">
        <v>425</v>
      </c>
      <c r="L623" s="134">
        <v>495</v>
      </c>
      <c r="M623" s="134">
        <v>610</v>
      </c>
      <c r="N623" s="135">
        <v>540</v>
      </c>
      <c r="O623" s="83"/>
      <c r="P623" s="64"/>
      <c r="Q623" s="14"/>
      <c r="R623" s="16"/>
      <c r="S623" s="16"/>
      <c r="T623" s="16"/>
      <c r="U623" s="16"/>
    </row>
    <row r="624" spans="1:21" ht="18.75" customHeight="1" x14ac:dyDescent="0.25">
      <c r="A624" s="14"/>
      <c r="B624" s="15"/>
      <c r="C624" s="122"/>
      <c r="D624" s="210"/>
      <c r="E624" s="210"/>
      <c r="F624" s="210"/>
      <c r="G624" s="210"/>
      <c r="H624" s="210"/>
      <c r="I624" s="210"/>
      <c r="J624" s="210"/>
      <c r="K624" s="210"/>
      <c r="L624" s="210"/>
      <c r="M624" s="210"/>
      <c r="N624" s="115"/>
      <c r="O624" s="83"/>
      <c r="P624" s="58"/>
      <c r="Q624" s="14"/>
      <c r="R624" s="16"/>
      <c r="S624" s="16"/>
      <c r="T624" s="16"/>
      <c r="U624" s="16"/>
    </row>
    <row r="625" spans="1:21" ht="18.75" customHeight="1" x14ac:dyDescent="0.25">
      <c r="A625" s="14"/>
      <c r="B625" s="15"/>
      <c r="C625" s="2199" t="s">
        <v>2031</v>
      </c>
      <c r="D625" s="2200"/>
      <c r="E625" s="2200"/>
      <c r="F625" s="2200"/>
      <c r="G625" s="2200"/>
      <c r="H625" s="2200"/>
      <c r="I625" s="2200"/>
      <c r="J625" s="2200"/>
      <c r="K625" s="2200"/>
      <c r="L625" s="2200"/>
      <c r="M625" s="2200"/>
      <c r="N625" s="2201"/>
      <c r="O625" s="83"/>
      <c r="P625" s="61"/>
      <c r="Q625" s="14"/>
      <c r="R625" s="16"/>
      <c r="S625" s="16"/>
      <c r="T625" s="16"/>
      <c r="U625" s="16"/>
    </row>
    <row r="626" spans="1:21" ht="18.75" customHeight="1" x14ac:dyDescent="0.25">
      <c r="A626" s="14"/>
      <c r="B626" s="15"/>
      <c r="C626" s="2202" t="s">
        <v>407</v>
      </c>
      <c r="D626" s="210">
        <v>98</v>
      </c>
      <c r="E626" s="104" t="s">
        <v>679</v>
      </c>
      <c r="F626" s="210">
        <v>80</v>
      </c>
      <c r="G626" s="210">
        <v>180</v>
      </c>
      <c r="H626" s="210">
        <v>290</v>
      </c>
      <c r="I626" s="210">
        <v>340</v>
      </c>
      <c r="J626" s="210">
        <v>400</v>
      </c>
      <c r="K626" s="210">
        <v>450</v>
      </c>
      <c r="L626" s="210">
        <v>525</v>
      </c>
      <c r="M626" s="210">
        <v>525</v>
      </c>
      <c r="N626" s="115">
        <v>400</v>
      </c>
      <c r="O626" s="80"/>
      <c r="P626" s="59"/>
      <c r="Q626" s="14"/>
      <c r="R626" s="16"/>
      <c r="S626" s="16"/>
      <c r="T626" s="16"/>
      <c r="U626" s="16"/>
    </row>
    <row r="627" spans="1:21" ht="18.75" customHeight="1" x14ac:dyDescent="0.25">
      <c r="A627" s="14"/>
      <c r="B627" s="15"/>
      <c r="C627" s="119" t="s">
        <v>568</v>
      </c>
      <c r="D627" s="120" t="s">
        <v>623</v>
      </c>
      <c r="E627" s="110" t="s">
        <v>608</v>
      </c>
      <c r="F627" s="110" t="s">
        <v>957</v>
      </c>
      <c r="G627" s="110" t="s">
        <v>572</v>
      </c>
      <c r="H627" s="110" t="s">
        <v>530</v>
      </c>
      <c r="I627" s="110" t="s">
        <v>573</v>
      </c>
      <c r="J627" s="110" t="s">
        <v>574</v>
      </c>
      <c r="K627" s="110" t="s">
        <v>575</v>
      </c>
      <c r="L627" s="110" t="s">
        <v>576</v>
      </c>
      <c r="M627" s="110" t="s">
        <v>577</v>
      </c>
      <c r="N627" s="2203" t="s">
        <v>609</v>
      </c>
      <c r="O627" s="17"/>
      <c r="P627" s="62"/>
      <c r="Q627" s="14"/>
      <c r="R627" s="16"/>
      <c r="S627" s="16"/>
      <c r="T627" s="16"/>
      <c r="U627" s="16"/>
    </row>
    <row r="628" spans="1:21" ht="18.75" customHeight="1" x14ac:dyDescent="0.25">
      <c r="A628" s="14"/>
      <c r="B628" s="15"/>
      <c r="C628" s="119" t="s">
        <v>582</v>
      </c>
      <c r="D628" s="120" t="s">
        <v>566</v>
      </c>
      <c r="E628" s="121">
        <v>100398.19465326896</v>
      </c>
      <c r="F628" s="129">
        <v>7999.2392570984748</v>
      </c>
      <c r="G628" s="129">
        <v>10786.728256824199</v>
      </c>
      <c r="H628" s="129">
        <v>19113.120371027144</v>
      </c>
      <c r="I628" s="129">
        <v>8130.7399123064133</v>
      </c>
      <c r="J628" s="129">
        <v>7989.9165294392878</v>
      </c>
      <c r="K628" s="129">
        <v>6887.5587313144988</v>
      </c>
      <c r="L628" s="129">
        <v>10629.492362212248</v>
      </c>
      <c r="M628" s="129">
        <v>28861.39923304669</v>
      </c>
      <c r="N628" s="130">
        <v>46675.391837424315</v>
      </c>
      <c r="O628" s="85"/>
      <c r="P628" s="62"/>
      <c r="Q628" s="14"/>
      <c r="R628" s="16"/>
      <c r="S628" s="16"/>
      <c r="T628" s="16"/>
      <c r="U628" s="16"/>
    </row>
    <row r="629" spans="1:21" ht="37.5" customHeight="1" x14ac:dyDescent="0.25">
      <c r="A629" s="14"/>
      <c r="B629" s="15"/>
      <c r="C629" s="119" t="s">
        <v>582</v>
      </c>
      <c r="D629" s="120" t="s">
        <v>628</v>
      </c>
      <c r="E629" s="145">
        <v>15963.312949869765</v>
      </c>
      <c r="F629" s="129">
        <v>1271.8790418786575</v>
      </c>
      <c r="G629" s="129">
        <v>1715.0897928350478</v>
      </c>
      <c r="H629" s="129">
        <v>3038.9861389933158</v>
      </c>
      <c r="I629" s="129">
        <v>1292.7876460567197</v>
      </c>
      <c r="J629" s="129">
        <v>1270.3967281808468</v>
      </c>
      <c r="K629" s="129">
        <v>1095.1218382790053</v>
      </c>
      <c r="L629" s="129">
        <v>1690.0892855917475</v>
      </c>
      <c r="M629" s="129">
        <v>4588.9624780544236</v>
      </c>
      <c r="N629" s="130">
        <v>7421.387302150466</v>
      </c>
      <c r="O629" s="86"/>
      <c r="P629" s="62"/>
      <c r="Q629" s="14"/>
      <c r="R629" s="16"/>
      <c r="S629" s="16"/>
      <c r="T629" s="16"/>
      <c r="U629" s="16"/>
    </row>
    <row r="630" spans="1:21" ht="18.75" customHeight="1" x14ac:dyDescent="0.25">
      <c r="A630" s="14"/>
      <c r="B630" s="15"/>
      <c r="C630" s="119" t="s">
        <v>620</v>
      </c>
      <c r="D630" s="120" t="s">
        <v>622</v>
      </c>
      <c r="E630" s="129">
        <v>14203470</v>
      </c>
      <c r="F630" s="129">
        <v>852208.2</v>
      </c>
      <c r="G630" s="129">
        <v>1278312.3</v>
      </c>
      <c r="H630" s="129">
        <v>2556624.6</v>
      </c>
      <c r="I630" s="129">
        <v>1136277.6000000001</v>
      </c>
      <c r="J630" s="129">
        <v>1136277.6000000001</v>
      </c>
      <c r="K630" s="129">
        <v>994242.90000000014</v>
      </c>
      <c r="L630" s="129">
        <v>1562381.7</v>
      </c>
      <c r="M630" s="129">
        <v>4687145.1000000006</v>
      </c>
      <c r="N630" s="130">
        <v>7243769.7000000002</v>
      </c>
      <c r="O630" s="87"/>
      <c r="P630" s="60"/>
      <c r="Q630" s="14"/>
      <c r="R630" s="16"/>
      <c r="S630" s="16"/>
      <c r="T630" s="16"/>
      <c r="U630" s="16"/>
    </row>
    <row r="631" spans="1:21" ht="18.75" customHeight="1" x14ac:dyDescent="0.25">
      <c r="A631" s="14"/>
      <c r="B631" s="15"/>
      <c r="C631" s="122" t="s">
        <v>776</v>
      </c>
      <c r="D631" s="120" t="s">
        <v>579</v>
      </c>
      <c r="E631" s="125">
        <v>2.5474487306345299</v>
      </c>
      <c r="F631" s="125">
        <v>6.0945498941017029E-2</v>
      </c>
      <c r="G631" s="125">
        <v>0</v>
      </c>
      <c r="H631" s="125">
        <v>0.68041634927321148</v>
      </c>
      <c r="I631" s="125">
        <v>1.2996664618119356</v>
      </c>
      <c r="J631" s="125">
        <v>1.7618315924053989</v>
      </c>
      <c r="K631" s="125">
        <v>2.3201582472825022</v>
      </c>
      <c r="L631" s="125">
        <v>3.026595394193258</v>
      </c>
      <c r="M631" s="125">
        <v>5.0941231600620336</v>
      </c>
      <c r="N631" s="131">
        <v>4.2674455166500094</v>
      </c>
      <c r="O631" s="88"/>
      <c r="P631" s="63"/>
      <c r="Q631" s="14"/>
      <c r="R631" s="16"/>
      <c r="S631" s="16"/>
      <c r="T631" s="16"/>
      <c r="U631" s="16"/>
    </row>
    <row r="632" spans="1:21" ht="18.75" customHeight="1" x14ac:dyDescent="0.25">
      <c r="A632" s="14"/>
      <c r="B632" s="15"/>
      <c r="C632" s="122" t="s">
        <v>777</v>
      </c>
      <c r="D632" s="210" t="s">
        <v>778</v>
      </c>
      <c r="E632" s="125">
        <v>2167.3855037164026</v>
      </c>
      <c r="F632" s="132">
        <v>389.0743803726557</v>
      </c>
      <c r="G632" s="132">
        <v>1718.0471694133794</v>
      </c>
      <c r="H632" s="132">
        <v>2122.9178530922572</v>
      </c>
      <c r="I632" s="132">
        <v>1693.2499173813576</v>
      </c>
      <c r="J632" s="132">
        <v>1371.8627930288603</v>
      </c>
      <c r="K632" s="132">
        <v>1123.4970761633522</v>
      </c>
      <c r="L632" s="132">
        <v>1160.7984994406852</v>
      </c>
      <c r="M632" s="125">
        <v>3502.2725302651679</v>
      </c>
      <c r="N632" s="133">
        <v>2670.7501279557164</v>
      </c>
      <c r="O632" s="88"/>
      <c r="P632" s="60"/>
      <c r="Q632" s="14"/>
      <c r="R632" s="16"/>
      <c r="S632" s="16"/>
      <c r="T632" s="16"/>
      <c r="U632" s="16"/>
    </row>
    <row r="633" spans="1:21" ht="18.75" customHeight="1" x14ac:dyDescent="0.25">
      <c r="A633" s="14"/>
      <c r="B633" s="15"/>
      <c r="C633" s="119" t="s">
        <v>779</v>
      </c>
      <c r="D633" s="120" t="s">
        <v>970</v>
      </c>
      <c r="E633" s="132">
        <v>26.9</v>
      </c>
      <c r="F633" s="125">
        <v>79.473812625448346</v>
      </c>
      <c r="G633" s="125">
        <v>58.161134261602882</v>
      </c>
      <c r="H633" s="125">
        <v>36.531306738176028</v>
      </c>
      <c r="I633" s="125">
        <v>29.331531314959975</v>
      </c>
      <c r="J633" s="125">
        <v>26.545949614432061</v>
      </c>
      <c r="K633" s="125">
        <v>24.20350542353836</v>
      </c>
      <c r="L633" s="125">
        <v>21.415304558309714</v>
      </c>
      <c r="M633" s="125">
        <v>6.8995115762291732</v>
      </c>
      <c r="N633" s="131">
        <v>13.326792166734066</v>
      </c>
      <c r="O633" s="88"/>
      <c r="P633" s="60"/>
      <c r="Q633" s="14"/>
      <c r="R633" s="16"/>
      <c r="S633" s="16"/>
      <c r="T633" s="16"/>
      <c r="U633" s="16"/>
    </row>
    <row r="634" spans="1:21" ht="18.75" customHeight="1" x14ac:dyDescent="0.25">
      <c r="A634" s="14"/>
      <c r="B634" s="15"/>
      <c r="C634" s="119" t="s">
        <v>580</v>
      </c>
      <c r="D634" s="120" t="s">
        <v>581</v>
      </c>
      <c r="E634" s="125">
        <v>893.3</v>
      </c>
      <c r="F634" s="125">
        <v>670.03871589960841</v>
      </c>
      <c r="G634" s="125">
        <v>745.33257986857154</v>
      </c>
      <c r="H634" s="125">
        <v>841.2755054048713</v>
      </c>
      <c r="I634" s="125">
        <v>878.93599808591227</v>
      </c>
      <c r="J634" s="125">
        <v>894.42736650235281</v>
      </c>
      <c r="K634" s="125">
        <v>907.88336534541452</v>
      </c>
      <c r="L634" s="125">
        <v>924.43737340951577</v>
      </c>
      <c r="M634" s="125">
        <v>1021.395385648741</v>
      </c>
      <c r="N634" s="131">
        <v>976.06679251209562</v>
      </c>
      <c r="O634" s="89"/>
      <c r="P634" s="60"/>
      <c r="Q634" s="14"/>
      <c r="R634" s="16"/>
      <c r="S634" s="16"/>
      <c r="T634" s="16"/>
      <c r="U634" s="16"/>
    </row>
    <row r="635" spans="1:21" ht="18.75" customHeight="1" x14ac:dyDescent="0.25">
      <c r="A635" s="14"/>
      <c r="B635" s="15"/>
      <c r="C635" s="119" t="s">
        <v>541</v>
      </c>
      <c r="D635" s="120" t="s">
        <v>579</v>
      </c>
      <c r="E635" s="125">
        <v>12.158536238231507</v>
      </c>
      <c r="F635" s="125">
        <v>15.62188692461155</v>
      </c>
      <c r="G635" s="125">
        <v>14.167131892206424</v>
      </c>
      <c r="H635" s="125">
        <v>12.760077777789462</v>
      </c>
      <c r="I635" s="125">
        <v>12.895581654174165</v>
      </c>
      <c r="J635" s="125">
        <v>12.605532289618516</v>
      </c>
      <c r="K635" s="125">
        <v>12.380664055277322</v>
      </c>
      <c r="L635" s="125">
        <v>12.09779289700376</v>
      </c>
      <c r="M635" s="125">
        <v>10.339013134578458</v>
      </c>
      <c r="N635" s="131">
        <v>10.998584386177878</v>
      </c>
      <c r="O635" s="90"/>
      <c r="P635" s="60"/>
      <c r="Q635" s="14"/>
      <c r="R635" s="16"/>
      <c r="S635" s="16"/>
      <c r="T635" s="16"/>
      <c r="U635" s="16"/>
    </row>
    <row r="636" spans="1:21" ht="18.75" customHeight="1" x14ac:dyDescent="0.25">
      <c r="A636" s="14"/>
      <c r="B636" s="15"/>
      <c r="C636" s="119" t="s">
        <v>544</v>
      </c>
      <c r="D636" s="120" t="s">
        <v>579</v>
      </c>
      <c r="E636" s="125">
        <v>5.9</v>
      </c>
      <c r="F636" s="128"/>
      <c r="G636" s="128"/>
      <c r="H636" s="128"/>
      <c r="I636" s="128"/>
      <c r="J636" s="128"/>
      <c r="K636" s="128"/>
      <c r="L636" s="128"/>
      <c r="M636" s="125">
        <v>17.860909090909086</v>
      </c>
      <c r="N636" s="131">
        <v>11.568627450980392</v>
      </c>
      <c r="O636" s="89"/>
      <c r="P636" s="60"/>
      <c r="Q636" s="14"/>
      <c r="R636" s="16"/>
      <c r="S636" s="16"/>
      <c r="T636" s="16"/>
      <c r="U636" s="16"/>
    </row>
    <row r="637" spans="1:21" ht="18.75" customHeight="1" x14ac:dyDescent="0.25">
      <c r="A637" s="14"/>
      <c r="B637" s="15"/>
      <c r="C637" s="119" t="s">
        <v>780</v>
      </c>
      <c r="D637" s="120" t="s">
        <v>783</v>
      </c>
      <c r="E637" s="125">
        <v>11.934205791347278</v>
      </c>
      <c r="F637" s="125">
        <v>12.446034483356584</v>
      </c>
      <c r="G637" s="125">
        <v>11.944431899630784</v>
      </c>
      <c r="H637" s="125">
        <v>11.56483331761916</v>
      </c>
      <c r="I637" s="125">
        <v>11.616994143220758</v>
      </c>
      <c r="J637" s="125">
        <v>11.727943275782369</v>
      </c>
      <c r="K637" s="125">
        <v>11.874510051238353</v>
      </c>
      <c r="L637" s="125">
        <v>12.013106264332123</v>
      </c>
      <c r="M637" s="125">
        <v>11.584920130012698</v>
      </c>
      <c r="N637" s="131">
        <v>11.899980763747728</v>
      </c>
      <c r="O637" s="89"/>
      <c r="P637" s="64"/>
      <c r="Q637" s="14"/>
      <c r="R637" s="16"/>
      <c r="S637" s="16"/>
      <c r="T637" s="16"/>
      <c r="U637" s="16"/>
    </row>
    <row r="638" spans="1:21" ht="18.75" customHeight="1" x14ac:dyDescent="0.25">
      <c r="A638" s="14"/>
      <c r="B638" s="15"/>
      <c r="C638" s="122" t="s">
        <v>781</v>
      </c>
      <c r="D638" s="120" t="s">
        <v>782</v>
      </c>
      <c r="E638" s="125">
        <v>400</v>
      </c>
      <c r="F638" s="134">
        <v>50</v>
      </c>
      <c r="G638" s="134">
        <v>120</v>
      </c>
      <c r="H638" s="134">
        <v>240</v>
      </c>
      <c r="I638" s="134">
        <v>320</v>
      </c>
      <c r="J638" s="134">
        <v>370</v>
      </c>
      <c r="K638" s="134">
        <v>425</v>
      </c>
      <c r="L638" s="134">
        <v>490</v>
      </c>
      <c r="M638" s="134">
        <v>650</v>
      </c>
      <c r="N638" s="135">
        <v>600</v>
      </c>
      <c r="O638" s="89"/>
      <c r="P638" s="14"/>
      <c r="Q638" s="14"/>
      <c r="R638" s="16"/>
      <c r="S638" s="16"/>
      <c r="T638" s="16"/>
      <c r="U638" s="16"/>
    </row>
    <row r="639" spans="1:21" ht="18.75" customHeight="1" x14ac:dyDescent="0.25">
      <c r="A639" s="14"/>
      <c r="B639" s="15"/>
      <c r="C639" s="122"/>
      <c r="D639" s="210"/>
      <c r="E639" s="210"/>
      <c r="F639" s="210"/>
      <c r="G639" s="210"/>
      <c r="H639" s="210"/>
      <c r="I639" s="210"/>
      <c r="J639" s="210"/>
      <c r="K639" s="210"/>
      <c r="L639" s="210"/>
      <c r="M639" s="210"/>
      <c r="N639" s="115"/>
      <c r="O639" s="89"/>
      <c r="P639" s="12"/>
      <c r="Q639" s="14"/>
      <c r="R639" s="16"/>
      <c r="S639" s="16"/>
      <c r="T639" s="16"/>
      <c r="U639" s="16"/>
    </row>
    <row r="640" spans="1:21" ht="18.75" customHeight="1" x14ac:dyDescent="0.25">
      <c r="A640" s="14"/>
      <c r="B640" s="15"/>
      <c r="C640" s="2199" t="s">
        <v>2032</v>
      </c>
      <c r="D640" s="2200"/>
      <c r="E640" s="2200"/>
      <c r="F640" s="2200"/>
      <c r="G640" s="2200"/>
      <c r="H640" s="2200"/>
      <c r="I640" s="2200"/>
      <c r="J640" s="2200"/>
      <c r="K640" s="2200"/>
      <c r="L640" s="2200"/>
      <c r="M640" s="2200"/>
      <c r="N640" s="2201"/>
      <c r="O640" s="89"/>
      <c r="P640" s="65"/>
      <c r="Q640" s="14"/>
      <c r="R640" s="16"/>
      <c r="S640" s="16"/>
      <c r="T640" s="16"/>
      <c r="U640" s="16"/>
    </row>
    <row r="641" spans="1:21" ht="18.75" customHeight="1" x14ac:dyDescent="0.25">
      <c r="A641" s="14"/>
      <c r="B641" s="15"/>
      <c r="C641" s="2202" t="s">
        <v>407</v>
      </c>
      <c r="D641" s="210">
        <v>97</v>
      </c>
      <c r="E641" s="104" t="s">
        <v>679</v>
      </c>
      <c r="F641" s="210">
        <v>80</v>
      </c>
      <c r="G641" s="210">
        <v>180</v>
      </c>
      <c r="H641" s="210">
        <v>290</v>
      </c>
      <c r="I641" s="210">
        <v>340</v>
      </c>
      <c r="J641" s="210">
        <v>400</v>
      </c>
      <c r="K641" s="210">
        <v>450</v>
      </c>
      <c r="L641" s="210">
        <v>525</v>
      </c>
      <c r="M641" s="210">
        <v>525</v>
      </c>
      <c r="N641" s="115">
        <v>400</v>
      </c>
      <c r="O641" s="91"/>
      <c r="P641" s="3"/>
      <c r="Q641" s="14"/>
      <c r="R641" s="16"/>
      <c r="S641" s="16"/>
      <c r="T641" s="16"/>
      <c r="U641" s="16"/>
    </row>
    <row r="642" spans="1:21" ht="18.75" customHeight="1" x14ac:dyDescent="0.25">
      <c r="A642" s="14"/>
      <c r="B642" s="15"/>
      <c r="C642" s="119" t="s">
        <v>568</v>
      </c>
      <c r="D642" s="120" t="s">
        <v>623</v>
      </c>
      <c r="E642" s="110" t="s">
        <v>608</v>
      </c>
      <c r="F642" s="110" t="s">
        <v>957</v>
      </c>
      <c r="G642" s="110" t="s">
        <v>572</v>
      </c>
      <c r="H642" s="110" t="s">
        <v>530</v>
      </c>
      <c r="I642" s="110" t="s">
        <v>573</v>
      </c>
      <c r="J642" s="110" t="s">
        <v>574</v>
      </c>
      <c r="K642" s="110" t="s">
        <v>575</v>
      </c>
      <c r="L642" s="110" t="s">
        <v>576</v>
      </c>
      <c r="M642" s="110" t="s">
        <v>577</v>
      </c>
      <c r="N642" s="2203" t="s">
        <v>609</v>
      </c>
      <c r="O642" s="91"/>
      <c r="P642" s="4"/>
      <c r="Q642" s="14"/>
      <c r="R642" s="16"/>
      <c r="S642" s="16"/>
      <c r="T642" s="16"/>
      <c r="U642" s="16"/>
    </row>
    <row r="643" spans="1:21" ht="18.75" customHeight="1" x14ac:dyDescent="0.25">
      <c r="A643" s="14"/>
      <c r="B643" s="15"/>
      <c r="C643" s="119" t="s">
        <v>582</v>
      </c>
      <c r="D643" s="120" t="s">
        <v>566</v>
      </c>
      <c r="E643" s="121">
        <v>101141.63763410808</v>
      </c>
      <c r="F643" s="129">
        <v>7781.5322397180253</v>
      </c>
      <c r="G643" s="129">
        <v>16240.623919195014</v>
      </c>
      <c r="H643" s="129">
        <v>19672.767948305387</v>
      </c>
      <c r="I643" s="129">
        <v>7947.2690232050036</v>
      </c>
      <c r="J643" s="129">
        <v>7838.0031907630701</v>
      </c>
      <c r="K643" s="129">
        <v>6306.8931138305416</v>
      </c>
      <c r="L643" s="129">
        <v>10065.567886472798</v>
      </c>
      <c r="M643" s="129">
        <v>25288.980312618249</v>
      </c>
      <c r="N643" s="130">
        <v>42081.479402055338</v>
      </c>
      <c r="O643" s="85"/>
      <c r="P643" s="4"/>
      <c r="Q643" s="14"/>
      <c r="R643" s="16"/>
      <c r="S643" s="16"/>
      <c r="T643" s="16"/>
      <c r="U643" s="16"/>
    </row>
    <row r="644" spans="1:21" ht="28.5" customHeight="1" x14ac:dyDescent="0.25">
      <c r="A644" s="14"/>
      <c r="B644" s="15"/>
      <c r="C644" s="119" t="s">
        <v>582</v>
      </c>
      <c r="D644" s="120" t="s">
        <v>628</v>
      </c>
      <c r="E644" s="145">
        <v>16081.520383823185</v>
      </c>
      <c r="F644" s="129">
        <v>1237.2636261151661</v>
      </c>
      <c r="G644" s="129">
        <v>2582.2592031520071</v>
      </c>
      <c r="H644" s="129">
        <v>3127.9701037805567</v>
      </c>
      <c r="I644" s="129">
        <v>1263.6157746895956</v>
      </c>
      <c r="J644" s="129">
        <v>1246.2425073313282</v>
      </c>
      <c r="K644" s="129">
        <v>1002.7960050990561</v>
      </c>
      <c r="L644" s="129">
        <v>1600.4252939491748</v>
      </c>
      <c r="M644" s="129">
        <v>4020.9478697063018</v>
      </c>
      <c r="N644" s="130">
        <v>6690.955224926799</v>
      </c>
      <c r="O644" s="86"/>
      <c r="P644" s="11"/>
      <c r="Q644" s="14"/>
      <c r="R644" s="16"/>
      <c r="S644" s="16"/>
      <c r="T644" s="16"/>
      <c r="U644" s="16"/>
    </row>
    <row r="645" spans="1:21" ht="18.75" customHeight="1" x14ac:dyDescent="0.25">
      <c r="A645" s="14"/>
      <c r="B645" s="15"/>
      <c r="C645" s="119" t="s">
        <v>620</v>
      </c>
      <c r="D645" s="120" t="s">
        <v>622</v>
      </c>
      <c r="E645" s="129">
        <v>13845720</v>
      </c>
      <c r="F645" s="129">
        <v>830743.2</v>
      </c>
      <c r="G645" s="129">
        <v>1938400.8000000003</v>
      </c>
      <c r="H645" s="129">
        <v>2630686.7999999998</v>
      </c>
      <c r="I645" s="129">
        <v>1107657.6000000001</v>
      </c>
      <c r="J645" s="129">
        <v>1107657.6000000001</v>
      </c>
      <c r="K645" s="129">
        <v>899971.8</v>
      </c>
      <c r="L645" s="129">
        <v>1453800.5999999999</v>
      </c>
      <c r="M645" s="129">
        <v>3876801.6000000006</v>
      </c>
      <c r="N645" s="130">
        <v>6230574</v>
      </c>
      <c r="O645" s="87"/>
      <c r="P645" s="5"/>
      <c r="Q645" s="14"/>
      <c r="R645" s="16"/>
      <c r="S645" s="16"/>
      <c r="T645" s="16"/>
      <c r="U645" s="16"/>
    </row>
    <row r="646" spans="1:21" ht="18.75" customHeight="1" x14ac:dyDescent="0.25">
      <c r="A646" s="14"/>
      <c r="B646" s="15"/>
      <c r="C646" s="122" t="s">
        <v>776</v>
      </c>
      <c r="D646" s="120" t="s">
        <v>579</v>
      </c>
      <c r="E646" s="125">
        <v>1.469999538209545</v>
      </c>
      <c r="F646" s="125">
        <v>6.1752538420026121E-3</v>
      </c>
      <c r="G646" s="125">
        <v>0</v>
      </c>
      <c r="H646" s="125">
        <v>0.47196851989031796</v>
      </c>
      <c r="I646" s="125">
        <v>0.91172894714848529</v>
      </c>
      <c r="J646" s="125">
        <v>1.23421388972015</v>
      </c>
      <c r="K646" s="125">
        <v>1.6179622273890564</v>
      </c>
      <c r="L646" s="125">
        <v>2.1312593607378423</v>
      </c>
      <c r="M646" s="125">
        <v>3.1404635699736114</v>
      </c>
      <c r="N646" s="131">
        <v>2.6850657272230523</v>
      </c>
      <c r="O646" s="88"/>
      <c r="P646" s="10"/>
      <c r="Q646" s="14"/>
      <c r="R646" s="16"/>
      <c r="S646" s="16"/>
      <c r="T646" s="16"/>
      <c r="U646" s="16"/>
    </row>
    <row r="647" spans="1:21" ht="18.75" customHeight="1" x14ac:dyDescent="0.25">
      <c r="A647" s="14"/>
      <c r="B647" s="15"/>
      <c r="C647" s="122" t="s">
        <v>777</v>
      </c>
      <c r="D647" s="210" t="s">
        <v>778</v>
      </c>
      <c r="E647" s="125">
        <v>1911.6856135231819</v>
      </c>
      <c r="F647" s="132">
        <v>314.26634610309293</v>
      </c>
      <c r="G647" s="132">
        <v>1778.4465463605761</v>
      </c>
      <c r="H647" s="132">
        <v>2191.0582312954757</v>
      </c>
      <c r="I647" s="132">
        <v>1714.0959616890668</v>
      </c>
      <c r="J647" s="132">
        <v>1349.1733339711045</v>
      </c>
      <c r="K647" s="132">
        <v>1070.1970629298739</v>
      </c>
      <c r="L647" s="132">
        <v>1161.2241185496532</v>
      </c>
      <c r="M647" s="125">
        <v>2824.9755968907348</v>
      </c>
      <c r="N647" s="133">
        <v>2183.2989081501364</v>
      </c>
      <c r="O647" s="88"/>
      <c r="P647" s="5"/>
      <c r="Q647" s="14"/>
      <c r="R647" s="16"/>
      <c r="S647" s="16"/>
      <c r="T647" s="16"/>
      <c r="U647" s="16"/>
    </row>
    <row r="648" spans="1:21" ht="18.75" customHeight="1" x14ac:dyDescent="0.25">
      <c r="A648" s="14"/>
      <c r="B648" s="15"/>
      <c r="C648" s="119" t="s">
        <v>779</v>
      </c>
      <c r="D648" s="120" t="s">
        <v>970</v>
      </c>
      <c r="E648" s="132">
        <v>31</v>
      </c>
      <c r="F648" s="125">
        <v>79.034803515992877</v>
      </c>
      <c r="G648" s="125">
        <v>56.814908048903803</v>
      </c>
      <c r="H648" s="125">
        <v>36.582266969906513</v>
      </c>
      <c r="I648" s="125">
        <v>29.764196183857678</v>
      </c>
      <c r="J648" s="125">
        <v>27.546998478877711</v>
      </c>
      <c r="K648" s="125">
        <v>26.011454827046535</v>
      </c>
      <c r="L648" s="125">
        <v>24.11770700700005</v>
      </c>
      <c r="M648" s="125">
        <v>15.116657891838358</v>
      </c>
      <c r="N648" s="131">
        <v>20.30585219199385</v>
      </c>
      <c r="O648" s="88"/>
      <c r="P648" s="5"/>
      <c r="Q648" s="14"/>
      <c r="R648" s="16"/>
      <c r="S648" s="16"/>
      <c r="T648" s="16"/>
      <c r="U648" s="16"/>
    </row>
    <row r="649" spans="1:21" ht="18.75" customHeight="1" x14ac:dyDescent="0.25">
      <c r="A649" s="14"/>
      <c r="B649" s="15"/>
      <c r="C649" s="119" t="s">
        <v>580</v>
      </c>
      <c r="D649" s="120" t="s">
        <v>581</v>
      </c>
      <c r="E649" s="125">
        <v>870.8</v>
      </c>
      <c r="F649" s="125">
        <v>671.43588679513425</v>
      </c>
      <c r="G649" s="125">
        <v>750.66081578251794</v>
      </c>
      <c r="H649" s="125">
        <v>841.02044224159124</v>
      </c>
      <c r="I649" s="125">
        <v>876.57785078861787</v>
      </c>
      <c r="J649" s="125">
        <v>888.79780097688194</v>
      </c>
      <c r="K649" s="125">
        <v>897.46249030090712</v>
      </c>
      <c r="L649" s="125">
        <v>908.38391863492291</v>
      </c>
      <c r="M649" s="125">
        <v>964.15117171941097</v>
      </c>
      <c r="N649" s="131">
        <v>931.19349787132444</v>
      </c>
      <c r="O649" s="89"/>
      <c r="P649" s="5"/>
      <c r="Q649" s="14"/>
      <c r="R649" s="16"/>
      <c r="S649" s="16"/>
      <c r="T649" s="16"/>
      <c r="U649" s="16"/>
    </row>
    <row r="650" spans="1:21" ht="18.75" customHeight="1" x14ac:dyDescent="0.25">
      <c r="A650" s="14"/>
      <c r="B650" s="15"/>
      <c r="C650" s="119" t="s">
        <v>541</v>
      </c>
      <c r="D650" s="120" t="s">
        <v>579</v>
      </c>
      <c r="E650" s="125">
        <v>12.8575990931379</v>
      </c>
      <c r="F650" s="125">
        <v>15.78634450006918</v>
      </c>
      <c r="G650" s="125">
        <v>14.139791648478532</v>
      </c>
      <c r="H650" s="125">
        <v>12.766349182738992</v>
      </c>
      <c r="I650" s="125">
        <v>12.95754405369167</v>
      </c>
      <c r="J650" s="125">
        <v>12.75345408763317</v>
      </c>
      <c r="K650" s="125">
        <v>12.654481735610769</v>
      </c>
      <c r="L650" s="125">
        <v>12.531311576235868</v>
      </c>
      <c r="M650" s="125">
        <v>11.821544171431754</v>
      </c>
      <c r="N650" s="131">
        <v>12.107469769600794</v>
      </c>
      <c r="O650" s="90"/>
      <c r="P650" s="5"/>
      <c r="Q650" s="14"/>
      <c r="R650" s="16"/>
      <c r="S650" s="16"/>
      <c r="T650" s="16"/>
      <c r="U650" s="16"/>
    </row>
    <row r="651" spans="1:21" ht="18.75" customHeight="1" x14ac:dyDescent="0.25">
      <c r="A651" s="14"/>
      <c r="B651" s="15"/>
      <c r="C651" s="119" t="s">
        <v>544</v>
      </c>
      <c r="D651" s="120" t="s">
        <v>579</v>
      </c>
      <c r="E651" s="125">
        <v>5</v>
      </c>
      <c r="F651" s="128"/>
      <c r="G651" s="128"/>
      <c r="H651" s="128"/>
      <c r="I651" s="128"/>
      <c r="J651" s="128"/>
      <c r="K651" s="128"/>
      <c r="L651" s="128"/>
      <c r="M651" s="125">
        <v>17.839285714285712</v>
      </c>
      <c r="N651" s="131">
        <v>11.111111111111111</v>
      </c>
      <c r="O651" s="89"/>
      <c r="P651" s="5"/>
      <c r="Q651" s="14"/>
      <c r="R651" s="16"/>
      <c r="S651" s="16"/>
      <c r="T651" s="16"/>
      <c r="U651" s="16"/>
    </row>
    <row r="652" spans="1:21" ht="18.75" customHeight="1" x14ac:dyDescent="0.25">
      <c r="A652" s="14"/>
      <c r="B652" s="15"/>
      <c r="C652" s="119" t="s">
        <v>780</v>
      </c>
      <c r="D652" s="120" t="s">
        <v>783</v>
      </c>
      <c r="E652" s="125">
        <v>11.995636515502516</v>
      </c>
      <c r="F652" s="125">
        <v>12.546951918313813</v>
      </c>
      <c r="G652" s="125">
        <v>11.959361282040781</v>
      </c>
      <c r="H652" s="125">
        <v>11.56834067941519</v>
      </c>
      <c r="I652" s="125">
        <v>11.648245883516129</v>
      </c>
      <c r="J652" s="125">
        <v>11.802227016220808</v>
      </c>
      <c r="K652" s="125">
        <v>12.012390783632206</v>
      </c>
      <c r="L652" s="125">
        <v>12.252049758998004</v>
      </c>
      <c r="M652" s="125">
        <v>12.160945313791807</v>
      </c>
      <c r="N652" s="131">
        <v>12.328905509807608</v>
      </c>
      <c r="O652" s="89"/>
      <c r="P652" s="16"/>
      <c r="Q652" s="14"/>
      <c r="R652" s="16"/>
      <c r="S652" s="16"/>
      <c r="T652" s="16"/>
      <c r="U652" s="16"/>
    </row>
    <row r="653" spans="1:21" ht="18.75" customHeight="1" x14ac:dyDescent="0.25">
      <c r="A653" s="14"/>
      <c r="B653" s="15"/>
      <c r="C653" s="122" t="s">
        <v>781</v>
      </c>
      <c r="D653" s="120" t="s">
        <v>782</v>
      </c>
      <c r="E653" s="125">
        <v>360</v>
      </c>
      <c r="F653" s="134">
        <v>60</v>
      </c>
      <c r="G653" s="134">
        <v>130</v>
      </c>
      <c r="H653" s="134">
        <v>240</v>
      </c>
      <c r="I653" s="134">
        <v>320</v>
      </c>
      <c r="J653" s="134">
        <v>370</v>
      </c>
      <c r="K653" s="134">
        <v>425</v>
      </c>
      <c r="L653" s="134">
        <v>495</v>
      </c>
      <c r="M653" s="134">
        <v>625</v>
      </c>
      <c r="N653" s="135">
        <v>570</v>
      </c>
      <c r="O653" s="89"/>
      <c r="P653" s="14"/>
      <c r="Q653" s="14"/>
      <c r="R653" s="16"/>
      <c r="S653" s="16"/>
      <c r="T653" s="16"/>
      <c r="U653" s="16"/>
    </row>
    <row r="654" spans="1:21" ht="18.75" customHeight="1" x14ac:dyDescent="0.25">
      <c r="A654" s="14"/>
      <c r="B654" s="15"/>
      <c r="C654" s="122"/>
      <c r="D654" s="210"/>
      <c r="E654" s="210"/>
      <c r="F654" s="210"/>
      <c r="G654" s="210"/>
      <c r="H654" s="210"/>
      <c r="I654" s="210"/>
      <c r="J654" s="210"/>
      <c r="K654" s="210"/>
      <c r="L654" s="210"/>
      <c r="M654" s="210"/>
      <c r="N654" s="115"/>
      <c r="O654" s="89"/>
      <c r="P654" s="12"/>
      <c r="Q654" s="14"/>
      <c r="R654" s="16"/>
      <c r="S654" s="16"/>
      <c r="T654" s="16"/>
      <c r="U654" s="16"/>
    </row>
    <row r="655" spans="1:21" ht="18.75" customHeight="1" x14ac:dyDescent="0.25">
      <c r="A655" s="14"/>
      <c r="B655" s="15"/>
      <c r="C655" s="2199" t="s">
        <v>2116</v>
      </c>
      <c r="D655" s="2200"/>
      <c r="E655" s="2200"/>
      <c r="F655" s="2200"/>
      <c r="G655" s="2200"/>
      <c r="H655" s="2200"/>
      <c r="I655" s="2200"/>
      <c r="J655" s="2200"/>
      <c r="K655" s="2200"/>
      <c r="L655" s="2200"/>
      <c r="M655" s="2200"/>
      <c r="N655" s="2201"/>
      <c r="O655" s="89"/>
      <c r="P655" s="65"/>
      <c r="Q655" s="14"/>
      <c r="R655" s="16"/>
      <c r="S655" s="16"/>
      <c r="T655" s="16"/>
      <c r="U655" s="16"/>
    </row>
    <row r="656" spans="1:21" ht="18.75" customHeight="1" x14ac:dyDescent="0.25">
      <c r="A656" s="14"/>
      <c r="B656" s="15"/>
      <c r="C656" s="2202"/>
      <c r="D656" s="210">
        <v>113</v>
      </c>
      <c r="E656" s="104" t="s">
        <v>679</v>
      </c>
      <c r="F656" s="210">
        <v>80</v>
      </c>
      <c r="G656" s="210">
        <v>180</v>
      </c>
      <c r="H656" s="210">
        <v>290</v>
      </c>
      <c r="I656" s="210">
        <v>340</v>
      </c>
      <c r="J656" s="210">
        <v>400</v>
      </c>
      <c r="K656" s="210">
        <v>450</v>
      </c>
      <c r="L656" s="210">
        <v>525</v>
      </c>
      <c r="M656" s="210">
        <v>525</v>
      </c>
      <c r="N656" s="115">
        <v>400</v>
      </c>
      <c r="O656" s="91"/>
      <c r="P656" s="3"/>
      <c r="Q656" s="14"/>
      <c r="R656" s="16"/>
      <c r="S656" s="16"/>
      <c r="T656" s="16"/>
      <c r="U656" s="16"/>
    </row>
    <row r="657" spans="1:21" ht="18.75" customHeight="1" x14ac:dyDescent="0.25">
      <c r="A657" s="14"/>
      <c r="B657" s="15"/>
      <c r="C657" s="119" t="s">
        <v>568</v>
      </c>
      <c r="D657" s="120" t="s">
        <v>623</v>
      </c>
      <c r="E657" s="110" t="s">
        <v>608</v>
      </c>
      <c r="F657" s="110" t="s">
        <v>957</v>
      </c>
      <c r="G657" s="110" t="s">
        <v>572</v>
      </c>
      <c r="H657" s="110" t="s">
        <v>530</v>
      </c>
      <c r="I657" s="110" t="s">
        <v>573</v>
      </c>
      <c r="J657" s="110" t="s">
        <v>574</v>
      </c>
      <c r="K657" s="110" t="s">
        <v>575</v>
      </c>
      <c r="L657" s="110" t="s">
        <v>576</v>
      </c>
      <c r="M657" s="110" t="s">
        <v>577</v>
      </c>
      <c r="N657" s="2203" t="s">
        <v>609</v>
      </c>
      <c r="O657" s="91"/>
      <c r="P657" s="3"/>
      <c r="Q657" s="14"/>
      <c r="R657" s="16"/>
      <c r="S657" s="16"/>
      <c r="T657" s="16"/>
      <c r="U657" s="16"/>
    </row>
    <row r="658" spans="1:21" ht="18.75" customHeight="1" x14ac:dyDescent="0.25">
      <c r="A658" s="14"/>
      <c r="B658" s="15"/>
      <c r="C658" s="119" t="s">
        <v>582</v>
      </c>
      <c r="D658" s="120" t="s">
        <v>566</v>
      </c>
      <c r="E658" s="121">
        <v>100432.33649534866</v>
      </c>
      <c r="F658" s="129">
        <v>10131.768563724409</v>
      </c>
      <c r="G658" s="129">
        <v>18206.183069064085</v>
      </c>
      <c r="H658" s="129">
        <v>17257.226595007633</v>
      </c>
      <c r="I658" s="129">
        <v>11887.26673927636</v>
      </c>
      <c r="J658" s="129">
        <v>9777.9513807081948</v>
      </c>
      <c r="K658" s="129">
        <v>7709.6846043174046</v>
      </c>
      <c r="L658" s="129">
        <v>11174.601556592865</v>
      </c>
      <c r="M658" s="129">
        <v>14287.653986657706</v>
      </c>
      <c r="N658" s="130">
        <v>33615.950071369407</v>
      </c>
      <c r="O658" s="85"/>
      <c r="P658" s="3"/>
      <c r="Q658" s="14"/>
      <c r="R658" s="16"/>
      <c r="S658" s="16"/>
      <c r="T658" s="16"/>
      <c r="U658" s="16"/>
    </row>
    <row r="659" spans="1:21" ht="18.75" customHeight="1" x14ac:dyDescent="0.25">
      <c r="A659" s="14"/>
      <c r="B659" s="15"/>
      <c r="C659" s="119" t="s">
        <v>582</v>
      </c>
      <c r="D659" s="120" t="s">
        <v>628</v>
      </c>
      <c r="E659" s="145">
        <v>15968.741502760437</v>
      </c>
      <c r="F659" s="129">
        <v>1610.951201632181</v>
      </c>
      <c r="G659" s="129">
        <v>2894.7831079811895</v>
      </c>
      <c r="H659" s="129">
        <v>2743.8990286062135</v>
      </c>
      <c r="I659" s="129">
        <v>1890.0754115449413</v>
      </c>
      <c r="J659" s="129">
        <v>1554.6942695326031</v>
      </c>
      <c r="K659" s="129">
        <v>1225.8398520864673</v>
      </c>
      <c r="L659" s="129">
        <v>1776.7616474982656</v>
      </c>
      <c r="M659" s="129">
        <v>2271.7369838785753</v>
      </c>
      <c r="N659" s="130">
        <v>5344.9360613477356</v>
      </c>
      <c r="O659" s="86"/>
      <c r="P659" s="3"/>
      <c r="Q659" s="14"/>
      <c r="R659" s="16"/>
      <c r="S659" s="16"/>
      <c r="T659" s="16"/>
      <c r="U659" s="16"/>
    </row>
    <row r="660" spans="1:21" ht="18.75" customHeight="1" x14ac:dyDescent="0.25">
      <c r="A660" s="14"/>
      <c r="B660" s="15"/>
      <c r="C660" s="119" t="s">
        <v>620</v>
      </c>
      <c r="D660" s="120" t="s">
        <v>622</v>
      </c>
      <c r="E660" s="129">
        <v>13456170</v>
      </c>
      <c r="F660" s="129">
        <v>1076493.6000000001</v>
      </c>
      <c r="G660" s="129">
        <v>2152987.2000000002</v>
      </c>
      <c r="H660" s="129">
        <v>2287548.9000000004</v>
      </c>
      <c r="I660" s="129">
        <v>1614740.4</v>
      </c>
      <c r="J660" s="129">
        <v>1345617</v>
      </c>
      <c r="K660" s="129">
        <v>1076493.6000000001</v>
      </c>
      <c r="L660" s="129">
        <v>1614740.4</v>
      </c>
      <c r="M660" s="129">
        <v>2287548.9000000004</v>
      </c>
      <c r="N660" s="130">
        <v>4978782.9000000004</v>
      </c>
      <c r="O660" s="87"/>
      <c r="P660" s="3"/>
      <c r="Q660" s="14"/>
      <c r="R660" s="16"/>
      <c r="S660" s="16"/>
      <c r="T660" s="16"/>
      <c r="U660" s="16"/>
    </row>
    <row r="661" spans="1:21" ht="18.75" customHeight="1" x14ac:dyDescent="0.25">
      <c r="A661" s="14"/>
      <c r="B661" s="15"/>
      <c r="C661" s="122" t="s">
        <v>776</v>
      </c>
      <c r="D661" s="120" t="s">
        <v>579</v>
      </c>
      <c r="E661" s="125">
        <v>0.19306077159323018</v>
      </c>
      <c r="F661" s="125">
        <v>0</v>
      </c>
      <c r="G661" s="125">
        <v>0</v>
      </c>
      <c r="H661" s="125">
        <v>0.10627753356040448</v>
      </c>
      <c r="I661" s="125">
        <v>0.1327198949530905</v>
      </c>
      <c r="J661" s="125">
        <v>0.16634388734763533</v>
      </c>
      <c r="K661" s="125">
        <v>0.21836683508618504</v>
      </c>
      <c r="L661" s="125">
        <v>0.3232177839269893</v>
      </c>
      <c r="M661" s="125">
        <v>0.50692549341584403</v>
      </c>
      <c r="N661" s="131">
        <v>0.38495355340223514</v>
      </c>
      <c r="O661" s="88"/>
      <c r="P661" s="3"/>
      <c r="Q661" s="14"/>
      <c r="R661" s="16"/>
      <c r="S661" s="16"/>
      <c r="T661" s="16"/>
      <c r="U661" s="16"/>
    </row>
    <row r="662" spans="1:21" ht="18.75" customHeight="1" x14ac:dyDescent="0.25">
      <c r="A662" s="14"/>
      <c r="B662" s="15"/>
      <c r="C662" s="122" t="s">
        <v>777</v>
      </c>
      <c r="D662" s="210" t="s">
        <v>778</v>
      </c>
      <c r="E662" s="125">
        <v>1795.8792982572929</v>
      </c>
      <c r="F662" s="132">
        <v>246.735780771196</v>
      </c>
      <c r="G662" s="132">
        <v>1843.6148036699542</v>
      </c>
      <c r="H662" s="132">
        <v>2023.0570629956073</v>
      </c>
      <c r="I662" s="132">
        <v>1432.653506306051</v>
      </c>
      <c r="J662" s="132">
        <v>988.65529051786689</v>
      </c>
      <c r="K662" s="132">
        <v>871.22810487070274</v>
      </c>
      <c r="L662" s="132">
        <v>1604.1141798289373</v>
      </c>
      <c r="M662" s="125">
        <v>3554.5086277735868</v>
      </c>
      <c r="N662" s="133">
        <v>2341.7795045692928</v>
      </c>
      <c r="O662" s="88"/>
      <c r="P662" s="3"/>
      <c r="Q662" s="14"/>
      <c r="R662" s="16"/>
      <c r="S662" s="16"/>
      <c r="T662" s="16"/>
      <c r="U662" s="16"/>
    </row>
    <row r="663" spans="1:21" ht="18.75" customHeight="1" x14ac:dyDescent="0.25">
      <c r="A663" s="14"/>
      <c r="B663" s="15"/>
      <c r="C663" s="119" t="s">
        <v>779</v>
      </c>
      <c r="D663" s="120" t="s">
        <v>970</v>
      </c>
      <c r="E663" s="132">
        <v>35.700000000000003</v>
      </c>
      <c r="F663" s="125">
        <v>80.043352120113042</v>
      </c>
      <c r="G663" s="125">
        <v>58.565385500993948</v>
      </c>
      <c r="H663" s="125">
        <v>38.06108556233248</v>
      </c>
      <c r="I663" s="125">
        <v>33.964514759113356</v>
      </c>
      <c r="J663" s="125">
        <v>31.824742284254413</v>
      </c>
      <c r="K663" s="125">
        <v>29.472145655348939</v>
      </c>
      <c r="L663" s="125">
        <v>24.044589411697629</v>
      </c>
      <c r="M663" s="125">
        <v>8.8835145108144928</v>
      </c>
      <c r="N663" s="131">
        <v>20.25666503852058</v>
      </c>
      <c r="O663" s="88"/>
      <c r="P663" s="3"/>
      <c r="Q663" s="14"/>
      <c r="R663" s="16"/>
      <c r="S663" s="16"/>
      <c r="T663" s="16"/>
      <c r="U663" s="16"/>
    </row>
    <row r="664" spans="1:21" ht="18.75" customHeight="1" x14ac:dyDescent="0.25">
      <c r="A664" s="14"/>
      <c r="B664" s="15"/>
      <c r="C664" s="119" t="s">
        <v>580</v>
      </c>
      <c r="D664" s="120" t="s">
        <v>581</v>
      </c>
      <c r="E664" s="125">
        <v>846.3</v>
      </c>
      <c r="F664" s="125">
        <v>668.23476645929441</v>
      </c>
      <c r="G664" s="125">
        <v>743.74732741254843</v>
      </c>
      <c r="H664" s="125">
        <v>833.68552419437242</v>
      </c>
      <c r="I664" s="125">
        <v>854.32591214977845</v>
      </c>
      <c r="J664" s="125">
        <v>865.51872375817061</v>
      </c>
      <c r="K664" s="125">
        <v>878.16821925615398</v>
      </c>
      <c r="L664" s="125">
        <v>908.81092704449327</v>
      </c>
      <c r="M664" s="125">
        <v>1006.9602758742031</v>
      </c>
      <c r="N664" s="131">
        <v>931.49531497755481</v>
      </c>
      <c r="O664" s="89"/>
      <c r="P664" s="3"/>
      <c r="Q664" s="14"/>
      <c r="R664" s="16"/>
      <c r="S664" s="16"/>
      <c r="T664" s="16"/>
      <c r="U664" s="16"/>
    </row>
    <row r="665" spans="1:21" ht="18.75" customHeight="1" x14ac:dyDescent="0.25">
      <c r="A665" s="14"/>
      <c r="B665" s="15"/>
      <c r="C665" s="119" t="s">
        <v>541</v>
      </c>
      <c r="D665" s="120" t="s">
        <v>579</v>
      </c>
      <c r="E665" s="125">
        <v>13.172160509314983</v>
      </c>
      <c r="F665" s="125">
        <v>15.917235874461044</v>
      </c>
      <c r="G665" s="125">
        <v>14.291550187280912</v>
      </c>
      <c r="H665" s="125">
        <v>13.024046137382976</v>
      </c>
      <c r="I665" s="125">
        <v>13.530533361929816</v>
      </c>
      <c r="J665" s="125">
        <v>13.365132367730236</v>
      </c>
      <c r="K665" s="125">
        <v>13.161455719910077</v>
      </c>
      <c r="L665" s="125">
        <v>12.520091553762509</v>
      </c>
      <c r="M665" s="125">
        <v>11.073771069347874</v>
      </c>
      <c r="N665" s="131">
        <v>11.994239259009312</v>
      </c>
      <c r="O665" s="90"/>
      <c r="P665" s="3"/>
      <c r="Q665" s="14"/>
      <c r="R665" s="16"/>
      <c r="S665" s="16"/>
      <c r="T665" s="16"/>
      <c r="U665" s="16"/>
    </row>
    <row r="666" spans="1:21" ht="18.75" customHeight="1" x14ac:dyDescent="0.25">
      <c r="A666" s="14"/>
      <c r="B666" s="15"/>
      <c r="C666" s="119" t="s">
        <v>544</v>
      </c>
      <c r="D666" s="120" t="s">
        <v>579</v>
      </c>
      <c r="E666" s="125">
        <v>1.8</v>
      </c>
      <c r="F666" s="128"/>
      <c r="G666" s="128"/>
      <c r="H666" s="128"/>
      <c r="I666" s="128"/>
      <c r="J666" s="128"/>
      <c r="K666" s="128"/>
      <c r="L666" s="128"/>
      <c r="M666" s="125">
        <v>10.577647058823528</v>
      </c>
      <c r="N666" s="131">
        <v>4.8648648648648649</v>
      </c>
      <c r="O666" s="89"/>
      <c r="P666" s="3"/>
      <c r="Q666" s="14"/>
      <c r="R666" s="16"/>
      <c r="S666" s="16"/>
      <c r="T666" s="16"/>
      <c r="U666" s="16"/>
    </row>
    <row r="667" spans="1:21" ht="18.75" customHeight="1" x14ac:dyDescent="0.25">
      <c r="A667" s="14"/>
      <c r="B667" s="15"/>
      <c r="C667" s="119" t="s">
        <v>780</v>
      </c>
      <c r="D667" s="120" t="s">
        <v>783</v>
      </c>
      <c r="E667" s="125">
        <v>12.076993888360988</v>
      </c>
      <c r="F667" s="125">
        <v>12.607056996580443</v>
      </c>
      <c r="G667" s="125">
        <v>12.020420653516661</v>
      </c>
      <c r="H667" s="125">
        <v>11.745440975212539</v>
      </c>
      <c r="I667" s="125">
        <v>11.917961157600708</v>
      </c>
      <c r="J667" s="125">
        <v>12.119660881626277</v>
      </c>
      <c r="K667" s="125">
        <v>12.276315529020071</v>
      </c>
      <c r="L667" s="125">
        <v>12.246293084946362</v>
      </c>
      <c r="M667" s="125">
        <v>11.468454826160967</v>
      </c>
      <c r="N667" s="131">
        <v>12.101624558284705</v>
      </c>
      <c r="O667" s="89"/>
      <c r="P667" s="3"/>
      <c r="Q667" s="14"/>
      <c r="R667" s="16"/>
      <c r="S667" s="16"/>
      <c r="T667" s="16"/>
      <c r="U667" s="16"/>
    </row>
    <row r="668" spans="1:21" ht="18.75" customHeight="1" x14ac:dyDescent="0.25">
      <c r="A668" s="14"/>
      <c r="B668" s="15"/>
      <c r="C668" s="122" t="s">
        <v>781</v>
      </c>
      <c r="D668" s="120" t="s">
        <v>782</v>
      </c>
      <c r="E668" s="125">
        <v>320</v>
      </c>
      <c r="F668" s="134">
        <v>60</v>
      </c>
      <c r="G668" s="134">
        <v>125</v>
      </c>
      <c r="H668" s="134">
        <v>250</v>
      </c>
      <c r="I668" s="134">
        <v>315</v>
      </c>
      <c r="J668" s="134">
        <v>370</v>
      </c>
      <c r="K668" s="134">
        <v>425</v>
      </c>
      <c r="L668" s="134">
        <v>495</v>
      </c>
      <c r="M668" s="134">
        <v>585</v>
      </c>
      <c r="N668" s="135">
        <v>525</v>
      </c>
      <c r="O668" s="89"/>
      <c r="P668" s="3"/>
      <c r="Q668" s="14"/>
      <c r="R668" s="16"/>
      <c r="S668" s="16"/>
      <c r="T668" s="16"/>
      <c r="U668" s="16"/>
    </row>
    <row r="669" spans="1:21" ht="18.75" customHeight="1" x14ac:dyDescent="0.25">
      <c r="A669" s="14"/>
      <c r="B669" s="15"/>
      <c r="C669" s="122"/>
      <c r="D669" s="210"/>
      <c r="E669" s="210"/>
      <c r="F669" s="210"/>
      <c r="G669" s="210"/>
      <c r="H669" s="210"/>
      <c r="I669" s="210"/>
      <c r="J669" s="210"/>
      <c r="K669" s="210"/>
      <c r="L669" s="210"/>
      <c r="M669" s="210"/>
      <c r="N669" s="115"/>
      <c r="O669" s="89"/>
      <c r="P669" s="3"/>
      <c r="Q669" s="14"/>
      <c r="R669" s="16"/>
      <c r="S669" s="16"/>
      <c r="T669" s="16"/>
      <c r="U669" s="16"/>
    </row>
    <row r="670" spans="1:21" ht="18.75" customHeight="1" x14ac:dyDescent="0.25">
      <c r="A670" s="14"/>
      <c r="B670" s="15"/>
      <c r="C670" s="2199" t="s">
        <v>2033</v>
      </c>
      <c r="D670" s="2200"/>
      <c r="E670" s="2200"/>
      <c r="F670" s="2200"/>
      <c r="G670" s="2200"/>
      <c r="H670" s="2200"/>
      <c r="I670" s="2200"/>
      <c r="J670" s="2200"/>
      <c r="K670" s="2200"/>
      <c r="L670" s="2200"/>
      <c r="M670" s="2200"/>
      <c r="N670" s="2201"/>
      <c r="O670" s="89"/>
      <c r="P670" s="4"/>
      <c r="Q670" s="14"/>
      <c r="R670" s="16"/>
      <c r="S670" s="16"/>
      <c r="T670" s="16"/>
      <c r="U670" s="16"/>
    </row>
    <row r="671" spans="1:21" ht="18.75" customHeight="1" x14ac:dyDescent="0.25">
      <c r="A671" s="14"/>
      <c r="B671" s="15"/>
      <c r="C671" s="2202" t="s">
        <v>407</v>
      </c>
      <c r="D671" s="210">
        <v>93</v>
      </c>
      <c r="E671" s="104" t="s">
        <v>679</v>
      </c>
      <c r="F671" s="210">
        <v>80</v>
      </c>
      <c r="G671" s="210">
        <v>180</v>
      </c>
      <c r="H671" s="210">
        <v>290</v>
      </c>
      <c r="I671" s="210">
        <v>340</v>
      </c>
      <c r="J671" s="210">
        <v>400</v>
      </c>
      <c r="K671" s="210">
        <v>450</v>
      </c>
      <c r="L671" s="210">
        <v>525</v>
      </c>
      <c r="M671" s="210">
        <v>525</v>
      </c>
      <c r="N671" s="115">
        <v>400</v>
      </c>
      <c r="O671" s="91"/>
      <c r="P671" s="4"/>
      <c r="Q671" s="14"/>
      <c r="R671" s="16"/>
      <c r="S671" s="16"/>
      <c r="T671" s="16"/>
      <c r="U671" s="16"/>
    </row>
    <row r="672" spans="1:21" ht="18.75" customHeight="1" x14ac:dyDescent="0.25">
      <c r="A672" s="14"/>
      <c r="B672" s="15"/>
      <c r="C672" s="119" t="s">
        <v>568</v>
      </c>
      <c r="D672" s="120" t="s">
        <v>623</v>
      </c>
      <c r="E672" s="110" t="s">
        <v>608</v>
      </c>
      <c r="F672" s="110" t="s">
        <v>957</v>
      </c>
      <c r="G672" s="110" t="s">
        <v>572</v>
      </c>
      <c r="H672" s="110" t="s">
        <v>530</v>
      </c>
      <c r="I672" s="110" t="s">
        <v>573</v>
      </c>
      <c r="J672" s="110" t="s">
        <v>574</v>
      </c>
      <c r="K672" s="110" t="s">
        <v>575</v>
      </c>
      <c r="L672" s="110" t="s">
        <v>576</v>
      </c>
      <c r="M672" s="110" t="s">
        <v>577</v>
      </c>
      <c r="N672" s="2203" t="s">
        <v>609</v>
      </c>
      <c r="O672" s="17"/>
      <c r="P672" s="4"/>
      <c r="Q672" s="14"/>
      <c r="R672" s="16"/>
      <c r="S672" s="16"/>
      <c r="T672" s="16"/>
      <c r="U672" s="16"/>
    </row>
    <row r="673" spans="1:21" ht="18.75" customHeight="1" x14ac:dyDescent="0.25">
      <c r="A673" s="14"/>
      <c r="B673" s="15"/>
      <c r="C673" s="119" t="s">
        <v>582</v>
      </c>
      <c r="D673" s="120" t="s">
        <v>566</v>
      </c>
      <c r="E673" s="121">
        <v>99858.030635144867</v>
      </c>
      <c r="F673" s="129">
        <v>7413.6996251316596</v>
      </c>
      <c r="G673" s="129">
        <v>22356.907185259286</v>
      </c>
      <c r="H673" s="129">
        <v>22185.496442902058</v>
      </c>
      <c r="I673" s="129">
        <v>7688.0970401215045</v>
      </c>
      <c r="J673" s="129">
        <v>8519.2044266331395</v>
      </c>
      <c r="K673" s="129">
        <v>7484.5520411390708</v>
      </c>
      <c r="L673" s="129">
        <v>11937.498830026982</v>
      </c>
      <c r="M673" s="129">
        <v>12272.575043931165</v>
      </c>
      <c r="N673" s="130">
        <v>31905.080013010454</v>
      </c>
      <c r="O673" s="85"/>
      <c r="P673" s="4"/>
      <c r="Q673" s="14"/>
      <c r="R673" s="16"/>
      <c r="S673" s="16"/>
      <c r="T673" s="16"/>
      <c r="U673" s="16"/>
    </row>
    <row r="674" spans="1:21" ht="18.75" customHeight="1" x14ac:dyDescent="0.25">
      <c r="A674" s="14"/>
      <c r="B674" s="15"/>
      <c r="C674" s="119" t="s">
        <v>582</v>
      </c>
      <c r="D674" s="120" t="s">
        <v>628</v>
      </c>
      <c r="E674" s="145">
        <v>15877.426870988034</v>
      </c>
      <c r="F674" s="129">
        <v>1178.7782403959338</v>
      </c>
      <c r="G674" s="129">
        <v>3554.7482424562268</v>
      </c>
      <c r="H674" s="129">
        <v>3527.4939344214272</v>
      </c>
      <c r="I674" s="129">
        <v>1222.4074293793192</v>
      </c>
      <c r="J674" s="129">
        <v>1354.5535038346691</v>
      </c>
      <c r="K674" s="129">
        <v>1190.0437745411123</v>
      </c>
      <c r="L674" s="129">
        <v>1898.0623139742902</v>
      </c>
      <c r="M674" s="129">
        <v>1951.3394319850552</v>
      </c>
      <c r="N674" s="130">
        <v>5072.9077220686622</v>
      </c>
      <c r="O674" s="86"/>
      <c r="P674" s="4"/>
      <c r="Q674" s="14"/>
      <c r="R674" s="16"/>
      <c r="S674" s="16"/>
      <c r="T674" s="16"/>
      <c r="U674" s="16"/>
    </row>
    <row r="675" spans="1:21" ht="18.75" customHeight="1" x14ac:dyDescent="0.25">
      <c r="A675" s="14"/>
      <c r="B675" s="15"/>
      <c r="C675" s="119" t="s">
        <v>620</v>
      </c>
      <c r="D675" s="120" t="s">
        <v>622</v>
      </c>
      <c r="E675" s="129">
        <v>13227210</v>
      </c>
      <c r="F675" s="129">
        <v>793632.6</v>
      </c>
      <c r="G675" s="129">
        <v>2645442</v>
      </c>
      <c r="H675" s="129">
        <v>2909986.2</v>
      </c>
      <c r="I675" s="129">
        <v>1058176.8</v>
      </c>
      <c r="J675" s="129">
        <v>1190448.8999999999</v>
      </c>
      <c r="K675" s="129">
        <v>1058176.8</v>
      </c>
      <c r="L675" s="129">
        <v>1719537.3</v>
      </c>
      <c r="M675" s="129">
        <v>1851809.4000000001</v>
      </c>
      <c r="N675" s="130">
        <v>4629523.5</v>
      </c>
      <c r="O675" s="87"/>
      <c r="P675" s="4"/>
      <c r="Q675" s="14"/>
      <c r="R675" s="16"/>
      <c r="S675" s="16"/>
      <c r="T675" s="16"/>
      <c r="U675" s="16"/>
    </row>
    <row r="676" spans="1:21" ht="18.75" customHeight="1" x14ac:dyDescent="0.25">
      <c r="A676" s="14"/>
      <c r="B676" s="15"/>
      <c r="C676" s="122" t="s">
        <v>776</v>
      </c>
      <c r="D676" s="120" t="s">
        <v>579</v>
      </c>
      <c r="E676" s="125">
        <v>0.83170989052994793</v>
      </c>
      <c r="F676" s="125">
        <v>0</v>
      </c>
      <c r="G676" s="125">
        <v>0</v>
      </c>
      <c r="H676" s="125">
        <v>0.24662264968214959</v>
      </c>
      <c r="I676" s="125">
        <v>0.62501442626273995</v>
      </c>
      <c r="J676" s="125">
        <v>0.89663764930488843</v>
      </c>
      <c r="K676" s="125">
        <v>1.2066814036650928</v>
      </c>
      <c r="L676" s="125">
        <v>1.6971110870660233</v>
      </c>
      <c r="M676" s="125">
        <v>2.3542529389258959</v>
      </c>
      <c r="N676" s="131">
        <v>1.8478696144611881</v>
      </c>
      <c r="O676" s="88"/>
      <c r="P676" s="4"/>
      <c r="Q676" s="14"/>
      <c r="R676" s="16"/>
      <c r="S676" s="16"/>
      <c r="T676" s="16"/>
      <c r="U676" s="16"/>
    </row>
    <row r="677" spans="1:21" ht="18.75" customHeight="1" x14ac:dyDescent="0.25">
      <c r="A677" s="14"/>
      <c r="B677" s="15"/>
      <c r="C677" s="122" t="s">
        <v>777</v>
      </c>
      <c r="D677" s="210" t="s">
        <v>778</v>
      </c>
      <c r="E677" s="125">
        <v>1686.9703818461871</v>
      </c>
      <c r="F677" s="132">
        <v>141.8668769734677</v>
      </c>
      <c r="G677" s="132">
        <v>1822.0543317235442</v>
      </c>
      <c r="H677" s="132">
        <v>2242.4652493548001</v>
      </c>
      <c r="I677" s="132">
        <v>1506.8552670238951</v>
      </c>
      <c r="J677" s="132">
        <v>1077.231054623815</v>
      </c>
      <c r="K677" s="132">
        <v>878.65896714519477</v>
      </c>
      <c r="L677" s="132">
        <v>1358.6292717870929</v>
      </c>
      <c r="M677" s="125">
        <v>2544.9386360215808</v>
      </c>
      <c r="N677" s="133">
        <v>1723.4455192770256</v>
      </c>
      <c r="O677" s="88"/>
      <c r="P677" s="4"/>
      <c r="Q677" s="14"/>
      <c r="R677" s="16"/>
      <c r="S677" s="16"/>
      <c r="T677" s="16"/>
      <c r="U677" s="16"/>
    </row>
    <row r="678" spans="1:21" ht="18.75" customHeight="1" x14ac:dyDescent="0.25">
      <c r="A678" s="14"/>
      <c r="B678" s="15"/>
      <c r="C678" s="119" t="s">
        <v>779</v>
      </c>
      <c r="D678" s="120" t="s">
        <v>970</v>
      </c>
      <c r="E678" s="132">
        <v>38.6</v>
      </c>
      <c r="F678" s="125">
        <v>78.462173746169029</v>
      </c>
      <c r="G678" s="125">
        <v>58.449892828643812</v>
      </c>
      <c r="H678" s="125">
        <v>39.857767413050652</v>
      </c>
      <c r="I678" s="125">
        <v>31.800003520853352</v>
      </c>
      <c r="J678" s="125">
        <v>29.347329533947232</v>
      </c>
      <c r="K678" s="125">
        <v>27.4765800680768</v>
      </c>
      <c r="L678" s="125">
        <v>24.536900302887346</v>
      </c>
      <c r="M678" s="125">
        <v>17.458395401926225</v>
      </c>
      <c r="N678" s="131">
        <v>23.399179899763567</v>
      </c>
      <c r="O678" s="88"/>
      <c r="P678" s="4"/>
      <c r="Q678" s="14"/>
      <c r="R678" s="16"/>
      <c r="S678" s="16"/>
      <c r="T678" s="16"/>
      <c r="U678" s="16"/>
    </row>
    <row r="679" spans="1:21" ht="18.75" customHeight="1" x14ac:dyDescent="0.25">
      <c r="A679" s="14"/>
      <c r="B679" s="15"/>
      <c r="C679" s="119" t="s">
        <v>580</v>
      </c>
      <c r="D679" s="120" t="s">
        <v>581</v>
      </c>
      <c r="E679" s="125">
        <v>831.9</v>
      </c>
      <c r="F679" s="125">
        <v>673.26709367610204</v>
      </c>
      <c r="G679" s="125">
        <v>744.19953807251261</v>
      </c>
      <c r="H679" s="125">
        <v>824.94435259101033</v>
      </c>
      <c r="I679" s="125">
        <v>865.64984355280978</v>
      </c>
      <c r="J679" s="125">
        <v>878.8496701163167</v>
      </c>
      <c r="K679" s="125">
        <v>889.19149247937457</v>
      </c>
      <c r="L679" s="125">
        <v>905.9435442872882</v>
      </c>
      <c r="M679" s="125">
        <v>948.9939933803289</v>
      </c>
      <c r="N679" s="131">
        <v>912.59761731130868</v>
      </c>
      <c r="O679" s="89"/>
      <c r="P679" s="4"/>
      <c r="Q679" s="14"/>
      <c r="R679" s="16"/>
      <c r="S679" s="16"/>
      <c r="T679" s="16"/>
      <c r="U679" s="16"/>
    </row>
    <row r="680" spans="1:21" ht="18.75" customHeight="1" x14ac:dyDescent="0.25">
      <c r="A680" s="14"/>
      <c r="B680" s="15"/>
      <c r="C680" s="119" t="s">
        <v>541</v>
      </c>
      <c r="D680" s="120" t="s">
        <v>579</v>
      </c>
      <c r="E680" s="125">
        <v>13.288509661590348</v>
      </c>
      <c r="F680" s="125">
        <v>15.816389605470954</v>
      </c>
      <c r="G680" s="125">
        <v>14.347223571905833</v>
      </c>
      <c r="H680" s="125">
        <v>13.089443544946111</v>
      </c>
      <c r="I680" s="125">
        <v>13.244687079512062</v>
      </c>
      <c r="J680" s="125">
        <v>13.014849997694419</v>
      </c>
      <c r="K680" s="125">
        <v>12.860109496270248</v>
      </c>
      <c r="L680" s="125">
        <v>12.583734564004232</v>
      </c>
      <c r="M680" s="125">
        <v>12.105701941551063</v>
      </c>
      <c r="N680" s="131">
        <v>12.455692928112338</v>
      </c>
      <c r="O680" s="90"/>
      <c r="P680" s="4"/>
      <c r="Q680" s="14"/>
      <c r="R680" s="16"/>
      <c r="S680" s="16"/>
      <c r="T680" s="16"/>
      <c r="U680" s="16"/>
    </row>
    <row r="681" spans="1:21" ht="18.75" customHeight="1" x14ac:dyDescent="0.25">
      <c r="A681" s="14"/>
      <c r="B681" s="15"/>
      <c r="C681" s="119" t="s">
        <v>544</v>
      </c>
      <c r="D681" s="120" t="s">
        <v>579</v>
      </c>
      <c r="E681" s="125">
        <v>1.5</v>
      </c>
      <c r="F681" s="128"/>
      <c r="G681" s="128"/>
      <c r="H681" s="128"/>
      <c r="I681" s="128"/>
      <c r="J681" s="128"/>
      <c r="K681" s="128"/>
      <c r="L681" s="128"/>
      <c r="M681" s="125">
        <v>10.703571428571427</v>
      </c>
      <c r="N681" s="131">
        <v>4.2857142857142856</v>
      </c>
      <c r="O681" s="89"/>
      <c r="P681" s="4"/>
      <c r="Q681" s="14"/>
      <c r="R681" s="16"/>
      <c r="S681" s="16"/>
      <c r="T681" s="16"/>
      <c r="U681" s="16"/>
    </row>
    <row r="682" spans="1:21" ht="18.75" customHeight="1" x14ac:dyDescent="0.25">
      <c r="A682" s="14"/>
      <c r="B682" s="15"/>
      <c r="C682" s="119" t="s">
        <v>780</v>
      </c>
      <c r="D682" s="120" t="s">
        <v>783</v>
      </c>
      <c r="E682" s="125">
        <v>12.182008142410027</v>
      </c>
      <c r="F682" s="125">
        <v>12.575113670717597</v>
      </c>
      <c r="G682" s="125">
        <v>12.063194663445033</v>
      </c>
      <c r="H682" s="125">
        <v>11.716665085711986</v>
      </c>
      <c r="I682" s="125">
        <v>11.795293926379628</v>
      </c>
      <c r="J682" s="125">
        <v>11.935822217761848</v>
      </c>
      <c r="K682" s="125">
        <v>12.095113677634801</v>
      </c>
      <c r="L682" s="125">
        <v>12.258340457876162</v>
      </c>
      <c r="M682" s="125">
        <v>12.145288781802751</v>
      </c>
      <c r="N682" s="131">
        <v>12.274349852230145</v>
      </c>
      <c r="O682" s="89"/>
      <c r="P682" s="4"/>
      <c r="Q682" s="14"/>
      <c r="R682" s="16"/>
      <c r="S682" s="16"/>
      <c r="T682" s="16"/>
      <c r="U682" s="16"/>
    </row>
    <row r="683" spans="1:21" ht="18.75" customHeight="1" x14ac:dyDescent="0.25">
      <c r="A683" s="14"/>
      <c r="B683" s="15"/>
      <c r="C683" s="122" t="s">
        <v>781</v>
      </c>
      <c r="D683" s="120" t="s">
        <v>782</v>
      </c>
      <c r="E683" s="125">
        <v>305</v>
      </c>
      <c r="F683" s="134">
        <v>65</v>
      </c>
      <c r="G683" s="134">
        <v>130</v>
      </c>
      <c r="H683" s="134">
        <v>230</v>
      </c>
      <c r="I683" s="134">
        <v>320</v>
      </c>
      <c r="J683" s="134">
        <v>370</v>
      </c>
      <c r="K683" s="134">
        <v>420</v>
      </c>
      <c r="L683" s="134">
        <v>490</v>
      </c>
      <c r="M683" s="134">
        <v>580</v>
      </c>
      <c r="N683" s="135">
        <v>510</v>
      </c>
      <c r="O683" s="89"/>
      <c r="P683" s="4"/>
      <c r="Q683" s="14"/>
      <c r="R683" s="16"/>
      <c r="S683" s="16"/>
      <c r="T683" s="16"/>
      <c r="U683" s="16"/>
    </row>
    <row r="684" spans="1:21" ht="18.75" customHeight="1" x14ac:dyDescent="0.25">
      <c r="A684" s="14"/>
      <c r="B684" s="15"/>
      <c r="C684" s="122"/>
      <c r="D684" s="210"/>
      <c r="E684" s="210"/>
      <c r="F684" s="210"/>
      <c r="G684" s="210"/>
      <c r="H684" s="210"/>
      <c r="I684" s="210"/>
      <c r="J684" s="210"/>
      <c r="K684" s="210"/>
      <c r="L684" s="210"/>
      <c r="M684" s="210"/>
      <c r="N684" s="115"/>
      <c r="O684" s="89"/>
      <c r="P684" s="4"/>
      <c r="Q684" s="14"/>
      <c r="R684" s="16"/>
      <c r="S684" s="16"/>
      <c r="T684" s="16"/>
      <c r="U684" s="16"/>
    </row>
    <row r="685" spans="1:21" ht="18.75" customHeight="1" x14ac:dyDescent="0.25">
      <c r="A685" s="14"/>
      <c r="B685" s="15"/>
      <c r="C685" s="2199" t="s">
        <v>2034</v>
      </c>
      <c r="D685" s="2200"/>
      <c r="E685" s="2200"/>
      <c r="F685" s="2200"/>
      <c r="G685" s="2200"/>
      <c r="H685" s="2200"/>
      <c r="I685" s="2200"/>
      <c r="J685" s="2200"/>
      <c r="K685" s="2200"/>
      <c r="L685" s="2200"/>
      <c r="M685" s="2200"/>
      <c r="N685" s="2201"/>
      <c r="O685" s="89"/>
      <c r="P685" s="4"/>
      <c r="Q685" s="14"/>
      <c r="R685" s="16"/>
      <c r="S685" s="16"/>
      <c r="T685" s="16"/>
      <c r="U685" s="16"/>
    </row>
    <row r="686" spans="1:21" ht="18.75" customHeight="1" x14ac:dyDescent="0.25">
      <c r="A686" s="14"/>
      <c r="B686" s="15"/>
      <c r="C686" s="2202" t="s">
        <v>407</v>
      </c>
      <c r="D686" s="210">
        <v>102</v>
      </c>
      <c r="E686" s="104" t="s">
        <v>679</v>
      </c>
      <c r="F686" s="210">
        <v>80</v>
      </c>
      <c r="G686" s="210">
        <v>180</v>
      </c>
      <c r="H686" s="210">
        <v>290</v>
      </c>
      <c r="I686" s="210">
        <v>340</v>
      </c>
      <c r="J686" s="210">
        <v>400</v>
      </c>
      <c r="K686" s="210">
        <v>450</v>
      </c>
      <c r="L686" s="210">
        <v>525</v>
      </c>
      <c r="M686" s="210">
        <v>525</v>
      </c>
      <c r="N686" s="115">
        <v>400</v>
      </c>
      <c r="O686" s="91"/>
      <c r="P686" s="4"/>
      <c r="Q686" s="14"/>
      <c r="R686" s="16"/>
      <c r="S686" s="16"/>
      <c r="T686" s="16"/>
      <c r="U686" s="16"/>
    </row>
    <row r="687" spans="1:21" ht="18.75" customHeight="1" x14ac:dyDescent="0.25">
      <c r="A687" s="14"/>
      <c r="B687" s="15"/>
      <c r="C687" s="119" t="s">
        <v>568</v>
      </c>
      <c r="D687" s="120" t="s">
        <v>623</v>
      </c>
      <c r="E687" s="110" t="s">
        <v>608</v>
      </c>
      <c r="F687" s="110" t="s">
        <v>957</v>
      </c>
      <c r="G687" s="110" t="s">
        <v>572</v>
      </c>
      <c r="H687" s="110" t="s">
        <v>530</v>
      </c>
      <c r="I687" s="110" t="s">
        <v>573</v>
      </c>
      <c r="J687" s="110" t="s">
        <v>574</v>
      </c>
      <c r="K687" s="110" t="s">
        <v>575</v>
      </c>
      <c r="L687" s="110" t="s">
        <v>576</v>
      </c>
      <c r="M687" s="110" t="s">
        <v>577</v>
      </c>
      <c r="N687" s="2203" t="s">
        <v>609</v>
      </c>
      <c r="O687" s="91"/>
      <c r="P687" s="4"/>
      <c r="Q687" s="14"/>
      <c r="R687" s="16"/>
      <c r="S687" s="16"/>
      <c r="T687" s="16"/>
      <c r="U687" s="16"/>
    </row>
    <row r="688" spans="1:21" ht="18.75" customHeight="1" x14ac:dyDescent="0.25">
      <c r="A688" s="14"/>
      <c r="B688" s="15"/>
      <c r="C688" s="119" t="s">
        <v>582</v>
      </c>
      <c r="D688" s="120" t="s">
        <v>566</v>
      </c>
      <c r="E688" s="121">
        <v>100064.01585722576</v>
      </c>
      <c r="F688" s="129">
        <v>6505.5327224430221</v>
      </c>
      <c r="G688" s="129">
        <v>22845.489097860318</v>
      </c>
      <c r="H688" s="129">
        <v>22932.694632905503</v>
      </c>
      <c r="I688" s="129">
        <v>7597.5115638107227</v>
      </c>
      <c r="J688" s="129">
        <v>7512.7876935001132</v>
      </c>
      <c r="K688" s="129">
        <v>5606.6110959631487</v>
      </c>
      <c r="L688" s="129">
        <v>11145.774997952904</v>
      </c>
      <c r="M688" s="129">
        <v>15917.614052790024</v>
      </c>
      <c r="N688" s="130">
        <v>33032.509820432773</v>
      </c>
      <c r="O688" s="85"/>
      <c r="P688" s="4"/>
      <c r="Q688" s="14"/>
      <c r="R688" s="16"/>
      <c r="S688" s="16"/>
      <c r="T688" s="16"/>
      <c r="U688" s="16"/>
    </row>
    <row r="689" spans="1:21" ht="18.75" customHeight="1" x14ac:dyDescent="0.25">
      <c r="A689" s="14"/>
      <c r="B689" s="15"/>
      <c r="C689" s="119" t="s">
        <v>582</v>
      </c>
      <c r="D689" s="120" t="s">
        <v>628</v>
      </c>
      <c r="E689" s="145">
        <v>15910.178521298896</v>
      </c>
      <c r="F689" s="129">
        <v>1034.3797028684405</v>
      </c>
      <c r="G689" s="129">
        <v>3632.4327665597907</v>
      </c>
      <c r="H689" s="129">
        <v>3646.2984466319749</v>
      </c>
      <c r="I689" s="129">
        <v>1208.0043386459049</v>
      </c>
      <c r="J689" s="129">
        <v>1194.533243266518</v>
      </c>
      <c r="K689" s="129">
        <v>891.45116425814069</v>
      </c>
      <c r="L689" s="129">
        <v>1772.1782246745117</v>
      </c>
      <c r="M689" s="129">
        <v>2530.9006343936139</v>
      </c>
      <c r="N689" s="130">
        <v>5252.1690614488107</v>
      </c>
      <c r="O689" s="86"/>
      <c r="P689" s="4"/>
      <c r="Q689" s="14"/>
      <c r="R689" s="16"/>
      <c r="S689" s="16"/>
      <c r="T689" s="16"/>
      <c r="U689" s="16"/>
    </row>
    <row r="690" spans="1:21" ht="18.75" customHeight="1" x14ac:dyDescent="0.25">
      <c r="A690" s="14"/>
      <c r="B690" s="15"/>
      <c r="C690" s="119" t="s">
        <v>620</v>
      </c>
      <c r="D690" s="120" t="s">
        <v>622</v>
      </c>
      <c r="E690" s="129">
        <v>13416420</v>
      </c>
      <c r="F690" s="129">
        <v>670821</v>
      </c>
      <c r="G690" s="129">
        <v>2683284</v>
      </c>
      <c r="H690" s="129">
        <v>3085776.6</v>
      </c>
      <c r="I690" s="129">
        <v>1073313.6000000001</v>
      </c>
      <c r="J690" s="129">
        <v>1073313.6000000001</v>
      </c>
      <c r="K690" s="129">
        <v>804985.2</v>
      </c>
      <c r="L690" s="129">
        <v>1609970.4</v>
      </c>
      <c r="M690" s="129">
        <v>2414955.6</v>
      </c>
      <c r="N690" s="130">
        <v>4829911.2</v>
      </c>
      <c r="O690" s="87"/>
      <c r="P690" s="4"/>
      <c r="Q690" s="14"/>
      <c r="R690" s="16"/>
      <c r="S690" s="16"/>
      <c r="T690" s="16"/>
      <c r="U690" s="16"/>
    </row>
    <row r="691" spans="1:21" ht="18.75" customHeight="1" x14ac:dyDescent="0.25">
      <c r="A691" s="14"/>
      <c r="B691" s="15"/>
      <c r="C691" s="122" t="s">
        <v>776</v>
      </c>
      <c r="D691" s="120" t="s">
        <v>579</v>
      </c>
      <c r="E691" s="125">
        <v>0.47346839741646768</v>
      </c>
      <c r="F691" s="125">
        <v>0</v>
      </c>
      <c r="G691" s="125">
        <v>0</v>
      </c>
      <c r="H691" s="125">
        <v>0.18119146192241942</v>
      </c>
      <c r="I691" s="125">
        <v>0.39011595982863628</v>
      </c>
      <c r="J691" s="125">
        <v>0.53134035247956379</v>
      </c>
      <c r="K691" s="125">
        <v>0.67869106735143736</v>
      </c>
      <c r="L691" s="125">
        <v>0.85509393262951738</v>
      </c>
      <c r="M691" s="125">
        <v>1.1930284457390379</v>
      </c>
      <c r="N691" s="131">
        <v>0.99466071163793102</v>
      </c>
      <c r="O691" s="88"/>
      <c r="P691" s="4"/>
      <c r="Q691" s="14"/>
      <c r="R691" s="16"/>
      <c r="S691" s="16"/>
      <c r="T691" s="16"/>
      <c r="U691" s="16"/>
    </row>
    <row r="692" spans="1:21" ht="18.75" customHeight="1" x14ac:dyDescent="0.25">
      <c r="A692" s="14"/>
      <c r="B692" s="15"/>
      <c r="C692" s="122" t="s">
        <v>777</v>
      </c>
      <c r="D692" s="210" t="s">
        <v>778</v>
      </c>
      <c r="E692" s="125">
        <v>1824.9843330074771</v>
      </c>
      <c r="F692" s="132">
        <v>160.70541195517853</v>
      </c>
      <c r="G692" s="132">
        <v>1798.2425478267505</v>
      </c>
      <c r="H692" s="132">
        <v>2229.8079784676138</v>
      </c>
      <c r="I692" s="132">
        <v>1567.929908564005</v>
      </c>
      <c r="J692" s="132">
        <v>1146.0092658681642</v>
      </c>
      <c r="K692" s="132">
        <v>922.68235228386766</v>
      </c>
      <c r="L692" s="132">
        <v>1171.1043173374601</v>
      </c>
      <c r="M692" s="125">
        <v>2952.4229145817567</v>
      </c>
      <c r="N692" s="133">
        <v>2020.3599551173429</v>
      </c>
      <c r="O692" s="88"/>
      <c r="P692" s="4"/>
      <c r="Q692" s="14"/>
      <c r="R692" s="16"/>
      <c r="S692" s="16"/>
      <c r="T692" s="16"/>
      <c r="U692" s="16"/>
    </row>
    <row r="693" spans="1:21" ht="18.75" customHeight="1" x14ac:dyDescent="0.25">
      <c r="A693" s="14"/>
      <c r="B693" s="15"/>
      <c r="C693" s="119" t="s">
        <v>779</v>
      </c>
      <c r="D693" s="120" t="s">
        <v>970</v>
      </c>
      <c r="E693" s="132">
        <v>36.200000000000003</v>
      </c>
      <c r="F693" s="125">
        <v>86.472542151852394</v>
      </c>
      <c r="G693" s="125">
        <v>59.863626463053961</v>
      </c>
      <c r="H693" s="125">
        <v>35.538345626406965</v>
      </c>
      <c r="I693" s="125">
        <v>27.600048013633568</v>
      </c>
      <c r="J693" s="125">
        <v>25.825839218937432</v>
      </c>
      <c r="K693" s="125">
        <v>25.04460666839654</v>
      </c>
      <c r="L693" s="125">
        <v>24.10299557118185</v>
      </c>
      <c r="M693" s="125">
        <v>16.647522531480973</v>
      </c>
      <c r="N693" s="131">
        <v>22.219159060656153</v>
      </c>
      <c r="O693" s="88"/>
      <c r="P693" s="4"/>
      <c r="Q693" s="14"/>
      <c r="R693" s="16"/>
      <c r="S693" s="16"/>
      <c r="T693" s="16"/>
      <c r="U693" s="16"/>
    </row>
    <row r="694" spans="1:21" ht="18.75" customHeight="1" x14ac:dyDescent="0.25">
      <c r="A694" s="14"/>
      <c r="B694" s="15"/>
      <c r="C694" s="119" t="s">
        <v>580</v>
      </c>
      <c r="D694" s="120" t="s">
        <v>581</v>
      </c>
      <c r="E694" s="125">
        <v>843.8</v>
      </c>
      <c r="F694" s="125">
        <v>648.52490641468012</v>
      </c>
      <c r="G694" s="125">
        <v>738.70162847949643</v>
      </c>
      <c r="H694" s="125">
        <v>846.27647603840012</v>
      </c>
      <c r="I694" s="125">
        <v>888.50144462487242</v>
      </c>
      <c r="J694" s="125">
        <v>898.52133128163428</v>
      </c>
      <c r="K694" s="125">
        <v>903.00538299246364</v>
      </c>
      <c r="L694" s="125">
        <v>908.46980150413265</v>
      </c>
      <c r="M694" s="125">
        <v>954.18823132841271</v>
      </c>
      <c r="N694" s="131">
        <v>919.6031474789711</v>
      </c>
      <c r="O694" s="89"/>
      <c r="P694" s="4"/>
      <c r="Q694" s="14"/>
      <c r="R694" s="16"/>
      <c r="S694" s="16"/>
      <c r="T694" s="16"/>
      <c r="U694" s="16"/>
    </row>
    <row r="695" spans="1:21" ht="18.75" customHeight="1" x14ac:dyDescent="0.25">
      <c r="A695" s="14"/>
      <c r="B695" s="15"/>
      <c r="C695" s="119" t="s">
        <v>541</v>
      </c>
      <c r="D695" s="120" t="s">
        <v>579</v>
      </c>
      <c r="E695" s="125">
        <v>13.091146172962434</v>
      </c>
      <c r="F695" s="125">
        <v>16.848460695895341</v>
      </c>
      <c r="G695" s="125">
        <v>14.526274189090037</v>
      </c>
      <c r="H695" s="125">
        <v>12.597662219345857</v>
      </c>
      <c r="I695" s="125">
        <v>12.644241112092509</v>
      </c>
      <c r="J695" s="125">
        <v>12.497959755215991</v>
      </c>
      <c r="K695" s="125">
        <v>12.497137342730422</v>
      </c>
      <c r="L695" s="125">
        <v>12.493954928120722</v>
      </c>
      <c r="M695" s="125">
        <v>12.14181715876178</v>
      </c>
      <c r="N695" s="131">
        <v>12.318416445876199</v>
      </c>
      <c r="O695" s="90"/>
      <c r="P695" s="4"/>
      <c r="Q695" s="14"/>
      <c r="R695" s="16"/>
      <c r="S695" s="16"/>
      <c r="T695" s="16"/>
      <c r="U695" s="16"/>
    </row>
    <row r="696" spans="1:21" ht="18.75" customHeight="1" x14ac:dyDescent="0.25">
      <c r="A696" s="14"/>
      <c r="B696" s="15"/>
      <c r="C696" s="119" t="s">
        <v>544</v>
      </c>
      <c r="D696" s="120" t="s">
        <v>579</v>
      </c>
      <c r="E696" s="125">
        <v>2.87</v>
      </c>
      <c r="F696" s="128"/>
      <c r="G696" s="128"/>
      <c r="H696" s="128"/>
      <c r="I696" s="128"/>
      <c r="J696" s="128"/>
      <c r="K696" s="128"/>
      <c r="L696" s="128"/>
      <c r="M696" s="125">
        <v>15.9285</v>
      </c>
      <c r="N696" s="131">
        <v>7.9722222222222214</v>
      </c>
      <c r="O696" s="89"/>
      <c r="P696" s="4"/>
      <c r="Q696" s="14"/>
      <c r="R696" s="16"/>
      <c r="S696" s="16"/>
      <c r="T696" s="16"/>
      <c r="U696" s="16"/>
    </row>
    <row r="697" spans="1:21" ht="18.75" customHeight="1" x14ac:dyDescent="0.25">
      <c r="A697" s="14"/>
      <c r="B697" s="15"/>
      <c r="C697" s="119" t="s">
        <v>780</v>
      </c>
      <c r="D697" s="120" t="s">
        <v>783</v>
      </c>
      <c r="E697" s="125">
        <v>12.010127956979197</v>
      </c>
      <c r="F697" s="125">
        <v>13.054872912339714</v>
      </c>
      <c r="G697" s="125">
        <v>12.152976993827995</v>
      </c>
      <c r="H697" s="125">
        <v>11.45903075855399</v>
      </c>
      <c r="I697" s="125">
        <v>11.49192767642699</v>
      </c>
      <c r="J697" s="125">
        <v>11.67450682966486</v>
      </c>
      <c r="K697" s="125">
        <v>11.910086457162953</v>
      </c>
      <c r="L697" s="125">
        <v>12.170623905801337</v>
      </c>
      <c r="M697" s="125">
        <v>12.14955519101917</v>
      </c>
      <c r="N697" s="131">
        <v>12.283664598928194</v>
      </c>
      <c r="O697" s="89"/>
      <c r="P697" s="4"/>
      <c r="Q697" s="14"/>
      <c r="R697" s="16"/>
      <c r="S697" s="16"/>
      <c r="T697" s="16"/>
      <c r="U697" s="16"/>
    </row>
    <row r="698" spans="1:21" ht="18.75" customHeight="1" x14ac:dyDescent="0.25">
      <c r="A698" s="14"/>
      <c r="B698" s="15"/>
      <c r="C698" s="122" t="s">
        <v>781</v>
      </c>
      <c r="D698" s="120" t="s">
        <v>782</v>
      </c>
      <c r="E698" s="125">
        <v>305</v>
      </c>
      <c r="F698" s="134">
        <v>65</v>
      </c>
      <c r="G698" s="134">
        <v>130</v>
      </c>
      <c r="H698" s="134">
        <v>235</v>
      </c>
      <c r="I698" s="134">
        <v>320</v>
      </c>
      <c r="J698" s="134">
        <v>370</v>
      </c>
      <c r="K698" s="134">
        <v>420</v>
      </c>
      <c r="L698" s="134">
        <v>480</v>
      </c>
      <c r="M698" s="134">
        <v>595</v>
      </c>
      <c r="N698" s="135">
        <v>530</v>
      </c>
      <c r="O698" s="89"/>
      <c r="P698" s="4"/>
      <c r="Q698" s="14"/>
      <c r="R698" s="16"/>
      <c r="S698" s="16"/>
      <c r="T698" s="16"/>
      <c r="U698" s="16"/>
    </row>
    <row r="699" spans="1:21" ht="18.75" customHeight="1" x14ac:dyDescent="0.25">
      <c r="A699" s="14"/>
      <c r="B699" s="15"/>
      <c r="C699" s="122"/>
      <c r="D699" s="210"/>
      <c r="E699" s="210"/>
      <c r="F699" s="210"/>
      <c r="G699" s="210"/>
      <c r="H699" s="210"/>
      <c r="I699" s="210"/>
      <c r="J699" s="210"/>
      <c r="K699" s="210"/>
      <c r="L699" s="210"/>
      <c r="M699" s="210"/>
      <c r="N699" s="115"/>
      <c r="O699" s="89"/>
      <c r="P699" s="4"/>
      <c r="Q699" s="14"/>
      <c r="R699" s="16"/>
      <c r="S699" s="16"/>
      <c r="T699" s="16"/>
      <c r="U699" s="16"/>
    </row>
    <row r="700" spans="1:21" ht="18.75" customHeight="1" x14ac:dyDescent="0.25">
      <c r="A700" s="14"/>
      <c r="B700" s="15"/>
      <c r="C700" s="2199" t="s">
        <v>2035</v>
      </c>
      <c r="D700" s="2200"/>
      <c r="E700" s="2200"/>
      <c r="F700" s="2200"/>
      <c r="G700" s="2200"/>
      <c r="H700" s="2200"/>
      <c r="I700" s="2200"/>
      <c r="J700" s="2200"/>
      <c r="K700" s="2200"/>
      <c r="L700" s="2200"/>
      <c r="M700" s="2200"/>
      <c r="N700" s="2201"/>
      <c r="O700" s="89"/>
      <c r="P700" s="4"/>
      <c r="Q700" s="14"/>
      <c r="R700" s="16"/>
      <c r="S700" s="16"/>
      <c r="T700" s="16"/>
      <c r="U700" s="16"/>
    </row>
    <row r="701" spans="1:21" ht="18.75" customHeight="1" x14ac:dyDescent="0.25">
      <c r="A701" s="14"/>
      <c r="B701" s="15"/>
      <c r="C701" s="2202" t="s">
        <v>407</v>
      </c>
      <c r="D701" s="210">
        <v>101</v>
      </c>
      <c r="E701" s="104" t="s">
        <v>679</v>
      </c>
      <c r="F701" s="210">
        <v>80</v>
      </c>
      <c r="G701" s="210">
        <v>180</v>
      </c>
      <c r="H701" s="210">
        <v>290</v>
      </c>
      <c r="I701" s="210">
        <v>340</v>
      </c>
      <c r="J701" s="210">
        <v>400</v>
      </c>
      <c r="K701" s="210">
        <v>450</v>
      </c>
      <c r="L701" s="210">
        <v>525</v>
      </c>
      <c r="M701" s="210">
        <v>525</v>
      </c>
      <c r="N701" s="115">
        <v>400</v>
      </c>
      <c r="O701" s="91"/>
      <c r="P701" s="4"/>
      <c r="Q701" s="14"/>
      <c r="R701" s="16"/>
      <c r="S701" s="16"/>
      <c r="T701" s="16"/>
      <c r="U701" s="16"/>
    </row>
    <row r="702" spans="1:21" ht="18.75" customHeight="1" x14ac:dyDescent="0.25">
      <c r="A702" s="14"/>
      <c r="B702" s="15"/>
      <c r="C702" s="119" t="s">
        <v>568</v>
      </c>
      <c r="D702" s="120" t="s">
        <v>623</v>
      </c>
      <c r="E702" s="110" t="s">
        <v>608</v>
      </c>
      <c r="F702" s="110" t="s">
        <v>957</v>
      </c>
      <c r="G702" s="110" t="s">
        <v>572</v>
      </c>
      <c r="H702" s="110" t="s">
        <v>530</v>
      </c>
      <c r="I702" s="110" t="s">
        <v>573</v>
      </c>
      <c r="J702" s="110" t="s">
        <v>574</v>
      </c>
      <c r="K702" s="110" t="s">
        <v>575</v>
      </c>
      <c r="L702" s="110" t="s">
        <v>576</v>
      </c>
      <c r="M702" s="110" t="s">
        <v>577</v>
      </c>
      <c r="N702" s="2203" t="s">
        <v>609</v>
      </c>
      <c r="O702" s="17"/>
      <c r="P702" s="4"/>
      <c r="Q702" s="14"/>
      <c r="R702" s="16"/>
      <c r="S702" s="16"/>
      <c r="T702" s="16"/>
      <c r="U702" s="16"/>
    </row>
    <row r="703" spans="1:21" ht="18.75" customHeight="1" x14ac:dyDescent="0.25">
      <c r="A703" s="14"/>
      <c r="B703" s="15"/>
      <c r="C703" s="119" t="s">
        <v>582</v>
      </c>
      <c r="D703" s="120" t="s">
        <v>566</v>
      </c>
      <c r="E703" s="121">
        <v>103380.3591148188</v>
      </c>
      <c r="F703" s="129">
        <v>4768.8171918741955</v>
      </c>
      <c r="G703" s="129">
        <v>11370.971506543478</v>
      </c>
      <c r="H703" s="129">
        <v>20034.059836870456</v>
      </c>
      <c r="I703" s="129">
        <v>8106.3656324112535</v>
      </c>
      <c r="J703" s="129">
        <v>6990.8317070951671</v>
      </c>
      <c r="K703" s="129">
        <v>6454.2913350086628</v>
      </c>
      <c r="L703" s="129">
        <v>8907.9550470509275</v>
      </c>
      <c r="M703" s="129">
        <v>36747.066857964681</v>
      </c>
      <c r="N703" s="130">
        <v>52330.641282528646</v>
      </c>
      <c r="O703" s="92"/>
      <c r="P703" s="4"/>
      <c r="Q703" s="14"/>
      <c r="R703" s="16"/>
      <c r="S703" s="16"/>
      <c r="T703" s="16"/>
      <c r="U703" s="16"/>
    </row>
    <row r="704" spans="1:21" ht="18.75" customHeight="1" x14ac:dyDescent="0.25">
      <c r="A704" s="14"/>
      <c r="B704" s="15"/>
      <c r="C704" s="119" t="s">
        <v>582</v>
      </c>
      <c r="D704" s="120" t="s">
        <v>628</v>
      </c>
      <c r="E704" s="145">
        <v>16437.47709925619</v>
      </c>
      <c r="F704" s="129">
        <v>758.24193350799715</v>
      </c>
      <c r="G704" s="129">
        <v>1807.9844695404129</v>
      </c>
      <c r="H704" s="129">
        <v>3185.4155140624025</v>
      </c>
      <c r="I704" s="129">
        <v>1288.9121355533894</v>
      </c>
      <c r="J704" s="129">
        <v>1111.5422414281315</v>
      </c>
      <c r="K704" s="129">
        <v>1026.2323222663774</v>
      </c>
      <c r="L704" s="129">
        <v>1416.3648524810974</v>
      </c>
      <c r="M704" s="129">
        <v>5842.7836304163839</v>
      </c>
      <c r="N704" s="130">
        <v>8320.5719639220551</v>
      </c>
      <c r="O704" s="93"/>
      <c r="P704" s="4"/>
      <c r="Q704" s="14"/>
      <c r="R704" s="16"/>
      <c r="S704" s="16"/>
      <c r="T704" s="16"/>
      <c r="U704" s="16"/>
    </row>
    <row r="705" spans="1:21" ht="18.75" customHeight="1" x14ac:dyDescent="0.25">
      <c r="A705" s="14"/>
      <c r="B705" s="15"/>
      <c r="C705" s="119" t="s">
        <v>620</v>
      </c>
      <c r="D705" s="120" t="s">
        <v>622</v>
      </c>
      <c r="E705" s="129">
        <v>14459460</v>
      </c>
      <c r="F705" s="129">
        <v>506081.10000000003</v>
      </c>
      <c r="G705" s="129">
        <v>1373648.7</v>
      </c>
      <c r="H705" s="129">
        <v>2747297.4</v>
      </c>
      <c r="I705" s="129">
        <v>1156756.8</v>
      </c>
      <c r="J705" s="129">
        <v>1012162.2000000001</v>
      </c>
      <c r="K705" s="129">
        <v>939864.9</v>
      </c>
      <c r="L705" s="129">
        <v>1301351.3999999999</v>
      </c>
      <c r="M705" s="129">
        <v>5422297.5</v>
      </c>
      <c r="N705" s="130">
        <v>7663513.8000000007</v>
      </c>
      <c r="O705" s="81"/>
      <c r="P705" s="4"/>
      <c r="Q705" s="14"/>
      <c r="R705" s="16"/>
      <c r="S705" s="16"/>
      <c r="T705" s="16"/>
      <c r="U705" s="16"/>
    </row>
    <row r="706" spans="1:21" ht="18.75" customHeight="1" x14ac:dyDescent="0.25">
      <c r="A706" s="14"/>
      <c r="B706" s="15"/>
      <c r="C706" s="122" t="s">
        <v>776</v>
      </c>
      <c r="D706" s="120" t="s">
        <v>579</v>
      </c>
      <c r="E706" s="125">
        <v>1.2890078196624319</v>
      </c>
      <c r="F706" s="125">
        <v>0</v>
      </c>
      <c r="G706" s="125">
        <v>0</v>
      </c>
      <c r="H706" s="125">
        <v>0.41493191207006397</v>
      </c>
      <c r="I706" s="125">
        <v>0.82726325620943042</v>
      </c>
      <c r="J706" s="125">
        <v>1.204051450312307</v>
      </c>
      <c r="K706" s="125">
        <v>1.5613878223717184</v>
      </c>
      <c r="L706" s="125">
        <v>1.847459466610929</v>
      </c>
      <c r="M706" s="125">
        <v>2.1118520904036231</v>
      </c>
      <c r="N706" s="131">
        <v>1.9994454610386865</v>
      </c>
      <c r="O706" s="82"/>
      <c r="P706" s="4"/>
      <c r="Q706" s="14"/>
      <c r="R706" s="16"/>
      <c r="S706" s="16"/>
      <c r="T706" s="16"/>
      <c r="U706" s="16"/>
    </row>
    <row r="707" spans="1:21" ht="18.75" customHeight="1" x14ac:dyDescent="0.25">
      <c r="A707" s="14"/>
      <c r="B707" s="15"/>
      <c r="C707" s="122" t="s">
        <v>777</v>
      </c>
      <c r="D707" s="210" t="s">
        <v>778</v>
      </c>
      <c r="E707" s="125">
        <v>1368.9771262467118</v>
      </c>
      <c r="F707" s="132">
        <v>71.553827939306075</v>
      </c>
      <c r="G707" s="132">
        <v>1649.3286993761772</v>
      </c>
      <c r="H707" s="132">
        <v>2223.3345054357369</v>
      </c>
      <c r="I707" s="132">
        <v>1886.4586216096941</v>
      </c>
      <c r="J707" s="132">
        <v>1476.6193769808669</v>
      </c>
      <c r="K707" s="132">
        <v>1147.9839473251159</v>
      </c>
      <c r="L707" s="132">
        <v>1006.419783373336</v>
      </c>
      <c r="M707" s="125">
        <v>981.00313759504036</v>
      </c>
      <c r="N707" s="133">
        <v>1005.7979503356091</v>
      </c>
      <c r="O707" s="82"/>
      <c r="P707" s="4"/>
      <c r="Q707" s="14"/>
      <c r="R707" s="16"/>
      <c r="S707" s="16"/>
      <c r="T707" s="16"/>
      <c r="U707" s="16"/>
    </row>
    <row r="708" spans="1:21" ht="18.75" customHeight="1" x14ac:dyDescent="0.25">
      <c r="A708" s="14"/>
      <c r="B708" s="15"/>
      <c r="C708" s="119" t="s">
        <v>779</v>
      </c>
      <c r="D708" s="120" t="s">
        <v>970</v>
      </c>
      <c r="E708" s="132">
        <v>24.1</v>
      </c>
      <c r="F708" s="125">
        <v>80.295207776567935</v>
      </c>
      <c r="G708" s="125">
        <v>54.557621635404367</v>
      </c>
      <c r="H708" s="125">
        <v>32.403740450167049</v>
      </c>
      <c r="I708" s="125">
        <v>26.010569057931193</v>
      </c>
      <c r="J708" s="125">
        <v>23.740240332355754</v>
      </c>
      <c r="K708" s="125">
        <v>22.850736903990878</v>
      </c>
      <c r="L708" s="125">
        <v>22.354076027311748</v>
      </c>
      <c r="M708" s="125">
        <v>20.822798800410709</v>
      </c>
      <c r="N708" s="131">
        <v>21.980669973618262</v>
      </c>
      <c r="O708" s="94"/>
      <c r="P708" s="4"/>
      <c r="Q708" s="14"/>
      <c r="R708" s="16"/>
      <c r="S708" s="16"/>
      <c r="T708" s="16"/>
      <c r="U708" s="16"/>
    </row>
    <row r="709" spans="1:21" ht="18.75" customHeight="1" x14ac:dyDescent="0.25">
      <c r="A709" s="14"/>
      <c r="B709" s="15"/>
      <c r="C709" s="119" t="s">
        <v>580</v>
      </c>
      <c r="D709" s="120" t="s">
        <v>581</v>
      </c>
      <c r="E709" s="125">
        <v>909.4</v>
      </c>
      <c r="F709" s="125">
        <v>667.44013702674283</v>
      </c>
      <c r="G709" s="125">
        <v>759.76797541252085</v>
      </c>
      <c r="H709" s="125">
        <v>862.46123555050281</v>
      </c>
      <c r="I709" s="125">
        <v>897.46753722925496</v>
      </c>
      <c r="J709" s="125">
        <v>910.5926543102438</v>
      </c>
      <c r="K709" s="125">
        <v>915.84028256327019</v>
      </c>
      <c r="L709" s="125">
        <v>918.7967335678909</v>
      </c>
      <c r="M709" s="125">
        <v>928.03325315224481</v>
      </c>
      <c r="N709" s="131">
        <v>921.03209169140598</v>
      </c>
      <c r="O709" s="83"/>
      <c r="P709" s="4"/>
      <c r="Q709" s="14"/>
      <c r="R709" s="16"/>
      <c r="S709" s="16"/>
      <c r="T709" s="16"/>
      <c r="U709" s="16"/>
    </row>
    <row r="710" spans="1:21" ht="18.75" customHeight="1" x14ac:dyDescent="0.25">
      <c r="A710" s="14"/>
      <c r="B710" s="15"/>
      <c r="C710" s="119" t="s">
        <v>541</v>
      </c>
      <c r="D710" s="120" t="s">
        <v>579</v>
      </c>
      <c r="E710" s="125">
        <v>12.504292570225241</v>
      </c>
      <c r="F710" s="125">
        <v>15.729337841736426</v>
      </c>
      <c r="G710" s="125">
        <v>13.780880796538133</v>
      </c>
      <c r="H710" s="125">
        <v>12.251041866620167</v>
      </c>
      <c r="I710" s="125">
        <v>12.396949123118333</v>
      </c>
      <c r="J710" s="125">
        <v>12.192475098828449</v>
      </c>
      <c r="K710" s="125">
        <v>12.183289039417986</v>
      </c>
      <c r="L710" s="125">
        <v>12.210905682440067</v>
      </c>
      <c r="M710" s="125">
        <v>12.215359012496746</v>
      </c>
      <c r="N710" s="131">
        <v>12.210669676732177</v>
      </c>
      <c r="O710" s="84"/>
      <c r="P710" s="4"/>
      <c r="Q710" s="14"/>
      <c r="R710" s="16"/>
      <c r="S710" s="16"/>
      <c r="T710" s="16"/>
      <c r="U710" s="16"/>
    </row>
    <row r="711" spans="1:21" ht="18.75" customHeight="1" x14ac:dyDescent="0.25">
      <c r="A711" s="14"/>
      <c r="B711" s="15"/>
      <c r="C711" s="119" t="s">
        <v>544</v>
      </c>
      <c r="D711" s="120" t="s">
        <v>579</v>
      </c>
      <c r="E711" s="125">
        <v>6</v>
      </c>
      <c r="F711" s="128"/>
      <c r="G711" s="128"/>
      <c r="H711" s="128"/>
      <c r="I711" s="128"/>
      <c r="J711" s="128"/>
      <c r="K711" s="128"/>
      <c r="L711" s="128"/>
      <c r="M711" s="125">
        <v>15.984000000000002</v>
      </c>
      <c r="N711" s="131">
        <v>11.320754716981131</v>
      </c>
      <c r="O711" s="83"/>
      <c r="P711" s="4"/>
      <c r="Q711" s="14"/>
      <c r="R711" s="16"/>
      <c r="S711" s="16"/>
      <c r="T711" s="16"/>
      <c r="U711" s="16"/>
    </row>
    <row r="712" spans="1:21" ht="18.75" customHeight="1" x14ac:dyDescent="0.25">
      <c r="A712" s="14"/>
      <c r="B712" s="15"/>
      <c r="C712" s="119" t="s">
        <v>780</v>
      </c>
      <c r="D712" s="120" t="s">
        <v>783</v>
      </c>
      <c r="E712" s="125">
        <v>11.838219739247549</v>
      </c>
      <c r="F712" s="125">
        <v>12.494491266916949</v>
      </c>
      <c r="G712" s="125">
        <v>11.766955208362793</v>
      </c>
      <c r="H712" s="125">
        <v>11.280751636324927</v>
      </c>
      <c r="I712" s="125">
        <v>11.345059976617231</v>
      </c>
      <c r="J712" s="125">
        <v>11.54951844316893</v>
      </c>
      <c r="K712" s="125">
        <v>11.799377507753736</v>
      </c>
      <c r="L712" s="125">
        <v>12.007141491052723</v>
      </c>
      <c r="M712" s="125">
        <v>12.247391977487865</v>
      </c>
      <c r="N712" s="131">
        <v>12.109958873054868</v>
      </c>
      <c r="O712" s="83"/>
      <c r="P712" s="4"/>
      <c r="Q712" s="14"/>
      <c r="R712" s="16"/>
      <c r="S712" s="16"/>
      <c r="T712" s="16"/>
      <c r="U712" s="16"/>
    </row>
    <row r="713" spans="1:21" ht="18.75" customHeight="1" x14ac:dyDescent="0.25">
      <c r="A713" s="14"/>
      <c r="B713" s="15"/>
      <c r="C713" s="122" t="s">
        <v>781</v>
      </c>
      <c r="D713" s="120" t="s">
        <v>782</v>
      </c>
      <c r="E713" s="125">
        <v>420</v>
      </c>
      <c r="F713" s="134">
        <v>50</v>
      </c>
      <c r="G713" s="134">
        <v>125</v>
      </c>
      <c r="H713" s="134">
        <v>240</v>
      </c>
      <c r="I713" s="134">
        <v>315</v>
      </c>
      <c r="J713" s="134">
        <v>375</v>
      </c>
      <c r="K713" s="134">
        <v>430</v>
      </c>
      <c r="L713" s="134">
        <v>475</v>
      </c>
      <c r="M713" s="134">
        <v>545</v>
      </c>
      <c r="N713" s="135">
        <v>500</v>
      </c>
      <c r="O713" s="83"/>
      <c r="P713" s="4"/>
      <c r="Q713" s="14"/>
      <c r="R713" s="16"/>
      <c r="S713" s="16"/>
      <c r="T713" s="16"/>
      <c r="U713" s="16"/>
    </row>
    <row r="714" spans="1:21" ht="18.75" customHeight="1" x14ac:dyDescent="0.25">
      <c r="A714" s="14"/>
      <c r="B714" s="15"/>
      <c r="C714" s="122"/>
      <c r="D714" s="210"/>
      <c r="E714" s="210"/>
      <c r="F714" s="210"/>
      <c r="G714" s="210"/>
      <c r="H714" s="210"/>
      <c r="I714" s="210"/>
      <c r="J714" s="210"/>
      <c r="K714" s="210"/>
      <c r="L714" s="210"/>
      <c r="M714" s="210"/>
      <c r="N714" s="115"/>
      <c r="O714" s="83"/>
      <c r="P714" s="4"/>
      <c r="Q714" s="14"/>
      <c r="R714" s="16"/>
      <c r="S714" s="16"/>
      <c r="T714" s="16"/>
      <c r="U714" s="16"/>
    </row>
    <row r="715" spans="1:21" ht="18.75" customHeight="1" x14ac:dyDescent="0.25">
      <c r="A715" s="14"/>
      <c r="B715" s="15"/>
      <c r="C715" s="2199" t="s">
        <v>2036</v>
      </c>
      <c r="D715" s="2200"/>
      <c r="E715" s="2200"/>
      <c r="F715" s="2200"/>
      <c r="G715" s="2200"/>
      <c r="H715" s="2200"/>
      <c r="I715" s="2200"/>
      <c r="J715" s="2200"/>
      <c r="K715" s="2200"/>
      <c r="L715" s="2200"/>
      <c r="M715" s="2200"/>
      <c r="N715" s="2201"/>
      <c r="O715" s="83"/>
      <c r="P715" s="4"/>
      <c r="Q715" s="14"/>
      <c r="R715" s="16"/>
      <c r="S715" s="16"/>
      <c r="T715" s="16"/>
      <c r="U715" s="16"/>
    </row>
    <row r="716" spans="1:21" ht="18.75" customHeight="1" x14ac:dyDescent="0.25">
      <c r="A716" s="14"/>
      <c r="B716" s="15"/>
      <c r="C716" s="2202" t="s">
        <v>407</v>
      </c>
      <c r="D716" s="210">
        <v>92</v>
      </c>
      <c r="E716" s="104" t="s">
        <v>679</v>
      </c>
      <c r="F716" s="210">
        <v>80</v>
      </c>
      <c r="G716" s="210">
        <v>180</v>
      </c>
      <c r="H716" s="210">
        <v>290</v>
      </c>
      <c r="I716" s="210">
        <v>340</v>
      </c>
      <c r="J716" s="210">
        <v>400</v>
      </c>
      <c r="K716" s="210">
        <v>450</v>
      </c>
      <c r="L716" s="210">
        <v>525</v>
      </c>
      <c r="M716" s="210">
        <v>525</v>
      </c>
      <c r="N716" s="115">
        <v>400</v>
      </c>
      <c r="O716" s="17"/>
      <c r="P716" s="4"/>
      <c r="Q716" s="14"/>
      <c r="R716" s="16"/>
      <c r="S716" s="16"/>
      <c r="T716" s="16"/>
      <c r="U716" s="16"/>
    </row>
    <row r="717" spans="1:21" ht="18.75" customHeight="1" x14ac:dyDescent="0.25">
      <c r="A717" s="14"/>
      <c r="B717" s="15"/>
      <c r="C717" s="119" t="s">
        <v>568</v>
      </c>
      <c r="D717" s="120" t="s">
        <v>623</v>
      </c>
      <c r="E717" s="110" t="s">
        <v>608</v>
      </c>
      <c r="F717" s="110" t="s">
        <v>957</v>
      </c>
      <c r="G717" s="110" t="s">
        <v>572</v>
      </c>
      <c r="H717" s="110" t="s">
        <v>530</v>
      </c>
      <c r="I717" s="110" t="s">
        <v>573</v>
      </c>
      <c r="J717" s="110" t="s">
        <v>574</v>
      </c>
      <c r="K717" s="110" t="s">
        <v>575</v>
      </c>
      <c r="L717" s="110" t="s">
        <v>576</v>
      </c>
      <c r="M717" s="110" t="s">
        <v>577</v>
      </c>
      <c r="N717" s="2203" t="s">
        <v>609</v>
      </c>
      <c r="O717" s="17"/>
      <c r="P717" s="4"/>
      <c r="Q717" s="14"/>
      <c r="R717" s="16"/>
      <c r="S717" s="16"/>
      <c r="T717" s="16"/>
      <c r="U717" s="16"/>
    </row>
    <row r="718" spans="1:21" ht="18.75" customHeight="1" x14ac:dyDescent="0.25">
      <c r="A718" s="14"/>
      <c r="B718" s="15"/>
      <c r="C718" s="119" t="s">
        <v>582</v>
      </c>
      <c r="D718" s="120" t="s">
        <v>566</v>
      </c>
      <c r="E718" s="121">
        <v>98750.452832114359</v>
      </c>
      <c r="F718" s="129">
        <v>8900.1666572405938</v>
      </c>
      <c r="G718" s="129">
        <v>18639.954384448465</v>
      </c>
      <c r="H718" s="129">
        <v>22949.369286595487</v>
      </c>
      <c r="I718" s="129">
        <v>8640.9780607305529</v>
      </c>
      <c r="J718" s="129">
        <v>7581.0031203289454</v>
      </c>
      <c r="K718" s="129">
        <v>6572.4092377478637</v>
      </c>
      <c r="L718" s="129">
        <v>9727.2296465155505</v>
      </c>
      <c r="M718" s="129">
        <v>15739.342438506901</v>
      </c>
      <c r="N718" s="130">
        <v>32768.704259874037</v>
      </c>
      <c r="O718" s="17"/>
      <c r="P718" s="4"/>
      <c r="Q718" s="14"/>
      <c r="R718" s="16"/>
      <c r="S718" s="16"/>
      <c r="T718" s="16"/>
      <c r="U718" s="16"/>
    </row>
    <row r="719" spans="1:21" ht="28.5" customHeight="1" x14ac:dyDescent="0.25">
      <c r="A719" s="14"/>
      <c r="B719" s="15"/>
      <c r="C719" s="119" t="s">
        <v>582</v>
      </c>
      <c r="D719" s="120" t="s">
        <v>628</v>
      </c>
      <c r="E719" s="145">
        <v>15701.322000306183</v>
      </c>
      <c r="F719" s="129">
        <v>1415.1264985012544</v>
      </c>
      <c r="G719" s="129">
        <v>2963.7527471273061</v>
      </c>
      <c r="H719" s="129">
        <v>3648.9497165686826</v>
      </c>
      <c r="I719" s="129">
        <v>1373.9155116561581</v>
      </c>
      <c r="J719" s="129">
        <v>1205.3794961323024</v>
      </c>
      <c r="K719" s="129">
        <v>1045.0130688019103</v>
      </c>
      <c r="L719" s="129">
        <v>1546.6295137959726</v>
      </c>
      <c r="M719" s="129">
        <v>2502.5554477225974</v>
      </c>
      <c r="N719" s="130">
        <v>5210.2239773199717</v>
      </c>
      <c r="O719" s="17"/>
      <c r="P719" s="11"/>
      <c r="Q719" s="14"/>
      <c r="R719" s="16"/>
      <c r="S719" s="16"/>
      <c r="T719" s="16"/>
      <c r="U719" s="16"/>
    </row>
    <row r="720" spans="1:21" ht="18.75" customHeight="1" x14ac:dyDescent="0.25">
      <c r="A720" s="14"/>
      <c r="B720" s="15"/>
      <c r="C720" s="119" t="s">
        <v>620</v>
      </c>
      <c r="D720" s="120" t="s">
        <v>622</v>
      </c>
      <c r="E720" s="129">
        <v>13336920</v>
      </c>
      <c r="F720" s="129">
        <v>933584.40000000014</v>
      </c>
      <c r="G720" s="129">
        <v>2267276.4000000004</v>
      </c>
      <c r="H720" s="129">
        <v>3067491.6</v>
      </c>
      <c r="I720" s="129">
        <v>1200322.8</v>
      </c>
      <c r="J720" s="129">
        <v>1066953.6000000001</v>
      </c>
      <c r="K720" s="129">
        <v>933584.40000000014</v>
      </c>
      <c r="L720" s="129">
        <v>1400376.5999999999</v>
      </c>
      <c r="M720" s="129">
        <v>2467330.2000000002</v>
      </c>
      <c r="N720" s="130">
        <v>4801291.2</v>
      </c>
      <c r="O720" s="17"/>
      <c r="P720" s="5"/>
      <c r="Q720" s="14"/>
      <c r="R720" s="16"/>
      <c r="S720" s="16"/>
      <c r="T720" s="16"/>
      <c r="U720" s="16"/>
    </row>
    <row r="721" spans="1:21" ht="18.75" customHeight="1" x14ac:dyDescent="0.25">
      <c r="A721" s="14"/>
      <c r="B721" s="15"/>
      <c r="C721" s="122" t="s">
        <v>776</v>
      </c>
      <c r="D721" s="120" t="s">
        <v>579</v>
      </c>
      <c r="E721" s="125">
        <v>0.30471640498647923</v>
      </c>
      <c r="F721" s="125">
        <v>0</v>
      </c>
      <c r="G721" s="125">
        <v>0</v>
      </c>
      <c r="H721" s="125">
        <v>9.022926076327667E-2</v>
      </c>
      <c r="I721" s="125">
        <v>0.20083376031516223</v>
      </c>
      <c r="J721" s="125">
        <v>0.298791181960679</v>
      </c>
      <c r="K721" s="125">
        <v>0.41312091536004858</v>
      </c>
      <c r="L721" s="125">
        <v>0.5550005941099494</v>
      </c>
      <c r="M721" s="125">
        <v>0.83671251658896506</v>
      </c>
      <c r="N721" s="131">
        <v>0.67218150562696288</v>
      </c>
      <c r="O721" s="17"/>
      <c r="P721" s="10"/>
      <c r="Q721" s="14"/>
      <c r="R721" s="16"/>
      <c r="S721" s="16"/>
      <c r="T721" s="16"/>
      <c r="U721" s="16"/>
    </row>
    <row r="722" spans="1:21" ht="18.75" customHeight="1" x14ac:dyDescent="0.25">
      <c r="A722" s="14"/>
      <c r="B722" s="15"/>
      <c r="C722" s="122" t="s">
        <v>777</v>
      </c>
      <c r="D722" s="210" t="s">
        <v>778</v>
      </c>
      <c r="E722" s="125">
        <v>1764.2298641991777</v>
      </c>
      <c r="F722" s="132">
        <v>0</v>
      </c>
      <c r="G722" s="132">
        <v>1958.4475957904815</v>
      </c>
      <c r="H722" s="132">
        <v>2174.6323947562178</v>
      </c>
      <c r="I722" s="132">
        <v>1611.976299824717</v>
      </c>
      <c r="J722" s="132">
        <v>1188.7311630111271</v>
      </c>
      <c r="K722" s="132">
        <v>977.1482150707543</v>
      </c>
      <c r="L722" s="132">
        <v>1234.0011073864462</v>
      </c>
      <c r="M722" s="125">
        <v>2664.7647068390329</v>
      </c>
      <c r="N722" s="133">
        <v>1919.3110058215298</v>
      </c>
      <c r="O722" s="17"/>
      <c r="P722" s="5"/>
      <c r="Q722" s="14"/>
      <c r="R722" s="16"/>
      <c r="S722" s="16"/>
      <c r="T722" s="16"/>
      <c r="U722" s="16"/>
    </row>
    <row r="723" spans="1:21" ht="18.75" customHeight="1" x14ac:dyDescent="0.25">
      <c r="A723" s="14"/>
      <c r="B723" s="15"/>
      <c r="C723" s="119" t="s">
        <v>779</v>
      </c>
      <c r="D723" s="120" t="s">
        <v>970</v>
      </c>
      <c r="E723" s="132">
        <v>37.200000000000003</v>
      </c>
      <c r="F723" s="125">
        <v>82.774320291108793</v>
      </c>
      <c r="G723" s="125">
        <v>53.284675247358912</v>
      </c>
      <c r="H723" s="125">
        <v>36.656223608027986</v>
      </c>
      <c r="I723" s="125">
        <v>30.30443459885997</v>
      </c>
      <c r="J723" s="125">
        <v>28.200661698876658</v>
      </c>
      <c r="K723" s="125">
        <v>26.732826005311708</v>
      </c>
      <c r="L723" s="125">
        <v>24.62408179847553</v>
      </c>
      <c r="M723" s="125">
        <v>11.878780809651076</v>
      </c>
      <c r="N723" s="131">
        <v>21.900507096586253</v>
      </c>
      <c r="O723" s="17"/>
      <c r="P723" s="5"/>
      <c r="Q723" s="14"/>
      <c r="R723" s="16"/>
      <c r="S723" s="16"/>
      <c r="T723" s="16"/>
      <c r="U723" s="16"/>
    </row>
    <row r="724" spans="1:21" ht="18.75" customHeight="1" x14ac:dyDescent="0.25">
      <c r="A724" s="14"/>
      <c r="B724" s="15"/>
      <c r="C724" s="119" t="s">
        <v>580</v>
      </c>
      <c r="D724" s="120" t="s">
        <v>581</v>
      </c>
      <c r="E724" s="125">
        <v>838.8</v>
      </c>
      <c r="F724" s="125">
        <v>659.71798350801112</v>
      </c>
      <c r="G724" s="125">
        <v>765.00187210205593</v>
      </c>
      <c r="H724" s="125">
        <v>840.65055379402133</v>
      </c>
      <c r="I724" s="125">
        <v>873.65110140804495</v>
      </c>
      <c r="J724" s="125">
        <v>885.1599047632144</v>
      </c>
      <c r="K724" s="125">
        <v>893.37102843157618</v>
      </c>
      <c r="L724" s="125">
        <v>905.43765491903969</v>
      </c>
      <c r="M724" s="125">
        <v>985.92428880860439</v>
      </c>
      <c r="N724" s="131">
        <v>921.51339767732634</v>
      </c>
      <c r="O724" s="17"/>
      <c r="P724" s="5"/>
      <c r="Q724" s="14"/>
      <c r="R724" s="16"/>
      <c r="S724" s="16"/>
      <c r="T724" s="16"/>
      <c r="U724" s="16"/>
    </row>
    <row r="725" spans="1:21" ht="18.75" customHeight="1" x14ac:dyDescent="0.25">
      <c r="A725" s="14"/>
      <c r="B725" s="15"/>
      <c r="C725" s="119" t="s">
        <v>541</v>
      </c>
      <c r="D725" s="120" t="s">
        <v>579</v>
      </c>
      <c r="E725" s="125">
        <v>13.020167014657039</v>
      </c>
      <c r="F725" s="125">
        <v>16.052975861219355</v>
      </c>
      <c r="G725" s="125">
        <v>13.827921365560314</v>
      </c>
      <c r="H725" s="125">
        <v>12.735570198037575</v>
      </c>
      <c r="I725" s="125">
        <v>13.022746974308518</v>
      </c>
      <c r="J725" s="125">
        <v>12.849043018338687</v>
      </c>
      <c r="K725" s="125">
        <v>12.761988503847416</v>
      </c>
      <c r="L725" s="125">
        <v>12.585327253219635</v>
      </c>
      <c r="M725" s="125">
        <v>11.90141459819214</v>
      </c>
      <c r="N725" s="131">
        <v>12.268222937563685</v>
      </c>
      <c r="O725" s="17"/>
      <c r="P725" s="5"/>
      <c r="Q725" s="14"/>
      <c r="R725" s="16"/>
      <c r="S725" s="16"/>
      <c r="T725" s="16"/>
      <c r="U725" s="16"/>
    </row>
    <row r="726" spans="1:21" ht="18.75" customHeight="1" x14ac:dyDescent="0.25">
      <c r="A726" s="14"/>
      <c r="B726" s="15"/>
      <c r="C726" s="119" t="s">
        <v>544</v>
      </c>
      <c r="D726" s="120" t="s">
        <v>579</v>
      </c>
      <c r="E726" s="125">
        <v>2.7</v>
      </c>
      <c r="F726" s="128"/>
      <c r="G726" s="128"/>
      <c r="H726" s="128"/>
      <c r="I726" s="128"/>
      <c r="J726" s="128"/>
      <c r="K726" s="128"/>
      <c r="L726" s="128"/>
      <c r="M726" s="125">
        <v>14.579999999999998</v>
      </c>
      <c r="N726" s="131">
        <v>7.5</v>
      </c>
      <c r="O726" s="17"/>
      <c r="P726" s="5"/>
      <c r="Q726" s="14"/>
      <c r="R726" s="16"/>
      <c r="S726" s="16"/>
      <c r="T726" s="16"/>
      <c r="U726" s="16"/>
    </row>
    <row r="727" spans="1:21" ht="18.75" customHeight="1" x14ac:dyDescent="0.2">
      <c r="A727" s="14"/>
      <c r="B727" s="15"/>
      <c r="C727" s="119" t="s">
        <v>780</v>
      </c>
      <c r="D727" s="120" t="s">
        <v>783</v>
      </c>
      <c r="E727" s="125">
        <v>12.081744700908709</v>
      </c>
      <c r="F727" s="125">
        <v>12.640742213705659</v>
      </c>
      <c r="G727" s="125">
        <v>11.831403482785497</v>
      </c>
      <c r="H727" s="125">
        <v>11.535718528225484</v>
      </c>
      <c r="I727" s="125">
        <v>11.654335489903266</v>
      </c>
      <c r="J727" s="125">
        <v>11.850732689313446</v>
      </c>
      <c r="K727" s="125">
        <v>12.067405147526475</v>
      </c>
      <c r="L727" s="125">
        <v>12.238344445312634</v>
      </c>
      <c r="M727" s="125">
        <v>11.848082011884282</v>
      </c>
      <c r="N727" s="131">
        <v>12.258201189719195</v>
      </c>
      <c r="O727" s="17"/>
      <c r="P727" s="16"/>
      <c r="Q727" s="14"/>
      <c r="R727" s="16"/>
      <c r="S727" s="16"/>
      <c r="T727" s="16"/>
      <c r="U727" s="16"/>
    </row>
    <row r="728" spans="1:21" ht="18.75" customHeight="1" x14ac:dyDescent="0.2">
      <c r="A728" s="14"/>
      <c r="B728" s="15"/>
      <c r="C728" s="122" t="s">
        <v>781</v>
      </c>
      <c r="D728" s="120" t="s">
        <v>782</v>
      </c>
      <c r="E728" s="125">
        <v>305</v>
      </c>
      <c r="F728" s="134">
        <v>50</v>
      </c>
      <c r="G728" s="134">
        <v>140</v>
      </c>
      <c r="H728" s="134">
        <v>235</v>
      </c>
      <c r="I728" s="134">
        <v>315</v>
      </c>
      <c r="J728" s="134">
        <v>370</v>
      </c>
      <c r="K728" s="134">
        <v>425</v>
      </c>
      <c r="L728" s="134">
        <v>485</v>
      </c>
      <c r="M728" s="134">
        <v>615</v>
      </c>
      <c r="N728" s="135">
        <v>530</v>
      </c>
      <c r="O728" s="17"/>
      <c r="P728" s="14"/>
      <c r="Q728" s="14"/>
      <c r="R728" s="16"/>
      <c r="S728" s="16"/>
      <c r="T728" s="16"/>
      <c r="U728" s="16"/>
    </row>
    <row r="729" spans="1:21" ht="18.75" customHeight="1" x14ac:dyDescent="0.2">
      <c r="A729" s="14"/>
      <c r="B729" s="15"/>
      <c r="C729" s="122"/>
      <c r="D729" s="210"/>
      <c r="E729" s="210"/>
      <c r="F729" s="210"/>
      <c r="G729" s="210"/>
      <c r="H729" s="210"/>
      <c r="I729" s="210"/>
      <c r="J729" s="210"/>
      <c r="K729" s="210"/>
      <c r="L729" s="210"/>
      <c r="M729" s="210"/>
      <c r="N729" s="115"/>
      <c r="O729" s="17"/>
      <c r="P729" s="14"/>
      <c r="Q729" s="14"/>
      <c r="R729" s="16"/>
      <c r="S729" s="16"/>
      <c r="T729" s="16"/>
      <c r="U729" s="16"/>
    </row>
    <row r="730" spans="1:21" ht="18.75" customHeight="1" x14ac:dyDescent="0.2">
      <c r="A730" s="14"/>
      <c r="B730" s="15"/>
      <c r="C730" s="2199" t="s">
        <v>2037</v>
      </c>
      <c r="D730" s="2200" t="s">
        <v>2038</v>
      </c>
      <c r="E730" s="2200" t="s">
        <v>2039</v>
      </c>
      <c r="F730" s="2200" t="s">
        <v>569</v>
      </c>
      <c r="G730" s="2200"/>
      <c r="H730" s="2200"/>
      <c r="I730" s="2200"/>
      <c r="J730" s="2200"/>
      <c r="K730" s="2200"/>
      <c r="L730" s="2200"/>
      <c r="M730" s="2200"/>
      <c r="N730" s="2201"/>
      <c r="O730" s="17"/>
      <c r="P730" s="14"/>
      <c r="Q730" s="14"/>
      <c r="R730" s="16"/>
      <c r="S730" s="16"/>
      <c r="T730" s="16"/>
      <c r="U730" s="16"/>
    </row>
    <row r="731" spans="1:21" ht="18.75" customHeight="1" x14ac:dyDescent="0.2">
      <c r="A731" s="14"/>
      <c r="B731" s="15"/>
      <c r="C731" s="2202" t="s">
        <v>1088</v>
      </c>
      <c r="D731" s="210">
        <v>1</v>
      </c>
      <c r="E731" s="104" t="s">
        <v>679</v>
      </c>
      <c r="F731" s="210">
        <v>84.466000000000022</v>
      </c>
      <c r="G731" s="210">
        <v>177.726</v>
      </c>
      <c r="H731" s="210">
        <v>282.46800000000002</v>
      </c>
      <c r="I731" s="210">
        <v>342.06199999999995</v>
      </c>
      <c r="J731" s="210">
        <v>394.80599999999981</v>
      </c>
      <c r="K731" s="210">
        <v>452.55799999999994</v>
      </c>
      <c r="L731" s="210">
        <v>522.14800000000002</v>
      </c>
      <c r="M731" s="210">
        <v>522.14800000000002</v>
      </c>
      <c r="N731" s="115">
        <v>394.80599999999981</v>
      </c>
      <c r="O731" s="17"/>
      <c r="P731" s="14"/>
      <c r="Q731" s="14"/>
      <c r="R731" s="16"/>
      <c r="S731" s="16"/>
      <c r="T731" s="16"/>
      <c r="U731" s="16"/>
    </row>
    <row r="732" spans="1:21" ht="18.75" customHeight="1" x14ac:dyDescent="0.2">
      <c r="A732" s="14"/>
      <c r="B732" s="15"/>
      <c r="C732" s="119" t="s">
        <v>568</v>
      </c>
      <c r="D732" s="120" t="s">
        <v>623</v>
      </c>
      <c r="E732" s="110" t="s">
        <v>608</v>
      </c>
      <c r="F732" s="110" t="s">
        <v>957</v>
      </c>
      <c r="G732" s="110" t="s">
        <v>572</v>
      </c>
      <c r="H732" s="110" t="s">
        <v>530</v>
      </c>
      <c r="I732" s="110" t="s">
        <v>573</v>
      </c>
      <c r="J732" s="110" t="s">
        <v>574</v>
      </c>
      <c r="K732" s="110" t="s">
        <v>575</v>
      </c>
      <c r="L732" s="110" t="s">
        <v>576</v>
      </c>
      <c r="M732" s="110" t="s">
        <v>577</v>
      </c>
      <c r="N732" s="2203" t="s">
        <v>609</v>
      </c>
      <c r="O732" s="17"/>
      <c r="P732" s="14"/>
      <c r="Q732" s="14"/>
      <c r="R732" s="16"/>
      <c r="S732" s="16"/>
      <c r="T732" s="16"/>
      <c r="U732" s="16"/>
    </row>
    <row r="733" spans="1:21" ht="18.75" customHeight="1" x14ac:dyDescent="0.2">
      <c r="A733" s="14"/>
      <c r="B733" s="15"/>
      <c r="C733" s="119" t="s">
        <v>582</v>
      </c>
      <c r="D733" s="120" t="s">
        <v>566</v>
      </c>
      <c r="E733" s="121">
        <v>99919.708696482397</v>
      </c>
      <c r="F733" s="129">
        <v>5636.5921849889</v>
      </c>
      <c r="G733" s="129">
        <v>10225.11773273544</v>
      </c>
      <c r="H733" s="129">
        <v>12285.948332625891</v>
      </c>
      <c r="I733" s="129">
        <v>7233.1837859113393</v>
      </c>
      <c r="J733" s="129">
        <v>9876.515758039488</v>
      </c>
      <c r="K733" s="129">
        <v>10428.34470647842</v>
      </c>
      <c r="L733" s="129">
        <v>13761.008909390326</v>
      </c>
      <c r="M733" s="129">
        <v>30472.997286312602</v>
      </c>
      <c r="N733" s="130">
        <v>53966.883103360218</v>
      </c>
      <c r="O733" s="17"/>
      <c r="P733" s="14"/>
      <c r="Q733" s="14"/>
      <c r="R733" s="16"/>
      <c r="S733" s="16"/>
      <c r="T733" s="16"/>
      <c r="U733" s="16"/>
    </row>
    <row r="734" spans="1:21" ht="32.25" customHeight="1" x14ac:dyDescent="0.2">
      <c r="A734" s="14"/>
      <c r="B734" s="15"/>
      <c r="C734" s="119" t="s">
        <v>582</v>
      </c>
      <c r="D734" s="120" t="s">
        <v>628</v>
      </c>
      <c r="E734" s="145">
        <v>15887.233682740702</v>
      </c>
      <c r="F734" s="129">
        <v>896.21815741323519</v>
      </c>
      <c r="G734" s="129">
        <v>1625.7937195049349</v>
      </c>
      <c r="H734" s="129">
        <v>1953.4657848875167</v>
      </c>
      <c r="I734" s="129">
        <v>1150.076221959903</v>
      </c>
      <c r="J734" s="129">
        <v>1570.3660055282787</v>
      </c>
      <c r="K734" s="129">
        <v>1658.1068083300688</v>
      </c>
      <c r="L734" s="129">
        <v>2188.0004165930618</v>
      </c>
      <c r="M734" s="129">
        <v>4845.2065685237039</v>
      </c>
      <c r="N734" s="130">
        <v>8580.7344134342748</v>
      </c>
      <c r="O734" s="17"/>
      <c r="P734" s="14"/>
      <c r="Q734" s="14"/>
      <c r="R734" s="16"/>
      <c r="S734" s="16"/>
      <c r="T734" s="16"/>
      <c r="U734" s="16"/>
    </row>
    <row r="735" spans="1:21" ht="18.75" customHeight="1" x14ac:dyDescent="0.2">
      <c r="A735" s="14"/>
      <c r="B735" s="15"/>
      <c r="C735" s="119" t="s">
        <v>620</v>
      </c>
      <c r="D735" s="120" t="s">
        <v>622</v>
      </c>
      <c r="E735" s="129">
        <v>14886832.034129947</v>
      </c>
      <c r="F735" s="129">
        <v>595473.28136519797</v>
      </c>
      <c r="G735" s="129">
        <v>1190946.5627303957</v>
      </c>
      <c r="H735" s="129">
        <v>1637551.5237542945</v>
      </c>
      <c r="I735" s="129">
        <v>1042078.2423890961</v>
      </c>
      <c r="J735" s="129">
        <v>1488683.2034129952</v>
      </c>
      <c r="K735" s="129">
        <v>1637551.523754294</v>
      </c>
      <c r="L735" s="129">
        <v>2233024.8051194926</v>
      </c>
      <c r="M735" s="129">
        <v>5061522.8916041814</v>
      </c>
      <c r="N735" s="130">
        <v>8932099.2204779685</v>
      </c>
      <c r="O735" s="17"/>
      <c r="P735" s="14"/>
      <c r="Q735" s="14"/>
      <c r="R735" s="16"/>
      <c r="S735" s="16"/>
      <c r="T735" s="16"/>
      <c r="U735" s="16"/>
    </row>
    <row r="736" spans="1:21" ht="18.75" customHeight="1" x14ac:dyDescent="0.2">
      <c r="A736" s="14"/>
      <c r="B736" s="15"/>
      <c r="C736" s="122" t="s">
        <v>776</v>
      </c>
      <c r="D736" s="120" t="s">
        <v>579</v>
      </c>
      <c r="E736" s="125">
        <v>2.2422743208245253</v>
      </c>
      <c r="F736" s="125">
        <v>0</v>
      </c>
      <c r="G736" s="125">
        <v>0.25730618516597614</v>
      </c>
      <c r="H736" s="125">
        <v>1.094304735255605</v>
      </c>
      <c r="I736" s="125">
        <v>1.4268155320881384</v>
      </c>
      <c r="J736" s="125">
        <v>1.6419854948344463</v>
      </c>
      <c r="K736" s="125">
        <v>1.9338282757997689</v>
      </c>
      <c r="L736" s="125">
        <v>2.3871807430567813</v>
      </c>
      <c r="M736" s="125">
        <v>3.7248307253147788</v>
      </c>
      <c r="N736" s="131">
        <v>3.0620677806725274</v>
      </c>
      <c r="O736" s="17"/>
      <c r="P736" s="14"/>
      <c r="Q736" s="14"/>
      <c r="R736" s="16"/>
      <c r="S736" s="16"/>
      <c r="T736" s="16"/>
      <c r="U736" s="16"/>
    </row>
    <row r="737" spans="1:21" ht="18.75" customHeight="1" x14ac:dyDescent="0.2">
      <c r="A737" s="14"/>
      <c r="B737" s="15"/>
      <c r="C737" s="122" t="s">
        <v>777</v>
      </c>
      <c r="D737" s="210" t="s">
        <v>778</v>
      </c>
      <c r="E737" s="125">
        <v>2581.3298747056733</v>
      </c>
      <c r="F737" s="132">
        <v>0</v>
      </c>
      <c r="G737" s="132">
        <v>0</v>
      </c>
      <c r="H737" s="132">
        <v>28.964902658964093</v>
      </c>
      <c r="I737" s="132">
        <v>733.44930669400583</v>
      </c>
      <c r="J737" s="132">
        <v>1390.2242327807053</v>
      </c>
      <c r="K737" s="132">
        <v>2203.4022891020759</v>
      </c>
      <c r="L737" s="132">
        <v>3116.2551850563377</v>
      </c>
      <c r="M737" s="125">
        <v>4935.1980326672292</v>
      </c>
      <c r="N737" s="133">
        <v>3979.6331011108941</v>
      </c>
      <c r="O737" s="17"/>
      <c r="P737" s="14"/>
      <c r="Q737" s="14"/>
      <c r="R737" s="16"/>
      <c r="S737" s="16"/>
      <c r="T737" s="16"/>
      <c r="U737" s="16"/>
    </row>
    <row r="738" spans="1:21" ht="18.75" customHeight="1" x14ac:dyDescent="0.2">
      <c r="A738" s="14"/>
      <c r="B738" s="15"/>
      <c r="C738" s="119" t="s">
        <v>779</v>
      </c>
      <c r="D738" s="120" t="s">
        <v>970</v>
      </c>
      <c r="E738" s="132">
        <v>19.481343283582088</v>
      </c>
      <c r="F738" s="125">
        <v>81.255064907841273</v>
      </c>
      <c r="G738" s="125">
        <v>61.475251315146501</v>
      </c>
      <c r="H738" s="125">
        <v>37.13172570659475</v>
      </c>
      <c r="I738" s="125">
        <v>24.510829173417136</v>
      </c>
      <c r="J738" s="125">
        <v>17.616961611026753</v>
      </c>
      <c r="K738" s="125">
        <v>11.635044728031318</v>
      </c>
      <c r="L738" s="125">
        <v>7.0103740051394396</v>
      </c>
      <c r="M738" s="125">
        <v>3.8192371813067325</v>
      </c>
      <c r="N738" s="131">
        <v>4.299875062889555</v>
      </c>
      <c r="O738" s="17"/>
      <c r="P738" s="14"/>
      <c r="Q738" s="14"/>
      <c r="R738" s="16"/>
      <c r="S738" s="16"/>
      <c r="T738" s="16"/>
      <c r="U738" s="16"/>
    </row>
    <row r="739" spans="1:21" ht="18.75" customHeight="1" x14ac:dyDescent="0.2">
      <c r="A739" s="14"/>
      <c r="B739" s="15"/>
      <c r="C739" s="119" t="s">
        <v>580</v>
      </c>
      <c r="D739" s="120" t="s">
        <v>581</v>
      </c>
      <c r="E739" s="125">
        <v>936.27874428490236</v>
      </c>
      <c r="F739" s="125">
        <v>664.42894114522221</v>
      </c>
      <c r="G739" s="125">
        <v>732.53239229700489</v>
      </c>
      <c r="H739" s="125">
        <v>838.2801154864286</v>
      </c>
      <c r="I739" s="125">
        <v>906.09493744096187</v>
      </c>
      <c r="J739" s="125">
        <v>947.98486351097176</v>
      </c>
      <c r="K739" s="125">
        <v>987.60316013871466</v>
      </c>
      <c r="L739" s="125">
        <v>1020.5778701799968</v>
      </c>
      <c r="M739" s="125">
        <v>1044.6454284293575</v>
      </c>
      <c r="N739" s="131">
        <v>1040.9481042197956</v>
      </c>
      <c r="O739" s="17"/>
      <c r="P739" s="14"/>
      <c r="Q739" s="14"/>
      <c r="R739" s="16"/>
      <c r="S739" s="16"/>
      <c r="T739" s="16"/>
      <c r="U739" s="16"/>
    </row>
    <row r="740" spans="1:21" ht="18.75" customHeight="1" x14ac:dyDescent="0.2">
      <c r="A740" s="14"/>
      <c r="B740" s="15"/>
      <c r="C740" s="119" t="s">
        <v>541</v>
      </c>
      <c r="D740" s="120" t="s">
        <v>579</v>
      </c>
      <c r="E740" s="125">
        <v>10.718952313113347</v>
      </c>
      <c r="F740" s="125">
        <v>16.005063891409954</v>
      </c>
      <c r="G740" s="125">
        <v>14.75665306509898</v>
      </c>
      <c r="H740" s="125">
        <v>12.87543226334145</v>
      </c>
      <c r="I740" s="125">
        <v>12.185040695401522</v>
      </c>
      <c r="J740" s="125">
        <v>11.205178871741261</v>
      </c>
      <c r="K740" s="125">
        <v>10.296476794671094</v>
      </c>
      <c r="L740" s="125">
        <v>9.5730533330995904</v>
      </c>
      <c r="M740" s="125">
        <v>8.6467022942661149</v>
      </c>
      <c r="N740" s="131">
        <v>9.1807487123820621</v>
      </c>
      <c r="O740" s="17"/>
      <c r="P740" s="14"/>
      <c r="Q740" s="14"/>
      <c r="R740" s="16"/>
      <c r="S740" s="16"/>
      <c r="T740" s="16"/>
      <c r="U740" s="16"/>
    </row>
    <row r="741" spans="1:21" ht="18.75" customHeight="1" x14ac:dyDescent="0.2">
      <c r="A741" s="14"/>
      <c r="B741" s="15"/>
      <c r="C741" s="119" t="s">
        <v>544</v>
      </c>
      <c r="D741" s="120" t="s">
        <v>579</v>
      </c>
      <c r="E741" s="125">
        <v>10.900782608695652</v>
      </c>
      <c r="F741" s="128"/>
      <c r="G741" s="128"/>
      <c r="H741" s="128"/>
      <c r="I741" s="128"/>
      <c r="J741" s="128"/>
      <c r="K741" s="128"/>
      <c r="L741" s="128"/>
      <c r="M741" s="125">
        <v>32.029064194373412</v>
      </c>
      <c r="N741" s="131">
        <v>18.167971014492753</v>
      </c>
      <c r="O741" s="17"/>
      <c r="P741" s="14"/>
      <c r="Q741" s="14"/>
      <c r="R741" s="16"/>
      <c r="S741" s="16"/>
      <c r="T741" s="16"/>
      <c r="U741" s="16"/>
    </row>
    <row r="742" spans="1:21" ht="18.75" customHeight="1" x14ac:dyDescent="0.2">
      <c r="A742" s="14"/>
      <c r="B742" s="15"/>
      <c r="C742" s="119" t="s">
        <v>780</v>
      </c>
      <c r="D742" s="120" t="s">
        <v>783</v>
      </c>
      <c r="E742" s="125">
        <v>11.639106262344187</v>
      </c>
      <c r="F742" s="125">
        <v>12.637955740593425</v>
      </c>
      <c r="G742" s="125">
        <v>12.275256384835654</v>
      </c>
      <c r="H742" s="125">
        <v>11.646502307038615</v>
      </c>
      <c r="I742" s="125">
        <v>11.277131226304759</v>
      </c>
      <c r="J742" s="125">
        <v>11.082286307639054</v>
      </c>
      <c r="K742" s="125">
        <v>10.939376406857082</v>
      </c>
      <c r="L742" s="125">
        <v>10.884364866718643</v>
      </c>
      <c r="M742" s="125">
        <v>11.300073215174743</v>
      </c>
      <c r="N742" s="131">
        <v>10.948604262657517</v>
      </c>
      <c r="O742" s="17"/>
      <c r="P742" s="14"/>
      <c r="Q742" s="14"/>
      <c r="R742" s="16"/>
      <c r="S742" s="16"/>
      <c r="T742" s="16"/>
      <c r="U742" s="16"/>
    </row>
    <row r="743" spans="1:21" ht="18.75" customHeight="1" x14ac:dyDescent="0.2">
      <c r="A743" s="14"/>
      <c r="B743" s="15"/>
      <c r="C743" s="122" t="s">
        <v>781</v>
      </c>
      <c r="D743" s="120" t="s">
        <v>782</v>
      </c>
      <c r="E743" s="125">
        <v>447.93399999999997</v>
      </c>
      <c r="F743" s="134">
        <v>56.753999999999991</v>
      </c>
      <c r="G743" s="134">
        <v>131.97000000000003</v>
      </c>
      <c r="H743" s="134">
        <v>245.37</v>
      </c>
      <c r="I743" s="134">
        <v>321.31799999999998</v>
      </c>
      <c r="J743" s="134">
        <v>372.95600000000007</v>
      </c>
      <c r="K743" s="134">
        <v>429.49599999999987</v>
      </c>
      <c r="L743" s="134">
        <v>490.61400000000009</v>
      </c>
      <c r="M743" s="134">
        <v>643.41224489795923</v>
      </c>
      <c r="N743" s="135">
        <v>551.70000000000005</v>
      </c>
      <c r="O743" s="17"/>
      <c r="P743" s="14"/>
      <c r="Q743" s="14"/>
      <c r="R743" s="16"/>
      <c r="S743" s="16"/>
      <c r="T743" s="16"/>
      <c r="U743" s="16"/>
    </row>
    <row r="744" spans="1:21" ht="18.75" customHeight="1" x14ac:dyDescent="0.2">
      <c r="A744" s="14"/>
      <c r="B744" s="15"/>
      <c r="C744" s="122"/>
      <c r="D744" s="210"/>
      <c r="E744" s="210"/>
      <c r="F744" s="210"/>
      <c r="G744" s="210"/>
      <c r="H744" s="210"/>
      <c r="I744" s="210"/>
      <c r="J744" s="210"/>
      <c r="K744" s="210"/>
      <c r="L744" s="210"/>
      <c r="M744" s="210"/>
      <c r="N744" s="115"/>
      <c r="O744" s="17"/>
      <c r="P744" s="14"/>
      <c r="Q744" s="14"/>
      <c r="R744" s="16"/>
      <c r="S744" s="16"/>
      <c r="T744" s="16"/>
      <c r="U744" s="16"/>
    </row>
    <row r="745" spans="1:21" ht="18.75" customHeight="1" x14ac:dyDescent="0.2">
      <c r="A745" s="14"/>
      <c r="B745" s="15"/>
      <c r="C745" s="2199" t="s">
        <v>2040</v>
      </c>
      <c r="D745" s="2200" t="s">
        <v>2041</v>
      </c>
      <c r="E745" s="2200" t="s">
        <v>2042</v>
      </c>
      <c r="F745" s="2200" t="s">
        <v>569</v>
      </c>
      <c r="G745" s="2200"/>
      <c r="H745" s="2200"/>
      <c r="I745" s="2200"/>
      <c r="J745" s="2200"/>
      <c r="K745" s="2200"/>
      <c r="L745" s="2200"/>
      <c r="M745" s="2200"/>
      <c r="N745" s="2201"/>
      <c r="O745" s="17"/>
      <c r="P745" s="14"/>
      <c r="Q745" s="14"/>
      <c r="R745" s="16"/>
      <c r="S745" s="16"/>
      <c r="T745" s="16"/>
      <c r="U745" s="16"/>
    </row>
    <row r="746" spans="1:21" ht="18.75" customHeight="1" x14ac:dyDescent="0.2">
      <c r="A746" s="14"/>
      <c r="B746" s="15"/>
      <c r="C746" s="2202" t="s">
        <v>1088</v>
      </c>
      <c r="D746" s="210">
        <v>2</v>
      </c>
      <c r="E746" s="104" t="s">
        <v>679</v>
      </c>
      <c r="F746" s="210">
        <v>84.699999999999989</v>
      </c>
      <c r="G746" s="210">
        <v>165.2</v>
      </c>
      <c r="H746" s="210">
        <v>288.39999999999998</v>
      </c>
      <c r="I746" s="210">
        <v>340.35</v>
      </c>
      <c r="J746" s="210">
        <v>394.55</v>
      </c>
      <c r="K746" s="210">
        <v>445.1</v>
      </c>
      <c r="L746" s="210">
        <v>523.70000000000005</v>
      </c>
      <c r="M746" s="210">
        <v>523.70000000000005</v>
      </c>
      <c r="N746" s="115">
        <v>394.55</v>
      </c>
      <c r="O746" s="17"/>
      <c r="P746" s="14"/>
      <c r="Q746" s="14"/>
      <c r="R746" s="14"/>
      <c r="S746" s="14"/>
      <c r="T746" s="14"/>
      <c r="U746" s="16"/>
    </row>
    <row r="747" spans="1:21" ht="18.75" customHeight="1" x14ac:dyDescent="0.2">
      <c r="A747" s="14"/>
      <c r="B747" s="15"/>
      <c r="C747" s="119" t="s">
        <v>568</v>
      </c>
      <c r="D747" s="120" t="s">
        <v>623</v>
      </c>
      <c r="E747" s="110" t="s">
        <v>608</v>
      </c>
      <c r="F747" s="110" t="s">
        <v>957</v>
      </c>
      <c r="G747" s="110" t="s">
        <v>572</v>
      </c>
      <c r="H747" s="110" t="s">
        <v>530</v>
      </c>
      <c r="I747" s="110" t="s">
        <v>573</v>
      </c>
      <c r="J747" s="110" t="s">
        <v>574</v>
      </c>
      <c r="K747" s="110" t="s">
        <v>575</v>
      </c>
      <c r="L747" s="110" t="s">
        <v>576</v>
      </c>
      <c r="M747" s="110" t="s">
        <v>577</v>
      </c>
      <c r="N747" s="2203" t="s">
        <v>609</v>
      </c>
      <c r="O747" s="17"/>
      <c r="P747" s="14"/>
      <c r="Q747" s="14"/>
      <c r="R747" s="14"/>
      <c r="S747" s="14"/>
      <c r="T747" s="14"/>
      <c r="U747" s="16"/>
    </row>
    <row r="748" spans="1:21" ht="18.75" customHeight="1" x14ac:dyDescent="0.2">
      <c r="A748" s="14"/>
      <c r="B748" s="15"/>
      <c r="C748" s="119" t="s">
        <v>582</v>
      </c>
      <c r="D748" s="120" t="s">
        <v>566</v>
      </c>
      <c r="E748" s="121">
        <v>100675.75663969273</v>
      </c>
      <c r="F748" s="129">
        <v>3853.534067254765</v>
      </c>
      <c r="G748" s="129">
        <v>12270.800165300803</v>
      </c>
      <c r="H748" s="129">
        <v>15548.680129345941</v>
      </c>
      <c r="I748" s="129">
        <v>11581.667663847815</v>
      </c>
      <c r="J748" s="129">
        <v>10160.508661455842</v>
      </c>
      <c r="K748" s="129">
        <v>6875.5684623618727</v>
      </c>
      <c r="L748" s="129">
        <v>5694.1008089335264</v>
      </c>
      <c r="M748" s="129">
        <v>34690.896681192171</v>
      </c>
      <c r="N748" s="130">
        <v>46800.837148248342</v>
      </c>
      <c r="O748" s="17"/>
      <c r="P748" s="14"/>
      <c r="Q748" s="14"/>
      <c r="R748" s="14"/>
      <c r="S748" s="14"/>
      <c r="T748" s="14"/>
      <c r="U748" s="16"/>
    </row>
    <row r="749" spans="1:21" ht="28.5" customHeight="1" x14ac:dyDescent="0.2">
      <c r="A749" s="14"/>
      <c r="B749" s="15"/>
      <c r="C749" s="119" t="s">
        <v>582</v>
      </c>
      <c r="D749" s="120" t="s">
        <v>628</v>
      </c>
      <c r="E749" s="145">
        <v>16007.445305711144</v>
      </c>
      <c r="F749" s="129">
        <v>612.71191669350765</v>
      </c>
      <c r="G749" s="129">
        <v>1951.0572262828277</v>
      </c>
      <c r="H749" s="129">
        <v>2472.2401405660048</v>
      </c>
      <c r="I749" s="129">
        <v>1841.4851585518027</v>
      </c>
      <c r="J749" s="129">
        <v>1615.520877171479</v>
      </c>
      <c r="K749" s="129">
        <v>1093.2153855155377</v>
      </c>
      <c r="L749" s="129">
        <v>905.36202862043069</v>
      </c>
      <c r="M749" s="129">
        <v>5515.8525723095554</v>
      </c>
      <c r="N749" s="130">
        <v>7441.3331065714865</v>
      </c>
      <c r="O749" s="17"/>
      <c r="P749" s="14"/>
      <c r="Q749" s="14"/>
      <c r="R749" s="14"/>
      <c r="S749" s="14"/>
      <c r="T749" s="14"/>
      <c r="U749" s="16"/>
    </row>
    <row r="750" spans="1:21" ht="18.75" customHeight="1" x14ac:dyDescent="0.2">
      <c r="A750" s="14"/>
      <c r="B750" s="15"/>
      <c r="C750" s="119" t="s">
        <v>620</v>
      </c>
      <c r="D750" s="120" t="s">
        <v>622</v>
      </c>
      <c r="E750" s="129">
        <v>14835867.311881186</v>
      </c>
      <c r="F750" s="129">
        <v>445076.01935643557</v>
      </c>
      <c r="G750" s="129">
        <v>1483586.7311881187</v>
      </c>
      <c r="H750" s="129">
        <v>2077021.4236633664</v>
      </c>
      <c r="I750" s="129">
        <v>1631945.4043069303</v>
      </c>
      <c r="J750" s="129">
        <v>1483586.7311881182</v>
      </c>
      <c r="K750" s="129">
        <v>1038510.711831684</v>
      </c>
      <c r="L750" s="129">
        <v>890152.03871287033</v>
      </c>
      <c r="M750" s="129">
        <v>5785988.2516336627</v>
      </c>
      <c r="N750" s="130">
        <v>7714651.0021782173</v>
      </c>
      <c r="O750" s="17"/>
      <c r="P750" s="14"/>
      <c r="Q750" s="14"/>
      <c r="R750" s="14"/>
      <c r="S750" s="14"/>
      <c r="T750" s="14"/>
      <c r="U750" s="16"/>
    </row>
    <row r="751" spans="1:21" ht="18.75" customHeight="1" x14ac:dyDescent="0.2">
      <c r="A751" s="14"/>
      <c r="B751" s="15"/>
      <c r="C751" s="122" t="s">
        <v>776</v>
      </c>
      <c r="D751" s="120" t="s">
        <v>579</v>
      </c>
      <c r="E751" s="125">
        <v>3.2421097837356951</v>
      </c>
      <c r="F751" s="125">
        <v>0</v>
      </c>
      <c r="G751" s="125">
        <v>5.104071033269908E-2</v>
      </c>
      <c r="H751" s="125">
        <v>0.17295833106270986</v>
      </c>
      <c r="I751" s="125">
        <v>0.29648894416537175</v>
      </c>
      <c r="J751" s="125">
        <v>0.53882459326460186</v>
      </c>
      <c r="K751" s="125">
        <v>1.0155748487411138</v>
      </c>
      <c r="L751" s="125">
        <v>1.9622790371594983</v>
      </c>
      <c r="M751" s="125">
        <v>7.5319700551988404</v>
      </c>
      <c r="N751" s="131">
        <v>6.0121063522480673</v>
      </c>
      <c r="O751" s="17"/>
      <c r="P751" s="14"/>
      <c r="Q751" s="14"/>
      <c r="R751" s="14"/>
      <c r="S751" s="14"/>
      <c r="T751" s="14"/>
      <c r="U751" s="16"/>
    </row>
    <row r="752" spans="1:21" ht="18.75" customHeight="1" x14ac:dyDescent="0.2">
      <c r="A752" s="14"/>
      <c r="B752" s="15"/>
      <c r="C752" s="122" t="s">
        <v>777</v>
      </c>
      <c r="D752" s="210" t="s">
        <v>778</v>
      </c>
      <c r="E752" s="125">
        <v>2239.2625517163492</v>
      </c>
      <c r="F752" s="132">
        <v>0</v>
      </c>
      <c r="G752" s="132">
        <v>0.21236768762472025</v>
      </c>
      <c r="H752" s="132">
        <v>67.133509462307984</v>
      </c>
      <c r="I752" s="132">
        <v>251.19555458911742</v>
      </c>
      <c r="J752" s="132">
        <v>503.62905105075424</v>
      </c>
      <c r="K752" s="132">
        <v>908.71212600791478</v>
      </c>
      <c r="L752" s="132">
        <v>1602.5065547425477</v>
      </c>
      <c r="M752" s="125">
        <v>5107.9178600202013</v>
      </c>
      <c r="N752" s="133">
        <v>4138.1696298326642</v>
      </c>
      <c r="O752" s="17"/>
      <c r="P752" s="14"/>
      <c r="Q752" s="14"/>
      <c r="R752" s="14"/>
      <c r="S752" s="14"/>
      <c r="T752" s="14"/>
      <c r="U752" s="16"/>
    </row>
    <row r="753" spans="1:21" ht="18.75" customHeight="1" x14ac:dyDescent="0.2">
      <c r="A753" s="14"/>
      <c r="B753" s="15"/>
      <c r="C753" s="119" t="s">
        <v>779</v>
      </c>
      <c r="D753" s="120" t="s">
        <v>970</v>
      </c>
      <c r="E753" s="132">
        <v>20</v>
      </c>
      <c r="F753" s="125">
        <v>63.103470396365665</v>
      </c>
      <c r="G753" s="125">
        <v>54.402622504307203</v>
      </c>
      <c r="H753" s="125">
        <v>36.758931399707897</v>
      </c>
      <c r="I753" s="125">
        <v>28.011150097540423</v>
      </c>
      <c r="J753" s="125">
        <v>22.431706221056068</v>
      </c>
      <c r="K753" s="125">
        <v>17.306946006831851</v>
      </c>
      <c r="L753" s="125">
        <v>12.276045425571681</v>
      </c>
      <c r="M753" s="125">
        <v>3.2607909538619424</v>
      </c>
      <c r="N753" s="131">
        <v>4.8524389992235513</v>
      </c>
      <c r="O753" s="17"/>
      <c r="P753" s="14"/>
      <c r="Q753" s="14"/>
      <c r="R753" s="14"/>
      <c r="S753" s="14"/>
      <c r="T753" s="14"/>
      <c r="U753" s="16"/>
    </row>
    <row r="754" spans="1:21" ht="18.75" customHeight="1" x14ac:dyDescent="0.2">
      <c r="A754" s="14"/>
      <c r="B754" s="15"/>
      <c r="C754" s="119" t="s">
        <v>580</v>
      </c>
      <c r="D754" s="120" t="s">
        <v>581</v>
      </c>
      <c r="E754" s="125">
        <v>933.07341584158405</v>
      </c>
      <c r="F754" s="125">
        <v>726.40339975478662</v>
      </c>
      <c r="G754" s="125">
        <v>760.40144348541833</v>
      </c>
      <c r="H754" s="125">
        <v>840.13740800594087</v>
      </c>
      <c r="I754" s="125">
        <v>886.21154329060107</v>
      </c>
      <c r="J754" s="125">
        <v>918.33336984517553</v>
      </c>
      <c r="K754" s="125">
        <v>949.95983919668663</v>
      </c>
      <c r="L754" s="125">
        <v>983.20010180818281</v>
      </c>
      <c r="M754" s="125">
        <v>1048.9744197805849</v>
      </c>
      <c r="N754" s="131">
        <v>1036.7296950280806</v>
      </c>
      <c r="O754" s="17"/>
      <c r="P754" s="14"/>
      <c r="Q754" s="14"/>
      <c r="R754" s="14"/>
      <c r="S754" s="14"/>
      <c r="T754" s="14"/>
      <c r="U754" s="16"/>
    </row>
    <row r="755" spans="1:21" ht="18.75" customHeight="1" x14ac:dyDescent="0.2">
      <c r="A755" s="14"/>
      <c r="B755" s="15"/>
      <c r="C755" s="119" t="s">
        <v>541</v>
      </c>
      <c r="D755" s="120" t="s">
        <v>579</v>
      </c>
      <c r="E755" s="125">
        <v>11.120166554089495</v>
      </c>
      <c r="F755" s="125">
        <v>14.00288141210021</v>
      </c>
      <c r="G755" s="125">
        <v>13.78148047478102</v>
      </c>
      <c r="H755" s="125">
        <v>12.849581255780864</v>
      </c>
      <c r="I755" s="125">
        <v>12.704527288756154</v>
      </c>
      <c r="J755" s="125">
        <v>11.983464972822375</v>
      </c>
      <c r="K755" s="125">
        <v>11.281385604177096</v>
      </c>
      <c r="L755" s="125">
        <v>10.558079394673957</v>
      </c>
      <c r="M755" s="125">
        <v>8.9845241882585096</v>
      </c>
      <c r="N755" s="131">
        <v>9.4752811334493323</v>
      </c>
      <c r="O755" s="17"/>
      <c r="P755" s="14"/>
      <c r="Q755" s="14"/>
      <c r="R755" s="14"/>
      <c r="S755" s="14"/>
      <c r="T755" s="14"/>
      <c r="U755" s="16"/>
    </row>
    <row r="756" spans="1:21" ht="18.75" customHeight="1" x14ac:dyDescent="0.2">
      <c r="A756" s="14"/>
      <c r="B756" s="15"/>
      <c r="C756" s="119" t="s">
        <v>544</v>
      </c>
      <c r="D756" s="120" t="s">
        <v>579</v>
      </c>
      <c r="E756" s="125">
        <v>8.1460000000000008</v>
      </c>
      <c r="F756" s="128"/>
      <c r="G756" s="128"/>
      <c r="H756" s="128"/>
      <c r="I756" s="128"/>
      <c r="J756" s="128"/>
      <c r="K756" s="128"/>
      <c r="L756" s="128"/>
      <c r="M756" s="125">
        <v>20.866292307692309</v>
      </c>
      <c r="N756" s="131">
        <v>15.665384615384616</v>
      </c>
      <c r="O756" s="17"/>
      <c r="P756" s="14"/>
      <c r="Q756" s="14"/>
      <c r="R756" s="14"/>
      <c r="S756" s="14"/>
      <c r="T756" s="14"/>
      <c r="U756" s="16"/>
    </row>
    <row r="757" spans="1:21" ht="18.75" customHeight="1" x14ac:dyDescent="0.2">
      <c r="A757" s="14"/>
      <c r="B757" s="15"/>
      <c r="C757" s="119" t="s">
        <v>780</v>
      </c>
      <c r="D757" s="120" t="s">
        <v>783</v>
      </c>
      <c r="E757" s="125">
        <v>11.488750189961577</v>
      </c>
      <c r="F757" s="125">
        <v>11.758873748211979</v>
      </c>
      <c r="G757" s="125">
        <v>11.770916796098811</v>
      </c>
      <c r="H757" s="125">
        <v>11.640369570331554</v>
      </c>
      <c r="I757" s="125">
        <v>11.521945650981101</v>
      </c>
      <c r="J757" s="125">
        <v>11.438013813368606</v>
      </c>
      <c r="K757" s="125">
        <v>11.36316443646019</v>
      </c>
      <c r="L757" s="125">
        <v>11.304240995693808</v>
      </c>
      <c r="M757" s="125">
        <v>11.41198506623838</v>
      </c>
      <c r="N757" s="131">
        <v>11.331376129046649</v>
      </c>
      <c r="O757" s="17"/>
      <c r="P757" s="14"/>
      <c r="Q757" s="14"/>
      <c r="R757" s="14"/>
      <c r="S757" s="14"/>
      <c r="T757" s="14"/>
      <c r="U757" s="16"/>
    </row>
    <row r="758" spans="1:21" ht="18.75" customHeight="1" x14ac:dyDescent="0.2">
      <c r="A758" s="14"/>
      <c r="B758" s="15"/>
      <c r="C758" s="122" t="s">
        <v>781</v>
      </c>
      <c r="D758" s="120" t="s">
        <v>782</v>
      </c>
      <c r="E758" s="125">
        <v>413.25</v>
      </c>
      <c r="F758" s="134">
        <v>74.099999999999994</v>
      </c>
      <c r="G758" s="134">
        <v>126.4</v>
      </c>
      <c r="H758" s="134">
        <v>248</v>
      </c>
      <c r="I758" s="134">
        <v>320.05</v>
      </c>
      <c r="J758" s="134">
        <v>372.6</v>
      </c>
      <c r="K758" s="134">
        <v>427.70000000000005</v>
      </c>
      <c r="L758" s="134">
        <v>491.85</v>
      </c>
      <c r="M758" s="134">
        <v>682.7</v>
      </c>
      <c r="N758" s="135">
        <v>630.20000000000005</v>
      </c>
      <c r="O758" s="17"/>
      <c r="P758" s="14"/>
      <c r="Q758" s="14"/>
      <c r="R758" s="14"/>
      <c r="S758" s="14"/>
      <c r="T758" s="14"/>
      <c r="U758" s="16"/>
    </row>
    <row r="759" spans="1:21" ht="18.75" customHeight="1" x14ac:dyDescent="0.2">
      <c r="A759" s="14"/>
      <c r="B759" s="15"/>
      <c r="C759" s="122"/>
      <c r="D759" s="210"/>
      <c r="E759" s="210"/>
      <c r="F759" s="210"/>
      <c r="G759" s="210"/>
      <c r="H759" s="210"/>
      <c r="I759" s="210"/>
      <c r="J759" s="210"/>
      <c r="K759" s="210"/>
      <c r="L759" s="210"/>
      <c r="M759" s="210"/>
      <c r="N759" s="115"/>
      <c r="O759" s="17"/>
      <c r="P759" s="14"/>
      <c r="Q759" s="14"/>
      <c r="R759" s="14"/>
      <c r="S759" s="14"/>
      <c r="T759" s="14"/>
      <c r="U759" s="16"/>
    </row>
    <row r="760" spans="1:21" ht="18.75" customHeight="1" x14ac:dyDescent="0.2">
      <c r="A760" s="14"/>
      <c r="B760" s="15"/>
      <c r="C760" s="2199" t="s">
        <v>2043</v>
      </c>
      <c r="D760" s="2200" t="s">
        <v>2044</v>
      </c>
      <c r="E760" s="2200" t="s">
        <v>2045</v>
      </c>
      <c r="F760" s="2200" t="s">
        <v>569</v>
      </c>
      <c r="G760" s="2200"/>
      <c r="H760" s="2200"/>
      <c r="I760" s="2200"/>
      <c r="J760" s="2200"/>
      <c r="K760" s="2200"/>
      <c r="L760" s="2200"/>
      <c r="M760" s="2200"/>
      <c r="N760" s="2201"/>
      <c r="O760" s="17"/>
      <c r="P760" s="14"/>
      <c r="Q760" s="14"/>
      <c r="R760" s="14"/>
      <c r="S760" s="14"/>
      <c r="T760" s="14"/>
      <c r="U760" s="16"/>
    </row>
    <row r="761" spans="1:21" ht="18.75" customHeight="1" x14ac:dyDescent="0.2">
      <c r="A761" s="14"/>
      <c r="B761" s="15"/>
      <c r="C761" s="2202" t="s">
        <v>1088</v>
      </c>
      <c r="D761" s="210">
        <v>3</v>
      </c>
      <c r="E761" s="104" t="s">
        <v>679</v>
      </c>
      <c r="F761" s="210">
        <v>75.156962025316446</v>
      </c>
      <c r="G761" s="210">
        <v>173.30506329113925</v>
      </c>
      <c r="H761" s="210">
        <v>286.92911392405045</v>
      </c>
      <c r="I761" s="210">
        <v>338.63924050632909</v>
      </c>
      <c r="J761" s="210">
        <v>394.75189873417713</v>
      </c>
      <c r="K761" s="210">
        <v>449.14936708860762</v>
      </c>
      <c r="L761" s="210">
        <v>524.56835443037971</v>
      </c>
      <c r="M761" s="210">
        <v>524.56835443037971</v>
      </c>
      <c r="N761" s="115">
        <v>394.75189873417713</v>
      </c>
      <c r="O761" s="17"/>
      <c r="P761" s="14"/>
      <c r="Q761" s="14"/>
      <c r="R761" s="14"/>
      <c r="S761" s="14"/>
      <c r="T761" s="14"/>
      <c r="U761" s="16"/>
    </row>
    <row r="762" spans="1:21" ht="18.75" customHeight="1" x14ac:dyDescent="0.2">
      <c r="A762" s="14"/>
      <c r="B762" s="15"/>
      <c r="C762" s="119" t="s">
        <v>568</v>
      </c>
      <c r="D762" s="120" t="s">
        <v>623</v>
      </c>
      <c r="E762" s="110" t="s">
        <v>608</v>
      </c>
      <c r="F762" s="110" t="s">
        <v>957</v>
      </c>
      <c r="G762" s="110" t="s">
        <v>572</v>
      </c>
      <c r="H762" s="110" t="s">
        <v>530</v>
      </c>
      <c r="I762" s="110" t="s">
        <v>573</v>
      </c>
      <c r="J762" s="110" t="s">
        <v>574</v>
      </c>
      <c r="K762" s="110" t="s">
        <v>575</v>
      </c>
      <c r="L762" s="110" t="s">
        <v>576</v>
      </c>
      <c r="M762" s="110" t="s">
        <v>577</v>
      </c>
      <c r="N762" s="2203" t="s">
        <v>609</v>
      </c>
      <c r="O762" s="17"/>
      <c r="P762" s="14"/>
      <c r="Q762" s="14"/>
      <c r="R762" s="14"/>
      <c r="S762" s="14"/>
      <c r="T762" s="14"/>
      <c r="U762" s="16"/>
    </row>
    <row r="763" spans="1:21" ht="18.75" customHeight="1" x14ac:dyDescent="0.2">
      <c r="A763" s="14"/>
      <c r="B763" s="15"/>
      <c r="C763" s="119" t="s">
        <v>582</v>
      </c>
      <c r="D763" s="120" t="s">
        <v>566</v>
      </c>
      <c r="E763" s="121">
        <v>100209.77701969283</v>
      </c>
      <c r="F763" s="129">
        <v>6037.3426600096682</v>
      </c>
      <c r="G763" s="129">
        <v>10055.594511818681</v>
      </c>
      <c r="H763" s="129">
        <v>15019.822249974513</v>
      </c>
      <c r="I763" s="129">
        <v>9136.4932847280397</v>
      </c>
      <c r="J763" s="129">
        <v>9938.8427905896933</v>
      </c>
      <c r="K763" s="129">
        <v>9797.7309761636898</v>
      </c>
      <c r="L763" s="129">
        <v>10624.263652173804</v>
      </c>
      <c r="M763" s="129">
        <v>29599.686894234746</v>
      </c>
      <c r="N763" s="130">
        <v>51351.311294501844</v>
      </c>
      <c r="O763" s="17"/>
      <c r="P763" s="14"/>
      <c r="Q763" s="14"/>
      <c r="R763" s="14"/>
      <c r="S763" s="14"/>
      <c r="T763" s="14"/>
      <c r="U763" s="16"/>
    </row>
    <row r="764" spans="1:21" ht="30" customHeight="1" x14ac:dyDescent="0.2">
      <c r="A764" s="14"/>
      <c r="B764" s="15"/>
      <c r="C764" s="119" t="s">
        <v>582</v>
      </c>
      <c r="D764" s="120" t="s">
        <v>628</v>
      </c>
      <c r="E764" s="145">
        <v>15933.354546131161</v>
      </c>
      <c r="F764" s="129">
        <v>959.93748294153727</v>
      </c>
      <c r="G764" s="129">
        <v>1598.8395273791702</v>
      </c>
      <c r="H764" s="129">
        <v>2388.1517377459477</v>
      </c>
      <c r="I764" s="129">
        <v>1452.7024322717582</v>
      </c>
      <c r="J764" s="129">
        <v>1580.2760037037613</v>
      </c>
      <c r="K764" s="129">
        <v>1557.8392252100266</v>
      </c>
      <c r="L764" s="129">
        <v>1689.257920695635</v>
      </c>
      <c r="M764" s="129">
        <v>4706.3502161833248</v>
      </c>
      <c r="N764" s="130">
        <v>8164.8584958257934</v>
      </c>
      <c r="O764" s="17"/>
      <c r="P764" s="14"/>
      <c r="Q764" s="14"/>
      <c r="R764" s="14"/>
      <c r="S764" s="14"/>
      <c r="T764" s="14"/>
      <c r="U764" s="16"/>
    </row>
    <row r="765" spans="1:21" ht="18.75" customHeight="1" x14ac:dyDescent="0.2">
      <c r="A765" s="14"/>
      <c r="B765" s="15"/>
      <c r="C765" s="119" t="s">
        <v>620</v>
      </c>
      <c r="D765" s="120" t="s">
        <v>622</v>
      </c>
      <c r="E765" s="129">
        <v>14729446.372077575</v>
      </c>
      <c r="F765" s="129">
        <v>589177.85488310305</v>
      </c>
      <c r="G765" s="129">
        <v>1178355.7097662059</v>
      </c>
      <c r="H765" s="129">
        <v>2062122.4920908606</v>
      </c>
      <c r="I765" s="129">
        <v>1325650.1734869813</v>
      </c>
      <c r="J765" s="129">
        <v>1472944.6372077579</v>
      </c>
      <c r="K765" s="129">
        <v>1472944.6372077579</v>
      </c>
      <c r="L765" s="129">
        <v>1620239.1009285331</v>
      </c>
      <c r="M765" s="129">
        <v>5008011.7665063748</v>
      </c>
      <c r="N765" s="130">
        <v>8101195.5046426672</v>
      </c>
      <c r="O765" s="17"/>
      <c r="P765" s="14"/>
      <c r="Q765" s="14"/>
      <c r="R765" s="14"/>
      <c r="S765" s="14"/>
      <c r="T765" s="14"/>
      <c r="U765" s="16"/>
    </row>
    <row r="766" spans="1:21" ht="18.75" customHeight="1" x14ac:dyDescent="0.2">
      <c r="A766" s="14"/>
      <c r="B766" s="15"/>
      <c r="C766" s="122" t="s">
        <v>776</v>
      </c>
      <c r="D766" s="120" t="s">
        <v>579</v>
      </c>
      <c r="E766" s="125">
        <v>2.6960221485004725</v>
      </c>
      <c r="F766" s="125">
        <v>0</v>
      </c>
      <c r="G766" s="125">
        <v>0.249421616759399</v>
      </c>
      <c r="H766" s="125">
        <v>1.0807843518053335</v>
      </c>
      <c r="I766" s="125">
        <v>1.6186003522953898</v>
      </c>
      <c r="J766" s="125">
        <v>2.0036429444470771</v>
      </c>
      <c r="K766" s="125">
        <v>2.4546822692303225</v>
      </c>
      <c r="L766" s="125">
        <v>3.0448073497661854</v>
      </c>
      <c r="M766" s="125">
        <v>4.7009507304657907</v>
      </c>
      <c r="N766" s="131">
        <v>3.961309606828511</v>
      </c>
      <c r="O766" s="17"/>
      <c r="P766" s="14"/>
      <c r="Q766" s="14"/>
      <c r="R766" s="14"/>
      <c r="S766" s="14"/>
      <c r="T766" s="14"/>
      <c r="U766" s="16"/>
    </row>
    <row r="767" spans="1:21" ht="18.75" customHeight="1" x14ac:dyDescent="0.2">
      <c r="A767" s="14"/>
      <c r="B767" s="15"/>
      <c r="C767" s="122" t="s">
        <v>777</v>
      </c>
      <c r="D767" s="210" t="s">
        <v>778</v>
      </c>
      <c r="E767" s="125">
        <v>1596.1072336683628</v>
      </c>
      <c r="F767" s="132">
        <v>0</v>
      </c>
      <c r="G767" s="132">
        <v>0</v>
      </c>
      <c r="H767" s="132">
        <v>4.4856702937191244</v>
      </c>
      <c r="I767" s="132">
        <v>201.96052144649684</v>
      </c>
      <c r="J767" s="132">
        <v>452.75385331362475</v>
      </c>
      <c r="K767" s="132">
        <v>854.85450275702351</v>
      </c>
      <c r="L767" s="132">
        <v>1524.3103769325246</v>
      </c>
      <c r="M767" s="125">
        <v>3761.3759289041618</v>
      </c>
      <c r="N767" s="133">
        <v>2785.5043773921725</v>
      </c>
      <c r="O767" s="17"/>
      <c r="P767" s="14"/>
      <c r="Q767" s="14"/>
      <c r="R767" s="14"/>
      <c r="S767" s="14"/>
      <c r="T767" s="14"/>
      <c r="U767" s="16"/>
    </row>
    <row r="768" spans="1:21" ht="18.75" customHeight="1" x14ac:dyDescent="0.2">
      <c r="A768" s="14"/>
      <c r="B768" s="15"/>
      <c r="C768" s="119" t="s">
        <v>779</v>
      </c>
      <c r="D768" s="120" t="s">
        <v>970</v>
      </c>
      <c r="E768" s="132">
        <v>21.0945945945946</v>
      </c>
      <c r="F768" s="125">
        <v>98.816463908206657</v>
      </c>
      <c r="G768" s="125">
        <v>60.303670992325294</v>
      </c>
      <c r="H768" s="125">
        <v>32.210263365552336</v>
      </c>
      <c r="I768" s="125">
        <v>23.408832088812389</v>
      </c>
      <c r="J768" s="125">
        <v>20.161368636944331</v>
      </c>
      <c r="K768" s="125">
        <v>18.008078625459945</v>
      </c>
      <c r="L768" s="125">
        <v>15.882291351777184</v>
      </c>
      <c r="M768" s="125">
        <v>1.3456535809613968</v>
      </c>
      <c r="N768" s="131">
        <v>10.971500525187906</v>
      </c>
      <c r="O768" s="17"/>
      <c r="P768" s="14"/>
      <c r="Q768" s="14"/>
      <c r="R768" s="14"/>
      <c r="S768" s="14"/>
      <c r="T768" s="14"/>
      <c r="U768" s="16"/>
    </row>
    <row r="769" spans="1:21" ht="18.75" customHeight="1" x14ac:dyDescent="0.2">
      <c r="A769" s="14"/>
      <c r="B769" s="15"/>
      <c r="C769" s="119" t="s">
        <v>580</v>
      </c>
      <c r="D769" s="120" t="s">
        <v>581</v>
      </c>
      <c r="E769" s="125">
        <v>926.38027497343239</v>
      </c>
      <c r="F769" s="125">
        <v>613.76690185873861</v>
      </c>
      <c r="G769" s="125">
        <v>737.00686628493315</v>
      </c>
      <c r="H769" s="125">
        <v>863.48051486761506</v>
      </c>
      <c r="I769" s="125">
        <v>912.54075441582995</v>
      </c>
      <c r="J769" s="125">
        <v>932.0806199395256</v>
      </c>
      <c r="K769" s="125">
        <v>945.50491050138805</v>
      </c>
      <c r="L769" s="125">
        <v>959.14252114994974</v>
      </c>
      <c r="M769" s="125">
        <v>1064.0967068888651</v>
      </c>
      <c r="N769" s="131">
        <v>992.20280532532524</v>
      </c>
      <c r="O769" s="17"/>
      <c r="P769" s="14"/>
      <c r="Q769" s="14"/>
      <c r="R769" s="14"/>
      <c r="S769" s="14"/>
      <c r="T769" s="14"/>
      <c r="U769" s="16"/>
    </row>
    <row r="770" spans="1:21" ht="18.75" customHeight="1" x14ac:dyDescent="0.2">
      <c r="A770" s="14"/>
      <c r="B770" s="15"/>
      <c r="C770" s="119" t="s">
        <v>541</v>
      </c>
      <c r="D770" s="120" t="s">
        <v>579</v>
      </c>
      <c r="E770" s="125">
        <v>11.641290543502654</v>
      </c>
      <c r="F770" s="125">
        <v>18.076305736664256</v>
      </c>
      <c r="G770" s="125">
        <v>14.636117766487772</v>
      </c>
      <c r="H770" s="125">
        <v>12.28391815697638</v>
      </c>
      <c r="I770" s="125">
        <v>12.016319202728265</v>
      </c>
      <c r="J770" s="125">
        <v>11.621384867702901</v>
      </c>
      <c r="K770" s="125">
        <v>11.397124682484737</v>
      </c>
      <c r="L770" s="125">
        <v>11.188645146679761</v>
      </c>
      <c r="M770" s="125">
        <v>10.039793239239081</v>
      </c>
      <c r="N770" s="131">
        <v>10.51635115586279</v>
      </c>
      <c r="O770" s="17"/>
      <c r="P770" s="14"/>
      <c r="Q770" s="14"/>
      <c r="R770" s="14"/>
      <c r="S770" s="14"/>
      <c r="T770" s="14"/>
      <c r="U770" s="16"/>
    </row>
    <row r="771" spans="1:21" ht="18.75" customHeight="1" x14ac:dyDescent="0.2">
      <c r="A771" s="14"/>
      <c r="B771" s="15"/>
      <c r="C771" s="119" t="s">
        <v>544</v>
      </c>
      <c r="D771" s="120" t="s">
        <v>579</v>
      </c>
      <c r="E771" s="125">
        <v>8.5725827814569513</v>
      </c>
      <c r="F771" s="128"/>
      <c r="G771" s="128"/>
      <c r="H771" s="128"/>
      <c r="I771" s="128"/>
      <c r="J771" s="128"/>
      <c r="K771" s="128"/>
      <c r="L771" s="128"/>
      <c r="M771" s="125">
        <v>25.188265290222049</v>
      </c>
      <c r="N771" s="131">
        <v>15.586514148103545</v>
      </c>
      <c r="O771" s="17"/>
      <c r="P771" s="14"/>
      <c r="Q771" s="14"/>
      <c r="R771" s="14"/>
      <c r="S771" s="14"/>
      <c r="T771" s="14"/>
      <c r="U771" s="16"/>
    </row>
    <row r="772" spans="1:21" ht="18.75" customHeight="1" x14ac:dyDescent="0.2">
      <c r="A772" s="14"/>
      <c r="B772" s="15"/>
      <c r="C772" s="119" t="s">
        <v>780</v>
      </c>
      <c r="D772" s="120" t="s">
        <v>783</v>
      </c>
      <c r="E772" s="125">
        <v>11.649273440887086</v>
      </c>
      <c r="F772" s="125">
        <v>13.554951337349175</v>
      </c>
      <c r="G772" s="125">
        <v>12.221215642672838</v>
      </c>
      <c r="H772" s="125">
        <v>11.319650000950482</v>
      </c>
      <c r="I772" s="125">
        <v>11.199212690035518</v>
      </c>
      <c r="J772" s="125">
        <v>11.267178811165822</v>
      </c>
      <c r="K772" s="125">
        <v>11.413644724158033</v>
      </c>
      <c r="L772" s="125">
        <v>11.584393113355226</v>
      </c>
      <c r="M772" s="125">
        <v>11.127386664654253</v>
      </c>
      <c r="N772" s="131">
        <v>11.594139687732474</v>
      </c>
      <c r="O772" s="17"/>
      <c r="P772" s="14"/>
      <c r="Q772" s="14"/>
      <c r="R772" s="14"/>
      <c r="S772" s="14"/>
      <c r="T772" s="14"/>
      <c r="U772" s="16"/>
    </row>
    <row r="773" spans="1:21" ht="18.75" customHeight="1" x14ac:dyDescent="0.2">
      <c r="A773" s="14"/>
      <c r="B773" s="15"/>
      <c r="C773" s="122" t="s">
        <v>781</v>
      </c>
      <c r="D773" s="120" t="s">
        <v>782</v>
      </c>
      <c r="E773" s="125">
        <v>427.13670886075954</v>
      </c>
      <c r="F773" s="134">
        <v>47.710126582278484</v>
      </c>
      <c r="G773" s="134">
        <v>134.01392405063297</v>
      </c>
      <c r="H773" s="134">
        <v>247.16708860759508</v>
      </c>
      <c r="I773" s="134">
        <v>321.59493670886064</v>
      </c>
      <c r="J773" s="134">
        <v>372.23291139240513</v>
      </c>
      <c r="K773" s="134">
        <v>427.13670886075954</v>
      </c>
      <c r="L773" s="134">
        <v>491.1797468354431</v>
      </c>
      <c r="M773" s="134">
        <v>651.83417721518958</v>
      </c>
      <c r="N773" s="135">
        <v>575.10886075949361</v>
      </c>
      <c r="O773" s="17"/>
      <c r="P773" s="14"/>
      <c r="Q773" s="14"/>
      <c r="R773" s="14"/>
      <c r="S773" s="14"/>
      <c r="T773" s="14"/>
      <c r="U773" s="16"/>
    </row>
    <row r="774" spans="1:21" ht="18.75" customHeight="1" x14ac:dyDescent="0.2">
      <c r="A774" s="14"/>
      <c r="B774" s="15"/>
      <c r="C774" s="122"/>
      <c r="D774" s="210"/>
      <c r="E774" s="210"/>
      <c r="F774" s="210"/>
      <c r="G774" s="210"/>
      <c r="H774" s="210"/>
      <c r="I774" s="210"/>
      <c r="J774" s="210"/>
      <c r="K774" s="210"/>
      <c r="L774" s="210"/>
      <c r="M774" s="210"/>
      <c r="N774" s="115"/>
      <c r="O774" s="17"/>
      <c r="P774" s="14"/>
      <c r="Q774" s="14"/>
      <c r="R774" s="14"/>
      <c r="S774" s="14"/>
      <c r="T774" s="14"/>
      <c r="U774" s="16"/>
    </row>
    <row r="775" spans="1:21" ht="18.75" customHeight="1" x14ac:dyDescent="0.2">
      <c r="A775" s="14"/>
      <c r="B775" s="15"/>
      <c r="C775" s="2199" t="s">
        <v>1993</v>
      </c>
      <c r="D775" s="2200"/>
      <c r="E775" s="2200"/>
      <c r="F775" s="2200"/>
      <c r="G775" s="2200"/>
      <c r="H775" s="2200"/>
      <c r="I775" s="2200"/>
      <c r="J775" s="2200"/>
      <c r="K775" s="2200"/>
      <c r="L775" s="2200"/>
      <c r="M775" s="2200"/>
      <c r="N775" s="2201"/>
      <c r="O775" s="17"/>
      <c r="P775" s="14"/>
      <c r="Q775" s="14"/>
      <c r="R775" s="14"/>
      <c r="S775" s="14"/>
      <c r="T775" s="14"/>
      <c r="U775" s="16"/>
    </row>
    <row r="776" spans="1:21" ht="18.75" customHeight="1" x14ac:dyDescent="0.2">
      <c r="A776" s="14"/>
      <c r="B776" s="15"/>
      <c r="C776" s="2202"/>
      <c r="D776" s="210"/>
      <c r="E776" s="104" t="s">
        <v>679</v>
      </c>
      <c r="F776" s="210">
        <v>80</v>
      </c>
      <c r="G776" s="210">
        <v>180</v>
      </c>
      <c r="H776" s="210">
        <v>290</v>
      </c>
      <c r="I776" s="210">
        <v>340</v>
      </c>
      <c r="J776" s="210">
        <v>400</v>
      </c>
      <c r="K776" s="210">
        <v>450</v>
      </c>
      <c r="L776" s="210">
        <v>525</v>
      </c>
      <c r="M776" s="210">
        <v>525</v>
      </c>
      <c r="N776" s="115">
        <v>400</v>
      </c>
      <c r="O776" s="17"/>
      <c r="P776" s="14"/>
      <c r="Q776" s="14"/>
      <c r="R776" s="14"/>
      <c r="S776" s="14"/>
      <c r="T776" s="14"/>
      <c r="U776" s="16"/>
    </row>
    <row r="777" spans="1:21" ht="18.75" customHeight="1" x14ac:dyDescent="0.2">
      <c r="A777" s="14"/>
      <c r="B777" s="15"/>
      <c r="C777" s="119" t="s">
        <v>568</v>
      </c>
      <c r="D777" s="120" t="s">
        <v>623</v>
      </c>
      <c r="E777" s="110" t="s">
        <v>608</v>
      </c>
      <c r="F777" s="110" t="s">
        <v>957</v>
      </c>
      <c r="G777" s="110" t="s">
        <v>572</v>
      </c>
      <c r="H777" s="110" t="s">
        <v>530</v>
      </c>
      <c r="I777" s="110" t="s">
        <v>573</v>
      </c>
      <c r="J777" s="110" t="s">
        <v>574</v>
      </c>
      <c r="K777" s="110" t="s">
        <v>575</v>
      </c>
      <c r="L777" s="110" t="s">
        <v>576</v>
      </c>
      <c r="M777" s="110" t="s">
        <v>577</v>
      </c>
      <c r="N777" s="2203" t="s">
        <v>609</v>
      </c>
      <c r="O777" s="17"/>
      <c r="P777" s="14"/>
      <c r="Q777" s="14"/>
      <c r="R777" s="14"/>
      <c r="S777" s="14"/>
      <c r="T777" s="14"/>
      <c r="U777" s="16"/>
    </row>
    <row r="778" spans="1:21" ht="18.75" customHeight="1" x14ac:dyDescent="0.25">
      <c r="A778" s="14"/>
      <c r="B778" s="15"/>
      <c r="C778" s="119" t="s">
        <v>582</v>
      </c>
      <c r="D778" s="120" t="s">
        <v>566</v>
      </c>
      <c r="E778" s="121">
        <v>102767.10018397556</v>
      </c>
      <c r="F778" s="129">
        <v>15956.100011819546</v>
      </c>
      <c r="G778" s="129">
        <v>9044.2231638337198</v>
      </c>
      <c r="H778" s="129">
        <v>10847.920865249798</v>
      </c>
      <c r="I778" s="129">
        <v>4996.867153914397</v>
      </c>
      <c r="J778" s="129">
        <v>9709.3255557429802</v>
      </c>
      <c r="K778" s="129">
        <v>7646.3863045136532</v>
      </c>
      <c r="L778" s="129">
        <v>11360.81600558147</v>
      </c>
      <c r="M778" s="129">
        <v>33205.461123319998</v>
      </c>
      <c r="N778" s="130">
        <v>53509.245804252496</v>
      </c>
      <c r="O778" s="85"/>
      <c r="P778" s="14"/>
      <c r="Q778" s="14"/>
      <c r="R778" s="14"/>
      <c r="S778" s="14"/>
      <c r="T778" s="14"/>
      <c r="U778" s="16"/>
    </row>
    <row r="779" spans="1:21" ht="32.25" customHeight="1" x14ac:dyDescent="0.2">
      <c r="A779" s="14"/>
      <c r="B779" s="15"/>
      <c r="C779" s="119" t="s">
        <v>582</v>
      </c>
      <c r="D779" s="120" t="s">
        <v>628</v>
      </c>
      <c r="E779" s="145">
        <v>16339.968929252114</v>
      </c>
      <c r="F779" s="129">
        <v>2537.0199018793078</v>
      </c>
      <c r="G779" s="129">
        <v>1438.0314830495615</v>
      </c>
      <c r="H779" s="129">
        <v>1724.819417574718</v>
      </c>
      <c r="I779" s="129">
        <v>794.50187747238908</v>
      </c>
      <c r="J779" s="129">
        <v>1543.7827633631339</v>
      </c>
      <c r="K779" s="129">
        <v>1215.7754224176708</v>
      </c>
      <c r="L779" s="129">
        <v>1806.3697448874536</v>
      </c>
      <c r="M779" s="129">
        <v>5279.6683186078799</v>
      </c>
      <c r="N779" s="130">
        <v>8507.970082876147</v>
      </c>
      <c r="O779" s="86"/>
      <c r="P779" s="14"/>
      <c r="Q779" s="14"/>
      <c r="R779" s="14"/>
      <c r="S779" s="14"/>
      <c r="T779" s="14"/>
      <c r="U779" s="16"/>
    </row>
    <row r="780" spans="1:21" ht="18.75" customHeight="1" x14ac:dyDescent="0.25">
      <c r="A780" s="14"/>
      <c r="B780" s="15"/>
      <c r="C780" s="119" t="s">
        <v>620</v>
      </c>
      <c r="D780" s="120" t="s">
        <v>622</v>
      </c>
      <c r="E780" s="129">
        <v>14621640</v>
      </c>
      <c r="F780" s="129">
        <v>1462164</v>
      </c>
      <c r="G780" s="129">
        <v>1023514.8</v>
      </c>
      <c r="H780" s="129">
        <v>1462164</v>
      </c>
      <c r="I780" s="129">
        <v>731082</v>
      </c>
      <c r="J780" s="129">
        <v>1462164</v>
      </c>
      <c r="K780" s="129">
        <v>1169731.2</v>
      </c>
      <c r="L780" s="129">
        <v>1754596.8</v>
      </c>
      <c r="M780" s="129">
        <v>5556223.2000000002</v>
      </c>
      <c r="N780" s="130">
        <v>8480551.2000000011</v>
      </c>
      <c r="O780" s="87"/>
      <c r="P780" s="14"/>
      <c r="Q780" s="14"/>
      <c r="R780" s="14"/>
      <c r="S780" s="14"/>
      <c r="T780" s="14"/>
      <c r="U780" s="16"/>
    </row>
    <row r="781" spans="1:21" ht="18.75" customHeight="1" x14ac:dyDescent="0.25">
      <c r="A781" s="14"/>
      <c r="B781" s="15"/>
      <c r="C781" s="122" t="s">
        <v>776</v>
      </c>
      <c r="D781" s="120" t="s">
        <v>579</v>
      </c>
      <c r="E781" s="125">
        <v>3.5203248991966261</v>
      </c>
      <c r="F781" s="125">
        <v>0</v>
      </c>
      <c r="G781" s="125">
        <v>0</v>
      </c>
      <c r="H781" s="125">
        <v>0.98855275927563135</v>
      </c>
      <c r="I781" s="125">
        <v>1.8772349544790126</v>
      </c>
      <c r="J781" s="125">
        <v>2.5196166470636463</v>
      </c>
      <c r="K781" s="125">
        <v>3.1946131900506378</v>
      </c>
      <c r="L781" s="125">
        <v>3.947981723953693</v>
      </c>
      <c r="M781" s="125">
        <v>6.174524602000667</v>
      </c>
      <c r="N781" s="131">
        <v>5.3028382945495638</v>
      </c>
      <c r="O781" s="88"/>
      <c r="P781" s="14"/>
      <c r="Q781" s="14"/>
      <c r="R781" s="14"/>
      <c r="S781" s="14"/>
      <c r="T781" s="14"/>
      <c r="U781" s="16"/>
    </row>
    <row r="782" spans="1:21" ht="18.75" customHeight="1" x14ac:dyDescent="0.25">
      <c r="A782" s="14"/>
      <c r="B782" s="15"/>
      <c r="C782" s="122" t="s">
        <v>777</v>
      </c>
      <c r="D782" s="210" t="s">
        <v>778</v>
      </c>
      <c r="E782" s="125">
        <v>2339.36576846962</v>
      </c>
      <c r="F782" s="132">
        <v>0</v>
      </c>
      <c r="G782" s="132">
        <v>0</v>
      </c>
      <c r="H782" s="132">
        <v>0</v>
      </c>
      <c r="I782" s="132">
        <v>429.08184261698398</v>
      </c>
      <c r="J782" s="132">
        <v>895.39622446774047</v>
      </c>
      <c r="K782" s="132">
        <v>1477.8406231731778</v>
      </c>
      <c r="L782" s="132">
        <v>2227.02699231718</v>
      </c>
      <c r="M782" s="125">
        <v>4849.7409604212653</v>
      </c>
      <c r="N782" s="133">
        <v>3842.0207825724074</v>
      </c>
      <c r="O782" s="88"/>
      <c r="P782" s="14"/>
      <c r="Q782" s="14"/>
      <c r="R782" s="14"/>
      <c r="S782" s="14"/>
      <c r="T782" s="14"/>
      <c r="U782" s="16"/>
    </row>
    <row r="783" spans="1:21" ht="18.75" customHeight="1" x14ac:dyDescent="0.25">
      <c r="A783" s="14"/>
      <c r="B783" s="15"/>
      <c r="C783" s="119" t="s">
        <v>779</v>
      </c>
      <c r="D783" s="120" t="s">
        <v>970</v>
      </c>
      <c r="E783" s="132">
        <v>22.24</v>
      </c>
      <c r="F783" s="125">
        <v>113.77666706644929</v>
      </c>
      <c r="G783" s="125">
        <v>67.11073393221497</v>
      </c>
      <c r="H783" s="125">
        <v>35.25389803636908</v>
      </c>
      <c r="I783" s="125">
        <v>22.123369166407656</v>
      </c>
      <c r="J783" s="125">
        <v>17.751446782838855</v>
      </c>
      <c r="K783" s="125">
        <v>15.42501194561828</v>
      </c>
      <c r="L783" s="125">
        <v>14.031754989212686</v>
      </c>
      <c r="M783" s="125">
        <v>2.8245534326155735</v>
      </c>
      <c r="N783" s="131">
        <v>10.317662409342972</v>
      </c>
      <c r="O783" s="88"/>
      <c r="P783" s="14"/>
      <c r="Q783" s="14"/>
      <c r="R783" s="14"/>
      <c r="S783" s="14"/>
      <c r="T783" s="14"/>
      <c r="U783" s="16"/>
    </row>
    <row r="784" spans="1:21" ht="18.75" customHeight="1" x14ac:dyDescent="0.25">
      <c r="A784" s="14"/>
      <c r="B784" s="15"/>
      <c r="C784" s="119" t="s">
        <v>580</v>
      </c>
      <c r="D784" s="120" t="s">
        <v>581</v>
      </c>
      <c r="E784" s="125">
        <v>919.6</v>
      </c>
      <c r="F784" s="125">
        <v>576.331308602229</v>
      </c>
      <c r="G784" s="125">
        <v>711.74714327497429</v>
      </c>
      <c r="H784" s="125">
        <v>847.720048314368</v>
      </c>
      <c r="I784" s="125">
        <v>920.1765543032426</v>
      </c>
      <c r="J784" s="125">
        <v>947.13066805764356</v>
      </c>
      <c r="K784" s="125">
        <v>962.12769104502206</v>
      </c>
      <c r="L784" s="125">
        <v>971.33867801208146</v>
      </c>
      <c r="M784" s="125">
        <v>1052.3811089453136</v>
      </c>
      <c r="N784" s="131">
        <v>996.77727088729057</v>
      </c>
      <c r="O784" s="89"/>
      <c r="P784" s="14"/>
      <c r="Q784" s="14"/>
      <c r="R784" s="14"/>
      <c r="S784" s="14"/>
      <c r="T784" s="14"/>
      <c r="U784" s="16"/>
    </row>
    <row r="785" spans="1:21" ht="18.75" customHeight="1" x14ac:dyDescent="0.25">
      <c r="A785" s="14"/>
      <c r="B785" s="15"/>
      <c r="C785" s="119" t="s">
        <v>541</v>
      </c>
      <c r="D785" s="120" t="s">
        <v>579</v>
      </c>
      <c r="E785" s="125">
        <v>12.094419380462675</v>
      </c>
      <c r="F785" s="125">
        <v>19.799162962211255</v>
      </c>
      <c r="G785" s="125">
        <v>15.440369582247097</v>
      </c>
      <c r="H785" s="125">
        <v>12.562880554268856</v>
      </c>
      <c r="I785" s="125">
        <v>11.811949675970716</v>
      </c>
      <c r="J785" s="125">
        <v>11.23240657045876</v>
      </c>
      <c r="K785" s="125">
        <v>10.96704656793759</v>
      </c>
      <c r="L785" s="125">
        <v>10.865419763650056</v>
      </c>
      <c r="M785" s="125">
        <v>10.216676105631423</v>
      </c>
      <c r="N785" s="131">
        <v>10.454398305539577</v>
      </c>
      <c r="O785" s="90"/>
      <c r="P785" s="14"/>
      <c r="Q785" s="14"/>
      <c r="R785" s="14"/>
      <c r="S785" s="14"/>
      <c r="T785" s="14"/>
      <c r="U785" s="16"/>
    </row>
    <row r="786" spans="1:21" ht="18.75" customHeight="1" x14ac:dyDescent="0.25">
      <c r="A786" s="14"/>
      <c r="B786" s="15"/>
      <c r="C786" s="119" t="s">
        <v>544</v>
      </c>
      <c r="D786" s="120" t="s">
        <v>579</v>
      </c>
      <c r="E786" s="125">
        <v>10.55</v>
      </c>
      <c r="F786" s="128"/>
      <c r="G786" s="128"/>
      <c r="H786" s="128"/>
      <c r="I786" s="128"/>
      <c r="J786" s="128"/>
      <c r="K786" s="128"/>
      <c r="L786" s="128"/>
      <c r="M786" s="125">
        <v>27.735394736842107</v>
      </c>
      <c r="N786" s="131">
        <v>18.18965517241379</v>
      </c>
      <c r="O786" s="89"/>
      <c r="P786" s="14"/>
      <c r="Q786" s="14"/>
      <c r="R786" s="14"/>
      <c r="S786" s="14"/>
      <c r="T786" s="14"/>
      <c r="U786" s="16"/>
    </row>
    <row r="787" spans="1:21" ht="18.75" customHeight="1" x14ac:dyDescent="0.25">
      <c r="A787" s="14"/>
      <c r="B787" s="15"/>
      <c r="C787" s="119" t="s">
        <v>780</v>
      </c>
      <c r="D787" s="120" t="s">
        <v>783</v>
      </c>
      <c r="E787" s="125">
        <v>11.859796588713209</v>
      </c>
      <c r="F787" s="125">
        <v>14.303590816651639</v>
      </c>
      <c r="G787" s="125">
        <v>12.560859316261004</v>
      </c>
      <c r="H787" s="125">
        <v>11.401873428471736</v>
      </c>
      <c r="I787" s="125">
        <v>11.065075489390761</v>
      </c>
      <c r="J787" s="125">
        <v>11.075339203363837</v>
      </c>
      <c r="K787" s="125">
        <v>11.205030525040518</v>
      </c>
      <c r="L787" s="125">
        <v>11.457965407252361</v>
      </c>
      <c r="M787" s="125">
        <v>11.364322540946851</v>
      </c>
      <c r="N787" s="131">
        <v>11.652729646099898</v>
      </c>
      <c r="O787" s="89"/>
      <c r="P787" s="14"/>
      <c r="Q787" s="14"/>
      <c r="R787" s="14"/>
      <c r="S787" s="14"/>
      <c r="T787" s="14"/>
      <c r="U787" s="16"/>
    </row>
    <row r="788" spans="1:21" ht="18.75" customHeight="1" x14ac:dyDescent="0.25">
      <c r="A788" s="14"/>
      <c r="B788" s="15"/>
      <c r="C788" s="122" t="s">
        <v>781</v>
      </c>
      <c r="D788" s="120" t="s">
        <v>782</v>
      </c>
      <c r="E788" s="125">
        <v>449.4</v>
      </c>
      <c r="F788" s="134">
        <v>39</v>
      </c>
      <c r="G788" s="134">
        <v>125</v>
      </c>
      <c r="H788" s="134">
        <v>230</v>
      </c>
      <c r="I788" s="134">
        <v>315</v>
      </c>
      <c r="J788" s="134">
        <v>370</v>
      </c>
      <c r="K788" s="134">
        <v>425</v>
      </c>
      <c r="L788" s="134">
        <v>495</v>
      </c>
      <c r="M788" s="134">
        <v>680</v>
      </c>
      <c r="N788" s="135">
        <v>600</v>
      </c>
      <c r="O788" s="89"/>
      <c r="P788" s="14"/>
      <c r="Q788" s="14"/>
      <c r="R788" s="14"/>
      <c r="S788" s="14"/>
      <c r="T788" s="14"/>
      <c r="U788" s="16"/>
    </row>
    <row r="789" spans="1:21" ht="18.75" customHeight="1" x14ac:dyDescent="0.25">
      <c r="A789" s="14"/>
      <c r="B789" s="15"/>
      <c r="C789" s="122"/>
      <c r="D789" s="210"/>
      <c r="E789" s="210"/>
      <c r="F789" s="210"/>
      <c r="G789" s="210"/>
      <c r="H789" s="210"/>
      <c r="I789" s="210"/>
      <c r="J789" s="210"/>
      <c r="K789" s="210"/>
      <c r="L789" s="210"/>
      <c r="M789" s="210"/>
      <c r="N789" s="115"/>
      <c r="O789" s="89"/>
      <c r="P789" s="14"/>
      <c r="Q789" s="14"/>
      <c r="R789" s="14"/>
      <c r="S789" s="14"/>
      <c r="T789" s="14"/>
      <c r="U789" s="16"/>
    </row>
    <row r="790" spans="1:21" ht="18.75" customHeight="1" x14ac:dyDescent="0.25">
      <c r="A790" s="14"/>
      <c r="B790" s="15"/>
      <c r="C790" s="2199" t="s">
        <v>2046</v>
      </c>
      <c r="D790" s="2200" t="s">
        <v>1477</v>
      </c>
      <c r="E790" s="2200" t="s">
        <v>1168</v>
      </c>
      <c r="F790" s="2200" t="s">
        <v>569</v>
      </c>
      <c r="G790" s="2200"/>
      <c r="H790" s="2200"/>
      <c r="I790" s="2200"/>
      <c r="J790" s="2200"/>
      <c r="K790" s="2200"/>
      <c r="L790" s="2200"/>
      <c r="M790" s="2200"/>
      <c r="N790" s="2201"/>
      <c r="O790" s="89"/>
      <c r="P790" s="14"/>
      <c r="Q790" s="14"/>
      <c r="R790" s="14"/>
      <c r="S790" s="14"/>
      <c r="T790" s="14"/>
      <c r="U790" s="14"/>
    </row>
    <row r="791" spans="1:21" ht="18.75" customHeight="1" x14ac:dyDescent="0.25">
      <c r="A791" s="14"/>
      <c r="B791" s="15"/>
      <c r="C791" s="2202" t="s">
        <v>1169</v>
      </c>
      <c r="D791" s="210">
        <v>4</v>
      </c>
      <c r="E791" s="104" t="s">
        <v>679</v>
      </c>
      <c r="F791" s="210">
        <v>84.851086956521726</v>
      </c>
      <c r="G791" s="210">
        <v>172.37391304347821</v>
      </c>
      <c r="H791" s="210">
        <v>284.04021739130422</v>
      </c>
      <c r="I791" s="210">
        <v>341.44239130434789</v>
      </c>
      <c r="J791" s="210">
        <v>395.05869565217375</v>
      </c>
      <c r="K791" s="210">
        <v>451.25652173913039</v>
      </c>
      <c r="L791" s="210">
        <v>519.05543478260881</v>
      </c>
      <c r="M791" s="210">
        <v>519.05543478260881</v>
      </c>
      <c r="N791" s="115">
        <v>395.05869565217375</v>
      </c>
      <c r="O791" s="91"/>
      <c r="P791" s="14"/>
      <c r="Q791" s="14"/>
      <c r="R791" s="14"/>
      <c r="S791" s="14"/>
      <c r="T791" s="14"/>
      <c r="U791" s="14"/>
    </row>
    <row r="792" spans="1:21" ht="18.75" customHeight="1" x14ac:dyDescent="0.2">
      <c r="A792" s="14"/>
      <c r="B792" s="15"/>
      <c r="C792" s="119" t="s">
        <v>568</v>
      </c>
      <c r="D792" s="120" t="s">
        <v>623</v>
      </c>
      <c r="E792" s="110" t="s">
        <v>608</v>
      </c>
      <c r="F792" s="110" t="s">
        <v>957</v>
      </c>
      <c r="G792" s="110" t="s">
        <v>572</v>
      </c>
      <c r="H792" s="110" t="s">
        <v>530</v>
      </c>
      <c r="I792" s="110" t="s">
        <v>573</v>
      </c>
      <c r="J792" s="110" t="s">
        <v>574</v>
      </c>
      <c r="K792" s="110" t="s">
        <v>575</v>
      </c>
      <c r="L792" s="110" t="s">
        <v>576</v>
      </c>
      <c r="M792" s="110" t="s">
        <v>577</v>
      </c>
      <c r="N792" s="2203" t="s">
        <v>609</v>
      </c>
      <c r="O792" s="17"/>
      <c r="P792" s="14"/>
      <c r="Q792" s="14"/>
      <c r="R792" s="14"/>
      <c r="S792" s="14"/>
      <c r="T792" s="14"/>
      <c r="U792" s="14"/>
    </row>
    <row r="793" spans="1:21" ht="18.75" customHeight="1" x14ac:dyDescent="0.25">
      <c r="A793" s="14"/>
      <c r="B793" s="15"/>
      <c r="C793" s="119" t="s">
        <v>582</v>
      </c>
      <c r="D793" s="120" t="s">
        <v>566</v>
      </c>
      <c r="E793" s="121">
        <v>101434.81108361563</v>
      </c>
      <c r="F793" s="129">
        <v>12417.365249982755</v>
      </c>
      <c r="G793" s="129">
        <v>8817.9109313417339</v>
      </c>
      <c r="H793" s="129">
        <v>10709.671284514277</v>
      </c>
      <c r="I793" s="129">
        <v>7073.2117907007232</v>
      </c>
      <c r="J793" s="129">
        <v>8874.5562525600963</v>
      </c>
      <c r="K793" s="129">
        <v>7778.255817246767</v>
      </c>
      <c r="L793" s="129">
        <v>10528.577890936533</v>
      </c>
      <c r="M793" s="129">
        <v>35235.261866332745</v>
      </c>
      <c r="N793" s="130">
        <v>52917.252572665944</v>
      </c>
      <c r="O793" s="85"/>
      <c r="P793" s="14"/>
      <c r="Q793" s="14"/>
      <c r="R793" s="14"/>
      <c r="S793" s="14"/>
      <c r="T793" s="14"/>
      <c r="U793" s="14"/>
    </row>
    <row r="794" spans="1:21" ht="35.25" customHeight="1" x14ac:dyDescent="0.2">
      <c r="A794" s="14"/>
      <c r="B794" s="15"/>
      <c r="C794" s="119" t="s">
        <v>582</v>
      </c>
      <c r="D794" s="120" t="s">
        <v>628</v>
      </c>
      <c r="E794" s="145">
        <v>16128.134962294886</v>
      </c>
      <c r="F794" s="129">
        <v>1974.361074747258</v>
      </c>
      <c r="G794" s="129">
        <v>1402.0478380833356</v>
      </c>
      <c r="H794" s="129">
        <v>1702.8377342377701</v>
      </c>
      <c r="I794" s="129">
        <v>1124.6406747214151</v>
      </c>
      <c r="J794" s="129">
        <v>1411.0544441570553</v>
      </c>
      <c r="K794" s="129">
        <v>1236.7426749422359</v>
      </c>
      <c r="L794" s="129">
        <v>1674.0438846589086</v>
      </c>
      <c r="M794" s="129">
        <v>5602.4066367469068</v>
      </c>
      <c r="N794" s="130">
        <v>8413.8431590538858</v>
      </c>
      <c r="O794" s="86"/>
      <c r="P794" s="14"/>
      <c r="Q794" s="14"/>
      <c r="R794" s="14"/>
      <c r="S794" s="14"/>
      <c r="T794" s="14"/>
      <c r="U794" s="14"/>
    </row>
    <row r="795" spans="1:21" ht="18.75" customHeight="1" x14ac:dyDescent="0.25">
      <c r="A795" s="14"/>
      <c r="B795" s="15"/>
      <c r="C795" s="119" t="s">
        <v>620</v>
      </c>
      <c r="D795" s="120" t="s">
        <v>622</v>
      </c>
      <c r="E795" s="129">
        <v>14764716.181150554</v>
      </c>
      <c r="F795" s="129">
        <v>1181177.2944920443</v>
      </c>
      <c r="G795" s="129">
        <v>1033530.1326805387</v>
      </c>
      <c r="H795" s="129">
        <v>1476471.6181150554</v>
      </c>
      <c r="I795" s="129">
        <v>1033530.1326805388</v>
      </c>
      <c r="J795" s="129">
        <v>1328824.4563035495</v>
      </c>
      <c r="K795" s="129">
        <v>1181177.2944920445</v>
      </c>
      <c r="L795" s="129">
        <v>1624118.7799265608</v>
      </c>
      <c r="M795" s="129">
        <v>5905886.4724602215</v>
      </c>
      <c r="N795" s="130">
        <v>8711182.5468788277</v>
      </c>
      <c r="O795" s="87"/>
      <c r="P795" s="14"/>
      <c r="Q795" s="14"/>
      <c r="R795" s="14"/>
      <c r="S795" s="14"/>
      <c r="T795" s="14"/>
      <c r="U795" s="14"/>
    </row>
    <row r="796" spans="1:21" ht="18.75" customHeight="1" x14ac:dyDescent="0.25">
      <c r="A796" s="14"/>
      <c r="B796" s="15"/>
      <c r="C796" s="122" t="s">
        <v>776</v>
      </c>
      <c r="D796" s="120" t="s">
        <v>579</v>
      </c>
      <c r="E796" s="125">
        <v>3.8852208896990201</v>
      </c>
      <c r="F796" s="125">
        <v>0</v>
      </c>
      <c r="G796" s="125">
        <v>9.3666666666666676E-2</v>
      </c>
      <c r="H796" s="125">
        <v>1.4339296747945327</v>
      </c>
      <c r="I796" s="125">
        <v>2.0894257365124149</v>
      </c>
      <c r="J796" s="125">
        <v>2.6116012666993003</v>
      </c>
      <c r="K796" s="125">
        <v>3.1438984070949689</v>
      </c>
      <c r="L796" s="125">
        <v>3.9091314034104196</v>
      </c>
      <c r="M796" s="125">
        <v>6.6811275326283761</v>
      </c>
      <c r="N796" s="131">
        <v>5.6846904067696507</v>
      </c>
      <c r="O796" s="88"/>
      <c r="P796" s="14"/>
      <c r="Q796" s="14"/>
      <c r="R796" s="14"/>
      <c r="S796" s="14"/>
      <c r="T796" s="14"/>
      <c r="U796" s="14"/>
    </row>
    <row r="797" spans="1:21" ht="18.75" customHeight="1" x14ac:dyDescent="0.25">
      <c r="A797" s="14"/>
      <c r="B797" s="15"/>
      <c r="C797" s="122" t="s">
        <v>777</v>
      </c>
      <c r="D797" s="210" t="s">
        <v>778</v>
      </c>
      <c r="E797" s="125">
        <v>2200.9519170018775</v>
      </c>
      <c r="F797" s="132">
        <v>0</v>
      </c>
      <c r="G797" s="132">
        <v>0</v>
      </c>
      <c r="H797" s="132">
        <v>28.653990200599139</v>
      </c>
      <c r="I797" s="132">
        <v>249.62733971017838</v>
      </c>
      <c r="J797" s="132">
        <v>550.58180397297224</v>
      </c>
      <c r="K797" s="132">
        <v>956.07350329078417</v>
      </c>
      <c r="L797" s="132">
        <v>1665.4756942899385</v>
      </c>
      <c r="M797" s="125">
        <v>4678.4300880234541</v>
      </c>
      <c r="N797" s="133">
        <v>3611.9665116009105</v>
      </c>
      <c r="O797" s="88"/>
      <c r="P797" s="14"/>
      <c r="Q797" s="14"/>
      <c r="R797" s="14"/>
      <c r="S797" s="14"/>
      <c r="T797" s="14"/>
      <c r="U797" s="14"/>
    </row>
    <row r="798" spans="1:21" ht="18.75" customHeight="1" x14ac:dyDescent="0.25">
      <c r="A798" s="14"/>
      <c r="B798" s="15"/>
      <c r="C798" s="119" t="s">
        <v>779</v>
      </c>
      <c r="D798" s="120" t="s">
        <v>970</v>
      </c>
      <c r="E798" s="132">
        <v>20.730078124999988</v>
      </c>
      <c r="F798" s="125">
        <v>104.78706026394184</v>
      </c>
      <c r="G798" s="125">
        <v>60.26446713963476</v>
      </c>
      <c r="H798" s="125">
        <v>31.533409633467727</v>
      </c>
      <c r="I798" s="125">
        <v>22.322226213291714</v>
      </c>
      <c r="J798" s="125">
        <v>18.608265739103416</v>
      </c>
      <c r="K798" s="125">
        <v>16.510561341963836</v>
      </c>
      <c r="L798" s="125">
        <v>14.206021352946891</v>
      </c>
      <c r="M798" s="125">
        <v>2.5966666666666671</v>
      </c>
      <c r="N798" s="131">
        <v>5.0355507338524035</v>
      </c>
      <c r="O798" s="88"/>
      <c r="P798" s="14"/>
      <c r="Q798" s="14"/>
      <c r="R798" s="14"/>
      <c r="S798" s="14"/>
      <c r="T798" s="14"/>
      <c r="U798" s="14"/>
    </row>
    <row r="799" spans="1:21" ht="18.75" customHeight="1" x14ac:dyDescent="0.25">
      <c r="A799" s="14"/>
      <c r="B799" s="15"/>
      <c r="C799" s="119" t="s">
        <v>580</v>
      </c>
      <c r="D799" s="120" t="s">
        <v>581</v>
      </c>
      <c r="E799" s="125">
        <v>928.59850195915431</v>
      </c>
      <c r="F799" s="125">
        <v>598.2579932311769</v>
      </c>
      <c r="G799" s="125">
        <v>737.15753814322227</v>
      </c>
      <c r="H799" s="125">
        <v>867.0653629695131</v>
      </c>
      <c r="I799" s="125">
        <v>918.98697593927477</v>
      </c>
      <c r="J799" s="125">
        <v>941.72444004977501</v>
      </c>
      <c r="K799" s="125">
        <v>955.07118693645248</v>
      </c>
      <c r="L799" s="125">
        <v>970.17694387234053</v>
      </c>
      <c r="M799" s="125">
        <v>1054.1695480872008</v>
      </c>
      <c r="N799" s="131">
        <v>1035.3393071636929</v>
      </c>
      <c r="O799" s="89"/>
      <c r="P799" s="14"/>
      <c r="Q799" s="14"/>
      <c r="R799" s="14"/>
      <c r="S799" s="14"/>
      <c r="T799" s="14"/>
      <c r="U799" s="14"/>
    </row>
    <row r="800" spans="1:21" ht="18.75" customHeight="1" x14ac:dyDescent="0.25">
      <c r="A800" s="14"/>
      <c r="B800" s="15"/>
      <c r="C800" s="119" t="s">
        <v>541</v>
      </c>
      <c r="D800" s="120" t="s">
        <v>579</v>
      </c>
      <c r="E800" s="125">
        <v>11.192295103916821</v>
      </c>
      <c r="F800" s="125">
        <v>18.856574585282019</v>
      </c>
      <c r="G800" s="125">
        <v>14.713854962867766</v>
      </c>
      <c r="H800" s="125">
        <v>12.212214148373667</v>
      </c>
      <c r="I800" s="125">
        <v>11.844834722473937</v>
      </c>
      <c r="J800" s="125">
        <v>11.375141630445921</v>
      </c>
      <c r="K800" s="125">
        <v>11.143779000634403</v>
      </c>
      <c r="L800" s="125">
        <v>10.897329004697212</v>
      </c>
      <c r="M800" s="125">
        <v>8.7236704674384864</v>
      </c>
      <c r="N800" s="131">
        <v>9.4570791483776944</v>
      </c>
      <c r="O800" s="90"/>
      <c r="P800" s="14"/>
      <c r="Q800" s="14"/>
      <c r="R800" s="14"/>
      <c r="S800" s="14"/>
      <c r="T800" s="14"/>
      <c r="U800" s="14"/>
    </row>
    <row r="801" spans="1:21" ht="18.75" customHeight="1" x14ac:dyDescent="0.25">
      <c r="A801" s="14"/>
      <c r="B801" s="15"/>
      <c r="C801" s="119" t="s">
        <v>544</v>
      </c>
      <c r="D801" s="120" t="s">
        <v>579</v>
      </c>
      <c r="E801" s="125">
        <v>10.627005347593583</v>
      </c>
      <c r="F801" s="128"/>
      <c r="G801" s="128"/>
      <c r="H801" s="128"/>
      <c r="I801" s="128"/>
      <c r="J801" s="128"/>
      <c r="K801" s="128"/>
      <c r="L801" s="128"/>
      <c r="M801" s="125">
        <v>26.540945855614975</v>
      </c>
      <c r="N801" s="131">
        <v>18.011873470497594</v>
      </c>
      <c r="O801" s="89"/>
      <c r="P801" s="14"/>
      <c r="Q801" s="14"/>
      <c r="R801" s="16"/>
      <c r="S801" s="16"/>
      <c r="T801" s="16"/>
      <c r="U801" s="16"/>
    </row>
    <row r="802" spans="1:21" ht="18.75" customHeight="1" x14ac:dyDescent="0.25">
      <c r="A802" s="14"/>
      <c r="B802" s="15"/>
      <c r="C802" s="119" t="s">
        <v>780</v>
      </c>
      <c r="D802" s="120" t="s">
        <v>783</v>
      </c>
      <c r="E802" s="125">
        <v>11.787972532235523</v>
      </c>
      <c r="F802" s="125">
        <v>13.917775641734288</v>
      </c>
      <c r="G802" s="125">
        <v>12.281912096182344</v>
      </c>
      <c r="H802" s="125">
        <v>11.283767824325606</v>
      </c>
      <c r="I802" s="125">
        <v>11.115048140238885</v>
      </c>
      <c r="J802" s="125">
        <v>11.169384103970321</v>
      </c>
      <c r="K802" s="125">
        <v>11.294761792633032</v>
      </c>
      <c r="L802" s="125">
        <v>11.44969683408573</v>
      </c>
      <c r="M802" s="125">
        <v>11.272315114305625</v>
      </c>
      <c r="N802" s="131">
        <v>11.247799618718934</v>
      </c>
      <c r="O802" s="89"/>
      <c r="P802" s="14"/>
      <c r="Q802" s="14"/>
      <c r="R802" s="16"/>
      <c r="S802" s="16"/>
      <c r="T802" s="16"/>
      <c r="U802" s="16"/>
    </row>
    <row r="803" spans="1:21" ht="18.75" customHeight="1" x14ac:dyDescent="0.25">
      <c r="A803" s="14"/>
      <c r="B803" s="15"/>
      <c r="C803" s="122" t="s">
        <v>781</v>
      </c>
      <c r="D803" s="120" t="s">
        <v>782</v>
      </c>
      <c r="E803" s="125">
        <v>457.67391304347825</v>
      </c>
      <c r="F803" s="134">
        <v>48.502173913043499</v>
      </c>
      <c r="G803" s="134">
        <v>140.36413043478265</v>
      </c>
      <c r="H803" s="134">
        <v>248.68043478260867</v>
      </c>
      <c r="I803" s="134">
        <v>320.69565217391317</v>
      </c>
      <c r="J803" s="134">
        <v>375.29130434782587</v>
      </c>
      <c r="K803" s="134">
        <v>426.28913043478258</v>
      </c>
      <c r="L803" s="134">
        <v>490.59130434782611</v>
      </c>
      <c r="M803" s="134">
        <v>661.78674698795203</v>
      </c>
      <c r="N803" s="135">
        <v>606.80869565217404</v>
      </c>
      <c r="O803" s="89"/>
      <c r="P803" s="14"/>
      <c r="Q803" s="14"/>
      <c r="R803" s="16"/>
      <c r="S803" s="16"/>
      <c r="T803" s="16"/>
      <c r="U803" s="16"/>
    </row>
    <row r="804" spans="1:21" ht="18.75" customHeight="1" x14ac:dyDescent="0.25">
      <c r="A804" s="14"/>
      <c r="B804" s="15"/>
      <c r="C804" s="122"/>
      <c r="D804" s="210"/>
      <c r="E804" s="210"/>
      <c r="F804" s="210"/>
      <c r="G804" s="210"/>
      <c r="H804" s="210"/>
      <c r="I804" s="210"/>
      <c r="J804" s="210"/>
      <c r="K804" s="210"/>
      <c r="L804" s="210"/>
      <c r="M804" s="210"/>
      <c r="N804" s="115"/>
      <c r="O804" s="89"/>
      <c r="P804" s="14"/>
      <c r="Q804" s="14"/>
      <c r="R804" s="16"/>
      <c r="S804" s="16"/>
      <c r="T804" s="16"/>
      <c r="U804" s="16"/>
    </row>
    <row r="805" spans="1:21" ht="18.75" customHeight="1" x14ac:dyDescent="0.25">
      <c r="A805" s="14"/>
      <c r="B805" s="15"/>
      <c r="C805" s="2199" t="s">
        <v>2047</v>
      </c>
      <c r="D805" s="2200" t="s">
        <v>1170</v>
      </c>
      <c r="E805" s="2200" t="s">
        <v>2048</v>
      </c>
      <c r="F805" s="2200" t="s">
        <v>569</v>
      </c>
      <c r="G805" s="2200"/>
      <c r="H805" s="2200"/>
      <c r="I805" s="2200"/>
      <c r="J805" s="2200"/>
      <c r="K805" s="2200"/>
      <c r="L805" s="2200"/>
      <c r="M805" s="2200"/>
      <c r="N805" s="2201"/>
      <c r="O805" s="89"/>
      <c r="P805" s="14"/>
      <c r="Q805" s="14"/>
      <c r="R805" s="16"/>
      <c r="S805" s="16"/>
      <c r="T805" s="16"/>
      <c r="U805" s="16"/>
    </row>
    <row r="806" spans="1:21" ht="18.75" customHeight="1" x14ac:dyDescent="0.25">
      <c r="A806" s="14"/>
      <c r="B806" s="15"/>
      <c r="C806" s="2202" t="s">
        <v>1088</v>
      </c>
      <c r="D806" s="210">
        <v>15</v>
      </c>
      <c r="E806" s="104" t="s">
        <v>679</v>
      </c>
      <c r="F806" s="210">
        <v>80.791666666666671</v>
      </c>
      <c r="G806" s="210">
        <v>179.59722222222226</v>
      </c>
      <c r="H806" s="210">
        <v>289.59999999999997</v>
      </c>
      <c r="I806" s="210">
        <v>340.85000000000008</v>
      </c>
      <c r="J806" s="210">
        <v>396.26666666666659</v>
      </c>
      <c r="K806" s="210">
        <v>449.14722222222224</v>
      </c>
      <c r="L806" s="210">
        <v>521.99166666666679</v>
      </c>
      <c r="M806" s="210">
        <v>521.99166666666679</v>
      </c>
      <c r="N806" s="115">
        <v>396.26666666666659</v>
      </c>
      <c r="O806" s="91"/>
      <c r="P806" s="14"/>
      <c r="Q806" s="14"/>
      <c r="R806" s="16"/>
      <c r="S806" s="16"/>
      <c r="T806" s="16"/>
      <c r="U806" s="16"/>
    </row>
    <row r="807" spans="1:21" ht="18.75" customHeight="1" x14ac:dyDescent="0.2">
      <c r="A807" s="14"/>
      <c r="B807" s="15"/>
      <c r="C807" s="119" t="s">
        <v>568</v>
      </c>
      <c r="D807" s="120" t="s">
        <v>623</v>
      </c>
      <c r="E807" s="110" t="s">
        <v>608</v>
      </c>
      <c r="F807" s="110" t="s">
        <v>957</v>
      </c>
      <c r="G807" s="110" t="s">
        <v>572</v>
      </c>
      <c r="H807" s="110" t="s">
        <v>530</v>
      </c>
      <c r="I807" s="110" t="s">
        <v>573</v>
      </c>
      <c r="J807" s="110" t="s">
        <v>574</v>
      </c>
      <c r="K807" s="110" t="s">
        <v>575</v>
      </c>
      <c r="L807" s="110" t="s">
        <v>576</v>
      </c>
      <c r="M807" s="110" t="s">
        <v>577</v>
      </c>
      <c r="N807" s="2203" t="s">
        <v>609</v>
      </c>
      <c r="O807" s="17"/>
      <c r="P807" s="14"/>
      <c r="Q807" s="14"/>
      <c r="R807" s="16"/>
      <c r="S807" s="16"/>
      <c r="T807" s="16"/>
      <c r="U807" s="16"/>
    </row>
    <row r="808" spans="1:21" ht="18.75" customHeight="1" x14ac:dyDescent="0.25">
      <c r="A808" s="14"/>
      <c r="B808" s="15"/>
      <c r="C808" s="119" t="s">
        <v>582</v>
      </c>
      <c r="D808" s="120" t="s">
        <v>566</v>
      </c>
      <c r="E808" s="121">
        <v>99353.74085951547</v>
      </c>
      <c r="F808" s="129">
        <v>7666.9619657290532</v>
      </c>
      <c r="G808" s="129">
        <v>21830.439909491881</v>
      </c>
      <c r="H808" s="129">
        <v>19540.15929142469</v>
      </c>
      <c r="I808" s="129">
        <v>8772.9219436808253</v>
      </c>
      <c r="J808" s="129">
        <v>8545.9494764500778</v>
      </c>
      <c r="K808" s="129">
        <v>8349.54556548451</v>
      </c>
      <c r="L808" s="129">
        <v>7257.4724945814214</v>
      </c>
      <c r="M808" s="129">
        <v>17390.290212673011</v>
      </c>
      <c r="N808" s="130">
        <v>33651.796942500405</v>
      </c>
      <c r="O808" s="85"/>
      <c r="P808" s="14"/>
      <c r="Q808" s="14"/>
      <c r="R808" s="16"/>
      <c r="S808" s="16"/>
      <c r="T808" s="16"/>
      <c r="U808" s="16"/>
    </row>
    <row r="809" spans="1:21" ht="18.75" customHeight="1" x14ac:dyDescent="0.2">
      <c r="A809" s="14"/>
      <c r="B809" s="15"/>
      <c r="C809" s="119" t="s">
        <v>582</v>
      </c>
      <c r="D809" s="120" t="s">
        <v>628</v>
      </c>
      <c r="E809" s="145">
        <v>15797.244796662961</v>
      </c>
      <c r="F809" s="129">
        <v>1219.0469525509195</v>
      </c>
      <c r="G809" s="129">
        <v>3471.0399456092091</v>
      </c>
      <c r="H809" s="129">
        <v>3106.8853273365257</v>
      </c>
      <c r="I809" s="129">
        <v>1394.8945890452512</v>
      </c>
      <c r="J809" s="129">
        <v>1358.8059667555624</v>
      </c>
      <c r="K809" s="129">
        <v>1327.5777449120371</v>
      </c>
      <c r="L809" s="129">
        <v>1153.938126638446</v>
      </c>
      <c r="M809" s="129">
        <v>2765.0561438150089</v>
      </c>
      <c r="N809" s="130">
        <v>5350.635713857564</v>
      </c>
      <c r="O809" s="86"/>
      <c r="P809" s="14"/>
      <c r="Q809" s="14"/>
      <c r="R809" s="16"/>
      <c r="S809" s="16"/>
      <c r="T809" s="16"/>
      <c r="U809" s="16"/>
    </row>
    <row r="810" spans="1:21" ht="32.25" customHeight="1" x14ac:dyDescent="0.25">
      <c r="A810" s="14"/>
      <c r="B810" s="15"/>
      <c r="C810" s="119" t="s">
        <v>620</v>
      </c>
      <c r="D810" s="120" t="s">
        <v>622</v>
      </c>
      <c r="E810" s="129">
        <v>13504063.228517689</v>
      </c>
      <c r="F810" s="129">
        <v>810243.79371106136</v>
      </c>
      <c r="G810" s="129">
        <v>2565772.0134183611</v>
      </c>
      <c r="H810" s="129">
        <v>2565772.0134183611</v>
      </c>
      <c r="I810" s="129">
        <v>1215365.6905665924</v>
      </c>
      <c r="J810" s="129">
        <v>1215365.6905665917</v>
      </c>
      <c r="K810" s="129">
        <v>1215365.6905665917</v>
      </c>
      <c r="L810" s="129">
        <v>1080325.0582814161</v>
      </c>
      <c r="M810" s="129">
        <v>2835853.2779887142</v>
      </c>
      <c r="N810" s="130">
        <v>5131544.0268367222</v>
      </c>
      <c r="O810" s="87"/>
      <c r="P810" s="14"/>
      <c r="Q810" s="14"/>
      <c r="R810" s="16"/>
      <c r="S810" s="16"/>
      <c r="T810" s="16"/>
      <c r="U810" s="16"/>
    </row>
    <row r="811" spans="1:21" ht="18.75" customHeight="1" x14ac:dyDescent="0.25">
      <c r="A811" s="14"/>
      <c r="B811" s="15"/>
      <c r="C811" s="122" t="s">
        <v>776</v>
      </c>
      <c r="D811" s="120" t="s">
        <v>579</v>
      </c>
      <c r="E811" s="125">
        <v>1.3479870919231907</v>
      </c>
      <c r="F811" s="125">
        <v>0</v>
      </c>
      <c r="G811" s="125">
        <v>0.1354065293604495</v>
      </c>
      <c r="H811" s="125">
        <v>0.57129308924595446</v>
      </c>
      <c r="I811" s="125">
        <v>0.91819407534767228</v>
      </c>
      <c r="J811" s="125">
        <v>1.2040528174547958</v>
      </c>
      <c r="K811" s="125">
        <v>1.5895528113178257</v>
      </c>
      <c r="L811" s="125">
        <v>2.0914754522614878</v>
      </c>
      <c r="M811" s="125">
        <v>3.3920674039820402</v>
      </c>
      <c r="N811" s="131">
        <v>2.6913472211467151</v>
      </c>
      <c r="O811" s="88"/>
      <c r="P811" s="14"/>
      <c r="Q811" s="14"/>
      <c r="R811" s="16"/>
      <c r="S811" s="16"/>
      <c r="T811" s="16"/>
      <c r="U811" s="16"/>
    </row>
    <row r="812" spans="1:21" ht="18.75" customHeight="1" x14ac:dyDescent="0.25">
      <c r="A812" s="14"/>
      <c r="B812" s="15"/>
      <c r="C812" s="122" t="s">
        <v>777</v>
      </c>
      <c r="D812" s="210" t="s">
        <v>778</v>
      </c>
      <c r="E812" s="125">
        <v>793.57028383294312</v>
      </c>
      <c r="F812" s="132">
        <v>0</v>
      </c>
      <c r="G812" s="132">
        <v>0</v>
      </c>
      <c r="H812" s="132">
        <v>10.755125739157265</v>
      </c>
      <c r="I812" s="132">
        <v>177.61469182384951</v>
      </c>
      <c r="J812" s="132">
        <v>398.43087726389308</v>
      </c>
      <c r="K812" s="132">
        <v>760.53026395028326</v>
      </c>
      <c r="L812" s="132">
        <v>1285.2206804750115</v>
      </c>
      <c r="M812" s="125">
        <v>2706.7491930051424</v>
      </c>
      <c r="N812" s="133">
        <v>1946.5334440121217</v>
      </c>
      <c r="O812" s="88"/>
      <c r="P812" s="14"/>
      <c r="Q812" s="14"/>
      <c r="R812" s="16"/>
      <c r="S812" s="16"/>
      <c r="T812" s="16"/>
      <c r="U812" s="16"/>
    </row>
    <row r="813" spans="1:21" ht="18.75" customHeight="1" x14ac:dyDescent="0.25">
      <c r="A813" s="14"/>
      <c r="B813" s="15"/>
      <c r="C813" s="119" t="s">
        <v>779</v>
      </c>
      <c r="D813" s="120" t="s">
        <v>970</v>
      </c>
      <c r="E813" s="132">
        <v>34.941304347826097</v>
      </c>
      <c r="F813" s="125">
        <v>81.183191660186083</v>
      </c>
      <c r="G813" s="125">
        <v>59.736152264350942</v>
      </c>
      <c r="H813" s="125">
        <v>39.673136822579956</v>
      </c>
      <c r="I813" s="125">
        <v>30.741841249766864</v>
      </c>
      <c r="J813" s="125">
        <v>26.544330861219208</v>
      </c>
      <c r="K813" s="125">
        <v>22.91213940342773</v>
      </c>
      <c r="L813" s="125">
        <v>19.492898533325274</v>
      </c>
      <c r="M813" s="125">
        <v>6.3315517135490751</v>
      </c>
      <c r="N813" s="131">
        <v>15.896025704156685</v>
      </c>
      <c r="O813" s="88"/>
      <c r="P813" s="14"/>
      <c r="Q813" s="14"/>
      <c r="R813" s="16"/>
      <c r="S813" s="16"/>
      <c r="T813" s="16"/>
      <c r="U813" s="16"/>
    </row>
    <row r="814" spans="1:21" ht="18.75" customHeight="1" x14ac:dyDescent="0.25">
      <c r="A814" s="14"/>
      <c r="B814" s="15"/>
      <c r="C814" s="119" t="s">
        <v>580</v>
      </c>
      <c r="D814" s="120" t="s">
        <v>581</v>
      </c>
      <c r="E814" s="125">
        <v>849.31215273696159</v>
      </c>
      <c r="F814" s="125">
        <v>664.65347541830431</v>
      </c>
      <c r="G814" s="125">
        <v>739.1940322277211</v>
      </c>
      <c r="H814" s="125">
        <v>825.83415320897893</v>
      </c>
      <c r="I814" s="125">
        <v>871.29572378545174</v>
      </c>
      <c r="J814" s="125">
        <v>894.43652758497615</v>
      </c>
      <c r="K814" s="125">
        <v>915.47609563695994</v>
      </c>
      <c r="L814" s="125">
        <v>936.2070923408404</v>
      </c>
      <c r="M814" s="125">
        <v>1025.604230254806</v>
      </c>
      <c r="N814" s="131">
        <v>959.05314831031785</v>
      </c>
      <c r="O814" s="89"/>
      <c r="P814" s="14"/>
      <c r="Q814" s="14"/>
      <c r="R814" s="16"/>
      <c r="S814" s="16"/>
      <c r="T814" s="16"/>
      <c r="U814" s="16"/>
    </row>
    <row r="815" spans="1:21" ht="18.75" customHeight="1" x14ac:dyDescent="0.25">
      <c r="A815" s="14"/>
      <c r="B815" s="15"/>
      <c r="C815" s="119" t="s">
        <v>541</v>
      </c>
      <c r="D815" s="120" t="s">
        <v>579</v>
      </c>
      <c r="E815" s="125">
        <v>12.82090896218428</v>
      </c>
      <c r="F815" s="125">
        <v>15.964820082292466</v>
      </c>
      <c r="G815" s="125">
        <v>14.513379788601183</v>
      </c>
      <c r="H815" s="125">
        <v>13.131069836803388</v>
      </c>
      <c r="I815" s="125">
        <v>13.090831098181102</v>
      </c>
      <c r="J815" s="125">
        <v>12.607605574094862</v>
      </c>
      <c r="K815" s="125">
        <v>12.189309372026248</v>
      </c>
      <c r="L815" s="125">
        <v>11.781331154209838</v>
      </c>
      <c r="M815" s="125">
        <v>10.753193771885128</v>
      </c>
      <c r="N815" s="131">
        <v>11.309776389250068</v>
      </c>
      <c r="O815" s="90"/>
      <c r="P815" s="14"/>
      <c r="Q815" s="14"/>
      <c r="R815" s="16"/>
      <c r="S815" s="16"/>
      <c r="T815" s="16"/>
      <c r="U815" s="16"/>
    </row>
    <row r="816" spans="1:21" ht="18.75" customHeight="1" x14ac:dyDescent="0.25">
      <c r="A816" s="14"/>
      <c r="B816" s="15"/>
      <c r="C816" s="119" t="s">
        <v>544</v>
      </c>
      <c r="D816" s="120" t="s">
        <v>579</v>
      </c>
      <c r="E816" s="125">
        <v>3.7965909090909089</v>
      </c>
      <c r="F816" s="128"/>
      <c r="G816" s="128"/>
      <c r="H816" s="128"/>
      <c r="I816" s="128"/>
      <c r="J816" s="128"/>
      <c r="K816" s="128"/>
      <c r="L816" s="128"/>
      <c r="M816" s="125">
        <v>18.060925324675328</v>
      </c>
      <c r="N816" s="131">
        <v>9.9910287081339693</v>
      </c>
      <c r="O816" s="89"/>
      <c r="P816" s="14"/>
      <c r="Q816" s="14"/>
      <c r="R816" s="16"/>
      <c r="S816" s="16"/>
      <c r="T816" s="16"/>
      <c r="U816" s="16"/>
    </row>
    <row r="817" spans="1:21" ht="18.75" customHeight="1" x14ac:dyDescent="0.25">
      <c r="A817" s="14"/>
      <c r="B817" s="15"/>
      <c r="C817" s="119" t="s">
        <v>780</v>
      </c>
      <c r="D817" s="120" t="s">
        <v>783</v>
      </c>
      <c r="E817" s="125">
        <v>12.045325409675225</v>
      </c>
      <c r="F817" s="125">
        <v>12.615525444661982</v>
      </c>
      <c r="G817" s="125">
        <v>12.147251942434989</v>
      </c>
      <c r="H817" s="125">
        <v>11.766193315818665</v>
      </c>
      <c r="I817" s="125">
        <v>11.703346853938825</v>
      </c>
      <c r="J817" s="125">
        <v>11.733830864221796</v>
      </c>
      <c r="K817" s="125">
        <v>11.795578355240133</v>
      </c>
      <c r="L817" s="125">
        <v>11.846112997472467</v>
      </c>
      <c r="M817" s="125">
        <v>11.50846679039082</v>
      </c>
      <c r="N817" s="131">
        <v>11.83647321902138</v>
      </c>
      <c r="O817" s="89"/>
      <c r="P817" s="14"/>
      <c r="Q817" s="14"/>
      <c r="R817" s="16"/>
      <c r="S817" s="16"/>
      <c r="T817" s="16"/>
      <c r="U817" s="16"/>
    </row>
    <row r="818" spans="1:21" ht="18.75" customHeight="1" x14ac:dyDescent="0.25">
      <c r="A818" s="14"/>
      <c r="B818" s="15"/>
      <c r="C818" s="122" t="s">
        <v>781</v>
      </c>
      <c r="D818" s="120" t="s">
        <v>782</v>
      </c>
      <c r="E818" s="125">
        <v>323.43055555555554</v>
      </c>
      <c r="F818" s="134">
        <v>55.333333333333329</v>
      </c>
      <c r="G818" s="134">
        <v>130.23611111111114</v>
      </c>
      <c r="H818" s="134">
        <v>238.05833333333334</v>
      </c>
      <c r="I818" s="134">
        <v>317.64722222222218</v>
      </c>
      <c r="J818" s="134">
        <v>370.98888888888894</v>
      </c>
      <c r="K818" s="134">
        <v>428.48333333333335</v>
      </c>
      <c r="L818" s="134">
        <v>486.92222222222222</v>
      </c>
      <c r="M818" s="134">
        <v>643.07741935483864</v>
      </c>
      <c r="N818" s="135">
        <v>541.94166666666672</v>
      </c>
      <c r="O818" s="89"/>
      <c r="P818" s="14"/>
      <c r="Q818" s="14"/>
      <c r="R818" s="16"/>
      <c r="S818" s="16"/>
      <c r="T818" s="16"/>
      <c r="U818" s="16"/>
    </row>
    <row r="819" spans="1:21" ht="18.75" customHeight="1" x14ac:dyDescent="0.25">
      <c r="A819" s="14"/>
      <c r="B819" s="15"/>
      <c r="C819" s="122"/>
      <c r="D819" s="210"/>
      <c r="E819" s="210"/>
      <c r="F819" s="210"/>
      <c r="G819" s="210"/>
      <c r="H819" s="210"/>
      <c r="I819" s="210"/>
      <c r="J819" s="210"/>
      <c r="K819" s="210"/>
      <c r="L819" s="210"/>
      <c r="M819" s="210"/>
      <c r="N819" s="115"/>
      <c r="O819" s="89"/>
      <c r="P819" s="14"/>
      <c r="Q819" s="14"/>
      <c r="R819" s="16"/>
      <c r="S819" s="16"/>
      <c r="T819" s="16"/>
      <c r="U819" s="16"/>
    </row>
    <row r="820" spans="1:21" ht="18.75" customHeight="1" x14ac:dyDescent="0.25">
      <c r="A820" s="14"/>
      <c r="B820" s="15"/>
      <c r="C820" s="2199" t="s">
        <v>2049</v>
      </c>
      <c r="D820" s="2200" t="s">
        <v>1478</v>
      </c>
      <c r="E820" s="2200" t="s">
        <v>2050</v>
      </c>
      <c r="F820" s="2200" t="s">
        <v>569</v>
      </c>
      <c r="G820" s="2200"/>
      <c r="H820" s="2200"/>
      <c r="I820" s="2200"/>
      <c r="J820" s="2200"/>
      <c r="K820" s="2200"/>
      <c r="L820" s="2200"/>
      <c r="M820" s="2200"/>
      <c r="N820" s="2201"/>
      <c r="O820" s="89"/>
      <c r="P820" s="14"/>
      <c r="Q820" s="14"/>
      <c r="R820" s="16"/>
      <c r="S820" s="16"/>
      <c r="T820" s="16"/>
      <c r="U820" s="16"/>
    </row>
    <row r="821" spans="1:21" ht="18.75" customHeight="1" x14ac:dyDescent="0.25">
      <c r="A821" s="14"/>
      <c r="B821" s="15"/>
      <c r="C821" s="2202" t="s">
        <v>1088</v>
      </c>
      <c r="D821" s="210">
        <v>5</v>
      </c>
      <c r="E821" s="104" t="s">
        <v>679</v>
      </c>
      <c r="F821" s="210">
        <v>91.208333333333343</v>
      </c>
      <c r="G821" s="210">
        <v>177.4222222222223</v>
      </c>
      <c r="H821" s="210">
        <v>290.64166666666665</v>
      </c>
      <c r="I821" s="210">
        <v>342.6805555555556</v>
      </c>
      <c r="J821" s="210">
        <v>399.61666666666667</v>
      </c>
      <c r="K821" s="210">
        <v>455.01666666666671</v>
      </c>
      <c r="L821" s="210">
        <v>526.4805555555555</v>
      </c>
      <c r="M821" s="210">
        <v>526.4805555555555</v>
      </c>
      <c r="N821" s="115">
        <v>399.61666666666667</v>
      </c>
      <c r="O821" s="91"/>
      <c r="P821" s="14"/>
      <c r="Q821" s="14"/>
      <c r="R821" s="16"/>
      <c r="S821" s="16"/>
      <c r="T821" s="16"/>
      <c r="U821" s="16"/>
    </row>
    <row r="822" spans="1:21" ht="18.75" customHeight="1" x14ac:dyDescent="0.2">
      <c r="A822" s="14"/>
      <c r="B822" s="15"/>
      <c r="C822" s="119" t="s">
        <v>568</v>
      </c>
      <c r="D822" s="120" t="s">
        <v>623</v>
      </c>
      <c r="E822" s="110" t="s">
        <v>608</v>
      </c>
      <c r="F822" s="110" t="s">
        <v>518</v>
      </c>
      <c r="G822" s="110" t="s">
        <v>572</v>
      </c>
      <c r="H822" s="110" t="s">
        <v>530</v>
      </c>
      <c r="I822" s="110" t="s">
        <v>573</v>
      </c>
      <c r="J822" s="110" t="s">
        <v>574</v>
      </c>
      <c r="K822" s="110" t="s">
        <v>575</v>
      </c>
      <c r="L822" s="110" t="s">
        <v>576</v>
      </c>
      <c r="M822" s="110" t="s">
        <v>577</v>
      </c>
      <c r="N822" s="2203" t="s">
        <v>609</v>
      </c>
      <c r="O822" s="17"/>
      <c r="P822" s="14"/>
      <c r="Q822" s="14"/>
      <c r="R822" s="16"/>
      <c r="S822" s="16"/>
      <c r="T822" s="16"/>
      <c r="U822" s="16"/>
    </row>
    <row r="823" spans="1:21" ht="18.75" customHeight="1" x14ac:dyDescent="0.25">
      <c r="A823" s="14"/>
      <c r="B823" s="15"/>
      <c r="C823" s="119" t="s">
        <v>582</v>
      </c>
      <c r="D823" s="120" t="s">
        <v>566</v>
      </c>
      <c r="E823" s="121">
        <v>99990.298097871128</v>
      </c>
      <c r="F823" s="129">
        <v>3733.2137519606467</v>
      </c>
      <c r="G823" s="129">
        <v>7963.789395840884</v>
      </c>
      <c r="H823" s="129">
        <v>27112.595724085855</v>
      </c>
      <c r="I823" s="129">
        <v>18870.538711872065</v>
      </c>
      <c r="J823" s="129">
        <v>18283.826419893398</v>
      </c>
      <c r="K823" s="129">
        <v>14034.666166450164</v>
      </c>
      <c r="L823" s="129">
        <v>8213.9375553754635</v>
      </c>
      <c r="M823" s="129">
        <v>1777.7303723926395</v>
      </c>
      <c r="N823" s="130">
        <v>24109.601948317548</v>
      </c>
      <c r="O823" s="85"/>
      <c r="P823" s="14"/>
      <c r="Q823" s="14"/>
      <c r="R823" s="16"/>
      <c r="S823" s="16"/>
      <c r="T823" s="16"/>
      <c r="U823" s="16"/>
    </row>
    <row r="824" spans="1:21" ht="18.75" customHeight="1" x14ac:dyDescent="0.2">
      <c r="A824" s="14"/>
      <c r="B824" s="15"/>
      <c r="C824" s="119" t="s">
        <v>582</v>
      </c>
      <c r="D824" s="120" t="s">
        <v>628</v>
      </c>
      <c r="E824" s="145">
        <v>15898.457397561509</v>
      </c>
      <c r="F824" s="129">
        <v>593.58098656174286</v>
      </c>
      <c r="G824" s="129">
        <v>1266.2425139387005</v>
      </c>
      <c r="H824" s="129">
        <v>4310.9027201296512</v>
      </c>
      <c r="I824" s="129">
        <v>3000.4156551876581</v>
      </c>
      <c r="J824" s="129">
        <v>2907.1284007630502</v>
      </c>
      <c r="K824" s="129">
        <v>2231.5119204655762</v>
      </c>
      <c r="L824" s="129">
        <v>1306.0160713046987</v>
      </c>
      <c r="M824" s="129">
        <v>282.65912921042968</v>
      </c>
      <c r="N824" s="130">
        <v>3833.42670978249</v>
      </c>
      <c r="O824" s="86"/>
      <c r="P824" s="14"/>
      <c r="Q824" s="14"/>
      <c r="R824" s="16"/>
      <c r="S824" s="16"/>
      <c r="T824" s="16"/>
      <c r="U824" s="16"/>
    </row>
    <row r="825" spans="1:21" ht="28.5" customHeight="1" x14ac:dyDescent="0.25">
      <c r="A825" s="14"/>
      <c r="B825" s="15"/>
      <c r="C825" s="119" t="s">
        <v>620</v>
      </c>
      <c r="D825" s="120" t="s">
        <v>622</v>
      </c>
      <c r="E825" s="129">
        <v>13694379.317645678</v>
      </c>
      <c r="F825" s="129">
        <v>410831.37952937034</v>
      </c>
      <c r="G825" s="129">
        <v>958606.55223519763</v>
      </c>
      <c r="H825" s="129">
        <v>3560538.6225878764</v>
      </c>
      <c r="I825" s="129">
        <v>2601932.0703526796</v>
      </c>
      <c r="J825" s="129">
        <v>2601932.0703526782</v>
      </c>
      <c r="K825" s="129">
        <v>2054156.8976468521</v>
      </c>
      <c r="L825" s="129">
        <v>1232494.1385881107</v>
      </c>
      <c r="M825" s="129">
        <v>273887.58635291382</v>
      </c>
      <c r="N825" s="130">
        <v>3560538.6225878764</v>
      </c>
      <c r="O825" s="87"/>
      <c r="P825" s="14"/>
      <c r="Q825" s="14"/>
      <c r="R825" s="16"/>
      <c r="S825" s="16"/>
      <c r="T825" s="16"/>
      <c r="U825" s="16"/>
    </row>
    <row r="826" spans="1:21" ht="18.75" customHeight="1" x14ac:dyDescent="0.25">
      <c r="A826" s="14"/>
      <c r="B826" s="15"/>
      <c r="C826" s="122" t="s">
        <v>776</v>
      </c>
      <c r="D826" s="120" t="s">
        <v>579</v>
      </c>
      <c r="E826" s="125">
        <v>9.3676683779906705E-2</v>
      </c>
      <c r="F826" s="125">
        <v>5.9495029388619024E-2</v>
      </c>
      <c r="G826" s="125">
        <v>3.5657307562410825E-2</v>
      </c>
      <c r="H826" s="125">
        <v>2.2787974640493258E-2</v>
      </c>
      <c r="I826" s="125">
        <v>4.6863320478910842E-2</v>
      </c>
      <c r="J826" s="125">
        <v>9.4507239547894584E-2</v>
      </c>
      <c r="K826" s="125">
        <v>0.17822551160812522</v>
      </c>
      <c r="L826" s="125">
        <v>0.3099852699459022</v>
      </c>
      <c r="M826" s="125">
        <v>9.8902026045405739E-2</v>
      </c>
      <c r="N826" s="131">
        <v>0.21773285214330035</v>
      </c>
      <c r="O826" s="88"/>
      <c r="P826" s="14"/>
      <c r="Q826" s="14"/>
      <c r="R826" s="16"/>
      <c r="S826" s="16"/>
      <c r="T826" s="16"/>
      <c r="U826" s="16"/>
    </row>
    <row r="827" spans="1:21" ht="18.75" customHeight="1" x14ac:dyDescent="0.25">
      <c r="A827" s="14"/>
      <c r="B827" s="15"/>
      <c r="C827" s="122" t="s">
        <v>777</v>
      </c>
      <c r="D827" s="210" t="s">
        <v>778</v>
      </c>
      <c r="E827" s="125">
        <v>349.73854400589823</v>
      </c>
      <c r="F827" s="132">
        <v>0</v>
      </c>
      <c r="G827" s="132">
        <v>0</v>
      </c>
      <c r="H827" s="132">
        <v>40.44271796611514</v>
      </c>
      <c r="I827" s="132">
        <v>191.35545488520933</v>
      </c>
      <c r="J827" s="132">
        <v>401.35896692138635</v>
      </c>
      <c r="K827" s="132">
        <v>726.17764183413544</v>
      </c>
      <c r="L827" s="132">
        <v>1200.6784118397368</v>
      </c>
      <c r="M827" s="125">
        <v>480.99969253792443</v>
      </c>
      <c r="N827" s="133">
        <v>871.56806612098114</v>
      </c>
      <c r="O827" s="88"/>
      <c r="P827" s="14"/>
      <c r="Q827" s="14"/>
      <c r="R827" s="16"/>
      <c r="S827" s="16"/>
      <c r="T827" s="16"/>
      <c r="U827" s="14"/>
    </row>
    <row r="828" spans="1:21" ht="18.75" customHeight="1" x14ac:dyDescent="0.25">
      <c r="A828" s="14"/>
      <c r="B828" s="15"/>
      <c r="C828" s="119" t="s">
        <v>779</v>
      </c>
      <c r="D828" s="120" t="s">
        <v>970</v>
      </c>
      <c r="E828" s="132">
        <v>32.628205128205124</v>
      </c>
      <c r="F828" s="125">
        <v>72.74189082307781</v>
      </c>
      <c r="G828" s="125">
        <v>55.22606565119964</v>
      </c>
      <c r="H828" s="125">
        <v>39.6516027908024</v>
      </c>
      <c r="I828" s="125">
        <v>31.509876241151233</v>
      </c>
      <c r="J828" s="125">
        <v>26.441663851197937</v>
      </c>
      <c r="K828" s="125">
        <v>22.065637831534179</v>
      </c>
      <c r="L828" s="125">
        <v>18.293203110992486</v>
      </c>
      <c r="M828" s="125">
        <v>14.387847611349722</v>
      </c>
      <c r="N828" s="131">
        <v>20.694834389724491</v>
      </c>
      <c r="O828" s="88"/>
      <c r="P828" s="14"/>
      <c r="Q828" s="14"/>
      <c r="R828" s="14"/>
      <c r="S828" s="14"/>
      <c r="T828" s="14"/>
      <c r="U828" s="14"/>
    </row>
    <row r="829" spans="1:21" ht="18.75" customHeight="1" x14ac:dyDescent="0.25">
      <c r="A829" s="14"/>
      <c r="B829" s="15"/>
      <c r="C829" s="119" t="s">
        <v>580</v>
      </c>
      <c r="D829" s="120" t="s">
        <v>581</v>
      </c>
      <c r="E829" s="125">
        <v>861.28171809092316</v>
      </c>
      <c r="F829" s="125">
        <v>692.12354982774821</v>
      </c>
      <c r="G829" s="125">
        <v>757.04814968928156</v>
      </c>
      <c r="H829" s="125">
        <v>825.9380583936703</v>
      </c>
      <c r="I829" s="125">
        <v>867.19053936876765</v>
      </c>
      <c r="J829" s="125">
        <v>895.01793923850585</v>
      </c>
      <c r="K829" s="125">
        <v>920.52248469202834</v>
      </c>
      <c r="L829" s="125">
        <v>943.70518530974869</v>
      </c>
      <c r="M829" s="125">
        <v>968.96777089062005</v>
      </c>
      <c r="N829" s="131">
        <v>928.81353737682457</v>
      </c>
      <c r="O829" s="89"/>
      <c r="P829" s="14"/>
      <c r="Q829" s="14"/>
      <c r="R829" s="14"/>
      <c r="S829" s="14"/>
      <c r="T829" s="14"/>
      <c r="U829" s="14"/>
    </row>
    <row r="830" spans="1:21" ht="18.75" customHeight="1" x14ac:dyDescent="0.25">
      <c r="A830" s="14"/>
      <c r="B830" s="15"/>
      <c r="C830" s="119" t="s">
        <v>541</v>
      </c>
      <c r="D830" s="120" t="s">
        <v>579</v>
      </c>
      <c r="E830" s="125">
        <v>12.865161025065854</v>
      </c>
      <c r="F830" s="125">
        <v>15.039198924339772</v>
      </c>
      <c r="G830" s="125">
        <v>14.166125538234589</v>
      </c>
      <c r="H830" s="125">
        <v>13.204136023767745</v>
      </c>
      <c r="I830" s="125">
        <v>13.199439438449225</v>
      </c>
      <c r="J830" s="125">
        <v>12.593114970242414</v>
      </c>
      <c r="K830" s="125">
        <v>12.051784049983493</v>
      </c>
      <c r="L830" s="125">
        <v>11.576141650056904</v>
      </c>
      <c r="M830" s="125">
        <v>11.953760491278441</v>
      </c>
      <c r="N830" s="131">
        <v>11.879598330108514</v>
      </c>
      <c r="O830" s="90"/>
      <c r="P830" s="14"/>
      <c r="Q830" s="14"/>
      <c r="R830" s="14"/>
      <c r="S830" s="14"/>
      <c r="T830" s="14"/>
      <c r="U830" s="14"/>
    </row>
    <row r="831" spans="1:21" ht="18.75" customHeight="1" x14ac:dyDescent="0.25">
      <c r="A831" s="14"/>
      <c r="B831" s="15"/>
      <c r="C831" s="119" t="s">
        <v>544</v>
      </c>
      <c r="D831" s="120" t="s">
        <v>579</v>
      </c>
      <c r="E831" s="125">
        <v>6.0416666666666695E-2</v>
      </c>
      <c r="F831" s="128"/>
      <c r="G831" s="128"/>
      <c r="H831" s="128"/>
      <c r="I831" s="128"/>
      <c r="J831" s="128"/>
      <c r="K831" s="128"/>
      <c r="L831" s="128"/>
      <c r="M831" s="125">
        <v>3.0178124999999989</v>
      </c>
      <c r="N831" s="131">
        <v>0.23237179487179499</v>
      </c>
      <c r="O831" s="89"/>
      <c r="P831" s="14"/>
      <c r="Q831" s="14"/>
      <c r="R831" s="14"/>
      <c r="S831" s="14"/>
      <c r="T831" s="14"/>
      <c r="U831" s="14"/>
    </row>
    <row r="832" spans="1:21" ht="18.75" customHeight="1" x14ac:dyDescent="0.25">
      <c r="A832" s="14"/>
      <c r="B832" s="15"/>
      <c r="C832" s="119" t="s">
        <v>780</v>
      </c>
      <c r="D832" s="120" t="s">
        <v>783</v>
      </c>
      <c r="E832" s="125">
        <v>11.913107526291276</v>
      </c>
      <c r="F832" s="125">
        <v>12.213021122329662</v>
      </c>
      <c r="G832" s="125">
        <v>12.024890828840352</v>
      </c>
      <c r="H832" s="125">
        <v>11.840698668487796</v>
      </c>
      <c r="I832" s="125">
        <v>11.760849724803476</v>
      </c>
      <c r="J832" s="125">
        <v>11.728247683282147</v>
      </c>
      <c r="K832" s="125">
        <v>11.719167582900544</v>
      </c>
      <c r="L832" s="125">
        <v>11.73396786895159</v>
      </c>
      <c r="M832" s="125">
        <v>11.784725036579207</v>
      </c>
      <c r="N832" s="131">
        <v>11.7215817088351</v>
      </c>
      <c r="O832" s="89"/>
      <c r="P832" s="14"/>
      <c r="Q832" s="14"/>
      <c r="R832" s="14"/>
      <c r="S832" s="14"/>
      <c r="T832" s="14"/>
      <c r="U832" s="14"/>
    </row>
    <row r="833" spans="1:21" ht="18.75" customHeight="1" x14ac:dyDescent="0.25">
      <c r="A833" s="14"/>
      <c r="B833" s="15"/>
      <c r="C833" s="122" t="s">
        <v>781</v>
      </c>
      <c r="D833" s="120" t="s">
        <v>782</v>
      </c>
      <c r="E833" s="125">
        <v>328.74722222222215</v>
      </c>
      <c r="F833" s="134">
        <v>63.386111111111127</v>
      </c>
      <c r="G833" s="134">
        <v>147.21388888888885</v>
      </c>
      <c r="H833" s="134">
        <v>248.02777777777783</v>
      </c>
      <c r="I833" s="134">
        <v>317.96388888888902</v>
      </c>
      <c r="J833" s="134">
        <v>371.32499999999993</v>
      </c>
      <c r="K833" s="134">
        <v>426.37777777777785</v>
      </c>
      <c r="L833" s="134">
        <v>483.43055555555543</v>
      </c>
      <c r="M833" s="134">
        <v>556.50555555555559</v>
      </c>
      <c r="N833" s="135">
        <v>445.89444444444445</v>
      </c>
      <c r="O833" s="89"/>
      <c r="P833" s="14"/>
      <c r="Q833" s="14"/>
      <c r="R833" s="14"/>
      <c r="S833" s="14"/>
      <c r="T833" s="14"/>
      <c r="U833" s="14"/>
    </row>
    <row r="834" spans="1:21" ht="18.75" customHeight="1" x14ac:dyDescent="0.25">
      <c r="A834" s="14"/>
      <c r="B834" s="15"/>
      <c r="C834" s="122"/>
      <c r="D834" s="210"/>
      <c r="E834" s="210"/>
      <c r="F834" s="210"/>
      <c r="G834" s="210"/>
      <c r="H834" s="210"/>
      <c r="I834" s="210"/>
      <c r="J834" s="210"/>
      <c r="K834" s="210"/>
      <c r="L834" s="210"/>
      <c r="M834" s="210"/>
      <c r="N834" s="115"/>
      <c r="O834" s="89"/>
      <c r="P834" s="14"/>
      <c r="Q834" s="14"/>
      <c r="R834" s="14"/>
      <c r="S834" s="14"/>
      <c r="T834" s="14"/>
      <c r="U834" s="14"/>
    </row>
    <row r="835" spans="1:21" ht="18.75" customHeight="1" x14ac:dyDescent="0.25">
      <c r="A835" s="14"/>
      <c r="B835" s="15"/>
      <c r="C835" s="2199" t="s">
        <v>2051</v>
      </c>
      <c r="D835" s="2200" t="s">
        <v>2052</v>
      </c>
      <c r="E835" s="2200" t="s">
        <v>2053</v>
      </c>
      <c r="F835" s="2200" t="s">
        <v>569</v>
      </c>
      <c r="G835" s="2200"/>
      <c r="H835" s="2200"/>
      <c r="I835" s="2200"/>
      <c r="J835" s="2200"/>
      <c r="K835" s="2200"/>
      <c r="L835" s="2200"/>
      <c r="M835" s="2200"/>
      <c r="N835" s="2201"/>
      <c r="O835" s="89"/>
      <c r="P835" s="14"/>
      <c r="Q835" s="14"/>
      <c r="R835" s="14"/>
      <c r="S835" s="14"/>
      <c r="T835" s="14"/>
      <c r="U835" s="14"/>
    </row>
    <row r="836" spans="1:21" ht="18.75" customHeight="1" x14ac:dyDescent="0.25">
      <c r="A836" s="14"/>
      <c r="B836" s="15"/>
      <c r="C836" s="2202" t="s">
        <v>1088</v>
      </c>
      <c r="D836" s="210">
        <v>6</v>
      </c>
      <c r="E836" s="104" t="s">
        <v>679</v>
      </c>
      <c r="F836" s="210">
        <v>77.748684210526292</v>
      </c>
      <c r="G836" s="210">
        <v>179.96710526315792</v>
      </c>
      <c r="H836" s="210">
        <v>284.78157894736847</v>
      </c>
      <c r="I836" s="210">
        <v>338.68684210526322</v>
      </c>
      <c r="J836" s="210">
        <v>397.43815789473689</v>
      </c>
      <c r="K836" s="210">
        <v>453.07894736842127</v>
      </c>
      <c r="L836" s="210">
        <v>521.31447368421072</v>
      </c>
      <c r="M836" s="210">
        <v>521.31447368421072</v>
      </c>
      <c r="N836" s="115">
        <v>397.43815789473689</v>
      </c>
      <c r="O836" s="91"/>
      <c r="P836" s="14"/>
      <c r="Q836" s="14"/>
      <c r="R836" s="14"/>
      <c r="S836" s="14"/>
      <c r="T836" s="14"/>
      <c r="U836" s="14"/>
    </row>
    <row r="837" spans="1:21" ht="18.75" customHeight="1" x14ac:dyDescent="0.2">
      <c r="A837" s="14"/>
      <c r="B837" s="15"/>
      <c r="C837" s="119" t="s">
        <v>568</v>
      </c>
      <c r="D837" s="120" t="s">
        <v>623</v>
      </c>
      <c r="E837" s="110" t="s">
        <v>608</v>
      </c>
      <c r="F837" s="110" t="s">
        <v>957</v>
      </c>
      <c r="G837" s="110" t="s">
        <v>572</v>
      </c>
      <c r="H837" s="110" t="s">
        <v>530</v>
      </c>
      <c r="I837" s="110" t="s">
        <v>573</v>
      </c>
      <c r="J837" s="110" t="s">
        <v>574</v>
      </c>
      <c r="K837" s="110" t="s">
        <v>575</v>
      </c>
      <c r="L837" s="110" t="s">
        <v>576</v>
      </c>
      <c r="M837" s="110" t="s">
        <v>577</v>
      </c>
      <c r="N837" s="2203" t="s">
        <v>609</v>
      </c>
      <c r="O837" s="17"/>
      <c r="P837" s="14"/>
      <c r="Q837" s="14"/>
      <c r="R837" s="14"/>
      <c r="S837" s="14"/>
      <c r="T837" s="14"/>
      <c r="U837" s="14"/>
    </row>
    <row r="838" spans="1:21" ht="18.75" customHeight="1" x14ac:dyDescent="0.25">
      <c r="A838" s="14"/>
      <c r="B838" s="15"/>
      <c r="C838" s="119" t="s">
        <v>582</v>
      </c>
      <c r="D838" s="120" t="s">
        <v>566</v>
      </c>
      <c r="E838" s="121">
        <v>100704.69379545479</v>
      </c>
      <c r="F838" s="129">
        <v>9282.9225590341011</v>
      </c>
      <c r="G838" s="129">
        <v>8870.9387353499569</v>
      </c>
      <c r="H838" s="129">
        <v>11722.636530374941</v>
      </c>
      <c r="I838" s="129">
        <v>8108.372282881337</v>
      </c>
      <c r="J838" s="129">
        <v>7931.911285271266</v>
      </c>
      <c r="K838" s="129">
        <v>8795.9348600146168</v>
      </c>
      <c r="L838" s="129">
        <v>10591.076126925191</v>
      </c>
      <c r="M838" s="129">
        <v>35400.901415603381</v>
      </c>
      <c r="N838" s="130">
        <v>54313.644446274404</v>
      </c>
      <c r="O838" s="85"/>
      <c r="P838" s="14"/>
      <c r="Q838" s="14"/>
      <c r="R838" s="14"/>
      <c r="S838" s="14"/>
      <c r="T838" s="14"/>
      <c r="U838" s="14"/>
    </row>
    <row r="839" spans="1:21" ht="32.25" customHeight="1" x14ac:dyDescent="0.2">
      <c r="A839" s="14"/>
      <c r="B839" s="15"/>
      <c r="C839" s="119" t="s">
        <v>582</v>
      </c>
      <c r="D839" s="120" t="s">
        <v>628</v>
      </c>
      <c r="E839" s="145">
        <v>16012.046313477313</v>
      </c>
      <c r="F839" s="129">
        <v>1475.984686886422</v>
      </c>
      <c r="G839" s="129">
        <v>1410.4792589206431</v>
      </c>
      <c r="H839" s="129">
        <v>1863.8992083296155</v>
      </c>
      <c r="I839" s="129">
        <v>1289.2311929781326</v>
      </c>
      <c r="J839" s="129">
        <v>1261.1738943581313</v>
      </c>
      <c r="K839" s="129">
        <v>1398.5536427423242</v>
      </c>
      <c r="L839" s="129">
        <v>1683.9811041811054</v>
      </c>
      <c r="M839" s="129">
        <v>5628.7433250809372</v>
      </c>
      <c r="N839" s="130">
        <v>8635.8694669576307</v>
      </c>
      <c r="O839" s="86"/>
      <c r="P839" s="14"/>
      <c r="Q839" s="14"/>
      <c r="R839" s="14"/>
      <c r="S839" s="14"/>
      <c r="T839" s="14"/>
      <c r="U839" s="14"/>
    </row>
    <row r="840" spans="1:21" ht="18.75" customHeight="1" x14ac:dyDescent="0.25">
      <c r="A840" s="14"/>
      <c r="B840" s="15"/>
      <c r="C840" s="119" t="s">
        <v>620</v>
      </c>
      <c r="D840" s="120" t="s">
        <v>622</v>
      </c>
      <c r="E840" s="129">
        <v>14750889.738101169</v>
      </c>
      <c r="F840" s="129">
        <v>885053.38428607013</v>
      </c>
      <c r="G840" s="129">
        <v>1032562.281667082</v>
      </c>
      <c r="H840" s="129">
        <v>1622597.8711911284</v>
      </c>
      <c r="I840" s="129">
        <v>1180071.1790480937</v>
      </c>
      <c r="J840" s="129">
        <v>1180071.1790480937</v>
      </c>
      <c r="K840" s="129">
        <v>1327580.0764291049</v>
      </c>
      <c r="L840" s="129">
        <v>1622597.8711911284</v>
      </c>
      <c r="M840" s="129">
        <v>5900355.895240468</v>
      </c>
      <c r="N840" s="130">
        <v>8850533.8428607006</v>
      </c>
      <c r="O840" s="87"/>
      <c r="P840" s="14"/>
      <c r="Q840" s="14"/>
      <c r="R840" s="14"/>
      <c r="S840" s="14"/>
      <c r="T840" s="14"/>
      <c r="U840" s="14"/>
    </row>
    <row r="841" spans="1:21" ht="18.75" customHeight="1" x14ac:dyDescent="0.25">
      <c r="A841" s="14"/>
      <c r="B841" s="15"/>
      <c r="C841" s="122" t="s">
        <v>776</v>
      </c>
      <c r="D841" s="120" t="s">
        <v>579</v>
      </c>
      <c r="E841" s="125">
        <v>3.6890923953049155</v>
      </c>
      <c r="F841" s="125">
        <v>0</v>
      </c>
      <c r="G841" s="125">
        <v>6.4000000000000001E-2</v>
      </c>
      <c r="H841" s="125">
        <v>1.1765069648496191</v>
      </c>
      <c r="I841" s="125">
        <v>1.7183609998751841</v>
      </c>
      <c r="J841" s="125">
        <v>2.1915059357948534</v>
      </c>
      <c r="K841" s="125">
        <v>2.7861963316823704</v>
      </c>
      <c r="L841" s="125">
        <v>3.5862840889367522</v>
      </c>
      <c r="M841" s="125">
        <v>6.4928958867084967</v>
      </c>
      <c r="N841" s="131">
        <v>5.404012123863092</v>
      </c>
      <c r="O841" s="88"/>
      <c r="P841" s="14"/>
      <c r="Q841" s="14"/>
      <c r="R841" s="14"/>
      <c r="S841" s="14"/>
      <c r="T841" s="14"/>
      <c r="U841" s="14"/>
    </row>
    <row r="842" spans="1:21" ht="18.75" customHeight="1" x14ac:dyDescent="0.25">
      <c r="A842" s="14"/>
      <c r="B842" s="15"/>
      <c r="C842" s="122" t="s">
        <v>777</v>
      </c>
      <c r="D842" s="210" t="s">
        <v>778</v>
      </c>
      <c r="E842" s="125">
        <v>2174.9724076343728</v>
      </c>
      <c r="F842" s="132">
        <v>0</v>
      </c>
      <c r="G842" s="132">
        <v>0</v>
      </c>
      <c r="H842" s="132">
        <v>12.412322356241589</v>
      </c>
      <c r="I842" s="132">
        <v>148.27753960444136</v>
      </c>
      <c r="J842" s="132">
        <v>375.70176798032981</v>
      </c>
      <c r="K842" s="132">
        <v>788.35586064195491</v>
      </c>
      <c r="L842" s="132">
        <v>1508.5804298027967</v>
      </c>
      <c r="M842" s="125">
        <v>4736.9820820808027</v>
      </c>
      <c r="N842" s="133">
        <v>3552.814512614008</v>
      </c>
      <c r="O842" s="88"/>
      <c r="P842" s="14"/>
      <c r="Q842" s="14"/>
      <c r="R842" s="14"/>
      <c r="S842" s="14"/>
      <c r="T842" s="14"/>
      <c r="U842" s="14"/>
    </row>
    <row r="843" spans="1:21" ht="18.75" customHeight="1" x14ac:dyDescent="0.25">
      <c r="A843" s="14"/>
      <c r="B843" s="15"/>
      <c r="C843" s="119" t="s">
        <v>779</v>
      </c>
      <c r="D843" s="120" t="s">
        <v>970</v>
      </c>
      <c r="E843" s="132">
        <v>20.872767857142843</v>
      </c>
      <c r="F843" s="125">
        <v>104.24410068725624</v>
      </c>
      <c r="G843" s="125">
        <v>61.598498370916431</v>
      </c>
      <c r="H843" s="125">
        <v>30.882779519680298</v>
      </c>
      <c r="I843" s="125">
        <v>22.936890944846127</v>
      </c>
      <c r="J843" s="125">
        <v>19.575909616761237</v>
      </c>
      <c r="K843" s="125">
        <v>17.417882279061985</v>
      </c>
      <c r="L843" s="125">
        <v>15.208325822299997</v>
      </c>
      <c r="M843" s="125">
        <v>3.3533333333333335</v>
      </c>
      <c r="N843" s="131">
        <v>6.4320056114594308</v>
      </c>
      <c r="O843" s="88"/>
      <c r="P843" s="14"/>
      <c r="Q843" s="14"/>
      <c r="R843" s="14"/>
      <c r="S843" s="14"/>
      <c r="T843" s="14"/>
      <c r="U843" s="14"/>
    </row>
    <row r="844" spans="1:21" ht="18.75" customHeight="1" x14ac:dyDescent="0.25">
      <c r="A844" s="14"/>
      <c r="B844" s="15"/>
      <c r="C844" s="119" t="s">
        <v>580</v>
      </c>
      <c r="D844" s="120" t="s">
        <v>581</v>
      </c>
      <c r="E844" s="125">
        <v>927.72891434598546</v>
      </c>
      <c r="F844" s="125">
        <v>599.6358852157764</v>
      </c>
      <c r="G844" s="125">
        <v>732.0648461411912</v>
      </c>
      <c r="H844" s="125">
        <v>870.53949266133554</v>
      </c>
      <c r="I844" s="125">
        <v>915.3293726334075</v>
      </c>
      <c r="J844" s="125">
        <v>935.69267832703247</v>
      </c>
      <c r="K844" s="125">
        <v>949.25216727900954</v>
      </c>
      <c r="L844" s="125">
        <v>963.54874004371516</v>
      </c>
      <c r="M844" s="125">
        <v>1048.2545666897372</v>
      </c>
      <c r="N844" s="131">
        <v>1024.8572974295655</v>
      </c>
      <c r="O844" s="89"/>
      <c r="P844" s="14"/>
      <c r="Q844" s="14"/>
      <c r="R844" s="14"/>
      <c r="S844" s="14"/>
      <c r="T844" s="14"/>
      <c r="U844" s="14"/>
    </row>
    <row r="845" spans="1:21" ht="18.75" customHeight="1" x14ac:dyDescent="0.25">
      <c r="A845" s="14"/>
      <c r="B845" s="15"/>
      <c r="C845" s="119" t="s">
        <v>541</v>
      </c>
      <c r="D845" s="120" t="s">
        <v>579</v>
      </c>
      <c r="E845" s="125">
        <v>11.206724422498249</v>
      </c>
      <c r="F845" s="125">
        <v>18.710353061617369</v>
      </c>
      <c r="G845" s="125">
        <v>14.786993985286685</v>
      </c>
      <c r="H845" s="125">
        <v>12.157629906584312</v>
      </c>
      <c r="I845" s="125">
        <v>11.936773516737698</v>
      </c>
      <c r="J845" s="125">
        <v>11.524350336003867</v>
      </c>
      <c r="K845" s="125">
        <v>11.302070913062341</v>
      </c>
      <c r="L845" s="125">
        <v>11.076939436706716</v>
      </c>
      <c r="M845" s="125">
        <v>8.9978368541854756</v>
      </c>
      <c r="N845" s="131">
        <v>9.7246407698125665</v>
      </c>
      <c r="O845" s="90"/>
      <c r="P845" s="14"/>
      <c r="Q845" s="14"/>
      <c r="R845" s="14"/>
      <c r="S845" s="14"/>
      <c r="T845" s="14"/>
      <c r="U845" s="14"/>
    </row>
    <row r="846" spans="1:21" ht="18.75" customHeight="1" x14ac:dyDescent="0.25">
      <c r="A846" s="14"/>
      <c r="B846" s="15"/>
      <c r="C846" s="119" t="s">
        <v>544</v>
      </c>
      <c r="D846" s="120" t="s">
        <v>579</v>
      </c>
      <c r="E846" s="125">
        <v>9.692266666666665</v>
      </c>
      <c r="F846" s="128"/>
      <c r="G846" s="128"/>
      <c r="H846" s="128"/>
      <c r="I846" s="128"/>
      <c r="J846" s="128"/>
      <c r="K846" s="128"/>
      <c r="L846" s="128"/>
      <c r="M846" s="125">
        <v>24.206435999999997</v>
      </c>
      <c r="N846" s="131">
        <v>16.15377777777778</v>
      </c>
      <c r="O846" s="89"/>
      <c r="P846" s="14"/>
      <c r="Q846" s="14"/>
      <c r="R846" s="14"/>
      <c r="S846" s="14"/>
      <c r="T846" s="14"/>
      <c r="U846" s="14"/>
    </row>
    <row r="847" spans="1:21" ht="18.75" customHeight="1" x14ac:dyDescent="0.25">
      <c r="A847" s="14"/>
      <c r="B847" s="15"/>
      <c r="C847" s="119" t="s">
        <v>780</v>
      </c>
      <c r="D847" s="120" t="s">
        <v>783</v>
      </c>
      <c r="E847" s="125">
        <v>11.807872282519103</v>
      </c>
      <c r="F847" s="125">
        <v>13.83328704813546</v>
      </c>
      <c r="G847" s="125">
        <v>12.294280341281688</v>
      </c>
      <c r="H847" s="125">
        <v>11.262611837541263</v>
      </c>
      <c r="I847" s="125">
        <v>11.148294839220005</v>
      </c>
      <c r="J847" s="125">
        <v>11.218418520852399</v>
      </c>
      <c r="K847" s="125">
        <v>11.376465741976729</v>
      </c>
      <c r="L847" s="125">
        <v>11.540162519360901</v>
      </c>
      <c r="M847" s="125">
        <v>11.349380665136842</v>
      </c>
      <c r="N847" s="131">
        <v>11.348358610420599</v>
      </c>
      <c r="O847" s="89"/>
      <c r="P847" s="14"/>
      <c r="Q847" s="14"/>
      <c r="R847" s="14"/>
      <c r="S847" s="14"/>
      <c r="T847" s="14"/>
      <c r="U847" s="14"/>
    </row>
    <row r="848" spans="1:21" ht="18.75" customHeight="1" x14ac:dyDescent="0.25">
      <c r="A848" s="14"/>
      <c r="B848" s="15"/>
      <c r="C848" s="122" t="s">
        <v>781</v>
      </c>
      <c r="D848" s="120" t="s">
        <v>782</v>
      </c>
      <c r="E848" s="125">
        <v>459.3197368421051</v>
      </c>
      <c r="F848" s="134">
        <v>44.867105263157903</v>
      </c>
      <c r="G848" s="134">
        <v>133.07763157894735</v>
      </c>
      <c r="H848" s="134">
        <v>252.01315789473671</v>
      </c>
      <c r="I848" s="134">
        <v>318.91447368421046</v>
      </c>
      <c r="J848" s="134">
        <v>371.32499999999999</v>
      </c>
      <c r="K848" s="134">
        <v>428.59342105263158</v>
      </c>
      <c r="L848" s="134">
        <v>492.91973684210535</v>
      </c>
      <c r="M848" s="134">
        <v>665.1208955223882</v>
      </c>
      <c r="N848" s="135">
        <v>603.44868421052661</v>
      </c>
      <c r="O848" s="89"/>
      <c r="P848" s="14"/>
      <c r="Q848" s="14"/>
      <c r="R848" s="14"/>
      <c r="S848" s="14"/>
      <c r="T848" s="14"/>
      <c r="U848" s="14"/>
    </row>
    <row r="849" spans="1:21" ht="18.75" customHeight="1" x14ac:dyDescent="0.25">
      <c r="A849" s="14"/>
      <c r="B849" s="15"/>
      <c r="C849" s="122"/>
      <c r="D849" s="210"/>
      <c r="E849" s="210"/>
      <c r="F849" s="210"/>
      <c r="G849" s="210"/>
      <c r="H849" s="210"/>
      <c r="I849" s="210"/>
      <c r="J849" s="210"/>
      <c r="K849" s="210"/>
      <c r="L849" s="210"/>
      <c r="M849" s="210"/>
      <c r="N849" s="115"/>
      <c r="O849" s="89"/>
      <c r="P849" s="14"/>
      <c r="Q849" s="14"/>
      <c r="R849" s="14"/>
      <c r="S849" s="14"/>
      <c r="T849" s="14"/>
      <c r="U849" s="14"/>
    </row>
    <row r="850" spans="1:21" ht="18.75" customHeight="1" x14ac:dyDescent="0.25">
      <c r="A850" s="14"/>
      <c r="B850" s="15"/>
      <c r="C850" s="2199" t="s">
        <v>2054</v>
      </c>
      <c r="D850" s="2200" t="s">
        <v>2052</v>
      </c>
      <c r="E850" s="2200" t="s">
        <v>2055</v>
      </c>
      <c r="F850" s="2200" t="s">
        <v>569</v>
      </c>
      <c r="G850" s="2200"/>
      <c r="H850" s="2200"/>
      <c r="I850" s="2200"/>
      <c r="J850" s="2200"/>
      <c r="K850" s="2200"/>
      <c r="L850" s="2200"/>
      <c r="M850" s="2200"/>
      <c r="N850" s="2201"/>
      <c r="O850" s="89"/>
      <c r="P850" s="14"/>
      <c r="Q850" s="14"/>
      <c r="R850" s="14"/>
      <c r="S850" s="14"/>
      <c r="T850" s="14"/>
      <c r="U850" s="14"/>
    </row>
    <row r="851" spans="1:21" ht="18.75" customHeight="1" x14ac:dyDescent="0.25">
      <c r="A851" s="14"/>
      <c r="B851" s="15"/>
      <c r="C851" s="2202" t="s">
        <v>1088</v>
      </c>
      <c r="D851" s="210">
        <v>7</v>
      </c>
      <c r="E851" s="104" t="s">
        <v>679</v>
      </c>
      <c r="F851" s="210">
        <v>85.284269662921332</v>
      </c>
      <c r="G851" s="210">
        <v>172.34382022471914</v>
      </c>
      <c r="H851" s="210">
        <v>289.27528089887642</v>
      </c>
      <c r="I851" s="210">
        <v>339.28089887640454</v>
      </c>
      <c r="J851" s="210">
        <v>394.16292134831463</v>
      </c>
      <c r="K851" s="210">
        <v>451.45393258426975</v>
      </c>
      <c r="L851" s="210">
        <v>522.01573033707837</v>
      </c>
      <c r="M851" s="210">
        <v>522.01573033707837</v>
      </c>
      <c r="N851" s="115">
        <v>394.16292134831463</v>
      </c>
      <c r="O851" s="91"/>
      <c r="P851" s="14"/>
      <c r="Q851" s="14"/>
      <c r="R851" s="14"/>
      <c r="S851" s="14"/>
      <c r="T851" s="14"/>
      <c r="U851" s="14"/>
    </row>
    <row r="852" spans="1:21" ht="18.75" customHeight="1" x14ac:dyDescent="0.2">
      <c r="A852" s="14"/>
      <c r="B852" s="15"/>
      <c r="C852" s="119" t="s">
        <v>568</v>
      </c>
      <c r="D852" s="120" t="s">
        <v>623</v>
      </c>
      <c r="E852" s="110" t="s">
        <v>608</v>
      </c>
      <c r="F852" s="110" t="s">
        <v>518</v>
      </c>
      <c r="G852" s="110" t="s">
        <v>572</v>
      </c>
      <c r="H852" s="110" t="s">
        <v>530</v>
      </c>
      <c r="I852" s="110" t="s">
        <v>573</v>
      </c>
      <c r="J852" s="110" t="s">
        <v>574</v>
      </c>
      <c r="K852" s="110" t="s">
        <v>575</v>
      </c>
      <c r="L852" s="110" t="s">
        <v>576</v>
      </c>
      <c r="M852" s="110" t="s">
        <v>577</v>
      </c>
      <c r="N852" s="2203" t="s">
        <v>609</v>
      </c>
      <c r="O852" s="17"/>
      <c r="P852" s="14"/>
      <c r="Q852" s="14"/>
      <c r="R852" s="14"/>
      <c r="S852" s="14"/>
      <c r="T852" s="14"/>
      <c r="U852" s="14"/>
    </row>
    <row r="853" spans="1:21" ht="18.75" customHeight="1" x14ac:dyDescent="0.25">
      <c r="A853" s="14"/>
      <c r="B853" s="15"/>
      <c r="C853" s="119" t="s">
        <v>582</v>
      </c>
      <c r="D853" s="120" t="s">
        <v>566</v>
      </c>
      <c r="E853" s="121">
        <v>98644.263945455765</v>
      </c>
      <c r="F853" s="129">
        <v>7723.6891924047877</v>
      </c>
      <c r="G853" s="129">
        <v>5924.2612825944889</v>
      </c>
      <c r="H853" s="129">
        <v>13048.006050636393</v>
      </c>
      <c r="I853" s="129">
        <v>9261.9059917492596</v>
      </c>
      <c r="J853" s="129">
        <v>8939.7580044813039</v>
      </c>
      <c r="K853" s="129">
        <v>8675.8225342755322</v>
      </c>
      <c r="L853" s="129">
        <v>10300.065813867059</v>
      </c>
      <c r="M853" s="129">
        <v>34770.755075446941</v>
      </c>
      <c r="N853" s="130">
        <v>53250.120799637902</v>
      </c>
      <c r="O853" s="85"/>
      <c r="P853" s="14"/>
      <c r="Q853" s="14"/>
      <c r="R853" s="14"/>
      <c r="S853" s="14"/>
      <c r="T853" s="14"/>
      <c r="U853" s="14"/>
    </row>
    <row r="854" spans="1:21" ht="18.75" customHeight="1" x14ac:dyDescent="0.2">
      <c r="A854" s="14"/>
      <c r="B854" s="15"/>
      <c r="C854" s="119" t="s">
        <v>582</v>
      </c>
      <c r="D854" s="120" t="s">
        <v>628</v>
      </c>
      <c r="E854" s="145">
        <v>15684.437967327467</v>
      </c>
      <c r="F854" s="129">
        <v>1228.0665815923612</v>
      </c>
      <c r="G854" s="129">
        <v>941.95754393252378</v>
      </c>
      <c r="H854" s="129">
        <v>2074.6329620511865</v>
      </c>
      <c r="I854" s="129">
        <v>1472.6430526881322</v>
      </c>
      <c r="J854" s="129">
        <v>1421.4215227125273</v>
      </c>
      <c r="K854" s="129">
        <v>1379.4557829498096</v>
      </c>
      <c r="L854" s="129">
        <v>1637.7104644048625</v>
      </c>
      <c r="M854" s="129">
        <v>5528.5500569960641</v>
      </c>
      <c r="N854" s="130">
        <v>8466.7692071424262</v>
      </c>
      <c r="O854" s="86"/>
      <c r="P854" s="14"/>
      <c r="Q854" s="14"/>
      <c r="R854" s="14"/>
      <c r="S854" s="14"/>
      <c r="T854" s="14"/>
      <c r="U854" s="14"/>
    </row>
    <row r="855" spans="1:21" ht="18.75" customHeight="1" x14ac:dyDescent="0.25">
      <c r="A855" s="14"/>
      <c r="B855" s="15"/>
      <c r="C855" s="119" t="s">
        <v>620</v>
      </c>
      <c r="D855" s="120" t="s">
        <v>622</v>
      </c>
      <c r="E855" s="129">
        <v>14775448.547719343</v>
      </c>
      <c r="F855" s="129">
        <v>886526.91286316048</v>
      </c>
      <c r="G855" s="129">
        <v>738772.42738596722</v>
      </c>
      <c r="H855" s="129">
        <v>1773053.8257263212</v>
      </c>
      <c r="I855" s="129">
        <v>1329790.3692947407</v>
      </c>
      <c r="J855" s="129">
        <v>1329790.3692947405</v>
      </c>
      <c r="K855" s="129">
        <v>1329790.3692947412</v>
      </c>
      <c r="L855" s="129">
        <v>1625299.3402491275</v>
      </c>
      <c r="M855" s="129">
        <v>5762424.9336105436</v>
      </c>
      <c r="N855" s="130">
        <v>8717514.6431544125</v>
      </c>
      <c r="O855" s="87"/>
      <c r="P855" s="14"/>
      <c r="Q855" s="14"/>
      <c r="R855" s="14"/>
      <c r="S855" s="14"/>
      <c r="T855" s="14"/>
      <c r="U855" s="14"/>
    </row>
    <row r="856" spans="1:21" ht="18.75" customHeight="1" x14ac:dyDescent="0.25">
      <c r="A856" s="14"/>
      <c r="B856" s="15"/>
      <c r="C856" s="122" t="s">
        <v>776</v>
      </c>
      <c r="D856" s="120" t="s">
        <v>579</v>
      </c>
      <c r="E856" s="125">
        <v>3.3291068718331815</v>
      </c>
      <c r="F856" s="125">
        <v>0.31479457306435399</v>
      </c>
      <c r="G856" s="125">
        <v>0.58640047671931694</v>
      </c>
      <c r="H856" s="125">
        <v>1.0980215536792843</v>
      </c>
      <c r="I856" s="125">
        <v>1.6206190774488771</v>
      </c>
      <c r="J856" s="125">
        <v>2.0866026457649607</v>
      </c>
      <c r="K856" s="125">
        <v>2.6065173443933585</v>
      </c>
      <c r="L856" s="125">
        <v>3.2929425620265538</v>
      </c>
      <c r="M856" s="125">
        <v>5.6889138186263368</v>
      </c>
      <c r="N856" s="131">
        <v>4.7720112408179567</v>
      </c>
      <c r="O856" s="88"/>
      <c r="P856" s="14"/>
      <c r="Q856" s="14"/>
      <c r="R856" s="14"/>
      <c r="S856" s="14"/>
      <c r="T856" s="14"/>
      <c r="U856" s="14"/>
    </row>
    <row r="857" spans="1:21" ht="18.75" customHeight="1" x14ac:dyDescent="0.25">
      <c r="A857" s="14"/>
      <c r="B857" s="15"/>
      <c r="C857" s="122" t="s">
        <v>777</v>
      </c>
      <c r="D857" s="210" t="s">
        <v>778</v>
      </c>
      <c r="E857" s="125">
        <v>1938.6478888327515</v>
      </c>
      <c r="F857" s="132">
        <v>0</v>
      </c>
      <c r="G857" s="132">
        <v>0</v>
      </c>
      <c r="H857" s="132">
        <v>37.448079062560112</v>
      </c>
      <c r="I857" s="132">
        <v>202.29681856103525</v>
      </c>
      <c r="J857" s="132">
        <v>449.79978219657016</v>
      </c>
      <c r="K857" s="132">
        <v>821.25877534547885</v>
      </c>
      <c r="L857" s="132">
        <v>1441.7509829545672</v>
      </c>
      <c r="M857" s="125">
        <v>4212.7167368486262</v>
      </c>
      <c r="N857" s="133">
        <v>3178.7549580967111</v>
      </c>
      <c r="O857" s="88"/>
      <c r="P857" s="14"/>
      <c r="Q857" s="14"/>
      <c r="R857" s="14"/>
      <c r="S857" s="14"/>
      <c r="T857" s="14"/>
      <c r="U857" s="14"/>
    </row>
    <row r="858" spans="1:21" ht="18.75" customHeight="1" x14ac:dyDescent="0.25">
      <c r="A858" s="14"/>
      <c r="B858" s="15"/>
      <c r="C858" s="119" t="s">
        <v>779</v>
      </c>
      <c r="D858" s="120" t="s">
        <v>970</v>
      </c>
      <c r="E858" s="132">
        <v>20.619503546099285</v>
      </c>
      <c r="F858" s="125">
        <v>64.320627582164832</v>
      </c>
      <c r="G858" s="125">
        <v>48.739137037130199</v>
      </c>
      <c r="H858" s="125">
        <v>33.904683557442297</v>
      </c>
      <c r="I858" s="125">
        <v>25.04628237283773</v>
      </c>
      <c r="J858" s="125">
        <v>19.601283273773738</v>
      </c>
      <c r="K858" s="125">
        <v>15.140201863117156</v>
      </c>
      <c r="L858" s="125">
        <v>10.94008164523693</v>
      </c>
      <c r="M858" s="125">
        <v>4.1233333333333331</v>
      </c>
      <c r="N858" s="131">
        <v>5.7946091493344341</v>
      </c>
      <c r="O858" s="88"/>
      <c r="P858" s="14"/>
      <c r="Q858" s="14"/>
      <c r="R858" s="14"/>
      <c r="S858" s="14"/>
      <c r="T858" s="14"/>
      <c r="U858" s="14"/>
    </row>
    <row r="859" spans="1:21" ht="18.75" customHeight="1" x14ac:dyDescent="0.25">
      <c r="A859" s="14"/>
      <c r="B859" s="15"/>
      <c r="C859" s="119" t="s">
        <v>580</v>
      </c>
      <c r="D859" s="120" t="s">
        <v>581</v>
      </c>
      <c r="E859" s="125">
        <v>929.27349356725426</v>
      </c>
      <c r="F859" s="125">
        <v>721.88831302098743</v>
      </c>
      <c r="G859" s="125">
        <v>784.29482532907923</v>
      </c>
      <c r="H859" s="125">
        <v>854.63494418468383</v>
      </c>
      <c r="I859" s="125">
        <v>902.99571703229026</v>
      </c>
      <c r="J859" s="125">
        <v>935.53555229491303</v>
      </c>
      <c r="K859" s="125">
        <v>963.99637141767266</v>
      </c>
      <c r="L859" s="125">
        <v>992.42166156626149</v>
      </c>
      <c r="M859" s="125">
        <v>1042.3031127878683</v>
      </c>
      <c r="N859" s="131">
        <v>1029.6152440059973</v>
      </c>
      <c r="O859" s="89"/>
      <c r="P859" s="14"/>
      <c r="Q859" s="14"/>
      <c r="R859" s="14"/>
      <c r="S859" s="14"/>
      <c r="T859" s="14"/>
      <c r="U859" s="14"/>
    </row>
    <row r="860" spans="1:21" ht="18.75" customHeight="1" x14ac:dyDescent="0.25">
      <c r="A860" s="14"/>
      <c r="B860" s="15"/>
      <c r="C860" s="119" t="s">
        <v>541</v>
      </c>
      <c r="D860" s="120" t="s">
        <v>579</v>
      </c>
      <c r="E860" s="125">
        <v>10.758492229542108</v>
      </c>
      <c r="F860" s="125">
        <v>13.459864272501726</v>
      </c>
      <c r="G860" s="125">
        <v>13.222246352578496</v>
      </c>
      <c r="H860" s="125">
        <v>12.470267128396159</v>
      </c>
      <c r="I860" s="125">
        <v>12.265208110873729</v>
      </c>
      <c r="J860" s="125">
        <v>11.539244932952776</v>
      </c>
      <c r="K860" s="125">
        <v>10.914587837831412</v>
      </c>
      <c r="L860" s="125">
        <v>10.307788545024845</v>
      </c>
      <c r="M860" s="125">
        <v>9.063552771419479</v>
      </c>
      <c r="N860" s="131">
        <v>9.5778902139172146</v>
      </c>
      <c r="O860" s="90"/>
      <c r="P860" s="14"/>
      <c r="Q860" s="14"/>
      <c r="R860" s="14"/>
      <c r="S860" s="14"/>
      <c r="T860" s="14"/>
      <c r="U860" s="14"/>
    </row>
    <row r="861" spans="1:21" ht="18.75" customHeight="1" x14ac:dyDescent="0.25">
      <c r="A861" s="14"/>
      <c r="B861" s="15"/>
      <c r="C861" s="119" t="s">
        <v>544</v>
      </c>
      <c r="D861" s="120" t="s">
        <v>579</v>
      </c>
      <c r="E861" s="125">
        <v>9.38756345177665</v>
      </c>
      <c r="F861" s="128"/>
      <c r="G861" s="128"/>
      <c r="H861" s="128"/>
      <c r="I861" s="128"/>
      <c r="J861" s="128"/>
      <c r="K861" s="128"/>
      <c r="L861" s="128"/>
      <c r="M861" s="125">
        <v>24.046604841858645</v>
      </c>
      <c r="N861" s="131">
        <v>15.911124494536693</v>
      </c>
      <c r="O861" s="89"/>
      <c r="P861" s="14"/>
      <c r="Q861" s="14"/>
      <c r="R861" s="14"/>
      <c r="S861" s="14"/>
      <c r="T861" s="14"/>
      <c r="U861" s="14"/>
    </row>
    <row r="862" spans="1:21" ht="18.75" customHeight="1" x14ac:dyDescent="0.25">
      <c r="A862" s="14"/>
      <c r="B862" s="15"/>
      <c r="C862" s="119" t="s">
        <v>780</v>
      </c>
      <c r="D862" s="120" t="s">
        <v>783</v>
      </c>
      <c r="E862" s="125">
        <v>11.745897052663384</v>
      </c>
      <c r="F862" s="125">
        <v>11.478161387500037</v>
      </c>
      <c r="G862" s="125">
        <v>11.521384262197948</v>
      </c>
      <c r="H862" s="125">
        <v>11.415656926754288</v>
      </c>
      <c r="I862" s="125">
        <v>11.312398568495693</v>
      </c>
      <c r="J862" s="125">
        <v>11.246939609323327</v>
      </c>
      <c r="K862" s="125">
        <v>11.202313778084399</v>
      </c>
      <c r="L862" s="125">
        <v>11.182522949324643</v>
      </c>
      <c r="M862" s="125">
        <v>11.388505484394152</v>
      </c>
      <c r="N862" s="131">
        <v>11.255884592011741</v>
      </c>
      <c r="O862" s="89"/>
      <c r="P862" s="14"/>
      <c r="Q862" s="14"/>
      <c r="R862" s="14"/>
      <c r="S862" s="14"/>
      <c r="T862" s="14"/>
      <c r="U862" s="14"/>
    </row>
    <row r="863" spans="1:21" ht="18.75" customHeight="1" x14ac:dyDescent="0.25">
      <c r="A863" s="14"/>
      <c r="B863" s="15"/>
      <c r="C863" s="122" t="s">
        <v>781</v>
      </c>
      <c r="D863" s="120" t="s">
        <v>782</v>
      </c>
      <c r="E863" s="125">
        <v>451.45393258426975</v>
      </c>
      <c r="F863" s="134">
        <v>43.834831460674174</v>
      </c>
      <c r="G863" s="134">
        <v>137.96516853932579</v>
      </c>
      <c r="H863" s="134">
        <v>244.28539325842698</v>
      </c>
      <c r="I863" s="134">
        <v>320.77640449438201</v>
      </c>
      <c r="J863" s="134">
        <v>375.92584269662933</v>
      </c>
      <c r="K863" s="134">
        <v>428.56516853932578</v>
      </c>
      <c r="L863" s="134">
        <v>488.43707865168517</v>
      </c>
      <c r="M863" s="134">
        <v>658.80250000000001</v>
      </c>
      <c r="N863" s="135">
        <v>594.16179775280898</v>
      </c>
      <c r="O863" s="89"/>
      <c r="P863" s="14"/>
      <c r="Q863" s="14"/>
      <c r="R863" s="14"/>
      <c r="S863" s="14"/>
      <c r="T863" s="14"/>
      <c r="U863" s="14"/>
    </row>
    <row r="864" spans="1:21" ht="18.75" customHeight="1" x14ac:dyDescent="0.25">
      <c r="A864" s="14"/>
      <c r="B864" s="15"/>
      <c r="C864" s="122"/>
      <c r="D864" s="210"/>
      <c r="E864" s="210"/>
      <c r="F864" s="210"/>
      <c r="G864" s="210"/>
      <c r="H864" s="210"/>
      <c r="I864" s="210"/>
      <c r="J864" s="210"/>
      <c r="K864" s="210"/>
      <c r="L864" s="210"/>
      <c r="M864" s="210"/>
      <c r="N864" s="115"/>
      <c r="O864" s="89"/>
      <c r="P864" s="14"/>
      <c r="Q864" s="14"/>
      <c r="R864" s="14"/>
      <c r="S864" s="14"/>
      <c r="T864" s="14"/>
      <c r="U864" s="14"/>
    </row>
    <row r="865" spans="1:21" ht="18.75" customHeight="1" x14ac:dyDescent="0.25">
      <c r="A865" s="14"/>
      <c r="B865" s="15"/>
      <c r="C865" s="2199" t="s">
        <v>2056</v>
      </c>
      <c r="D865" s="2200" t="s">
        <v>2044</v>
      </c>
      <c r="E865" s="2200" t="s">
        <v>2057</v>
      </c>
      <c r="F865" s="2200" t="s">
        <v>569</v>
      </c>
      <c r="G865" s="2200"/>
      <c r="H865" s="2200"/>
      <c r="I865" s="2200"/>
      <c r="J865" s="2200"/>
      <c r="K865" s="2200"/>
      <c r="L865" s="2200"/>
      <c r="M865" s="2200"/>
      <c r="N865" s="2201"/>
      <c r="O865" s="89"/>
      <c r="P865" s="14"/>
      <c r="Q865" s="14"/>
      <c r="R865" s="14"/>
      <c r="S865" s="14"/>
      <c r="T865" s="14"/>
      <c r="U865" s="14"/>
    </row>
    <row r="866" spans="1:21" ht="18.75" customHeight="1" x14ac:dyDescent="0.25">
      <c r="A866" s="14"/>
      <c r="B866" s="15"/>
      <c r="C866" s="2202" t="s">
        <v>1088</v>
      </c>
      <c r="D866" s="210">
        <v>9</v>
      </c>
      <c r="E866" s="104" t="s">
        <v>679</v>
      </c>
      <c r="F866" s="210">
        <v>80.020689655172433</v>
      </c>
      <c r="G866" s="210">
        <v>175.12758620689655</v>
      </c>
      <c r="H866" s="210">
        <v>286.15862068965521</v>
      </c>
      <c r="I866" s="210">
        <v>337.40689655172417</v>
      </c>
      <c r="J866" s="210">
        <v>397.60689655172411</v>
      </c>
      <c r="K866" s="210">
        <v>452.45517241379298</v>
      </c>
      <c r="L866" s="210">
        <v>524.52931034482765</v>
      </c>
      <c r="M866" s="210">
        <v>524.52931034482765</v>
      </c>
      <c r="N866" s="115">
        <v>397.60689655172411</v>
      </c>
      <c r="O866" s="89"/>
      <c r="P866" s="14"/>
      <c r="Q866" s="14"/>
      <c r="R866" s="14"/>
      <c r="S866" s="14"/>
      <c r="T866" s="14"/>
      <c r="U866" s="14"/>
    </row>
    <row r="867" spans="1:21" ht="18.75" customHeight="1" x14ac:dyDescent="0.25">
      <c r="A867" s="14"/>
      <c r="B867" s="15"/>
      <c r="C867" s="119" t="s">
        <v>568</v>
      </c>
      <c r="D867" s="120" t="s">
        <v>623</v>
      </c>
      <c r="E867" s="110" t="s">
        <v>608</v>
      </c>
      <c r="F867" s="110" t="s">
        <v>957</v>
      </c>
      <c r="G867" s="110" t="s">
        <v>572</v>
      </c>
      <c r="H867" s="110" t="s">
        <v>530</v>
      </c>
      <c r="I867" s="110" t="s">
        <v>573</v>
      </c>
      <c r="J867" s="110" t="s">
        <v>574</v>
      </c>
      <c r="K867" s="110" t="s">
        <v>575</v>
      </c>
      <c r="L867" s="110" t="s">
        <v>576</v>
      </c>
      <c r="M867" s="110" t="s">
        <v>577</v>
      </c>
      <c r="N867" s="2203" t="s">
        <v>609</v>
      </c>
      <c r="O867" s="91"/>
      <c r="P867" s="14"/>
      <c r="Q867" s="14"/>
      <c r="R867" s="14"/>
      <c r="S867" s="14"/>
      <c r="T867" s="14"/>
      <c r="U867" s="14"/>
    </row>
    <row r="868" spans="1:21" ht="18.75" customHeight="1" x14ac:dyDescent="0.2">
      <c r="A868" s="14"/>
      <c r="B868" s="15"/>
      <c r="C868" s="119" t="s">
        <v>582</v>
      </c>
      <c r="D868" s="120" t="s">
        <v>566</v>
      </c>
      <c r="E868" s="121">
        <v>98869.287653634703</v>
      </c>
      <c r="F868" s="129">
        <v>6354.2025195377119</v>
      </c>
      <c r="G868" s="129">
        <v>17460.029493385049</v>
      </c>
      <c r="H868" s="129">
        <v>18957.49419776897</v>
      </c>
      <c r="I868" s="129">
        <v>8978.1992059711902</v>
      </c>
      <c r="J868" s="129">
        <v>8722.6224188459819</v>
      </c>
      <c r="K868" s="129">
        <v>8496.4974882669449</v>
      </c>
      <c r="L868" s="129">
        <v>9181.8930287163421</v>
      </c>
      <c r="M868" s="129">
        <v>20718.349301142523</v>
      </c>
      <c r="N868" s="130">
        <v>39010.764832187706</v>
      </c>
      <c r="O868" s="17"/>
      <c r="P868" s="14"/>
      <c r="Q868" s="14"/>
      <c r="R868" s="14"/>
      <c r="S868" s="14"/>
      <c r="T868" s="14"/>
      <c r="U868" s="14"/>
    </row>
    <row r="869" spans="1:21" ht="18.75" customHeight="1" x14ac:dyDescent="0.25">
      <c r="A869" s="14"/>
      <c r="B869" s="15"/>
      <c r="C869" s="119" t="s">
        <v>582</v>
      </c>
      <c r="D869" s="120" t="s">
        <v>628</v>
      </c>
      <c r="E869" s="145">
        <v>15720.216736927918</v>
      </c>
      <c r="F869" s="129">
        <v>1010.3182006064962</v>
      </c>
      <c r="G869" s="129">
        <v>2776.1446894482228</v>
      </c>
      <c r="H869" s="129">
        <v>3014.2415774452661</v>
      </c>
      <c r="I869" s="129">
        <v>1427.5336737494192</v>
      </c>
      <c r="J869" s="129">
        <v>1386.8969645965112</v>
      </c>
      <c r="K869" s="129">
        <v>1350.9431006344444</v>
      </c>
      <c r="L869" s="129">
        <v>1459.9209915658985</v>
      </c>
      <c r="M869" s="129">
        <v>3294.2175388816613</v>
      </c>
      <c r="N869" s="130">
        <v>6202.7116083178453</v>
      </c>
      <c r="O869" s="85"/>
      <c r="P869" s="14"/>
      <c r="Q869" s="14"/>
      <c r="R869" s="14"/>
      <c r="S869" s="14"/>
      <c r="T869" s="14"/>
      <c r="U869" s="14"/>
    </row>
    <row r="870" spans="1:21" ht="18.75" customHeight="1" x14ac:dyDescent="0.2">
      <c r="A870" s="14"/>
      <c r="B870" s="15"/>
      <c r="C870" s="119" t="s">
        <v>620</v>
      </c>
      <c r="D870" s="120" t="s">
        <v>622</v>
      </c>
      <c r="E870" s="129">
        <v>13951502.99773732</v>
      </c>
      <c r="F870" s="129">
        <v>697575.1498868661</v>
      </c>
      <c r="G870" s="129">
        <v>2092725.4496605983</v>
      </c>
      <c r="H870" s="129">
        <v>2511270.5395927173</v>
      </c>
      <c r="I870" s="129">
        <v>1255635.2697963584</v>
      </c>
      <c r="J870" s="129">
        <v>1255635.2697963598</v>
      </c>
      <c r="K870" s="129">
        <v>1255635.2697963584</v>
      </c>
      <c r="L870" s="129">
        <v>1395150.2997737317</v>
      </c>
      <c r="M870" s="129">
        <v>3487875.74943433</v>
      </c>
      <c r="N870" s="130">
        <v>6138661.3190044202</v>
      </c>
      <c r="O870" s="86"/>
      <c r="P870" s="14"/>
      <c r="Q870" s="14"/>
      <c r="R870" s="14"/>
      <c r="S870" s="14"/>
      <c r="T870" s="14"/>
      <c r="U870" s="14"/>
    </row>
    <row r="871" spans="1:21" ht="18.75" customHeight="1" x14ac:dyDescent="0.25">
      <c r="A871" s="14"/>
      <c r="B871" s="15"/>
      <c r="C871" s="122" t="s">
        <v>776</v>
      </c>
      <c r="D871" s="120" t="s">
        <v>579</v>
      </c>
      <c r="E871" s="125">
        <v>2.3427218689234994</v>
      </c>
      <c r="F871" s="125">
        <v>0</v>
      </c>
      <c r="G871" s="125">
        <v>0.27261350522635441</v>
      </c>
      <c r="H871" s="125">
        <v>1.1607162290821988</v>
      </c>
      <c r="I871" s="125">
        <v>1.8131838731479712</v>
      </c>
      <c r="J871" s="125">
        <v>2.2555985539971259</v>
      </c>
      <c r="K871" s="125">
        <v>2.7260168903621906</v>
      </c>
      <c r="L871" s="125">
        <v>3.2654436287202766</v>
      </c>
      <c r="M871" s="125">
        <v>4.6192984818282685</v>
      </c>
      <c r="N871" s="131">
        <v>3.9243420533220266</v>
      </c>
      <c r="O871" s="87"/>
      <c r="P871" s="14"/>
      <c r="Q871" s="14"/>
      <c r="R871" s="14"/>
      <c r="S871" s="14"/>
      <c r="T871" s="14"/>
      <c r="U871" s="14"/>
    </row>
    <row r="872" spans="1:21" ht="18.75" customHeight="1" x14ac:dyDescent="0.25">
      <c r="A872" s="14"/>
      <c r="B872" s="15"/>
      <c r="C872" s="122" t="s">
        <v>777</v>
      </c>
      <c r="D872" s="210" t="s">
        <v>778</v>
      </c>
      <c r="E872" s="125">
        <v>1033.6602505558653</v>
      </c>
      <c r="F872" s="132">
        <v>0</v>
      </c>
      <c r="G872" s="132">
        <v>0</v>
      </c>
      <c r="H872" s="132">
        <v>31.084192195416264</v>
      </c>
      <c r="I872" s="132">
        <v>225.73060002535013</v>
      </c>
      <c r="J872" s="132">
        <v>468.48772248285729</v>
      </c>
      <c r="K872" s="132">
        <v>831.63538386884977</v>
      </c>
      <c r="L872" s="132">
        <v>1374.2120220993572</v>
      </c>
      <c r="M872" s="125">
        <v>3013.2682407072789</v>
      </c>
      <c r="N872" s="133">
        <v>2194.5123793976181</v>
      </c>
      <c r="O872" s="88"/>
      <c r="P872" s="14"/>
      <c r="Q872" s="14"/>
      <c r="R872" s="14"/>
      <c r="S872" s="14"/>
      <c r="T872" s="14"/>
      <c r="U872" s="14"/>
    </row>
    <row r="873" spans="1:21" ht="18.75" customHeight="1" x14ac:dyDescent="0.25">
      <c r="A873" s="14"/>
      <c r="B873" s="15"/>
      <c r="C873" s="119" t="s">
        <v>779</v>
      </c>
      <c r="D873" s="120" t="s">
        <v>970</v>
      </c>
      <c r="E873" s="132">
        <v>29.603351955307261</v>
      </c>
      <c r="F873" s="125">
        <v>73.236664980076824</v>
      </c>
      <c r="G873" s="125">
        <v>56.024618441523785</v>
      </c>
      <c r="H873" s="125">
        <v>38.173103329659462</v>
      </c>
      <c r="I873" s="125">
        <v>29.213109622715251</v>
      </c>
      <c r="J873" s="125">
        <v>24.638189946288563</v>
      </c>
      <c r="K873" s="125">
        <v>20.590469471072709</v>
      </c>
      <c r="L873" s="125">
        <v>16.423374422127154</v>
      </c>
      <c r="M873" s="125">
        <v>2.0118207757983271</v>
      </c>
      <c r="N873" s="131">
        <v>11.335567654674108</v>
      </c>
      <c r="O873" s="88"/>
      <c r="P873" s="14"/>
      <c r="Q873" s="14"/>
      <c r="R873" s="14"/>
      <c r="S873" s="14"/>
      <c r="T873" s="14"/>
      <c r="U873" s="14"/>
    </row>
    <row r="874" spans="1:21" ht="18.75" customHeight="1" x14ac:dyDescent="0.25">
      <c r="A874" s="14"/>
      <c r="B874" s="15"/>
      <c r="C874" s="119" t="s">
        <v>580</v>
      </c>
      <c r="D874" s="120" t="s">
        <v>581</v>
      </c>
      <c r="E874" s="125">
        <v>877.45301872561765</v>
      </c>
      <c r="F874" s="125">
        <v>690.45093859351459</v>
      </c>
      <c r="G874" s="125">
        <v>753.82434410381586</v>
      </c>
      <c r="H874" s="125">
        <v>833.13512705280766</v>
      </c>
      <c r="I874" s="125">
        <v>879.58364337454168</v>
      </c>
      <c r="J874" s="125">
        <v>905.35584246639451</v>
      </c>
      <c r="K874" s="125">
        <v>929.45089190408794</v>
      </c>
      <c r="L874" s="125">
        <v>955.63411159483758</v>
      </c>
      <c r="M874" s="125">
        <v>1058.7873169476272</v>
      </c>
      <c r="N874" s="131">
        <v>989.67382439197502</v>
      </c>
      <c r="O874" s="88"/>
      <c r="P874" s="14"/>
      <c r="Q874" s="14"/>
      <c r="R874" s="14"/>
      <c r="S874" s="14"/>
      <c r="T874" s="14"/>
      <c r="U874" s="14"/>
    </row>
    <row r="875" spans="1:21" ht="18.75" customHeight="1" x14ac:dyDescent="0.25">
      <c r="A875" s="14"/>
      <c r="B875" s="15"/>
      <c r="C875" s="119" t="s">
        <v>541</v>
      </c>
      <c r="D875" s="120" t="s">
        <v>579</v>
      </c>
      <c r="E875" s="125">
        <v>12.099088523871323</v>
      </c>
      <c r="F875" s="125">
        <v>15.07453624319454</v>
      </c>
      <c r="G875" s="125">
        <v>14.085125646826601</v>
      </c>
      <c r="H875" s="125">
        <v>13</v>
      </c>
      <c r="I875" s="125">
        <v>12.878503685917018</v>
      </c>
      <c r="J875" s="125">
        <v>12.326405568240141</v>
      </c>
      <c r="K875" s="125">
        <v>11.820603071024895</v>
      </c>
      <c r="L875" s="125">
        <v>11.269211369524839</v>
      </c>
      <c r="M875" s="125">
        <v>9.7642707580604675</v>
      </c>
      <c r="N875" s="131">
        <v>10.526916142863275</v>
      </c>
      <c r="O875" s="89"/>
      <c r="P875" s="14"/>
      <c r="Q875" s="14"/>
      <c r="R875" s="14"/>
      <c r="S875" s="14"/>
      <c r="T875" s="14"/>
      <c r="U875" s="14"/>
    </row>
    <row r="876" spans="1:21" ht="18.75" customHeight="1" x14ac:dyDescent="0.25">
      <c r="A876" s="14"/>
      <c r="B876" s="15"/>
      <c r="C876" s="119" t="s">
        <v>544</v>
      </c>
      <c r="D876" s="120" t="s">
        <v>579</v>
      </c>
      <c r="E876" s="125">
        <v>5.8</v>
      </c>
      <c r="F876" s="128"/>
      <c r="G876" s="128"/>
      <c r="H876" s="128"/>
      <c r="I876" s="128"/>
      <c r="J876" s="128"/>
      <c r="K876" s="128"/>
      <c r="L876" s="128"/>
      <c r="M876" s="125">
        <v>23.1768</v>
      </c>
      <c r="N876" s="131">
        <v>13.181818181818182</v>
      </c>
      <c r="O876" s="90"/>
      <c r="P876" s="14"/>
      <c r="Q876" s="14"/>
      <c r="R876" s="14"/>
      <c r="S876" s="14"/>
      <c r="T876" s="14"/>
      <c r="U876" s="14"/>
    </row>
    <row r="877" spans="1:21" ht="18.75" customHeight="1" x14ac:dyDescent="0.25">
      <c r="A877" s="14"/>
      <c r="B877" s="15"/>
      <c r="C877" s="119" t="s">
        <v>780</v>
      </c>
      <c r="D877" s="120" t="s">
        <v>783</v>
      </c>
      <c r="E877" s="125">
        <v>11.901576186673271</v>
      </c>
      <c r="F877" s="125">
        <v>12.226027382944853</v>
      </c>
      <c r="G877" s="125">
        <v>11.938352297328032</v>
      </c>
      <c r="H877" s="125">
        <v>11.673198996869623</v>
      </c>
      <c r="I877" s="125">
        <v>11.608271730186518</v>
      </c>
      <c r="J877" s="125">
        <v>11.606943120310182</v>
      </c>
      <c r="K877" s="125">
        <v>11.614671523537362</v>
      </c>
      <c r="L877" s="125">
        <v>11.601687480304905</v>
      </c>
      <c r="M877" s="125">
        <v>11.144359520410879</v>
      </c>
      <c r="N877" s="131">
        <v>11.513636548665648</v>
      </c>
      <c r="O877" s="89"/>
      <c r="P877" s="14"/>
      <c r="Q877" s="14"/>
      <c r="R877" s="14"/>
      <c r="S877" s="14"/>
      <c r="T877" s="14"/>
      <c r="U877" s="14"/>
    </row>
    <row r="878" spans="1:21" ht="18.75" customHeight="1" x14ac:dyDescent="0.25">
      <c r="A878" s="14"/>
      <c r="B878" s="15"/>
      <c r="C878" s="122" t="s">
        <v>781</v>
      </c>
      <c r="D878" s="120" t="s">
        <v>782</v>
      </c>
      <c r="E878" s="125">
        <v>361.44482758620677</v>
      </c>
      <c r="F878" s="134">
        <v>62.020689655172426</v>
      </c>
      <c r="G878" s="134">
        <v>132.97068965517241</v>
      </c>
      <c r="H878" s="134">
        <v>239.38965517241382</v>
      </c>
      <c r="I878" s="134">
        <v>319.97413793103442</v>
      </c>
      <c r="J878" s="134">
        <v>373.43103448275861</v>
      </c>
      <c r="K878" s="134">
        <v>427.83965517241381</v>
      </c>
      <c r="L878" s="134">
        <v>486.21379310344832</v>
      </c>
      <c r="M878" s="134">
        <v>642.23333333333323</v>
      </c>
      <c r="N878" s="135">
        <v>551.22586206896551</v>
      </c>
      <c r="O878" s="89"/>
      <c r="P878" s="14"/>
      <c r="Q878" s="14"/>
      <c r="R878" s="14"/>
      <c r="S878" s="14"/>
      <c r="T878" s="14"/>
      <c r="U878" s="14"/>
    </row>
    <row r="879" spans="1:21" ht="18.75" customHeight="1" x14ac:dyDescent="0.25">
      <c r="A879" s="14"/>
      <c r="B879" s="15"/>
      <c r="C879" s="122"/>
      <c r="D879" s="210"/>
      <c r="E879" s="210"/>
      <c r="F879" s="210"/>
      <c r="G879" s="210"/>
      <c r="H879" s="210"/>
      <c r="I879" s="210"/>
      <c r="J879" s="210"/>
      <c r="K879" s="210"/>
      <c r="L879" s="210"/>
      <c r="M879" s="210"/>
      <c r="N879" s="115"/>
      <c r="O879" s="89"/>
      <c r="P879" s="14"/>
      <c r="Q879" s="14"/>
      <c r="R879" s="14"/>
      <c r="S879" s="14"/>
      <c r="T879" s="14"/>
      <c r="U879" s="14"/>
    </row>
    <row r="880" spans="1:21" ht="18.75" customHeight="1" x14ac:dyDescent="0.25">
      <c r="A880" s="14"/>
      <c r="B880" s="15"/>
      <c r="C880" s="2199" t="s">
        <v>2058</v>
      </c>
      <c r="D880" s="2200" t="s">
        <v>2044</v>
      </c>
      <c r="E880" s="2200"/>
      <c r="F880" s="2200"/>
      <c r="G880" s="2200"/>
      <c r="H880" s="2200"/>
      <c r="I880" s="2200"/>
      <c r="J880" s="2200"/>
      <c r="K880" s="2200"/>
      <c r="L880" s="2200"/>
      <c r="M880" s="2200"/>
      <c r="N880" s="2201"/>
      <c r="O880" s="89"/>
      <c r="P880" s="14"/>
      <c r="Q880" s="14"/>
      <c r="R880" s="14"/>
      <c r="S880" s="14"/>
      <c r="T880" s="14"/>
      <c r="U880" s="14"/>
    </row>
    <row r="881" spans="1:21" ht="18.75" customHeight="1" x14ac:dyDescent="0.25">
      <c r="A881" s="14"/>
      <c r="B881" s="15"/>
      <c r="C881" s="2202" t="s">
        <v>1088</v>
      </c>
      <c r="D881" s="210">
        <v>9</v>
      </c>
      <c r="E881" s="104" t="s">
        <v>679</v>
      </c>
      <c r="F881" s="210">
        <v>80.020689655172433</v>
      </c>
      <c r="G881" s="210">
        <v>175.12758620689655</v>
      </c>
      <c r="H881" s="210">
        <v>286.15862068965521</v>
      </c>
      <c r="I881" s="210">
        <v>337.40689655172417</v>
      </c>
      <c r="J881" s="210">
        <v>397.60689655172411</v>
      </c>
      <c r="K881" s="210">
        <v>452.45517241379298</v>
      </c>
      <c r="L881" s="210">
        <v>524.52931034482765</v>
      </c>
      <c r="M881" s="210">
        <v>524.52931034482765</v>
      </c>
      <c r="N881" s="115">
        <v>397.60689655172411</v>
      </c>
      <c r="O881" s="89"/>
      <c r="P881" s="14"/>
      <c r="Q881" s="14"/>
      <c r="R881" s="14"/>
      <c r="S881" s="14"/>
      <c r="T881" s="14"/>
      <c r="U881" s="14"/>
    </row>
    <row r="882" spans="1:21" ht="18.75" customHeight="1" x14ac:dyDescent="0.25">
      <c r="A882" s="14"/>
      <c r="B882" s="15"/>
      <c r="C882" s="119" t="s">
        <v>568</v>
      </c>
      <c r="D882" s="120" t="s">
        <v>623</v>
      </c>
      <c r="E882" s="110" t="s">
        <v>608</v>
      </c>
      <c r="F882" s="110" t="s">
        <v>957</v>
      </c>
      <c r="G882" s="110" t="s">
        <v>572</v>
      </c>
      <c r="H882" s="110" t="s">
        <v>530</v>
      </c>
      <c r="I882" s="110" t="s">
        <v>573</v>
      </c>
      <c r="J882" s="110" t="s">
        <v>574</v>
      </c>
      <c r="K882" s="110" t="s">
        <v>575</v>
      </c>
      <c r="L882" s="110" t="s">
        <v>576</v>
      </c>
      <c r="M882" s="110" t="s">
        <v>577</v>
      </c>
      <c r="N882" s="2203" t="s">
        <v>609</v>
      </c>
      <c r="O882" s="91"/>
      <c r="P882" s="14"/>
      <c r="Q882" s="14"/>
      <c r="R882" s="14"/>
      <c r="S882" s="14"/>
      <c r="T882" s="14"/>
      <c r="U882" s="14"/>
    </row>
    <row r="883" spans="1:21" ht="18.75" customHeight="1" x14ac:dyDescent="0.2">
      <c r="A883" s="14"/>
      <c r="B883" s="15"/>
      <c r="C883" s="119" t="s">
        <v>582</v>
      </c>
      <c r="D883" s="120" t="s">
        <v>566</v>
      </c>
      <c r="E883" s="121">
        <v>98869.287653634703</v>
      </c>
      <c r="F883" s="129">
        <v>11004.365518463737</v>
      </c>
      <c r="G883" s="129">
        <v>20879.826342321732</v>
      </c>
      <c r="H883" s="129">
        <v>23582.866051308851</v>
      </c>
      <c r="I883" s="129">
        <v>8773.2208615893815</v>
      </c>
      <c r="J883" s="129">
        <v>9203.7538194283952</v>
      </c>
      <c r="K883" s="129">
        <v>6440.0414012801575</v>
      </c>
      <c r="L883" s="129">
        <v>7608.9164654742026</v>
      </c>
      <c r="M883" s="129">
        <v>13161.862369645909</v>
      </c>
      <c r="N883" s="130">
        <v>26579.240320803226</v>
      </c>
      <c r="O883" s="17"/>
      <c r="P883" s="14"/>
      <c r="Q883" s="14"/>
      <c r="R883" s="14"/>
      <c r="S883" s="14"/>
      <c r="T883" s="14"/>
      <c r="U883" s="14"/>
    </row>
    <row r="884" spans="1:21" ht="18.75" customHeight="1" x14ac:dyDescent="0.25">
      <c r="A884" s="14"/>
      <c r="B884" s="15"/>
      <c r="C884" s="119" t="s">
        <v>582</v>
      </c>
      <c r="D884" s="120" t="s">
        <v>628</v>
      </c>
      <c r="E884" s="145">
        <v>15720.216736927918</v>
      </c>
      <c r="F884" s="129">
        <v>1749.6941174357344</v>
      </c>
      <c r="G884" s="129">
        <v>3319.8923884291557</v>
      </c>
      <c r="H884" s="129">
        <v>3749.6757021581075</v>
      </c>
      <c r="I884" s="129">
        <v>1394.9421169927118</v>
      </c>
      <c r="J884" s="129">
        <v>1463.3968572891149</v>
      </c>
      <c r="K884" s="129">
        <v>1023.9665828035451</v>
      </c>
      <c r="L884" s="129">
        <v>1209.8177180103983</v>
      </c>
      <c r="M884" s="129">
        <v>2092.7361167736995</v>
      </c>
      <c r="N884" s="130">
        <v>4226.0992110077132</v>
      </c>
      <c r="O884" s="85"/>
      <c r="P884" s="14"/>
      <c r="Q884" s="14"/>
      <c r="R884" s="14"/>
      <c r="S884" s="14"/>
      <c r="T884" s="14"/>
      <c r="U884" s="14"/>
    </row>
    <row r="885" spans="1:21" ht="18.75" customHeight="1" x14ac:dyDescent="0.2">
      <c r="A885" s="14"/>
      <c r="B885" s="15"/>
      <c r="C885" s="119" t="s">
        <v>620</v>
      </c>
      <c r="D885" s="120" t="s">
        <v>622</v>
      </c>
      <c r="E885" s="129">
        <v>13328334</v>
      </c>
      <c r="F885" s="129">
        <v>1191553.0596</v>
      </c>
      <c r="G885" s="129">
        <v>2548377.4607999995</v>
      </c>
      <c r="H885" s="129">
        <v>2884251.4776000003</v>
      </c>
      <c r="I885" s="129">
        <v>1199550.06</v>
      </c>
      <c r="J885" s="129">
        <v>1288849.8978000002</v>
      </c>
      <c r="K885" s="129">
        <v>930317.7131999986</v>
      </c>
      <c r="L885" s="129">
        <v>1154233.7244000016</v>
      </c>
      <c r="M885" s="129">
        <v>2131200.6065999996</v>
      </c>
      <c r="N885" s="130">
        <v>4215752.0441999994</v>
      </c>
      <c r="O885" s="86"/>
      <c r="P885" s="14"/>
      <c r="Q885" s="14"/>
      <c r="R885" s="14"/>
      <c r="S885" s="14"/>
      <c r="T885" s="14"/>
      <c r="U885" s="14"/>
    </row>
    <row r="886" spans="1:21" ht="18.75" customHeight="1" x14ac:dyDescent="0.25">
      <c r="A886" s="14"/>
      <c r="B886" s="15"/>
      <c r="C886" s="122" t="s">
        <v>776</v>
      </c>
      <c r="D886" s="120" t="s">
        <v>579</v>
      </c>
      <c r="E886" s="125">
        <v>1.0660000000000001</v>
      </c>
      <c r="F886" s="125">
        <v>0</v>
      </c>
      <c r="G886" s="125">
        <v>0</v>
      </c>
      <c r="H886" s="125">
        <v>0</v>
      </c>
      <c r="I886" s="125">
        <v>0.6487779076900827</v>
      </c>
      <c r="J886" s="125">
        <v>0.89112114629327022</v>
      </c>
      <c r="K886" s="125">
        <v>1.3467155056077114</v>
      </c>
      <c r="L886" s="125">
        <v>2.202380158193443</v>
      </c>
      <c r="M886" s="125">
        <v>3.981936894748987</v>
      </c>
      <c r="N886" s="131">
        <v>2.9131791762925503</v>
      </c>
      <c r="O886" s="87"/>
      <c r="P886" s="14"/>
      <c r="Q886" s="14"/>
      <c r="R886" s="14"/>
      <c r="S886" s="14"/>
      <c r="T886" s="14"/>
      <c r="U886" s="14"/>
    </row>
    <row r="887" spans="1:21" ht="18.75" customHeight="1" x14ac:dyDescent="0.25">
      <c r="A887" s="14"/>
      <c r="B887" s="15"/>
      <c r="C887" s="122" t="s">
        <v>777</v>
      </c>
      <c r="D887" s="210" t="s">
        <v>778</v>
      </c>
      <c r="E887" s="125">
        <v>857.18000000000006</v>
      </c>
      <c r="F887" s="132">
        <v>0</v>
      </c>
      <c r="G887" s="132">
        <v>0</v>
      </c>
      <c r="H887" s="132">
        <v>0</v>
      </c>
      <c r="I887" s="132">
        <v>80.489823800411429</v>
      </c>
      <c r="J887" s="132">
        <v>298.68594102448935</v>
      </c>
      <c r="K887" s="132">
        <v>819.29158964330929</v>
      </c>
      <c r="L887" s="132">
        <v>1879.9161974447893</v>
      </c>
      <c r="M887" s="125">
        <v>3759.0099418703762</v>
      </c>
      <c r="N887" s="133">
        <v>2595.8045695886658</v>
      </c>
      <c r="O887" s="88"/>
      <c r="P887" s="14"/>
      <c r="Q887" s="14"/>
      <c r="R887" s="14"/>
      <c r="S887" s="14"/>
      <c r="T887" s="14"/>
      <c r="U887" s="14"/>
    </row>
    <row r="888" spans="1:21" ht="18.75" customHeight="1" x14ac:dyDescent="0.25">
      <c r="A888" s="14"/>
      <c r="B888" s="15"/>
      <c r="C888" s="119" t="s">
        <v>779</v>
      </c>
      <c r="D888" s="120" t="s">
        <v>970</v>
      </c>
      <c r="E888" s="132">
        <v>37.134928303867554</v>
      </c>
      <c r="F888" s="125">
        <v>76.074987722112382</v>
      </c>
      <c r="G888" s="125">
        <v>52.656277104321703</v>
      </c>
      <c r="H888" s="125">
        <v>52.275181412300356</v>
      </c>
      <c r="I888" s="125">
        <v>32.885718998680034</v>
      </c>
      <c r="J888" s="125">
        <v>29.004070885807039</v>
      </c>
      <c r="K888" s="125">
        <v>24.089673349401096</v>
      </c>
      <c r="L888" s="125">
        <v>16.667330557200671</v>
      </c>
      <c r="M888" s="125">
        <v>7.3086126985997453</v>
      </c>
      <c r="N888" s="131">
        <v>10.206869613339165</v>
      </c>
      <c r="O888" s="88"/>
      <c r="P888" s="14"/>
      <c r="Q888" s="14"/>
      <c r="R888" s="14"/>
      <c r="S888" s="14"/>
      <c r="T888" s="14"/>
      <c r="U888" s="14"/>
    </row>
    <row r="889" spans="1:21" ht="18.75" customHeight="1" x14ac:dyDescent="0.25">
      <c r="A889" s="14"/>
      <c r="B889" s="15"/>
      <c r="C889" s="119" t="s">
        <v>580</v>
      </c>
      <c r="D889" s="120" t="s">
        <v>581</v>
      </c>
      <c r="E889" s="125">
        <v>838.26</v>
      </c>
      <c r="F889" s="125">
        <v>681.00649577897741</v>
      </c>
      <c r="G889" s="125">
        <v>767.60845311790149</v>
      </c>
      <c r="H889" s="125">
        <v>769.2002473547202</v>
      </c>
      <c r="I889" s="125">
        <v>859.92819729757105</v>
      </c>
      <c r="J889" s="125">
        <v>880.72479545127896</v>
      </c>
      <c r="K889" s="125">
        <v>908.54304117313791</v>
      </c>
      <c r="L889" s="125">
        <v>954.05589388969508</v>
      </c>
      <c r="M889" s="125">
        <v>1018.3799999999999</v>
      </c>
      <c r="N889" s="131">
        <v>997.55160343118246</v>
      </c>
      <c r="O889" s="88"/>
      <c r="P889" s="14"/>
      <c r="Q889" s="14"/>
      <c r="R889" s="14"/>
      <c r="S889" s="14"/>
      <c r="T889" s="14"/>
      <c r="U889" s="14"/>
    </row>
    <row r="890" spans="1:21" ht="18.75" customHeight="1" x14ac:dyDescent="0.25">
      <c r="A890" s="14"/>
      <c r="B890" s="15"/>
      <c r="C890" s="119" t="s">
        <v>541</v>
      </c>
      <c r="D890" s="120" t="s">
        <v>579</v>
      </c>
      <c r="E890" s="125">
        <v>12.316561298994559</v>
      </c>
      <c r="F890" s="125">
        <v>15.252247949748746</v>
      </c>
      <c r="G890" s="125">
        <v>13.635043961438484</v>
      </c>
      <c r="H890" s="125">
        <v>13.61310593047088</v>
      </c>
      <c r="I890" s="125">
        <v>13.381811291076929</v>
      </c>
      <c r="J890" s="125">
        <v>12.962889602370277</v>
      </c>
      <c r="K890" s="125">
        <v>12.361105009104151</v>
      </c>
      <c r="L890" s="125">
        <v>11.308182687936563</v>
      </c>
      <c r="M890" s="125">
        <v>6.880210208562727</v>
      </c>
      <c r="N890" s="131">
        <v>9.3020529963956875</v>
      </c>
      <c r="O890" s="89"/>
      <c r="P890" s="14"/>
      <c r="Q890" s="14"/>
      <c r="R890" s="14"/>
      <c r="S890" s="14"/>
      <c r="T890" s="14"/>
      <c r="U890" s="14"/>
    </row>
    <row r="891" spans="1:21" ht="18.75" customHeight="1" x14ac:dyDescent="0.25">
      <c r="A891" s="14"/>
      <c r="B891" s="15"/>
      <c r="C891" s="119" t="s">
        <v>544</v>
      </c>
      <c r="D891" s="120" t="s">
        <v>579</v>
      </c>
      <c r="E891" s="125">
        <v>2.93</v>
      </c>
      <c r="F891" s="128"/>
      <c r="G891" s="128"/>
      <c r="H891" s="128"/>
      <c r="I891" s="128"/>
      <c r="J891" s="128"/>
      <c r="K891" s="128"/>
      <c r="L891" s="128"/>
      <c r="M891" s="125">
        <v>18.305628517823646</v>
      </c>
      <c r="N891" s="131">
        <v>9.2633575719253898</v>
      </c>
      <c r="O891" s="90"/>
      <c r="P891" s="14"/>
      <c r="Q891" s="14"/>
      <c r="R891" s="14"/>
      <c r="S891" s="14"/>
      <c r="T891" s="14"/>
      <c r="U891" s="14"/>
    </row>
    <row r="892" spans="1:21" ht="18.75" customHeight="1" x14ac:dyDescent="0.25">
      <c r="A892" s="14"/>
      <c r="B892" s="15"/>
      <c r="C892" s="119" t="s">
        <v>780</v>
      </c>
      <c r="D892" s="120" t="s">
        <v>783</v>
      </c>
      <c r="E892" s="125">
        <v>11.98304915158328</v>
      </c>
      <c r="F892" s="125">
        <v>12.285814538107497</v>
      </c>
      <c r="G892" s="125">
        <v>11.711673855735214</v>
      </c>
      <c r="H892" s="125">
        <v>11.705692441977126</v>
      </c>
      <c r="I892" s="125">
        <v>11.836230777228607</v>
      </c>
      <c r="J892" s="125">
        <v>11.903556305422063</v>
      </c>
      <c r="K892" s="125">
        <v>11.860727784068212</v>
      </c>
      <c r="L892" s="125">
        <v>11.615647269380252</v>
      </c>
      <c r="M892" s="125">
        <v>11.465689476531672</v>
      </c>
      <c r="N892" s="131">
        <v>11.308234759359037</v>
      </c>
      <c r="O892" s="89"/>
      <c r="P892" s="14"/>
      <c r="Q892" s="14"/>
      <c r="R892" s="14"/>
      <c r="S892" s="14"/>
      <c r="T892" s="14"/>
      <c r="U892" s="14"/>
    </row>
    <row r="893" spans="1:21" ht="18.75" customHeight="1" x14ac:dyDescent="0.25">
      <c r="A893" s="14"/>
      <c r="B893" s="15"/>
      <c r="C893" s="122" t="s">
        <v>781</v>
      </c>
      <c r="D893" s="120" t="s">
        <v>782</v>
      </c>
      <c r="E893" s="125">
        <v>291.60000000000002</v>
      </c>
      <c r="F893" s="134">
        <v>53.2</v>
      </c>
      <c r="G893" s="134">
        <v>131.69999999999999</v>
      </c>
      <c r="H893" s="134">
        <v>133.6</v>
      </c>
      <c r="I893" s="134">
        <v>314.39999999999998</v>
      </c>
      <c r="J893" s="134">
        <v>368.9</v>
      </c>
      <c r="K893" s="134">
        <v>424.1</v>
      </c>
      <c r="L893" s="134">
        <v>485.2</v>
      </c>
      <c r="M893" s="134">
        <v>613.9</v>
      </c>
      <c r="N893" s="135">
        <v>526.70000000000005</v>
      </c>
      <c r="O893" s="89"/>
      <c r="P893" s="14"/>
      <c r="Q893" s="14"/>
      <c r="R893" s="14"/>
      <c r="S893" s="14"/>
      <c r="T893" s="14"/>
      <c r="U893" s="14"/>
    </row>
    <row r="894" spans="1:21" ht="18.75" customHeight="1" x14ac:dyDescent="0.25">
      <c r="A894" s="14"/>
      <c r="B894" s="15"/>
      <c r="C894" s="122"/>
      <c r="D894" s="210"/>
      <c r="E894" s="210"/>
      <c r="F894" s="210"/>
      <c r="G894" s="210"/>
      <c r="H894" s="210"/>
      <c r="I894" s="210"/>
      <c r="J894" s="210"/>
      <c r="K894" s="210"/>
      <c r="L894" s="210"/>
      <c r="M894" s="210"/>
      <c r="N894" s="115"/>
      <c r="O894" s="89"/>
      <c r="P894" s="14"/>
      <c r="Q894" s="14"/>
      <c r="R894" s="14"/>
      <c r="S894" s="14"/>
      <c r="T894" s="14"/>
      <c r="U894" s="14"/>
    </row>
    <row r="895" spans="1:21" ht="18.75" customHeight="1" x14ac:dyDescent="0.25">
      <c r="A895" s="14"/>
      <c r="B895" s="15"/>
      <c r="C895" s="2199" t="s">
        <v>1479</v>
      </c>
      <c r="D895" s="2200" t="s">
        <v>1477</v>
      </c>
      <c r="E895" s="2200" t="s">
        <v>2059</v>
      </c>
      <c r="F895" s="2200" t="s">
        <v>569</v>
      </c>
      <c r="G895" s="2200"/>
      <c r="H895" s="2200"/>
      <c r="I895" s="2200"/>
      <c r="J895" s="2200"/>
      <c r="K895" s="2200"/>
      <c r="L895" s="2200"/>
      <c r="M895" s="2200"/>
      <c r="N895" s="2201"/>
      <c r="O895" s="89"/>
      <c r="P895" s="14"/>
      <c r="Q895" s="14"/>
      <c r="R895" s="14"/>
      <c r="S895" s="14"/>
      <c r="T895" s="14"/>
      <c r="U895" s="14"/>
    </row>
    <row r="896" spans="1:21" ht="18.75" customHeight="1" x14ac:dyDescent="0.25">
      <c r="A896" s="14"/>
      <c r="B896" s="15"/>
      <c r="C896" s="2202" t="s">
        <v>1088</v>
      </c>
      <c r="D896" s="210">
        <v>14</v>
      </c>
      <c r="E896" s="104" t="s">
        <v>679</v>
      </c>
      <c r="F896" s="210">
        <v>80.33214285714287</v>
      </c>
      <c r="G896" s="210">
        <v>169.37142857142857</v>
      </c>
      <c r="H896" s="210">
        <v>284.44642857142856</v>
      </c>
      <c r="I896" s="210">
        <v>339.68214285714282</v>
      </c>
      <c r="J896" s="210">
        <v>393.91071428571416</v>
      </c>
      <c r="K896" s="210">
        <v>452.5214285714286</v>
      </c>
      <c r="L896" s="210">
        <v>522.17500000000007</v>
      </c>
      <c r="M896" s="210">
        <v>522.17500000000007</v>
      </c>
      <c r="N896" s="115">
        <v>393.91071428571416</v>
      </c>
      <c r="O896" s="91"/>
      <c r="P896" s="14"/>
      <c r="Q896" s="14"/>
      <c r="R896" s="14"/>
      <c r="S896" s="14"/>
      <c r="T896" s="14"/>
      <c r="U896" s="14"/>
    </row>
    <row r="897" spans="1:21" ht="18.75" customHeight="1" x14ac:dyDescent="0.2">
      <c r="A897" s="14"/>
      <c r="B897" s="15"/>
      <c r="C897" s="119" t="s">
        <v>568</v>
      </c>
      <c r="D897" s="120" t="s">
        <v>623</v>
      </c>
      <c r="E897" s="110" t="s">
        <v>608</v>
      </c>
      <c r="F897" s="110" t="s">
        <v>957</v>
      </c>
      <c r="G897" s="110" t="s">
        <v>572</v>
      </c>
      <c r="H897" s="110" t="s">
        <v>530</v>
      </c>
      <c r="I897" s="110" t="s">
        <v>573</v>
      </c>
      <c r="J897" s="110" t="s">
        <v>574</v>
      </c>
      <c r="K897" s="110" t="s">
        <v>575</v>
      </c>
      <c r="L897" s="110" t="s">
        <v>576</v>
      </c>
      <c r="M897" s="110" t="s">
        <v>577</v>
      </c>
      <c r="N897" s="2203" t="s">
        <v>609</v>
      </c>
      <c r="O897" s="17"/>
      <c r="P897" s="14"/>
      <c r="Q897" s="14"/>
      <c r="R897" s="14"/>
      <c r="S897" s="14"/>
      <c r="T897" s="14"/>
      <c r="U897" s="14"/>
    </row>
    <row r="898" spans="1:21" ht="18.75" customHeight="1" x14ac:dyDescent="0.25">
      <c r="A898" s="14"/>
      <c r="B898" s="15"/>
      <c r="C898" s="119" t="s">
        <v>582</v>
      </c>
      <c r="D898" s="120" t="s">
        <v>566</v>
      </c>
      <c r="E898" s="121">
        <v>100406.00091512053</v>
      </c>
      <c r="F898" s="129">
        <v>8854.6917891627254</v>
      </c>
      <c r="G898" s="129">
        <v>11207.451959744638</v>
      </c>
      <c r="H898" s="129">
        <v>12947.234453137195</v>
      </c>
      <c r="I898" s="129">
        <v>6102.4732758031041</v>
      </c>
      <c r="J898" s="129">
        <v>7918.4348354062522</v>
      </c>
      <c r="K898" s="129">
        <v>6785.1135157071358</v>
      </c>
      <c r="L898" s="129">
        <v>8564.7706191412108</v>
      </c>
      <c r="M898" s="129">
        <v>38025.83046701827</v>
      </c>
      <c r="N898" s="130">
        <v>51478.115850178452</v>
      </c>
      <c r="O898" s="85"/>
      <c r="P898" s="14"/>
      <c r="Q898" s="14"/>
      <c r="R898" s="14"/>
      <c r="S898" s="14"/>
      <c r="T898" s="14"/>
      <c r="U898" s="14"/>
    </row>
    <row r="899" spans="1:21" ht="40.5" customHeight="1" x14ac:dyDescent="0.2">
      <c r="A899" s="14"/>
      <c r="B899" s="15"/>
      <c r="C899" s="119" t="s">
        <v>582</v>
      </c>
      <c r="D899" s="120" t="s">
        <v>628</v>
      </c>
      <c r="E899" s="145">
        <v>15964.554145504164</v>
      </c>
      <c r="F899" s="129">
        <v>1407.8959944768733</v>
      </c>
      <c r="G899" s="129">
        <v>1781.9848615993974</v>
      </c>
      <c r="H899" s="129">
        <v>2058.6102780488141</v>
      </c>
      <c r="I899" s="129">
        <v>970.29325085269352</v>
      </c>
      <c r="J899" s="129">
        <v>1259.0311388295941</v>
      </c>
      <c r="K899" s="129">
        <v>1078.8330489974346</v>
      </c>
      <c r="L899" s="129">
        <v>1361.7985284434526</v>
      </c>
      <c r="M899" s="129">
        <v>6046.1070442559048</v>
      </c>
      <c r="N899" s="130">
        <v>8185.0204201783736</v>
      </c>
      <c r="O899" s="86"/>
      <c r="P899" s="14"/>
      <c r="Q899" s="14"/>
      <c r="R899" s="14"/>
      <c r="S899" s="14"/>
      <c r="T899" s="14"/>
      <c r="U899" s="14"/>
    </row>
    <row r="900" spans="1:21" ht="18.75" customHeight="1" x14ac:dyDescent="0.25">
      <c r="A900" s="14"/>
      <c r="B900" s="15"/>
      <c r="C900" s="119" t="s">
        <v>620</v>
      </c>
      <c r="D900" s="120" t="s">
        <v>622</v>
      </c>
      <c r="E900" s="129">
        <v>14774632.36310479</v>
      </c>
      <c r="F900" s="129">
        <v>886477.94178628735</v>
      </c>
      <c r="G900" s="129">
        <v>1329716.912679431</v>
      </c>
      <c r="H900" s="129">
        <v>1772955.8835725752</v>
      </c>
      <c r="I900" s="129">
        <v>886477.94178628735</v>
      </c>
      <c r="J900" s="129">
        <v>1181970.5890483826</v>
      </c>
      <c r="K900" s="129">
        <v>1034224.2654173354</v>
      </c>
      <c r="L900" s="129">
        <v>1329716.9126794308</v>
      </c>
      <c r="M900" s="129">
        <v>6353091.9161350606</v>
      </c>
      <c r="N900" s="130">
        <v>8717033.0942318272</v>
      </c>
      <c r="O900" s="87"/>
      <c r="P900" s="14"/>
      <c r="Q900" s="14"/>
      <c r="R900" s="14"/>
      <c r="S900" s="14"/>
      <c r="T900" s="14"/>
      <c r="U900" s="14"/>
    </row>
    <row r="901" spans="1:21" ht="18.75" customHeight="1" x14ac:dyDescent="0.25">
      <c r="A901" s="14"/>
      <c r="B901" s="15"/>
      <c r="C901" s="122" t="s">
        <v>776</v>
      </c>
      <c r="D901" s="120" t="s">
        <v>579</v>
      </c>
      <c r="E901" s="125">
        <v>5.1412950049278532</v>
      </c>
      <c r="F901" s="125">
        <v>0</v>
      </c>
      <c r="G901" s="125">
        <v>0.14000000000000001</v>
      </c>
      <c r="H901" s="125">
        <v>2.1427750286814842</v>
      </c>
      <c r="I901" s="125">
        <v>2.9828938913936138</v>
      </c>
      <c r="J901" s="125">
        <v>3.543637077707575</v>
      </c>
      <c r="K901" s="125">
        <v>4.1831786497874548</v>
      </c>
      <c r="L901" s="125">
        <v>4.9035819963173077</v>
      </c>
      <c r="M901" s="125">
        <v>8.5464012014701698</v>
      </c>
      <c r="N901" s="131">
        <v>7.4730464437048356</v>
      </c>
      <c r="O901" s="88"/>
      <c r="P901" s="14"/>
      <c r="Q901" s="14"/>
      <c r="R901" s="14"/>
      <c r="S901" s="14"/>
      <c r="T901" s="14"/>
      <c r="U901" s="14"/>
    </row>
    <row r="902" spans="1:21" ht="18.75" customHeight="1" x14ac:dyDescent="0.25">
      <c r="A902" s="14"/>
      <c r="B902" s="15"/>
      <c r="C902" s="122" t="s">
        <v>777</v>
      </c>
      <c r="D902" s="210" t="s">
        <v>778</v>
      </c>
      <c r="E902" s="125">
        <v>1978.5400812019386</v>
      </c>
      <c r="F902" s="132">
        <v>0</v>
      </c>
      <c r="G902" s="132">
        <v>0</v>
      </c>
      <c r="H902" s="132">
        <v>0</v>
      </c>
      <c r="I902" s="132">
        <v>195.26786695475369</v>
      </c>
      <c r="J902" s="132">
        <v>447.27864010972075</v>
      </c>
      <c r="K902" s="132">
        <v>842.03848294019167</v>
      </c>
      <c r="L902" s="132">
        <v>1363.814359858545</v>
      </c>
      <c r="M902" s="125">
        <v>4068.2691436809146</v>
      </c>
      <c r="N902" s="133">
        <v>3272.9520643658911</v>
      </c>
      <c r="O902" s="88"/>
      <c r="P902" s="14"/>
      <c r="Q902" s="14"/>
      <c r="R902" s="14"/>
      <c r="S902" s="14"/>
      <c r="T902" s="14"/>
      <c r="U902" s="14"/>
    </row>
    <row r="903" spans="1:21" ht="18.75" customHeight="1" x14ac:dyDescent="0.25">
      <c r="A903" s="14"/>
      <c r="B903" s="15"/>
      <c r="C903" s="119" t="s">
        <v>779</v>
      </c>
      <c r="D903" s="120" t="s">
        <v>970</v>
      </c>
      <c r="E903" s="132">
        <v>20.627906976744192</v>
      </c>
      <c r="F903" s="125">
        <v>93.007621468247976</v>
      </c>
      <c r="G903" s="125">
        <v>57.940689908706887</v>
      </c>
      <c r="H903" s="125">
        <v>32.636306541079364</v>
      </c>
      <c r="I903" s="125">
        <v>23.226081138240374</v>
      </c>
      <c r="J903" s="125">
        <v>19.07686475526171</v>
      </c>
      <c r="K903" s="125">
        <v>15.957873963449288</v>
      </c>
      <c r="L903" s="125">
        <v>13.271180891762924</v>
      </c>
      <c r="M903" s="125">
        <v>3.03</v>
      </c>
      <c r="N903" s="131">
        <v>1.2331867693899596</v>
      </c>
      <c r="O903" s="88"/>
      <c r="P903" s="14"/>
      <c r="Q903" s="14"/>
      <c r="R903" s="14"/>
      <c r="S903" s="14"/>
      <c r="T903" s="14"/>
      <c r="U903" s="14"/>
    </row>
    <row r="904" spans="1:21" ht="18.75" customHeight="1" x14ac:dyDescent="0.25">
      <c r="A904" s="14"/>
      <c r="B904" s="15"/>
      <c r="C904" s="119" t="s">
        <v>580</v>
      </c>
      <c r="D904" s="120" t="s">
        <v>581</v>
      </c>
      <c r="E904" s="125">
        <v>929.22216120155917</v>
      </c>
      <c r="F904" s="125">
        <v>629.64732143845094</v>
      </c>
      <c r="G904" s="125">
        <v>746.19989279031302</v>
      </c>
      <c r="H904" s="125">
        <v>861.23920708926664</v>
      </c>
      <c r="I904" s="125">
        <v>913.61857975127691</v>
      </c>
      <c r="J904" s="125">
        <v>938.79376974516492</v>
      </c>
      <c r="K904" s="125">
        <v>958.6508926274048</v>
      </c>
      <c r="L904" s="125">
        <v>976.44173121504889</v>
      </c>
      <c r="M904" s="125">
        <v>1050.773972348175</v>
      </c>
      <c r="N904" s="131">
        <v>1064.99833192131</v>
      </c>
      <c r="O904" s="89"/>
      <c r="P904" s="14"/>
      <c r="Q904" s="14"/>
      <c r="R904" s="14"/>
      <c r="S904" s="14"/>
      <c r="T904" s="14"/>
      <c r="U904" s="14"/>
    </row>
    <row r="905" spans="1:21" ht="18.75" customHeight="1" x14ac:dyDescent="0.25">
      <c r="A905" s="14"/>
      <c r="B905" s="15"/>
      <c r="C905" s="119" t="s">
        <v>541</v>
      </c>
      <c r="D905" s="120" t="s">
        <v>579</v>
      </c>
      <c r="E905" s="125">
        <v>10.595124425695598</v>
      </c>
      <c r="F905" s="125">
        <v>17.27488700498613</v>
      </c>
      <c r="G905" s="125">
        <v>14.328511771400152</v>
      </c>
      <c r="H905" s="125">
        <v>12.290938100222153</v>
      </c>
      <c r="I905" s="125">
        <v>11.975733596918019</v>
      </c>
      <c r="J905" s="125">
        <v>11.441671353196607</v>
      </c>
      <c r="K905" s="125">
        <v>11.060374797719241</v>
      </c>
      <c r="L905" s="125">
        <v>10.731767112586581</v>
      </c>
      <c r="M905" s="125">
        <v>7.9539292416274634</v>
      </c>
      <c r="N905" s="131">
        <v>8.7462285591066937</v>
      </c>
      <c r="O905" s="90"/>
      <c r="P905" s="14"/>
      <c r="Q905" s="14"/>
      <c r="R905" s="14"/>
      <c r="S905" s="14"/>
      <c r="T905" s="14"/>
      <c r="U905" s="14"/>
    </row>
    <row r="906" spans="1:21" ht="18.75" customHeight="1" x14ac:dyDescent="0.25">
      <c r="A906" s="14"/>
      <c r="B906" s="15"/>
      <c r="C906" s="119" t="s">
        <v>544</v>
      </c>
      <c r="D906" s="120" t="s">
        <v>579</v>
      </c>
      <c r="E906" s="125">
        <v>9.3847222222222211</v>
      </c>
      <c r="F906" s="128"/>
      <c r="G906" s="128"/>
      <c r="H906" s="128"/>
      <c r="I906" s="128"/>
      <c r="J906" s="128"/>
      <c r="K906" s="128"/>
      <c r="L906" s="128"/>
      <c r="M906" s="125">
        <v>21.803110465116276</v>
      </c>
      <c r="N906" s="131">
        <v>15.906308851224102</v>
      </c>
      <c r="O906" s="89"/>
      <c r="P906" s="14"/>
      <c r="Q906" s="14"/>
      <c r="R906" s="14"/>
      <c r="S906" s="14"/>
      <c r="T906" s="14"/>
      <c r="U906" s="14"/>
    </row>
    <row r="907" spans="1:21" ht="18.75" customHeight="1" x14ac:dyDescent="0.25">
      <c r="A907" s="14"/>
      <c r="B907" s="15"/>
      <c r="C907" s="119" t="s">
        <v>780</v>
      </c>
      <c r="D907" s="120" t="s">
        <v>783</v>
      </c>
      <c r="E907" s="125">
        <v>11.831727222835607</v>
      </c>
      <c r="F907" s="125">
        <v>13.179815211719585</v>
      </c>
      <c r="G907" s="125">
        <v>12.06405309605865</v>
      </c>
      <c r="H907" s="125">
        <v>11.306943745645603</v>
      </c>
      <c r="I907" s="125">
        <v>11.153043635186147</v>
      </c>
      <c r="J907" s="125">
        <v>11.178406692685241</v>
      </c>
      <c r="K907" s="125">
        <v>11.276953268682952</v>
      </c>
      <c r="L907" s="125">
        <v>11.374222149594271</v>
      </c>
      <c r="M907" s="125">
        <v>11.409399750299787</v>
      </c>
      <c r="N907" s="131">
        <v>11.054435469829633</v>
      </c>
      <c r="O907" s="89"/>
      <c r="P907" s="14"/>
      <c r="Q907" s="14"/>
      <c r="R907" s="14"/>
      <c r="S907" s="14"/>
      <c r="T907" s="14"/>
      <c r="U907" s="14"/>
    </row>
    <row r="908" spans="1:21" ht="18.75" customHeight="1" x14ac:dyDescent="0.25">
      <c r="A908" s="14"/>
      <c r="B908" s="15"/>
      <c r="C908" s="122" t="s">
        <v>781</v>
      </c>
      <c r="D908" s="120" t="s">
        <v>782</v>
      </c>
      <c r="E908" s="125">
        <v>467.33214285714291</v>
      </c>
      <c r="F908" s="134">
        <v>45.292857142857144</v>
      </c>
      <c r="G908" s="134">
        <v>133.34642857142856</v>
      </c>
      <c r="H908" s="134">
        <v>241.38928571428571</v>
      </c>
      <c r="I908" s="134">
        <v>316.35357142857146</v>
      </c>
      <c r="J908" s="134">
        <v>370.81428571428569</v>
      </c>
      <c r="K908" s="134">
        <v>430.84285714285721</v>
      </c>
      <c r="L908" s="134">
        <v>490.18571428571425</v>
      </c>
      <c r="M908" s="134">
        <v>686.97500000000002</v>
      </c>
      <c r="N908" s="135">
        <v>636.06785714285706</v>
      </c>
      <c r="O908" s="89"/>
      <c r="P908" s="14"/>
      <c r="Q908" s="14"/>
      <c r="R908" s="14"/>
      <c r="S908" s="14"/>
      <c r="T908" s="14"/>
      <c r="U908" s="14"/>
    </row>
    <row r="909" spans="1:21" ht="18.75" customHeight="1" x14ac:dyDescent="0.25">
      <c r="A909" s="14"/>
      <c r="B909" s="15"/>
      <c r="C909" s="122"/>
      <c r="D909" s="210"/>
      <c r="E909" s="210"/>
      <c r="F909" s="210"/>
      <c r="G909" s="210"/>
      <c r="H909" s="210"/>
      <c r="I909" s="210"/>
      <c r="J909" s="210"/>
      <c r="K909" s="210"/>
      <c r="L909" s="210"/>
      <c r="M909" s="210"/>
      <c r="N909" s="115"/>
      <c r="O909" s="89"/>
      <c r="P909" s="14"/>
      <c r="Q909" s="14"/>
      <c r="R909" s="14"/>
      <c r="S909" s="14"/>
      <c r="T909" s="14"/>
      <c r="U909" s="14"/>
    </row>
    <row r="910" spans="1:21" ht="18.75" customHeight="1" x14ac:dyDescent="0.25">
      <c r="A910" s="14"/>
      <c r="B910" s="15"/>
      <c r="C910" s="2199" t="s">
        <v>2060</v>
      </c>
      <c r="D910" s="2200"/>
      <c r="E910" s="2200" t="s">
        <v>2061</v>
      </c>
      <c r="F910" s="2200" t="s">
        <v>569</v>
      </c>
      <c r="G910" s="2200"/>
      <c r="H910" s="2200"/>
      <c r="I910" s="2200"/>
      <c r="J910" s="2200"/>
      <c r="K910" s="2200"/>
      <c r="L910" s="2200"/>
      <c r="M910" s="2200"/>
      <c r="N910" s="2201"/>
      <c r="O910" s="89"/>
      <c r="P910" s="14"/>
      <c r="Q910" s="14"/>
      <c r="R910" s="14"/>
      <c r="S910" s="14"/>
      <c r="T910" s="14"/>
      <c r="U910" s="14"/>
    </row>
    <row r="911" spans="1:21" ht="18.75" customHeight="1" x14ac:dyDescent="0.25">
      <c r="A911" s="14"/>
      <c r="B911" s="15"/>
      <c r="C911" s="2202" t="s">
        <v>1088</v>
      </c>
      <c r="D911" s="210">
        <v>16</v>
      </c>
      <c r="E911" s="104" t="s">
        <v>679</v>
      </c>
      <c r="F911" s="210">
        <v>84.350909090909084</v>
      </c>
      <c r="G911" s="210">
        <v>170.17090909090911</v>
      </c>
      <c r="H911" s="210">
        <v>288.79090909090911</v>
      </c>
      <c r="I911" s="210">
        <v>339.80181818181825</v>
      </c>
      <c r="J911" s="210">
        <v>395.52545454545452</v>
      </c>
      <c r="K911" s="210">
        <v>453.77454545454549</v>
      </c>
      <c r="L911" s="210">
        <v>524.2509090909092</v>
      </c>
      <c r="M911" s="210">
        <v>524.2509090909092</v>
      </c>
      <c r="N911" s="115">
        <v>395.52545454545452</v>
      </c>
      <c r="O911" s="91"/>
      <c r="P911" s="14"/>
      <c r="Q911" s="14"/>
      <c r="R911" s="14"/>
      <c r="S911" s="14"/>
      <c r="T911" s="14"/>
      <c r="U911" s="14"/>
    </row>
    <row r="912" spans="1:21" ht="18.75" customHeight="1" x14ac:dyDescent="0.25">
      <c r="A912" s="14"/>
      <c r="B912" s="15"/>
      <c r="C912" s="119" t="s">
        <v>568</v>
      </c>
      <c r="D912" s="120" t="s">
        <v>623</v>
      </c>
      <c r="E912" s="110" t="s">
        <v>608</v>
      </c>
      <c r="F912" s="110" t="s">
        <v>957</v>
      </c>
      <c r="G912" s="110" t="s">
        <v>572</v>
      </c>
      <c r="H912" s="110" t="s">
        <v>530</v>
      </c>
      <c r="I912" s="110" t="s">
        <v>573</v>
      </c>
      <c r="J912" s="110" t="s">
        <v>574</v>
      </c>
      <c r="K912" s="110" t="s">
        <v>575</v>
      </c>
      <c r="L912" s="110" t="s">
        <v>576</v>
      </c>
      <c r="M912" s="110" t="s">
        <v>577</v>
      </c>
      <c r="N912" s="2203" t="s">
        <v>609</v>
      </c>
      <c r="O912" s="91"/>
      <c r="P912" s="14"/>
      <c r="Q912" s="14"/>
      <c r="R912" s="14"/>
      <c r="S912" s="14"/>
      <c r="T912" s="14"/>
      <c r="U912" s="14"/>
    </row>
    <row r="913" spans="1:21" ht="18.75" customHeight="1" x14ac:dyDescent="0.25">
      <c r="A913" s="14"/>
      <c r="B913" s="15"/>
      <c r="C913" s="119" t="s">
        <v>582</v>
      </c>
      <c r="D913" s="120" t="s">
        <v>566</v>
      </c>
      <c r="E913" s="121">
        <v>100586.77952262975</v>
      </c>
      <c r="F913" s="129">
        <v>7371.6329990616705</v>
      </c>
      <c r="G913" s="129">
        <v>8735.9681856117095</v>
      </c>
      <c r="H913" s="129">
        <v>12961.803523120376</v>
      </c>
      <c r="I913" s="129">
        <v>9156.7884780753102</v>
      </c>
      <c r="J913" s="129">
        <v>8937.6517932514435</v>
      </c>
      <c r="K913" s="129">
        <v>8807.9040666741712</v>
      </c>
      <c r="L913" s="129">
        <v>10609.321800280002</v>
      </c>
      <c r="M913" s="129">
        <v>34005.70867655507</v>
      </c>
      <c r="N913" s="130">
        <v>53452.263812618192</v>
      </c>
      <c r="O913" s="91"/>
      <c r="P913" s="14"/>
      <c r="Q913" s="14"/>
      <c r="R913" s="14"/>
      <c r="S913" s="14"/>
      <c r="T913" s="14"/>
      <c r="U913" s="14"/>
    </row>
    <row r="914" spans="1:21" ht="18.75" customHeight="1" x14ac:dyDescent="0.25">
      <c r="A914" s="14"/>
      <c r="B914" s="15"/>
      <c r="C914" s="119" t="s">
        <v>582</v>
      </c>
      <c r="D914" s="120" t="s">
        <v>628</v>
      </c>
      <c r="E914" s="145">
        <v>15993.297944098129</v>
      </c>
      <c r="F914" s="129">
        <v>1172.0896468508056</v>
      </c>
      <c r="G914" s="129">
        <v>1389.0189415122618</v>
      </c>
      <c r="H914" s="129">
        <v>2060.9267601761399</v>
      </c>
      <c r="I914" s="129">
        <v>1455.9293680139742</v>
      </c>
      <c r="J914" s="129">
        <v>1421.0866351269797</v>
      </c>
      <c r="K914" s="129">
        <v>1400.4567466011933</v>
      </c>
      <c r="L914" s="129">
        <v>1686.8821662445202</v>
      </c>
      <c r="M914" s="129">
        <v>5406.9076795722558</v>
      </c>
      <c r="N914" s="130">
        <v>8498.9099462062932</v>
      </c>
      <c r="O914" s="91"/>
      <c r="P914" s="14"/>
      <c r="Q914" s="14"/>
      <c r="R914" s="14"/>
      <c r="S914" s="14"/>
      <c r="T914" s="14"/>
      <c r="U914" s="14"/>
    </row>
    <row r="915" spans="1:21" ht="18.75" customHeight="1" x14ac:dyDescent="0.25">
      <c r="A915" s="14"/>
      <c r="B915" s="15"/>
      <c r="C915" s="119" t="s">
        <v>620</v>
      </c>
      <c r="D915" s="120" t="s">
        <v>622</v>
      </c>
      <c r="E915" s="129">
        <v>14844121.875788787</v>
      </c>
      <c r="F915" s="129">
        <v>742206.09378943942</v>
      </c>
      <c r="G915" s="129">
        <v>1039088.531305215</v>
      </c>
      <c r="H915" s="129">
        <v>1781294.6250946545</v>
      </c>
      <c r="I915" s="129">
        <v>1335970.9688209912</v>
      </c>
      <c r="J915" s="129">
        <v>1335970.9688209903</v>
      </c>
      <c r="K915" s="129">
        <v>1335970.9688209912</v>
      </c>
      <c r="L915" s="129">
        <v>1632853.4063367664</v>
      </c>
      <c r="M915" s="129">
        <v>5640766.3127997397</v>
      </c>
      <c r="N915" s="130">
        <v>8609590.6879574973</v>
      </c>
      <c r="O915" s="91"/>
      <c r="P915" s="14"/>
      <c r="Q915" s="14"/>
      <c r="R915" s="14"/>
      <c r="S915" s="14"/>
      <c r="T915" s="14"/>
      <c r="U915" s="14"/>
    </row>
    <row r="916" spans="1:21" ht="18.75" customHeight="1" x14ac:dyDescent="0.25">
      <c r="A916" s="14"/>
      <c r="B916" s="15"/>
      <c r="C916" s="122" t="s">
        <v>776</v>
      </c>
      <c r="D916" s="120" t="s">
        <v>579</v>
      </c>
      <c r="E916" s="125">
        <v>2.9876601578803506</v>
      </c>
      <c r="F916" s="125">
        <v>0</v>
      </c>
      <c r="G916" s="125">
        <v>0.29566991554801847</v>
      </c>
      <c r="H916" s="125">
        <v>1.1301814677460336</v>
      </c>
      <c r="I916" s="125">
        <v>1.7869721178688056</v>
      </c>
      <c r="J916" s="125">
        <v>2.2790709323629423</v>
      </c>
      <c r="K916" s="125">
        <v>2.7597090168234875</v>
      </c>
      <c r="L916" s="125">
        <v>3.3117546125200601</v>
      </c>
      <c r="M916" s="125">
        <v>4.8756073532902304</v>
      </c>
      <c r="N916" s="131">
        <v>4.2506855398993242</v>
      </c>
      <c r="O916" s="91"/>
      <c r="P916" s="14"/>
      <c r="Q916" s="14"/>
      <c r="R916" s="14"/>
      <c r="S916" s="14"/>
      <c r="T916" s="14"/>
      <c r="U916" s="14"/>
    </row>
    <row r="917" spans="1:21" ht="18.75" customHeight="1" x14ac:dyDescent="0.25">
      <c r="A917" s="14"/>
      <c r="B917" s="15"/>
      <c r="C917" s="122" t="s">
        <v>777</v>
      </c>
      <c r="D917" s="210" t="s">
        <v>778</v>
      </c>
      <c r="E917" s="125">
        <v>1797.4848500322387</v>
      </c>
      <c r="F917" s="132">
        <v>0</v>
      </c>
      <c r="G917" s="132">
        <v>0</v>
      </c>
      <c r="H917" s="132">
        <v>0</v>
      </c>
      <c r="I917" s="132">
        <v>256.12261611849044</v>
      </c>
      <c r="J917" s="132">
        <v>606.89988618570897</v>
      </c>
      <c r="K917" s="132">
        <v>1048.3106239883145</v>
      </c>
      <c r="L917" s="132">
        <v>1666.1174422451891</v>
      </c>
      <c r="M917" s="125">
        <v>3795.241973734057</v>
      </c>
      <c r="N917" s="133">
        <v>2965.1945255601049</v>
      </c>
      <c r="O917" s="91"/>
      <c r="P917" s="14"/>
      <c r="Q917" s="14"/>
      <c r="R917" s="14"/>
      <c r="S917" s="14"/>
      <c r="T917" s="14"/>
      <c r="U917" s="14"/>
    </row>
    <row r="918" spans="1:21" ht="18.75" customHeight="1" x14ac:dyDescent="0.25">
      <c r="A918" s="14"/>
      <c r="B918" s="15"/>
      <c r="C918" s="119" t="s">
        <v>779</v>
      </c>
      <c r="D918" s="120" t="s">
        <v>970</v>
      </c>
      <c r="E918" s="132">
        <v>19.915753424657527</v>
      </c>
      <c r="F918" s="125">
        <v>91.73627290459811</v>
      </c>
      <c r="G918" s="125">
        <v>57.466172102605142</v>
      </c>
      <c r="H918" s="125">
        <v>32.051770516304344</v>
      </c>
      <c r="I918" s="125">
        <v>22.553558484221739</v>
      </c>
      <c r="J918" s="125">
        <v>18.86680890248995</v>
      </c>
      <c r="K918" s="125">
        <v>16.683936705286058</v>
      </c>
      <c r="L918" s="125">
        <v>14.53804124673097</v>
      </c>
      <c r="M918" s="125">
        <v>4</v>
      </c>
      <c r="N918" s="131">
        <v>8.0433585765714071</v>
      </c>
      <c r="O918" s="91"/>
      <c r="P918" s="14"/>
      <c r="Q918" s="14"/>
      <c r="R918" s="14"/>
      <c r="S918" s="14"/>
      <c r="T918" s="14"/>
      <c r="U918" s="14"/>
    </row>
    <row r="919" spans="1:21" ht="18.75" customHeight="1" x14ac:dyDescent="0.25">
      <c r="A919" s="14"/>
      <c r="B919" s="15"/>
      <c r="C919" s="119" t="s">
        <v>580</v>
      </c>
      <c r="D919" s="120" t="s">
        <v>581</v>
      </c>
      <c r="E919" s="125">
        <v>933.59257080432621</v>
      </c>
      <c r="F919" s="125">
        <v>633.23321367406822</v>
      </c>
      <c r="G919" s="125">
        <v>748.07369449831378</v>
      </c>
      <c r="H919" s="125">
        <v>864.3172865310429</v>
      </c>
      <c r="I919" s="125">
        <v>917.60699259977321</v>
      </c>
      <c r="J919" s="125">
        <v>940.10522356479419</v>
      </c>
      <c r="K919" s="125">
        <v>953.95375263341452</v>
      </c>
      <c r="L919" s="125">
        <v>967.97123059991964</v>
      </c>
      <c r="M919" s="125">
        <v>1043.2518265682659</v>
      </c>
      <c r="N919" s="131">
        <v>1013.0229338176021</v>
      </c>
      <c r="O919" s="91"/>
      <c r="P919" s="14"/>
      <c r="Q919" s="14"/>
      <c r="R919" s="14"/>
      <c r="S919" s="14"/>
      <c r="T919" s="14"/>
      <c r="U919" s="14"/>
    </row>
    <row r="920" spans="1:21" ht="18.75" customHeight="1" x14ac:dyDescent="0.25">
      <c r="A920" s="14"/>
      <c r="B920" s="15"/>
      <c r="C920" s="119" t="s">
        <v>541</v>
      </c>
      <c r="D920" s="120" t="s">
        <v>579</v>
      </c>
      <c r="E920" s="125">
        <v>11.245490962099058</v>
      </c>
      <c r="F920" s="125">
        <v>17.422988984712497</v>
      </c>
      <c r="G920" s="125">
        <v>14.366442052287564</v>
      </c>
      <c r="H920" s="125">
        <v>12.238517852363231</v>
      </c>
      <c r="I920" s="125">
        <v>11.88198586633284</v>
      </c>
      <c r="J920" s="125">
        <v>11.421933082784879</v>
      </c>
      <c r="K920" s="125">
        <v>11.18315567974706</v>
      </c>
      <c r="L920" s="125">
        <v>10.955455322720447</v>
      </c>
      <c r="M920" s="125">
        <v>9.4503463811122028</v>
      </c>
      <c r="N920" s="131">
        <v>10.004682278446762</v>
      </c>
      <c r="O920" s="91"/>
      <c r="P920" s="14"/>
      <c r="Q920" s="14"/>
      <c r="R920" s="14"/>
      <c r="S920" s="14"/>
      <c r="T920" s="14"/>
      <c r="U920" s="14"/>
    </row>
    <row r="921" spans="1:21" ht="18.75" customHeight="1" x14ac:dyDescent="0.25">
      <c r="A921" s="14"/>
      <c r="B921" s="15"/>
      <c r="C921" s="119" t="s">
        <v>544</v>
      </c>
      <c r="D921" s="120" t="s">
        <v>579</v>
      </c>
      <c r="E921" s="125">
        <v>9.3877272727272754</v>
      </c>
      <c r="F921" s="128"/>
      <c r="G921" s="128"/>
      <c r="H921" s="128"/>
      <c r="I921" s="128"/>
      <c r="J921" s="128"/>
      <c r="K921" s="128"/>
      <c r="L921" s="128"/>
      <c r="M921" s="125">
        <v>24.67984090909091</v>
      </c>
      <c r="N921" s="131">
        <v>16.18573667711599</v>
      </c>
      <c r="O921" s="91"/>
      <c r="P921" s="14"/>
      <c r="Q921" s="14"/>
      <c r="R921" s="14"/>
      <c r="S921" s="14"/>
      <c r="T921" s="14"/>
      <c r="U921" s="14"/>
    </row>
    <row r="922" spans="1:21" ht="18.75" customHeight="1" x14ac:dyDescent="0.25">
      <c r="A922" s="14"/>
      <c r="B922" s="15"/>
      <c r="C922" s="119" t="s">
        <v>780</v>
      </c>
      <c r="D922" s="120" t="s">
        <v>783</v>
      </c>
      <c r="E922" s="125">
        <v>11.672323048007662</v>
      </c>
      <c r="F922" s="125">
        <v>13.303347173114624</v>
      </c>
      <c r="G922" s="125">
        <v>12.106480034820514</v>
      </c>
      <c r="H922" s="125">
        <v>11.284760527444151</v>
      </c>
      <c r="I922" s="125">
        <v>11.13414232181854</v>
      </c>
      <c r="J922" s="125">
        <v>11.19904645930948</v>
      </c>
      <c r="K922" s="125">
        <v>11.331010301560619</v>
      </c>
      <c r="L922" s="125">
        <v>11.476149495021907</v>
      </c>
      <c r="M922" s="125">
        <v>11.38509210646489</v>
      </c>
      <c r="N922" s="131">
        <v>11.422959273309116</v>
      </c>
      <c r="O922" s="91"/>
      <c r="P922" s="14"/>
      <c r="Q922" s="14"/>
      <c r="R922" s="14"/>
      <c r="S922" s="14"/>
      <c r="T922" s="14"/>
      <c r="U922" s="14"/>
    </row>
    <row r="923" spans="1:21" ht="18.75" customHeight="1" x14ac:dyDescent="0.25">
      <c r="A923" s="14"/>
      <c r="B923" s="15"/>
      <c r="C923" s="122" t="s">
        <v>781</v>
      </c>
      <c r="D923" s="120" t="s">
        <v>782</v>
      </c>
      <c r="E923" s="125">
        <v>447.88363636363636</v>
      </c>
      <c r="F923" s="134">
        <v>59.958181818181806</v>
      </c>
      <c r="G923" s="134">
        <v>140.75272727272724</v>
      </c>
      <c r="H923" s="134">
        <v>243.87090909090909</v>
      </c>
      <c r="I923" s="134">
        <v>321.07636363636374</v>
      </c>
      <c r="J923" s="134">
        <v>377.10545454545462</v>
      </c>
      <c r="K923" s="134">
        <v>430.5690909090909</v>
      </c>
      <c r="L923" s="134">
        <v>490.66363636363627</v>
      </c>
      <c r="M923" s="134">
        <v>660.50961538461547</v>
      </c>
      <c r="N923" s="135">
        <v>590.23636363636365</v>
      </c>
      <c r="O923" s="91"/>
      <c r="P923" s="14"/>
      <c r="Q923" s="14"/>
      <c r="R923" s="14"/>
      <c r="S923" s="14"/>
      <c r="T923" s="14"/>
      <c r="U923" s="14"/>
    </row>
    <row r="924" spans="1:21" ht="18.75" customHeight="1" x14ac:dyDescent="0.25">
      <c r="A924" s="14"/>
      <c r="B924" s="15"/>
      <c r="C924" s="122"/>
      <c r="D924" s="210"/>
      <c r="E924" s="210"/>
      <c r="F924" s="210"/>
      <c r="G924" s="210"/>
      <c r="H924" s="210"/>
      <c r="I924" s="210"/>
      <c r="J924" s="210"/>
      <c r="K924" s="210"/>
      <c r="L924" s="210"/>
      <c r="M924" s="210"/>
      <c r="N924" s="115"/>
      <c r="O924" s="91"/>
      <c r="P924" s="14"/>
      <c r="Q924" s="14"/>
      <c r="R924" s="14"/>
      <c r="S924" s="14"/>
      <c r="T924" s="14"/>
      <c r="U924" s="14"/>
    </row>
    <row r="925" spans="1:21" ht="18.75" customHeight="1" x14ac:dyDescent="0.25">
      <c r="A925" s="14"/>
      <c r="B925" s="15"/>
      <c r="C925" s="2199" t="s">
        <v>1480</v>
      </c>
      <c r="D925" s="2200" t="s">
        <v>1478</v>
      </c>
      <c r="E925" s="2200" t="s">
        <v>1481</v>
      </c>
      <c r="F925" s="2200" t="s">
        <v>569</v>
      </c>
      <c r="G925" s="2200"/>
      <c r="H925" s="2200"/>
      <c r="I925" s="2200"/>
      <c r="J925" s="2200"/>
      <c r="K925" s="2200"/>
      <c r="L925" s="2200"/>
      <c r="M925" s="2200"/>
      <c r="N925" s="2201"/>
      <c r="O925" s="91"/>
      <c r="P925" s="14"/>
      <c r="Q925" s="14"/>
      <c r="R925" s="14"/>
      <c r="S925" s="14"/>
      <c r="T925" s="14"/>
      <c r="U925" s="14"/>
    </row>
    <row r="926" spans="1:21" ht="18.75" customHeight="1" x14ac:dyDescent="0.2">
      <c r="A926" s="14"/>
      <c r="B926" s="15"/>
      <c r="C926" s="2202" t="s">
        <v>1088</v>
      </c>
      <c r="D926" s="210">
        <v>12</v>
      </c>
      <c r="E926" s="104" t="s">
        <v>679</v>
      </c>
      <c r="F926" s="210">
        <v>80</v>
      </c>
      <c r="G926" s="210">
        <v>179.3</v>
      </c>
      <c r="H926" s="210">
        <v>291.3</v>
      </c>
      <c r="I926" s="210">
        <v>343.5</v>
      </c>
      <c r="J926" s="210">
        <v>399</v>
      </c>
      <c r="K926" s="210">
        <v>454</v>
      </c>
      <c r="L926" s="210">
        <v>525</v>
      </c>
      <c r="M926" s="210">
        <v>525</v>
      </c>
      <c r="N926" s="115">
        <v>399</v>
      </c>
      <c r="O926" s="17"/>
      <c r="P926" s="14"/>
      <c r="Q926" s="14"/>
      <c r="R926" s="14"/>
      <c r="S926" s="14"/>
      <c r="T926" s="14"/>
      <c r="U926" s="14"/>
    </row>
    <row r="927" spans="1:21" ht="18.75" customHeight="1" x14ac:dyDescent="0.2">
      <c r="A927" s="14"/>
      <c r="B927" s="15"/>
      <c r="C927" s="119" t="s">
        <v>568</v>
      </c>
      <c r="D927" s="120" t="s">
        <v>623</v>
      </c>
      <c r="E927" s="110" t="s">
        <v>608</v>
      </c>
      <c r="F927" s="110" t="s">
        <v>518</v>
      </c>
      <c r="G927" s="110" t="s">
        <v>572</v>
      </c>
      <c r="H927" s="110" t="s">
        <v>530</v>
      </c>
      <c r="I927" s="110" t="s">
        <v>573</v>
      </c>
      <c r="J927" s="110" t="s">
        <v>574</v>
      </c>
      <c r="K927" s="110" t="s">
        <v>575</v>
      </c>
      <c r="L927" s="110" t="s">
        <v>576</v>
      </c>
      <c r="M927" s="110" t="s">
        <v>577</v>
      </c>
      <c r="N927" s="2203" t="s">
        <v>609</v>
      </c>
      <c r="O927" s="17"/>
      <c r="P927" s="14"/>
      <c r="Q927" s="14"/>
      <c r="R927" s="14"/>
      <c r="S927" s="14"/>
      <c r="T927" s="14"/>
      <c r="U927" s="14"/>
    </row>
    <row r="928" spans="1:21" ht="18.75" customHeight="1" x14ac:dyDescent="0.2">
      <c r="A928" s="14"/>
      <c r="B928" s="15"/>
      <c r="C928" s="119" t="s">
        <v>582</v>
      </c>
      <c r="D928" s="120" t="s">
        <v>566</v>
      </c>
      <c r="E928" s="121">
        <v>100000</v>
      </c>
      <c r="F928" s="129">
        <v>5188.4290578499149</v>
      </c>
      <c r="G928" s="129">
        <v>12367.977376158307</v>
      </c>
      <c r="H928" s="129">
        <v>29126.846365141508</v>
      </c>
      <c r="I928" s="129">
        <v>17787.008693450211</v>
      </c>
      <c r="J928" s="129">
        <v>18314.504425605421</v>
      </c>
      <c r="K928" s="129">
        <v>13510.847217153223</v>
      </c>
      <c r="L928" s="129">
        <v>2099.4982520908025</v>
      </c>
      <c r="M928" s="129">
        <v>2624.9320097491195</v>
      </c>
      <c r="N928" s="130">
        <v>18270.157072298916</v>
      </c>
      <c r="O928" s="17"/>
      <c r="P928" s="14"/>
      <c r="Q928" s="14"/>
      <c r="R928" s="14"/>
      <c r="S928" s="14"/>
      <c r="T928" s="14"/>
      <c r="U928" s="14"/>
    </row>
    <row r="929" spans="1:21" ht="18.75" customHeight="1" x14ac:dyDescent="0.2">
      <c r="A929" s="14"/>
      <c r="B929" s="15"/>
      <c r="C929" s="119" t="s">
        <v>582</v>
      </c>
      <c r="D929" s="120" t="s">
        <v>628</v>
      </c>
      <c r="E929" s="145">
        <v>15900</v>
      </c>
      <c r="F929" s="129">
        <v>824.96022019813643</v>
      </c>
      <c r="G929" s="129">
        <v>1966.5084028091708</v>
      </c>
      <c r="H929" s="129">
        <v>4631.1685720574997</v>
      </c>
      <c r="I929" s="129">
        <v>2828.1343822585836</v>
      </c>
      <c r="J929" s="129">
        <v>2912.006203671262</v>
      </c>
      <c r="K929" s="129">
        <v>2148.2247075273626</v>
      </c>
      <c r="L929" s="129">
        <v>333.82022208243757</v>
      </c>
      <c r="M929" s="129">
        <v>417.36418955010998</v>
      </c>
      <c r="N929" s="130">
        <v>2904.9549744955275</v>
      </c>
      <c r="O929" s="17"/>
      <c r="P929" s="14"/>
      <c r="Q929" s="14"/>
      <c r="R929" s="14"/>
      <c r="S929" s="14"/>
      <c r="T929" s="14"/>
      <c r="U929" s="14"/>
    </row>
    <row r="930" spans="1:21" ht="18.75" customHeight="1" x14ac:dyDescent="0.2">
      <c r="A930" s="14"/>
      <c r="B930" s="15"/>
      <c r="C930" s="119" t="s">
        <v>620</v>
      </c>
      <c r="D930" s="120" t="s">
        <v>622</v>
      </c>
      <c r="E930" s="129">
        <v>13622023.622727271</v>
      </c>
      <c r="F930" s="129">
        <v>551691.9567204545</v>
      </c>
      <c r="G930" s="129">
        <v>1491611.5866886361</v>
      </c>
      <c r="H930" s="129">
        <v>3814166.6143636364</v>
      </c>
      <c r="I930" s="129">
        <v>2451964.2520909086</v>
      </c>
      <c r="J930" s="129">
        <v>2609979.726114545</v>
      </c>
      <c r="K930" s="129">
        <v>1979280.0323822722</v>
      </c>
      <c r="L930" s="129">
        <v>314668.74568500009</v>
      </c>
      <c r="M930" s="129">
        <v>408660.70868181851</v>
      </c>
      <c r="N930" s="130">
        <v>2702609.4867490907</v>
      </c>
      <c r="O930" s="17"/>
      <c r="P930" s="14"/>
      <c r="Q930" s="14"/>
      <c r="R930" s="14"/>
      <c r="S930" s="14"/>
      <c r="T930" s="14"/>
      <c r="U930" s="14"/>
    </row>
    <row r="931" spans="1:21" ht="37.5" customHeight="1" x14ac:dyDescent="0.2">
      <c r="A931" s="14"/>
      <c r="B931" s="15"/>
      <c r="C931" s="122" t="s">
        <v>776</v>
      </c>
      <c r="D931" s="120" t="s">
        <v>579</v>
      </c>
      <c r="E931" s="125">
        <v>0.21132273661247805</v>
      </c>
      <c r="F931" s="125">
        <v>0.58397588198289752</v>
      </c>
      <c r="G931" s="125">
        <v>0</v>
      </c>
      <c r="H931" s="125">
        <v>0</v>
      </c>
      <c r="I931" s="125">
        <v>0.2203130036457015</v>
      </c>
      <c r="J931" s="125">
        <v>0.36981070443262887</v>
      </c>
      <c r="K931" s="125">
        <v>0.41385781016318912</v>
      </c>
      <c r="L931" s="125">
        <v>0.29772757162562957</v>
      </c>
      <c r="M931" s="125">
        <v>0.33828650151297751</v>
      </c>
      <c r="N931" s="131">
        <v>0.38890948471095133</v>
      </c>
      <c r="O931" s="17"/>
      <c r="P931" s="14"/>
      <c r="Q931" s="14"/>
      <c r="R931" s="14"/>
      <c r="S931" s="14"/>
      <c r="T931" s="14"/>
      <c r="U931" s="14"/>
    </row>
    <row r="932" spans="1:21" ht="18.75" customHeight="1" x14ac:dyDescent="0.2">
      <c r="A932" s="14"/>
      <c r="B932" s="15"/>
      <c r="C932" s="122" t="s">
        <v>777</v>
      </c>
      <c r="D932" s="210" t="s">
        <v>778</v>
      </c>
      <c r="E932" s="125">
        <v>682.41779790438591</v>
      </c>
      <c r="F932" s="132">
        <v>0</v>
      </c>
      <c r="G932" s="132">
        <v>0</v>
      </c>
      <c r="H932" s="132">
        <v>0</v>
      </c>
      <c r="I932" s="132">
        <v>798.52852388674546</v>
      </c>
      <c r="J932" s="132">
        <v>1344.7988075407702</v>
      </c>
      <c r="K932" s="132">
        <v>1506.8341530772086</v>
      </c>
      <c r="L932" s="132">
        <v>1084.7093526989338</v>
      </c>
      <c r="M932" s="125">
        <v>1233.9807863498816</v>
      </c>
      <c r="N932" s="133">
        <v>1416.4274802417349</v>
      </c>
      <c r="O932" s="17"/>
      <c r="P932" s="14"/>
      <c r="Q932" s="14"/>
      <c r="R932" s="14"/>
      <c r="S932" s="14"/>
      <c r="T932" s="14"/>
      <c r="U932" s="14"/>
    </row>
    <row r="933" spans="1:21" ht="18.75" customHeight="1" x14ac:dyDescent="0.2">
      <c r="A933" s="14"/>
      <c r="B933" s="15"/>
      <c r="C933" s="119" t="s">
        <v>779</v>
      </c>
      <c r="D933" s="120" t="s">
        <v>970</v>
      </c>
      <c r="E933" s="132">
        <v>33.5</v>
      </c>
      <c r="F933" s="125">
        <v>79.880443097589108</v>
      </c>
      <c r="G933" s="125">
        <v>54.866782380467676</v>
      </c>
      <c r="H933" s="125">
        <v>40.140344651726728</v>
      </c>
      <c r="I933" s="125">
        <v>31.547579689960315</v>
      </c>
      <c r="J933" s="125">
        <v>26.218853352029999</v>
      </c>
      <c r="K933" s="125">
        <v>21.926688976619594</v>
      </c>
      <c r="L933" s="125">
        <v>18.464160863628702</v>
      </c>
      <c r="M933" s="125">
        <v>12.871260536201447</v>
      </c>
      <c r="N933" s="131">
        <v>20.444350651679521</v>
      </c>
      <c r="O933" s="17"/>
      <c r="P933" s="14"/>
      <c r="Q933" s="14"/>
      <c r="R933" s="14"/>
      <c r="S933" s="14"/>
      <c r="T933" s="14"/>
      <c r="U933" s="14"/>
    </row>
    <row r="934" spans="1:21" ht="18.75" customHeight="1" x14ac:dyDescent="0.2">
      <c r="A934" s="14"/>
      <c r="B934" s="15"/>
      <c r="C934" s="119" t="s">
        <v>580</v>
      </c>
      <c r="D934" s="120" t="s">
        <v>581</v>
      </c>
      <c r="E934" s="125">
        <v>856.73104545454532</v>
      </c>
      <c r="F934" s="125">
        <v>668.74976903486424</v>
      </c>
      <c r="G934" s="125">
        <v>758.50760899768272</v>
      </c>
      <c r="H934" s="125">
        <v>823.58621911901344</v>
      </c>
      <c r="I934" s="125">
        <v>866.99000849200775</v>
      </c>
      <c r="J934" s="125">
        <v>896.28233718185686</v>
      </c>
      <c r="K934" s="125">
        <v>921.35614372504438</v>
      </c>
      <c r="L934" s="125">
        <v>942.62937015029604</v>
      </c>
      <c r="M934" s="125">
        <v>979.14655572709</v>
      </c>
      <c r="N934" s="131">
        <v>930.34470774144233</v>
      </c>
      <c r="O934" s="17"/>
      <c r="P934" s="14"/>
      <c r="Q934" s="14"/>
      <c r="R934" s="14"/>
      <c r="S934" s="14"/>
      <c r="T934" s="14"/>
      <c r="U934" s="14"/>
    </row>
    <row r="935" spans="1:21" ht="18.75" customHeight="1" x14ac:dyDescent="0.2">
      <c r="A935" s="14"/>
      <c r="B935" s="15"/>
      <c r="C935" s="119" t="s">
        <v>541</v>
      </c>
      <c r="D935" s="120" t="s">
        <v>579</v>
      </c>
      <c r="E935" s="125">
        <v>13.009699029097545</v>
      </c>
      <c r="F935" s="125">
        <v>15.292240388099497</v>
      </c>
      <c r="G935" s="125">
        <v>14.146151778876922</v>
      </c>
      <c r="H935" s="125">
        <v>13.237090036167526</v>
      </c>
      <c r="I935" s="125">
        <v>13.20385706405289</v>
      </c>
      <c r="J935" s="125">
        <v>12.565917299406177</v>
      </c>
      <c r="K935" s="125">
        <v>12.034376923817547</v>
      </c>
      <c r="L935" s="125">
        <v>11.597786141964566</v>
      </c>
      <c r="M935" s="125">
        <v>11.138220348659054</v>
      </c>
      <c r="N935" s="131">
        <v>11.848036478678644</v>
      </c>
      <c r="O935" s="17"/>
      <c r="P935" s="14"/>
      <c r="Q935" s="14"/>
      <c r="R935" s="14"/>
      <c r="S935" s="14"/>
      <c r="T935" s="14"/>
      <c r="U935" s="14"/>
    </row>
    <row r="936" spans="1:21" ht="18.75" customHeight="1" x14ac:dyDescent="0.2">
      <c r="A936" s="14"/>
      <c r="B936" s="15"/>
      <c r="C936" s="119" t="s">
        <v>544</v>
      </c>
      <c r="D936" s="120" t="s">
        <v>579</v>
      </c>
      <c r="E936" s="125">
        <v>0.03</v>
      </c>
      <c r="F936" s="128"/>
      <c r="G936" s="128"/>
      <c r="H936" s="128"/>
      <c r="I936" s="128"/>
      <c r="J936" s="128"/>
      <c r="K936" s="128"/>
      <c r="L936" s="128"/>
      <c r="M936" s="125">
        <v>0.99899999999999889</v>
      </c>
      <c r="N936" s="131">
        <v>0.15120967741935482</v>
      </c>
      <c r="O936" s="17"/>
      <c r="P936" s="14"/>
      <c r="Q936" s="14"/>
      <c r="R936" s="14"/>
      <c r="S936" s="14"/>
      <c r="T936" s="14"/>
      <c r="U936" s="14"/>
    </row>
    <row r="937" spans="1:21" ht="18.75" customHeight="1" x14ac:dyDescent="0.2">
      <c r="A937" s="14"/>
      <c r="B937" s="15"/>
      <c r="C937" s="119" t="s">
        <v>780</v>
      </c>
      <c r="D937" s="120" t="s">
        <v>783</v>
      </c>
      <c r="E937" s="125">
        <v>11.865613929240883</v>
      </c>
      <c r="F937" s="125">
        <v>12.272685453766153</v>
      </c>
      <c r="G937" s="125">
        <v>12.020625542193647</v>
      </c>
      <c r="H937" s="125">
        <v>11.846132069980442</v>
      </c>
      <c r="I937" s="125">
        <v>11.761155581670705</v>
      </c>
      <c r="J937" s="125">
        <v>11.727279789949355</v>
      </c>
      <c r="K937" s="125">
        <v>11.719278665830418</v>
      </c>
      <c r="L937" s="125">
        <v>11.732691513321088</v>
      </c>
      <c r="M937" s="125">
        <v>11.818915829438996</v>
      </c>
      <c r="N937" s="131">
        <v>11.722358149360081</v>
      </c>
      <c r="O937" s="17"/>
      <c r="P937" s="14"/>
      <c r="Q937" s="14"/>
      <c r="R937" s="14"/>
      <c r="S937" s="14"/>
      <c r="T937" s="14"/>
      <c r="U937" s="14"/>
    </row>
    <row r="938" spans="1:21" ht="18.75" customHeight="1" x14ac:dyDescent="0.2">
      <c r="A938" s="14"/>
      <c r="B938" s="15"/>
      <c r="C938" s="122" t="s">
        <v>781</v>
      </c>
      <c r="D938" s="120" t="s">
        <v>782</v>
      </c>
      <c r="E938" s="125">
        <v>312.2</v>
      </c>
      <c r="F938" s="134">
        <v>34.9</v>
      </c>
      <c r="G938" s="134">
        <v>149.19999999999999</v>
      </c>
      <c r="H938" s="134">
        <v>244.3</v>
      </c>
      <c r="I938" s="134">
        <v>317.60000000000002</v>
      </c>
      <c r="J938" s="134">
        <v>373.9</v>
      </c>
      <c r="K938" s="134">
        <v>428.3</v>
      </c>
      <c r="L938" s="134">
        <v>480.6</v>
      </c>
      <c r="M938" s="134">
        <v>590.4</v>
      </c>
      <c r="N938" s="135">
        <v>449.6</v>
      </c>
      <c r="O938" s="17"/>
      <c r="P938" s="14"/>
      <c r="Q938" s="14"/>
      <c r="R938" s="14"/>
      <c r="S938" s="14"/>
      <c r="T938" s="14"/>
      <c r="U938" s="14"/>
    </row>
    <row r="939" spans="1:21" ht="18.75" customHeight="1" x14ac:dyDescent="0.2">
      <c r="A939" s="14"/>
      <c r="B939" s="15"/>
      <c r="C939" s="122"/>
      <c r="D939" s="210"/>
      <c r="E939" s="210"/>
      <c r="F939" s="210"/>
      <c r="G939" s="210"/>
      <c r="H939" s="210"/>
      <c r="I939" s="210"/>
      <c r="J939" s="210"/>
      <c r="K939" s="210"/>
      <c r="L939" s="210"/>
      <c r="M939" s="210"/>
      <c r="N939" s="115"/>
      <c r="O939" s="17"/>
      <c r="P939" s="14"/>
      <c r="Q939" s="14"/>
      <c r="R939" s="14"/>
      <c r="S939" s="14"/>
      <c r="T939" s="14"/>
      <c r="U939" s="14"/>
    </row>
    <row r="940" spans="1:21" ht="18.75" customHeight="1" x14ac:dyDescent="0.2">
      <c r="A940" s="14"/>
      <c r="B940" s="15"/>
      <c r="C940" s="2199" t="s">
        <v>2062</v>
      </c>
      <c r="D940" s="2200" t="s">
        <v>2038</v>
      </c>
      <c r="E940" s="2200" t="s">
        <v>2063</v>
      </c>
      <c r="F940" s="2200" t="s">
        <v>569</v>
      </c>
      <c r="G940" s="2200"/>
      <c r="H940" s="2200"/>
      <c r="I940" s="2200"/>
      <c r="J940" s="2200"/>
      <c r="K940" s="2200"/>
      <c r="L940" s="2200"/>
      <c r="M940" s="2200"/>
      <c r="N940" s="2201"/>
      <c r="O940" s="17"/>
      <c r="P940" s="14"/>
      <c r="Q940" s="14"/>
      <c r="R940" s="14"/>
      <c r="S940" s="14"/>
      <c r="T940" s="14"/>
      <c r="U940" s="14"/>
    </row>
    <row r="941" spans="1:21" ht="18.75" customHeight="1" x14ac:dyDescent="0.2">
      <c r="A941" s="14"/>
      <c r="B941" s="15"/>
      <c r="C941" s="2202" t="s">
        <v>1088</v>
      </c>
      <c r="D941" s="210">
        <v>13</v>
      </c>
      <c r="E941" s="104" t="s">
        <v>679</v>
      </c>
      <c r="F941" s="210">
        <v>70.581818181818178</v>
      </c>
      <c r="G941" s="210">
        <v>173.1</v>
      </c>
      <c r="H941" s="210">
        <v>287.71818181818185</v>
      </c>
      <c r="I941" s="210">
        <v>340.39090909090913</v>
      </c>
      <c r="J941" s="210">
        <v>398.72727272727275</v>
      </c>
      <c r="K941" s="210">
        <v>453.37272727272733</v>
      </c>
      <c r="L941" s="210">
        <v>515.23636363636365</v>
      </c>
      <c r="M941" s="210">
        <v>515.23636363636365</v>
      </c>
      <c r="N941" s="115">
        <v>398.72727272727275</v>
      </c>
      <c r="O941" s="17"/>
      <c r="P941" s="14"/>
      <c r="Q941" s="14"/>
      <c r="R941" s="14"/>
      <c r="S941" s="14"/>
      <c r="T941" s="14"/>
      <c r="U941" s="14"/>
    </row>
    <row r="942" spans="1:21" ht="18.75" customHeight="1" x14ac:dyDescent="0.2">
      <c r="A942" s="14"/>
      <c r="B942" s="15"/>
      <c r="C942" s="119" t="s">
        <v>568</v>
      </c>
      <c r="D942" s="120" t="s">
        <v>623</v>
      </c>
      <c r="E942" s="110" t="s">
        <v>608</v>
      </c>
      <c r="F942" s="110" t="s">
        <v>957</v>
      </c>
      <c r="G942" s="110" t="s">
        <v>572</v>
      </c>
      <c r="H942" s="110" t="s">
        <v>530</v>
      </c>
      <c r="I942" s="110" t="s">
        <v>573</v>
      </c>
      <c r="J942" s="110" t="s">
        <v>574</v>
      </c>
      <c r="K942" s="110" t="s">
        <v>575</v>
      </c>
      <c r="L942" s="110" t="s">
        <v>576</v>
      </c>
      <c r="M942" s="110" t="s">
        <v>577</v>
      </c>
      <c r="N942" s="2203" t="s">
        <v>609</v>
      </c>
      <c r="O942" s="17"/>
      <c r="P942" s="14"/>
      <c r="Q942" s="14"/>
      <c r="R942" s="14"/>
      <c r="S942" s="14"/>
      <c r="T942" s="14"/>
      <c r="U942" s="14"/>
    </row>
    <row r="943" spans="1:21" ht="18.75" customHeight="1" x14ac:dyDescent="0.2">
      <c r="A943" s="14"/>
      <c r="B943" s="15"/>
      <c r="C943" s="119" t="s">
        <v>582</v>
      </c>
      <c r="D943" s="120" t="s">
        <v>566</v>
      </c>
      <c r="E943" s="121">
        <v>99397.536864070178</v>
      </c>
      <c r="F943" s="129">
        <v>2881.6293746158958</v>
      </c>
      <c r="G943" s="129">
        <v>6181.2018436737835</v>
      </c>
      <c r="H943" s="129">
        <v>6458.2960682835674</v>
      </c>
      <c r="I943" s="129">
        <v>14153.728583560383</v>
      </c>
      <c r="J943" s="129">
        <v>25475.403444716601</v>
      </c>
      <c r="K943" s="129">
        <v>24813.732495119355</v>
      </c>
      <c r="L943" s="129">
        <v>14013.54031181941</v>
      </c>
      <c r="M943" s="129">
        <v>5420.0047422811767</v>
      </c>
      <c r="N943" s="130">
        <v>44403.508016625645</v>
      </c>
      <c r="O943" s="17"/>
      <c r="P943" s="14"/>
      <c r="Q943" s="14"/>
      <c r="R943" s="14"/>
      <c r="S943" s="14"/>
      <c r="T943" s="14"/>
      <c r="U943" s="14"/>
    </row>
    <row r="944" spans="1:21" ht="18.75" customHeight="1" x14ac:dyDescent="0.2">
      <c r="A944" s="14"/>
      <c r="B944" s="15"/>
      <c r="C944" s="119" t="s">
        <v>582</v>
      </c>
      <c r="D944" s="120" t="s">
        <v>628</v>
      </c>
      <c r="E944" s="145">
        <v>15804.208361387158</v>
      </c>
      <c r="F944" s="129">
        <v>458.17907056392744</v>
      </c>
      <c r="G944" s="129">
        <v>982.81109314413163</v>
      </c>
      <c r="H944" s="129">
        <v>1026.8690748570873</v>
      </c>
      <c r="I944" s="129">
        <v>2250.442844786101</v>
      </c>
      <c r="J944" s="129">
        <v>4050.5891477099394</v>
      </c>
      <c r="K944" s="129">
        <v>3945.3834667239776</v>
      </c>
      <c r="L944" s="129">
        <v>2228.1529095792862</v>
      </c>
      <c r="M944" s="129">
        <v>861.78075402270713</v>
      </c>
      <c r="N944" s="130">
        <v>7060.1577746434778</v>
      </c>
      <c r="O944" s="17"/>
      <c r="P944" s="14"/>
      <c r="Q944" s="14"/>
      <c r="R944" s="14"/>
      <c r="S944" s="14"/>
      <c r="T944" s="14"/>
      <c r="U944" s="14"/>
    </row>
    <row r="945" spans="1:21" ht="18.75" customHeight="1" x14ac:dyDescent="0.2">
      <c r="A945" s="14"/>
      <c r="B945" s="15"/>
      <c r="C945" s="119" t="s">
        <v>620</v>
      </c>
      <c r="D945" s="120" t="s">
        <v>622</v>
      </c>
      <c r="E945" s="129">
        <v>14845089.654512605</v>
      </c>
      <c r="F945" s="129">
        <v>296901.79309025209</v>
      </c>
      <c r="G945" s="129">
        <v>742254.48272563028</v>
      </c>
      <c r="H945" s="129">
        <v>890705.37927075627</v>
      </c>
      <c r="I945" s="129">
        <v>2078312.5516317647</v>
      </c>
      <c r="J945" s="129">
        <v>3859723.3101732773</v>
      </c>
      <c r="K945" s="129">
        <v>3859723.3101732773</v>
      </c>
      <c r="L945" s="129">
        <v>2226763.4481768892</v>
      </c>
      <c r="M945" s="129">
        <v>890705.37927075708</v>
      </c>
      <c r="N945" s="130">
        <v>6977192.137620924</v>
      </c>
      <c r="O945" s="17"/>
      <c r="P945" s="14"/>
      <c r="Q945" s="14"/>
      <c r="R945" s="14"/>
      <c r="S945" s="14"/>
      <c r="T945" s="14"/>
      <c r="U945" s="14"/>
    </row>
    <row r="946" spans="1:21" ht="35.25" customHeight="1" x14ac:dyDescent="0.2">
      <c r="A946" s="14"/>
      <c r="B946" s="15"/>
      <c r="C946" s="122" t="s">
        <v>776</v>
      </c>
      <c r="D946" s="120" t="s">
        <v>579</v>
      </c>
      <c r="E946" s="125">
        <v>3.062571197346887</v>
      </c>
      <c r="F946" s="125">
        <v>0</v>
      </c>
      <c r="G946" s="125">
        <v>0.29672754318279004</v>
      </c>
      <c r="H946" s="125">
        <v>1.8781744751143892</v>
      </c>
      <c r="I946" s="125">
        <v>2.8597821762604863</v>
      </c>
      <c r="J946" s="125">
        <v>3.3208894771191524</v>
      </c>
      <c r="K946" s="125">
        <v>3.5564868567298298</v>
      </c>
      <c r="L946" s="125">
        <v>3.4420282778292544</v>
      </c>
      <c r="M946" s="125">
        <v>3.837545975488212</v>
      </c>
      <c r="N946" s="131">
        <v>3.555837410539227</v>
      </c>
      <c r="O946" s="17"/>
      <c r="P946" s="14"/>
      <c r="Q946" s="14"/>
      <c r="R946" s="14"/>
      <c r="S946" s="14"/>
      <c r="T946" s="14"/>
      <c r="U946" s="14"/>
    </row>
    <row r="947" spans="1:21" ht="18.75" customHeight="1" x14ac:dyDescent="0.2">
      <c r="A947" s="14"/>
      <c r="B947" s="15"/>
      <c r="C947" s="122" t="s">
        <v>777</v>
      </c>
      <c r="D947" s="210" t="s">
        <v>778</v>
      </c>
      <c r="E947" s="125">
        <v>1158.3506828946727</v>
      </c>
      <c r="F947" s="132">
        <v>0</v>
      </c>
      <c r="G947" s="132">
        <v>0</v>
      </c>
      <c r="H947" s="132">
        <v>151.5845039747739</v>
      </c>
      <c r="I947" s="132">
        <v>504.02632959810069</v>
      </c>
      <c r="J947" s="132">
        <v>893.50717570500854</v>
      </c>
      <c r="K947" s="132">
        <v>1471.1670599096749</v>
      </c>
      <c r="L947" s="132">
        <v>2276.1072470932104</v>
      </c>
      <c r="M947" s="125">
        <v>2041.0089698108832</v>
      </c>
      <c r="N947" s="133">
        <v>1800.8086400620211</v>
      </c>
      <c r="O947" s="17"/>
      <c r="P947" s="14"/>
      <c r="Q947" s="14"/>
      <c r="R947" s="14"/>
      <c r="S947" s="14"/>
      <c r="T947" s="14"/>
      <c r="U947" s="14"/>
    </row>
    <row r="948" spans="1:21" ht="18.75" customHeight="1" x14ac:dyDescent="0.2">
      <c r="A948" s="14"/>
      <c r="B948" s="15"/>
      <c r="C948" s="119" t="s">
        <v>779</v>
      </c>
      <c r="D948" s="120" t="s">
        <v>970</v>
      </c>
      <c r="E948" s="132">
        <v>19.905882352941177</v>
      </c>
      <c r="F948" s="125">
        <v>86.647819038936902</v>
      </c>
      <c r="G948" s="125">
        <v>55.674063828611203</v>
      </c>
      <c r="H948" s="125">
        <v>31.470669119167447</v>
      </c>
      <c r="I948" s="125">
        <v>21.568411769857462</v>
      </c>
      <c r="J948" s="125">
        <v>16.850997570941342</v>
      </c>
      <c r="K948" s="125">
        <v>12.997887034361357</v>
      </c>
      <c r="L948" s="125">
        <v>9.9488290533019743</v>
      </c>
      <c r="M948" s="125">
        <v>5.2701000603677572</v>
      </c>
      <c r="N948" s="131">
        <v>11.541538528151158</v>
      </c>
      <c r="O948" s="17"/>
      <c r="P948" s="14"/>
      <c r="Q948" s="14"/>
      <c r="R948" s="14"/>
      <c r="S948" s="14"/>
      <c r="T948" s="14"/>
      <c r="U948" s="14"/>
    </row>
    <row r="949" spans="1:21" ht="18.75" customHeight="1" x14ac:dyDescent="0.2">
      <c r="A949" s="14"/>
      <c r="B949" s="15"/>
      <c r="C949" s="119" t="s">
        <v>580</v>
      </c>
      <c r="D949" s="120" t="s">
        <v>581</v>
      </c>
      <c r="E949" s="125">
        <v>933.65343739072989</v>
      </c>
      <c r="F949" s="125">
        <v>648.00383117636727</v>
      </c>
      <c r="G949" s="125">
        <v>755.23616685182947</v>
      </c>
      <c r="H949" s="125">
        <v>867.39916614464084</v>
      </c>
      <c r="I949" s="125">
        <v>923.51270170973987</v>
      </c>
      <c r="J949" s="125">
        <v>952.87948726061961</v>
      </c>
      <c r="K949" s="125">
        <v>978.28850927338942</v>
      </c>
      <c r="L949" s="125">
        <v>999.37640662073807</v>
      </c>
      <c r="M949" s="125">
        <v>1033.5637865118624</v>
      </c>
      <c r="N949" s="131">
        <v>988.24875595266099</v>
      </c>
      <c r="O949" s="17"/>
      <c r="P949" s="14"/>
      <c r="Q949" s="14"/>
      <c r="R949" s="14"/>
      <c r="S949" s="14"/>
      <c r="T949" s="14"/>
      <c r="U949" s="14"/>
    </row>
    <row r="950" spans="1:21" ht="18.75" customHeight="1" x14ac:dyDescent="0.2">
      <c r="A950" s="14"/>
      <c r="B950" s="15"/>
      <c r="C950" s="119" t="s">
        <v>541</v>
      </c>
      <c r="D950" s="120" t="s">
        <v>579</v>
      </c>
      <c r="E950" s="125">
        <v>11.132474942328789</v>
      </c>
      <c r="F950" s="125">
        <v>16.367896769436413</v>
      </c>
      <c r="G950" s="125">
        <v>14.009311243003651</v>
      </c>
      <c r="H950" s="125">
        <v>12.184154452926698</v>
      </c>
      <c r="I950" s="125">
        <v>11.729586370329564</v>
      </c>
      <c r="J950" s="125">
        <v>11.074416367825592</v>
      </c>
      <c r="K950" s="125">
        <v>10.529281546563258</v>
      </c>
      <c r="L950" s="125">
        <v>10.101325722372163</v>
      </c>
      <c r="M950" s="125">
        <v>9.9883294945202188</v>
      </c>
      <c r="N950" s="131">
        <v>10.32364219177337</v>
      </c>
      <c r="O950" s="17"/>
      <c r="P950" s="14"/>
      <c r="Q950" s="14"/>
      <c r="R950" s="14"/>
      <c r="S950" s="14"/>
      <c r="T950" s="14"/>
      <c r="U950" s="14"/>
    </row>
    <row r="951" spans="1:21" ht="18.75" customHeight="1" x14ac:dyDescent="0.2">
      <c r="A951" s="14"/>
      <c r="B951" s="15"/>
      <c r="C951" s="119" t="s">
        <v>544</v>
      </c>
      <c r="D951" s="120" t="s">
        <v>579</v>
      </c>
      <c r="E951" s="125">
        <v>0.59096774193548385</v>
      </c>
      <c r="F951" s="128"/>
      <c r="G951" s="128"/>
      <c r="H951" s="128"/>
      <c r="I951" s="128"/>
      <c r="J951" s="128"/>
      <c r="K951" s="128"/>
      <c r="L951" s="128"/>
      <c r="M951" s="125">
        <v>9.8396129032257971</v>
      </c>
      <c r="N951" s="131">
        <v>1.2573781743308166</v>
      </c>
      <c r="O951" s="17"/>
      <c r="P951" s="14"/>
      <c r="Q951" s="14"/>
      <c r="R951" s="14"/>
      <c r="S951" s="14"/>
      <c r="T951" s="14"/>
      <c r="U951" s="14"/>
    </row>
    <row r="952" spans="1:21" ht="18.75" customHeight="1" x14ac:dyDescent="0.2">
      <c r="A952" s="14"/>
      <c r="B952" s="15"/>
      <c r="C952" s="119" t="s">
        <v>780</v>
      </c>
      <c r="D952" s="120" t="s">
        <v>783</v>
      </c>
      <c r="E952" s="125">
        <v>11.365299079031002</v>
      </c>
      <c r="F952" s="125">
        <v>12.759956334155294</v>
      </c>
      <c r="G952" s="125">
        <v>11.897086445731368</v>
      </c>
      <c r="H952" s="125">
        <v>11.260605448721037</v>
      </c>
      <c r="I952" s="125">
        <v>11.070304415512416</v>
      </c>
      <c r="J952" s="125">
        <v>11.020126829462358</v>
      </c>
      <c r="K952" s="125">
        <v>11.016723580028179</v>
      </c>
      <c r="L952" s="125">
        <v>11.055213005162075</v>
      </c>
      <c r="M952" s="125">
        <v>11.265519501062839</v>
      </c>
      <c r="N952" s="131">
        <v>11.02917239112835</v>
      </c>
      <c r="O952" s="17"/>
      <c r="P952" s="14"/>
      <c r="Q952" s="14"/>
      <c r="R952" s="14"/>
      <c r="S952" s="14"/>
      <c r="T952" s="14"/>
      <c r="U952" s="14"/>
    </row>
    <row r="953" spans="1:21" ht="18.75" customHeight="1" x14ac:dyDescent="0.2">
      <c r="A953" s="14"/>
      <c r="B953" s="15"/>
      <c r="C953" s="122" t="s">
        <v>781</v>
      </c>
      <c r="D953" s="120" t="s">
        <v>782</v>
      </c>
      <c r="E953" s="125">
        <v>392.59999999999997</v>
      </c>
      <c r="F953" s="134">
        <v>41.836363636363643</v>
      </c>
      <c r="G953" s="134">
        <v>131.03636363636363</v>
      </c>
      <c r="H953" s="134">
        <v>246.07272727272729</v>
      </c>
      <c r="I953" s="134">
        <v>322.26363636363635</v>
      </c>
      <c r="J953" s="134">
        <v>372.03636363636366</v>
      </c>
      <c r="K953" s="134">
        <v>424.39090909090913</v>
      </c>
      <c r="L953" s="134">
        <v>478.3</v>
      </c>
      <c r="M953" s="134">
        <v>606.43333333333339</v>
      </c>
      <c r="N953" s="135">
        <v>448.35454545454553</v>
      </c>
      <c r="O953" s="17"/>
      <c r="P953" s="14"/>
      <c r="Q953" s="14"/>
      <c r="R953" s="14"/>
      <c r="S953" s="14"/>
      <c r="T953" s="14"/>
      <c r="U953" s="14"/>
    </row>
    <row r="954" spans="1:21" ht="18.75" customHeight="1" x14ac:dyDescent="0.2">
      <c r="A954" s="14"/>
      <c r="B954" s="15"/>
      <c r="C954" s="122"/>
      <c r="D954" s="210"/>
      <c r="E954" s="210"/>
      <c r="F954" s="210"/>
      <c r="G954" s="210"/>
      <c r="H954" s="210"/>
      <c r="I954" s="210"/>
      <c r="J954" s="210"/>
      <c r="K954" s="210"/>
      <c r="L954" s="210"/>
      <c r="M954" s="210"/>
      <c r="N954" s="115"/>
      <c r="O954" s="17"/>
      <c r="P954" s="14"/>
      <c r="Q954" s="14"/>
      <c r="R954" s="14"/>
      <c r="S954" s="14"/>
      <c r="T954" s="14"/>
      <c r="U954" s="14"/>
    </row>
    <row r="955" spans="1:21" ht="18.75" customHeight="1" x14ac:dyDescent="0.2">
      <c r="A955" s="14"/>
      <c r="B955" s="15"/>
      <c r="C955" s="2199" t="s">
        <v>2064</v>
      </c>
      <c r="D955" s="2200" t="s">
        <v>2041</v>
      </c>
      <c r="E955" s="2200" t="s">
        <v>2065</v>
      </c>
      <c r="F955" s="2200" t="s">
        <v>569</v>
      </c>
      <c r="G955" s="2200"/>
      <c r="H955" s="2200"/>
      <c r="I955" s="2200"/>
      <c r="J955" s="2200"/>
      <c r="K955" s="2200"/>
      <c r="L955" s="2200"/>
      <c r="M955" s="2200"/>
      <c r="N955" s="2201"/>
      <c r="O955" s="17"/>
      <c r="P955" s="14"/>
      <c r="Q955" s="14"/>
      <c r="R955" s="14"/>
      <c r="S955" s="14"/>
      <c r="T955" s="14"/>
      <c r="U955" s="14"/>
    </row>
    <row r="956" spans="1:21" ht="18.75" customHeight="1" x14ac:dyDescent="0.2">
      <c r="A956" s="14"/>
      <c r="B956" s="15"/>
      <c r="C956" s="2202" t="s">
        <v>1088</v>
      </c>
      <c r="D956" s="210"/>
      <c r="E956" s="104" t="s">
        <v>679</v>
      </c>
      <c r="F956" s="210">
        <v>80</v>
      </c>
      <c r="G956" s="210">
        <v>180</v>
      </c>
      <c r="H956" s="210">
        <v>287.2</v>
      </c>
      <c r="I956" s="210">
        <v>340.8</v>
      </c>
      <c r="J956" s="210">
        <v>401.4</v>
      </c>
      <c r="K956" s="210">
        <v>454</v>
      </c>
      <c r="L956" s="210">
        <v>525</v>
      </c>
      <c r="M956" s="210">
        <v>525</v>
      </c>
      <c r="N956" s="115">
        <v>401.4</v>
      </c>
      <c r="O956" s="17"/>
      <c r="P956" s="14"/>
      <c r="Q956" s="14"/>
      <c r="R956" s="14"/>
      <c r="S956" s="14"/>
      <c r="T956" s="14"/>
      <c r="U956" s="14"/>
    </row>
    <row r="957" spans="1:21" ht="18.75" customHeight="1" x14ac:dyDescent="0.2">
      <c r="A957" s="14"/>
      <c r="B957" s="15"/>
      <c r="C957" s="119" t="s">
        <v>568</v>
      </c>
      <c r="D957" s="120" t="s">
        <v>623</v>
      </c>
      <c r="E957" s="110" t="s">
        <v>608</v>
      </c>
      <c r="F957" s="110" t="s">
        <v>957</v>
      </c>
      <c r="G957" s="110" t="s">
        <v>572</v>
      </c>
      <c r="H957" s="110" t="s">
        <v>530</v>
      </c>
      <c r="I957" s="110" t="s">
        <v>573</v>
      </c>
      <c r="J957" s="110" t="s">
        <v>574</v>
      </c>
      <c r="K957" s="110" t="s">
        <v>575</v>
      </c>
      <c r="L957" s="110" t="s">
        <v>576</v>
      </c>
      <c r="M957" s="110" t="s">
        <v>577</v>
      </c>
      <c r="N957" s="2203" t="s">
        <v>609</v>
      </c>
      <c r="O957" s="17"/>
      <c r="P957" s="14"/>
      <c r="Q957" s="14"/>
      <c r="R957" s="14"/>
      <c r="S957" s="14"/>
      <c r="T957" s="14"/>
      <c r="U957" s="14"/>
    </row>
    <row r="958" spans="1:21" ht="18.75" customHeight="1" x14ac:dyDescent="0.2">
      <c r="A958" s="14"/>
      <c r="B958" s="15"/>
      <c r="C958" s="119" t="s">
        <v>582</v>
      </c>
      <c r="D958" s="120" t="s">
        <v>566</v>
      </c>
      <c r="E958" s="121">
        <v>100000</v>
      </c>
      <c r="F958" s="129">
        <v>4626.7110993971528</v>
      </c>
      <c r="G958" s="129">
        <v>8700.6526389452083</v>
      </c>
      <c r="H958" s="129">
        <v>17454.590086759046</v>
      </c>
      <c r="I958" s="129">
        <v>9311.9042977739409</v>
      </c>
      <c r="J958" s="129">
        <v>10044.897067758462</v>
      </c>
      <c r="K958" s="129">
        <v>7999.5854107603773</v>
      </c>
      <c r="L958" s="129">
        <v>9586.4814518104067</v>
      </c>
      <c r="M958" s="129">
        <v>33436.566274145996</v>
      </c>
      <c r="N958" s="130">
        <v>53624.635367256487</v>
      </c>
      <c r="O958" s="17"/>
      <c r="P958" s="14"/>
      <c r="Q958" s="14"/>
      <c r="R958" s="14"/>
      <c r="S958" s="14"/>
      <c r="T958" s="14"/>
      <c r="U958" s="14"/>
    </row>
    <row r="959" spans="1:21" ht="18.75" customHeight="1" x14ac:dyDescent="0.2">
      <c r="B959" s="15"/>
      <c r="C959" s="119" t="s">
        <v>582</v>
      </c>
      <c r="D959" s="120" t="s">
        <v>628</v>
      </c>
      <c r="E959" s="145">
        <v>15900</v>
      </c>
      <c r="F959" s="129">
        <v>735.64706480414725</v>
      </c>
      <c r="G959" s="129">
        <v>1383.4037695922882</v>
      </c>
      <c r="H959" s="129">
        <v>2775.2798237946881</v>
      </c>
      <c r="I959" s="129">
        <v>1480.5927833460566</v>
      </c>
      <c r="J959" s="129">
        <v>1597.1386337735955</v>
      </c>
      <c r="K959" s="129">
        <v>1271.9340803109001</v>
      </c>
      <c r="L959" s="129">
        <v>1524.2505508378547</v>
      </c>
      <c r="M959" s="129">
        <v>5316.4140375892139</v>
      </c>
      <c r="N959" s="130">
        <v>8526.3170233937817</v>
      </c>
      <c r="O959" s="17"/>
      <c r="P959" s="14"/>
      <c r="Q959" s="14"/>
      <c r="R959" s="14"/>
      <c r="S959" s="14"/>
      <c r="T959" s="14"/>
      <c r="U959" s="14"/>
    </row>
    <row r="960" spans="1:21" ht="18.75" customHeight="1" x14ac:dyDescent="0.2">
      <c r="B960" s="15"/>
      <c r="C960" s="119" t="s">
        <v>620</v>
      </c>
      <c r="D960" s="120" t="s">
        <v>622</v>
      </c>
      <c r="E960" s="129">
        <v>14859406.966481557</v>
      </c>
      <c r="F960" s="129">
        <v>447268.14969109482</v>
      </c>
      <c r="G960" s="129">
        <v>1049074.1318335978</v>
      </c>
      <c r="H960" s="129">
        <v>2367103.5297605121</v>
      </c>
      <c r="I960" s="129">
        <v>1337346.6269833397</v>
      </c>
      <c r="J960" s="129">
        <v>1485940.6966481563</v>
      </c>
      <c r="K960" s="129">
        <v>1209555.7270715984</v>
      </c>
      <c r="L960" s="129">
        <v>1478510.9931649154</v>
      </c>
      <c r="M960" s="129">
        <v>5484607.1113283429</v>
      </c>
      <c r="N960" s="130">
        <v>8172673.8315648567</v>
      </c>
      <c r="O960" s="17"/>
      <c r="P960" s="14"/>
      <c r="Q960" s="14"/>
      <c r="R960" s="14"/>
      <c r="S960" s="14"/>
      <c r="T960" s="14"/>
      <c r="U960" s="14"/>
    </row>
    <row r="961" spans="2:21" ht="18.75" customHeight="1" x14ac:dyDescent="0.2">
      <c r="B961" s="15"/>
      <c r="C961" s="122" t="s">
        <v>776</v>
      </c>
      <c r="D961" s="120" t="s">
        <v>579</v>
      </c>
      <c r="E961" s="125">
        <v>2.9842963631793067</v>
      </c>
      <c r="F961" s="125">
        <v>0.16217023086562177</v>
      </c>
      <c r="G961" s="125">
        <v>0.10504518319367362</v>
      </c>
      <c r="H961" s="125">
        <v>0.58146224319298534</v>
      </c>
      <c r="I961" s="125">
        <v>1.2337716173314917</v>
      </c>
      <c r="J961" s="125">
        <v>1.8888102119112498</v>
      </c>
      <c r="K961" s="125">
        <v>2.6390501585275512</v>
      </c>
      <c r="L961" s="125">
        <v>3.4609815994485826</v>
      </c>
      <c r="M961" s="125">
        <v>5.4734898270276346</v>
      </c>
      <c r="N961" s="131">
        <v>4.6899117221912299</v>
      </c>
      <c r="O961" s="17"/>
      <c r="P961" s="14"/>
      <c r="Q961" s="14"/>
      <c r="R961" s="14"/>
      <c r="S961" s="14"/>
      <c r="T961" s="14"/>
      <c r="U961" s="14"/>
    </row>
    <row r="962" spans="2:21" ht="18.75" customHeight="1" x14ac:dyDescent="0.2">
      <c r="B962" s="15"/>
      <c r="C962" s="122" t="s">
        <v>777</v>
      </c>
      <c r="D962" s="210" t="s">
        <v>778</v>
      </c>
      <c r="E962" s="125">
        <v>1201.7671011639773</v>
      </c>
      <c r="F962" s="132">
        <v>0</v>
      </c>
      <c r="G962" s="132">
        <v>0</v>
      </c>
      <c r="H962" s="132">
        <v>0</v>
      </c>
      <c r="I962" s="132">
        <v>368.84999586090021</v>
      </c>
      <c r="J962" s="132">
        <v>895.19887676678331</v>
      </c>
      <c r="K962" s="132">
        <v>1617.4070948137107</v>
      </c>
      <c r="L962" s="132">
        <v>2529.0489968083011</v>
      </c>
      <c r="M962" s="125">
        <v>1884.9997322122892</v>
      </c>
      <c r="N962" s="133">
        <v>1961.910388836033</v>
      </c>
      <c r="O962" s="17"/>
      <c r="P962" s="14"/>
      <c r="Q962" s="14"/>
      <c r="R962" s="14"/>
      <c r="S962" s="14"/>
      <c r="T962" s="14"/>
      <c r="U962" s="14"/>
    </row>
    <row r="963" spans="2:21" ht="18.75" customHeight="1" x14ac:dyDescent="0.2">
      <c r="B963" s="15"/>
      <c r="C963" s="119" t="s">
        <v>779</v>
      </c>
      <c r="D963" s="120" t="s">
        <v>970</v>
      </c>
      <c r="E963" s="132">
        <v>19.760000000000002</v>
      </c>
      <c r="F963" s="125">
        <v>101.00376109462233</v>
      </c>
      <c r="G963" s="125">
        <v>54.910866595871411</v>
      </c>
      <c r="H963" s="125">
        <v>34.236427904781692</v>
      </c>
      <c r="I963" s="125">
        <v>25.002071564587425</v>
      </c>
      <c r="J963" s="125">
        <v>20.439113046914429</v>
      </c>
      <c r="K963" s="125">
        <v>17.15077263287651</v>
      </c>
      <c r="L963" s="125">
        <v>14.233787376968991</v>
      </c>
      <c r="M963" s="125">
        <v>5.5256032139616309</v>
      </c>
      <c r="N963" s="131">
        <v>15.977497193658451</v>
      </c>
      <c r="O963" s="17"/>
      <c r="P963" s="14"/>
      <c r="Q963" s="14"/>
      <c r="R963" s="14"/>
      <c r="S963" s="14"/>
      <c r="T963" s="14"/>
      <c r="U963" s="14"/>
    </row>
    <row r="964" spans="2:21" ht="18.75" customHeight="1" x14ac:dyDescent="0.2">
      <c r="B964" s="15"/>
      <c r="C964" s="119" t="s">
        <v>580</v>
      </c>
      <c r="D964" s="120" t="s">
        <v>581</v>
      </c>
      <c r="E964" s="125">
        <v>934.55389726299097</v>
      </c>
      <c r="F964" s="125">
        <v>607.99284207050005</v>
      </c>
      <c r="G964" s="125">
        <v>758.3282299012219</v>
      </c>
      <c r="H964" s="125">
        <v>852.92427432558156</v>
      </c>
      <c r="I964" s="125">
        <v>903.25080739689361</v>
      </c>
      <c r="J964" s="125">
        <v>930.37677833720079</v>
      </c>
      <c r="K964" s="125">
        <v>950.95787257775623</v>
      </c>
      <c r="L964" s="125">
        <v>969.99210028312143</v>
      </c>
      <c r="M964" s="125">
        <v>1031.6365641483028</v>
      </c>
      <c r="N964" s="131">
        <v>958.52333535586013</v>
      </c>
      <c r="O964" s="17"/>
      <c r="P964" s="14"/>
      <c r="Q964" s="14"/>
      <c r="R964" s="14"/>
      <c r="S964" s="14"/>
      <c r="T964" s="14"/>
      <c r="U964" s="14"/>
    </row>
    <row r="965" spans="2:21" ht="18.75" customHeight="1" x14ac:dyDescent="0.2">
      <c r="B965" s="15"/>
      <c r="C965" s="119" t="s">
        <v>541</v>
      </c>
      <c r="D965" s="120" t="s">
        <v>579</v>
      </c>
      <c r="E965" s="125">
        <v>11.911294298413592</v>
      </c>
      <c r="F965" s="125">
        <v>17.953269915346624</v>
      </c>
      <c r="G965" s="125">
        <v>14.151107187071938</v>
      </c>
      <c r="H965" s="125">
        <v>12.511240348476226</v>
      </c>
      <c r="I965" s="125">
        <v>12.251072600102646</v>
      </c>
      <c r="J965" s="125">
        <v>11.670055795497046</v>
      </c>
      <c r="K965" s="125">
        <v>11.256565397080024</v>
      </c>
      <c r="L965" s="125">
        <v>10.878806280814668</v>
      </c>
      <c r="M965" s="125">
        <v>11.136451794147384</v>
      </c>
      <c r="N965" s="131">
        <v>11.107618191787587</v>
      </c>
      <c r="O965" s="17"/>
      <c r="P965" s="14"/>
      <c r="Q965" s="14"/>
      <c r="R965" s="14"/>
      <c r="S965" s="14"/>
      <c r="T965" s="14"/>
      <c r="U965" s="14"/>
    </row>
    <row r="966" spans="2:21" ht="18.75" customHeight="1" x14ac:dyDescent="0.2">
      <c r="B966" s="15"/>
      <c r="C966" s="119" t="s">
        <v>544</v>
      </c>
      <c r="D966" s="120" t="s">
        <v>579</v>
      </c>
      <c r="E966" s="125">
        <v>8.9700000000000006</v>
      </c>
      <c r="F966" s="128"/>
      <c r="G966" s="128"/>
      <c r="H966" s="128"/>
      <c r="I966" s="128"/>
      <c r="J966" s="128"/>
      <c r="K966" s="128"/>
      <c r="L966" s="128"/>
      <c r="M966" s="125">
        <v>24.278054727716068</v>
      </c>
      <c r="N966" s="131">
        <v>16.309090909090912</v>
      </c>
      <c r="O966" s="17"/>
      <c r="P966" s="14"/>
      <c r="Q966" s="14"/>
      <c r="R966" s="14"/>
      <c r="S966" s="14"/>
      <c r="T966" s="14"/>
      <c r="U966" s="14"/>
    </row>
    <row r="967" spans="2:21" ht="18.75" customHeight="1" x14ac:dyDescent="0.2">
      <c r="B967" s="15"/>
      <c r="C967" s="119" t="s">
        <v>780</v>
      </c>
      <c r="D967" s="120" t="s">
        <v>783</v>
      </c>
      <c r="E967" s="125">
        <v>11.580619908887916</v>
      </c>
      <c r="F967" s="125">
        <v>13.430093747896079</v>
      </c>
      <c r="G967" s="125">
        <v>12.02346896653634</v>
      </c>
      <c r="H967" s="125">
        <v>11.438660402078634</v>
      </c>
      <c r="I967" s="125">
        <v>11.289006656982677</v>
      </c>
      <c r="J967" s="125">
        <v>11.297523738400775</v>
      </c>
      <c r="K967" s="125">
        <v>11.354477112134969</v>
      </c>
      <c r="L967" s="125">
        <v>11.401721321381389</v>
      </c>
      <c r="M967" s="125">
        <v>11.217565496408655</v>
      </c>
      <c r="N967" s="131">
        <v>11.377744770770795</v>
      </c>
      <c r="O967" s="17"/>
      <c r="P967" s="14"/>
      <c r="Q967" s="14"/>
      <c r="R967" s="14"/>
      <c r="S967" s="14"/>
      <c r="T967" s="14"/>
      <c r="U967" s="14"/>
    </row>
    <row r="968" spans="2:21" ht="18.75" customHeight="1" x14ac:dyDescent="0.2">
      <c r="B968" s="15"/>
      <c r="C968" s="122" t="s">
        <v>781</v>
      </c>
      <c r="D968" s="120" t="s">
        <v>782</v>
      </c>
      <c r="E968" s="125">
        <v>433.2</v>
      </c>
      <c r="F968" s="134">
        <v>30.2</v>
      </c>
      <c r="G968" s="134">
        <v>149.19999999999999</v>
      </c>
      <c r="H968" s="134">
        <v>244.3</v>
      </c>
      <c r="I968" s="134">
        <v>317.60000000000002</v>
      </c>
      <c r="J968" s="134">
        <v>373.9</v>
      </c>
      <c r="K968" s="134">
        <v>428.3</v>
      </c>
      <c r="L968" s="134">
        <v>480.6</v>
      </c>
      <c r="M968" s="134">
        <v>590.4</v>
      </c>
      <c r="N968" s="135">
        <v>449.6</v>
      </c>
      <c r="O968" s="17"/>
      <c r="P968" s="14"/>
      <c r="Q968" s="14"/>
      <c r="R968" s="14"/>
      <c r="S968" s="14"/>
      <c r="T968" s="14"/>
      <c r="U968" s="14"/>
    </row>
    <row r="969" spans="2:21" ht="18.75" customHeight="1" x14ac:dyDescent="0.2">
      <c r="B969" s="15"/>
      <c r="C969" s="122"/>
      <c r="D969" s="210"/>
      <c r="E969" s="210"/>
      <c r="F969" s="210"/>
      <c r="G969" s="210"/>
      <c r="H969" s="210"/>
      <c r="I969" s="210"/>
      <c r="J969" s="210"/>
      <c r="K969" s="210"/>
      <c r="L969" s="210"/>
      <c r="M969" s="210"/>
      <c r="N969" s="115"/>
      <c r="O969" s="17"/>
      <c r="P969" s="14"/>
      <c r="Q969" s="14"/>
      <c r="R969" s="14"/>
      <c r="S969" s="14"/>
      <c r="T969" s="14"/>
      <c r="U969" s="14"/>
    </row>
    <row r="970" spans="2:21" ht="18.75" customHeight="1" x14ac:dyDescent="0.2">
      <c r="B970" s="15"/>
      <c r="C970" s="2199" t="s">
        <v>2126</v>
      </c>
      <c r="D970" s="2200" t="s">
        <v>2125</v>
      </c>
      <c r="E970" s="2200" t="s">
        <v>2124</v>
      </c>
      <c r="F970" s="2200" t="s">
        <v>569</v>
      </c>
      <c r="G970" s="2200"/>
      <c r="H970" s="2200"/>
      <c r="I970" s="2200"/>
      <c r="J970" s="2200"/>
      <c r="K970" s="2200"/>
      <c r="L970" s="2200"/>
      <c r="M970" s="2200"/>
      <c r="N970" s="2201"/>
      <c r="O970" s="17"/>
      <c r="P970" s="14"/>
      <c r="Q970" s="14"/>
      <c r="R970" s="14"/>
      <c r="S970" s="14"/>
      <c r="T970" s="14"/>
      <c r="U970" s="14"/>
    </row>
    <row r="971" spans="2:21" ht="18.75" customHeight="1" x14ac:dyDescent="0.2">
      <c r="B971" s="15"/>
      <c r="C971" s="2202" t="s">
        <v>1088</v>
      </c>
      <c r="D971" s="210">
        <v>113</v>
      </c>
      <c r="E971" s="104" t="s">
        <v>679</v>
      </c>
      <c r="F971" s="210">
        <v>80</v>
      </c>
      <c r="G971" s="210">
        <v>180</v>
      </c>
      <c r="H971" s="210">
        <v>290</v>
      </c>
      <c r="I971" s="210">
        <v>343</v>
      </c>
      <c r="J971" s="210">
        <v>399</v>
      </c>
      <c r="K971" s="210">
        <v>454</v>
      </c>
      <c r="L971" s="210">
        <v>525</v>
      </c>
      <c r="M971" s="210">
        <v>525</v>
      </c>
      <c r="N971" s="115">
        <v>399</v>
      </c>
      <c r="O971" s="17"/>
      <c r="P971" s="14"/>
      <c r="Q971" s="14"/>
      <c r="R971" s="14"/>
      <c r="S971" s="14"/>
      <c r="T971" s="14"/>
      <c r="U971" s="14"/>
    </row>
    <row r="972" spans="2:21" ht="18.75" customHeight="1" x14ac:dyDescent="0.2">
      <c r="B972" s="15"/>
      <c r="C972" s="119" t="s">
        <v>568</v>
      </c>
      <c r="D972" s="120" t="s">
        <v>623</v>
      </c>
      <c r="E972" s="110" t="s">
        <v>608</v>
      </c>
      <c r="F972" s="110" t="s">
        <v>518</v>
      </c>
      <c r="G972" s="110" t="s">
        <v>572</v>
      </c>
      <c r="H972" s="110" t="s">
        <v>530</v>
      </c>
      <c r="I972" s="110" t="s">
        <v>573</v>
      </c>
      <c r="J972" s="110" t="s">
        <v>574</v>
      </c>
      <c r="K972" s="110" t="s">
        <v>575</v>
      </c>
      <c r="L972" s="110" t="s">
        <v>576</v>
      </c>
      <c r="M972" s="110" t="s">
        <v>577</v>
      </c>
      <c r="N972" s="2203" t="s">
        <v>609</v>
      </c>
      <c r="O972" s="17"/>
      <c r="P972" s="14"/>
      <c r="Q972" s="14"/>
      <c r="R972" s="14"/>
      <c r="S972" s="14"/>
      <c r="T972" s="14"/>
      <c r="U972" s="14"/>
    </row>
    <row r="973" spans="2:21" ht="18.75" customHeight="1" x14ac:dyDescent="0.2">
      <c r="B973" s="15"/>
      <c r="C973" s="119" t="s">
        <v>582</v>
      </c>
      <c r="D973" s="120" t="s">
        <v>566</v>
      </c>
      <c r="E973" s="121">
        <v>100000</v>
      </c>
      <c r="F973" s="129">
        <v>4646.1848881722763</v>
      </c>
      <c r="G973" s="129">
        <v>13096.558532424257</v>
      </c>
      <c r="H973" s="129">
        <v>26315.659589014227</v>
      </c>
      <c r="I973" s="129">
        <v>15249.141006155482</v>
      </c>
      <c r="J973" s="129">
        <v>15844.878654337645</v>
      </c>
      <c r="K973" s="129">
        <v>13091.534261292434</v>
      </c>
      <c r="L973" s="129">
        <v>7990.9500860973758</v>
      </c>
      <c r="M973" s="129">
        <v>2450.3888595971971</v>
      </c>
      <c r="N973" s="130">
        <v>24261.97679287253</v>
      </c>
      <c r="O973" s="17"/>
      <c r="P973" s="14"/>
      <c r="Q973" s="14"/>
      <c r="R973" s="14"/>
      <c r="S973" s="14"/>
      <c r="T973" s="14"/>
      <c r="U973" s="14"/>
    </row>
    <row r="974" spans="2:21" ht="18.75" customHeight="1" x14ac:dyDescent="0.2">
      <c r="B974" s="15"/>
      <c r="C974" s="119" t="s">
        <v>582</v>
      </c>
      <c r="D974" s="120" t="s">
        <v>628</v>
      </c>
      <c r="E974" s="145">
        <v>15900</v>
      </c>
      <c r="F974" s="129">
        <v>738.74339721939191</v>
      </c>
      <c r="G974" s="129">
        <v>2082.3528066554568</v>
      </c>
      <c r="H974" s="129">
        <v>4184.1898746532625</v>
      </c>
      <c r="I974" s="129">
        <v>2424.6134199787216</v>
      </c>
      <c r="J974" s="129">
        <v>2519.3357060396856</v>
      </c>
      <c r="K974" s="129">
        <v>2081.5539475454971</v>
      </c>
      <c r="L974" s="129">
        <v>1270.5610636894828</v>
      </c>
      <c r="M974" s="129">
        <v>389.61182867595437</v>
      </c>
      <c r="N974" s="130">
        <v>3857.6543100667323</v>
      </c>
      <c r="O974" s="17"/>
      <c r="P974" s="14"/>
      <c r="Q974" s="14"/>
      <c r="R974" s="14"/>
      <c r="S974" s="14"/>
      <c r="T974" s="14"/>
      <c r="U974" s="14"/>
    </row>
    <row r="975" spans="2:21" ht="18.75" customHeight="1" x14ac:dyDescent="0.2">
      <c r="B975" s="15"/>
      <c r="C975" s="119" t="s">
        <v>620</v>
      </c>
      <c r="D975" s="120" t="s">
        <v>622</v>
      </c>
      <c r="E975" s="129">
        <v>13692561.058483096</v>
      </c>
      <c r="F975" s="129">
        <v>462808.56377672858</v>
      </c>
      <c r="G975" s="129">
        <v>1617091.4610068537</v>
      </c>
      <c r="H975" s="129">
        <v>3562804.3874173015</v>
      </c>
      <c r="I975" s="129">
        <v>2140147.2934409077</v>
      </c>
      <c r="J975" s="129">
        <v>2272965.1357081942</v>
      </c>
      <c r="K975" s="129">
        <v>1932020.3653519633</v>
      </c>
      <c r="L975" s="129">
        <v>1233699.7513693278</v>
      </c>
      <c r="M975" s="129">
        <v>471024.1004118183</v>
      </c>
      <c r="N975" s="130">
        <v>3636744.2171331095</v>
      </c>
      <c r="O975" s="17"/>
      <c r="P975" s="14"/>
      <c r="Q975" s="14"/>
      <c r="R975" s="14"/>
      <c r="S975" s="14"/>
      <c r="T975" s="14"/>
      <c r="U975" s="14"/>
    </row>
    <row r="976" spans="2:21" ht="18.75" customHeight="1" x14ac:dyDescent="0.2">
      <c r="B976" s="15"/>
      <c r="C976" s="122" t="s">
        <v>776</v>
      </c>
      <c r="D976" s="120" t="s">
        <v>579</v>
      </c>
      <c r="E976" s="125">
        <v>0.20236739891357719</v>
      </c>
      <c r="F976" s="125">
        <v>0.61167255505403983</v>
      </c>
      <c r="G976" s="125">
        <v>0</v>
      </c>
      <c r="H976" s="125">
        <v>0</v>
      </c>
      <c r="I976" s="125">
        <v>0.18788676651092828</v>
      </c>
      <c r="J976" s="125">
        <v>0.35375021549821195</v>
      </c>
      <c r="K976" s="125">
        <v>0.43051095952487195</v>
      </c>
      <c r="L976" s="125">
        <v>0.36468959806248602</v>
      </c>
      <c r="M976" s="125">
        <v>0</v>
      </c>
      <c r="N976" s="131">
        <v>4.503026749543559</v>
      </c>
      <c r="O976" s="17"/>
      <c r="P976" s="14"/>
      <c r="Q976" s="14"/>
      <c r="R976" s="14"/>
      <c r="S976" s="14"/>
      <c r="T976" s="14"/>
      <c r="U976" s="14"/>
    </row>
    <row r="977" spans="2:21" ht="18.75" customHeight="1" x14ac:dyDescent="0.2">
      <c r="B977" s="15"/>
      <c r="C977" s="122" t="s">
        <v>777</v>
      </c>
      <c r="D977" s="210" t="s">
        <v>778</v>
      </c>
      <c r="E977" s="125">
        <v>740.91480404633251</v>
      </c>
      <c r="F977" s="132">
        <v>0</v>
      </c>
      <c r="G977" s="132">
        <v>0</v>
      </c>
      <c r="H977" s="132">
        <v>0</v>
      </c>
      <c r="I977" s="132">
        <v>698.93978022758893</v>
      </c>
      <c r="J977" s="132">
        <v>1307.2562441747723</v>
      </c>
      <c r="K977" s="132">
        <v>1587.3815682684908</v>
      </c>
      <c r="L977" s="132">
        <v>1343.1910704697002</v>
      </c>
      <c r="M977" s="125">
        <v>2025.1431724344252</v>
      </c>
      <c r="N977" s="133">
        <v>1561.2423940653171</v>
      </c>
      <c r="O977" s="17"/>
      <c r="P977" s="14"/>
      <c r="Q977" s="14"/>
      <c r="R977" s="14"/>
      <c r="S977" s="14"/>
      <c r="T977" s="14"/>
      <c r="U977" s="14"/>
    </row>
    <row r="978" spans="2:21" ht="18.75" customHeight="1" x14ac:dyDescent="0.2">
      <c r="B978" s="15"/>
      <c r="C978" s="119" t="s">
        <v>779</v>
      </c>
      <c r="D978" s="120" t="s">
        <v>970</v>
      </c>
      <c r="E978" s="132">
        <v>32.65</v>
      </c>
      <c r="F978" s="125">
        <v>94.142381477360672</v>
      </c>
      <c r="G978" s="125">
        <v>50.532183158123757</v>
      </c>
      <c r="H978" s="125">
        <v>34.515200673969446</v>
      </c>
      <c r="I978" s="125">
        <v>28.650127713398703</v>
      </c>
      <c r="J978" s="125">
        <v>25.182941633103823</v>
      </c>
      <c r="K978" s="125">
        <v>20.801583911492187</v>
      </c>
      <c r="L978" s="125">
        <v>14.084290414304476</v>
      </c>
      <c r="M978" s="125">
        <v>-14.572287411953468</v>
      </c>
      <c r="N978" s="131">
        <v>18.447420577937763</v>
      </c>
      <c r="O978" s="17"/>
      <c r="P978" s="14"/>
      <c r="Q978" s="14"/>
      <c r="R978" s="14"/>
      <c r="S978" s="14"/>
      <c r="T978" s="14"/>
      <c r="U978" s="14"/>
    </row>
    <row r="979" spans="2:21" ht="18.75" customHeight="1" x14ac:dyDescent="0.2">
      <c r="B979" s="15"/>
      <c r="C979" s="119" t="s">
        <v>580</v>
      </c>
      <c r="D979" s="120" t="s">
        <v>581</v>
      </c>
      <c r="E979" s="125">
        <v>861.16736216874813</v>
      </c>
      <c r="F979" s="125">
        <v>626.48081257812419</v>
      </c>
      <c r="G979" s="125">
        <v>776.56939584801842</v>
      </c>
      <c r="H979" s="125">
        <v>851.49204365696858</v>
      </c>
      <c r="I979" s="125">
        <v>882.67567761779105</v>
      </c>
      <c r="J979" s="125">
        <v>902.20812187083322</v>
      </c>
      <c r="K979" s="125">
        <v>928.16252378668401</v>
      </c>
      <c r="L979" s="125">
        <v>970.98816155036559</v>
      </c>
      <c r="M979" s="125">
        <v>1208.9573923166888</v>
      </c>
      <c r="N979" s="131">
        <v>942.73460627170573</v>
      </c>
      <c r="O979" s="17"/>
      <c r="P979" s="14"/>
      <c r="Q979" s="14"/>
      <c r="R979" s="14"/>
      <c r="S979" s="14"/>
      <c r="T979" s="14"/>
      <c r="U979" s="14"/>
    </row>
    <row r="980" spans="2:21" ht="18.75" customHeight="1" x14ac:dyDescent="0.2">
      <c r="B980" s="15"/>
      <c r="C980" s="119" t="s">
        <v>541</v>
      </c>
      <c r="D980" s="120" t="s">
        <v>579</v>
      </c>
      <c r="E980" s="125">
        <v>12.570331455430054</v>
      </c>
      <c r="F980" s="125">
        <v>17.164901401674364</v>
      </c>
      <c r="G980" s="125">
        <v>13.598582941070783</v>
      </c>
      <c r="H980" s="125">
        <v>12.545564664101152</v>
      </c>
      <c r="I980" s="125">
        <v>12.791702277035863</v>
      </c>
      <c r="J980" s="125">
        <v>12.410212081681088</v>
      </c>
      <c r="K980" s="125">
        <v>11.85553328621647</v>
      </c>
      <c r="L980" s="125">
        <v>10.852633892747264</v>
      </c>
      <c r="M980" s="125">
        <v>11.91083968698959</v>
      </c>
      <c r="N980" s="131">
        <v>11.522480970083262</v>
      </c>
      <c r="O980" s="17"/>
      <c r="P980" s="14"/>
      <c r="Q980" s="14"/>
      <c r="R980" s="14"/>
      <c r="S980" s="14"/>
      <c r="T980" s="14"/>
      <c r="U980" s="14"/>
    </row>
    <row r="981" spans="2:21" ht="18.75" customHeight="1" x14ac:dyDescent="0.2">
      <c r="B981" s="15"/>
      <c r="C981" s="119" t="s">
        <v>544</v>
      </c>
      <c r="D981" s="120" t="s">
        <v>579</v>
      </c>
      <c r="E981" s="125">
        <v>0.02</v>
      </c>
      <c r="F981" s="128"/>
      <c r="G981" s="128"/>
      <c r="H981" s="128"/>
      <c r="I981" s="128"/>
      <c r="J981" s="128"/>
      <c r="K981" s="128"/>
      <c r="L981" s="128"/>
      <c r="M981" s="125">
        <v>0.58081395348837239</v>
      </c>
      <c r="N981" s="131">
        <v>7.5301204819277115E-2</v>
      </c>
      <c r="O981" s="17"/>
      <c r="P981" s="14"/>
      <c r="Q981" s="14"/>
      <c r="R981" s="14"/>
      <c r="S981" s="14"/>
      <c r="T981" s="14"/>
      <c r="U981" s="14"/>
    </row>
    <row r="982" spans="2:21" ht="18.75" customHeight="1" x14ac:dyDescent="0.2">
      <c r="B982" s="15"/>
      <c r="C982" s="119" t="s">
        <v>780</v>
      </c>
      <c r="D982" s="120" t="s">
        <v>783</v>
      </c>
      <c r="E982" s="125">
        <v>11.858022347412861</v>
      </c>
      <c r="F982" s="125">
        <v>13.093637513628732</v>
      </c>
      <c r="G982" s="125">
        <v>11.741044634792946</v>
      </c>
      <c r="H982" s="125">
        <v>11.457900511669495</v>
      </c>
      <c r="I982" s="125">
        <v>11.552152887171593</v>
      </c>
      <c r="J982" s="125">
        <v>11.650253953739279</v>
      </c>
      <c r="K982" s="125">
        <v>11.633339121188515</v>
      </c>
      <c r="L982" s="125">
        <v>11.390025181883656</v>
      </c>
      <c r="M982" s="125">
        <v>9.5722568887623378</v>
      </c>
      <c r="N982" s="131">
        <v>11.568296945878474</v>
      </c>
      <c r="O982" s="17"/>
      <c r="P982" s="14"/>
      <c r="Q982" s="14"/>
      <c r="R982" s="14"/>
      <c r="S982" s="14"/>
      <c r="T982" s="14"/>
      <c r="U982" s="14"/>
    </row>
    <row r="983" spans="2:21" ht="18.75" customHeight="1" x14ac:dyDescent="0.2">
      <c r="B983" s="15"/>
      <c r="C983" s="122" t="s">
        <v>781</v>
      </c>
      <c r="D983" s="120" t="s">
        <v>782</v>
      </c>
      <c r="E983" s="125">
        <v>320.2</v>
      </c>
      <c r="F983" s="134">
        <v>34.4</v>
      </c>
      <c r="G983" s="134">
        <v>149.19999999999999</v>
      </c>
      <c r="H983" s="134">
        <v>244.3</v>
      </c>
      <c r="I983" s="134">
        <v>317.60000000000002</v>
      </c>
      <c r="J983" s="134">
        <v>373.9</v>
      </c>
      <c r="K983" s="134">
        <v>428.3</v>
      </c>
      <c r="L983" s="134">
        <v>480.6</v>
      </c>
      <c r="M983" s="134">
        <v>590.4</v>
      </c>
      <c r="N983" s="135">
        <v>449.6</v>
      </c>
      <c r="O983" s="17"/>
      <c r="P983" s="14"/>
      <c r="Q983" s="14"/>
      <c r="R983" s="14"/>
      <c r="S983" s="14"/>
      <c r="T983" s="14"/>
      <c r="U983" s="14"/>
    </row>
    <row r="984" spans="2:21" ht="18.75" customHeight="1" x14ac:dyDescent="0.2">
      <c r="B984" s="15"/>
      <c r="C984" s="122"/>
      <c r="D984" s="210"/>
      <c r="E984" s="210"/>
      <c r="F984" s="210"/>
      <c r="G984" s="210"/>
      <c r="H984" s="210"/>
      <c r="I984" s="210"/>
      <c r="J984" s="210"/>
      <c r="K984" s="210"/>
      <c r="L984" s="210"/>
      <c r="M984" s="210"/>
      <c r="N984" s="115"/>
      <c r="O984" s="17"/>
      <c r="P984" s="14"/>
      <c r="Q984" s="14"/>
      <c r="R984" s="14"/>
      <c r="S984" s="14"/>
      <c r="T984" s="14"/>
      <c r="U984" s="14"/>
    </row>
    <row r="985" spans="2:21" ht="18.75" customHeight="1" x14ac:dyDescent="0.2">
      <c r="B985" s="15"/>
      <c r="C985" s="2199" t="s">
        <v>1482</v>
      </c>
      <c r="D985" s="2200" t="s">
        <v>1478</v>
      </c>
      <c r="E985" s="2200" t="s">
        <v>1483</v>
      </c>
      <c r="F985" s="2200" t="s">
        <v>569</v>
      </c>
      <c r="G985" s="2200"/>
      <c r="H985" s="2200"/>
      <c r="I985" s="2200"/>
      <c r="J985" s="2200"/>
      <c r="K985" s="2200"/>
      <c r="L985" s="2200"/>
      <c r="M985" s="2200"/>
      <c r="N985" s="2201"/>
      <c r="O985" s="17"/>
      <c r="P985" s="14"/>
      <c r="Q985" s="14"/>
      <c r="R985" s="14"/>
      <c r="S985" s="14"/>
      <c r="T985" s="14"/>
      <c r="U985" s="14"/>
    </row>
    <row r="986" spans="2:21" ht="18.75" customHeight="1" x14ac:dyDescent="0.2">
      <c r="B986" s="15"/>
      <c r="C986" s="2202" t="s">
        <v>1088</v>
      </c>
      <c r="D986" s="210">
        <v>17</v>
      </c>
      <c r="E986" s="104" t="s">
        <v>679</v>
      </c>
      <c r="F986" s="210">
        <v>94</v>
      </c>
      <c r="G986" s="210">
        <v>183.7</v>
      </c>
      <c r="H986" s="210">
        <v>290.8</v>
      </c>
      <c r="I986" s="210">
        <v>344</v>
      </c>
      <c r="J986" s="210">
        <v>401.8</v>
      </c>
      <c r="K986" s="210">
        <v>454</v>
      </c>
      <c r="L986" s="210">
        <v>525</v>
      </c>
      <c r="M986" s="210">
        <v>525</v>
      </c>
      <c r="N986" s="115">
        <v>401.8</v>
      </c>
      <c r="O986" s="17"/>
      <c r="P986" s="14"/>
      <c r="Q986" s="14"/>
      <c r="R986" s="14"/>
      <c r="S986" s="14"/>
      <c r="T986" s="14"/>
      <c r="U986" s="14"/>
    </row>
    <row r="987" spans="2:21" ht="18.75" customHeight="1" x14ac:dyDescent="0.2">
      <c r="B987" s="15"/>
      <c r="C987" s="119" t="s">
        <v>568</v>
      </c>
      <c r="D987" s="120" t="s">
        <v>623</v>
      </c>
      <c r="E987" s="110" t="s">
        <v>608</v>
      </c>
      <c r="F987" s="110" t="s">
        <v>518</v>
      </c>
      <c r="G987" s="110" t="s">
        <v>572</v>
      </c>
      <c r="H987" s="110" t="s">
        <v>530</v>
      </c>
      <c r="I987" s="110" t="s">
        <v>573</v>
      </c>
      <c r="J987" s="110" t="s">
        <v>574</v>
      </c>
      <c r="K987" s="110" t="s">
        <v>575</v>
      </c>
      <c r="L987" s="110" t="s">
        <v>576</v>
      </c>
      <c r="M987" s="110" t="s">
        <v>577</v>
      </c>
      <c r="N987" s="2203" t="s">
        <v>609</v>
      </c>
      <c r="O987" s="17"/>
      <c r="P987" s="14"/>
      <c r="Q987" s="14"/>
      <c r="R987" s="14"/>
      <c r="S987" s="14"/>
      <c r="T987" s="14"/>
      <c r="U987" s="14"/>
    </row>
    <row r="988" spans="2:21" ht="18.75" customHeight="1" x14ac:dyDescent="0.25">
      <c r="B988" s="15"/>
      <c r="C988" s="119" t="s">
        <v>582</v>
      </c>
      <c r="D988" s="120" t="s">
        <v>566</v>
      </c>
      <c r="E988" s="121">
        <v>100000</v>
      </c>
      <c r="F988" s="129">
        <v>5140.1337017306596</v>
      </c>
      <c r="G988" s="129">
        <v>13544.91786424573</v>
      </c>
      <c r="H988" s="129">
        <v>28067.889925483752</v>
      </c>
      <c r="I988" s="129">
        <v>15800.140966866722</v>
      </c>
      <c r="J988" s="129">
        <v>16238.995257613171</v>
      </c>
      <c r="K988" s="129">
        <v>12080.109967270635</v>
      </c>
      <c r="L988" s="129">
        <v>9082.6819007709219</v>
      </c>
      <c r="M988" s="129">
        <v>874.39440697838756</v>
      </c>
      <c r="N988" s="130">
        <v>22086.27227690817</v>
      </c>
      <c r="O988" s="85"/>
      <c r="P988" s="14"/>
      <c r="Q988" s="14"/>
      <c r="R988" s="14"/>
      <c r="S988" s="14"/>
      <c r="T988" s="14"/>
      <c r="U988" s="14"/>
    </row>
    <row r="989" spans="2:21" ht="18.75" customHeight="1" x14ac:dyDescent="0.2">
      <c r="B989" s="15"/>
      <c r="C989" s="119" t="s">
        <v>582</v>
      </c>
      <c r="D989" s="120" t="s">
        <v>628</v>
      </c>
      <c r="E989" s="145">
        <v>15900</v>
      </c>
      <c r="F989" s="129">
        <v>817.28125857517489</v>
      </c>
      <c r="G989" s="129">
        <v>2153.6419404150711</v>
      </c>
      <c r="H989" s="129">
        <v>4462.7944981519167</v>
      </c>
      <c r="I989" s="129">
        <v>2512.222413731809</v>
      </c>
      <c r="J989" s="129">
        <v>2582.0002459604943</v>
      </c>
      <c r="K989" s="129">
        <v>1920.7374847960311</v>
      </c>
      <c r="L989" s="129">
        <v>1444.1464222225766</v>
      </c>
      <c r="M989" s="129">
        <v>139.02871070956363</v>
      </c>
      <c r="N989" s="130">
        <v>3511.7172920283992</v>
      </c>
      <c r="O989" s="86"/>
      <c r="P989" s="14"/>
      <c r="Q989" s="14"/>
      <c r="R989" s="14"/>
      <c r="S989" s="14"/>
      <c r="T989" s="14"/>
      <c r="U989" s="14"/>
    </row>
    <row r="990" spans="2:21" ht="18.75" customHeight="1" x14ac:dyDescent="0.25">
      <c r="B990" s="15"/>
      <c r="C990" s="119" t="s">
        <v>620</v>
      </c>
      <c r="D990" s="120" t="s">
        <v>622</v>
      </c>
      <c r="E990" s="129">
        <v>13612948.32384471</v>
      </c>
      <c r="F990" s="129">
        <v>544517.93295378843</v>
      </c>
      <c r="G990" s="129">
        <v>1633553.7988613653</v>
      </c>
      <c r="H990" s="129">
        <v>3675496.047438072</v>
      </c>
      <c r="I990" s="129">
        <v>2178071.7318151533</v>
      </c>
      <c r="J990" s="129">
        <v>2314201.2150536012</v>
      </c>
      <c r="K990" s="129">
        <v>1769683.2820998123</v>
      </c>
      <c r="L990" s="129">
        <v>1361294.8323844709</v>
      </c>
      <c r="M990" s="129">
        <v>136129.48323844722</v>
      </c>
      <c r="N990" s="130">
        <v>3267107.5977227306</v>
      </c>
      <c r="O990" s="87"/>
      <c r="P990" s="14"/>
      <c r="Q990" s="14"/>
      <c r="R990" s="14"/>
      <c r="S990" s="14"/>
      <c r="T990" s="14"/>
      <c r="U990" s="14"/>
    </row>
    <row r="991" spans="2:21" ht="18.75" customHeight="1" x14ac:dyDescent="0.25">
      <c r="B991" s="15"/>
      <c r="C991" s="122" t="s">
        <v>776</v>
      </c>
      <c r="D991" s="120" t="s">
        <v>579</v>
      </c>
      <c r="E991" s="125">
        <v>0.16705435927364704</v>
      </c>
      <c r="F991" s="125">
        <v>0</v>
      </c>
      <c r="G991" s="125">
        <v>0</v>
      </c>
      <c r="H991" s="125">
        <v>0</v>
      </c>
      <c r="I991" s="125">
        <v>0.16848027973174462</v>
      </c>
      <c r="J991" s="125">
        <v>0.30177963977129529</v>
      </c>
      <c r="K991" s="125">
        <v>0.37010978568184782</v>
      </c>
      <c r="L991" s="125">
        <v>0.33406363214219326</v>
      </c>
      <c r="M991" s="125">
        <v>0.72743404025881375</v>
      </c>
      <c r="N991" s="131">
        <v>0.36997906564769867</v>
      </c>
      <c r="O991" s="88"/>
      <c r="P991" s="14"/>
      <c r="Q991" s="14"/>
      <c r="R991" s="14"/>
      <c r="S991" s="14"/>
      <c r="T991" s="14"/>
      <c r="U991" s="14"/>
    </row>
    <row r="992" spans="2:21" ht="18.75" customHeight="1" x14ac:dyDescent="0.25">
      <c r="B992" s="15"/>
      <c r="C992" s="122" t="s">
        <v>777</v>
      </c>
      <c r="D992" s="210" t="s">
        <v>778</v>
      </c>
      <c r="E992" s="125">
        <v>668.46139470614685</v>
      </c>
      <c r="F992" s="132">
        <v>0</v>
      </c>
      <c r="G992" s="132">
        <v>0</v>
      </c>
      <c r="H992" s="132">
        <v>0</v>
      </c>
      <c r="I992" s="132">
        <v>647.10108307986775</v>
      </c>
      <c r="J992" s="132">
        <v>1203.969100812561</v>
      </c>
      <c r="K992" s="132">
        <v>1496.6899481847704</v>
      </c>
      <c r="L992" s="132">
        <v>1360.2899023145419</v>
      </c>
      <c r="M992" s="125">
        <v>2965.1790779758239</v>
      </c>
      <c r="N992" s="133">
        <v>1501.043642813469</v>
      </c>
      <c r="O992" s="88"/>
      <c r="P992" s="14"/>
      <c r="Q992" s="14"/>
      <c r="R992" s="14"/>
      <c r="S992" s="14"/>
      <c r="T992" s="14"/>
      <c r="U992" s="14"/>
    </row>
    <row r="993" spans="2:21" ht="18.75" customHeight="1" x14ac:dyDescent="0.25">
      <c r="B993" s="15"/>
      <c r="C993" s="119" t="s">
        <v>779</v>
      </c>
      <c r="D993" s="120" t="s">
        <v>970</v>
      </c>
      <c r="E993" s="132">
        <v>33.61</v>
      </c>
      <c r="F993" s="125">
        <v>80.671868873187279</v>
      </c>
      <c r="G993" s="125">
        <v>54.866782380467676</v>
      </c>
      <c r="H993" s="125">
        <v>40.140344651726728</v>
      </c>
      <c r="I993" s="125">
        <v>31.547579689960315</v>
      </c>
      <c r="J993" s="125">
        <v>26.218853352029999</v>
      </c>
      <c r="K993" s="125">
        <v>21.926688976619594</v>
      </c>
      <c r="L993" s="125">
        <v>18.464160863628702</v>
      </c>
      <c r="M993" s="125">
        <v>12.871260536201447</v>
      </c>
      <c r="N993" s="131">
        <v>20.444350651679521</v>
      </c>
      <c r="O993" s="88"/>
      <c r="P993" s="14"/>
      <c r="Q993" s="14"/>
      <c r="R993" s="14"/>
      <c r="S993" s="14"/>
      <c r="T993" s="14"/>
      <c r="U993" s="14"/>
    </row>
    <row r="994" spans="2:21" ht="18.75" customHeight="1" x14ac:dyDescent="0.25">
      <c r="B994" s="15"/>
      <c r="C994" s="119" t="s">
        <v>580</v>
      </c>
      <c r="D994" s="120" t="s">
        <v>581</v>
      </c>
      <c r="E994" s="125">
        <v>856.16027193991886</v>
      </c>
      <c r="F994" s="125">
        <v>666.25525452900467</v>
      </c>
      <c r="G994" s="125">
        <v>758.50760899768272</v>
      </c>
      <c r="H994" s="125">
        <v>823.58621911901344</v>
      </c>
      <c r="I994" s="125">
        <v>866.99000849200775</v>
      </c>
      <c r="J994" s="125">
        <v>896.28233718185686</v>
      </c>
      <c r="K994" s="125">
        <v>921.35614372504438</v>
      </c>
      <c r="L994" s="125">
        <v>942.62937015029604</v>
      </c>
      <c r="M994" s="125">
        <v>979.14655572709</v>
      </c>
      <c r="N994" s="131">
        <v>930.34470774144233</v>
      </c>
      <c r="O994" s="89"/>
      <c r="P994" s="14"/>
      <c r="Q994" s="14"/>
      <c r="R994" s="14"/>
      <c r="S994" s="14"/>
      <c r="T994" s="14"/>
      <c r="U994" s="14"/>
    </row>
    <row r="995" spans="2:21" ht="18.75" customHeight="1" x14ac:dyDescent="0.25">
      <c r="B995" s="15"/>
      <c r="C995" s="119" t="s">
        <v>541</v>
      </c>
      <c r="D995" s="120" t="s">
        <v>579</v>
      </c>
      <c r="E995" s="125">
        <v>12.976647602287507</v>
      </c>
      <c r="F995" s="125">
        <v>15.319917730681047</v>
      </c>
      <c r="G995" s="125">
        <v>14.146078047030473</v>
      </c>
      <c r="H995" s="125">
        <v>13.236924819948966</v>
      </c>
      <c r="I995" s="125">
        <v>13.20385706405289</v>
      </c>
      <c r="J995" s="125">
        <v>12.565917299406177</v>
      </c>
      <c r="K995" s="125">
        <v>12.034376923817547</v>
      </c>
      <c r="L995" s="125">
        <v>11.597786141964566</v>
      </c>
      <c r="M995" s="125">
        <v>11.928114059013698</v>
      </c>
      <c r="N995" s="131">
        <v>11.848036478678644</v>
      </c>
      <c r="O995" s="90"/>
      <c r="P995" s="14"/>
      <c r="Q995" s="14"/>
      <c r="R995" s="14"/>
      <c r="S995" s="14"/>
      <c r="T995" s="14"/>
      <c r="U995" s="14"/>
    </row>
    <row r="996" spans="2:21" ht="18.75" customHeight="1" x14ac:dyDescent="0.25">
      <c r="B996" s="15"/>
      <c r="C996" s="119" t="s">
        <v>544</v>
      </c>
      <c r="D996" s="120" t="s">
        <v>579</v>
      </c>
      <c r="E996" s="125">
        <v>0.05</v>
      </c>
      <c r="F996" s="128"/>
      <c r="G996" s="128"/>
      <c r="H996" s="128"/>
      <c r="I996" s="128"/>
      <c r="J996" s="128"/>
      <c r="K996" s="128"/>
      <c r="L996" s="128"/>
      <c r="M996" s="125">
        <v>4.9949999999999948</v>
      </c>
      <c r="N996" s="131">
        <v>0.20833333333333334</v>
      </c>
      <c r="O996" s="89"/>
      <c r="P996" s="14"/>
      <c r="Q996" s="14"/>
      <c r="R996" s="14"/>
      <c r="S996" s="14"/>
      <c r="T996" s="14"/>
      <c r="U996" s="14"/>
    </row>
    <row r="997" spans="2:21" ht="18.75" customHeight="1" x14ac:dyDescent="0.25">
      <c r="B997" s="15"/>
      <c r="C997" s="119" t="s">
        <v>780</v>
      </c>
      <c r="D997" s="120" t="s">
        <v>783</v>
      </c>
      <c r="E997" s="125">
        <v>11.887706532772361</v>
      </c>
      <c r="F997" s="125">
        <v>12.278515799880136</v>
      </c>
      <c r="G997" s="125">
        <v>12.020625542193647</v>
      </c>
      <c r="H997" s="125">
        <v>11.846132069980442</v>
      </c>
      <c r="I997" s="125">
        <v>11.761155581670705</v>
      </c>
      <c r="J997" s="125">
        <v>11.727279789949355</v>
      </c>
      <c r="K997" s="125">
        <v>11.719278665830418</v>
      </c>
      <c r="L997" s="125">
        <v>11.732691513321088</v>
      </c>
      <c r="M997" s="125">
        <v>11.818915829438996</v>
      </c>
      <c r="N997" s="131">
        <v>11.722358149360081</v>
      </c>
      <c r="O997" s="89"/>
      <c r="P997" s="14"/>
      <c r="Q997" s="14"/>
      <c r="R997" s="14"/>
      <c r="S997" s="14"/>
      <c r="T997" s="14"/>
      <c r="U997" s="14"/>
    </row>
    <row r="998" spans="2:21" ht="18.75" customHeight="1" x14ac:dyDescent="0.25">
      <c r="B998" s="15"/>
      <c r="C998" s="122" t="s">
        <v>781</v>
      </c>
      <c r="D998" s="120" t="s">
        <v>782</v>
      </c>
      <c r="E998" s="125">
        <v>314.3</v>
      </c>
      <c r="F998" s="134">
        <v>31.9</v>
      </c>
      <c r="G998" s="134">
        <v>149.19999999999999</v>
      </c>
      <c r="H998" s="134">
        <v>244.3</v>
      </c>
      <c r="I998" s="134">
        <v>317.60000000000002</v>
      </c>
      <c r="J998" s="134">
        <v>373.9</v>
      </c>
      <c r="K998" s="134">
        <v>428.3</v>
      </c>
      <c r="L998" s="134">
        <v>480.6</v>
      </c>
      <c r="M998" s="134">
        <v>590.4</v>
      </c>
      <c r="N998" s="135">
        <v>449.6</v>
      </c>
      <c r="O998" s="89"/>
      <c r="P998" s="14"/>
      <c r="Q998" s="14"/>
      <c r="R998" s="14"/>
      <c r="S998" s="14"/>
      <c r="T998" s="14"/>
      <c r="U998" s="14"/>
    </row>
    <row r="999" spans="2:21" ht="18.75" customHeight="1" x14ac:dyDescent="0.25">
      <c r="B999" s="15"/>
      <c r="C999" s="122"/>
      <c r="D999" s="210"/>
      <c r="E999" s="210"/>
      <c r="F999" s="210"/>
      <c r="G999" s="210"/>
      <c r="H999" s="210"/>
      <c r="I999" s="210"/>
      <c r="J999" s="210"/>
      <c r="K999" s="210"/>
      <c r="L999" s="210"/>
      <c r="M999" s="210"/>
      <c r="N999" s="115"/>
      <c r="O999" s="89"/>
      <c r="P999" s="14"/>
      <c r="Q999" s="14"/>
      <c r="R999" s="14"/>
      <c r="S999" s="14"/>
      <c r="T999" s="14"/>
      <c r="U999" s="14"/>
    </row>
    <row r="1000" spans="2:21" ht="18.75" customHeight="1" x14ac:dyDescent="0.25">
      <c r="B1000" s="15"/>
      <c r="C1000" s="2199" t="s">
        <v>2066</v>
      </c>
      <c r="D1000" s="2200"/>
      <c r="E1000" s="2200" t="s">
        <v>2067</v>
      </c>
      <c r="F1000" s="2200" t="s">
        <v>569</v>
      </c>
      <c r="G1000" s="2200"/>
      <c r="H1000" s="2200"/>
      <c r="I1000" s="2200"/>
      <c r="J1000" s="2200"/>
      <c r="K1000" s="2200"/>
      <c r="L1000" s="2200"/>
      <c r="M1000" s="2200"/>
      <c r="N1000" s="2201"/>
      <c r="O1000" s="89"/>
      <c r="P1000" s="14"/>
      <c r="Q1000" s="14"/>
      <c r="R1000" s="14"/>
      <c r="S1000" s="14"/>
      <c r="T1000" s="14"/>
      <c r="U1000" s="14"/>
    </row>
    <row r="1001" spans="2:21" ht="18.75" customHeight="1" x14ac:dyDescent="0.25">
      <c r="B1001" s="15"/>
      <c r="C1001" s="2202" t="s">
        <v>1088</v>
      </c>
      <c r="D1001" s="210">
        <v>18</v>
      </c>
      <c r="E1001" s="104" t="s">
        <v>679</v>
      </c>
      <c r="F1001" s="210">
        <v>67.265822784810098</v>
      </c>
      <c r="G1001" s="210">
        <v>174.88481012658227</v>
      </c>
      <c r="H1001" s="210">
        <v>288.26202531645578</v>
      </c>
      <c r="I1001" s="210">
        <v>340.42531645569608</v>
      </c>
      <c r="J1001" s="210">
        <v>393.05189873417714</v>
      </c>
      <c r="K1001" s="210">
        <v>450.98481012658232</v>
      </c>
      <c r="L1001" s="210">
        <v>520.5493670886076</v>
      </c>
      <c r="M1001" s="210">
        <v>520.5493670886076</v>
      </c>
      <c r="N1001" s="115">
        <v>393.05189873417714</v>
      </c>
      <c r="O1001" s="89"/>
      <c r="P1001" s="14"/>
      <c r="Q1001" s="14"/>
      <c r="R1001" s="14"/>
      <c r="S1001" s="14"/>
      <c r="T1001" s="14"/>
      <c r="U1001" s="14"/>
    </row>
    <row r="1002" spans="2:21" ht="18.75" customHeight="1" x14ac:dyDescent="0.25">
      <c r="B1002" s="15"/>
      <c r="C1002" s="119" t="s">
        <v>568</v>
      </c>
      <c r="D1002" s="120" t="s">
        <v>623</v>
      </c>
      <c r="E1002" s="110" t="s">
        <v>608</v>
      </c>
      <c r="F1002" s="110" t="s">
        <v>2068</v>
      </c>
      <c r="G1002" s="110" t="s">
        <v>572</v>
      </c>
      <c r="H1002" s="110" t="s">
        <v>530</v>
      </c>
      <c r="I1002" s="110" t="s">
        <v>573</v>
      </c>
      <c r="J1002" s="110" t="s">
        <v>574</v>
      </c>
      <c r="K1002" s="110" t="s">
        <v>575</v>
      </c>
      <c r="L1002" s="110" t="s">
        <v>576</v>
      </c>
      <c r="M1002" s="110" t="s">
        <v>577</v>
      </c>
      <c r="N1002" s="2203" t="s">
        <v>609</v>
      </c>
      <c r="O1002" s="91"/>
      <c r="P1002" s="14"/>
      <c r="Q1002" s="14"/>
      <c r="R1002" s="14"/>
      <c r="S1002" s="14"/>
      <c r="T1002" s="14"/>
      <c r="U1002" s="14"/>
    </row>
    <row r="1003" spans="2:21" ht="18.75" customHeight="1" x14ac:dyDescent="0.25">
      <c r="B1003" s="15"/>
      <c r="C1003" s="119" t="s">
        <v>582</v>
      </c>
      <c r="D1003" s="120" t="s">
        <v>566</v>
      </c>
      <c r="E1003" s="121">
        <v>98954.632948598926</v>
      </c>
      <c r="F1003" s="129">
        <v>1498.1610793203572</v>
      </c>
      <c r="G1003" s="129">
        <v>15211.900086741185</v>
      </c>
      <c r="H1003" s="129">
        <v>13591.237811208259</v>
      </c>
      <c r="I1003" s="129">
        <v>8085.1931237848776</v>
      </c>
      <c r="J1003" s="129">
        <v>8917.9923832495097</v>
      </c>
      <c r="K1003" s="129">
        <v>7819.6446234975092</v>
      </c>
      <c r="L1003" s="129">
        <v>10600.647938057393</v>
      </c>
      <c r="M1003" s="129">
        <v>33229.85590273983</v>
      </c>
      <c r="N1003" s="130">
        <v>51998.489129187357</v>
      </c>
      <c r="O1003" s="91"/>
      <c r="P1003" s="14"/>
      <c r="Q1003" s="14"/>
      <c r="R1003" s="14"/>
      <c r="S1003" s="14"/>
      <c r="T1003" s="14"/>
      <c r="U1003" s="14"/>
    </row>
    <row r="1004" spans="2:21" ht="18.75" customHeight="1" x14ac:dyDescent="0.25">
      <c r="B1004" s="15"/>
      <c r="C1004" s="119" t="s">
        <v>582</v>
      </c>
      <c r="D1004" s="120" t="s">
        <v>628</v>
      </c>
      <c r="E1004" s="145">
        <v>15733.786638827229</v>
      </c>
      <c r="F1004" s="129">
        <v>238.20761161193681</v>
      </c>
      <c r="G1004" s="129">
        <v>2418.6921137918484</v>
      </c>
      <c r="H1004" s="129">
        <v>2161.006811982113</v>
      </c>
      <c r="I1004" s="129">
        <v>1285.5457066817955</v>
      </c>
      <c r="J1004" s="129">
        <v>1417.9607889366721</v>
      </c>
      <c r="K1004" s="129">
        <v>1243.3234951361039</v>
      </c>
      <c r="L1004" s="129">
        <v>1685.5030221511254</v>
      </c>
      <c r="M1004" s="129">
        <v>5283.5470885356326</v>
      </c>
      <c r="N1004" s="130">
        <v>8267.7597715407901</v>
      </c>
      <c r="O1004" s="91"/>
      <c r="P1004" s="14"/>
      <c r="Q1004" s="14"/>
      <c r="R1004" s="14"/>
      <c r="S1004" s="14"/>
      <c r="T1004" s="14"/>
      <c r="U1004" s="14"/>
    </row>
    <row r="1005" spans="2:21" ht="18.75" customHeight="1" x14ac:dyDescent="0.25">
      <c r="B1005" s="15"/>
      <c r="C1005" s="119" t="s">
        <v>620</v>
      </c>
      <c r="D1005" s="120" t="s">
        <v>622</v>
      </c>
      <c r="E1005" s="129">
        <v>14744061.603765335</v>
      </c>
      <c r="F1005" s="129">
        <v>147440.61603765335</v>
      </c>
      <c r="G1005" s="129">
        <v>1916728.0084894935</v>
      </c>
      <c r="H1005" s="129">
        <v>1916728.0084894935</v>
      </c>
      <c r="I1005" s="129">
        <v>1179524.9283012261</v>
      </c>
      <c r="J1005" s="129">
        <v>1326965.5443388806</v>
      </c>
      <c r="K1005" s="129">
        <v>1179524.928301227</v>
      </c>
      <c r="L1005" s="129">
        <v>1621846.7764141867</v>
      </c>
      <c r="M1005" s="129">
        <v>5455302.7933931742</v>
      </c>
      <c r="N1005" s="130">
        <v>8256674.4981085882</v>
      </c>
      <c r="O1005" s="91"/>
      <c r="P1005" s="14"/>
      <c r="Q1005" s="14"/>
      <c r="R1005" s="14"/>
      <c r="S1005" s="14"/>
      <c r="T1005" s="14"/>
      <c r="U1005" s="14"/>
    </row>
    <row r="1006" spans="2:21" ht="18.75" customHeight="1" x14ac:dyDescent="0.25">
      <c r="B1006" s="15"/>
      <c r="C1006" s="122" t="s">
        <v>776</v>
      </c>
      <c r="D1006" s="120" t="s">
        <v>579</v>
      </c>
      <c r="E1006" s="125">
        <v>4.0022728703253234</v>
      </c>
      <c r="F1006" s="125">
        <v>0</v>
      </c>
      <c r="G1006" s="125">
        <v>0.98029044250312403</v>
      </c>
      <c r="H1006" s="125">
        <v>2.1693295217646611</v>
      </c>
      <c r="I1006" s="125">
        <v>2.7100360768530471</v>
      </c>
      <c r="J1006" s="125">
        <v>3.1501747298626057</v>
      </c>
      <c r="K1006" s="125">
        <v>3.5624929400080374</v>
      </c>
      <c r="L1006" s="125">
        <v>4.1187246514256959</v>
      </c>
      <c r="M1006" s="125">
        <v>6.3633635575058465</v>
      </c>
      <c r="N1006" s="131">
        <v>5.522327969883273</v>
      </c>
      <c r="O1006" s="91"/>
      <c r="P1006" s="14"/>
      <c r="Q1006" s="14"/>
      <c r="R1006" s="14"/>
      <c r="S1006" s="14"/>
      <c r="T1006" s="14"/>
      <c r="U1006" s="14"/>
    </row>
    <row r="1007" spans="2:21" ht="18.75" customHeight="1" x14ac:dyDescent="0.25">
      <c r="B1007" s="15"/>
      <c r="C1007" s="122" t="s">
        <v>777</v>
      </c>
      <c r="D1007" s="210" t="s">
        <v>778</v>
      </c>
      <c r="E1007" s="125">
        <v>1825.1247559252381</v>
      </c>
      <c r="F1007" s="132">
        <v>0</v>
      </c>
      <c r="G1007" s="132">
        <v>0</v>
      </c>
      <c r="H1007" s="132">
        <v>86.373130920595031</v>
      </c>
      <c r="I1007" s="132">
        <v>363.90846336058826</v>
      </c>
      <c r="J1007" s="132">
        <v>673.84822381220033</v>
      </c>
      <c r="K1007" s="132">
        <v>1022.8272638419046</v>
      </c>
      <c r="L1007" s="132">
        <v>1560.9667405774474</v>
      </c>
      <c r="M1007" s="125">
        <v>3974.6073219533628</v>
      </c>
      <c r="N1007" s="133">
        <v>3078.8164851671709</v>
      </c>
      <c r="O1007" s="91"/>
      <c r="P1007" s="14"/>
      <c r="Q1007" s="14"/>
      <c r="R1007" s="14"/>
      <c r="S1007" s="14"/>
      <c r="T1007" s="14"/>
      <c r="U1007" s="14"/>
    </row>
    <row r="1008" spans="2:21" ht="18.75" customHeight="1" x14ac:dyDescent="0.25">
      <c r="B1008" s="15"/>
      <c r="C1008" s="119" t="s">
        <v>779</v>
      </c>
      <c r="D1008" s="120" t="s">
        <v>970</v>
      </c>
      <c r="E1008" s="132">
        <v>20.943333333333339</v>
      </c>
      <c r="F1008" s="125">
        <v>96.884668801859604</v>
      </c>
      <c r="G1008" s="125">
        <v>46.880981196649884</v>
      </c>
      <c r="H1008" s="125">
        <v>27.876430466663379</v>
      </c>
      <c r="I1008" s="125">
        <v>22.566723804189166</v>
      </c>
      <c r="J1008" s="125">
        <v>19.554276171536927</v>
      </c>
      <c r="K1008" s="125">
        <v>17.506586486004792</v>
      </c>
      <c r="L1008" s="125">
        <v>15.408918833690493</v>
      </c>
      <c r="M1008" s="125">
        <v>5.41</v>
      </c>
      <c r="N1008" s="131">
        <v>10.050410913400313</v>
      </c>
      <c r="O1008" s="91"/>
      <c r="P1008" s="14"/>
      <c r="Q1008" s="14"/>
      <c r="R1008" s="14"/>
      <c r="S1008" s="14"/>
      <c r="T1008" s="14"/>
      <c r="U1008" s="14"/>
    </row>
    <row r="1009" spans="2:21" ht="18.75" customHeight="1" x14ac:dyDescent="0.25">
      <c r="B1009" s="15"/>
      <c r="C1009" s="119" t="s">
        <v>580</v>
      </c>
      <c r="D1009" s="120" t="s">
        <v>581</v>
      </c>
      <c r="E1009" s="125">
        <v>927.29947193492671</v>
      </c>
      <c r="F1009" s="125">
        <v>618.95845829581776</v>
      </c>
      <c r="G1009" s="125">
        <v>792.4646537523073</v>
      </c>
      <c r="H1009" s="125">
        <v>886.96065086969224</v>
      </c>
      <c r="I1009" s="125">
        <v>917.5285811857857</v>
      </c>
      <c r="J1009" s="125">
        <v>935.82668483658938</v>
      </c>
      <c r="K1009" s="125">
        <v>948.68707373064399</v>
      </c>
      <c r="L1009" s="125">
        <v>962.233087155372</v>
      </c>
      <c r="M1009" s="125">
        <v>1032.5076510116132</v>
      </c>
      <c r="N1009" s="131">
        <v>998.65921679650648</v>
      </c>
      <c r="O1009" s="91"/>
      <c r="P1009" s="14"/>
      <c r="Q1009" s="14"/>
      <c r="R1009" s="14"/>
      <c r="S1009" s="14"/>
      <c r="T1009" s="14"/>
      <c r="U1009" s="14"/>
    </row>
    <row r="1010" spans="2:21" ht="18.75" customHeight="1" x14ac:dyDescent="0.25">
      <c r="B1010" s="15"/>
      <c r="C1010" s="119" t="s">
        <v>541</v>
      </c>
      <c r="D1010" s="120" t="s">
        <v>579</v>
      </c>
      <c r="E1010" s="125">
        <v>11.239304825809919</v>
      </c>
      <c r="F1010" s="125">
        <v>17.712563993114347</v>
      </c>
      <c r="G1010" s="125">
        <v>13.445914067224832</v>
      </c>
      <c r="H1010" s="125">
        <v>11.961950279509777</v>
      </c>
      <c r="I1010" s="125">
        <v>11.894631504465025</v>
      </c>
      <c r="J1010" s="125">
        <v>11.508883496805886</v>
      </c>
      <c r="K1010" s="125">
        <v>11.258434639050062</v>
      </c>
      <c r="L1010" s="125">
        <v>11.015382792205806</v>
      </c>
      <c r="M1010" s="125">
        <v>9.8903240742348686</v>
      </c>
      <c r="N1010" s="131">
        <v>10.306762117381329</v>
      </c>
      <c r="O1010" s="91"/>
      <c r="P1010" s="14"/>
      <c r="Q1010" s="14"/>
      <c r="R1010" s="14"/>
      <c r="S1010" s="14"/>
      <c r="T1010" s="14"/>
      <c r="U1010" s="14"/>
    </row>
    <row r="1011" spans="2:21" ht="18.75" customHeight="1" x14ac:dyDescent="0.25">
      <c r="B1011" s="15"/>
      <c r="C1011" s="119" t="s">
        <v>544</v>
      </c>
      <c r="D1011" s="120" t="s">
        <v>579</v>
      </c>
      <c r="E1011" s="125">
        <v>8.5200617283950635</v>
      </c>
      <c r="F1011" s="128"/>
      <c r="G1011" s="128"/>
      <c r="H1011" s="128"/>
      <c r="I1011" s="128"/>
      <c r="J1011" s="128"/>
      <c r="K1011" s="128"/>
      <c r="L1011" s="128"/>
      <c r="M1011" s="125">
        <v>23.004166666666674</v>
      </c>
      <c r="N1011" s="131">
        <v>15.214395943562613</v>
      </c>
      <c r="O1011" s="91"/>
      <c r="P1011" s="14"/>
      <c r="Q1011" s="14"/>
      <c r="R1011" s="14"/>
      <c r="S1011" s="14"/>
      <c r="T1011" s="14"/>
      <c r="U1011" s="14"/>
    </row>
    <row r="1012" spans="2:21" ht="18.75" customHeight="1" x14ac:dyDescent="0.25">
      <c r="B1012" s="15"/>
      <c r="C1012" s="119" t="s">
        <v>780</v>
      </c>
      <c r="D1012" s="120" t="s">
        <v>783</v>
      </c>
      <c r="E1012" s="125">
        <v>11.697129672539166</v>
      </c>
      <c r="F1012" s="125">
        <v>13.368107827471484</v>
      </c>
      <c r="G1012" s="125">
        <v>11.738173693997741</v>
      </c>
      <c r="H1012" s="125">
        <v>11.220304325863271</v>
      </c>
      <c r="I1012" s="125">
        <v>11.163278291041461</v>
      </c>
      <c r="J1012" s="125">
        <v>11.187116762387888</v>
      </c>
      <c r="K1012" s="125">
        <v>11.246462749635215</v>
      </c>
      <c r="L1012" s="125">
        <v>11.345576361601418</v>
      </c>
      <c r="M1012" s="125">
        <v>11.531711885880719</v>
      </c>
      <c r="N1012" s="131">
        <v>11.441394652425043</v>
      </c>
      <c r="O1012" s="91"/>
      <c r="P1012" s="14"/>
      <c r="Q1012" s="14"/>
      <c r="R1012" s="14"/>
      <c r="S1012" s="14"/>
      <c r="T1012" s="14"/>
      <c r="U1012" s="14"/>
    </row>
    <row r="1013" spans="2:21" ht="18.75" customHeight="1" x14ac:dyDescent="0.25">
      <c r="B1013" s="15"/>
      <c r="C1013" s="122" t="s">
        <v>781</v>
      </c>
      <c r="D1013" s="120" t="s">
        <v>782</v>
      </c>
      <c r="E1013" s="125">
        <v>437.91518987341777</v>
      </c>
      <c r="F1013" s="134">
        <v>42.5</v>
      </c>
      <c r="G1013" s="134">
        <v>175.33999999999997</v>
      </c>
      <c r="H1013" s="134">
        <v>276.05999999999995</v>
      </c>
      <c r="I1013" s="134">
        <v>325.60000000000002</v>
      </c>
      <c r="J1013" s="134">
        <v>366.21999999999997</v>
      </c>
      <c r="K1013" s="134">
        <v>403.6</v>
      </c>
      <c r="L1013" s="134">
        <v>451.84000000000003</v>
      </c>
      <c r="M1013" s="134">
        <v>667.37999999999988</v>
      </c>
      <c r="N1013" s="135">
        <v>558.04</v>
      </c>
      <c r="O1013" s="91"/>
      <c r="P1013" s="14"/>
      <c r="Q1013" s="14"/>
      <c r="R1013" s="14"/>
      <c r="S1013" s="14"/>
      <c r="T1013" s="14"/>
      <c r="U1013" s="14"/>
    </row>
    <row r="1014" spans="2:21" ht="18.75" customHeight="1" x14ac:dyDescent="0.25">
      <c r="B1014" s="15"/>
      <c r="C1014" s="122"/>
      <c r="D1014" s="210"/>
      <c r="E1014" s="210"/>
      <c r="F1014" s="210"/>
      <c r="G1014" s="210"/>
      <c r="H1014" s="210"/>
      <c r="I1014" s="210"/>
      <c r="J1014" s="210"/>
      <c r="K1014" s="210"/>
      <c r="L1014" s="210"/>
      <c r="M1014" s="210"/>
      <c r="N1014" s="115"/>
      <c r="O1014" s="91"/>
      <c r="P1014" s="14"/>
      <c r="Q1014" s="14"/>
      <c r="R1014" s="14"/>
      <c r="S1014" s="14"/>
      <c r="T1014" s="14"/>
      <c r="U1014" s="14"/>
    </row>
    <row r="1015" spans="2:21" ht="18.75" customHeight="1" x14ac:dyDescent="0.25">
      <c r="B1015" s="15"/>
      <c r="C1015" s="2199" t="s">
        <v>2069</v>
      </c>
      <c r="D1015" s="2200" t="s">
        <v>2052</v>
      </c>
      <c r="E1015" s="2200" t="s">
        <v>2070</v>
      </c>
      <c r="F1015" s="2200" t="s">
        <v>569</v>
      </c>
      <c r="G1015" s="2200"/>
      <c r="H1015" s="2200"/>
      <c r="I1015" s="2200"/>
      <c r="J1015" s="2200"/>
      <c r="K1015" s="2200"/>
      <c r="L1015" s="2200"/>
      <c r="M1015" s="2200"/>
      <c r="N1015" s="2201"/>
      <c r="O1015" s="91"/>
      <c r="P1015" s="14"/>
      <c r="Q1015" s="14"/>
      <c r="R1015" s="14"/>
      <c r="S1015" s="14"/>
      <c r="T1015" s="14"/>
      <c r="U1015" s="14"/>
    </row>
    <row r="1016" spans="2:21" ht="18.75" customHeight="1" x14ac:dyDescent="0.25">
      <c r="B1016" s="15"/>
      <c r="C1016" s="2202" t="s">
        <v>1088</v>
      </c>
      <c r="D1016" s="210">
        <v>19</v>
      </c>
      <c r="E1016" s="104" t="s">
        <v>679</v>
      </c>
      <c r="F1016" s="210">
        <v>76.542424242424261</v>
      </c>
      <c r="G1016" s="210">
        <v>167.3515151515152</v>
      </c>
      <c r="H1016" s="210">
        <v>289.86969696969697</v>
      </c>
      <c r="I1016" s="210">
        <v>338.39999999999986</v>
      </c>
      <c r="J1016" s="210">
        <v>398.98333333333341</v>
      </c>
      <c r="K1016" s="210">
        <v>451.28333333333347</v>
      </c>
      <c r="L1016" s="210">
        <v>523.42424242424261</v>
      </c>
      <c r="M1016" s="210">
        <v>523.42424242424261</v>
      </c>
      <c r="N1016" s="115">
        <v>398.98333333333341</v>
      </c>
      <c r="O1016" s="91"/>
      <c r="P1016" s="14"/>
      <c r="Q1016" s="14"/>
      <c r="R1016" s="14"/>
      <c r="S1016" s="14"/>
      <c r="T1016" s="14"/>
      <c r="U1016" s="14"/>
    </row>
    <row r="1017" spans="2:21" ht="18.75" customHeight="1" x14ac:dyDescent="0.25">
      <c r="B1017" s="15"/>
      <c r="C1017" s="119" t="s">
        <v>568</v>
      </c>
      <c r="D1017" s="120" t="s">
        <v>623</v>
      </c>
      <c r="E1017" s="110" t="s">
        <v>608</v>
      </c>
      <c r="F1017" s="110" t="s">
        <v>957</v>
      </c>
      <c r="G1017" s="110" t="s">
        <v>572</v>
      </c>
      <c r="H1017" s="110" t="s">
        <v>530</v>
      </c>
      <c r="I1017" s="110" t="s">
        <v>573</v>
      </c>
      <c r="J1017" s="110" t="s">
        <v>574</v>
      </c>
      <c r="K1017" s="110" t="s">
        <v>575</v>
      </c>
      <c r="L1017" s="110" t="s">
        <v>576</v>
      </c>
      <c r="M1017" s="110" t="s">
        <v>577</v>
      </c>
      <c r="N1017" s="2203" t="s">
        <v>609</v>
      </c>
      <c r="O1017" s="91"/>
      <c r="P1017" s="14"/>
      <c r="Q1017" s="14"/>
      <c r="R1017" s="14"/>
      <c r="S1017" s="14"/>
      <c r="T1017" s="14"/>
      <c r="U1017" s="14"/>
    </row>
    <row r="1018" spans="2:21" ht="18.75" customHeight="1" x14ac:dyDescent="0.25">
      <c r="B1018" s="15"/>
      <c r="C1018" s="119" t="s">
        <v>582</v>
      </c>
      <c r="D1018" s="120" t="s">
        <v>566</v>
      </c>
      <c r="E1018" s="121">
        <v>101536.34285917433</v>
      </c>
      <c r="F1018" s="129">
        <v>4455.6571802415874</v>
      </c>
      <c r="G1018" s="129">
        <v>10438.415602765761</v>
      </c>
      <c r="H1018" s="129">
        <v>14413.773448093118</v>
      </c>
      <c r="I1018" s="129">
        <v>9323.0875523457635</v>
      </c>
      <c r="J1018" s="129">
        <v>9070.0719272130373</v>
      </c>
      <c r="K1018" s="129">
        <v>8916.7098249651863</v>
      </c>
      <c r="L1018" s="129">
        <v>10723.389314297463</v>
      </c>
      <c r="M1018" s="129">
        <v>34195.238009252411</v>
      </c>
      <c r="N1018" s="130">
        <v>53805.862111753879</v>
      </c>
      <c r="O1018" s="91"/>
      <c r="P1018" s="14"/>
      <c r="Q1018" s="14"/>
      <c r="R1018" s="14"/>
      <c r="S1018" s="14"/>
      <c r="T1018" s="14"/>
      <c r="U1018" s="14"/>
    </row>
    <row r="1019" spans="2:21" ht="18.75" customHeight="1" x14ac:dyDescent="0.25">
      <c r="B1019" s="15"/>
      <c r="C1019" s="119" t="s">
        <v>582</v>
      </c>
      <c r="D1019" s="120" t="s">
        <v>628</v>
      </c>
      <c r="E1019" s="145">
        <v>16144.278514608719</v>
      </c>
      <c r="F1019" s="129">
        <v>708.4494916584124</v>
      </c>
      <c r="G1019" s="129">
        <v>1659.7080808397559</v>
      </c>
      <c r="H1019" s="129">
        <v>2291.7899782468057</v>
      </c>
      <c r="I1019" s="129">
        <v>1482.3709208229764</v>
      </c>
      <c r="J1019" s="129">
        <v>1442.141436426873</v>
      </c>
      <c r="K1019" s="129">
        <v>1417.7568621694645</v>
      </c>
      <c r="L1019" s="129">
        <v>1705.0189009732967</v>
      </c>
      <c r="M1019" s="129">
        <v>5437.042843471133</v>
      </c>
      <c r="N1019" s="130">
        <v>8555.1320757688663</v>
      </c>
      <c r="O1019" s="91"/>
      <c r="P1019" s="14"/>
      <c r="Q1019" s="14"/>
      <c r="R1019" s="14"/>
      <c r="S1019" s="14"/>
      <c r="T1019" s="14"/>
      <c r="U1019" s="14"/>
    </row>
    <row r="1020" spans="2:21" ht="18.75" customHeight="1" x14ac:dyDescent="0.25">
      <c r="B1020" s="15"/>
      <c r="C1020" s="119" t="s">
        <v>620</v>
      </c>
      <c r="D1020" s="120" t="s">
        <v>622</v>
      </c>
      <c r="E1020" s="129">
        <v>14773127.196741795</v>
      </c>
      <c r="F1020" s="129">
        <v>443193.81590225385</v>
      </c>
      <c r="G1020" s="129">
        <v>1181850.1757393437</v>
      </c>
      <c r="H1020" s="129">
        <v>1920506.5355764334</v>
      </c>
      <c r="I1020" s="129">
        <v>1329581.447706762</v>
      </c>
      <c r="J1020" s="129">
        <v>1329581.4477067611</v>
      </c>
      <c r="K1020" s="129">
        <v>1329581.447706762</v>
      </c>
      <c r="L1020" s="129">
        <v>1625043.9916415974</v>
      </c>
      <c r="M1020" s="129">
        <v>5613788.3347618822</v>
      </c>
      <c r="N1020" s="130">
        <v>8568413.7741102427</v>
      </c>
      <c r="O1020" s="92"/>
      <c r="P1020" s="14"/>
      <c r="Q1020" s="14"/>
      <c r="R1020" s="14"/>
      <c r="S1020" s="14"/>
      <c r="T1020" s="14"/>
      <c r="U1020" s="14"/>
    </row>
    <row r="1021" spans="2:21" ht="18.75" customHeight="1" x14ac:dyDescent="0.2">
      <c r="B1021" s="15"/>
      <c r="C1021" s="122" t="s">
        <v>776</v>
      </c>
      <c r="D1021" s="120" t="s">
        <v>579</v>
      </c>
      <c r="E1021" s="125">
        <v>3.2981193317174471</v>
      </c>
      <c r="F1021" s="125">
        <v>0</v>
      </c>
      <c r="G1021" s="125">
        <v>5.8999999999999997E-2</v>
      </c>
      <c r="H1021" s="125">
        <v>0.77167002551321384</v>
      </c>
      <c r="I1021" s="125">
        <v>1.2625858101510827</v>
      </c>
      <c r="J1021" s="125">
        <v>1.6868277831093619</v>
      </c>
      <c r="K1021" s="125">
        <v>2.2361512493541524</v>
      </c>
      <c r="L1021" s="125">
        <v>3.0623336525088778</v>
      </c>
      <c r="M1021" s="125">
        <v>6.2882228704985224</v>
      </c>
      <c r="N1021" s="131">
        <v>5.0476465603573937</v>
      </c>
      <c r="O1021" s="93"/>
      <c r="P1021" s="14"/>
      <c r="Q1021" s="14"/>
      <c r="R1021" s="14"/>
      <c r="S1021" s="14"/>
      <c r="T1021" s="14"/>
      <c r="U1021" s="14"/>
    </row>
    <row r="1022" spans="2:21" ht="18.75" customHeight="1" x14ac:dyDescent="0.25">
      <c r="B1022" s="15"/>
      <c r="C1022" s="122" t="s">
        <v>777</v>
      </c>
      <c r="D1022" s="210" t="s">
        <v>778</v>
      </c>
      <c r="E1022" s="125">
        <v>1353.7354557374192</v>
      </c>
      <c r="F1022" s="132">
        <v>0</v>
      </c>
      <c r="G1022" s="132">
        <v>0</v>
      </c>
      <c r="H1022" s="132">
        <v>0</v>
      </c>
      <c r="I1022" s="132">
        <v>76.772610814079542</v>
      </c>
      <c r="J1022" s="132">
        <v>235.68699461112482</v>
      </c>
      <c r="K1022" s="132">
        <v>513.73197009450689</v>
      </c>
      <c r="L1022" s="132">
        <v>1002.2827733275553</v>
      </c>
      <c r="M1022" s="125">
        <v>3076.6502865121429</v>
      </c>
      <c r="N1022" s="133">
        <v>2285.5415366364668</v>
      </c>
      <c r="O1022" s="81"/>
      <c r="P1022" s="14"/>
      <c r="Q1022" s="14"/>
      <c r="R1022" s="14"/>
      <c r="S1022" s="14"/>
      <c r="T1022" s="14"/>
      <c r="U1022" s="14"/>
    </row>
    <row r="1023" spans="2:21" ht="18.75" customHeight="1" x14ac:dyDescent="0.25">
      <c r="B1023" s="15"/>
      <c r="C1023" s="119" t="s">
        <v>779</v>
      </c>
      <c r="D1023" s="120" t="s">
        <v>970</v>
      </c>
      <c r="E1023" s="132">
        <v>20.643406593406599</v>
      </c>
      <c r="F1023" s="125">
        <v>94.466287338109126</v>
      </c>
      <c r="G1023" s="125">
        <v>67.01701365531882</v>
      </c>
      <c r="H1023" s="125">
        <v>37.189276481421501</v>
      </c>
      <c r="I1023" s="125">
        <v>26.105144464718762</v>
      </c>
      <c r="J1023" s="125">
        <v>21.827960117046302</v>
      </c>
      <c r="K1023" s="125">
        <v>19.235400930566783</v>
      </c>
      <c r="L1023" s="125">
        <v>16.817543682231872</v>
      </c>
      <c r="M1023" s="125">
        <v>5.41</v>
      </c>
      <c r="N1023" s="131">
        <v>9.6415026961610408</v>
      </c>
      <c r="O1023" s="82"/>
      <c r="P1023" s="14"/>
      <c r="Q1023" s="14"/>
      <c r="R1023" s="14"/>
      <c r="S1023" s="14"/>
      <c r="T1023" s="14"/>
      <c r="U1023" s="14"/>
    </row>
    <row r="1024" spans="2:21" ht="18.75" customHeight="1" x14ac:dyDescent="0.25">
      <c r="B1024" s="15"/>
      <c r="C1024" s="119" t="s">
        <v>580</v>
      </c>
      <c r="D1024" s="120" t="s">
        <v>581</v>
      </c>
      <c r="E1024" s="125">
        <v>929.12749665042736</v>
      </c>
      <c r="F1024" s="125">
        <v>625.58279894418388</v>
      </c>
      <c r="G1024" s="125">
        <v>712.08316051661791</v>
      </c>
      <c r="H1024" s="125">
        <v>837.99412415861946</v>
      </c>
      <c r="I1024" s="125">
        <v>896.92898655122747</v>
      </c>
      <c r="J1024" s="125">
        <v>921.94941087124118</v>
      </c>
      <c r="K1024" s="125">
        <v>937.80639204399574</v>
      </c>
      <c r="L1024" s="125">
        <v>953.09441479736893</v>
      </c>
      <c r="M1024" s="125">
        <v>1032.5076510116132</v>
      </c>
      <c r="N1024" s="131">
        <v>1001.5524831438892</v>
      </c>
      <c r="O1024" s="82"/>
      <c r="P1024" s="14"/>
      <c r="Q1024" s="14"/>
      <c r="R1024" s="14"/>
      <c r="S1024" s="14"/>
      <c r="T1024" s="14"/>
      <c r="U1024" s="14"/>
    </row>
    <row r="1025" spans="2:21" ht="18.75" customHeight="1" x14ac:dyDescent="0.25">
      <c r="B1025" s="15"/>
      <c r="C1025" s="119" t="s">
        <v>541</v>
      </c>
      <c r="D1025" s="120" t="s">
        <v>579</v>
      </c>
      <c r="E1025" s="125">
        <v>11.5466920347768</v>
      </c>
      <c r="F1025" s="125">
        <v>17.548768724285395</v>
      </c>
      <c r="G1025" s="125">
        <v>15.165155007748702</v>
      </c>
      <c r="H1025" s="125">
        <v>12.680120616870521</v>
      </c>
      <c r="I1025" s="125">
        <v>12.379566295528086</v>
      </c>
      <c r="J1025" s="125">
        <v>11.858607901378477</v>
      </c>
      <c r="K1025" s="125">
        <v>11.579552625349944</v>
      </c>
      <c r="L1025" s="125">
        <v>11.331631739795171</v>
      </c>
      <c r="M1025" s="125">
        <v>9.7066473338279415</v>
      </c>
      <c r="N1025" s="131">
        <v>10.305457266402726</v>
      </c>
      <c r="O1025" s="94"/>
      <c r="P1025" s="14"/>
      <c r="Q1025" s="14"/>
      <c r="R1025" s="14"/>
      <c r="S1025" s="14"/>
      <c r="T1025" s="14"/>
      <c r="U1025" s="14"/>
    </row>
    <row r="1026" spans="2:21" ht="18.75" customHeight="1" x14ac:dyDescent="0.25">
      <c r="B1026" s="15"/>
      <c r="C1026" s="119" t="s">
        <v>544</v>
      </c>
      <c r="D1026" s="120" t="s">
        <v>579</v>
      </c>
      <c r="E1026" s="125">
        <v>8.6792800000000003</v>
      </c>
      <c r="F1026" s="128"/>
      <c r="G1026" s="128"/>
      <c r="H1026" s="128"/>
      <c r="I1026" s="128"/>
      <c r="J1026" s="128"/>
      <c r="K1026" s="128"/>
      <c r="L1026" s="128"/>
      <c r="M1026" s="125">
        <v>22.817370315789475</v>
      </c>
      <c r="N1026" s="131">
        <v>14.964275862068963</v>
      </c>
      <c r="O1026" s="83"/>
      <c r="P1026" s="14"/>
      <c r="Q1026" s="14"/>
      <c r="R1026" s="14"/>
      <c r="S1026" s="14"/>
      <c r="T1026" s="14"/>
      <c r="U1026" s="14"/>
    </row>
    <row r="1027" spans="2:21" ht="18.75" customHeight="1" x14ac:dyDescent="0.25">
      <c r="B1027" s="15"/>
      <c r="C1027" s="119" t="s">
        <v>780</v>
      </c>
      <c r="D1027" s="120" t="s">
        <v>783</v>
      </c>
      <c r="E1027" s="125">
        <v>11.714646240549753</v>
      </c>
      <c r="F1027" s="125">
        <v>13.319044124584757</v>
      </c>
      <c r="G1027" s="125">
        <v>12.410186319629512</v>
      </c>
      <c r="H1027" s="125">
        <v>11.461797959933055</v>
      </c>
      <c r="I1027" s="125">
        <v>11.264501579471498</v>
      </c>
      <c r="J1027" s="125">
        <v>11.317650176518715</v>
      </c>
      <c r="K1027" s="125">
        <v>11.460669112318872</v>
      </c>
      <c r="L1027" s="125">
        <v>11.623184281363127</v>
      </c>
      <c r="M1027" s="125">
        <v>11.519658165539148</v>
      </c>
      <c r="N1027" s="131">
        <v>11.552598340293745</v>
      </c>
      <c r="O1027" s="84"/>
      <c r="P1027" s="14"/>
      <c r="Q1027" s="14"/>
      <c r="R1027" s="14"/>
      <c r="S1027" s="14"/>
      <c r="T1027" s="14"/>
      <c r="U1027" s="14"/>
    </row>
    <row r="1028" spans="2:21" ht="18.75" customHeight="1" x14ac:dyDescent="0.25">
      <c r="B1028" s="15"/>
      <c r="C1028" s="122" t="s">
        <v>781</v>
      </c>
      <c r="D1028" s="120" t="s">
        <v>782</v>
      </c>
      <c r="E1028" s="125">
        <v>445.34696969696967</v>
      </c>
      <c r="F1028" s="134">
        <v>49.168354430379736</v>
      </c>
      <c r="G1028" s="134">
        <v>111.3873417721519</v>
      </c>
      <c r="H1028" s="134">
        <v>220.5835443037974</v>
      </c>
      <c r="I1028" s="134">
        <v>301.52405063291138</v>
      </c>
      <c r="J1028" s="134">
        <v>359.84683544303795</v>
      </c>
      <c r="K1028" s="134">
        <v>418.65063291139222</v>
      </c>
      <c r="L1028" s="134">
        <v>484.37088607594939</v>
      </c>
      <c r="M1028" s="134">
        <v>664.43376623376594</v>
      </c>
      <c r="N1028" s="135">
        <v>589.97088607594924</v>
      </c>
      <c r="O1028" s="83"/>
      <c r="P1028" s="14"/>
      <c r="Q1028" s="14"/>
      <c r="R1028" s="14"/>
      <c r="S1028" s="14"/>
      <c r="T1028" s="14"/>
      <c r="U1028" s="14"/>
    </row>
    <row r="1029" spans="2:21" ht="18.75" customHeight="1" x14ac:dyDescent="0.25">
      <c r="B1029" s="15"/>
      <c r="C1029" s="122"/>
      <c r="D1029" s="210"/>
      <c r="E1029" s="210"/>
      <c r="F1029" s="210"/>
      <c r="G1029" s="210"/>
      <c r="H1029" s="210"/>
      <c r="I1029" s="210"/>
      <c r="J1029" s="210"/>
      <c r="K1029" s="210"/>
      <c r="L1029" s="210"/>
      <c r="M1029" s="210"/>
      <c r="N1029" s="115"/>
      <c r="O1029" s="83"/>
      <c r="P1029" s="14"/>
      <c r="Q1029" s="14"/>
      <c r="R1029" s="14"/>
      <c r="S1029" s="14"/>
      <c r="T1029" s="14"/>
      <c r="U1029" s="14"/>
    </row>
    <row r="1030" spans="2:21" ht="18.75" customHeight="1" x14ac:dyDescent="0.25">
      <c r="B1030" s="15"/>
      <c r="C1030" s="2199" t="s">
        <v>2071</v>
      </c>
      <c r="D1030" s="2200"/>
      <c r="E1030" s="2200" t="s">
        <v>2072</v>
      </c>
      <c r="F1030" s="2200" t="s">
        <v>569</v>
      </c>
      <c r="G1030" s="2200"/>
      <c r="H1030" s="2200"/>
      <c r="I1030" s="2200"/>
      <c r="J1030" s="2200"/>
      <c r="K1030" s="2200"/>
      <c r="L1030" s="2200"/>
      <c r="M1030" s="2200"/>
      <c r="N1030" s="2201"/>
      <c r="O1030" s="83"/>
      <c r="P1030" s="14"/>
      <c r="Q1030" s="14"/>
      <c r="R1030" s="14"/>
      <c r="S1030" s="14"/>
      <c r="T1030" s="14"/>
      <c r="U1030" s="14"/>
    </row>
    <row r="1031" spans="2:21" ht="18.75" customHeight="1" x14ac:dyDescent="0.25">
      <c r="B1031" s="15"/>
      <c r="C1031" s="2202" t="s">
        <v>1088</v>
      </c>
      <c r="D1031" s="210">
        <v>20</v>
      </c>
      <c r="E1031" s="104" t="s">
        <v>679</v>
      </c>
      <c r="F1031" s="210">
        <v>78.617073170731672</v>
      </c>
      <c r="G1031" s="210">
        <v>175.16585365853658</v>
      </c>
      <c r="H1031" s="210">
        <v>289.93414634146336</v>
      </c>
      <c r="I1031" s="210">
        <v>339.77073170731711</v>
      </c>
      <c r="J1031" s="210">
        <v>393.55121951219508</v>
      </c>
      <c r="K1031" s="210">
        <v>451.35365853658539</v>
      </c>
      <c r="L1031" s="210">
        <v>524.06097560975604</v>
      </c>
      <c r="M1031" s="210">
        <v>524.06097560975604</v>
      </c>
      <c r="N1031" s="115">
        <v>393.55121951219508</v>
      </c>
      <c r="O1031" s="94"/>
      <c r="P1031" s="14"/>
      <c r="Q1031" s="14"/>
      <c r="R1031" s="14"/>
      <c r="S1031" s="14"/>
      <c r="T1031" s="14"/>
      <c r="U1031" s="14"/>
    </row>
    <row r="1032" spans="2:21" ht="18.75" customHeight="1" x14ac:dyDescent="0.25">
      <c r="B1032" s="15"/>
      <c r="C1032" s="119" t="s">
        <v>568</v>
      </c>
      <c r="D1032" s="120" t="s">
        <v>623</v>
      </c>
      <c r="E1032" s="110" t="s">
        <v>608</v>
      </c>
      <c r="F1032" s="110" t="s">
        <v>957</v>
      </c>
      <c r="G1032" s="110" t="s">
        <v>572</v>
      </c>
      <c r="H1032" s="110" t="s">
        <v>530</v>
      </c>
      <c r="I1032" s="110" t="s">
        <v>573</v>
      </c>
      <c r="J1032" s="110" t="s">
        <v>574</v>
      </c>
      <c r="K1032" s="110" t="s">
        <v>575</v>
      </c>
      <c r="L1032" s="110" t="s">
        <v>576</v>
      </c>
      <c r="M1032" s="110" t="s">
        <v>577</v>
      </c>
      <c r="N1032" s="2203" t="s">
        <v>609</v>
      </c>
      <c r="O1032" s="94"/>
      <c r="P1032" s="14"/>
      <c r="Q1032" s="14"/>
      <c r="R1032" s="14"/>
      <c r="S1032" s="14"/>
      <c r="T1032" s="14"/>
      <c r="U1032" s="14"/>
    </row>
    <row r="1033" spans="2:21" ht="18.75" customHeight="1" x14ac:dyDescent="0.25">
      <c r="B1033" s="15"/>
      <c r="C1033" s="119" t="s">
        <v>582</v>
      </c>
      <c r="D1033" s="120" t="s">
        <v>566</v>
      </c>
      <c r="E1033" s="121">
        <v>100305.66793995308</v>
      </c>
      <c r="F1033" s="129">
        <v>6196.7746411527769</v>
      </c>
      <c r="G1033" s="129">
        <v>8855.1719706454369</v>
      </c>
      <c r="H1033" s="129">
        <v>13032.871826287506</v>
      </c>
      <c r="I1033" s="129">
        <v>9198.7602311187711</v>
      </c>
      <c r="J1033" s="129">
        <v>8974.3363118521756</v>
      </c>
      <c r="K1033" s="129">
        <v>8841.4127565146773</v>
      </c>
      <c r="L1033" s="129">
        <v>10647.744331472091</v>
      </c>
      <c r="M1033" s="129">
        <v>34558.595870909645</v>
      </c>
      <c r="N1033" s="130">
        <v>53786.366677049562</v>
      </c>
      <c r="O1033" s="94"/>
      <c r="P1033" s="14"/>
      <c r="Q1033" s="14"/>
      <c r="R1033" s="14"/>
      <c r="S1033" s="14"/>
      <c r="T1033" s="14"/>
      <c r="U1033" s="14"/>
    </row>
    <row r="1034" spans="2:21" ht="18.75" customHeight="1" x14ac:dyDescent="0.25">
      <c r="B1034" s="15"/>
      <c r="C1034" s="119" t="s">
        <v>582</v>
      </c>
      <c r="D1034" s="120" t="s">
        <v>628</v>
      </c>
      <c r="E1034" s="145">
        <v>15948.601202452541</v>
      </c>
      <c r="F1034" s="129">
        <v>985.28716794329159</v>
      </c>
      <c r="G1034" s="129">
        <v>1407.9723433326244</v>
      </c>
      <c r="H1034" s="129">
        <v>2072.2266203797135</v>
      </c>
      <c r="I1034" s="129">
        <v>1462.6028767478847</v>
      </c>
      <c r="J1034" s="129">
        <v>1426.919473584496</v>
      </c>
      <c r="K1034" s="129">
        <v>1405.7846282858338</v>
      </c>
      <c r="L1034" s="129">
        <v>1692.9913487040626</v>
      </c>
      <c r="M1034" s="129">
        <v>5494.8167434746338</v>
      </c>
      <c r="N1034" s="130">
        <v>8552.032301650881</v>
      </c>
      <c r="O1034" s="94"/>
      <c r="P1034" s="14"/>
      <c r="Q1034" s="14"/>
      <c r="R1034" s="14"/>
      <c r="S1034" s="14"/>
      <c r="T1034" s="14"/>
      <c r="U1034" s="14"/>
    </row>
    <row r="1035" spans="2:21" ht="18.75" customHeight="1" x14ac:dyDescent="0.25">
      <c r="B1035" s="15"/>
      <c r="C1035" s="119" t="s">
        <v>620</v>
      </c>
      <c r="D1035" s="120" t="s">
        <v>622</v>
      </c>
      <c r="E1035" s="129">
        <v>14783213.961602638</v>
      </c>
      <c r="F1035" s="129">
        <v>591328.55846410547</v>
      </c>
      <c r="G1035" s="129">
        <v>1034824.9773121848</v>
      </c>
      <c r="H1035" s="129">
        <v>1773985.6753923167</v>
      </c>
      <c r="I1035" s="129">
        <v>1330489.2565442373</v>
      </c>
      <c r="J1035" s="129">
        <v>1330489.256544237</v>
      </c>
      <c r="K1035" s="129">
        <v>1330489.2565442377</v>
      </c>
      <c r="L1035" s="129">
        <v>1626153.5357762899</v>
      </c>
      <c r="M1035" s="129">
        <v>5765453.4450250287</v>
      </c>
      <c r="N1035" s="130">
        <v>8722096.2373455577</v>
      </c>
      <c r="O1035" s="94"/>
      <c r="P1035" s="14"/>
      <c r="Q1035" s="14"/>
      <c r="R1035" s="14"/>
      <c r="S1035" s="14"/>
      <c r="T1035" s="14"/>
      <c r="U1035" s="14"/>
    </row>
    <row r="1036" spans="2:21" ht="18.75" customHeight="1" x14ac:dyDescent="0.25">
      <c r="B1036" s="15"/>
      <c r="C1036" s="122" t="s">
        <v>776</v>
      </c>
      <c r="D1036" s="120" t="s">
        <v>579</v>
      </c>
      <c r="E1036" s="125">
        <v>3.3798090314592342</v>
      </c>
      <c r="F1036" s="125">
        <v>0</v>
      </c>
      <c r="G1036" s="125">
        <v>0.2551901434993793</v>
      </c>
      <c r="H1036" s="125">
        <v>0.96186349700490226</v>
      </c>
      <c r="I1036" s="125">
        <v>1.5223400465411201</v>
      </c>
      <c r="J1036" s="125">
        <v>1.9941072387466736</v>
      </c>
      <c r="K1036" s="125">
        <v>2.5301914076131835</v>
      </c>
      <c r="L1036" s="125">
        <v>3.2424194665585007</v>
      </c>
      <c r="M1036" s="125">
        <v>6.0145089181824778</v>
      </c>
      <c r="N1036" s="131">
        <v>4.9661726205047252</v>
      </c>
      <c r="O1036" s="94"/>
      <c r="P1036" s="14"/>
      <c r="Q1036" s="14"/>
      <c r="R1036" s="14"/>
      <c r="S1036" s="14"/>
      <c r="T1036" s="14"/>
      <c r="U1036" s="14"/>
    </row>
    <row r="1037" spans="2:21" ht="18.75" customHeight="1" x14ac:dyDescent="0.25">
      <c r="B1037" s="15"/>
      <c r="C1037" s="122" t="s">
        <v>777</v>
      </c>
      <c r="D1037" s="210" t="s">
        <v>778</v>
      </c>
      <c r="E1037" s="125">
        <v>1998.5011917712602</v>
      </c>
      <c r="F1037" s="132">
        <v>0</v>
      </c>
      <c r="G1037" s="132">
        <v>0</v>
      </c>
      <c r="H1037" s="132">
        <v>49.480118745629738</v>
      </c>
      <c r="I1037" s="132">
        <v>221.64418608355288</v>
      </c>
      <c r="J1037" s="132">
        <v>468.91615179384894</v>
      </c>
      <c r="K1037" s="132">
        <v>844.21141776141417</v>
      </c>
      <c r="L1037" s="132">
        <v>1457.9330001198625</v>
      </c>
      <c r="M1037" s="125">
        <v>4343.7474089771968</v>
      </c>
      <c r="N1037" s="133">
        <v>3271.8866900217263</v>
      </c>
      <c r="O1037" s="94"/>
      <c r="P1037" s="14"/>
      <c r="Q1037" s="14"/>
      <c r="R1037" s="14"/>
      <c r="S1037" s="14"/>
      <c r="T1037" s="14"/>
      <c r="U1037" s="14"/>
    </row>
    <row r="1038" spans="2:21" ht="18.75" customHeight="1" x14ac:dyDescent="0.25">
      <c r="B1038" s="15"/>
      <c r="C1038" s="119" t="s">
        <v>779</v>
      </c>
      <c r="D1038" s="120" t="s">
        <v>970</v>
      </c>
      <c r="E1038" s="132">
        <v>20.539597315436243</v>
      </c>
      <c r="F1038" s="125">
        <v>104.03878027384381</v>
      </c>
      <c r="G1038" s="125">
        <v>60.83382579655283</v>
      </c>
      <c r="H1038" s="125">
        <v>33.626048694370553</v>
      </c>
      <c r="I1038" s="125">
        <v>23.897311260060832</v>
      </c>
      <c r="J1038" s="125">
        <v>20.106053225255835</v>
      </c>
      <c r="K1038" s="125">
        <v>17.860537244450285</v>
      </c>
      <c r="L1038" s="125">
        <v>15.670796406794182</v>
      </c>
      <c r="M1038" s="125">
        <v>3.2250000000000005</v>
      </c>
      <c r="N1038" s="131">
        <v>7.1043649260849691</v>
      </c>
      <c r="O1038" s="94"/>
      <c r="P1038" s="14"/>
      <c r="Q1038" s="14"/>
      <c r="R1038" s="14"/>
      <c r="S1038" s="14"/>
      <c r="T1038" s="14"/>
      <c r="U1038" s="14"/>
    </row>
    <row r="1039" spans="2:21" ht="18.75" customHeight="1" x14ac:dyDescent="0.25">
      <c r="B1039" s="15"/>
      <c r="C1039" s="119" t="s">
        <v>580</v>
      </c>
      <c r="D1039" s="120" t="s">
        <v>581</v>
      </c>
      <c r="E1039" s="125">
        <v>929.76188437752432</v>
      </c>
      <c r="F1039" s="125">
        <v>600.158591021191</v>
      </c>
      <c r="G1039" s="125">
        <v>734.97535815425749</v>
      </c>
      <c r="H1039" s="125">
        <v>856.07706123727553</v>
      </c>
      <c r="I1039" s="125">
        <v>909.67225464686373</v>
      </c>
      <c r="J1039" s="125">
        <v>932.42070150039979</v>
      </c>
      <c r="K1039" s="125">
        <v>946.43889951093809</v>
      </c>
      <c r="L1039" s="125">
        <v>960.5208774522473</v>
      </c>
      <c r="M1039" s="125">
        <v>1049.253089627018</v>
      </c>
      <c r="N1039" s="131">
        <v>1019.8857920195002</v>
      </c>
      <c r="O1039" s="94"/>
      <c r="P1039" s="14"/>
      <c r="Q1039" s="14"/>
      <c r="R1039" s="14"/>
      <c r="S1039" s="14"/>
      <c r="T1039" s="14"/>
      <c r="U1039" s="14"/>
    </row>
    <row r="1040" spans="2:21" ht="18.75" customHeight="1" x14ac:dyDescent="0.25">
      <c r="B1040" s="15"/>
      <c r="C1040" s="119" t="s">
        <v>541</v>
      </c>
      <c r="D1040" s="120" t="s">
        <v>579</v>
      </c>
      <c r="E1040" s="125">
        <v>11.205425678004097</v>
      </c>
      <c r="F1040" s="125">
        <v>18.749856548374737</v>
      </c>
      <c r="G1040" s="125">
        <v>14.759406794446067</v>
      </c>
      <c r="H1040" s="125">
        <v>12.404339257137975</v>
      </c>
      <c r="I1040" s="125">
        <v>12.074281047903835</v>
      </c>
      <c r="J1040" s="125">
        <v>11.603738730349811</v>
      </c>
      <c r="K1040" s="125">
        <v>11.360783217167697</v>
      </c>
      <c r="L1040" s="125">
        <v>11.131989375521581</v>
      </c>
      <c r="M1040" s="125">
        <v>9.1172849454000779</v>
      </c>
      <c r="N1040" s="131">
        <v>9.8351363551838915</v>
      </c>
      <c r="O1040" s="94"/>
      <c r="P1040" s="14"/>
      <c r="Q1040" s="14"/>
      <c r="R1040" s="14"/>
      <c r="S1040" s="14"/>
      <c r="T1040" s="14"/>
      <c r="U1040" s="14"/>
    </row>
    <row r="1041" spans="2:21" ht="18.75" customHeight="1" x14ac:dyDescent="0.25">
      <c r="B1041" s="15"/>
      <c r="C1041" s="119" t="s">
        <v>544</v>
      </c>
      <c r="D1041" s="120" t="s">
        <v>579</v>
      </c>
      <c r="E1041" s="125">
        <v>9.3585245901639365</v>
      </c>
      <c r="F1041" s="128"/>
      <c r="G1041" s="128"/>
      <c r="H1041" s="128"/>
      <c r="I1041" s="128"/>
      <c r="J1041" s="128"/>
      <c r="K1041" s="128"/>
      <c r="L1041" s="128"/>
      <c r="M1041" s="125">
        <v>23.972220680958394</v>
      </c>
      <c r="N1041" s="131">
        <v>15.86190608502362</v>
      </c>
      <c r="O1041" s="94"/>
      <c r="P1041" s="14"/>
      <c r="Q1041" s="14"/>
      <c r="R1041" s="14"/>
      <c r="S1041" s="14"/>
      <c r="T1041" s="14"/>
      <c r="U1041" s="14"/>
    </row>
    <row r="1042" spans="2:21" ht="18.75" customHeight="1" x14ac:dyDescent="0.25">
      <c r="B1042" s="15"/>
      <c r="C1042" s="119" t="s">
        <v>780</v>
      </c>
      <c r="D1042" s="120" t="s">
        <v>783</v>
      </c>
      <c r="E1042" s="125">
        <v>11.73918554095097</v>
      </c>
      <c r="F1042" s="125">
        <v>13.86593149023127</v>
      </c>
      <c r="G1042" s="125">
        <v>12.298133870481953</v>
      </c>
      <c r="H1042" s="125">
        <v>11.36702478270276</v>
      </c>
      <c r="I1042" s="125">
        <v>11.187481995976942</v>
      </c>
      <c r="J1042" s="125">
        <v>11.241373976061393</v>
      </c>
      <c r="K1042" s="125">
        <v>11.374945717369778</v>
      </c>
      <c r="L1042" s="125">
        <v>11.523537358390495</v>
      </c>
      <c r="M1042" s="125">
        <v>11.350664962063993</v>
      </c>
      <c r="N1042" s="131">
        <v>11.366241170505418</v>
      </c>
      <c r="O1042" s="94"/>
      <c r="P1042" s="14"/>
      <c r="Q1042" s="14"/>
      <c r="R1042" s="14"/>
      <c r="S1042" s="14"/>
      <c r="T1042" s="14"/>
      <c r="U1042" s="14"/>
    </row>
    <row r="1043" spans="2:21" ht="18.75" customHeight="1" x14ac:dyDescent="0.25">
      <c r="B1043" s="15"/>
      <c r="C1043" s="122" t="s">
        <v>781</v>
      </c>
      <c r="D1043" s="120" t="s">
        <v>782</v>
      </c>
      <c r="E1043" s="125">
        <v>451.35365853658539</v>
      </c>
      <c r="F1043" s="134">
        <v>47.962121212121218</v>
      </c>
      <c r="G1043" s="134">
        <v>138.32878787878789</v>
      </c>
      <c r="H1043" s="134">
        <v>240.29090909090911</v>
      </c>
      <c r="I1043" s="134">
        <v>314.15454545454531</v>
      </c>
      <c r="J1043" s="134">
        <v>368.51060606060616</v>
      </c>
      <c r="K1043" s="134">
        <v>422.09393939393925</v>
      </c>
      <c r="L1043" s="134">
        <v>482.44545454545465</v>
      </c>
      <c r="M1043" s="134">
        <v>668.12419354838732</v>
      </c>
      <c r="N1043" s="135">
        <v>594.84393939393942</v>
      </c>
      <c r="O1043" s="94"/>
      <c r="P1043" s="14"/>
      <c r="Q1043" s="14"/>
      <c r="R1043" s="14"/>
      <c r="S1043" s="14"/>
      <c r="T1043" s="14"/>
      <c r="U1043" s="14"/>
    </row>
    <row r="1044" spans="2:21" ht="18.75" customHeight="1" x14ac:dyDescent="0.25">
      <c r="B1044" s="15"/>
      <c r="C1044" s="122"/>
      <c r="D1044" s="210"/>
      <c r="E1044" s="210"/>
      <c r="F1044" s="210"/>
      <c r="G1044" s="210"/>
      <c r="H1044" s="210"/>
      <c r="I1044" s="210"/>
      <c r="J1044" s="210"/>
      <c r="K1044" s="210"/>
      <c r="L1044" s="210"/>
      <c r="M1044" s="210"/>
      <c r="N1044" s="115"/>
      <c r="O1044" s="94"/>
      <c r="P1044" s="14"/>
      <c r="Q1044" s="14"/>
      <c r="R1044" s="14"/>
      <c r="S1044" s="14"/>
      <c r="T1044" s="14"/>
      <c r="U1044" s="14"/>
    </row>
    <row r="1045" spans="2:21" ht="18.75" customHeight="1" x14ac:dyDescent="0.25">
      <c r="B1045" s="15"/>
      <c r="C1045" s="2199" t="s">
        <v>2073</v>
      </c>
      <c r="D1045" s="2200"/>
      <c r="E1045" s="2200"/>
      <c r="F1045" s="2200"/>
      <c r="G1045" s="2200"/>
      <c r="H1045" s="2200"/>
      <c r="I1045" s="2200"/>
      <c r="J1045" s="2200"/>
      <c r="K1045" s="2200"/>
      <c r="L1045" s="2200"/>
      <c r="M1045" s="2200"/>
      <c r="N1045" s="2201"/>
      <c r="O1045" s="94"/>
      <c r="P1045" s="14"/>
      <c r="Q1045" s="14"/>
      <c r="R1045" s="14"/>
      <c r="S1045" s="14"/>
      <c r="T1045" s="14"/>
      <c r="U1045" s="14"/>
    </row>
    <row r="1046" spans="2:21" ht="18.75" customHeight="1" x14ac:dyDescent="0.25">
      <c r="B1046" s="15"/>
      <c r="C1046" s="2202" t="s">
        <v>1088</v>
      </c>
      <c r="D1046" s="210">
        <v>24</v>
      </c>
      <c r="E1046" s="104" t="s">
        <v>679</v>
      </c>
      <c r="F1046" s="210">
        <v>80</v>
      </c>
      <c r="G1046" s="210">
        <v>175</v>
      </c>
      <c r="H1046" s="210">
        <v>287</v>
      </c>
      <c r="I1046" s="210">
        <v>340</v>
      </c>
      <c r="J1046" s="210">
        <v>392</v>
      </c>
      <c r="K1046" s="210">
        <v>450</v>
      </c>
      <c r="L1046" s="210">
        <v>520</v>
      </c>
      <c r="M1046" s="210">
        <v>523</v>
      </c>
      <c r="N1046" s="115">
        <v>399</v>
      </c>
      <c r="O1046" s="94"/>
      <c r="P1046" s="14"/>
      <c r="Q1046" s="14"/>
      <c r="R1046" s="14"/>
      <c r="S1046" s="14"/>
      <c r="T1046" s="14"/>
      <c r="U1046" s="14"/>
    </row>
    <row r="1047" spans="2:21" ht="18.75" customHeight="1" x14ac:dyDescent="0.25">
      <c r="B1047" s="15"/>
      <c r="C1047" s="119" t="s">
        <v>568</v>
      </c>
      <c r="D1047" s="120" t="s">
        <v>623</v>
      </c>
      <c r="E1047" s="110" t="s">
        <v>608</v>
      </c>
      <c r="F1047" s="110" t="s">
        <v>957</v>
      </c>
      <c r="G1047" s="110" t="s">
        <v>572</v>
      </c>
      <c r="H1047" s="110" t="s">
        <v>530</v>
      </c>
      <c r="I1047" s="110" t="s">
        <v>573</v>
      </c>
      <c r="J1047" s="110" t="s">
        <v>574</v>
      </c>
      <c r="K1047" s="110" t="s">
        <v>575</v>
      </c>
      <c r="L1047" s="110" t="s">
        <v>576</v>
      </c>
      <c r="M1047" s="110" t="s">
        <v>577</v>
      </c>
      <c r="N1047" s="2203" t="s">
        <v>609</v>
      </c>
      <c r="O1047" s="94"/>
      <c r="P1047" s="14"/>
      <c r="Q1047" s="14"/>
      <c r="R1047" s="14"/>
      <c r="S1047" s="14"/>
      <c r="T1047" s="14"/>
      <c r="U1047" s="14"/>
    </row>
    <row r="1048" spans="2:21" ht="18.75" customHeight="1" x14ac:dyDescent="0.25">
      <c r="B1048" s="15"/>
      <c r="C1048" s="119" t="s">
        <v>582</v>
      </c>
      <c r="D1048" s="120" t="s">
        <v>566</v>
      </c>
      <c r="E1048" s="121">
        <v>100509.94159570691</v>
      </c>
      <c r="F1048" s="129">
        <v>3978.2675778232388</v>
      </c>
      <c r="G1048" s="129">
        <v>10413.539876407764</v>
      </c>
      <c r="H1048" s="129">
        <v>17815.917545217868</v>
      </c>
      <c r="I1048" s="129">
        <v>11038.984807281448</v>
      </c>
      <c r="J1048" s="129">
        <v>7878.1273975506801</v>
      </c>
      <c r="K1048" s="129">
        <v>6801.1248181490073</v>
      </c>
      <c r="L1048" s="129">
        <v>15388.16959129215</v>
      </c>
      <c r="M1048" s="129">
        <v>27195.809981984763</v>
      </c>
      <c r="N1048" s="130">
        <v>49816.905231938385</v>
      </c>
      <c r="O1048" s="94"/>
      <c r="P1048" s="14"/>
      <c r="Q1048" s="14"/>
      <c r="R1048" s="14"/>
      <c r="S1048" s="14"/>
      <c r="T1048" s="14"/>
      <c r="U1048" s="14"/>
    </row>
    <row r="1049" spans="2:21" ht="18.75" customHeight="1" x14ac:dyDescent="0.25">
      <c r="B1049" s="15"/>
      <c r="C1049" s="119" t="s">
        <v>582</v>
      </c>
      <c r="D1049" s="120" t="s">
        <v>628</v>
      </c>
      <c r="E1049" s="145">
        <v>15981.0807137174</v>
      </c>
      <c r="F1049" s="129">
        <v>632.54454487389501</v>
      </c>
      <c r="G1049" s="129">
        <v>1655.7528403488345</v>
      </c>
      <c r="H1049" s="129">
        <v>2832.7308896896411</v>
      </c>
      <c r="I1049" s="129">
        <v>1755.1985843577502</v>
      </c>
      <c r="J1049" s="129">
        <v>1252.6222562105581</v>
      </c>
      <c r="K1049" s="129">
        <v>1081.3788460856922</v>
      </c>
      <c r="L1049" s="129">
        <v>2446.7189650154519</v>
      </c>
      <c r="M1049" s="129">
        <v>4324.1337871355772</v>
      </c>
      <c r="N1049" s="130">
        <v>7920.8879318782037</v>
      </c>
      <c r="O1049" s="94"/>
      <c r="P1049" s="14"/>
      <c r="Q1049" s="14"/>
      <c r="R1049" s="14"/>
      <c r="S1049" s="14"/>
      <c r="T1049" s="14"/>
      <c r="U1049" s="14"/>
    </row>
    <row r="1050" spans="2:21" ht="18.75" customHeight="1" x14ac:dyDescent="0.25">
      <c r="B1050" s="15"/>
      <c r="C1050" s="119" t="s">
        <v>620</v>
      </c>
      <c r="D1050" s="120" t="s">
        <v>622</v>
      </c>
      <c r="E1050" s="129">
        <v>13939530</v>
      </c>
      <c r="F1050" s="129">
        <v>418185.89999999997</v>
      </c>
      <c r="G1050" s="129">
        <v>1254557.7</v>
      </c>
      <c r="H1050" s="129">
        <v>2369720.1</v>
      </c>
      <c r="I1050" s="129">
        <v>1533348.3</v>
      </c>
      <c r="J1050" s="129">
        <v>1115162.3999999999</v>
      </c>
      <c r="K1050" s="129">
        <v>975767.10000000009</v>
      </c>
      <c r="L1050" s="129">
        <v>2230324.7999999998</v>
      </c>
      <c r="M1050" s="129">
        <v>4042463.6999999997</v>
      </c>
      <c r="N1050" s="130">
        <v>7248555.6000000006</v>
      </c>
      <c r="O1050" s="94"/>
      <c r="P1050" s="14"/>
      <c r="Q1050" s="14"/>
      <c r="R1050" s="14"/>
      <c r="S1050" s="14"/>
      <c r="T1050" s="14"/>
      <c r="U1050" s="14"/>
    </row>
    <row r="1051" spans="2:21" ht="18.75" customHeight="1" x14ac:dyDescent="0.25">
      <c r="B1051" s="15"/>
      <c r="C1051" s="122" t="s">
        <v>776</v>
      </c>
      <c r="D1051" s="120" t="s">
        <v>579</v>
      </c>
      <c r="E1051" s="125">
        <v>0.31277727282604417</v>
      </c>
      <c r="F1051" s="125">
        <v>0</v>
      </c>
      <c r="G1051" s="125">
        <v>0</v>
      </c>
      <c r="H1051" s="125">
        <v>9.1573197285033048E-2</v>
      </c>
      <c r="I1051" s="125">
        <v>0.20145391395739445</v>
      </c>
      <c r="J1051" s="125">
        <v>0.28414579678119994</v>
      </c>
      <c r="K1051" s="125">
        <v>0.36849362103742306</v>
      </c>
      <c r="L1051" s="125">
        <v>0.45066369890829022</v>
      </c>
      <c r="M1051" s="125">
        <v>0.53247410245459692</v>
      </c>
      <c r="N1051" s="131">
        <v>0.48522737501880597</v>
      </c>
      <c r="O1051" s="94"/>
      <c r="P1051" s="14"/>
      <c r="Q1051" s="14"/>
      <c r="R1051" s="14"/>
      <c r="S1051" s="14"/>
      <c r="T1051" s="14"/>
      <c r="U1051" s="14"/>
    </row>
    <row r="1052" spans="2:21" ht="18.75" customHeight="1" x14ac:dyDescent="0.25">
      <c r="B1052" s="15"/>
      <c r="C1052" s="122" t="s">
        <v>777</v>
      </c>
      <c r="D1052" s="210" t="s">
        <v>778</v>
      </c>
      <c r="E1052" s="125">
        <v>1409.1198168524577</v>
      </c>
      <c r="F1052" s="132">
        <v>0</v>
      </c>
      <c r="G1052" s="132">
        <v>0</v>
      </c>
      <c r="H1052" s="132">
        <v>0</v>
      </c>
      <c r="I1052" s="132">
        <v>0</v>
      </c>
      <c r="J1052" s="132">
        <v>0</v>
      </c>
      <c r="K1052" s="132">
        <v>223.512170651411</v>
      </c>
      <c r="L1052" s="132">
        <v>1769.0392952012417</v>
      </c>
      <c r="M1052" s="125">
        <v>3829.0609574988293</v>
      </c>
      <c r="N1052" s="133">
        <v>2709.8458016393415</v>
      </c>
      <c r="O1052" s="94"/>
      <c r="P1052" s="14"/>
      <c r="Q1052" s="14"/>
      <c r="R1052" s="14"/>
      <c r="S1052" s="14"/>
      <c r="T1052" s="14"/>
      <c r="U1052" s="14"/>
    </row>
    <row r="1053" spans="2:21" ht="18.75" customHeight="1" x14ac:dyDescent="0.25">
      <c r="B1053" s="15"/>
      <c r="C1053" s="119" t="s">
        <v>779</v>
      </c>
      <c r="D1053" s="120" t="s">
        <v>970</v>
      </c>
      <c r="E1053" s="132">
        <v>29.9</v>
      </c>
      <c r="F1053" s="125">
        <v>82.320912236287711</v>
      </c>
      <c r="G1053" s="125">
        <v>55.066351007892564</v>
      </c>
      <c r="H1053" s="125">
        <v>37.480548353160543</v>
      </c>
      <c r="I1053" s="125">
        <v>30.313180016523518</v>
      </c>
      <c r="J1053" s="125">
        <v>27.285358881611302</v>
      </c>
      <c r="K1053" s="125">
        <v>25.160730661041072</v>
      </c>
      <c r="L1053" s="125">
        <v>23.575940498504991</v>
      </c>
      <c r="M1053" s="125">
        <v>19.710323526904574</v>
      </c>
      <c r="N1053" s="131">
        <v>22.972381891233681</v>
      </c>
      <c r="O1053" s="94"/>
      <c r="P1053" s="14"/>
      <c r="Q1053" s="14"/>
      <c r="R1053" s="14"/>
      <c r="S1053" s="14"/>
      <c r="T1053" s="14"/>
      <c r="U1053" s="14"/>
    </row>
    <row r="1054" spans="2:21" ht="18.75" customHeight="1" x14ac:dyDescent="0.25">
      <c r="B1054" s="15"/>
      <c r="C1054" s="119" t="s">
        <v>580</v>
      </c>
      <c r="D1054" s="120" t="s">
        <v>581</v>
      </c>
      <c r="E1054" s="125">
        <v>876.7</v>
      </c>
      <c r="F1054" s="125">
        <v>661.11691799250298</v>
      </c>
      <c r="G1054" s="125">
        <v>757.69623909308189</v>
      </c>
      <c r="H1054" s="125">
        <v>836.54967318820422</v>
      </c>
      <c r="I1054" s="125">
        <v>873.60388372297598</v>
      </c>
      <c r="J1054" s="125">
        <v>890.26232327501293</v>
      </c>
      <c r="K1054" s="125">
        <v>902.33603471347817</v>
      </c>
      <c r="L1054" s="125">
        <v>911.55740887712227</v>
      </c>
      <c r="M1054" s="125">
        <v>934.86092220977207</v>
      </c>
      <c r="N1054" s="131">
        <v>915.11907027842778</v>
      </c>
      <c r="O1054" s="94"/>
      <c r="P1054" s="14"/>
      <c r="Q1054" s="14"/>
      <c r="R1054" s="14"/>
      <c r="S1054" s="14"/>
      <c r="T1054" s="14"/>
      <c r="U1054" s="14"/>
    </row>
    <row r="1055" spans="2:21" ht="18.75" customHeight="1" x14ac:dyDescent="0.25">
      <c r="B1055" s="15"/>
      <c r="C1055" s="119" t="s">
        <v>541</v>
      </c>
      <c r="D1055" s="120" t="s">
        <v>579</v>
      </c>
      <c r="E1055" s="125">
        <v>12.811028740425982</v>
      </c>
      <c r="F1055" s="125">
        <v>15.763253334283633</v>
      </c>
      <c r="G1055" s="125">
        <v>14.352974998499825</v>
      </c>
      <c r="H1055" s="125">
        <v>13.602160680941262</v>
      </c>
      <c r="I1055" s="125">
        <v>13.343110326005394</v>
      </c>
      <c r="J1055" s="125">
        <v>13.141173238608218</v>
      </c>
      <c r="K1055" s="125">
        <v>12.811406205775846</v>
      </c>
      <c r="L1055" s="125">
        <v>12.273233734525304</v>
      </c>
      <c r="M1055" s="125">
        <v>11.567049130671949</v>
      </c>
      <c r="N1055" s="131">
        <v>11.951846307352351</v>
      </c>
      <c r="O1055" s="94"/>
      <c r="P1055" s="14"/>
      <c r="Q1055" s="14"/>
      <c r="R1055" s="14"/>
      <c r="S1055" s="14"/>
      <c r="T1055" s="14"/>
      <c r="U1055" s="14"/>
    </row>
    <row r="1056" spans="2:21" ht="18.75" customHeight="1" x14ac:dyDescent="0.25">
      <c r="B1056" s="15"/>
      <c r="C1056" s="119" t="s">
        <v>544</v>
      </c>
      <c r="D1056" s="120" t="s">
        <v>579</v>
      </c>
      <c r="E1056" s="125">
        <v>3.03</v>
      </c>
      <c r="F1056" s="128"/>
      <c r="G1056" s="128"/>
      <c r="H1056" s="128"/>
      <c r="I1056" s="128"/>
      <c r="J1056" s="128"/>
      <c r="K1056" s="128"/>
      <c r="L1056" s="128"/>
      <c r="M1056" s="125">
        <v>10.437827586206897</v>
      </c>
      <c r="N1056" s="131">
        <v>5.8269230769230766</v>
      </c>
      <c r="O1056" s="94"/>
      <c r="P1056" s="14"/>
      <c r="Q1056" s="14"/>
      <c r="R1056" s="14"/>
      <c r="S1056" s="14"/>
      <c r="T1056" s="14"/>
      <c r="U1056" s="14"/>
    </row>
    <row r="1057" spans="2:21" ht="18.75" customHeight="1" x14ac:dyDescent="0.25">
      <c r="B1057" s="15"/>
      <c r="C1057" s="119" t="s">
        <v>780</v>
      </c>
      <c r="D1057" s="120" t="s">
        <v>783</v>
      </c>
      <c r="E1057" s="125">
        <v>12.099716186906543</v>
      </c>
      <c r="F1057" s="125">
        <v>12.415721547799624</v>
      </c>
      <c r="G1057" s="125">
        <v>11.779339326507086</v>
      </c>
      <c r="H1057" s="125">
        <v>11.569410462968142</v>
      </c>
      <c r="I1057" s="125">
        <v>11.654965398667528</v>
      </c>
      <c r="J1057" s="125">
        <v>11.78281181220625</v>
      </c>
      <c r="K1057" s="125">
        <v>11.941804402312272</v>
      </c>
      <c r="L1057" s="125">
        <v>12.113273510577178</v>
      </c>
      <c r="M1057" s="125">
        <v>12.518644460614411</v>
      </c>
      <c r="N1057" s="131">
        <v>12.188207101566677</v>
      </c>
      <c r="O1057" s="94"/>
      <c r="P1057" s="14"/>
      <c r="Q1057" s="14"/>
      <c r="R1057" s="14"/>
      <c r="S1057" s="14"/>
      <c r="T1057" s="14"/>
      <c r="U1057" s="14"/>
    </row>
    <row r="1058" spans="2:21" ht="18.75" customHeight="1" x14ac:dyDescent="0.25">
      <c r="B1058" s="15"/>
      <c r="C1058" s="122" t="s">
        <v>781</v>
      </c>
      <c r="D1058" s="120" t="s">
        <v>782</v>
      </c>
      <c r="E1058" s="125">
        <v>390</v>
      </c>
      <c r="F1058" s="134">
        <v>35</v>
      </c>
      <c r="G1058" s="134">
        <v>123</v>
      </c>
      <c r="H1058" s="134">
        <v>232</v>
      </c>
      <c r="I1058" s="134">
        <v>315</v>
      </c>
      <c r="J1058" s="134">
        <v>370</v>
      </c>
      <c r="K1058" s="134">
        <v>424</v>
      </c>
      <c r="L1058" s="134">
        <v>477</v>
      </c>
      <c r="M1058" s="134">
        <v>620</v>
      </c>
      <c r="N1058" s="135">
        <v>500</v>
      </c>
      <c r="O1058" s="94"/>
      <c r="P1058" s="14"/>
      <c r="Q1058" s="14"/>
      <c r="R1058" s="14"/>
      <c r="S1058" s="14"/>
      <c r="T1058" s="14"/>
      <c r="U1058" s="14"/>
    </row>
    <row r="1059" spans="2:21" ht="18.75" customHeight="1" x14ac:dyDescent="0.25">
      <c r="B1059" s="15"/>
      <c r="C1059" s="122"/>
      <c r="D1059" s="210"/>
      <c r="E1059" s="210"/>
      <c r="F1059" s="210"/>
      <c r="G1059" s="210"/>
      <c r="H1059" s="210"/>
      <c r="I1059" s="210"/>
      <c r="J1059" s="210"/>
      <c r="K1059" s="210"/>
      <c r="L1059" s="210"/>
      <c r="M1059" s="210"/>
      <c r="N1059" s="115"/>
      <c r="O1059" s="94"/>
      <c r="P1059" s="14"/>
      <c r="Q1059" s="14"/>
      <c r="R1059" s="14"/>
      <c r="S1059" s="14"/>
      <c r="T1059" s="14"/>
      <c r="U1059" s="14"/>
    </row>
    <row r="1060" spans="2:21" ht="18.75" customHeight="1" x14ac:dyDescent="0.25">
      <c r="B1060" s="15"/>
      <c r="C1060" s="2199" t="s">
        <v>2074</v>
      </c>
      <c r="D1060" s="2200" t="s">
        <v>1170</v>
      </c>
      <c r="E1060" s="2200" t="s">
        <v>1171</v>
      </c>
      <c r="F1060" s="2200"/>
      <c r="G1060" s="2200"/>
      <c r="H1060" s="2200"/>
      <c r="I1060" s="2200"/>
      <c r="J1060" s="2200"/>
      <c r="K1060" s="2200"/>
      <c r="L1060" s="2200"/>
      <c r="M1060" s="2200"/>
      <c r="N1060" s="2201"/>
      <c r="O1060" s="94"/>
      <c r="P1060" s="14"/>
      <c r="Q1060" s="14"/>
      <c r="R1060" s="14"/>
      <c r="S1060" s="14"/>
      <c r="T1060" s="14"/>
      <c r="U1060" s="14"/>
    </row>
    <row r="1061" spans="2:21" ht="18.75" customHeight="1" x14ac:dyDescent="0.25">
      <c r="B1061" s="15"/>
      <c r="C1061" s="2202" t="s">
        <v>1088</v>
      </c>
      <c r="D1061" s="210">
        <v>23</v>
      </c>
      <c r="E1061" s="104" t="s">
        <v>679</v>
      </c>
      <c r="F1061" s="210">
        <v>80</v>
      </c>
      <c r="G1061" s="210">
        <v>178</v>
      </c>
      <c r="H1061" s="210">
        <v>287</v>
      </c>
      <c r="I1061" s="210">
        <v>342</v>
      </c>
      <c r="J1061" s="210">
        <v>399</v>
      </c>
      <c r="K1061" s="210">
        <v>450</v>
      </c>
      <c r="L1061" s="210">
        <v>523</v>
      </c>
      <c r="M1061" s="210">
        <v>523</v>
      </c>
      <c r="N1061" s="115">
        <v>399</v>
      </c>
      <c r="O1061" s="94"/>
      <c r="P1061" s="14"/>
      <c r="Q1061" s="14"/>
      <c r="R1061" s="14"/>
      <c r="S1061" s="14"/>
      <c r="T1061" s="14"/>
      <c r="U1061" s="14"/>
    </row>
    <row r="1062" spans="2:21" ht="18.75" customHeight="1" x14ac:dyDescent="0.25">
      <c r="B1062" s="15"/>
      <c r="C1062" s="119" t="s">
        <v>568</v>
      </c>
      <c r="D1062" s="120" t="s">
        <v>623</v>
      </c>
      <c r="E1062" s="110" t="s">
        <v>608</v>
      </c>
      <c r="F1062" s="110" t="s">
        <v>957</v>
      </c>
      <c r="G1062" s="110" t="s">
        <v>572</v>
      </c>
      <c r="H1062" s="110" t="s">
        <v>530</v>
      </c>
      <c r="I1062" s="110" t="s">
        <v>573</v>
      </c>
      <c r="J1062" s="110" t="s">
        <v>574</v>
      </c>
      <c r="K1062" s="110" t="s">
        <v>575</v>
      </c>
      <c r="L1062" s="110" t="s">
        <v>576</v>
      </c>
      <c r="M1062" s="110" t="s">
        <v>577</v>
      </c>
      <c r="N1062" s="2203" t="s">
        <v>609</v>
      </c>
      <c r="O1062" s="94"/>
      <c r="P1062" s="14"/>
      <c r="Q1062" s="14"/>
      <c r="R1062" s="14"/>
      <c r="S1062" s="14"/>
      <c r="T1062" s="14"/>
      <c r="U1062" s="14"/>
    </row>
    <row r="1063" spans="2:21" ht="18.75" customHeight="1" x14ac:dyDescent="0.25">
      <c r="B1063" s="15"/>
      <c r="C1063" s="119" t="s">
        <v>582</v>
      </c>
      <c r="D1063" s="120" t="s">
        <v>566</v>
      </c>
      <c r="E1063" s="121">
        <v>101196.77561176036</v>
      </c>
      <c r="F1063" s="129">
        <v>9489.1782689970387</v>
      </c>
      <c r="G1063" s="129">
        <v>17342.225821824144</v>
      </c>
      <c r="H1063" s="129">
        <v>16511.698988366781</v>
      </c>
      <c r="I1063" s="129">
        <v>7857.9101728355163</v>
      </c>
      <c r="J1063" s="129">
        <v>7690.4409631641529</v>
      </c>
      <c r="K1063" s="129">
        <v>6626.1543234961919</v>
      </c>
      <c r="L1063" s="129">
        <v>8420.1561774129786</v>
      </c>
      <c r="M1063" s="129">
        <v>27259.010895663549</v>
      </c>
      <c r="N1063" s="130">
        <v>42842.653710470731</v>
      </c>
      <c r="O1063" s="94"/>
      <c r="P1063" s="14"/>
      <c r="Q1063" s="14"/>
      <c r="R1063" s="14"/>
      <c r="S1063" s="14"/>
      <c r="T1063" s="14"/>
      <c r="U1063" s="14"/>
    </row>
    <row r="1064" spans="2:21" ht="18.75" customHeight="1" x14ac:dyDescent="0.25">
      <c r="B1064" s="15"/>
      <c r="C1064" s="119" t="s">
        <v>582</v>
      </c>
      <c r="D1064" s="120" t="s">
        <v>628</v>
      </c>
      <c r="E1064" s="145">
        <v>16090.287322269896</v>
      </c>
      <c r="F1064" s="129">
        <v>1508.7793447705292</v>
      </c>
      <c r="G1064" s="129">
        <v>2757.4139056700392</v>
      </c>
      <c r="H1064" s="129">
        <v>2625.3601391503184</v>
      </c>
      <c r="I1064" s="129">
        <v>1249.4077174808472</v>
      </c>
      <c r="J1064" s="129">
        <v>1222.7801131431004</v>
      </c>
      <c r="K1064" s="129">
        <v>1053.5585374358946</v>
      </c>
      <c r="L1064" s="129">
        <v>1338.8048322086636</v>
      </c>
      <c r="M1064" s="129">
        <v>4334.1827324105043</v>
      </c>
      <c r="N1064" s="130">
        <v>6811.9819399648459</v>
      </c>
      <c r="O1064" s="94"/>
      <c r="P1064" s="14"/>
      <c r="Q1064" s="14"/>
      <c r="R1064" s="14"/>
      <c r="S1064" s="14"/>
      <c r="T1064" s="14"/>
      <c r="U1064" s="14"/>
    </row>
    <row r="1065" spans="2:21" ht="18.75" customHeight="1" x14ac:dyDescent="0.25">
      <c r="B1065" s="15"/>
      <c r="C1065" s="119" t="s">
        <v>620</v>
      </c>
      <c r="D1065" s="120" t="s">
        <v>622</v>
      </c>
      <c r="E1065" s="129">
        <v>13810740</v>
      </c>
      <c r="F1065" s="129">
        <v>966751.8</v>
      </c>
      <c r="G1065" s="129">
        <v>2071611</v>
      </c>
      <c r="H1065" s="129">
        <v>2209718.4</v>
      </c>
      <c r="I1065" s="129">
        <v>1104859.2</v>
      </c>
      <c r="J1065" s="129">
        <v>1104859.2</v>
      </c>
      <c r="K1065" s="129">
        <v>966751.8</v>
      </c>
      <c r="L1065" s="129">
        <v>1242966.5999999999</v>
      </c>
      <c r="M1065" s="129">
        <v>4143222</v>
      </c>
      <c r="N1065" s="130">
        <v>6352940.3999999994</v>
      </c>
      <c r="O1065" s="94"/>
      <c r="P1065" s="14"/>
      <c r="Q1065" s="14"/>
      <c r="R1065" s="14"/>
      <c r="S1065" s="14"/>
      <c r="T1065" s="14"/>
      <c r="U1065" s="14"/>
    </row>
    <row r="1066" spans="2:21" ht="18.75" customHeight="1" x14ac:dyDescent="0.25">
      <c r="B1066" s="15"/>
      <c r="C1066" s="122" t="s">
        <v>776</v>
      </c>
      <c r="D1066" s="120" t="s">
        <v>579</v>
      </c>
      <c r="E1066" s="125">
        <v>0.84631586034517803</v>
      </c>
      <c r="F1066" s="125">
        <v>0</v>
      </c>
      <c r="G1066" s="125">
        <v>0</v>
      </c>
      <c r="H1066" s="125">
        <v>0.24885949367136317</v>
      </c>
      <c r="I1066" s="125">
        <v>0.58794241904251787</v>
      </c>
      <c r="J1066" s="125">
        <v>0.85037445858115179</v>
      </c>
      <c r="K1066" s="125">
        <v>1.1220234265481337</v>
      </c>
      <c r="L1066" s="125">
        <v>1.3896997062992023</v>
      </c>
      <c r="M1066" s="125">
        <v>1.6260612590752295</v>
      </c>
      <c r="N1066" s="131">
        <v>1.5031151981475359</v>
      </c>
      <c r="O1066" s="94"/>
      <c r="P1066" s="14"/>
      <c r="Q1066" s="14"/>
      <c r="R1066" s="14"/>
      <c r="S1066" s="14"/>
      <c r="T1066" s="14"/>
      <c r="U1066" s="14"/>
    </row>
    <row r="1067" spans="2:21" ht="18.75" customHeight="1" x14ac:dyDescent="0.25">
      <c r="B1067" s="15"/>
      <c r="C1067" s="122" t="s">
        <v>777</v>
      </c>
      <c r="D1067" s="210" t="s">
        <v>778</v>
      </c>
      <c r="E1067" s="125">
        <v>908.13607992708694</v>
      </c>
      <c r="F1067" s="132">
        <v>0</v>
      </c>
      <c r="G1067" s="132">
        <v>0</v>
      </c>
      <c r="H1067" s="132">
        <v>36.426555577089289</v>
      </c>
      <c r="I1067" s="132">
        <v>355.74044958639786</v>
      </c>
      <c r="J1067" s="132">
        <v>673.19522445452617</v>
      </c>
      <c r="K1067" s="132">
        <v>1071.1132599376647</v>
      </c>
      <c r="L1067" s="132">
        <v>1548.1135289688405</v>
      </c>
      <c r="M1067" s="125">
        <v>2018.9494376954885</v>
      </c>
      <c r="N1067" s="133">
        <v>1782.5934285032147</v>
      </c>
      <c r="O1067" s="94"/>
      <c r="P1067" s="14"/>
      <c r="Q1067" s="14"/>
      <c r="R1067" s="14"/>
      <c r="S1067" s="14"/>
      <c r="T1067" s="14"/>
      <c r="U1067" s="14"/>
    </row>
    <row r="1068" spans="2:21" ht="18.75" customHeight="1" x14ac:dyDescent="0.25">
      <c r="B1068" s="15"/>
      <c r="C1068" s="119" t="s">
        <v>779</v>
      </c>
      <c r="D1068" s="120" t="s">
        <v>970</v>
      </c>
      <c r="E1068" s="132">
        <v>31.4</v>
      </c>
      <c r="F1068" s="125">
        <v>89.11710916070092</v>
      </c>
      <c r="G1068" s="125">
        <v>56.657789370529997</v>
      </c>
      <c r="H1068" s="125">
        <v>36.45015308601117</v>
      </c>
      <c r="I1068" s="125">
        <v>28.354805661569088</v>
      </c>
      <c r="J1068" s="125">
        <v>24.947950991881243</v>
      </c>
      <c r="K1068" s="125">
        <v>22.553698883340672</v>
      </c>
      <c r="L1068" s="125">
        <v>20.760152836789644</v>
      </c>
      <c r="M1068" s="125">
        <v>16.375920981858997</v>
      </c>
      <c r="N1068" s="131">
        <v>20.074853038474657</v>
      </c>
      <c r="O1068" s="94"/>
      <c r="P1068" s="14"/>
      <c r="Q1068" s="14"/>
      <c r="R1068" s="14"/>
      <c r="S1068" s="14"/>
      <c r="T1068" s="14"/>
      <c r="U1068" s="14"/>
    </row>
    <row r="1069" spans="2:21" ht="18.75" customHeight="1" x14ac:dyDescent="0.25">
      <c r="B1069" s="15"/>
      <c r="C1069" s="119" t="s">
        <v>580</v>
      </c>
      <c r="D1069" s="120" t="s">
        <v>581</v>
      </c>
      <c r="E1069" s="125">
        <v>868.6</v>
      </c>
      <c r="F1069" s="125">
        <v>640.75095099279326</v>
      </c>
      <c r="G1069" s="125">
        <v>751.28764518818502</v>
      </c>
      <c r="H1069" s="125">
        <v>841.68201042130602</v>
      </c>
      <c r="I1069" s="125">
        <v>884.30636736237136</v>
      </c>
      <c r="J1069" s="125">
        <v>903.56327202607986</v>
      </c>
      <c r="K1069" s="125">
        <v>917.60615632505721</v>
      </c>
      <c r="L1069" s="125">
        <v>928.4150834363536</v>
      </c>
      <c r="M1069" s="125">
        <v>955.94077495106001</v>
      </c>
      <c r="N1069" s="131">
        <v>932.61263109467143</v>
      </c>
      <c r="O1069" s="94"/>
      <c r="P1069" s="14"/>
      <c r="Q1069" s="14"/>
      <c r="R1069" s="14"/>
      <c r="S1069" s="14"/>
      <c r="T1069" s="14"/>
      <c r="U1069" s="14"/>
    </row>
    <row r="1070" spans="2:21" ht="18.75" customHeight="1" x14ac:dyDescent="0.25">
      <c r="B1070" s="15"/>
      <c r="C1070" s="119" t="s">
        <v>541</v>
      </c>
      <c r="D1070" s="120" t="s">
        <v>579</v>
      </c>
      <c r="E1070" s="125">
        <v>12.814320041969328</v>
      </c>
      <c r="F1070" s="125">
        <v>16.238142437858485</v>
      </c>
      <c r="G1070" s="125">
        <v>14.373681927578303</v>
      </c>
      <c r="H1070" s="125">
        <v>13.299481283326209</v>
      </c>
      <c r="I1070" s="125">
        <v>12.936723359785557</v>
      </c>
      <c r="J1070" s="125">
        <v>12.719263352617117</v>
      </c>
      <c r="K1070" s="125">
        <v>12.406655575063843</v>
      </c>
      <c r="L1070" s="125">
        <v>11.909342116430873</v>
      </c>
      <c r="M1070" s="125">
        <v>11.33631719708278</v>
      </c>
      <c r="N1070" s="131">
        <v>11.61130834751757</v>
      </c>
      <c r="O1070" s="94"/>
      <c r="P1070" s="14"/>
      <c r="Q1070" s="14"/>
      <c r="R1070" s="14"/>
      <c r="S1070" s="14"/>
      <c r="T1070" s="14"/>
      <c r="U1070" s="14"/>
    </row>
    <row r="1071" spans="2:21" ht="18.75" customHeight="1" x14ac:dyDescent="0.25">
      <c r="B1071" s="15"/>
      <c r="C1071" s="119" t="s">
        <v>544</v>
      </c>
      <c r="D1071" s="120" t="s">
        <v>579</v>
      </c>
      <c r="E1071" s="125">
        <v>4.8600000000000003</v>
      </c>
      <c r="F1071" s="128"/>
      <c r="G1071" s="128"/>
      <c r="H1071" s="128"/>
      <c r="I1071" s="128"/>
      <c r="J1071" s="128"/>
      <c r="K1071" s="128"/>
      <c r="L1071" s="128"/>
      <c r="M1071" s="125">
        <v>16.183800000000002</v>
      </c>
      <c r="N1071" s="131">
        <v>10.565217391304349</v>
      </c>
      <c r="O1071" s="94"/>
      <c r="P1071" s="14"/>
      <c r="Q1071" s="14"/>
      <c r="R1071" s="14"/>
      <c r="S1071" s="14"/>
      <c r="T1071" s="14"/>
      <c r="U1071" s="14"/>
    </row>
    <row r="1072" spans="2:21" ht="18.75" customHeight="1" x14ac:dyDescent="0.25">
      <c r="B1072" s="15"/>
      <c r="C1072" s="119" t="s">
        <v>780</v>
      </c>
      <c r="D1072" s="120" t="s">
        <v>783</v>
      </c>
      <c r="E1072" s="125">
        <v>11.67046916463001</v>
      </c>
      <c r="F1072" s="125">
        <v>12.810349405828221</v>
      </c>
      <c r="G1072" s="125">
        <v>11.879818820207072</v>
      </c>
      <c r="H1072" s="125">
        <v>11.498863492320154</v>
      </c>
      <c r="I1072" s="125">
        <v>11.513908994348046</v>
      </c>
      <c r="J1072" s="125">
        <v>11.609362336215268</v>
      </c>
      <c r="K1072" s="125">
        <v>11.743077743573071</v>
      </c>
      <c r="L1072" s="125">
        <v>11.893327038001084</v>
      </c>
      <c r="M1072" s="125">
        <v>12.242590557835968</v>
      </c>
      <c r="N1072" s="131">
        <v>11.959585769340064</v>
      </c>
      <c r="O1072" s="94"/>
      <c r="P1072" s="14"/>
      <c r="Q1072" s="14"/>
      <c r="R1072" s="14"/>
      <c r="S1072" s="14"/>
      <c r="T1072" s="14"/>
      <c r="U1072" s="14"/>
    </row>
    <row r="1073" spans="2:21" ht="18.75" customHeight="1" x14ac:dyDescent="0.25">
      <c r="B1073" s="15"/>
      <c r="C1073" s="122" t="s">
        <v>781</v>
      </c>
      <c r="D1073" s="120" t="s">
        <v>782</v>
      </c>
      <c r="E1073" s="125">
        <v>305.61</v>
      </c>
      <c r="F1073" s="134">
        <v>35</v>
      </c>
      <c r="G1073" s="134">
        <v>123</v>
      </c>
      <c r="H1073" s="134">
        <v>232</v>
      </c>
      <c r="I1073" s="134">
        <v>315</v>
      </c>
      <c r="J1073" s="134">
        <v>370</v>
      </c>
      <c r="K1073" s="134">
        <v>424</v>
      </c>
      <c r="L1073" s="134">
        <v>477</v>
      </c>
      <c r="M1073" s="134">
        <v>620</v>
      </c>
      <c r="N1073" s="135">
        <v>500</v>
      </c>
      <c r="O1073" s="94"/>
      <c r="P1073" s="14"/>
      <c r="Q1073" s="14"/>
      <c r="R1073" s="14"/>
      <c r="S1073" s="14"/>
      <c r="T1073" s="14"/>
      <c r="U1073" s="14"/>
    </row>
    <row r="1074" spans="2:21" ht="18.75" customHeight="1" x14ac:dyDescent="0.25">
      <c r="B1074" s="15"/>
      <c r="C1074" s="122"/>
      <c r="D1074" s="210"/>
      <c r="E1074" s="210"/>
      <c r="F1074" s="210"/>
      <c r="G1074" s="210"/>
      <c r="H1074" s="210"/>
      <c r="I1074" s="210"/>
      <c r="J1074" s="210"/>
      <c r="K1074" s="210"/>
      <c r="L1074" s="210"/>
      <c r="M1074" s="210"/>
      <c r="N1074" s="115"/>
      <c r="O1074" s="94"/>
      <c r="P1074" s="14"/>
      <c r="Q1074" s="14"/>
      <c r="R1074" s="14"/>
      <c r="S1074" s="14"/>
      <c r="T1074" s="14"/>
      <c r="U1074" s="14"/>
    </row>
    <row r="1075" spans="2:21" ht="18.75" customHeight="1" x14ac:dyDescent="0.25">
      <c r="B1075" s="15"/>
      <c r="C1075" s="2199" t="s">
        <v>2075</v>
      </c>
      <c r="D1075" s="2200"/>
      <c r="E1075" s="2200"/>
      <c r="F1075" s="2200"/>
      <c r="G1075" s="2200"/>
      <c r="H1075" s="2200"/>
      <c r="I1075" s="2200"/>
      <c r="J1075" s="2200"/>
      <c r="K1075" s="2200"/>
      <c r="L1075" s="2200"/>
      <c r="M1075" s="2200"/>
      <c r="N1075" s="2201"/>
      <c r="O1075" s="94"/>
      <c r="P1075" s="14"/>
      <c r="Q1075" s="14"/>
      <c r="R1075" s="14"/>
      <c r="S1075" s="14"/>
      <c r="T1075" s="14"/>
      <c r="U1075" s="14"/>
    </row>
    <row r="1076" spans="2:21" ht="18.75" customHeight="1" x14ac:dyDescent="0.25">
      <c r="B1076" s="15"/>
      <c r="C1076" s="2202" t="s">
        <v>1088</v>
      </c>
      <c r="D1076" s="210">
        <v>63</v>
      </c>
      <c r="E1076" s="104" t="s">
        <v>679</v>
      </c>
      <c r="F1076" s="210">
        <v>80</v>
      </c>
      <c r="G1076" s="210">
        <v>180</v>
      </c>
      <c r="H1076" s="210">
        <v>290</v>
      </c>
      <c r="I1076" s="210">
        <v>340</v>
      </c>
      <c r="J1076" s="210">
        <v>400</v>
      </c>
      <c r="K1076" s="210">
        <v>450</v>
      </c>
      <c r="L1076" s="210">
        <v>525</v>
      </c>
      <c r="M1076" s="210">
        <v>525</v>
      </c>
      <c r="N1076" s="115">
        <v>400</v>
      </c>
      <c r="O1076" s="94"/>
      <c r="P1076" s="14"/>
      <c r="Q1076" s="14"/>
      <c r="R1076" s="14"/>
      <c r="S1076" s="14"/>
      <c r="T1076" s="14"/>
      <c r="U1076" s="14"/>
    </row>
    <row r="1077" spans="2:21" ht="18.75" customHeight="1" x14ac:dyDescent="0.25">
      <c r="B1077" s="15"/>
      <c r="C1077" s="119" t="s">
        <v>568</v>
      </c>
      <c r="D1077" s="120" t="s">
        <v>623</v>
      </c>
      <c r="E1077" s="110" t="s">
        <v>608</v>
      </c>
      <c r="F1077" s="110" t="s">
        <v>957</v>
      </c>
      <c r="G1077" s="110" t="s">
        <v>572</v>
      </c>
      <c r="H1077" s="110" t="s">
        <v>530</v>
      </c>
      <c r="I1077" s="110" t="s">
        <v>573</v>
      </c>
      <c r="J1077" s="110" t="s">
        <v>574</v>
      </c>
      <c r="K1077" s="110" t="s">
        <v>575</v>
      </c>
      <c r="L1077" s="110" t="s">
        <v>576</v>
      </c>
      <c r="M1077" s="110" t="s">
        <v>577</v>
      </c>
      <c r="N1077" s="2203" t="s">
        <v>609</v>
      </c>
      <c r="O1077" s="94"/>
      <c r="P1077" s="14"/>
      <c r="Q1077" s="14"/>
      <c r="R1077" s="14"/>
      <c r="S1077" s="14"/>
      <c r="T1077" s="14"/>
      <c r="U1077" s="14"/>
    </row>
    <row r="1078" spans="2:21" ht="18.75" customHeight="1" x14ac:dyDescent="0.25">
      <c r="B1078" s="15"/>
      <c r="C1078" s="119" t="s">
        <v>582</v>
      </c>
      <c r="D1078" s="120" t="s">
        <v>566</v>
      </c>
      <c r="E1078" s="121">
        <v>98401.02763950525</v>
      </c>
      <c r="F1078" s="129">
        <v>6075.0002499224265</v>
      </c>
      <c r="G1078" s="129">
        <v>12729.973338260095</v>
      </c>
      <c r="H1078" s="129">
        <v>19267.07932715234</v>
      </c>
      <c r="I1078" s="129">
        <v>7712.4696490689421</v>
      </c>
      <c r="J1078" s="129">
        <v>6714.5235384036851</v>
      </c>
      <c r="K1078" s="129">
        <v>6745.621370597969</v>
      </c>
      <c r="L1078" s="129">
        <v>11650.514873403497</v>
      </c>
      <c r="M1078" s="129">
        <v>27505.845292696296</v>
      </c>
      <c r="N1078" s="130">
        <v>46532.186518306931</v>
      </c>
      <c r="O1078" s="94"/>
      <c r="P1078" s="14"/>
      <c r="Q1078" s="14"/>
      <c r="R1078" s="14"/>
      <c r="S1078" s="14"/>
      <c r="T1078" s="14"/>
      <c r="U1078" s="14"/>
    </row>
    <row r="1079" spans="2:21" ht="18.75" customHeight="1" x14ac:dyDescent="0.25">
      <c r="B1079" s="15"/>
      <c r="C1079" s="119" t="s">
        <v>582</v>
      </c>
      <c r="D1079" s="120" t="s">
        <v>628</v>
      </c>
      <c r="E1079" s="145">
        <v>15645.763394681335</v>
      </c>
      <c r="F1079" s="129">
        <v>965.92503973766588</v>
      </c>
      <c r="G1079" s="129">
        <v>2024.0657607833552</v>
      </c>
      <c r="H1079" s="129">
        <v>3063.465613017222</v>
      </c>
      <c r="I1079" s="129">
        <v>1226.2826742019618</v>
      </c>
      <c r="J1079" s="129">
        <v>1067.6092426061859</v>
      </c>
      <c r="K1079" s="129">
        <v>1072.5537979250771</v>
      </c>
      <c r="L1079" s="129">
        <v>1852.4318648711562</v>
      </c>
      <c r="M1079" s="129">
        <v>4373.4294015387113</v>
      </c>
      <c r="N1079" s="130">
        <v>7398.6176564108018</v>
      </c>
      <c r="O1079" s="94"/>
      <c r="P1079" s="14"/>
      <c r="Q1079" s="14"/>
      <c r="R1079" s="14"/>
      <c r="S1079" s="14"/>
      <c r="T1079" s="14"/>
      <c r="U1079" s="14"/>
    </row>
    <row r="1080" spans="2:21" ht="18.75" customHeight="1" x14ac:dyDescent="0.25">
      <c r="B1080" s="15"/>
      <c r="C1080" s="119" t="s">
        <v>620</v>
      </c>
      <c r="D1080" s="120" t="s">
        <v>622</v>
      </c>
      <c r="E1080" s="129">
        <v>13410703.447195705</v>
      </c>
      <c r="F1080" s="129">
        <v>603481.65512380667</v>
      </c>
      <c r="G1080" s="129">
        <v>1475177.3791915276</v>
      </c>
      <c r="H1080" s="129">
        <v>2548033.6549671842</v>
      </c>
      <c r="I1080" s="129">
        <v>1072856.2757756563</v>
      </c>
      <c r="J1080" s="129">
        <v>938749.24130369944</v>
      </c>
      <c r="K1080" s="129">
        <v>938749.24130369944</v>
      </c>
      <c r="L1080" s="129">
        <v>1609284.4136634846</v>
      </c>
      <c r="M1080" s="129">
        <v>3889103.9996867543</v>
      </c>
      <c r="N1080" s="130">
        <v>6437137.6546539385</v>
      </c>
      <c r="O1080" s="94"/>
      <c r="P1080" s="14"/>
      <c r="Q1080" s="14"/>
      <c r="R1080" s="14"/>
      <c r="S1080" s="14"/>
      <c r="T1080" s="14"/>
      <c r="U1080" s="14"/>
    </row>
    <row r="1081" spans="2:21" ht="18.75" customHeight="1" x14ac:dyDescent="0.25">
      <c r="B1081" s="15"/>
      <c r="C1081" s="122" t="s">
        <v>776</v>
      </c>
      <c r="D1081" s="120" t="s">
        <v>579</v>
      </c>
      <c r="E1081" s="125">
        <v>0.19308387793358217</v>
      </c>
      <c r="F1081" s="125">
        <v>0</v>
      </c>
      <c r="G1081" s="125">
        <v>0</v>
      </c>
      <c r="H1081" s="125">
        <v>4.1211157921760638E-2</v>
      </c>
      <c r="I1081" s="125">
        <v>0.10554641387505652</v>
      </c>
      <c r="J1081" s="125">
        <v>0.1476007388225237</v>
      </c>
      <c r="K1081" s="125">
        <v>0.20352514347175357</v>
      </c>
      <c r="L1081" s="125">
        <v>0.26359588279346668</v>
      </c>
      <c r="M1081" s="125">
        <v>0.41586112800906105</v>
      </c>
      <c r="N1081" s="131">
        <v>0.34682915229347178</v>
      </c>
      <c r="O1081" s="94"/>
      <c r="P1081" s="14"/>
      <c r="Q1081" s="14"/>
      <c r="R1081" s="14"/>
      <c r="S1081" s="14"/>
      <c r="T1081" s="14"/>
      <c r="U1081" s="14"/>
    </row>
    <row r="1082" spans="2:21" ht="18.75" customHeight="1" x14ac:dyDescent="0.25">
      <c r="B1082" s="15"/>
      <c r="C1082" s="122" t="s">
        <v>777</v>
      </c>
      <c r="D1082" s="210" t="s">
        <v>778</v>
      </c>
      <c r="E1082" s="125">
        <v>1041.037564019661</v>
      </c>
      <c r="F1082" s="132">
        <v>0</v>
      </c>
      <c r="G1082" s="132">
        <v>0</v>
      </c>
      <c r="H1082" s="132">
        <v>0</v>
      </c>
      <c r="I1082" s="132">
        <v>168.72973198925098</v>
      </c>
      <c r="J1082" s="132">
        <v>354.39104727562017</v>
      </c>
      <c r="K1082" s="132">
        <v>690.08130003144402</v>
      </c>
      <c r="L1082" s="132">
        <v>1172.8363623306579</v>
      </c>
      <c r="M1082" s="125">
        <v>2805.8129574805089</v>
      </c>
      <c r="N1082" s="133">
        <v>2089.0246086483903</v>
      </c>
      <c r="O1082" s="94"/>
      <c r="P1082" s="14"/>
      <c r="Q1082" s="14"/>
      <c r="R1082" s="14"/>
      <c r="S1082" s="14"/>
      <c r="T1082" s="14"/>
      <c r="U1082" s="14"/>
    </row>
    <row r="1083" spans="2:21" ht="18.75" customHeight="1" x14ac:dyDescent="0.25">
      <c r="B1083" s="15"/>
      <c r="C1083" s="119" t="s">
        <v>779</v>
      </c>
      <c r="D1083" s="120" t="s">
        <v>970</v>
      </c>
      <c r="E1083" s="132">
        <v>36.1</v>
      </c>
      <c r="F1083" s="125">
        <v>94.760009308221996</v>
      </c>
      <c r="G1083" s="125">
        <v>62.458502862944741</v>
      </c>
      <c r="H1083" s="125">
        <v>38.455920801617467</v>
      </c>
      <c r="I1083" s="125">
        <v>30.076239147994315</v>
      </c>
      <c r="J1083" s="125">
        <v>29.264877862351071</v>
      </c>
      <c r="K1083" s="125">
        <v>30.009448816031366</v>
      </c>
      <c r="L1083" s="125">
        <v>31.218857731868852</v>
      </c>
      <c r="M1083" s="125">
        <v>27.464816243306856</v>
      </c>
      <c r="N1083" s="131">
        <v>30.974884593088333</v>
      </c>
      <c r="O1083" s="94"/>
      <c r="P1083" s="14"/>
      <c r="Q1083" s="14"/>
      <c r="R1083" s="14"/>
      <c r="S1083" s="14"/>
      <c r="T1083" s="14"/>
      <c r="U1083" s="14"/>
    </row>
    <row r="1084" spans="2:21" ht="18.75" customHeight="1" x14ac:dyDescent="0.25">
      <c r="B1084" s="15"/>
      <c r="C1084" s="119" t="s">
        <v>580</v>
      </c>
      <c r="D1084" s="120" t="s">
        <v>581</v>
      </c>
      <c r="E1084" s="125">
        <v>843.44046837708834</v>
      </c>
      <c r="F1084" s="125">
        <v>624.77069161361146</v>
      </c>
      <c r="G1084" s="125">
        <v>728.81889895741506</v>
      </c>
      <c r="H1084" s="125">
        <v>831.74873716229297</v>
      </c>
      <c r="I1084" s="125">
        <v>874.88496604084207</v>
      </c>
      <c r="J1084" s="125">
        <v>879.30040677811962</v>
      </c>
      <c r="K1084" s="125">
        <v>875.24676442316365</v>
      </c>
      <c r="L1084" s="125">
        <v>868.74148743679518</v>
      </c>
      <c r="M1084" s="125">
        <v>889.25729504595279</v>
      </c>
      <c r="N1084" s="131">
        <v>870.04599421031662</v>
      </c>
      <c r="O1084" s="94"/>
      <c r="P1084" s="14"/>
      <c r="Q1084" s="14"/>
      <c r="R1084" s="14"/>
      <c r="S1084" s="14"/>
      <c r="T1084" s="14"/>
      <c r="U1084" s="14"/>
    </row>
    <row r="1085" spans="2:21" ht="18.75" customHeight="1" x14ac:dyDescent="0.25">
      <c r="B1085" s="15"/>
      <c r="C1085" s="119" t="s">
        <v>541</v>
      </c>
      <c r="D1085" s="120" t="s">
        <v>579</v>
      </c>
      <c r="E1085" s="125">
        <v>13.34</v>
      </c>
      <c r="F1085" s="125">
        <v>17.38</v>
      </c>
      <c r="G1085" s="125">
        <v>14.64</v>
      </c>
      <c r="H1085" s="125">
        <v>12.79</v>
      </c>
      <c r="I1085" s="125">
        <v>12.98</v>
      </c>
      <c r="J1085" s="125">
        <v>12.98</v>
      </c>
      <c r="K1085" s="125">
        <v>13.23</v>
      </c>
      <c r="L1085" s="125">
        <v>13.54</v>
      </c>
      <c r="M1085" s="125">
        <v>13.87</v>
      </c>
      <c r="N1085" s="131">
        <v>13.69</v>
      </c>
      <c r="O1085" s="94"/>
      <c r="P1085" s="14"/>
      <c r="Q1085" s="14"/>
      <c r="R1085" s="14"/>
      <c r="S1085" s="14"/>
      <c r="T1085" s="14"/>
      <c r="U1085" s="14"/>
    </row>
    <row r="1086" spans="2:21" ht="18.75" customHeight="1" x14ac:dyDescent="0.25">
      <c r="B1086" s="15"/>
      <c r="C1086" s="119" t="s">
        <v>544</v>
      </c>
      <c r="D1086" s="120" t="s">
        <v>579</v>
      </c>
      <c r="E1086" s="125">
        <v>1.4</v>
      </c>
      <c r="F1086" s="128"/>
      <c r="G1086" s="128"/>
      <c r="H1086" s="128"/>
      <c r="I1086" s="128"/>
      <c r="J1086" s="128"/>
      <c r="K1086" s="128"/>
      <c r="L1086" s="128"/>
      <c r="M1086" s="125">
        <v>4.8227586206896547</v>
      </c>
      <c r="N1086" s="131">
        <v>2.9166666666666665</v>
      </c>
      <c r="O1086" s="94"/>
      <c r="P1086" s="14"/>
      <c r="Q1086" s="14"/>
      <c r="R1086" s="14"/>
      <c r="S1086" s="14"/>
      <c r="T1086" s="14"/>
      <c r="U1086" s="14"/>
    </row>
    <row r="1087" spans="2:21" ht="18.75" customHeight="1" x14ac:dyDescent="0.25">
      <c r="B1087" s="15"/>
      <c r="C1087" s="119" t="s">
        <v>780</v>
      </c>
      <c r="D1087" s="120" t="s">
        <v>783</v>
      </c>
      <c r="E1087" s="125">
        <v>12.501037363059149</v>
      </c>
      <c r="F1087" s="125">
        <v>13.278616809973016</v>
      </c>
      <c r="G1087" s="125">
        <v>12.163066518974762</v>
      </c>
      <c r="H1087" s="125">
        <v>11.543310377104879</v>
      </c>
      <c r="I1087" s="125">
        <v>11.604826462112491</v>
      </c>
      <c r="J1087" s="125">
        <v>11.867551011051818</v>
      </c>
      <c r="K1087" s="125">
        <v>12.287817127563843</v>
      </c>
      <c r="L1087" s="125">
        <v>12.727197266136335</v>
      </c>
      <c r="M1087" s="125">
        <v>13.160635926704966</v>
      </c>
      <c r="N1087" s="131">
        <v>13.143015857305297</v>
      </c>
      <c r="O1087" s="94"/>
      <c r="P1087" s="14"/>
      <c r="Q1087" s="14"/>
      <c r="R1087" s="14"/>
      <c r="S1087" s="14"/>
      <c r="T1087" s="14"/>
      <c r="U1087" s="14"/>
    </row>
    <row r="1088" spans="2:21" ht="18.75" customHeight="1" x14ac:dyDescent="0.25">
      <c r="B1088" s="15"/>
      <c r="C1088" s="122" t="s">
        <v>781</v>
      </c>
      <c r="D1088" s="120" t="s">
        <v>782</v>
      </c>
      <c r="E1088" s="125">
        <v>380</v>
      </c>
      <c r="F1088" s="134">
        <v>45</v>
      </c>
      <c r="G1088" s="134">
        <v>115</v>
      </c>
      <c r="H1088" s="134">
        <v>220</v>
      </c>
      <c r="I1088" s="134">
        <v>310</v>
      </c>
      <c r="J1088" s="134">
        <v>360</v>
      </c>
      <c r="K1088" s="134">
        <v>420</v>
      </c>
      <c r="L1088" s="134">
        <v>480</v>
      </c>
      <c r="M1088" s="134">
        <v>620</v>
      </c>
      <c r="N1088" s="135">
        <v>560</v>
      </c>
      <c r="O1088" s="94"/>
      <c r="P1088" s="14"/>
      <c r="Q1088" s="14"/>
      <c r="R1088" s="14"/>
      <c r="S1088" s="14"/>
      <c r="T1088" s="14"/>
      <c r="U1088" s="14"/>
    </row>
    <row r="1089" spans="2:21" ht="18.75" customHeight="1" x14ac:dyDescent="0.25">
      <c r="B1089" s="15"/>
      <c r="C1089" s="122"/>
      <c r="D1089" s="210"/>
      <c r="E1089" s="210"/>
      <c r="F1089" s="210"/>
      <c r="G1089" s="210"/>
      <c r="H1089" s="210"/>
      <c r="I1089" s="210"/>
      <c r="J1089" s="210"/>
      <c r="K1089" s="210"/>
      <c r="L1089" s="210"/>
      <c r="M1089" s="210"/>
      <c r="N1089" s="115"/>
      <c r="O1089" s="94"/>
      <c r="P1089" s="14"/>
      <c r="Q1089" s="14"/>
      <c r="R1089" s="14"/>
      <c r="S1089" s="14"/>
      <c r="T1089" s="14"/>
      <c r="U1089" s="14"/>
    </row>
    <row r="1090" spans="2:21" ht="18.75" customHeight="1" x14ac:dyDescent="0.25">
      <c r="B1090" s="15"/>
      <c r="C1090" s="2199" t="s">
        <v>2076</v>
      </c>
      <c r="D1090" s="2200"/>
      <c r="E1090" s="2200"/>
      <c r="F1090" s="2200"/>
      <c r="G1090" s="2200"/>
      <c r="H1090" s="2200"/>
      <c r="I1090" s="2200"/>
      <c r="J1090" s="2200"/>
      <c r="K1090" s="2200"/>
      <c r="L1090" s="2200"/>
      <c r="M1090" s="2200"/>
      <c r="N1090" s="2201"/>
      <c r="O1090" s="94"/>
      <c r="P1090" s="14"/>
      <c r="Q1090" s="14"/>
      <c r="R1090" s="14"/>
      <c r="S1090" s="14"/>
      <c r="T1090" s="14"/>
      <c r="U1090" s="14"/>
    </row>
    <row r="1091" spans="2:21" ht="18.75" customHeight="1" x14ac:dyDescent="0.25">
      <c r="B1091" s="15"/>
      <c r="C1091" s="2202" t="s">
        <v>1088</v>
      </c>
      <c r="D1091" s="210">
        <v>66</v>
      </c>
      <c r="E1091" s="104" t="s">
        <v>679</v>
      </c>
      <c r="F1091" s="210">
        <v>80</v>
      </c>
      <c r="G1091" s="210">
        <v>180</v>
      </c>
      <c r="H1091" s="210">
        <v>290</v>
      </c>
      <c r="I1091" s="210">
        <v>340</v>
      </c>
      <c r="J1091" s="210">
        <v>400</v>
      </c>
      <c r="K1091" s="210">
        <v>450</v>
      </c>
      <c r="L1091" s="210">
        <v>525</v>
      </c>
      <c r="M1091" s="210">
        <v>525</v>
      </c>
      <c r="N1091" s="115">
        <v>400</v>
      </c>
      <c r="O1091" s="94"/>
      <c r="P1091" s="14"/>
      <c r="Q1091" s="14"/>
      <c r="R1091" s="14"/>
      <c r="S1091" s="14"/>
      <c r="T1091" s="14"/>
      <c r="U1091" s="14"/>
    </row>
    <row r="1092" spans="2:21" ht="18.75" customHeight="1" x14ac:dyDescent="0.25">
      <c r="B1092" s="15"/>
      <c r="C1092" s="119" t="s">
        <v>568</v>
      </c>
      <c r="D1092" s="120" t="s">
        <v>623</v>
      </c>
      <c r="E1092" s="110" t="s">
        <v>608</v>
      </c>
      <c r="F1092" s="110" t="s">
        <v>957</v>
      </c>
      <c r="G1092" s="110" t="s">
        <v>572</v>
      </c>
      <c r="H1092" s="110" t="s">
        <v>530</v>
      </c>
      <c r="I1092" s="110" t="s">
        <v>573</v>
      </c>
      <c r="J1092" s="110" t="s">
        <v>574</v>
      </c>
      <c r="K1092" s="110" t="s">
        <v>575</v>
      </c>
      <c r="L1092" s="110" t="s">
        <v>576</v>
      </c>
      <c r="M1092" s="110" t="s">
        <v>577</v>
      </c>
      <c r="N1092" s="2203" t="s">
        <v>609</v>
      </c>
      <c r="O1092" s="94"/>
      <c r="P1092" s="14"/>
      <c r="Q1092" s="14"/>
      <c r="R1092" s="14"/>
      <c r="S1092" s="14"/>
      <c r="T1092" s="14"/>
      <c r="U1092" s="14"/>
    </row>
    <row r="1093" spans="2:21" ht="18.75" customHeight="1" x14ac:dyDescent="0.25">
      <c r="B1093" s="15"/>
      <c r="C1093" s="119" t="s">
        <v>582</v>
      </c>
      <c r="D1093" s="120" t="s">
        <v>566</v>
      </c>
      <c r="E1093" s="121">
        <v>99272.07030548976</v>
      </c>
      <c r="F1093" s="129">
        <v>9905.0832898235985</v>
      </c>
      <c r="G1093" s="129">
        <v>18460.50446953861</v>
      </c>
      <c r="H1093" s="129">
        <v>17591.619711007861</v>
      </c>
      <c r="I1093" s="129">
        <v>5653.7325384582928</v>
      </c>
      <c r="J1093" s="129">
        <v>8436.6073473235956</v>
      </c>
      <c r="K1093" s="129">
        <v>5644.8526605042125</v>
      </c>
      <c r="L1093" s="129">
        <v>9499.044386722564</v>
      </c>
      <c r="M1093" s="129">
        <v>24080.625902111031</v>
      </c>
      <c r="N1093" s="130">
        <v>40283.959396787723</v>
      </c>
      <c r="O1093" s="94"/>
      <c r="P1093" s="14"/>
      <c r="Q1093" s="14"/>
      <c r="R1093" s="14"/>
      <c r="S1093" s="14"/>
      <c r="T1093" s="14"/>
      <c r="U1093" s="14"/>
    </row>
    <row r="1094" spans="2:21" ht="18.75" customHeight="1" x14ac:dyDescent="0.25">
      <c r="B1094" s="15"/>
      <c r="C1094" s="119" t="s">
        <v>582</v>
      </c>
      <c r="D1094" s="120" t="s">
        <v>628</v>
      </c>
      <c r="E1094" s="145">
        <v>15784.259178572873</v>
      </c>
      <c r="F1094" s="129">
        <v>1574.9082430819522</v>
      </c>
      <c r="G1094" s="129">
        <v>2935.2202106566392</v>
      </c>
      <c r="H1094" s="129">
        <v>2797.0675340502498</v>
      </c>
      <c r="I1094" s="129">
        <v>898.94347361486859</v>
      </c>
      <c r="J1094" s="129">
        <v>1341.4205682244517</v>
      </c>
      <c r="K1094" s="129">
        <v>897.53157302016973</v>
      </c>
      <c r="L1094" s="129">
        <v>1510.3480574888877</v>
      </c>
      <c r="M1094" s="129">
        <v>3828.8195184356541</v>
      </c>
      <c r="N1094" s="130">
        <v>6405.1495440892477</v>
      </c>
      <c r="O1094" s="94"/>
      <c r="P1094" s="14"/>
      <c r="Q1094" s="14"/>
      <c r="R1094" s="14"/>
      <c r="S1094" s="14"/>
      <c r="T1094" s="14"/>
      <c r="U1094" s="14"/>
    </row>
    <row r="1095" spans="2:21" ht="18.75" customHeight="1" x14ac:dyDescent="0.25">
      <c r="B1095" s="15"/>
      <c r="C1095" s="119" t="s">
        <v>620</v>
      </c>
      <c r="D1095" s="120" t="s">
        <v>622</v>
      </c>
      <c r="E1095" s="129">
        <v>13221375.869117646</v>
      </c>
      <c r="F1095" s="129">
        <v>991603.19018382335</v>
      </c>
      <c r="G1095" s="129">
        <v>2181527.0184044116</v>
      </c>
      <c r="H1095" s="129">
        <v>2379847.6564411763</v>
      </c>
      <c r="I1095" s="129">
        <v>793282.55214705865</v>
      </c>
      <c r="J1095" s="129">
        <v>1189923.8282205882</v>
      </c>
      <c r="K1095" s="129">
        <v>793282.55214705865</v>
      </c>
      <c r="L1095" s="129">
        <v>1322137.5869117647</v>
      </c>
      <c r="M1095" s="129">
        <v>3569771.4846617645</v>
      </c>
      <c r="N1095" s="130">
        <v>5685191.6237205882</v>
      </c>
      <c r="O1095" s="94"/>
      <c r="P1095" s="14"/>
      <c r="Q1095" s="14"/>
      <c r="R1095" s="14"/>
      <c r="S1095" s="14"/>
      <c r="T1095" s="14"/>
      <c r="U1095" s="14"/>
    </row>
    <row r="1096" spans="2:21" ht="18.75" customHeight="1" x14ac:dyDescent="0.25">
      <c r="B1096" s="15"/>
      <c r="C1096" s="122" t="s">
        <v>776</v>
      </c>
      <c r="D1096" s="120" t="s">
        <v>579</v>
      </c>
      <c r="E1096" s="125">
        <v>0.56128703950899161</v>
      </c>
      <c r="F1096" s="125">
        <v>0</v>
      </c>
      <c r="G1096" s="125">
        <v>0</v>
      </c>
      <c r="H1096" s="125">
        <v>0.12569001757939319</v>
      </c>
      <c r="I1096" s="125">
        <v>0.29334097724744596</v>
      </c>
      <c r="J1096" s="125">
        <v>0.41787952706980835</v>
      </c>
      <c r="K1096" s="125">
        <v>0.56609804570771938</v>
      </c>
      <c r="L1096" s="125">
        <v>0.77677421505218591</v>
      </c>
      <c r="M1096" s="125">
        <v>1.3770737630588505</v>
      </c>
      <c r="N1096" s="131">
        <v>1.1243098145897006</v>
      </c>
      <c r="O1096" s="94"/>
      <c r="P1096" s="14"/>
      <c r="Q1096" s="14"/>
      <c r="R1096" s="14"/>
      <c r="S1096" s="14"/>
      <c r="T1096" s="14"/>
      <c r="U1096" s="14"/>
    </row>
    <row r="1097" spans="2:21" ht="18.75" customHeight="1" x14ac:dyDescent="0.25">
      <c r="B1097" s="15"/>
      <c r="C1097" s="122" t="s">
        <v>777</v>
      </c>
      <c r="D1097" s="210" t="s">
        <v>778</v>
      </c>
      <c r="E1097" s="125">
        <v>1328.9734155944845</v>
      </c>
      <c r="F1097" s="132">
        <v>0</v>
      </c>
      <c r="G1097" s="132">
        <v>0</v>
      </c>
      <c r="H1097" s="132">
        <v>21.267107063974919</v>
      </c>
      <c r="I1097" s="132">
        <v>221.21387362072471</v>
      </c>
      <c r="J1097" s="132">
        <v>429.60604302842262</v>
      </c>
      <c r="K1097" s="132">
        <v>747.00246649267535</v>
      </c>
      <c r="L1097" s="132">
        <v>1351.7368738565115</v>
      </c>
      <c r="M1097" s="125">
        <v>4048.9412024368735</v>
      </c>
      <c r="N1097" s="133">
        <v>2960.9487442631798</v>
      </c>
      <c r="O1097" s="94"/>
      <c r="P1097" s="14"/>
      <c r="Q1097" s="14"/>
      <c r="R1097" s="14"/>
      <c r="S1097" s="14"/>
      <c r="T1097" s="14"/>
      <c r="U1097" s="14"/>
    </row>
    <row r="1098" spans="2:21" ht="18.75" customHeight="1" x14ac:dyDescent="0.25">
      <c r="B1098" s="15"/>
      <c r="C1098" s="119" t="s">
        <v>779</v>
      </c>
      <c r="D1098" s="120" t="s">
        <v>970</v>
      </c>
      <c r="E1098" s="132">
        <v>38.5</v>
      </c>
      <c r="F1098" s="125">
        <v>93.01522123600158</v>
      </c>
      <c r="G1098" s="125">
        <v>58.699136958882676</v>
      </c>
      <c r="H1098" s="125">
        <v>34.643075048407582</v>
      </c>
      <c r="I1098" s="125">
        <v>28.689088589651647</v>
      </c>
      <c r="J1098" s="125">
        <v>27.858138782779065</v>
      </c>
      <c r="K1098" s="125">
        <v>28.437492047619372</v>
      </c>
      <c r="L1098" s="125">
        <v>29.983754574283608</v>
      </c>
      <c r="M1098" s="125">
        <v>20.118755679958355</v>
      </c>
      <c r="N1098" s="131">
        <v>27.762165057067733</v>
      </c>
      <c r="O1098" s="94"/>
      <c r="P1098" s="14"/>
      <c r="Q1098" s="14"/>
      <c r="R1098" s="14"/>
      <c r="S1098" s="14"/>
      <c r="T1098" s="14"/>
      <c r="U1098" s="14"/>
    </row>
    <row r="1099" spans="2:21" ht="18.75" customHeight="1" x14ac:dyDescent="0.25">
      <c r="B1099" s="15"/>
      <c r="C1099" s="119" t="s">
        <v>580</v>
      </c>
      <c r="D1099" s="120" t="s">
        <v>581</v>
      </c>
      <c r="E1099" s="125">
        <v>831.53307352941169</v>
      </c>
      <c r="F1099" s="125">
        <v>629.62600807990316</v>
      </c>
      <c r="G1099" s="125">
        <v>743.22431089978818</v>
      </c>
      <c r="H1099" s="125">
        <v>850.83668072721696</v>
      </c>
      <c r="I1099" s="125">
        <v>882.46099496899194</v>
      </c>
      <c r="J1099" s="125">
        <v>887.06245931178046</v>
      </c>
      <c r="K1099" s="125">
        <v>883.84918814352579</v>
      </c>
      <c r="L1099" s="125">
        <v>875.38602797950909</v>
      </c>
      <c r="M1099" s="125">
        <v>932.34258430657781</v>
      </c>
      <c r="N1099" s="131">
        <v>887.59701621126931</v>
      </c>
      <c r="O1099" s="94"/>
      <c r="P1099" s="14"/>
      <c r="Q1099" s="14"/>
      <c r="R1099" s="14"/>
      <c r="S1099" s="14"/>
      <c r="T1099" s="14"/>
      <c r="U1099" s="14"/>
    </row>
    <row r="1100" spans="2:21" ht="18.75" customHeight="1" x14ac:dyDescent="0.25">
      <c r="B1100" s="15"/>
      <c r="C1100" s="119" t="s">
        <v>541</v>
      </c>
      <c r="D1100" s="120" t="s">
        <v>579</v>
      </c>
      <c r="E1100" s="125">
        <v>12.135698530186113</v>
      </c>
      <c r="F1100" s="125">
        <v>16.289825001070533</v>
      </c>
      <c r="G1100" s="125">
        <v>14.41031309774152</v>
      </c>
      <c r="H1100" s="125">
        <v>13.395529953686985</v>
      </c>
      <c r="I1100" s="125">
        <v>13.222596727568554</v>
      </c>
      <c r="J1100" s="125">
        <v>13.153052888564924</v>
      </c>
      <c r="K1100" s="125">
        <v>12.987658886836883</v>
      </c>
      <c r="L1100" s="125">
        <v>12.409763633571931</v>
      </c>
      <c r="M1100" s="125">
        <v>7.8803634893424146</v>
      </c>
      <c r="N1100" s="131">
        <v>9.6463582295112964</v>
      </c>
      <c r="O1100" s="94"/>
      <c r="P1100" s="14"/>
      <c r="Q1100" s="14"/>
      <c r="R1100" s="14"/>
      <c r="S1100" s="14"/>
      <c r="T1100" s="14"/>
      <c r="U1100" s="14"/>
    </row>
    <row r="1101" spans="2:21" ht="18.75" customHeight="1" x14ac:dyDescent="0.25">
      <c r="B1101" s="15"/>
      <c r="C1101" s="119" t="s">
        <v>544</v>
      </c>
      <c r="D1101" s="120" t="s">
        <v>579</v>
      </c>
      <c r="E1101" s="125">
        <v>2.1800000000000002</v>
      </c>
      <c r="F1101" s="128"/>
      <c r="G1101" s="128"/>
      <c r="H1101" s="128"/>
      <c r="I1101" s="128"/>
      <c r="J1101" s="128"/>
      <c r="K1101" s="128"/>
      <c r="L1101" s="128"/>
      <c r="M1101" s="125">
        <v>8.0659999999999989</v>
      </c>
      <c r="N1101" s="131">
        <v>5.0697674418604652</v>
      </c>
      <c r="O1101" s="94"/>
      <c r="P1101" s="14"/>
      <c r="Q1101" s="14"/>
      <c r="R1101" s="14"/>
      <c r="S1101" s="14"/>
      <c r="T1101" s="14"/>
      <c r="U1101" s="14"/>
    </row>
    <row r="1102" spans="2:21" ht="18.75" customHeight="1" x14ac:dyDescent="0.25">
      <c r="B1102" s="15"/>
      <c r="C1102" s="119" t="s">
        <v>780</v>
      </c>
      <c r="D1102" s="120" t="s">
        <v>783</v>
      </c>
      <c r="E1102" s="125">
        <v>12.482862392613209</v>
      </c>
      <c r="F1102" s="125">
        <v>13.106829711382643</v>
      </c>
      <c r="G1102" s="125">
        <v>12.028879578231466</v>
      </c>
      <c r="H1102" s="125">
        <v>11.434874887960305</v>
      </c>
      <c r="I1102" s="125">
        <v>11.570589975354904</v>
      </c>
      <c r="J1102" s="125">
        <v>11.825315465142573</v>
      </c>
      <c r="K1102" s="125">
        <v>12.197409118845718</v>
      </c>
      <c r="L1102" s="125">
        <v>12.741419664751277</v>
      </c>
      <c r="M1102" s="125">
        <v>12.916571498012248</v>
      </c>
      <c r="N1102" s="131">
        <v>13.234279607003165</v>
      </c>
      <c r="O1102" s="94"/>
      <c r="P1102" s="14"/>
      <c r="Q1102" s="14"/>
      <c r="R1102" s="14"/>
      <c r="S1102" s="14"/>
      <c r="T1102" s="14"/>
      <c r="U1102" s="14"/>
    </row>
    <row r="1103" spans="2:21" ht="18.75" customHeight="1" x14ac:dyDescent="0.25">
      <c r="B1103" s="15"/>
      <c r="C1103" s="122" t="s">
        <v>781</v>
      </c>
      <c r="D1103" s="120" t="s">
        <v>782</v>
      </c>
      <c r="E1103" s="125">
        <v>350</v>
      </c>
      <c r="F1103" s="134">
        <v>40</v>
      </c>
      <c r="G1103" s="134">
        <v>125</v>
      </c>
      <c r="H1103" s="134">
        <v>240</v>
      </c>
      <c r="I1103" s="134">
        <v>320</v>
      </c>
      <c r="J1103" s="134">
        <v>370</v>
      </c>
      <c r="K1103" s="134">
        <v>425</v>
      </c>
      <c r="L1103" s="134">
        <v>500</v>
      </c>
      <c r="M1103" s="134">
        <v>700</v>
      </c>
      <c r="N1103" s="135">
        <v>630</v>
      </c>
      <c r="O1103" s="94"/>
      <c r="P1103" s="14"/>
      <c r="Q1103" s="14"/>
      <c r="R1103" s="14"/>
      <c r="S1103" s="14"/>
      <c r="T1103" s="14"/>
      <c r="U1103" s="14"/>
    </row>
    <row r="1104" spans="2:21" ht="18.75" customHeight="1" x14ac:dyDescent="0.25">
      <c r="B1104" s="15"/>
      <c r="C1104" s="122"/>
      <c r="D1104" s="210"/>
      <c r="E1104" s="210"/>
      <c r="F1104" s="210"/>
      <c r="G1104" s="210"/>
      <c r="H1104" s="210"/>
      <c r="I1104" s="210"/>
      <c r="J1104" s="210"/>
      <c r="K1104" s="210"/>
      <c r="L1104" s="210"/>
      <c r="M1104" s="210"/>
      <c r="N1104" s="115"/>
      <c r="O1104" s="94"/>
      <c r="P1104" s="14"/>
      <c r="Q1104" s="14"/>
      <c r="R1104" s="14"/>
      <c r="S1104" s="14"/>
      <c r="T1104" s="14"/>
      <c r="U1104" s="14"/>
    </row>
    <row r="1105" spans="2:21" ht="18.75" customHeight="1" x14ac:dyDescent="0.25">
      <c r="B1105" s="15"/>
      <c r="C1105" s="2199" t="s">
        <v>1745</v>
      </c>
      <c r="D1105" s="2200"/>
      <c r="E1105" s="2200"/>
      <c r="F1105" s="2200"/>
      <c r="G1105" s="2200"/>
      <c r="H1105" s="2200"/>
      <c r="I1105" s="2200"/>
      <c r="J1105" s="2200"/>
      <c r="K1105" s="2200"/>
      <c r="L1105" s="2200"/>
      <c r="M1105" s="2200"/>
      <c r="N1105" s="2201"/>
      <c r="O1105" s="94"/>
      <c r="P1105" s="14"/>
      <c r="Q1105" s="14"/>
      <c r="R1105" s="14"/>
      <c r="S1105" s="14"/>
      <c r="T1105" s="14"/>
      <c r="U1105" s="14"/>
    </row>
    <row r="1106" spans="2:21" ht="18.75" customHeight="1" x14ac:dyDescent="0.25">
      <c r="B1106" s="15"/>
      <c r="C1106" s="2202" t="s">
        <v>1088</v>
      </c>
      <c r="D1106" s="210">
        <v>68</v>
      </c>
      <c r="E1106" s="104" t="s">
        <v>679</v>
      </c>
      <c r="F1106" s="210">
        <v>80</v>
      </c>
      <c r="G1106" s="210">
        <v>180</v>
      </c>
      <c r="H1106" s="210">
        <v>290</v>
      </c>
      <c r="I1106" s="210">
        <v>340</v>
      </c>
      <c r="J1106" s="210">
        <v>400</v>
      </c>
      <c r="K1106" s="210">
        <v>450</v>
      </c>
      <c r="L1106" s="210">
        <v>525</v>
      </c>
      <c r="M1106" s="210">
        <v>525</v>
      </c>
      <c r="N1106" s="115">
        <v>400</v>
      </c>
      <c r="O1106" s="94"/>
      <c r="P1106" s="14"/>
      <c r="Q1106" s="14"/>
      <c r="R1106" s="14"/>
      <c r="S1106" s="14"/>
      <c r="T1106" s="14"/>
      <c r="U1106" s="14"/>
    </row>
    <row r="1107" spans="2:21" ht="18.75" customHeight="1" x14ac:dyDescent="0.25">
      <c r="B1107" s="15"/>
      <c r="C1107" s="119" t="s">
        <v>568</v>
      </c>
      <c r="D1107" s="120" t="s">
        <v>623</v>
      </c>
      <c r="E1107" s="110" t="s">
        <v>608</v>
      </c>
      <c r="F1107" s="110" t="s">
        <v>957</v>
      </c>
      <c r="G1107" s="110" t="s">
        <v>572</v>
      </c>
      <c r="H1107" s="110" t="s">
        <v>530</v>
      </c>
      <c r="I1107" s="110" t="s">
        <v>573</v>
      </c>
      <c r="J1107" s="110" t="s">
        <v>574</v>
      </c>
      <c r="K1107" s="110" t="s">
        <v>575</v>
      </c>
      <c r="L1107" s="110" t="s">
        <v>576</v>
      </c>
      <c r="M1107" s="110" t="s">
        <v>577</v>
      </c>
      <c r="N1107" s="2203" t="s">
        <v>609</v>
      </c>
      <c r="O1107" s="94"/>
      <c r="P1107" s="14"/>
      <c r="Q1107" s="14"/>
      <c r="R1107" s="14"/>
      <c r="S1107" s="14"/>
      <c r="T1107" s="14"/>
      <c r="U1107" s="14"/>
    </row>
    <row r="1108" spans="2:21" ht="18.75" customHeight="1" x14ac:dyDescent="0.25">
      <c r="B1108" s="15"/>
      <c r="C1108" s="119" t="s">
        <v>582</v>
      </c>
      <c r="D1108" s="120" t="s">
        <v>566</v>
      </c>
      <c r="E1108" s="121">
        <v>100312.44103505144</v>
      </c>
      <c r="F1108" s="129">
        <v>7899.523917483566</v>
      </c>
      <c r="G1108" s="129">
        <v>13577.808143732369</v>
      </c>
      <c r="H1108" s="129">
        <v>17932.167223524371</v>
      </c>
      <c r="I1108" s="129">
        <v>7686.7284931086406</v>
      </c>
      <c r="J1108" s="129">
        <v>7652.9557424347868</v>
      </c>
      <c r="K1108" s="129">
        <v>6731.8358026060168</v>
      </c>
      <c r="L1108" s="129">
        <v>8750.1490705822853</v>
      </c>
      <c r="M1108" s="129">
        <v>30081.272641579402</v>
      </c>
      <c r="N1108" s="130">
        <v>46466.053295773185</v>
      </c>
      <c r="O1108" s="94"/>
      <c r="P1108" s="14"/>
      <c r="Q1108" s="14"/>
      <c r="R1108" s="14"/>
      <c r="S1108" s="14"/>
      <c r="T1108" s="14"/>
      <c r="U1108" s="14"/>
    </row>
    <row r="1109" spans="2:21" ht="18.75" customHeight="1" x14ac:dyDescent="0.25">
      <c r="B1109" s="15"/>
      <c r="C1109" s="119" t="s">
        <v>582</v>
      </c>
      <c r="D1109" s="120" t="s">
        <v>628</v>
      </c>
      <c r="E1109" s="145">
        <v>15949.678124573178</v>
      </c>
      <c r="F1109" s="129">
        <v>1256.024302879887</v>
      </c>
      <c r="G1109" s="129">
        <v>2158.8714948534466</v>
      </c>
      <c r="H1109" s="129">
        <v>2851.2145885403752</v>
      </c>
      <c r="I1109" s="129">
        <v>1222.1898304042738</v>
      </c>
      <c r="J1109" s="129">
        <v>1216.8199630471311</v>
      </c>
      <c r="K1109" s="129">
        <v>1070.3618926143567</v>
      </c>
      <c r="L1109" s="129">
        <v>1391.2737022225833</v>
      </c>
      <c r="M1109" s="129">
        <v>4782.9223500111248</v>
      </c>
      <c r="N1109" s="130">
        <v>7388.1024740279363</v>
      </c>
      <c r="O1109" s="94"/>
      <c r="P1109" s="14"/>
      <c r="Q1109" s="14"/>
      <c r="R1109" s="14"/>
      <c r="S1109" s="14"/>
      <c r="T1109" s="14"/>
      <c r="U1109" s="14"/>
    </row>
    <row r="1110" spans="2:21" ht="18.75" customHeight="1" x14ac:dyDescent="0.25">
      <c r="B1110" s="15"/>
      <c r="C1110" s="119" t="s">
        <v>620</v>
      </c>
      <c r="D1110" s="120" t="s">
        <v>622</v>
      </c>
      <c r="E1110" s="129">
        <v>13531811.545755571</v>
      </c>
      <c r="F1110" s="129">
        <v>811908.69274533424</v>
      </c>
      <c r="G1110" s="129">
        <v>1623817.3854906685</v>
      </c>
      <c r="H1110" s="129">
        <v>2435726.0782360025</v>
      </c>
      <c r="I1110" s="129">
        <v>1082544.9236604457</v>
      </c>
      <c r="J1110" s="129">
        <v>1082544.9236604457</v>
      </c>
      <c r="K1110" s="129">
        <v>947226.8082028901</v>
      </c>
      <c r="L1110" s="129">
        <v>1217863.0391180012</v>
      </c>
      <c r="M1110" s="129">
        <v>4330179.6946417829</v>
      </c>
      <c r="N1110" s="130">
        <v>6495269.5419626739</v>
      </c>
      <c r="O1110" s="94"/>
      <c r="P1110" s="14"/>
      <c r="Q1110" s="14"/>
      <c r="R1110" s="14"/>
      <c r="S1110" s="14"/>
      <c r="T1110" s="14"/>
      <c r="U1110" s="14"/>
    </row>
    <row r="1111" spans="2:21" ht="18.75" customHeight="1" x14ac:dyDescent="0.25">
      <c r="B1111" s="15"/>
      <c r="C1111" s="122" t="s">
        <v>776</v>
      </c>
      <c r="D1111" s="120" t="s">
        <v>579</v>
      </c>
      <c r="E1111" s="125">
        <v>0.61973098403988591</v>
      </c>
      <c r="F1111" s="125">
        <v>0</v>
      </c>
      <c r="G1111" s="125">
        <v>0</v>
      </c>
      <c r="H1111" s="125">
        <v>0.10937752666713851</v>
      </c>
      <c r="I1111" s="125">
        <v>0.28206438753269725</v>
      </c>
      <c r="J1111" s="125">
        <v>0.40979599594498339</v>
      </c>
      <c r="K1111" s="125">
        <v>0.56022896289320301</v>
      </c>
      <c r="L1111" s="125">
        <v>0.72803137944692442</v>
      </c>
      <c r="M1111" s="125">
        <v>1.3748604594026217</v>
      </c>
      <c r="N1111" s="131">
        <v>1.1347795803366385</v>
      </c>
      <c r="O1111" s="94"/>
      <c r="P1111" s="14"/>
      <c r="Q1111" s="14"/>
      <c r="R1111" s="14"/>
      <c r="S1111" s="14"/>
      <c r="T1111" s="14"/>
      <c r="U1111" s="14"/>
    </row>
    <row r="1112" spans="2:21" ht="18.75" customHeight="1" x14ac:dyDescent="0.25">
      <c r="B1112" s="15"/>
      <c r="C1112" s="122" t="s">
        <v>777</v>
      </c>
      <c r="D1112" s="210" t="s">
        <v>778</v>
      </c>
      <c r="E1112" s="125">
        <v>1637.8087751972912</v>
      </c>
      <c r="F1112" s="132">
        <v>0</v>
      </c>
      <c r="G1112" s="132">
        <v>0</v>
      </c>
      <c r="H1112" s="132">
        <v>63.920023990021292</v>
      </c>
      <c r="I1112" s="132">
        <v>371.87911810581465</v>
      </c>
      <c r="J1112" s="132">
        <v>641.57300740766561</v>
      </c>
      <c r="K1112" s="132">
        <v>1005.9871732298303</v>
      </c>
      <c r="L1112" s="132">
        <v>1483.5672224501209</v>
      </c>
      <c r="M1112" s="125">
        <v>4191.5214021606562</v>
      </c>
      <c r="N1112" s="133">
        <v>3219.2229184125185</v>
      </c>
      <c r="O1112" s="94"/>
      <c r="P1112" s="14"/>
      <c r="Q1112" s="14"/>
      <c r="R1112" s="14"/>
      <c r="S1112" s="14"/>
      <c r="T1112" s="14"/>
      <c r="U1112" s="14"/>
    </row>
    <row r="1113" spans="2:21" ht="18.75" customHeight="1" x14ac:dyDescent="0.25">
      <c r="B1113" s="15"/>
      <c r="C1113" s="119" t="s">
        <v>779</v>
      </c>
      <c r="D1113" s="120" t="s">
        <v>970</v>
      </c>
      <c r="E1113" s="132">
        <v>34.6</v>
      </c>
      <c r="F1113" s="125">
        <v>87.185153782336698</v>
      </c>
      <c r="G1113" s="125">
        <v>56.439494389495501</v>
      </c>
      <c r="H1113" s="125">
        <v>33.974054212633234</v>
      </c>
      <c r="I1113" s="125">
        <v>28.095700338168129</v>
      </c>
      <c r="J1113" s="125">
        <v>27.394493602302219</v>
      </c>
      <c r="K1113" s="125">
        <v>28.236846687551292</v>
      </c>
      <c r="L1113" s="125">
        <v>29.988862291524157</v>
      </c>
      <c r="M1113" s="125">
        <v>24.640605805198049</v>
      </c>
      <c r="N1113" s="131">
        <v>29.291905258915108</v>
      </c>
      <c r="O1113" s="94"/>
      <c r="P1113" s="14"/>
      <c r="Q1113" s="14"/>
      <c r="R1113" s="14"/>
      <c r="S1113" s="14"/>
      <c r="T1113" s="14"/>
      <c r="U1113" s="14"/>
    </row>
    <row r="1114" spans="2:21" ht="18.75" customHeight="1" x14ac:dyDescent="0.25">
      <c r="B1114" s="15"/>
      <c r="C1114" s="119" t="s">
        <v>580</v>
      </c>
      <c r="D1114" s="120" t="s">
        <v>581</v>
      </c>
      <c r="E1114" s="125">
        <v>851.05732992173398</v>
      </c>
      <c r="F1114" s="125">
        <v>646.41161073375872</v>
      </c>
      <c r="G1114" s="125">
        <v>752.16027881312141</v>
      </c>
      <c r="H1114" s="125">
        <v>854.27666090994785</v>
      </c>
      <c r="I1114" s="125">
        <v>885.74204819096178</v>
      </c>
      <c r="J1114" s="125">
        <v>889.65085759241083</v>
      </c>
      <c r="K1114" s="125">
        <v>884.95939059385853</v>
      </c>
      <c r="L1114" s="125">
        <v>875.35834047063804</v>
      </c>
      <c r="M1114" s="125">
        <v>905.34183450243791</v>
      </c>
      <c r="N1114" s="131">
        <v>879.1526058004855</v>
      </c>
      <c r="O1114" s="94"/>
      <c r="P1114" s="14"/>
      <c r="Q1114" s="14"/>
      <c r="R1114" s="14"/>
      <c r="S1114" s="14"/>
      <c r="T1114" s="14"/>
      <c r="U1114" s="14"/>
    </row>
    <row r="1115" spans="2:21" ht="18.75" customHeight="1" x14ac:dyDescent="0.25">
      <c r="B1115" s="15"/>
      <c r="C1115" s="119" t="s">
        <v>541</v>
      </c>
      <c r="D1115" s="120" t="s">
        <v>579</v>
      </c>
      <c r="E1115" s="125">
        <v>11.791169888155723</v>
      </c>
      <c r="F1115" s="125">
        <v>15.942493582150805</v>
      </c>
      <c r="G1115" s="125">
        <v>14.348946081462405</v>
      </c>
      <c r="H1115" s="125">
        <v>13.429721427570467</v>
      </c>
      <c r="I1115" s="125">
        <v>13.255106365134289</v>
      </c>
      <c r="J1115" s="125">
        <v>13.193312641751355</v>
      </c>
      <c r="K1115" s="125">
        <v>13.055171477057222</v>
      </c>
      <c r="L1115" s="125">
        <v>12.701040053277044</v>
      </c>
      <c r="M1115" s="125">
        <v>7.8830242429647255</v>
      </c>
      <c r="N1115" s="131">
        <v>9.5406736790367752</v>
      </c>
      <c r="O1115" s="94"/>
      <c r="P1115" s="14"/>
      <c r="Q1115" s="14"/>
      <c r="R1115" s="14"/>
      <c r="S1115" s="14"/>
      <c r="T1115" s="14"/>
      <c r="U1115" s="14"/>
    </row>
    <row r="1116" spans="2:21" ht="18.75" customHeight="1" x14ac:dyDescent="0.25">
      <c r="B1116" s="15"/>
      <c r="C1116" s="119" t="s">
        <v>544</v>
      </c>
      <c r="D1116" s="120" t="s">
        <v>579</v>
      </c>
      <c r="E1116" s="125">
        <v>1.71</v>
      </c>
      <c r="F1116" s="128"/>
      <c r="G1116" s="128"/>
      <c r="H1116" s="128"/>
      <c r="I1116" s="128"/>
      <c r="J1116" s="128"/>
      <c r="K1116" s="128"/>
      <c r="L1116" s="128"/>
      <c r="M1116" s="125">
        <v>5.3384062499999994</v>
      </c>
      <c r="N1116" s="131">
        <v>3.5625</v>
      </c>
      <c r="O1116" s="94"/>
      <c r="P1116" s="14"/>
      <c r="Q1116" s="14"/>
      <c r="R1116" s="14"/>
      <c r="S1116" s="14"/>
      <c r="T1116" s="14"/>
      <c r="U1116" s="14"/>
    </row>
    <row r="1117" spans="2:21" ht="18.75" customHeight="1" x14ac:dyDescent="0.25">
      <c r="B1117" s="15"/>
      <c r="C1117" s="119" t="s">
        <v>780</v>
      </c>
      <c r="D1117" s="120" t="s">
        <v>783</v>
      </c>
      <c r="E1117" s="125">
        <v>12.196490843606199</v>
      </c>
      <c r="F1117" s="125">
        <v>12.766479952910201</v>
      </c>
      <c r="G1117" s="125">
        <v>11.885971630321693</v>
      </c>
      <c r="H1117" s="125">
        <v>11.388829215865401</v>
      </c>
      <c r="I1117" s="125">
        <v>11.527729052588207</v>
      </c>
      <c r="J1117" s="125">
        <v>11.790910253303942</v>
      </c>
      <c r="K1117" s="125">
        <v>12.182107181112318</v>
      </c>
      <c r="L1117" s="125">
        <v>12.74182267475722</v>
      </c>
      <c r="M1117" s="125">
        <v>13.301792971332084</v>
      </c>
      <c r="N1117" s="131">
        <v>13.361397115107284</v>
      </c>
      <c r="O1117" s="94"/>
      <c r="P1117" s="14"/>
      <c r="Q1117" s="14"/>
      <c r="R1117" s="14"/>
      <c r="S1117" s="14"/>
      <c r="T1117" s="14"/>
      <c r="U1117" s="14"/>
    </row>
    <row r="1118" spans="2:21" ht="18.75" customHeight="1" x14ac:dyDescent="0.25">
      <c r="B1118" s="15"/>
      <c r="C1118" s="122" t="s">
        <v>781</v>
      </c>
      <c r="D1118" s="120" t="s">
        <v>782</v>
      </c>
      <c r="E1118" s="125">
        <v>350</v>
      </c>
      <c r="F1118" s="134">
        <v>40</v>
      </c>
      <c r="G1118" s="134">
        <v>125</v>
      </c>
      <c r="H1118" s="134">
        <v>240</v>
      </c>
      <c r="I1118" s="134">
        <v>320</v>
      </c>
      <c r="J1118" s="134">
        <v>370</v>
      </c>
      <c r="K1118" s="134">
        <v>425</v>
      </c>
      <c r="L1118" s="134">
        <v>500</v>
      </c>
      <c r="M1118" s="134">
        <v>700</v>
      </c>
      <c r="N1118" s="135">
        <v>630</v>
      </c>
      <c r="O1118" s="94"/>
      <c r="P1118" s="14"/>
      <c r="Q1118" s="14"/>
      <c r="R1118" s="14"/>
      <c r="S1118" s="14"/>
      <c r="T1118" s="14"/>
      <c r="U1118" s="14"/>
    </row>
    <row r="1119" spans="2:21" ht="18.75" customHeight="1" x14ac:dyDescent="0.25">
      <c r="B1119" s="15"/>
      <c r="C1119" s="122"/>
      <c r="D1119" s="210"/>
      <c r="E1119" s="210"/>
      <c r="F1119" s="210"/>
      <c r="G1119" s="210"/>
      <c r="H1119" s="210"/>
      <c r="I1119" s="210"/>
      <c r="J1119" s="210"/>
      <c r="K1119" s="210"/>
      <c r="L1119" s="210"/>
      <c r="M1119" s="210"/>
      <c r="N1119" s="115"/>
      <c r="O1119" s="94"/>
      <c r="P1119" s="14"/>
      <c r="Q1119" s="14"/>
      <c r="R1119" s="14"/>
      <c r="S1119" s="14"/>
      <c r="T1119" s="14"/>
      <c r="U1119" s="14"/>
    </row>
    <row r="1120" spans="2:21" ht="18.75" customHeight="1" x14ac:dyDescent="0.25">
      <c r="B1120" s="15"/>
      <c r="C1120" s="2199" t="s">
        <v>1290</v>
      </c>
      <c r="D1120" s="2200"/>
      <c r="E1120" s="2200"/>
      <c r="F1120" s="2200"/>
      <c r="G1120" s="2200"/>
      <c r="H1120" s="2200"/>
      <c r="I1120" s="2200"/>
      <c r="J1120" s="2200"/>
      <c r="K1120" s="2200"/>
      <c r="L1120" s="2200"/>
      <c r="M1120" s="2200"/>
      <c r="N1120" s="2201"/>
      <c r="O1120" s="94"/>
      <c r="P1120" s="14"/>
      <c r="Q1120" s="14"/>
      <c r="R1120" s="14"/>
      <c r="S1120" s="14"/>
      <c r="T1120" s="14"/>
      <c r="U1120" s="14"/>
    </row>
    <row r="1121" spans="2:21" ht="18.75" customHeight="1" x14ac:dyDescent="0.25">
      <c r="B1121" s="15"/>
      <c r="C1121" s="2202" t="s">
        <v>1088</v>
      </c>
      <c r="D1121" s="210">
        <v>45</v>
      </c>
      <c r="E1121" s="104" t="s">
        <v>679</v>
      </c>
      <c r="F1121" s="210">
        <v>80</v>
      </c>
      <c r="G1121" s="210">
        <v>180</v>
      </c>
      <c r="H1121" s="210">
        <v>290</v>
      </c>
      <c r="I1121" s="210">
        <v>340</v>
      </c>
      <c r="J1121" s="210">
        <v>400</v>
      </c>
      <c r="K1121" s="210">
        <v>450</v>
      </c>
      <c r="L1121" s="210">
        <v>525</v>
      </c>
      <c r="M1121" s="210">
        <v>525</v>
      </c>
      <c r="N1121" s="115">
        <v>400</v>
      </c>
      <c r="O1121" s="94"/>
      <c r="P1121" s="14"/>
      <c r="Q1121" s="14"/>
      <c r="R1121" s="14"/>
      <c r="S1121" s="14"/>
      <c r="T1121" s="14"/>
      <c r="U1121" s="14"/>
    </row>
    <row r="1122" spans="2:21" ht="18.75" customHeight="1" x14ac:dyDescent="0.25">
      <c r="B1122" s="15"/>
      <c r="C1122" s="119" t="s">
        <v>568</v>
      </c>
      <c r="D1122" s="120" t="s">
        <v>623</v>
      </c>
      <c r="E1122" s="110" t="s">
        <v>608</v>
      </c>
      <c r="F1122" s="110" t="s">
        <v>957</v>
      </c>
      <c r="G1122" s="110" t="s">
        <v>572</v>
      </c>
      <c r="H1122" s="110" t="s">
        <v>530</v>
      </c>
      <c r="I1122" s="110" t="s">
        <v>573</v>
      </c>
      <c r="J1122" s="110" t="s">
        <v>574</v>
      </c>
      <c r="K1122" s="110" t="s">
        <v>575</v>
      </c>
      <c r="L1122" s="110" t="s">
        <v>576</v>
      </c>
      <c r="M1122" s="110" t="s">
        <v>577</v>
      </c>
      <c r="N1122" s="2203" t="s">
        <v>609</v>
      </c>
      <c r="O1122" s="94"/>
      <c r="P1122" s="14"/>
      <c r="Q1122" s="14"/>
      <c r="R1122" s="14"/>
      <c r="S1122" s="14"/>
      <c r="T1122" s="14"/>
      <c r="U1122" s="14"/>
    </row>
    <row r="1123" spans="2:21" ht="18.75" customHeight="1" x14ac:dyDescent="0.25">
      <c r="B1123" s="15"/>
      <c r="C1123" s="119" t="s">
        <v>582</v>
      </c>
      <c r="D1123" s="120" t="s">
        <v>566</v>
      </c>
      <c r="E1123" s="121">
        <v>104358.17803046171</v>
      </c>
      <c r="F1123" s="129">
        <v>20013.384838249603</v>
      </c>
      <c r="G1123" s="129">
        <v>15918.688178084229</v>
      </c>
      <c r="H1123" s="129">
        <v>29700.05653433215</v>
      </c>
      <c r="I1123" s="129">
        <v>15327.930743356774</v>
      </c>
      <c r="J1123" s="129">
        <v>3812.5852644480219</v>
      </c>
      <c r="K1123" s="129">
        <v>955.67900693041531</v>
      </c>
      <c r="L1123" s="129">
        <v>1919.5184635196119</v>
      </c>
      <c r="M1123" s="129">
        <v>16710.335001540927</v>
      </c>
      <c r="N1123" s="130">
        <v>19806.229550356169</v>
      </c>
      <c r="O1123" s="94"/>
      <c r="P1123" s="14"/>
      <c r="Q1123" s="14"/>
      <c r="R1123" s="14"/>
      <c r="S1123" s="14"/>
      <c r="T1123" s="14"/>
      <c r="U1123" s="14"/>
    </row>
    <row r="1124" spans="2:21" ht="18.75" customHeight="1" x14ac:dyDescent="0.25">
      <c r="B1124" s="15"/>
      <c r="C1124" s="119" t="s">
        <v>582</v>
      </c>
      <c r="D1124" s="120" t="s">
        <v>628</v>
      </c>
      <c r="E1124" s="145">
        <v>16592.950306843413</v>
      </c>
      <c r="F1124" s="129">
        <v>3182.1281892816869</v>
      </c>
      <c r="G1124" s="129">
        <v>2531.0714203153925</v>
      </c>
      <c r="H1124" s="129">
        <v>4722.3089889588118</v>
      </c>
      <c r="I1124" s="129">
        <v>2437.140988193727</v>
      </c>
      <c r="J1124" s="129">
        <v>606.20105704723551</v>
      </c>
      <c r="K1124" s="129">
        <v>151.95296210193604</v>
      </c>
      <c r="L1124" s="129">
        <v>305.2034356996183</v>
      </c>
      <c r="M1124" s="129">
        <v>2656.9432652450073</v>
      </c>
      <c r="N1124" s="130">
        <v>3149.1904985066308</v>
      </c>
      <c r="O1124" s="94"/>
      <c r="P1124" s="14"/>
      <c r="Q1124" s="14"/>
      <c r="R1124" s="14"/>
      <c r="S1124" s="14"/>
      <c r="T1124" s="14"/>
      <c r="U1124" s="14"/>
    </row>
    <row r="1125" spans="2:21" ht="18.75" customHeight="1" x14ac:dyDescent="0.25">
      <c r="B1125" s="15"/>
      <c r="C1125" s="119" t="s">
        <v>620</v>
      </c>
      <c r="D1125" s="120" t="s">
        <v>622</v>
      </c>
      <c r="E1125" s="129">
        <v>13865724.230413327</v>
      </c>
      <c r="F1125" s="129">
        <v>2079858.634561999</v>
      </c>
      <c r="G1125" s="129">
        <v>1941201.392257866</v>
      </c>
      <c r="H1125" s="129">
        <v>4159717.269123998</v>
      </c>
      <c r="I1125" s="129">
        <v>2218515.8768661325</v>
      </c>
      <c r="J1125" s="129">
        <v>554628.96921653312</v>
      </c>
      <c r="K1125" s="129">
        <v>138657.24230413328</v>
      </c>
      <c r="L1125" s="129">
        <v>277314.48460826656</v>
      </c>
      <c r="M1125" s="129">
        <v>2495830.361474399</v>
      </c>
      <c r="N1125" s="130">
        <v>2911802.0883867987</v>
      </c>
      <c r="O1125" s="94"/>
      <c r="P1125" s="14"/>
      <c r="Q1125" s="14"/>
      <c r="R1125" s="14"/>
      <c r="S1125" s="14"/>
      <c r="T1125" s="14"/>
      <c r="U1125" s="14"/>
    </row>
    <row r="1126" spans="2:21" ht="18.75" customHeight="1" x14ac:dyDescent="0.25">
      <c r="B1126" s="15"/>
      <c r="C1126" s="122" t="s">
        <v>776</v>
      </c>
      <c r="D1126" s="120" t="s">
        <v>579</v>
      </c>
      <c r="E1126" s="125">
        <v>0.18495173011556273</v>
      </c>
      <c r="F1126" s="125">
        <v>0</v>
      </c>
      <c r="G1126" s="125">
        <v>0</v>
      </c>
      <c r="H1126" s="125">
        <v>0.10431384586791184</v>
      </c>
      <c r="I1126" s="125">
        <v>0.18314644384792669</v>
      </c>
      <c r="J1126" s="125">
        <v>0.25352989268269155</v>
      </c>
      <c r="K1126" s="125">
        <v>0.30760303805571509</v>
      </c>
      <c r="L1126" s="125">
        <v>0.36287816056256483</v>
      </c>
      <c r="M1126" s="125">
        <v>0.57710753355780464</v>
      </c>
      <c r="N1126" s="131">
        <v>0.54387118872482509</v>
      </c>
      <c r="O1126" s="94"/>
      <c r="P1126" s="14"/>
      <c r="Q1126" s="14"/>
      <c r="R1126" s="14"/>
      <c r="S1126" s="14"/>
      <c r="T1126" s="14"/>
      <c r="U1126" s="14"/>
    </row>
    <row r="1127" spans="2:21" ht="18.75" customHeight="1" x14ac:dyDescent="0.25">
      <c r="B1127" s="15"/>
      <c r="C1127" s="122" t="s">
        <v>777</v>
      </c>
      <c r="D1127" s="210" t="s">
        <v>778</v>
      </c>
      <c r="E1127" s="125">
        <v>1391.4055394640754</v>
      </c>
      <c r="F1127" s="132">
        <v>0</v>
      </c>
      <c r="G1127" s="132">
        <v>0</v>
      </c>
      <c r="H1127" s="132">
        <v>22.913227561181458</v>
      </c>
      <c r="I1127" s="132">
        <v>353.49687285345726</v>
      </c>
      <c r="J1127" s="132">
        <v>865.00169744070558</v>
      </c>
      <c r="K1127" s="132">
        <v>1413.2845213503172</v>
      </c>
      <c r="L1127" s="132">
        <v>2135.5916203214801</v>
      </c>
      <c r="M1127" s="125">
        <v>6869.5962556755931</v>
      </c>
      <c r="N1127" s="133">
        <v>6158.9143030549503</v>
      </c>
      <c r="O1127" s="94"/>
      <c r="P1127" s="14"/>
      <c r="Q1127" s="14"/>
      <c r="R1127" s="14"/>
      <c r="S1127" s="14"/>
      <c r="T1127" s="14"/>
      <c r="U1127" s="14"/>
    </row>
    <row r="1128" spans="2:21" ht="18.75" customHeight="1" x14ac:dyDescent="0.25">
      <c r="B1128" s="15"/>
      <c r="C1128" s="119" t="s">
        <v>779</v>
      </c>
      <c r="D1128" s="120" t="s">
        <v>970</v>
      </c>
      <c r="E1128" s="132">
        <v>30.6</v>
      </c>
      <c r="F1128" s="125">
        <v>84.777978818683977</v>
      </c>
      <c r="G1128" s="125">
        <v>52.815668119103748</v>
      </c>
      <c r="H1128" s="125">
        <v>28.979305473841336</v>
      </c>
      <c r="I1128" s="125">
        <v>23.791098343633294</v>
      </c>
      <c r="J1128" s="125">
        <v>23.005017841756072</v>
      </c>
      <c r="K1128" s="125">
        <v>23.415567023420309</v>
      </c>
      <c r="L1128" s="125">
        <v>24.076971468264517</v>
      </c>
      <c r="M1128" s="125">
        <v>18.985850208321338</v>
      </c>
      <c r="N1128" s="131">
        <v>21.385229052987384</v>
      </c>
      <c r="O1128" s="94"/>
      <c r="P1128" s="14"/>
      <c r="Q1128" s="14"/>
      <c r="R1128" s="14"/>
      <c r="S1128" s="14"/>
      <c r="T1128" s="14"/>
      <c r="U1128" s="14"/>
    </row>
    <row r="1129" spans="2:21" ht="18.75" customHeight="1" x14ac:dyDescent="0.25">
      <c r="B1129" s="15"/>
      <c r="C1129" s="119" t="s">
        <v>580</v>
      </c>
      <c r="D1129" s="120" t="s">
        <v>581</v>
      </c>
      <c r="E1129" s="125">
        <v>872.05812769895135</v>
      </c>
      <c r="F1129" s="125">
        <v>653.60617512756232</v>
      </c>
      <c r="G1129" s="125">
        <v>766.94848540306157</v>
      </c>
      <c r="H1129" s="125">
        <v>880.8651189174185</v>
      </c>
      <c r="I1129" s="125">
        <v>910.29443418058997</v>
      </c>
      <c r="J1129" s="125">
        <v>914.92577053245907</v>
      </c>
      <c r="K1129" s="125">
        <v>912.50108182239012</v>
      </c>
      <c r="L1129" s="125">
        <v>908.62176558588919</v>
      </c>
      <c r="M1129" s="125">
        <v>939.36155661353519</v>
      </c>
      <c r="N1129" s="131">
        <v>924.61922826440525</v>
      </c>
      <c r="O1129" s="94"/>
      <c r="P1129" s="14"/>
      <c r="Q1129" s="14"/>
      <c r="R1129" s="14"/>
      <c r="S1129" s="14"/>
      <c r="T1129" s="14"/>
      <c r="U1129" s="14"/>
    </row>
    <row r="1130" spans="2:21" ht="18.75" customHeight="1" x14ac:dyDescent="0.25">
      <c r="B1130" s="15"/>
      <c r="C1130" s="119" t="s">
        <v>541</v>
      </c>
      <c r="D1130" s="120" t="s">
        <v>579</v>
      </c>
      <c r="E1130" s="125">
        <v>12.289208140160852</v>
      </c>
      <c r="F1130" s="125">
        <v>15.691002385134526</v>
      </c>
      <c r="G1130" s="125">
        <v>13.895270870227577</v>
      </c>
      <c r="H1130" s="125">
        <v>13.012334235315322</v>
      </c>
      <c r="I1130" s="125">
        <v>12.885580478125979</v>
      </c>
      <c r="J1130" s="125">
        <v>12.697099128539728</v>
      </c>
      <c r="K1130" s="125">
        <v>12.384256990845486</v>
      </c>
      <c r="L1130" s="125">
        <v>11.836152619752156</v>
      </c>
      <c r="M1130" s="125">
        <v>6.4243173667720459</v>
      </c>
      <c r="N1130" s="131">
        <v>7.2235368967736484</v>
      </c>
      <c r="O1130" s="94"/>
      <c r="P1130" s="14"/>
      <c r="Q1130" s="14"/>
      <c r="R1130" s="14"/>
      <c r="S1130" s="14"/>
      <c r="T1130" s="14"/>
      <c r="U1130" s="14"/>
    </row>
    <row r="1131" spans="2:21" ht="18.75" customHeight="1" x14ac:dyDescent="0.25">
      <c r="B1131" s="15"/>
      <c r="C1131" s="119" t="s">
        <v>544</v>
      </c>
      <c r="D1131" s="120" t="s">
        <v>579</v>
      </c>
      <c r="E1131" s="125">
        <v>1.19</v>
      </c>
      <c r="F1131" s="128"/>
      <c r="G1131" s="128"/>
      <c r="H1131" s="128"/>
      <c r="I1131" s="128"/>
      <c r="J1131" s="128"/>
      <c r="K1131" s="128"/>
      <c r="L1131" s="128"/>
      <c r="M1131" s="125">
        <v>6.6044999999999998</v>
      </c>
      <c r="N1131" s="131">
        <v>5.666666666666667</v>
      </c>
      <c r="O1131" s="94"/>
      <c r="P1131" s="14"/>
      <c r="Q1131" s="14"/>
      <c r="R1131" s="14"/>
      <c r="S1131" s="14"/>
      <c r="T1131" s="14"/>
      <c r="U1131" s="14"/>
    </row>
    <row r="1132" spans="2:21" ht="18.75" customHeight="1" x14ac:dyDescent="0.25">
      <c r="B1132" s="15"/>
      <c r="C1132" s="119" t="s">
        <v>780</v>
      </c>
      <c r="D1132" s="120" t="s">
        <v>783</v>
      </c>
      <c r="E1132" s="125">
        <v>11.228614016994159</v>
      </c>
      <c r="F1132" s="125">
        <v>12.625953033797956</v>
      </c>
      <c r="G1132" s="125">
        <v>11.656787783770394</v>
      </c>
      <c r="H1132" s="125">
        <v>11.009072740992314</v>
      </c>
      <c r="I1132" s="125">
        <v>11.121442824608682</v>
      </c>
      <c r="J1132" s="125">
        <v>11.405452516005765</v>
      </c>
      <c r="K1132" s="125">
        <v>11.671680916292612</v>
      </c>
      <c r="L1132" s="125">
        <v>11.949232289086869</v>
      </c>
      <c r="M1132" s="125">
        <v>12.364968497221041</v>
      </c>
      <c r="N1132" s="131">
        <v>12.441062701836168</v>
      </c>
      <c r="O1132" s="94"/>
      <c r="P1132" s="14"/>
      <c r="Q1132" s="14"/>
      <c r="R1132" s="14"/>
      <c r="S1132" s="14"/>
      <c r="T1132" s="14"/>
      <c r="U1132" s="14"/>
    </row>
    <row r="1133" spans="2:21" ht="18.75" customHeight="1" x14ac:dyDescent="0.25">
      <c r="B1133" s="15"/>
      <c r="C1133" s="122" t="s">
        <v>781</v>
      </c>
      <c r="D1133" s="120" t="s">
        <v>782</v>
      </c>
      <c r="E1133" s="125">
        <v>250</v>
      </c>
      <c r="F1133" s="134">
        <v>40</v>
      </c>
      <c r="G1133" s="134">
        <v>125</v>
      </c>
      <c r="H1133" s="134">
        <v>235</v>
      </c>
      <c r="I1133" s="134">
        <v>305</v>
      </c>
      <c r="J1133" s="134">
        <v>360</v>
      </c>
      <c r="K1133" s="134">
        <v>400</v>
      </c>
      <c r="L1133" s="134">
        <v>440</v>
      </c>
      <c r="M1133" s="134">
        <v>600</v>
      </c>
      <c r="N1133" s="135">
        <v>575</v>
      </c>
      <c r="O1133" s="94"/>
      <c r="P1133" s="14"/>
      <c r="Q1133" s="14"/>
      <c r="R1133" s="14"/>
      <c r="S1133" s="14"/>
      <c r="T1133" s="14"/>
      <c r="U1133" s="14"/>
    </row>
    <row r="1134" spans="2:21" ht="18.75" customHeight="1" x14ac:dyDescent="0.25">
      <c r="B1134" s="15"/>
      <c r="C1134" s="122"/>
      <c r="D1134" s="210"/>
      <c r="E1134" s="210"/>
      <c r="F1134" s="210"/>
      <c r="G1134" s="210"/>
      <c r="H1134" s="210"/>
      <c r="I1134" s="210"/>
      <c r="J1134" s="210"/>
      <c r="K1134" s="210"/>
      <c r="L1134" s="210"/>
      <c r="M1134" s="210"/>
      <c r="N1134" s="115"/>
      <c r="O1134" s="94"/>
      <c r="P1134" s="14"/>
      <c r="Q1134" s="14"/>
      <c r="R1134" s="14"/>
      <c r="S1134" s="14"/>
      <c r="T1134" s="14"/>
      <c r="U1134" s="14"/>
    </row>
    <row r="1135" spans="2:21" ht="18.75" customHeight="1" x14ac:dyDescent="0.25">
      <c r="B1135" s="15"/>
      <c r="C1135" s="2199" t="s">
        <v>2077</v>
      </c>
      <c r="D1135" s="2200"/>
      <c r="E1135" s="2200"/>
      <c r="F1135" s="2200"/>
      <c r="G1135" s="2200"/>
      <c r="H1135" s="2200"/>
      <c r="I1135" s="2200"/>
      <c r="J1135" s="2200"/>
      <c r="K1135" s="2200"/>
      <c r="L1135" s="2200"/>
      <c r="M1135" s="2200"/>
      <c r="N1135" s="2201"/>
      <c r="O1135" s="94"/>
      <c r="P1135" s="14"/>
      <c r="Q1135" s="14"/>
      <c r="R1135" s="14"/>
      <c r="S1135" s="14"/>
      <c r="T1135" s="14"/>
      <c r="U1135" s="14"/>
    </row>
    <row r="1136" spans="2:21" ht="18.75" customHeight="1" x14ac:dyDescent="0.25">
      <c r="B1136" s="15"/>
      <c r="C1136" s="2202" t="s">
        <v>1088</v>
      </c>
      <c r="D1136" s="210">
        <v>46</v>
      </c>
      <c r="E1136" s="104" t="s">
        <v>679</v>
      </c>
      <c r="F1136" s="210">
        <v>80</v>
      </c>
      <c r="G1136" s="210">
        <v>180</v>
      </c>
      <c r="H1136" s="210">
        <v>290</v>
      </c>
      <c r="I1136" s="210">
        <v>340</v>
      </c>
      <c r="J1136" s="210">
        <v>400</v>
      </c>
      <c r="K1136" s="210">
        <v>450</v>
      </c>
      <c r="L1136" s="210">
        <v>525</v>
      </c>
      <c r="M1136" s="210">
        <v>525</v>
      </c>
      <c r="N1136" s="115">
        <v>400</v>
      </c>
      <c r="O1136" s="94"/>
      <c r="P1136" s="14"/>
      <c r="Q1136" s="14"/>
      <c r="R1136" s="14"/>
      <c r="S1136" s="14"/>
      <c r="T1136" s="14"/>
      <c r="U1136" s="14"/>
    </row>
    <row r="1137" spans="2:21" ht="18.75" customHeight="1" x14ac:dyDescent="0.25">
      <c r="B1137" s="15"/>
      <c r="C1137" s="119" t="s">
        <v>568</v>
      </c>
      <c r="D1137" s="120" t="s">
        <v>623</v>
      </c>
      <c r="E1137" s="110" t="s">
        <v>608</v>
      </c>
      <c r="F1137" s="110" t="s">
        <v>957</v>
      </c>
      <c r="G1137" s="110" t="s">
        <v>572</v>
      </c>
      <c r="H1137" s="110" t="s">
        <v>530</v>
      </c>
      <c r="I1137" s="110" t="s">
        <v>573</v>
      </c>
      <c r="J1137" s="110" t="s">
        <v>574</v>
      </c>
      <c r="K1137" s="110" t="s">
        <v>575</v>
      </c>
      <c r="L1137" s="110" t="s">
        <v>576</v>
      </c>
      <c r="M1137" s="110" t="s">
        <v>577</v>
      </c>
      <c r="N1137" s="2203" t="s">
        <v>609</v>
      </c>
      <c r="O1137" s="94"/>
      <c r="P1137" s="14"/>
      <c r="Q1137" s="14"/>
      <c r="R1137" s="14"/>
      <c r="S1137" s="14"/>
      <c r="T1137" s="14"/>
      <c r="U1137" s="14"/>
    </row>
    <row r="1138" spans="2:21" ht="18.75" customHeight="1" x14ac:dyDescent="0.25">
      <c r="B1138" s="15"/>
      <c r="C1138" s="119" t="s">
        <v>582</v>
      </c>
      <c r="D1138" s="120" t="s">
        <v>566</v>
      </c>
      <c r="E1138" s="121">
        <v>101831.9219540254</v>
      </c>
      <c r="F1138" s="129">
        <v>18395.260399842427</v>
      </c>
      <c r="G1138" s="129">
        <v>15666.244999812265</v>
      </c>
      <c r="H1138" s="129">
        <v>23129.91462119079</v>
      </c>
      <c r="I1138" s="129">
        <v>8581.4005985107451</v>
      </c>
      <c r="J1138" s="129">
        <v>6621.9061696473827</v>
      </c>
      <c r="K1138" s="129">
        <v>3791.0661267607288</v>
      </c>
      <c r="L1138" s="129">
        <v>8318.3982715549446</v>
      </c>
      <c r="M1138" s="129">
        <v>17327.7307667061</v>
      </c>
      <c r="N1138" s="130">
        <v>29876.29439806232</v>
      </c>
      <c r="O1138" s="94"/>
      <c r="P1138" s="14"/>
      <c r="Q1138" s="14"/>
      <c r="R1138" s="14"/>
      <c r="S1138" s="14"/>
      <c r="T1138" s="14"/>
      <c r="U1138" s="14"/>
    </row>
    <row r="1139" spans="2:21" ht="18.75" customHeight="1" x14ac:dyDescent="0.25">
      <c r="B1139" s="15"/>
      <c r="C1139" s="119" t="s">
        <v>582</v>
      </c>
      <c r="D1139" s="120" t="s">
        <v>628</v>
      </c>
      <c r="E1139" s="145">
        <v>16191.275590690038</v>
      </c>
      <c r="F1139" s="129">
        <v>2924.8464035749457</v>
      </c>
      <c r="G1139" s="129">
        <v>2490.9329549701501</v>
      </c>
      <c r="H1139" s="129">
        <v>3677.6564247693359</v>
      </c>
      <c r="I1139" s="129">
        <v>1364.4426951632086</v>
      </c>
      <c r="J1139" s="129">
        <v>1052.8830809739338</v>
      </c>
      <c r="K1139" s="129">
        <v>602.7795141549559</v>
      </c>
      <c r="L1139" s="129">
        <v>1322.6253251772362</v>
      </c>
      <c r="M1139" s="129">
        <v>2755.1091919062696</v>
      </c>
      <c r="N1139" s="130">
        <v>4750.3308092919087</v>
      </c>
      <c r="O1139" s="94"/>
      <c r="P1139" s="14"/>
      <c r="Q1139" s="14"/>
      <c r="R1139" s="14"/>
      <c r="S1139" s="14"/>
      <c r="T1139" s="14"/>
      <c r="U1139" s="14"/>
    </row>
    <row r="1140" spans="2:21" ht="18.75" customHeight="1" x14ac:dyDescent="0.25">
      <c r="B1140" s="15"/>
      <c r="C1140" s="119" t="s">
        <v>620</v>
      </c>
      <c r="D1140" s="120" t="s">
        <v>622</v>
      </c>
      <c r="E1140" s="129">
        <v>13515537.569152134</v>
      </c>
      <c r="F1140" s="129">
        <v>1892175.2596812989</v>
      </c>
      <c r="G1140" s="129">
        <v>1892175.2596812989</v>
      </c>
      <c r="H1140" s="129">
        <v>3243729.0165965119</v>
      </c>
      <c r="I1140" s="129">
        <v>1216398.3812236919</v>
      </c>
      <c r="J1140" s="129">
        <v>946087.62984064943</v>
      </c>
      <c r="K1140" s="129">
        <v>540621.50276608532</v>
      </c>
      <c r="L1140" s="129">
        <v>1216398.3812236919</v>
      </c>
      <c r="M1140" s="129">
        <v>2567952.1381389056</v>
      </c>
      <c r="N1140" s="130">
        <v>4324972.0221286826</v>
      </c>
      <c r="O1140" s="94"/>
      <c r="P1140" s="14"/>
      <c r="Q1140" s="14"/>
      <c r="R1140" s="14"/>
      <c r="S1140" s="14"/>
      <c r="T1140" s="14"/>
      <c r="U1140" s="14"/>
    </row>
    <row r="1141" spans="2:21" ht="18.75" customHeight="1" x14ac:dyDescent="0.25">
      <c r="B1141" s="15"/>
      <c r="C1141" s="122" t="s">
        <v>776</v>
      </c>
      <c r="D1141" s="120" t="s">
        <v>579</v>
      </c>
      <c r="E1141" s="125">
        <v>0.17827535219439056</v>
      </c>
      <c r="F1141" s="125">
        <v>0</v>
      </c>
      <c r="G1141" s="125">
        <v>0</v>
      </c>
      <c r="H1141" s="125">
        <v>9.8621133081522705E-2</v>
      </c>
      <c r="I1141" s="125">
        <v>0.12510679703455996</v>
      </c>
      <c r="J1141" s="125">
        <v>0.18387807295890979</v>
      </c>
      <c r="K1141" s="125">
        <v>0.24838456516299121</v>
      </c>
      <c r="L1141" s="125">
        <v>0.43020667713855931</v>
      </c>
      <c r="M1141" s="125">
        <v>0.43063799929263707</v>
      </c>
      <c r="N1141" s="131">
        <v>0.40773501067059703</v>
      </c>
      <c r="O1141" s="94"/>
      <c r="P1141" s="14"/>
      <c r="Q1141" s="14"/>
      <c r="R1141" s="14"/>
      <c r="S1141" s="14"/>
      <c r="T1141" s="14"/>
      <c r="U1141" s="14"/>
    </row>
    <row r="1142" spans="2:21" ht="18.75" customHeight="1" x14ac:dyDescent="0.25">
      <c r="B1142" s="15"/>
      <c r="C1142" s="122" t="s">
        <v>777</v>
      </c>
      <c r="D1142" s="210" t="s">
        <v>778</v>
      </c>
      <c r="E1142" s="125">
        <v>1393.149071348113</v>
      </c>
      <c r="F1142" s="132">
        <v>0</v>
      </c>
      <c r="G1142" s="132">
        <v>0</v>
      </c>
      <c r="H1142" s="132">
        <v>138.2562602560925</v>
      </c>
      <c r="I1142" s="132">
        <v>268.60509364397598</v>
      </c>
      <c r="J1142" s="132">
        <v>675.26055123931985</v>
      </c>
      <c r="K1142" s="132">
        <v>1318.8055328913481</v>
      </c>
      <c r="L1142" s="132">
        <v>4578.8883120791279</v>
      </c>
      <c r="M1142" s="125">
        <v>4335.1194866798178</v>
      </c>
      <c r="N1142" s="133">
        <v>4026.6402245998152</v>
      </c>
      <c r="O1142" s="94"/>
      <c r="P1142" s="14"/>
      <c r="Q1142" s="14"/>
      <c r="R1142" s="14"/>
      <c r="S1142" s="14"/>
      <c r="T1142" s="14"/>
      <c r="U1142" s="14"/>
    </row>
    <row r="1143" spans="2:21" ht="18.75" customHeight="1" x14ac:dyDescent="0.25">
      <c r="B1143" s="15"/>
      <c r="C1143" s="119" t="s">
        <v>779</v>
      </c>
      <c r="D1143" s="120" t="s">
        <v>970</v>
      </c>
      <c r="E1143" s="132">
        <v>34.799999999999997</v>
      </c>
      <c r="F1143" s="125">
        <v>87.009414606699679</v>
      </c>
      <c r="G1143" s="125">
        <v>54.592610247769954</v>
      </c>
      <c r="H1143" s="125">
        <v>28.771033396001201</v>
      </c>
      <c r="I1143" s="125">
        <v>27.065213281370802</v>
      </c>
      <c r="J1143" s="125">
        <v>25.81757085890851</v>
      </c>
      <c r="K1143" s="125">
        <v>26.113574220077311</v>
      </c>
      <c r="L1143" s="125">
        <v>22.20551472884307</v>
      </c>
      <c r="M1143" s="125">
        <v>20.163243500169699</v>
      </c>
      <c r="N1143" s="131">
        <v>23.763367449930115</v>
      </c>
      <c r="O1143" s="94"/>
      <c r="P1143" s="14"/>
      <c r="Q1143" s="14"/>
      <c r="R1143" s="14"/>
      <c r="S1143" s="14"/>
      <c r="T1143" s="14"/>
      <c r="U1143" s="14"/>
    </row>
    <row r="1144" spans="2:21" ht="18.75" customHeight="1" x14ac:dyDescent="0.25">
      <c r="B1144" s="15"/>
      <c r="C1144" s="119" t="s">
        <v>580</v>
      </c>
      <c r="D1144" s="120" t="s">
        <v>581</v>
      </c>
      <c r="E1144" s="125">
        <v>850.03380938063731</v>
      </c>
      <c r="F1144" s="125">
        <v>646.931496084223</v>
      </c>
      <c r="G1144" s="125">
        <v>759.62512596167949</v>
      </c>
      <c r="H1144" s="125">
        <v>882.00980242464061</v>
      </c>
      <c r="I1144" s="125">
        <v>891.49832787824903</v>
      </c>
      <c r="J1144" s="125">
        <v>898.56855612638697</v>
      </c>
      <c r="K1144" s="125">
        <v>896.8810154804105</v>
      </c>
      <c r="L1144" s="125">
        <v>919.68478001182268</v>
      </c>
      <c r="M1144" s="125">
        <v>932.06909754532467</v>
      </c>
      <c r="N1144" s="131">
        <v>910.45701778680325</v>
      </c>
      <c r="O1144" s="94"/>
      <c r="P1144" s="14"/>
      <c r="Q1144" s="14"/>
      <c r="R1144" s="14"/>
      <c r="S1144" s="14"/>
      <c r="T1144" s="14"/>
      <c r="U1144" s="14"/>
    </row>
    <row r="1145" spans="2:21" ht="18.75" customHeight="1" x14ac:dyDescent="0.25">
      <c r="B1145" s="15"/>
      <c r="C1145" s="119" t="s">
        <v>541</v>
      </c>
      <c r="D1145" s="120" t="s">
        <v>579</v>
      </c>
      <c r="E1145" s="125">
        <v>12.12689935873715</v>
      </c>
      <c r="F1145" s="125">
        <v>15.809891006228577</v>
      </c>
      <c r="G1145" s="125">
        <v>13.981991971953324</v>
      </c>
      <c r="H1145" s="125">
        <v>13.250152597917047</v>
      </c>
      <c r="I1145" s="125">
        <v>13.237379476910117</v>
      </c>
      <c r="J1145" s="125">
        <v>13.092126077193162</v>
      </c>
      <c r="K1145" s="125">
        <v>12.564020344622103</v>
      </c>
      <c r="L1145" s="125">
        <v>7.246718716731344</v>
      </c>
      <c r="M1145" s="125">
        <v>7.9653717982918701</v>
      </c>
      <c r="N1145" s="131">
        <v>8.3380816873942507</v>
      </c>
      <c r="O1145" s="94"/>
      <c r="P1145" s="14"/>
      <c r="Q1145" s="14"/>
      <c r="R1145" s="14"/>
      <c r="S1145" s="14"/>
      <c r="T1145" s="14"/>
      <c r="U1145" s="14"/>
    </row>
    <row r="1146" spans="2:21" ht="18.75" customHeight="1" x14ac:dyDescent="0.25">
      <c r="B1146" s="15"/>
      <c r="C1146" s="119" t="s">
        <v>544</v>
      </c>
      <c r="D1146" s="120" t="s">
        <v>579</v>
      </c>
      <c r="E1146" s="125">
        <v>1.03</v>
      </c>
      <c r="F1146" s="128"/>
      <c r="G1146" s="128"/>
      <c r="H1146" s="128"/>
      <c r="I1146" s="128"/>
      <c r="J1146" s="128"/>
      <c r="K1146" s="128"/>
      <c r="L1146" s="128"/>
      <c r="M1146" s="125">
        <v>5.4156315789473686</v>
      </c>
      <c r="N1146" s="131">
        <v>3.21875</v>
      </c>
      <c r="O1146" s="94"/>
      <c r="P1146" s="14"/>
      <c r="Q1146" s="14"/>
      <c r="R1146" s="14"/>
      <c r="S1146" s="14"/>
      <c r="T1146" s="14"/>
      <c r="U1146" s="14"/>
    </row>
    <row r="1147" spans="2:21" ht="18.75" customHeight="1" x14ac:dyDescent="0.25">
      <c r="B1147" s="15"/>
      <c r="C1147" s="119" t="s">
        <v>780</v>
      </c>
      <c r="D1147" s="120" t="s">
        <v>783</v>
      </c>
      <c r="E1147" s="125">
        <v>11.445675321187727</v>
      </c>
      <c r="F1147" s="125">
        <v>12.687964048771214</v>
      </c>
      <c r="G1147" s="125">
        <v>11.719694278866411</v>
      </c>
      <c r="H1147" s="125">
        <v>11.241631895277807</v>
      </c>
      <c r="I1147" s="125">
        <v>11.323093064487816</v>
      </c>
      <c r="J1147" s="125">
        <v>11.613073215540171</v>
      </c>
      <c r="K1147" s="125">
        <v>11.991414688338548</v>
      </c>
      <c r="L1147" s="125">
        <v>12.532344072990028</v>
      </c>
      <c r="M1147" s="125">
        <v>12.461711353392507</v>
      </c>
      <c r="N1147" s="131">
        <v>12.559657485301324</v>
      </c>
      <c r="O1147" s="94"/>
      <c r="P1147" s="14"/>
      <c r="Q1147" s="14"/>
      <c r="R1147" s="14"/>
      <c r="S1147" s="14"/>
      <c r="T1147" s="14"/>
      <c r="U1147" s="14"/>
    </row>
    <row r="1148" spans="2:21" ht="18.75" customHeight="1" x14ac:dyDescent="0.25">
      <c r="B1148" s="15"/>
      <c r="C1148" s="122" t="s">
        <v>781</v>
      </c>
      <c r="D1148" s="120" t="s">
        <v>782</v>
      </c>
      <c r="E1148" s="125">
        <v>240</v>
      </c>
      <c r="F1148" s="134">
        <v>35</v>
      </c>
      <c r="G1148" s="134">
        <v>120</v>
      </c>
      <c r="H1148" s="134">
        <v>270</v>
      </c>
      <c r="I1148" s="134">
        <v>300</v>
      </c>
      <c r="J1148" s="134">
        <v>360</v>
      </c>
      <c r="K1148" s="134">
        <v>420</v>
      </c>
      <c r="L1148" s="134">
        <v>580</v>
      </c>
      <c r="M1148" s="134">
        <v>600</v>
      </c>
      <c r="N1148" s="135">
        <v>560</v>
      </c>
      <c r="O1148" s="94"/>
      <c r="P1148" s="14"/>
      <c r="Q1148" s="14"/>
      <c r="R1148" s="14"/>
      <c r="S1148" s="14"/>
      <c r="T1148" s="14"/>
      <c r="U1148" s="14"/>
    </row>
    <row r="1149" spans="2:21" ht="18.75" customHeight="1" x14ac:dyDescent="0.25">
      <c r="B1149" s="15"/>
      <c r="C1149" s="122"/>
      <c r="D1149" s="210"/>
      <c r="E1149" s="210"/>
      <c r="F1149" s="210"/>
      <c r="G1149" s="210"/>
      <c r="H1149" s="210"/>
      <c r="I1149" s="210"/>
      <c r="J1149" s="210"/>
      <c r="K1149" s="210"/>
      <c r="L1149" s="210"/>
      <c r="M1149" s="210"/>
      <c r="N1149" s="115"/>
      <c r="O1149" s="94"/>
      <c r="P1149" s="14"/>
      <c r="Q1149" s="14"/>
      <c r="R1149" s="14"/>
      <c r="S1149" s="14"/>
      <c r="T1149" s="14"/>
      <c r="U1149" s="14"/>
    </row>
    <row r="1150" spans="2:21" ht="18.75" customHeight="1" x14ac:dyDescent="0.25">
      <c r="B1150" s="15"/>
      <c r="C1150" s="2199" t="s">
        <v>2078</v>
      </c>
      <c r="D1150" s="2200"/>
      <c r="E1150" s="2200"/>
      <c r="F1150" s="2200"/>
      <c r="G1150" s="2200"/>
      <c r="H1150" s="2200"/>
      <c r="I1150" s="2200"/>
      <c r="J1150" s="2200"/>
      <c r="K1150" s="2200"/>
      <c r="L1150" s="2200"/>
      <c r="M1150" s="2200"/>
      <c r="N1150" s="2201"/>
      <c r="O1150" s="94"/>
      <c r="P1150" s="14"/>
      <c r="Q1150" s="14"/>
      <c r="R1150" s="14"/>
      <c r="S1150" s="14"/>
      <c r="T1150" s="14"/>
      <c r="U1150" s="14"/>
    </row>
    <row r="1151" spans="2:21" ht="18.75" customHeight="1" x14ac:dyDescent="0.25">
      <c r="B1151" s="15"/>
      <c r="C1151" s="2202" t="s">
        <v>1088</v>
      </c>
      <c r="D1151" s="210">
        <v>47</v>
      </c>
      <c r="E1151" s="104" t="s">
        <v>679</v>
      </c>
      <c r="F1151" s="210">
        <v>80</v>
      </c>
      <c r="G1151" s="210">
        <v>180</v>
      </c>
      <c r="H1151" s="210">
        <v>290</v>
      </c>
      <c r="I1151" s="210">
        <v>340</v>
      </c>
      <c r="J1151" s="210">
        <v>400</v>
      </c>
      <c r="K1151" s="210">
        <v>450</v>
      </c>
      <c r="L1151" s="210">
        <v>525</v>
      </c>
      <c r="M1151" s="210">
        <v>525</v>
      </c>
      <c r="N1151" s="115">
        <v>400</v>
      </c>
      <c r="O1151" s="94"/>
      <c r="P1151" s="14"/>
      <c r="Q1151" s="14"/>
      <c r="R1151" s="14"/>
      <c r="S1151" s="14"/>
      <c r="T1151" s="14"/>
      <c r="U1151" s="14"/>
    </row>
    <row r="1152" spans="2:21" ht="18.75" customHeight="1" x14ac:dyDescent="0.25">
      <c r="B1152" s="15"/>
      <c r="C1152" s="119" t="s">
        <v>568</v>
      </c>
      <c r="D1152" s="120" t="s">
        <v>623</v>
      </c>
      <c r="E1152" s="110" t="s">
        <v>608</v>
      </c>
      <c r="F1152" s="110" t="s">
        <v>957</v>
      </c>
      <c r="G1152" s="110" t="s">
        <v>572</v>
      </c>
      <c r="H1152" s="110" t="s">
        <v>530</v>
      </c>
      <c r="I1152" s="110" t="s">
        <v>573</v>
      </c>
      <c r="J1152" s="110" t="s">
        <v>574</v>
      </c>
      <c r="K1152" s="110" t="s">
        <v>575</v>
      </c>
      <c r="L1152" s="110" t="s">
        <v>576</v>
      </c>
      <c r="M1152" s="110" t="s">
        <v>577</v>
      </c>
      <c r="N1152" s="2203" t="s">
        <v>609</v>
      </c>
      <c r="O1152" s="94"/>
      <c r="P1152" s="14"/>
      <c r="Q1152" s="14"/>
      <c r="R1152" s="14"/>
      <c r="S1152" s="14"/>
      <c r="T1152" s="14"/>
      <c r="U1152" s="14"/>
    </row>
    <row r="1153" spans="2:21" ht="18.75" customHeight="1" x14ac:dyDescent="0.25">
      <c r="B1153" s="15"/>
      <c r="C1153" s="119" t="s">
        <v>582</v>
      </c>
      <c r="D1153" s="120" t="s">
        <v>566</v>
      </c>
      <c r="E1153" s="121">
        <v>102824.21380117934</v>
      </c>
      <c r="F1153" s="129">
        <v>22093.518493600939</v>
      </c>
      <c r="G1153" s="129">
        <v>19881.000806861874</v>
      </c>
      <c r="H1153" s="129">
        <v>21583.47957163928</v>
      </c>
      <c r="I1153" s="129">
        <v>16294.938562633222</v>
      </c>
      <c r="J1153" s="129">
        <v>3817.4917104933693</v>
      </c>
      <c r="K1153" s="129">
        <v>954.37777230799281</v>
      </c>
      <c r="L1153" s="129">
        <v>947.8534217086642</v>
      </c>
      <c r="M1153" s="129">
        <v>17251.553461933989</v>
      </c>
      <c r="N1153" s="130">
        <v>20203.854111412504</v>
      </c>
      <c r="O1153" s="94"/>
      <c r="P1153" s="14"/>
      <c r="Q1153" s="14"/>
      <c r="R1153" s="14"/>
      <c r="S1153" s="14"/>
      <c r="T1153" s="14"/>
      <c r="U1153" s="14"/>
    </row>
    <row r="1154" spans="2:21" ht="18.75" customHeight="1" x14ac:dyDescent="0.25">
      <c r="B1154" s="15"/>
      <c r="C1154" s="119" t="s">
        <v>582</v>
      </c>
      <c r="D1154" s="120" t="s">
        <v>628</v>
      </c>
      <c r="E1154" s="145">
        <v>16349.049994387517</v>
      </c>
      <c r="F1154" s="129">
        <v>3512.8694404825496</v>
      </c>
      <c r="G1154" s="129">
        <v>3161.0791282910382</v>
      </c>
      <c r="H1154" s="129">
        <v>3431.7732518906455</v>
      </c>
      <c r="I1154" s="129">
        <v>2590.8952314586822</v>
      </c>
      <c r="J1154" s="129">
        <v>606.98118196844575</v>
      </c>
      <c r="K1154" s="129">
        <v>151.74606579697087</v>
      </c>
      <c r="L1154" s="129">
        <v>150.70869405167761</v>
      </c>
      <c r="M1154" s="129">
        <v>2742.997000447504</v>
      </c>
      <c r="N1154" s="130">
        <v>3212.4128037145879</v>
      </c>
      <c r="O1154" s="94"/>
      <c r="P1154" s="14"/>
      <c r="Q1154" s="14"/>
      <c r="R1154" s="14"/>
      <c r="S1154" s="14"/>
      <c r="T1154" s="14"/>
      <c r="U1154" s="14"/>
    </row>
    <row r="1155" spans="2:21" ht="18.75" customHeight="1" x14ac:dyDescent="0.25">
      <c r="B1155" s="15"/>
      <c r="C1155" s="119" t="s">
        <v>620</v>
      </c>
      <c r="D1155" s="120" t="s">
        <v>622</v>
      </c>
      <c r="E1155" s="129">
        <v>13418709.837313432</v>
      </c>
      <c r="F1155" s="129">
        <v>2281180.6723432834</v>
      </c>
      <c r="G1155" s="129">
        <v>2415367.7707164176</v>
      </c>
      <c r="H1155" s="129">
        <v>2952116.1642089551</v>
      </c>
      <c r="I1155" s="129">
        <v>2281180.6723432834</v>
      </c>
      <c r="J1155" s="129">
        <v>536748.39349253732</v>
      </c>
      <c r="K1155" s="129">
        <v>134187.09837313433</v>
      </c>
      <c r="L1155" s="129">
        <v>134187.09837313433</v>
      </c>
      <c r="M1155" s="129">
        <v>2683741.9674626868</v>
      </c>
      <c r="N1155" s="130">
        <v>2952116.1642089551</v>
      </c>
      <c r="O1155" s="94"/>
      <c r="P1155" s="14"/>
      <c r="Q1155" s="14"/>
      <c r="R1155" s="14"/>
      <c r="S1155" s="14"/>
      <c r="T1155" s="14"/>
      <c r="U1155" s="14"/>
    </row>
    <row r="1156" spans="2:21" ht="18.75" customHeight="1" x14ac:dyDescent="0.25">
      <c r="B1156" s="15"/>
      <c r="C1156" s="122" t="s">
        <v>776</v>
      </c>
      <c r="D1156" s="120" t="s">
        <v>579</v>
      </c>
      <c r="E1156" s="125">
        <v>0.11614494262440052</v>
      </c>
      <c r="F1156" s="125">
        <v>0</v>
      </c>
      <c r="G1156" s="125">
        <v>0</v>
      </c>
      <c r="H1156" s="125">
        <v>6.3947386594858727E-2</v>
      </c>
      <c r="I1156" s="125">
        <v>0.10441423827821794</v>
      </c>
      <c r="J1156" s="125">
        <v>0.13397491925041755</v>
      </c>
      <c r="K1156" s="125">
        <v>0.20364236850186707</v>
      </c>
      <c r="L1156" s="125">
        <v>0.27602296600638737</v>
      </c>
      <c r="M1156" s="125">
        <v>0.37085223475567636</v>
      </c>
      <c r="N1156" s="131">
        <v>0.35894136498280832</v>
      </c>
      <c r="O1156" s="94"/>
      <c r="P1156" s="14"/>
      <c r="Q1156" s="14"/>
      <c r="R1156" s="14"/>
      <c r="S1156" s="14"/>
      <c r="T1156" s="14"/>
      <c r="U1156" s="14"/>
    </row>
    <row r="1157" spans="2:21" ht="18.75" customHeight="1" x14ac:dyDescent="0.25">
      <c r="B1157" s="15"/>
      <c r="C1157" s="122" t="s">
        <v>777</v>
      </c>
      <c r="D1157" s="210" t="s">
        <v>778</v>
      </c>
      <c r="E1157" s="125">
        <v>1162.3112553544122</v>
      </c>
      <c r="F1157" s="132">
        <v>0</v>
      </c>
      <c r="G1157" s="132">
        <v>0</v>
      </c>
      <c r="H1157" s="132">
        <v>0</v>
      </c>
      <c r="I1157" s="132">
        <v>19.315554182414189</v>
      </c>
      <c r="J1157" s="132">
        <v>234.06084524925518</v>
      </c>
      <c r="K1157" s="132">
        <v>1179.7500218012419</v>
      </c>
      <c r="L1157" s="132">
        <v>2754.9047542592357</v>
      </c>
      <c r="M1157" s="125">
        <v>5551.5931478641323</v>
      </c>
      <c r="N1157" s="133">
        <v>5225.7508060610526</v>
      </c>
      <c r="O1157" s="94"/>
      <c r="P1157" s="14"/>
      <c r="Q1157" s="14"/>
      <c r="R1157" s="14"/>
      <c r="S1157" s="14"/>
      <c r="T1157" s="14"/>
      <c r="U1157" s="14"/>
    </row>
    <row r="1158" spans="2:21" ht="18.75" customHeight="1" x14ac:dyDescent="0.25">
      <c r="B1158" s="15"/>
      <c r="C1158" s="119" t="s">
        <v>779</v>
      </c>
      <c r="D1158" s="120" t="s">
        <v>970</v>
      </c>
      <c r="E1158" s="132">
        <v>36</v>
      </c>
      <c r="F1158" s="125">
        <v>86.186138098715162</v>
      </c>
      <c r="G1158" s="125">
        <v>53.503757508297994</v>
      </c>
      <c r="H1158" s="125">
        <v>32.828764920435461</v>
      </c>
      <c r="I1158" s="125">
        <v>29.053071131827309</v>
      </c>
      <c r="J1158" s="125">
        <v>28.357465376909857</v>
      </c>
      <c r="K1158" s="125">
        <v>28.35827686158882</v>
      </c>
      <c r="L1158" s="125">
        <v>27.265448136201258</v>
      </c>
      <c r="M1158" s="125">
        <v>12.981760243697124</v>
      </c>
      <c r="N1158" s="131">
        <v>22.324798348254262</v>
      </c>
      <c r="O1158" s="94"/>
      <c r="P1158" s="14"/>
      <c r="Q1158" s="14"/>
      <c r="R1158" s="14"/>
      <c r="S1158" s="14"/>
      <c r="T1158" s="14"/>
      <c r="U1158" s="14"/>
    </row>
    <row r="1159" spans="2:21" ht="18.75" customHeight="1" x14ac:dyDescent="0.25">
      <c r="B1159" s="15"/>
      <c r="C1159" s="119" t="s">
        <v>580</v>
      </c>
      <c r="D1159" s="120" t="s">
        <v>581</v>
      </c>
      <c r="E1159" s="125">
        <v>843.94401492537304</v>
      </c>
      <c r="F1159" s="125">
        <v>649.37815395437133</v>
      </c>
      <c r="G1159" s="125">
        <v>764.09595353034661</v>
      </c>
      <c r="H1159" s="125">
        <v>860.23054191665028</v>
      </c>
      <c r="I1159" s="125">
        <v>880.4604079104239</v>
      </c>
      <c r="J1159" s="125">
        <v>884.29165423523864</v>
      </c>
      <c r="K1159" s="125">
        <v>884.287165327043</v>
      </c>
      <c r="L1159" s="125">
        <v>890.37397090788886</v>
      </c>
      <c r="M1159" s="125">
        <v>978.39770405321258</v>
      </c>
      <c r="N1159" s="131">
        <v>918.97160937577962</v>
      </c>
      <c r="O1159" s="94"/>
      <c r="P1159" s="14"/>
      <c r="Q1159" s="14"/>
      <c r="R1159" s="14"/>
      <c r="S1159" s="14"/>
      <c r="T1159" s="14"/>
      <c r="U1159" s="14"/>
    </row>
    <row r="1160" spans="2:21" ht="18.75" customHeight="1" x14ac:dyDescent="0.25">
      <c r="B1160" s="15"/>
      <c r="C1160" s="119" t="s">
        <v>541</v>
      </c>
      <c r="D1160" s="120" t="s">
        <v>579</v>
      </c>
      <c r="E1160" s="125">
        <v>13.009686606610451</v>
      </c>
      <c r="F1160" s="125">
        <v>15.961714551258432</v>
      </c>
      <c r="G1160" s="125">
        <v>14.266323838704052</v>
      </c>
      <c r="H1160" s="125">
        <v>13.570856699422045</v>
      </c>
      <c r="I1160" s="125">
        <v>13.461674339253907</v>
      </c>
      <c r="J1160" s="125">
        <v>13.338708719238367</v>
      </c>
      <c r="K1160" s="125">
        <v>12.66219192316834</v>
      </c>
      <c r="L1160" s="125">
        <v>11.258815233616968</v>
      </c>
      <c r="M1160" s="125">
        <v>8.407126550231931</v>
      </c>
      <c r="N1160" s="131">
        <v>8.7301608255192704</v>
      </c>
      <c r="O1160" s="94"/>
      <c r="P1160" s="14"/>
      <c r="Q1160" s="14"/>
      <c r="R1160" s="14"/>
      <c r="S1160" s="14"/>
      <c r="T1160" s="14"/>
      <c r="U1160" s="14"/>
    </row>
    <row r="1161" spans="2:21" ht="18.75" customHeight="1" x14ac:dyDescent="0.25">
      <c r="B1161" s="15"/>
      <c r="C1161" s="119" t="s">
        <v>544</v>
      </c>
      <c r="D1161" s="120" t="s">
        <v>579</v>
      </c>
      <c r="E1161" s="125">
        <v>1.22</v>
      </c>
      <c r="F1161" s="128"/>
      <c r="G1161" s="128"/>
      <c r="H1161" s="128"/>
      <c r="I1161" s="128"/>
      <c r="J1161" s="128"/>
      <c r="K1161" s="128"/>
      <c r="L1161" s="128"/>
      <c r="M1161" s="125">
        <v>6.0938999999999988</v>
      </c>
      <c r="N1161" s="131">
        <v>5.5454545454545459</v>
      </c>
      <c r="O1161" s="94"/>
      <c r="P1161" s="14"/>
      <c r="Q1161" s="14"/>
      <c r="R1161" s="14"/>
      <c r="S1161" s="14"/>
      <c r="T1161" s="14"/>
      <c r="U1161" s="14"/>
    </row>
    <row r="1162" spans="2:21" ht="18.75" customHeight="1" x14ac:dyDescent="0.25">
      <c r="B1162" s="15"/>
      <c r="C1162" s="119" t="s">
        <v>780</v>
      </c>
      <c r="D1162" s="120" t="s">
        <v>783</v>
      </c>
      <c r="E1162" s="125">
        <v>11.602670251983477</v>
      </c>
      <c r="F1162" s="125">
        <v>12.708159058798241</v>
      </c>
      <c r="G1162" s="125">
        <v>11.749079228513475</v>
      </c>
      <c r="H1162" s="125">
        <v>11.346619389431199</v>
      </c>
      <c r="I1162" s="125">
        <v>11.531339869456213</v>
      </c>
      <c r="J1162" s="125">
        <v>11.738110251364095</v>
      </c>
      <c r="K1162" s="125">
        <v>12.220402663851035</v>
      </c>
      <c r="L1162" s="125">
        <v>12.526939371075233</v>
      </c>
      <c r="M1162" s="125">
        <v>12.006065674744045</v>
      </c>
      <c r="N1162" s="131">
        <v>12.492874131771162</v>
      </c>
      <c r="O1162" s="94"/>
      <c r="P1162" s="14"/>
      <c r="Q1162" s="14"/>
      <c r="R1162" s="14"/>
      <c r="S1162" s="14"/>
      <c r="T1162" s="14"/>
      <c r="U1162" s="14"/>
    </row>
    <row r="1163" spans="2:21" ht="18.75" customHeight="1" x14ac:dyDescent="0.25">
      <c r="B1163" s="15"/>
      <c r="C1163" s="122" t="s">
        <v>781</v>
      </c>
      <c r="D1163" s="120" t="s">
        <v>782</v>
      </c>
      <c r="E1163" s="125">
        <v>250</v>
      </c>
      <c r="F1163" s="134">
        <v>40</v>
      </c>
      <c r="G1163" s="134">
        <v>130</v>
      </c>
      <c r="H1163" s="134">
        <v>245</v>
      </c>
      <c r="I1163" s="134">
        <v>310</v>
      </c>
      <c r="J1163" s="134">
        <v>350</v>
      </c>
      <c r="K1163" s="134">
        <v>430</v>
      </c>
      <c r="L1163" s="134">
        <v>500</v>
      </c>
      <c r="M1163" s="134">
        <v>630</v>
      </c>
      <c r="N1163" s="135">
        <v>570</v>
      </c>
      <c r="O1163" s="94"/>
      <c r="P1163" s="14"/>
      <c r="Q1163" s="14"/>
      <c r="R1163" s="14"/>
      <c r="S1163" s="14"/>
      <c r="T1163" s="14"/>
      <c r="U1163" s="14"/>
    </row>
    <row r="1164" spans="2:21" ht="18.75" customHeight="1" x14ac:dyDescent="0.25">
      <c r="B1164" s="15"/>
      <c r="C1164" s="122"/>
      <c r="D1164" s="210"/>
      <c r="E1164" s="210"/>
      <c r="F1164" s="210"/>
      <c r="G1164" s="210"/>
      <c r="H1164" s="210"/>
      <c r="I1164" s="210"/>
      <c r="J1164" s="210"/>
      <c r="K1164" s="210"/>
      <c r="L1164" s="210"/>
      <c r="M1164" s="210"/>
      <c r="N1164" s="115"/>
      <c r="O1164" s="94"/>
      <c r="P1164" s="14"/>
      <c r="Q1164" s="14"/>
      <c r="R1164" s="14"/>
      <c r="S1164" s="14"/>
      <c r="T1164" s="14"/>
      <c r="U1164" s="14"/>
    </row>
    <row r="1165" spans="2:21" ht="18.75" customHeight="1" x14ac:dyDescent="0.25">
      <c r="B1165" s="15"/>
      <c r="C1165" s="2199" t="s">
        <v>2079</v>
      </c>
      <c r="D1165" s="2200"/>
      <c r="E1165" s="2200"/>
      <c r="F1165" s="2200"/>
      <c r="G1165" s="2200"/>
      <c r="H1165" s="2200"/>
      <c r="I1165" s="2200"/>
      <c r="J1165" s="2200"/>
      <c r="K1165" s="2200"/>
      <c r="L1165" s="2200"/>
      <c r="M1165" s="2200"/>
      <c r="N1165" s="2201"/>
      <c r="O1165" s="94"/>
      <c r="P1165" s="14"/>
      <c r="Q1165" s="14"/>
      <c r="R1165" s="14"/>
      <c r="S1165" s="14"/>
      <c r="T1165" s="14"/>
      <c r="U1165" s="14"/>
    </row>
    <row r="1166" spans="2:21" ht="18.75" customHeight="1" x14ac:dyDescent="0.25">
      <c r="B1166" s="15"/>
      <c r="C1166" s="2202" t="s">
        <v>1088</v>
      </c>
      <c r="D1166" s="210">
        <v>52</v>
      </c>
      <c r="E1166" s="104" t="s">
        <v>679</v>
      </c>
      <c r="F1166" s="210">
        <v>80</v>
      </c>
      <c r="G1166" s="210">
        <v>180</v>
      </c>
      <c r="H1166" s="210">
        <v>290</v>
      </c>
      <c r="I1166" s="210">
        <v>340</v>
      </c>
      <c r="J1166" s="210">
        <v>400</v>
      </c>
      <c r="K1166" s="210">
        <v>450</v>
      </c>
      <c r="L1166" s="210">
        <v>525</v>
      </c>
      <c r="M1166" s="210">
        <v>525</v>
      </c>
      <c r="N1166" s="115">
        <v>400</v>
      </c>
      <c r="O1166" s="94"/>
      <c r="P1166" s="14"/>
      <c r="Q1166" s="14"/>
      <c r="R1166" s="14"/>
      <c r="S1166" s="14"/>
      <c r="T1166" s="14"/>
      <c r="U1166" s="14"/>
    </row>
    <row r="1167" spans="2:21" ht="18.75" customHeight="1" x14ac:dyDescent="0.25">
      <c r="B1167" s="15"/>
      <c r="C1167" s="119" t="s">
        <v>568</v>
      </c>
      <c r="D1167" s="120" t="s">
        <v>623</v>
      </c>
      <c r="E1167" s="110" t="s">
        <v>608</v>
      </c>
      <c r="F1167" s="110" t="s">
        <v>957</v>
      </c>
      <c r="G1167" s="110" t="s">
        <v>572</v>
      </c>
      <c r="H1167" s="110" t="s">
        <v>530</v>
      </c>
      <c r="I1167" s="110" t="s">
        <v>573</v>
      </c>
      <c r="J1167" s="110" t="s">
        <v>574</v>
      </c>
      <c r="K1167" s="110" t="s">
        <v>575</v>
      </c>
      <c r="L1167" s="110" t="s">
        <v>576</v>
      </c>
      <c r="M1167" s="110" t="s">
        <v>577</v>
      </c>
      <c r="N1167" s="2203" t="s">
        <v>609</v>
      </c>
      <c r="O1167" s="94"/>
      <c r="P1167" s="14"/>
      <c r="Q1167" s="14"/>
      <c r="R1167" s="14"/>
      <c r="S1167" s="14"/>
      <c r="T1167" s="14"/>
      <c r="U1167" s="14"/>
    </row>
    <row r="1168" spans="2:21" ht="18.75" customHeight="1" x14ac:dyDescent="0.25">
      <c r="B1168" s="15"/>
      <c r="C1168" s="119" t="s">
        <v>582</v>
      </c>
      <c r="D1168" s="120" t="s">
        <v>566</v>
      </c>
      <c r="E1168" s="121">
        <v>98746.335197400651</v>
      </c>
      <c r="F1168" s="129">
        <v>7831.3500840604447</v>
      </c>
      <c r="G1168" s="129">
        <v>21645.563548513172</v>
      </c>
      <c r="H1168" s="129">
        <v>22131.715024843092</v>
      </c>
      <c r="I1168" s="129">
        <v>10316.592048580242</v>
      </c>
      <c r="J1168" s="129">
        <v>6570.5774957907888</v>
      </c>
      <c r="K1168" s="129">
        <v>4724.945139991617</v>
      </c>
      <c r="L1168" s="129">
        <v>7582.0818298075837</v>
      </c>
      <c r="M1168" s="129">
        <v>17943.510025813717</v>
      </c>
      <c r="N1168" s="130">
        <v>30730.147465836737</v>
      </c>
      <c r="O1168" s="94"/>
      <c r="P1168" s="14"/>
      <c r="Q1168" s="14"/>
      <c r="R1168" s="14"/>
      <c r="S1168" s="14"/>
      <c r="T1168" s="14"/>
      <c r="U1168" s="14"/>
    </row>
    <row r="1169" spans="2:21" ht="18.75" customHeight="1" x14ac:dyDescent="0.25">
      <c r="B1169" s="15"/>
      <c r="C1169" s="119" t="s">
        <v>582</v>
      </c>
      <c r="D1169" s="120" t="s">
        <v>628</v>
      </c>
      <c r="E1169" s="145">
        <v>15700.667296386704</v>
      </c>
      <c r="F1169" s="129">
        <v>1245.1846633656107</v>
      </c>
      <c r="G1169" s="129">
        <v>3441.6446042135944</v>
      </c>
      <c r="H1169" s="129">
        <v>3518.9426889500514</v>
      </c>
      <c r="I1169" s="129">
        <v>1640.3381357242586</v>
      </c>
      <c r="J1169" s="129">
        <v>1044.7218218307355</v>
      </c>
      <c r="K1169" s="129">
        <v>751.26627725866706</v>
      </c>
      <c r="L1169" s="129">
        <v>1205.5510109394058</v>
      </c>
      <c r="M1169" s="129">
        <v>2853.0180941043809</v>
      </c>
      <c r="N1169" s="130">
        <v>4886.0934470680413</v>
      </c>
      <c r="O1169" s="94"/>
      <c r="P1169" s="14"/>
      <c r="Q1169" s="14"/>
      <c r="R1169" s="14"/>
      <c r="S1169" s="14"/>
      <c r="T1169" s="14"/>
      <c r="U1169" s="14"/>
    </row>
    <row r="1170" spans="2:21" ht="18.75" customHeight="1" x14ac:dyDescent="0.25">
      <c r="B1170" s="15"/>
      <c r="C1170" s="119" t="s">
        <v>620</v>
      </c>
      <c r="D1170" s="120" t="s">
        <v>622</v>
      </c>
      <c r="E1170" s="129">
        <v>13386741.499404408</v>
      </c>
      <c r="F1170" s="129">
        <v>803204.48996426445</v>
      </c>
      <c r="G1170" s="129">
        <v>2677348.2998808818</v>
      </c>
      <c r="H1170" s="129">
        <v>3078950.544863014</v>
      </c>
      <c r="I1170" s="129">
        <v>1472541.5649344849</v>
      </c>
      <c r="J1170" s="129">
        <v>937071.90495830867</v>
      </c>
      <c r="K1170" s="129">
        <v>669337.07497022045</v>
      </c>
      <c r="L1170" s="129">
        <v>1070939.3199523527</v>
      </c>
      <c r="M1170" s="129">
        <v>2677348.2998808818</v>
      </c>
      <c r="N1170" s="130">
        <v>4417624.6948034549</v>
      </c>
      <c r="O1170" s="94"/>
      <c r="P1170" s="14"/>
      <c r="Q1170" s="14"/>
      <c r="R1170" s="14"/>
      <c r="S1170" s="14"/>
      <c r="T1170" s="14"/>
      <c r="U1170" s="14"/>
    </row>
    <row r="1171" spans="2:21" ht="18.75" customHeight="1" x14ac:dyDescent="0.25">
      <c r="B1171" s="15"/>
      <c r="C1171" s="122" t="s">
        <v>776</v>
      </c>
      <c r="D1171" s="120" t="s">
        <v>579</v>
      </c>
      <c r="E1171" s="125">
        <v>0.37280969870589242</v>
      </c>
      <c r="F1171" s="125">
        <v>0</v>
      </c>
      <c r="G1171" s="125">
        <v>0</v>
      </c>
      <c r="H1171" s="125">
        <v>0.12696804349981988</v>
      </c>
      <c r="I1171" s="125">
        <v>0.2561123079032212</v>
      </c>
      <c r="J1171" s="125">
        <v>0.38356475950165592</v>
      </c>
      <c r="K1171" s="125">
        <v>0.51616946968665289</v>
      </c>
      <c r="L1171" s="125">
        <v>0.67494722124762474</v>
      </c>
      <c r="M1171" s="125">
        <v>1.0439045524116053</v>
      </c>
      <c r="N1171" s="131">
        <v>0.8745004898983747</v>
      </c>
      <c r="O1171" s="94"/>
      <c r="P1171" s="14"/>
      <c r="Q1171" s="14"/>
      <c r="R1171" s="14"/>
      <c r="S1171" s="14"/>
      <c r="T1171" s="14"/>
      <c r="U1171" s="14"/>
    </row>
    <row r="1172" spans="2:21" ht="18.75" customHeight="1" x14ac:dyDescent="0.25">
      <c r="B1172" s="15"/>
      <c r="C1172" s="122" t="s">
        <v>777</v>
      </c>
      <c r="D1172" s="210" t="s">
        <v>778</v>
      </c>
      <c r="E1172" s="125">
        <v>1862.686234728639</v>
      </c>
      <c r="F1172" s="132">
        <v>0</v>
      </c>
      <c r="G1172" s="132">
        <v>0</v>
      </c>
      <c r="H1172" s="132">
        <v>17.707546120234156</v>
      </c>
      <c r="I1172" s="132">
        <v>368.38157952555196</v>
      </c>
      <c r="J1172" s="132">
        <v>950.30621086137262</v>
      </c>
      <c r="K1172" s="132">
        <v>1791.7232820713775</v>
      </c>
      <c r="L1172" s="132">
        <v>3118.6103863748754</v>
      </c>
      <c r="M1172" s="125">
        <v>7062.4754779965961</v>
      </c>
      <c r="N1172" s="133">
        <v>5307.7881533723576</v>
      </c>
      <c r="O1172" s="94"/>
      <c r="P1172" s="14"/>
      <c r="Q1172" s="14"/>
      <c r="R1172" s="14"/>
      <c r="S1172" s="14"/>
      <c r="T1172" s="14"/>
      <c r="U1172" s="14"/>
    </row>
    <row r="1173" spans="2:21" ht="18.75" customHeight="1" x14ac:dyDescent="0.25">
      <c r="B1173" s="15"/>
      <c r="C1173" s="119" t="s">
        <v>779</v>
      </c>
      <c r="D1173" s="120" t="s">
        <v>970</v>
      </c>
      <c r="E1173" s="132">
        <v>36.4</v>
      </c>
      <c r="F1173" s="125">
        <v>87.647279852291419</v>
      </c>
      <c r="G1173" s="125">
        <v>50.214505989768028</v>
      </c>
      <c r="H1173" s="125">
        <v>30.061519681354525</v>
      </c>
      <c r="I1173" s="125">
        <v>25.968709541511146</v>
      </c>
      <c r="J1173" s="125">
        <v>26.099994506181901</v>
      </c>
      <c r="K1173" s="125">
        <v>27.163657800918457</v>
      </c>
      <c r="L1173" s="125">
        <v>27.628942403086654</v>
      </c>
      <c r="M1173" s="125">
        <v>19.135766666706132</v>
      </c>
      <c r="N1173" s="131">
        <v>24.851265439817809</v>
      </c>
      <c r="O1173" s="94"/>
      <c r="P1173" s="14"/>
      <c r="Q1173" s="14"/>
      <c r="R1173" s="14"/>
      <c r="S1173" s="14"/>
      <c r="T1173" s="14"/>
      <c r="U1173" s="14"/>
    </row>
    <row r="1174" spans="2:21" ht="18.75" customHeight="1" x14ac:dyDescent="0.25">
      <c r="B1174" s="15"/>
      <c r="C1174" s="119" t="s">
        <v>580</v>
      </c>
      <c r="D1174" s="120" t="s">
        <v>581</v>
      </c>
      <c r="E1174" s="125">
        <v>841.93342763549731</v>
      </c>
      <c r="F1174" s="125">
        <v>645.04849248085202</v>
      </c>
      <c r="G1174" s="125">
        <v>777.92701100020986</v>
      </c>
      <c r="H1174" s="125">
        <v>874.96467462551425</v>
      </c>
      <c r="I1174" s="125">
        <v>897.7061087983019</v>
      </c>
      <c r="J1174" s="125">
        <v>896.95829586120385</v>
      </c>
      <c r="K1174" s="125">
        <v>890.9451884524857</v>
      </c>
      <c r="L1174" s="125">
        <v>888.34011189442811</v>
      </c>
      <c r="M1174" s="125">
        <v>938.42668064863938</v>
      </c>
      <c r="N1174" s="131">
        <v>904.12202358804723</v>
      </c>
      <c r="O1174" s="94"/>
      <c r="P1174" s="14"/>
      <c r="Q1174" s="14"/>
      <c r="R1174" s="14"/>
      <c r="S1174" s="14"/>
      <c r="T1174" s="14"/>
      <c r="U1174" s="14"/>
    </row>
    <row r="1175" spans="2:21" ht="18.75" customHeight="1" x14ac:dyDescent="0.25">
      <c r="B1175" s="15"/>
      <c r="C1175" s="119" t="s">
        <v>541</v>
      </c>
      <c r="D1175" s="120" t="s">
        <v>579</v>
      </c>
      <c r="E1175" s="125">
        <v>12.123786589045871</v>
      </c>
      <c r="F1175" s="125">
        <v>15.871906455275502</v>
      </c>
      <c r="G1175" s="125">
        <v>13.519112330231819</v>
      </c>
      <c r="H1175" s="125">
        <v>12.795803509616789</v>
      </c>
      <c r="I1175" s="125">
        <v>12.86788883266702</v>
      </c>
      <c r="J1175" s="125">
        <v>12.881890985179778</v>
      </c>
      <c r="K1175" s="125">
        <v>12.615267501085963</v>
      </c>
      <c r="L1175" s="125">
        <v>11.773005913048429</v>
      </c>
      <c r="M1175" s="125">
        <v>8.1740546990849321</v>
      </c>
      <c r="N1175" s="131">
        <v>9.7194387512580569</v>
      </c>
      <c r="O1175" s="94"/>
      <c r="P1175" s="14"/>
      <c r="Q1175" s="14"/>
      <c r="R1175" s="14"/>
      <c r="S1175" s="14"/>
      <c r="T1175" s="14"/>
      <c r="U1175" s="14"/>
    </row>
    <row r="1176" spans="2:21" ht="18.75" customHeight="1" x14ac:dyDescent="0.25">
      <c r="B1176" s="15"/>
      <c r="C1176" s="119" t="s">
        <v>544</v>
      </c>
      <c r="D1176" s="120" t="s">
        <v>579</v>
      </c>
      <c r="E1176" s="125">
        <v>1.03</v>
      </c>
      <c r="F1176" s="128"/>
      <c r="G1176" s="128"/>
      <c r="H1176" s="128"/>
      <c r="I1176" s="128"/>
      <c r="J1176" s="128"/>
      <c r="K1176" s="128"/>
      <c r="L1176" s="128"/>
      <c r="M1176" s="125">
        <v>5.144849999999999</v>
      </c>
      <c r="N1176" s="131">
        <v>3.1212121212121211</v>
      </c>
      <c r="O1176" s="94"/>
      <c r="P1176" s="14"/>
      <c r="Q1176" s="14"/>
      <c r="R1176" s="14"/>
      <c r="S1176" s="14"/>
      <c r="T1176" s="14"/>
      <c r="U1176" s="14"/>
    </row>
    <row r="1177" spans="2:21" ht="18.75" customHeight="1" x14ac:dyDescent="0.25">
      <c r="B1177" s="15"/>
      <c r="C1177" s="119" t="s">
        <v>780</v>
      </c>
      <c r="D1177" s="120" t="s">
        <v>783</v>
      </c>
      <c r="E1177" s="125">
        <v>11.954720541336828</v>
      </c>
      <c r="F1177" s="125">
        <v>12.861189049729052</v>
      </c>
      <c r="G1177" s="125">
        <v>11.587700450146821</v>
      </c>
      <c r="H1177" s="125">
        <v>11.119547195853666</v>
      </c>
      <c r="I1177" s="125">
        <v>11.342044948945006</v>
      </c>
      <c r="J1177" s="125">
        <v>11.725078750815976</v>
      </c>
      <c r="K1177" s="125">
        <v>12.129079735580367</v>
      </c>
      <c r="L1177" s="125">
        <v>12.50125290166833</v>
      </c>
      <c r="M1177" s="125">
        <v>12.424358903982503</v>
      </c>
      <c r="N1177" s="131">
        <v>12.647660382290811</v>
      </c>
      <c r="O1177" s="94"/>
      <c r="P1177" s="14"/>
      <c r="Q1177" s="14"/>
      <c r="R1177" s="14"/>
      <c r="S1177" s="14"/>
      <c r="T1177" s="14"/>
      <c r="U1177" s="14"/>
    </row>
    <row r="1178" spans="2:21" ht="18.75" customHeight="1" x14ac:dyDescent="0.25">
      <c r="B1178" s="15"/>
      <c r="C1178" s="122" t="s">
        <v>781</v>
      </c>
      <c r="D1178" s="120" t="s">
        <v>782</v>
      </c>
      <c r="E1178" s="125">
        <v>295</v>
      </c>
      <c r="F1178" s="134">
        <v>45</v>
      </c>
      <c r="G1178" s="134">
        <v>135</v>
      </c>
      <c r="H1178" s="134">
        <v>240</v>
      </c>
      <c r="I1178" s="134">
        <v>315</v>
      </c>
      <c r="J1178" s="134">
        <v>375</v>
      </c>
      <c r="K1178" s="134">
        <v>430</v>
      </c>
      <c r="L1178" s="134">
        <v>490</v>
      </c>
      <c r="M1178" s="134">
        <v>610</v>
      </c>
      <c r="N1178" s="135">
        <v>560</v>
      </c>
      <c r="O1178" s="94"/>
      <c r="P1178" s="14"/>
      <c r="Q1178" s="14"/>
      <c r="R1178" s="14"/>
      <c r="S1178" s="14"/>
      <c r="T1178" s="14"/>
      <c r="U1178" s="14"/>
    </row>
    <row r="1179" spans="2:21" ht="18.75" customHeight="1" x14ac:dyDescent="0.25">
      <c r="B1179" s="15"/>
      <c r="C1179" s="122"/>
      <c r="D1179" s="210"/>
      <c r="E1179" s="210"/>
      <c r="F1179" s="210"/>
      <c r="G1179" s="210"/>
      <c r="H1179" s="210"/>
      <c r="I1179" s="210"/>
      <c r="J1179" s="210"/>
      <c r="K1179" s="210"/>
      <c r="L1179" s="210"/>
      <c r="M1179" s="210"/>
      <c r="N1179" s="115"/>
      <c r="O1179" s="94"/>
      <c r="P1179" s="14"/>
      <c r="Q1179" s="14"/>
      <c r="R1179" s="14"/>
      <c r="S1179" s="14"/>
      <c r="T1179" s="14"/>
      <c r="U1179" s="14"/>
    </row>
    <row r="1180" spans="2:21" ht="18.75" customHeight="1" x14ac:dyDescent="0.25">
      <c r="B1180" s="15"/>
      <c r="C1180" s="2199" t="s">
        <v>2080</v>
      </c>
      <c r="D1180" s="2200"/>
      <c r="E1180" s="2200"/>
      <c r="F1180" s="2200"/>
      <c r="G1180" s="2200"/>
      <c r="H1180" s="2200"/>
      <c r="I1180" s="2200"/>
      <c r="J1180" s="2200"/>
      <c r="K1180" s="2200"/>
      <c r="L1180" s="2200"/>
      <c r="M1180" s="2200"/>
      <c r="N1180" s="2201"/>
      <c r="O1180" s="94"/>
      <c r="P1180" s="14"/>
      <c r="Q1180" s="14"/>
      <c r="R1180" s="14"/>
      <c r="S1180" s="14"/>
      <c r="T1180" s="14"/>
      <c r="U1180" s="14"/>
    </row>
    <row r="1181" spans="2:21" ht="18.75" customHeight="1" x14ac:dyDescent="0.25">
      <c r="B1181" s="15"/>
      <c r="C1181" s="2202" t="s">
        <v>1088</v>
      </c>
      <c r="D1181" s="210">
        <v>31</v>
      </c>
      <c r="E1181" s="104" t="s">
        <v>679</v>
      </c>
      <c r="F1181" s="210">
        <v>80</v>
      </c>
      <c r="G1181" s="210">
        <v>180</v>
      </c>
      <c r="H1181" s="210">
        <v>290</v>
      </c>
      <c r="I1181" s="210">
        <v>340</v>
      </c>
      <c r="J1181" s="210">
        <v>400</v>
      </c>
      <c r="K1181" s="210">
        <v>450</v>
      </c>
      <c r="L1181" s="210">
        <v>525</v>
      </c>
      <c r="M1181" s="210">
        <v>525</v>
      </c>
      <c r="N1181" s="115">
        <v>400</v>
      </c>
      <c r="O1181" s="94"/>
      <c r="P1181" s="14"/>
      <c r="Q1181" s="14"/>
      <c r="R1181" s="14"/>
      <c r="S1181" s="14"/>
      <c r="T1181" s="14"/>
      <c r="U1181" s="14"/>
    </row>
    <row r="1182" spans="2:21" ht="18.75" customHeight="1" x14ac:dyDescent="0.25">
      <c r="B1182" s="15"/>
      <c r="C1182" s="119" t="s">
        <v>568</v>
      </c>
      <c r="D1182" s="120" t="s">
        <v>623</v>
      </c>
      <c r="E1182" s="110" t="s">
        <v>608</v>
      </c>
      <c r="F1182" s="110" t="s">
        <v>957</v>
      </c>
      <c r="G1182" s="110" t="s">
        <v>572</v>
      </c>
      <c r="H1182" s="110" t="s">
        <v>530</v>
      </c>
      <c r="I1182" s="110" t="s">
        <v>573</v>
      </c>
      <c r="J1182" s="110" t="s">
        <v>574</v>
      </c>
      <c r="K1182" s="110" t="s">
        <v>575</v>
      </c>
      <c r="L1182" s="110" t="s">
        <v>576</v>
      </c>
      <c r="M1182" s="110" t="s">
        <v>577</v>
      </c>
      <c r="N1182" s="2203" t="s">
        <v>609</v>
      </c>
      <c r="O1182" s="94"/>
      <c r="P1182" s="14"/>
      <c r="Q1182" s="14"/>
      <c r="R1182" s="14"/>
      <c r="S1182" s="14"/>
      <c r="T1182" s="14"/>
      <c r="U1182" s="14"/>
    </row>
    <row r="1183" spans="2:21" ht="18.75" customHeight="1" x14ac:dyDescent="0.25">
      <c r="B1183" s="15"/>
      <c r="C1183" s="119" t="s">
        <v>582</v>
      </c>
      <c r="D1183" s="120" t="s">
        <v>566</v>
      </c>
      <c r="E1183" s="121">
        <v>100708.37275313069</v>
      </c>
      <c r="F1183" s="129">
        <v>6984.8563865136721</v>
      </c>
      <c r="G1183" s="129">
        <v>18656.623143822177</v>
      </c>
      <c r="H1183" s="129">
        <v>17358.435508477796</v>
      </c>
      <c r="I1183" s="129">
        <v>7843.3722245815397</v>
      </c>
      <c r="J1183" s="129">
        <v>7775.8310224874276</v>
      </c>
      <c r="K1183" s="129">
        <v>6784.2338191956214</v>
      </c>
      <c r="L1183" s="129">
        <v>8680.5660616635032</v>
      </c>
      <c r="M1183" s="129">
        <v>26624.454586388951</v>
      </c>
      <c r="N1183" s="130">
        <v>44164.966455556743</v>
      </c>
      <c r="O1183" s="94"/>
      <c r="P1183" s="14"/>
      <c r="Q1183" s="14"/>
      <c r="R1183" s="14"/>
      <c r="S1183" s="14"/>
      <c r="T1183" s="14"/>
      <c r="U1183" s="14"/>
    </row>
    <row r="1184" spans="2:21" ht="18.75" customHeight="1" x14ac:dyDescent="0.25">
      <c r="B1184" s="15"/>
      <c r="C1184" s="119" t="s">
        <v>582</v>
      </c>
      <c r="D1184" s="120" t="s">
        <v>628</v>
      </c>
      <c r="E1184" s="145">
        <v>16012.63126774778</v>
      </c>
      <c r="F1184" s="129">
        <v>1110.5921654556739</v>
      </c>
      <c r="G1184" s="129">
        <v>2966.4030798677263</v>
      </c>
      <c r="H1184" s="129">
        <v>2759.9912458479698</v>
      </c>
      <c r="I1184" s="129">
        <v>1247.0961837084649</v>
      </c>
      <c r="J1184" s="129">
        <v>1236.3571325755011</v>
      </c>
      <c r="K1184" s="129">
        <v>1078.6931772521039</v>
      </c>
      <c r="L1184" s="129">
        <v>1380.2100038044971</v>
      </c>
      <c r="M1184" s="129">
        <v>4233.2882792358432</v>
      </c>
      <c r="N1184" s="130">
        <v>7022.2296664335217</v>
      </c>
      <c r="O1184" s="94"/>
      <c r="P1184" s="14"/>
      <c r="Q1184" s="14"/>
      <c r="R1184" s="14"/>
      <c r="S1184" s="14"/>
      <c r="T1184" s="14"/>
      <c r="U1184" s="14"/>
    </row>
    <row r="1185" spans="2:21" ht="18.75" customHeight="1" x14ac:dyDescent="0.25">
      <c r="B1185" s="15"/>
      <c r="C1185" s="119" t="s">
        <v>620</v>
      </c>
      <c r="D1185" s="120" t="s">
        <v>622</v>
      </c>
      <c r="E1185" s="129">
        <v>13671739.037408758</v>
      </c>
      <c r="F1185" s="129">
        <v>683586.95187043794</v>
      </c>
      <c r="G1185" s="129">
        <v>2187478.2459854013</v>
      </c>
      <c r="H1185" s="129">
        <v>2324195.6363594891</v>
      </c>
      <c r="I1185" s="129">
        <v>1093739.1229927007</v>
      </c>
      <c r="J1185" s="129">
        <v>1093739.1229927007</v>
      </c>
      <c r="K1185" s="129">
        <v>957021.73261861317</v>
      </c>
      <c r="L1185" s="129">
        <v>1230456.5133667882</v>
      </c>
      <c r="M1185" s="129">
        <v>4101521.7112226272</v>
      </c>
      <c r="N1185" s="130">
        <v>6288999.9572080281</v>
      </c>
      <c r="O1185" s="94"/>
      <c r="P1185" s="14"/>
      <c r="Q1185" s="14"/>
      <c r="R1185" s="14"/>
      <c r="S1185" s="14"/>
      <c r="T1185" s="14"/>
      <c r="U1185" s="14"/>
    </row>
    <row r="1186" spans="2:21" ht="18.75" customHeight="1" x14ac:dyDescent="0.25">
      <c r="B1186" s="15"/>
      <c r="C1186" s="122" t="s">
        <v>776</v>
      </c>
      <c r="D1186" s="120" t="s">
        <v>579</v>
      </c>
      <c r="E1186" s="125">
        <v>0.75796529836594184</v>
      </c>
      <c r="F1186" s="125">
        <v>0</v>
      </c>
      <c r="G1186" s="125">
        <v>0</v>
      </c>
      <c r="H1186" s="125">
        <v>0.19439661970937167</v>
      </c>
      <c r="I1186" s="125">
        <v>0.4805869311281088</v>
      </c>
      <c r="J1186" s="125">
        <v>0.71564638895574262</v>
      </c>
      <c r="K1186" s="125">
        <v>0.97336169618141821</v>
      </c>
      <c r="L1186" s="125">
        <v>1.245511605795671</v>
      </c>
      <c r="M1186" s="125">
        <v>1.4966261471811024</v>
      </c>
      <c r="N1186" s="131">
        <v>1.3678678421926969</v>
      </c>
      <c r="O1186" s="94"/>
      <c r="P1186" s="14"/>
      <c r="Q1186" s="14"/>
      <c r="R1186" s="14"/>
      <c r="S1186" s="14"/>
      <c r="T1186" s="14"/>
      <c r="U1186" s="14"/>
    </row>
    <row r="1187" spans="2:21" ht="18.75" customHeight="1" x14ac:dyDescent="0.25">
      <c r="B1187" s="15"/>
      <c r="C1187" s="122" t="s">
        <v>777</v>
      </c>
      <c r="D1187" s="210" t="s">
        <v>778</v>
      </c>
      <c r="E1187" s="125">
        <v>832.08259737676497</v>
      </c>
      <c r="F1187" s="132">
        <v>0</v>
      </c>
      <c r="G1187" s="132">
        <v>0</v>
      </c>
      <c r="H1187" s="132">
        <v>0</v>
      </c>
      <c r="I1187" s="132">
        <v>91.147379973651709</v>
      </c>
      <c r="J1187" s="132">
        <v>335.51678026297361</v>
      </c>
      <c r="K1187" s="132">
        <v>755.68805480100696</v>
      </c>
      <c r="L1187" s="132">
        <v>1384.5033306717942</v>
      </c>
      <c r="M1187" s="125">
        <v>2068.1533365376768</v>
      </c>
      <c r="N1187" s="133">
        <v>1734.6727490387718</v>
      </c>
      <c r="O1187" s="94"/>
      <c r="P1187" s="14"/>
      <c r="Q1187" s="14"/>
      <c r="R1187" s="14"/>
      <c r="S1187" s="14"/>
      <c r="T1187" s="14"/>
      <c r="U1187" s="14"/>
    </row>
    <row r="1188" spans="2:21" ht="18.75" customHeight="1" x14ac:dyDescent="0.25">
      <c r="B1188" s="15"/>
      <c r="C1188" s="119" t="s">
        <v>779</v>
      </c>
      <c r="D1188" s="120" t="s">
        <v>970</v>
      </c>
      <c r="E1188" s="132">
        <v>32.9</v>
      </c>
      <c r="F1188" s="125">
        <v>98.162077988569521</v>
      </c>
      <c r="G1188" s="125">
        <v>60.196802802772879</v>
      </c>
      <c r="H1188" s="125">
        <v>36.366282211397063</v>
      </c>
      <c r="I1188" s="125">
        <v>29.681299215150673</v>
      </c>
      <c r="J1188" s="125">
        <v>28.293327512116647</v>
      </c>
      <c r="K1188" s="125">
        <v>27.832577125108614</v>
      </c>
      <c r="L1188" s="125">
        <v>27.06500672638667</v>
      </c>
      <c r="M1188" s="125">
        <v>14.402011133411449</v>
      </c>
      <c r="N1188" s="131">
        <v>26.341749680294114</v>
      </c>
      <c r="O1188" s="94"/>
      <c r="P1188" s="14"/>
      <c r="Q1188" s="14"/>
      <c r="R1188" s="14"/>
      <c r="S1188" s="14"/>
      <c r="T1188" s="14"/>
      <c r="U1188" s="14"/>
    </row>
    <row r="1189" spans="2:21" ht="18.75" customHeight="1" x14ac:dyDescent="0.25">
      <c r="B1189" s="15"/>
      <c r="C1189" s="119" t="s">
        <v>580</v>
      </c>
      <c r="D1189" s="120" t="s">
        <v>581</v>
      </c>
      <c r="E1189" s="125">
        <v>859.85780109489042</v>
      </c>
      <c r="F1189" s="125">
        <v>615.51573397779509</v>
      </c>
      <c r="G1189" s="125">
        <v>737.41773693241385</v>
      </c>
      <c r="H1189" s="125">
        <v>842.10253922215304</v>
      </c>
      <c r="I1189" s="125">
        <v>877.02868253535235</v>
      </c>
      <c r="J1189" s="125">
        <v>884.64659132454096</v>
      </c>
      <c r="K1189" s="125">
        <v>887.20477036534123</v>
      </c>
      <c r="L1189" s="125">
        <v>891.49948919010944</v>
      </c>
      <c r="M1189" s="125">
        <v>968.87370778420006</v>
      </c>
      <c r="N1189" s="131">
        <v>895.58448754099356</v>
      </c>
      <c r="O1189" s="94"/>
      <c r="P1189" s="14"/>
      <c r="Q1189" s="14"/>
      <c r="R1189" s="14"/>
      <c r="S1189" s="14"/>
      <c r="T1189" s="14"/>
      <c r="U1189" s="14"/>
    </row>
    <row r="1190" spans="2:21" ht="18.75" customHeight="1" x14ac:dyDescent="0.25">
      <c r="B1190" s="15"/>
      <c r="C1190" s="119" t="s">
        <v>541</v>
      </c>
      <c r="D1190" s="120" t="s">
        <v>579</v>
      </c>
      <c r="E1190" s="125">
        <v>12.530799136650909</v>
      </c>
      <c r="F1190" s="125">
        <v>16.542062095913206</v>
      </c>
      <c r="G1190" s="125">
        <v>14.538946244099801</v>
      </c>
      <c r="H1190" s="125">
        <v>13.817783545827687</v>
      </c>
      <c r="I1190" s="125">
        <v>13.649833596487829</v>
      </c>
      <c r="J1190" s="125">
        <v>13.331479147759493</v>
      </c>
      <c r="K1190" s="125">
        <v>12.624074133182116</v>
      </c>
      <c r="L1190" s="125">
        <v>11.358913180279252</v>
      </c>
      <c r="M1190" s="125">
        <v>9.8798301164030207</v>
      </c>
      <c r="N1190" s="131">
        <v>10.5868182836278</v>
      </c>
      <c r="O1190" s="94"/>
      <c r="P1190" s="14"/>
      <c r="Q1190" s="14"/>
      <c r="R1190" s="14"/>
      <c r="S1190" s="14"/>
      <c r="T1190" s="14"/>
      <c r="U1190" s="14"/>
    </row>
    <row r="1191" spans="2:21" ht="18.75" customHeight="1" x14ac:dyDescent="0.25">
      <c r="B1191" s="15"/>
      <c r="C1191" s="119" t="s">
        <v>544</v>
      </c>
      <c r="D1191" s="120" t="s">
        <v>579</v>
      </c>
      <c r="E1191" s="125">
        <v>0.39</v>
      </c>
      <c r="F1191" s="128"/>
      <c r="G1191" s="128"/>
      <c r="H1191" s="128"/>
      <c r="I1191" s="128"/>
      <c r="J1191" s="128"/>
      <c r="K1191" s="128"/>
      <c r="L1191" s="128"/>
      <c r="M1191" s="125">
        <v>1.2987000000000002</v>
      </c>
      <c r="N1191" s="131">
        <v>0.84782608695652184</v>
      </c>
      <c r="O1191" s="94"/>
      <c r="P1191" s="14"/>
      <c r="Q1191" s="14"/>
      <c r="R1191" s="14"/>
      <c r="S1191" s="14"/>
      <c r="T1191" s="14"/>
      <c r="U1191" s="14"/>
    </row>
    <row r="1192" spans="2:21" ht="18.75" customHeight="1" x14ac:dyDescent="0.25">
      <c r="B1192" s="15"/>
      <c r="C1192" s="119" t="s">
        <v>780</v>
      </c>
      <c r="D1192" s="120" t="s">
        <v>783</v>
      </c>
      <c r="E1192" s="125">
        <v>12.262354072117686</v>
      </c>
      <c r="F1192" s="125">
        <v>13.686853678630511</v>
      </c>
      <c r="G1192" s="125">
        <v>12.12359736913543</v>
      </c>
      <c r="H1192" s="125">
        <v>11.4397863106547</v>
      </c>
      <c r="I1192" s="125">
        <v>11.576460847169496</v>
      </c>
      <c r="J1192" s="125">
        <v>11.85760904017175</v>
      </c>
      <c r="K1192" s="125">
        <v>12.180215426842151</v>
      </c>
      <c r="L1192" s="125">
        <v>12.484095735713119</v>
      </c>
      <c r="M1192" s="125">
        <v>12.124084900338771</v>
      </c>
      <c r="N1192" s="131">
        <v>12.793720680426336</v>
      </c>
      <c r="O1192" s="94"/>
      <c r="P1192" s="14"/>
      <c r="Q1192" s="14"/>
      <c r="R1192" s="14"/>
      <c r="S1192" s="14"/>
      <c r="T1192" s="14"/>
      <c r="U1192" s="14"/>
    </row>
    <row r="1193" spans="2:21" ht="18.75" customHeight="1" x14ac:dyDescent="0.25">
      <c r="B1193" s="15"/>
      <c r="C1193" s="122" t="s">
        <v>781</v>
      </c>
      <c r="D1193" s="120" t="s">
        <v>782</v>
      </c>
      <c r="E1193" s="125">
        <v>380</v>
      </c>
      <c r="F1193" s="134">
        <v>60</v>
      </c>
      <c r="G1193" s="134">
        <v>125</v>
      </c>
      <c r="H1193" s="134">
        <v>225</v>
      </c>
      <c r="I1193" s="134">
        <v>310</v>
      </c>
      <c r="J1193" s="134">
        <v>370</v>
      </c>
      <c r="K1193" s="134">
        <v>430</v>
      </c>
      <c r="L1193" s="134">
        <v>495</v>
      </c>
      <c r="M1193" s="134">
        <v>630</v>
      </c>
      <c r="N1193" s="135">
        <v>565</v>
      </c>
      <c r="O1193" s="94"/>
      <c r="P1193" s="14"/>
      <c r="Q1193" s="14"/>
      <c r="R1193" s="14"/>
      <c r="S1193" s="14"/>
      <c r="T1193" s="14"/>
      <c r="U1193" s="14"/>
    </row>
    <row r="1194" spans="2:21" ht="18.75" customHeight="1" x14ac:dyDescent="0.25">
      <c r="B1194" s="15"/>
      <c r="C1194" s="122"/>
      <c r="D1194" s="210"/>
      <c r="E1194" s="210"/>
      <c r="F1194" s="210"/>
      <c r="G1194" s="210"/>
      <c r="H1194" s="210"/>
      <c r="I1194" s="210"/>
      <c r="J1194" s="210"/>
      <c r="K1194" s="210"/>
      <c r="L1194" s="210"/>
      <c r="M1194" s="210"/>
      <c r="N1194" s="115"/>
      <c r="O1194" s="94"/>
      <c r="P1194" s="14"/>
      <c r="Q1194" s="14"/>
      <c r="R1194" s="14"/>
      <c r="S1194" s="14"/>
      <c r="T1194" s="14"/>
      <c r="U1194" s="14"/>
    </row>
    <row r="1195" spans="2:21" ht="18.75" customHeight="1" x14ac:dyDescent="0.25">
      <c r="B1195" s="15"/>
      <c r="C1195" s="2199" t="s">
        <v>2081</v>
      </c>
      <c r="D1195" s="2200"/>
      <c r="E1195" s="2200" t="s">
        <v>1164</v>
      </c>
      <c r="F1195" s="2200">
        <v>153594</v>
      </c>
      <c r="G1195" s="2200"/>
      <c r="H1195" s="2200"/>
      <c r="I1195" s="2200"/>
      <c r="J1195" s="2200"/>
      <c r="K1195" s="2200"/>
      <c r="L1195" s="2200"/>
      <c r="M1195" s="2200"/>
      <c r="N1195" s="2201"/>
      <c r="O1195" s="94"/>
      <c r="P1195" s="14"/>
      <c r="Q1195" s="14"/>
      <c r="R1195" s="14"/>
      <c r="S1195" s="14"/>
      <c r="T1195" s="14"/>
      <c r="U1195" s="14"/>
    </row>
    <row r="1196" spans="2:21" ht="18.75" customHeight="1" x14ac:dyDescent="0.25">
      <c r="B1196" s="15"/>
      <c r="C1196" s="2202" t="s">
        <v>1088</v>
      </c>
      <c r="D1196" s="210">
        <v>26</v>
      </c>
      <c r="E1196" s="104" t="s">
        <v>679</v>
      </c>
      <c r="F1196" s="210">
        <v>80</v>
      </c>
      <c r="G1196" s="210">
        <v>175</v>
      </c>
      <c r="H1196" s="210">
        <v>295</v>
      </c>
      <c r="I1196" s="210">
        <v>340</v>
      </c>
      <c r="J1196" s="210">
        <v>400</v>
      </c>
      <c r="K1196" s="210">
        <v>455</v>
      </c>
      <c r="L1196" s="210">
        <v>530</v>
      </c>
      <c r="M1196" s="210">
        <v>530</v>
      </c>
      <c r="N1196" s="115">
        <v>397</v>
      </c>
      <c r="O1196" s="94"/>
      <c r="P1196" s="14"/>
      <c r="Q1196" s="14"/>
      <c r="R1196" s="14"/>
      <c r="S1196" s="14"/>
      <c r="T1196" s="14"/>
      <c r="U1196" s="14"/>
    </row>
    <row r="1197" spans="2:21" ht="18.75" customHeight="1" x14ac:dyDescent="0.25">
      <c r="B1197" s="15"/>
      <c r="C1197" s="119" t="s">
        <v>568</v>
      </c>
      <c r="D1197" s="120" t="s">
        <v>623</v>
      </c>
      <c r="E1197" s="110" t="s">
        <v>608</v>
      </c>
      <c r="F1197" s="110" t="s">
        <v>957</v>
      </c>
      <c r="G1197" s="110" t="s">
        <v>572</v>
      </c>
      <c r="H1197" s="110" t="s">
        <v>530</v>
      </c>
      <c r="I1197" s="110" t="s">
        <v>573</v>
      </c>
      <c r="J1197" s="110" t="s">
        <v>574</v>
      </c>
      <c r="K1197" s="110" t="s">
        <v>575</v>
      </c>
      <c r="L1197" s="110" t="s">
        <v>576</v>
      </c>
      <c r="M1197" s="110" t="s">
        <v>577</v>
      </c>
      <c r="N1197" s="2203" t="s">
        <v>609</v>
      </c>
      <c r="O1197" s="94"/>
      <c r="P1197" s="14"/>
      <c r="Q1197" s="14"/>
      <c r="R1197" s="14"/>
      <c r="S1197" s="14"/>
      <c r="T1197" s="14"/>
      <c r="U1197" s="14"/>
    </row>
    <row r="1198" spans="2:21" ht="18.75" customHeight="1" x14ac:dyDescent="0.25">
      <c r="B1198" s="15"/>
      <c r="C1198" s="119" t="s">
        <v>582</v>
      </c>
      <c r="D1198" s="120" t="s">
        <v>566</v>
      </c>
      <c r="E1198" s="121">
        <v>99407.133588249271</v>
      </c>
      <c r="F1198" s="129">
        <v>1257.5776682546764</v>
      </c>
      <c r="G1198" s="129">
        <v>2291.0756601238463</v>
      </c>
      <c r="H1198" s="129">
        <v>8746.1781891014107</v>
      </c>
      <c r="I1198" s="129">
        <v>5346.0313589237812</v>
      </c>
      <c r="J1198" s="129">
        <v>11547.12720748309</v>
      </c>
      <c r="K1198" s="129">
        <v>2073.0103144099658</v>
      </c>
      <c r="L1198" s="129">
        <v>7130.8365079620789</v>
      </c>
      <c r="M1198" s="129">
        <v>61015.296681990425</v>
      </c>
      <c r="N1198" s="130">
        <v>69205.920812644137</v>
      </c>
      <c r="O1198" s="94"/>
      <c r="P1198" s="14"/>
      <c r="Q1198" s="14"/>
      <c r="R1198" s="14"/>
      <c r="S1198" s="14"/>
      <c r="T1198" s="14"/>
      <c r="U1198" s="14"/>
    </row>
    <row r="1199" spans="2:21" ht="18.75" customHeight="1" x14ac:dyDescent="0.25">
      <c r="B1199" s="15"/>
      <c r="C1199" s="119" t="s">
        <v>582</v>
      </c>
      <c r="D1199" s="120" t="s">
        <v>628</v>
      </c>
      <c r="E1199" s="145">
        <v>15805.734240531634</v>
      </c>
      <c r="F1199" s="129">
        <v>199.95484925249355</v>
      </c>
      <c r="G1199" s="129">
        <v>364.28102995969158</v>
      </c>
      <c r="H1199" s="129">
        <v>1390.6423320671242</v>
      </c>
      <c r="I1199" s="129">
        <v>850.01898606888119</v>
      </c>
      <c r="J1199" s="129">
        <v>1835.9932259898114</v>
      </c>
      <c r="K1199" s="129">
        <v>329.60863999118459</v>
      </c>
      <c r="L1199" s="129">
        <v>1133.8030047659706</v>
      </c>
      <c r="M1199" s="129">
        <v>9701.4321724364781</v>
      </c>
      <c r="N1199" s="130">
        <v>11003.741409210417</v>
      </c>
      <c r="O1199" s="94"/>
      <c r="P1199" s="14"/>
      <c r="Q1199" s="14"/>
      <c r="R1199" s="14"/>
      <c r="S1199" s="14"/>
      <c r="T1199" s="14"/>
      <c r="U1199" s="14"/>
    </row>
    <row r="1200" spans="2:21" ht="18.75" customHeight="1" x14ac:dyDescent="0.25">
      <c r="B1200" s="15"/>
      <c r="C1200" s="119" t="s">
        <v>620</v>
      </c>
      <c r="D1200" s="120" t="s">
        <v>622</v>
      </c>
      <c r="E1200" s="129">
        <v>15359400</v>
      </c>
      <c r="F1200" s="129">
        <v>153594</v>
      </c>
      <c r="G1200" s="129">
        <v>307188</v>
      </c>
      <c r="H1200" s="129">
        <v>1228752</v>
      </c>
      <c r="I1200" s="129">
        <v>767970</v>
      </c>
      <c r="J1200" s="129">
        <v>1689534</v>
      </c>
      <c r="K1200" s="129">
        <v>307188</v>
      </c>
      <c r="L1200" s="129">
        <v>1075158</v>
      </c>
      <c r="M1200" s="129">
        <v>9830016</v>
      </c>
      <c r="N1200" s="130">
        <v>11212362</v>
      </c>
      <c r="O1200" s="94"/>
      <c r="P1200" s="14"/>
      <c r="Q1200" s="14"/>
      <c r="R1200" s="14"/>
      <c r="S1200" s="14"/>
      <c r="T1200" s="14"/>
      <c r="U1200" s="14"/>
    </row>
    <row r="1201" spans="2:21" ht="18.75" customHeight="1" x14ac:dyDescent="0.25">
      <c r="B1201" s="15"/>
      <c r="C1201" s="122" t="s">
        <v>776</v>
      </c>
      <c r="D1201" s="120" t="s">
        <v>579</v>
      </c>
      <c r="E1201" s="125">
        <v>0.24700729827970283</v>
      </c>
      <c r="F1201" s="125">
        <v>1.0658665943137214E-2</v>
      </c>
      <c r="G1201" s="125">
        <v>6.5903502035732295E-3</v>
      </c>
      <c r="H1201" s="125">
        <v>4.3800424500760243E-2</v>
      </c>
      <c r="I1201" s="125">
        <v>0.12744104635257789</v>
      </c>
      <c r="J1201" s="125">
        <v>0.22902562125918385</v>
      </c>
      <c r="K1201" s="125">
        <v>0.35</v>
      </c>
      <c r="L1201" s="125">
        <v>0.6</v>
      </c>
      <c r="M1201" s="125">
        <v>0.09</v>
      </c>
      <c r="N1201" s="131">
        <v>0.28999999999999998</v>
      </c>
      <c r="O1201" s="94"/>
      <c r="P1201" s="14"/>
      <c r="Q1201" s="14"/>
      <c r="R1201" s="14"/>
      <c r="S1201" s="14"/>
      <c r="T1201" s="14"/>
      <c r="U1201" s="14"/>
    </row>
    <row r="1202" spans="2:21" ht="18.75" customHeight="1" x14ac:dyDescent="0.25">
      <c r="B1202" s="15"/>
      <c r="C1202" s="122" t="s">
        <v>777</v>
      </c>
      <c r="D1202" s="210" t="s">
        <v>778</v>
      </c>
      <c r="E1202" s="125">
        <v>8382.9246656058785</v>
      </c>
      <c r="F1202" s="132">
        <v>0</v>
      </c>
      <c r="G1202" s="132">
        <v>0</v>
      </c>
      <c r="H1202" s="132">
        <v>50</v>
      </c>
      <c r="I1202" s="132">
        <v>1000</v>
      </c>
      <c r="J1202" s="132">
        <v>1390.2242327807053</v>
      </c>
      <c r="K1202" s="132">
        <v>2203.4022891020759</v>
      </c>
      <c r="L1202" s="132">
        <v>3116.2551850563377</v>
      </c>
      <c r="M1202" s="125">
        <v>8000</v>
      </c>
      <c r="N1202" s="133">
        <v>11200</v>
      </c>
      <c r="O1202" s="94"/>
      <c r="P1202" s="14"/>
      <c r="Q1202" s="14"/>
      <c r="R1202" s="14"/>
      <c r="S1202" s="14"/>
      <c r="T1202" s="14"/>
      <c r="U1202" s="14"/>
    </row>
    <row r="1203" spans="2:21" ht="18.75" customHeight="1" x14ac:dyDescent="0.25">
      <c r="B1203" s="15"/>
      <c r="C1203" s="119" t="s">
        <v>779</v>
      </c>
      <c r="D1203" s="120" t="s">
        <v>970</v>
      </c>
      <c r="E1203" s="132">
        <v>15</v>
      </c>
      <c r="F1203" s="125">
        <v>52.52894619728734</v>
      </c>
      <c r="G1203" s="125">
        <v>36.133479042290574</v>
      </c>
      <c r="H1203" s="125">
        <v>28.485144061503377</v>
      </c>
      <c r="I1203" s="125">
        <v>24.963420455897833</v>
      </c>
      <c r="J1203" s="125">
        <v>22.114632988565432</v>
      </c>
      <c r="K1203" s="125">
        <v>20.178068578630175</v>
      </c>
      <c r="L1203" s="125">
        <v>17.571204926241585</v>
      </c>
      <c r="M1203" s="125">
        <v>8.0115217551169735</v>
      </c>
      <c r="N1203" s="131">
        <v>7.2304241010958918</v>
      </c>
      <c r="O1203" s="94"/>
      <c r="P1203" s="14"/>
      <c r="Q1203" s="14"/>
      <c r="R1203" s="14"/>
      <c r="S1203" s="14"/>
      <c r="T1203" s="14"/>
      <c r="U1203" s="14"/>
    </row>
    <row r="1204" spans="2:21" ht="18.75" customHeight="1" x14ac:dyDescent="0.25">
      <c r="B1204" s="15"/>
      <c r="C1204" s="119" t="s">
        <v>580</v>
      </c>
      <c r="D1204" s="120" t="s">
        <v>581</v>
      </c>
      <c r="E1204" s="125">
        <v>966</v>
      </c>
      <c r="F1204" s="125">
        <v>768.1434112460496</v>
      </c>
      <c r="G1204" s="125">
        <v>843.27202004998992</v>
      </c>
      <c r="H1204" s="125">
        <v>883.5859312390686</v>
      </c>
      <c r="I1204" s="125">
        <v>903.47393715481974</v>
      </c>
      <c r="J1204" s="125">
        <v>920.22888542475255</v>
      </c>
      <c r="K1204" s="125">
        <v>931.97799671821633</v>
      </c>
      <c r="L1204" s="125">
        <v>948.27584287618322</v>
      </c>
      <c r="M1204" s="125">
        <v>1013.2541077727526</v>
      </c>
      <c r="N1204" s="131">
        <v>1018.9590597444395</v>
      </c>
      <c r="O1204" s="94"/>
      <c r="P1204" s="14"/>
      <c r="Q1204" s="14"/>
      <c r="R1204" s="14"/>
      <c r="S1204" s="14"/>
      <c r="T1204" s="14"/>
      <c r="U1204" s="14"/>
    </row>
    <row r="1205" spans="2:21" ht="18.75" customHeight="1" x14ac:dyDescent="0.25">
      <c r="B1205" s="15"/>
      <c r="C1205" s="119" t="s">
        <v>541</v>
      </c>
      <c r="D1205" s="120" t="s">
        <v>579</v>
      </c>
      <c r="E1205" s="125">
        <v>10.622077158025604</v>
      </c>
      <c r="F1205" s="125">
        <v>11.747680006941836</v>
      </c>
      <c r="G1205" s="125">
        <v>11.903883482265393</v>
      </c>
      <c r="H1205" s="125">
        <v>11.846200712456666</v>
      </c>
      <c r="I1205" s="125">
        <v>12.227425668969918</v>
      </c>
      <c r="J1205" s="125">
        <v>11.939274629610413</v>
      </c>
      <c r="K1205" s="125">
        <v>11.759256370671935</v>
      </c>
      <c r="L1205" s="125">
        <v>11.518216092351157</v>
      </c>
      <c r="M1205" s="125">
        <v>9.9260545073916955</v>
      </c>
      <c r="N1205" s="131">
        <v>10.12895224466946</v>
      </c>
      <c r="O1205" s="94"/>
      <c r="P1205" s="14"/>
      <c r="Q1205" s="14"/>
      <c r="R1205" s="14"/>
      <c r="S1205" s="14"/>
      <c r="T1205" s="14"/>
      <c r="U1205" s="14"/>
    </row>
    <row r="1206" spans="2:21" ht="18.75" customHeight="1" x14ac:dyDescent="0.25">
      <c r="B1206" s="15"/>
      <c r="C1206" s="119" t="s">
        <v>544</v>
      </c>
      <c r="D1206" s="120" t="s">
        <v>579</v>
      </c>
      <c r="E1206" s="125">
        <v>5.9</v>
      </c>
      <c r="F1206" s="128"/>
      <c r="G1206" s="128"/>
      <c r="H1206" s="128"/>
      <c r="I1206" s="128"/>
      <c r="J1206" s="128"/>
      <c r="K1206" s="128"/>
      <c r="L1206" s="128"/>
      <c r="M1206" s="125">
        <v>9.2095312499999995</v>
      </c>
      <c r="N1206" s="131">
        <v>8.0821917808219172</v>
      </c>
      <c r="O1206" s="94"/>
      <c r="P1206" s="14"/>
      <c r="Q1206" s="14"/>
      <c r="R1206" s="14"/>
      <c r="S1206" s="14"/>
      <c r="T1206" s="14"/>
      <c r="U1206" s="14"/>
    </row>
    <row r="1207" spans="2:21" ht="18.75" customHeight="1" x14ac:dyDescent="0.25">
      <c r="B1207" s="15"/>
      <c r="C1207" s="119" t="s">
        <v>780</v>
      </c>
      <c r="D1207" s="120" t="s">
        <v>783</v>
      </c>
      <c r="E1207" s="125">
        <v>12.037463205578611</v>
      </c>
      <c r="F1207" s="125">
        <v>10.743307498236859</v>
      </c>
      <c r="G1207" s="125">
        <v>10.903717553605832</v>
      </c>
      <c r="H1207" s="125">
        <v>11.08211863738326</v>
      </c>
      <c r="I1207" s="125">
        <v>11.237610502842152</v>
      </c>
      <c r="J1207" s="125">
        <v>11.428576978776309</v>
      </c>
      <c r="K1207" s="125">
        <v>11.595064764215861</v>
      </c>
      <c r="L1207" s="125">
        <v>11.812535891682771</v>
      </c>
      <c r="M1207" s="125">
        <v>11.885142688746239</v>
      </c>
      <c r="N1207" s="131">
        <v>11.85894451048171</v>
      </c>
      <c r="O1207" s="94"/>
      <c r="P1207" s="14"/>
      <c r="Q1207" s="14"/>
      <c r="R1207" s="14"/>
      <c r="S1207" s="14"/>
      <c r="T1207" s="14"/>
      <c r="U1207" s="14"/>
    </row>
    <row r="1208" spans="2:21" ht="18.75" customHeight="1" x14ac:dyDescent="0.25">
      <c r="B1208" s="15"/>
      <c r="C1208" s="122" t="s">
        <v>781</v>
      </c>
      <c r="D1208" s="120" t="s">
        <v>782</v>
      </c>
      <c r="E1208" s="125">
        <v>600</v>
      </c>
      <c r="F1208" s="134">
        <v>40</v>
      </c>
      <c r="G1208" s="134">
        <v>160</v>
      </c>
      <c r="H1208" s="134">
        <v>250</v>
      </c>
      <c r="I1208" s="134">
        <v>310</v>
      </c>
      <c r="J1208" s="134">
        <v>375</v>
      </c>
      <c r="K1208" s="134">
        <v>430</v>
      </c>
      <c r="L1208" s="134">
        <v>510</v>
      </c>
      <c r="M1208" s="134">
        <v>700</v>
      </c>
      <c r="N1208" s="135">
        <v>710</v>
      </c>
      <c r="O1208" s="94"/>
      <c r="P1208" s="14"/>
      <c r="Q1208" s="14"/>
      <c r="R1208" s="14"/>
      <c r="S1208" s="14"/>
      <c r="T1208" s="14"/>
      <c r="U1208" s="14"/>
    </row>
    <row r="1209" spans="2:21" ht="18.75" customHeight="1" x14ac:dyDescent="0.25">
      <c r="B1209" s="15"/>
      <c r="C1209" s="122"/>
      <c r="D1209" s="210"/>
      <c r="E1209" s="210"/>
      <c r="F1209" s="210"/>
      <c r="G1209" s="210"/>
      <c r="H1209" s="210"/>
      <c r="I1209" s="210"/>
      <c r="J1209" s="210"/>
      <c r="K1209" s="210"/>
      <c r="L1209" s="210"/>
      <c r="M1209" s="210"/>
      <c r="N1209" s="115"/>
      <c r="O1209" s="94"/>
      <c r="P1209" s="14"/>
      <c r="Q1209" s="14"/>
      <c r="R1209" s="14"/>
      <c r="S1209" s="14"/>
      <c r="T1209" s="14"/>
      <c r="U1209" s="14"/>
    </row>
    <row r="1210" spans="2:21" ht="18.75" customHeight="1" x14ac:dyDescent="0.25">
      <c r="B1210" s="15"/>
      <c r="C1210" s="2199" t="s">
        <v>2082</v>
      </c>
      <c r="D1210" s="2200"/>
      <c r="E1210" s="2200"/>
      <c r="F1210" s="2200"/>
      <c r="G1210" s="2200"/>
      <c r="H1210" s="2200"/>
      <c r="I1210" s="2200"/>
      <c r="J1210" s="2200"/>
      <c r="K1210" s="2200"/>
      <c r="L1210" s="2200"/>
      <c r="M1210" s="2200"/>
      <c r="N1210" s="2201"/>
      <c r="O1210" s="94"/>
      <c r="P1210" s="14"/>
      <c r="Q1210" s="14"/>
      <c r="R1210" s="14"/>
      <c r="S1210" s="14"/>
      <c r="T1210" s="14"/>
      <c r="U1210" s="14"/>
    </row>
    <row r="1211" spans="2:21" ht="18.75" customHeight="1" x14ac:dyDescent="0.25">
      <c r="B1211" s="15"/>
      <c r="C1211" s="2202" t="s">
        <v>1088</v>
      </c>
      <c r="D1211" s="210">
        <v>51</v>
      </c>
      <c r="E1211" s="104" t="s">
        <v>679</v>
      </c>
      <c r="F1211" s="210">
        <v>80</v>
      </c>
      <c r="G1211" s="210">
        <v>180</v>
      </c>
      <c r="H1211" s="210">
        <v>290</v>
      </c>
      <c r="I1211" s="210">
        <v>340</v>
      </c>
      <c r="J1211" s="210">
        <v>400</v>
      </c>
      <c r="K1211" s="210">
        <v>450</v>
      </c>
      <c r="L1211" s="210">
        <v>525</v>
      </c>
      <c r="M1211" s="210">
        <v>525</v>
      </c>
      <c r="N1211" s="115">
        <v>400</v>
      </c>
      <c r="O1211" s="94"/>
      <c r="P1211" s="14"/>
      <c r="Q1211" s="14"/>
      <c r="R1211" s="14"/>
      <c r="S1211" s="14"/>
      <c r="T1211" s="14"/>
      <c r="U1211" s="14"/>
    </row>
    <row r="1212" spans="2:21" ht="18.75" customHeight="1" x14ac:dyDescent="0.25">
      <c r="B1212" s="15"/>
      <c r="C1212" s="119" t="s">
        <v>568</v>
      </c>
      <c r="D1212" s="120" t="s">
        <v>623</v>
      </c>
      <c r="E1212" s="110" t="s">
        <v>608</v>
      </c>
      <c r="F1212" s="110" t="s">
        <v>957</v>
      </c>
      <c r="G1212" s="110" t="s">
        <v>572</v>
      </c>
      <c r="H1212" s="110" t="s">
        <v>530</v>
      </c>
      <c r="I1212" s="110" t="s">
        <v>573</v>
      </c>
      <c r="J1212" s="110" t="s">
        <v>574</v>
      </c>
      <c r="K1212" s="110" t="s">
        <v>575</v>
      </c>
      <c r="L1212" s="110" t="s">
        <v>576</v>
      </c>
      <c r="M1212" s="110" t="s">
        <v>577</v>
      </c>
      <c r="N1212" s="2203" t="s">
        <v>609</v>
      </c>
      <c r="O1212" s="94"/>
      <c r="P1212" s="14"/>
      <c r="Q1212" s="14"/>
      <c r="R1212" s="14"/>
      <c r="S1212" s="14"/>
      <c r="T1212" s="14"/>
      <c r="U1212" s="14"/>
    </row>
    <row r="1213" spans="2:21" ht="18.75" customHeight="1" x14ac:dyDescent="0.25">
      <c r="B1213" s="15"/>
      <c r="C1213" s="119" t="s">
        <v>582</v>
      </c>
      <c r="D1213" s="120" t="s">
        <v>566</v>
      </c>
      <c r="E1213" s="121">
        <v>102806.38055693613</v>
      </c>
      <c r="F1213" s="129">
        <v>15126.532186127402</v>
      </c>
      <c r="G1213" s="129">
        <v>10522.120443712052</v>
      </c>
      <c r="H1213" s="129">
        <v>19918.579686458539</v>
      </c>
      <c r="I1213" s="129">
        <v>8128.2075525958289</v>
      </c>
      <c r="J1213" s="129">
        <v>11049.113280340256</v>
      </c>
      <c r="K1213" s="129">
        <v>8952.1248066609332</v>
      </c>
      <c r="L1213" s="129">
        <v>9718.1100029880854</v>
      </c>
      <c r="M1213" s="129">
        <v>19391.592598053026</v>
      </c>
      <c r="N1213" s="130">
        <v>36682.869244544941</v>
      </c>
      <c r="O1213" s="94"/>
      <c r="P1213" s="14"/>
      <c r="Q1213" s="14"/>
      <c r="R1213" s="14"/>
      <c r="S1213" s="14"/>
      <c r="T1213" s="14"/>
      <c r="U1213" s="14"/>
    </row>
    <row r="1214" spans="2:21" ht="18.75" customHeight="1" x14ac:dyDescent="0.25">
      <c r="B1214" s="15"/>
      <c r="C1214" s="119" t="s">
        <v>582</v>
      </c>
      <c r="D1214" s="120" t="s">
        <v>628</v>
      </c>
      <c r="E1214" s="145">
        <v>16346.214508552845</v>
      </c>
      <c r="F1214" s="129">
        <v>2405.1186175942571</v>
      </c>
      <c r="G1214" s="129">
        <v>1673.0171505502165</v>
      </c>
      <c r="H1214" s="129">
        <v>3167.0541701469078</v>
      </c>
      <c r="I1214" s="129">
        <v>1292.3850008627369</v>
      </c>
      <c r="J1214" s="129">
        <v>1756.8090115741009</v>
      </c>
      <c r="K1214" s="129">
        <v>1423.3878442590883</v>
      </c>
      <c r="L1214" s="129">
        <v>1545.1794904751055</v>
      </c>
      <c r="M1214" s="129">
        <v>3083.263223090431</v>
      </c>
      <c r="N1214" s="130">
        <v>5832.5762098826453</v>
      </c>
      <c r="O1214" s="94"/>
      <c r="P1214" s="14"/>
      <c r="Q1214" s="14"/>
      <c r="R1214" s="14"/>
      <c r="S1214" s="14"/>
      <c r="T1214" s="14"/>
      <c r="U1214" s="14"/>
    </row>
    <row r="1215" spans="2:21" ht="18.75" customHeight="1" x14ac:dyDescent="0.25">
      <c r="B1215" s="15"/>
      <c r="C1215" s="119" t="s">
        <v>620</v>
      </c>
      <c r="D1215" s="120" t="s">
        <v>622</v>
      </c>
      <c r="E1215" s="129">
        <v>14284560</v>
      </c>
      <c r="F1215" s="129">
        <v>1571301.6</v>
      </c>
      <c r="G1215" s="129">
        <v>1285610.3999999999</v>
      </c>
      <c r="H1215" s="129">
        <v>2714066.4</v>
      </c>
      <c r="I1215" s="129">
        <v>1142764.8</v>
      </c>
      <c r="J1215" s="129">
        <v>1571301.6</v>
      </c>
      <c r="K1215" s="129">
        <v>1285610.3999999999</v>
      </c>
      <c r="L1215" s="129">
        <v>1428456</v>
      </c>
      <c r="M1215" s="129">
        <v>3285448.8000000003</v>
      </c>
      <c r="N1215" s="130">
        <v>5999515.2000000002</v>
      </c>
      <c r="O1215" s="94"/>
      <c r="P1215" s="14"/>
      <c r="Q1215" s="14"/>
      <c r="R1215" s="14"/>
      <c r="S1215" s="14"/>
      <c r="T1215" s="14"/>
      <c r="U1215" s="14"/>
    </row>
    <row r="1216" spans="2:21" ht="18.75" customHeight="1" x14ac:dyDescent="0.25">
      <c r="B1216" s="15"/>
      <c r="C1216" s="122" t="s">
        <v>776</v>
      </c>
      <c r="D1216" s="120" t="s">
        <v>579</v>
      </c>
      <c r="E1216" s="125">
        <v>1.6304670657799283</v>
      </c>
      <c r="F1216" s="125">
        <v>0</v>
      </c>
      <c r="G1216" s="125">
        <v>0</v>
      </c>
      <c r="H1216" s="125">
        <v>0.15070572966728246</v>
      </c>
      <c r="I1216" s="125">
        <v>0.23763104453304651</v>
      </c>
      <c r="J1216" s="125">
        <v>0.41713185897370231</v>
      </c>
      <c r="K1216" s="125">
        <v>0.70782707896723718</v>
      </c>
      <c r="L1216" s="125">
        <v>1.4161323592081465</v>
      </c>
      <c r="M1216" s="125">
        <v>5.7896535481109899</v>
      </c>
      <c r="N1216" s="131">
        <v>3.6593761645080796</v>
      </c>
      <c r="O1216" s="94"/>
      <c r="P1216" s="14"/>
      <c r="Q1216" s="14"/>
      <c r="R1216" s="14"/>
      <c r="S1216" s="14"/>
      <c r="T1216" s="14"/>
      <c r="U1216" s="14"/>
    </row>
    <row r="1217" spans="2:21" ht="18.75" customHeight="1" x14ac:dyDescent="0.25">
      <c r="B1217" s="15"/>
      <c r="C1217" s="122" t="s">
        <v>777</v>
      </c>
      <c r="D1217" s="210" t="s">
        <v>778</v>
      </c>
      <c r="E1217" s="125">
        <v>2904.5423318734438</v>
      </c>
      <c r="F1217" s="132">
        <v>0</v>
      </c>
      <c r="G1217" s="132">
        <v>0</v>
      </c>
      <c r="H1217" s="132">
        <v>0</v>
      </c>
      <c r="I1217" s="132">
        <v>0</v>
      </c>
      <c r="J1217" s="132">
        <v>0</v>
      </c>
      <c r="K1217" s="132">
        <v>0</v>
      </c>
      <c r="L1217" s="132">
        <v>1170.0618622498569</v>
      </c>
      <c r="M1217" s="125">
        <v>12119.722372384598</v>
      </c>
      <c r="N1217" s="133">
        <v>6915.5769806510561</v>
      </c>
      <c r="O1217" s="94"/>
      <c r="P1217" s="14"/>
      <c r="Q1217" s="14"/>
      <c r="R1217" s="14"/>
      <c r="S1217" s="14"/>
      <c r="T1217" s="14"/>
      <c r="U1217" s="14"/>
    </row>
    <row r="1218" spans="2:21" ht="18.75" customHeight="1" x14ac:dyDescent="0.25">
      <c r="B1218" s="15"/>
      <c r="C1218" s="119" t="s">
        <v>779</v>
      </c>
      <c r="D1218" s="120" t="s">
        <v>970</v>
      </c>
      <c r="E1218" s="132">
        <v>26</v>
      </c>
      <c r="F1218" s="125">
        <v>84.874160740028273</v>
      </c>
      <c r="G1218" s="125">
        <v>52.458332831591022</v>
      </c>
      <c r="H1218" s="125">
        <v>33.454235822376262</v>
      </c>
      <c r="I1218" s="125">
        <v>28.368722095412338</v>
      </c>
      <c r="J1218" s="125">
        <v>26.549616629757523</v>
      </c>
      <c r="K1218" s="125">
        <v>25.010084021876153</v>
      </c>
      <c r="L1218" s="125">
        <v>21.411629513120275</v>
      </c>
      <c r="M1218" s="125">
        <v>1.161330332531648</v>
      </c>
      <c r="N1218" s="131">
        <v>5.9272047527609431</v>
      </c>
      <c r="O1218" s="94"/>
      <c r="P1218" s="14"/>
      <c r="Q1218" s="14"/>
      <c r="R1218" s="14"/>
      <c r="S1218" s="14"/>
      <c r="T1218" s="14"/>
      <c r="U1218" s="14"/>
    </row>
    <row r="1219" spans="2:21" ht="18.75" customHeight="1" x14ac:dyDescent="0.25">
      <c r="B1219" s="15"/>
      <c r="C1219" s="119" t="s">
        <v>580</v>
      </c>
      <c r="D1219" s="120" t="s">
        <v>581</v>
      </c>
      <c r="E1219" s="125">
        <v>898.4</v>
      </c>
      <c r="F1219" s="125">
        <v>653.31563628729032</v>
      </c>
      <c r="G1219" s="125">
        <v>768.43826710156111</v>
      </c>
      <c r="H1219" s="125">
        <v>856.96873314740446</v>
      </c>
      <c r="I1219" s="125">
        <v>884.22938925872927</v>
      </c>
      <c r="J1219" s="125">
        <v>894.40661429218983</v>
      </c>
      <c r="K1219" s="125">
        <v>903.20456591309073</v>
      </c>
      <c r="L1219" s="125">
        <v>924.45959113836295</v>
      </c>
      <c r="M1219" s="125">
        <v>1065.5751916980068</v>
      </c>
      <c r="N1219" s="131">
        <v>1028.6218274927116</v>
      </c>
      <c r="O1219" s="94"/>
      <c r="P1219" s="14"/>
      <c r="Q1219" s="14"/>
      <c r="R1219" s="14"/>
      <c r="S1219" s="14"/>
      <c r="T1219" s="14"/>
      <c r="U1219" s="14"/>
    </row>
    <row r="1220" spans="2:21" ht="18.75" customHeight="1" x14ac:dyDescent="0.25">
      <c r="B1220" s="15"/>
      <c r="C1220" s="119" t="s">
        <v>541</v>
      </c>
      <c r="D1220" s="120" t="s">
        <v>579</v>
      </c>
      <c r="E1220" s="125">
        <v>13.829368552475078</v>
      </c>
      <c r="F1220" s="125">
        <v>15.659423563914627</v>
      </c>
      <c r="G1220" s="125">
        <v>16.875130726592857</v>
      </c>
      <c r="H1220" s="125">
        <v>17.41979571916259</v>
      </c>
      <c r="I1220" s="125">
        <v>17.079192008689883</v>
      </c>
      <c r="J1220" s="125">
        <v>16.485853580871087</v>
      </c>
      <c r="K1220" s="125">
        <v>15.678775452324139</v>
      </c>
      <c r="L1220" s="125">
        <v>14.020787094622573</v>
      </c>
      <c r="M1220" s="125">
        <v>5.5885271897729529</v>
      </c>
      <c r="N1220" s="131">
        <v>9.7584041757600222</v>
      </c>
      <c r="O1220" s="94"/>
      <c r="P1220" s="14"/>
      <c r="Q1220" s="14"/>
      <c r="R1220" s="14"/>
      <c r="S1220" s="14"/>
      <c r="T1220" s="14"/>
      <c r="U1220" s="14"/>
    </row>
    <row r="1221" spans="2:21" ht="18.75" customHeight="1" x14ac:dyDescent="0.25">
      <c r="B1221" s="15"/>
      <c r="C1221" s="119" t="s">
        <v>544</v>
      </c>
      <c r="D1221" s="120" t="s">
        <v>579</v>
      </c>
      <c r="E1221" s="125">
        <v>7.1</v>
      </c>
      <c r="F1221" s="128"/>
      <c r="G1221" s="128"/>
      <c r="H1221" s="128"/>
      <c r="I1221" s="128"/>
      <c r="J1221" s="128"/>
      <c r="K1221" s="128"/>
      <c r="L1221" s="128"/>
      <c r="M1221" s="125">
        <v>30.838695652173914</v>
      </c>
      <c r="N1221" s="131">
        <v>16.904761904761905</v>
      </c>
      <c r="O1221" s="94"/>
      <c r="P1221" s="14"/>
      <c r="Q1221" s="14"/>
      <c r="R1221" s="14"/>
      <c r="S1221" s="14"/>
      <c r="T1221" s="14"/>
      <c r="U1221" s="14"/>
    </row>
    <row r="1222" spans="2:21" ht="18.75" customHeight="1" x14ac:dyDescent="0.25">
      <c r="B1222" s="15"/>
      <c r="C1222" s="119" t="s">
        <v>780</v>
      </c>
      <c r="D1222" s="120" t="s">
        <v>783</v>
      </c>
      <c r="E1222" s="125">
        <v>11.471455471277723</v>
      </c>
      <c r="F1222" s="125">
        <v>12.563978433121244</v>
      </c>
      <c r="G1222" s="125">
        <v>11.682687185889568</v>
      </c>
      <c r="H1222" s="125">
        <v>11.353052471903501</v>
      </c>
      <c r="I1222" s="125">
        <v>11.514911357412041</v>
      </c>
      <c r="J1222" s="125">
        <v>11.69774364938786</v>
      </c>
      <c r="K1222" s="125">
        <v>11.878759542973862</v>
      </c>
      <c r="L1222" s="125">
        <v>11.960116364058527</v>
      </c>
      <c r="M1222" s="125">
        <v>10.941836837316337</v>
      </c>
      <c r="N1222" s="131">
        <v>11.248705149898811</v>
      </c>
      <c r="O1222" s="94"/>
      <c r="P1222" s="14"/>
      <c r="Q1222" s="14"/>
      <c r="R1222" s="14"/>
      <c r="S1222" s="14"/>
      <c r="T1222" s="14"/>
      <c r="U1222" s="14"/>
    </row>
    <row r="1223" spans="2:21" ht="18.75" customHeight="1" x14ac:dyDescent="0.25">
      <c r="B1223" s="15"/>
      <c r="C1223" s="122" t="s">
        <v>781</v>
      </c>
      <c r="D1223" s="120" t="s">
        <v>782</v>
      </c>
      <c r="E1223" s="125">
        <v>335</v>
      </c>
      <c r="F1223" s="134">
        <v>35</v>
      </c>
      <c r="G1223" s="134">
        <v>130</v>
      </c>
      <c r="H1223" s="134">
        <v>240</v>
      </c>
      <c r="I1223" s="134">
        <v>315</v>
      </c>
      <c r="J1223" s="134">
        <v>365</v>
      </c>
      <c r="K1223" s="134">
        <v>415</v>
      </c>
      <c r="L1223" s="134">
        <v>480</v>
      </c>
      <c r="M1223" s="134">
        <v>610</v>
      </c>
      <c r="N1223" s="135">
        <v>590</v>
      </c>
      <c r="O1223" s="94"/>
      <c r="P1223" s="14"/>
      <c r="Q1223" s="14"/>
      <c r="R1223" s="14"/>
      <c r="S1223" s="14"/>
      <c r="T1223" s="14"/>
      <c r="U1223" s="14"/>
    </row>
    <row r="1224" spans="2:21" ht="18.75" customHeight="1" x14ac:dyDescent="0.25">
      <c r="B1224" s="15"/>
      <c r="C1224" s="122"/>
      <c r="D1224" s="210"/>
      <c r="E1224" s="210"/>
      <c r="F1224" s="210"/>
      <c r="G1224" s="210"/>
      <c r="H1224" s="210"/>
      <c r="I1224" s="210"/>
      <c r="J1224" s="210"/>
      <c r="K1224" s="210"/>
      <c r="L1224" s="210"/>
      <c r="M1224" s="210"/>
      <c r="N1224" s="115"/>
      <c r="O1224" s="94"/>
      <c r="P1224" s="14"/>
      <c r="Q1224" s="14"/>
      <c r="R1224" s="14"/>
      <c r="S1224" s="14"/>
      <c r="T1224" s="14"/>
      <c r="U1224" s="14"/>
    </row>
    <row r="1225" spans="2:21" ht="18.75" customHeight="1" x14ac:dyDescent="0.25">
      <c r="B1225" s="15"/>
      <c r="C1225" s="2199" t="s">
        <v>2083</v>
      </c>
      <c r="D1225" s="2200"/>
      <c r="E1225" s="2200" t="s">
        <v>1172</v>
      </c>
      <c r="F1225" s="2200"/>
      <c r="G1225" s="2200"/>
      <c r="H1225" s="2200"/>
      <c r="I1225" s="2200"/>
      <c r="J1225" s="2200"/>
      <c r="K1225" s="2200"/>
      <c r="L1225" s="2200"/>
      <c r="M1225" s="2200"/>
      <c r="N1225" s="2201"/>
      <c r="O1225" s="94"/>
      <c r="P1225" s="14"/>
      <c r="Q1225" s="14"/>
      <c r="R1225" s="14"/>
      <c r="S1225" s="14"/>
      <c r="T1225" s="14"/>
      <c r="U1225" s="14"/>
    </row>
    <row r="1226" spans="2:21" ht="18.75" customHeight="1" x14ac:dyDescent="0.25">
      <c r="B1226" s="15"/>
      <c r="C1226" s="2202" t="s">
        <v>1088</v>
      </c>
      <c r="D1226" s="210">
        <v>25</v>
      </c>
      <c r="E1226" s="104" t="s">
        <v>679</v>
      </c>
      <c r="F1226" s="210">
        <v>80</v>
      </c>
      <c r="G1226" s="210">
        <v>177</v>
      </c>
      <c r="H1226" s="210">
        <v>295</v>
      </c>
      <c r="I1226" s="210">
        <v>340</v>
      </c>
      <c r="J1226" s="210">
        <v>397</v>
      </c>
      <c r="K1226" s="210">
        <v>450</v>
      </c>
      <c r="L1226" s="210">
        <v>530</v>
      </c>
      <c r="M1226" s="210">
        <v>530</v>
      </c>
      <c r="N1226" s="115">
        <v>397</v>
      </c>
      <c r="O1226" s="94"/>
      <c r="P1226" s="14"/>
      <c r="Q1226" s="14"/>
      <c r="R1226" s="14"/>
      <c r="S1226" s="14"/>
      <c r="T1226" s="14"/>
      <c r="U1226" s="14"/>
    </row>
    <row r="1227" spans="2:21" ht="18.75" customHeight="1" x14ac:dyDescent="0.25">
      <c r="B1227" s="15"/>
      <c r="C1227" s="119" t="s">
        <v>568</v>
      </c>
      <c r="D1227" s="120" t="s">
        <v>623</v>
      </c>
      <c r="E1227" s="110" t="s">
        <v>608</v>
      </c>
      <c r="F1227" s="110" t="s">
        <v>957</v>
      </c>
      <c r="G1227" s="110" t="s">
        <v>572</v>
      </c>
      <c r="H1227" s="110" t="s">
        <v>530</v>
      </c>
      <c r="I1227" s="110" t="s">
        <v>573</v>
      </c>
      <c r="J1227" s="110" t="s">
        <v>574</v>
      </c>
      <c r="K1227" s="110" t="s">
        <v>575</v>
      </c>
      <c r="L1227" s="110" t="s">
        <v>576</v>
      </c>
      <c r="M1227" s="110" t="s">
        <v>577</v>
      </c>
      <c r="N1227" s="2203" t="s">
        <v>609</v>
      </c>
      <c r="O1227" s="94"/>
      <c r="P1227" s="14"/>
      <c r="Q1227" s="14"/>
      <c r="R1227" s="14"/>
      <c r="S1227" s="14"/>
      <c r="T1227" s="14"/>
      <c r="U1227" s="14"/>
    </row>
    <row r="1228" spans="2:21" ht="18.75" customHeight="1" x14ac:dyDescent="0.25">
      <c r="B1228" s="15"/>
      <c r="C1228" s="119" t="s">
        <v>582</v>
      </c>
      <c r="D1228" s="120" t="s">
        <v>566</v>
      </c>
      <c r="E1228" s="121">
        <v>100366.32586188609</v>
      </c>
      <c r="F1228" s="129">
        <v>8626.6510352798978</v>
      </c>
      <c r="G1228" s="129">
        <v>8193.8023039707605</v>
      </c>
      <c r="H1228" s="129">
        <v>16078.467789973844</v>
      </c>
      <c r="I1228" s="129">
        <v>4110.3295979747763</v>
      </c>
      <c r="J1228" s="129">
        <v>7027.1677269173097</v>
      </c>
      <c r="K1228" s="129">
        <v>2970.0560266677094</v>
      </c>
      <c r="L1228" s="129">
        <v>3914.0117987159242</v>
      </c>
      <c r="M1228" s="129">
        <v>49445.839582385866</v>
      </c>
      <c r="N1228" s="130">
        <v>57815.901649283092</v>
      </c>
      <c r="O1228" s="94"/>
      <c r="P1228" s="14"/>
      <c r="Q1228" s="14"/>
      <c r="R1228" s="14"/>
      <c r="S1228" s="14"/>
      <c r="T1228" s="14"/>
      <c r="U1228" s="14"/>
    </row>
    <row r="1229" spans="2:21" ht="18.75" customHeight="1" x14ac:dyDescent="0.25">
      <c r="B1229" s="15"/>
      <c r="C1229" s="119" t="s">
        <v>582</v>
      </c>
      <c r="D1229" s="120" t="s">
        <v>628</v>
      </c>
      <c r="E1229" s="145">
        <v>15958.245812039888</v>
      </c>
      <c r="F1229" s="129">
        <v>1371.6375146095038</v>
      </c>
      <c r="G1229" s="129">
        <v>1302.814566331351</v>
      </c>
      <c r="H1229" s="129">
        <v>2556.4763786058411</v>
      </c>
      <c r="I1229" s="129">
        <v>653.54240607798943</v>
      </c>
      <c r="J1229" s="129">
        <v>1117.3196685798523</v>
      </c>
      <c r="K1229" s="129">
        <v>472.23890824016581</v>
      </c>
      <c r="L1229" s="129">
        <v>622.32787599583196</v>
      </c>
      <c r="M1229" s="129">
        <v>7861.8884935993528</v>
      </c>
      <c r="N1229" s="130">
        <v>9192.7283622360119</v>
      </c>
      <c r="O1229" s="94"/>
      <c r="P1229" s="14"/>
      <c r="Q1229" s="14"/>
      <c r="R1229" s="14"/>
      <c r="S1229" s="14"/>
      <c r="T1229" s="14"/>
      <c r="U1229" s="14"/>
    </row>
    <row r="1230" spans="2:21" ht="18.75" customHeight="1" x14ac:dyDescent="0.25">
      <c r="B1230" s="15"/>
      <c r="C1230" s="119" t="s">
        <v>620</v>
      </c>
      <c r="D1230" s="120" t="s">
        <v>622</v>
      </c>
      <c r="E1230" s="129">
        <v>14596200</v>
      </c>
      <c r="F1230" s="129">
        <v>875772</v>
      </c>
      <c r="G1230" s="129">
        <v>1021734.0000000001</v>
      </c>
      <c r="H1230" s="129">
        <v>2189430</v>
      </c>
      <c r="I1230" s="129">
        <v>583848</v>
      </c>
      <c r="J1230" s="129">
        <v>1021734.0000000001</v>
      </c>
      <c r="K1230" s="129">
        <v>437886</v>
      </c>
      <c r="L1230" s="129">
        <v>583848</v>
      </c>
      <c r="M1230" s="129">
        <v>7881948.0000000009</v>
      </c>
      <c r="N1230" s="130">
        <v>8903682.0000000019</v>
      </c>
      <c r="O1230" s="94"/>
      <c r="P1230" s="14"/>
      <c r="Q1230" s="14"/>
      <c r="R1230" s="14"/>
      <c r="S1230" s="14"/>
      <c r="T1230" s="14"/>
      <c r="U1230" s="14"/>
    </row>
    <row r="1231" spans="2:21" ht="18.75" customHeight="1" x14ac:dyDescent="0.25">
      <c r="B1231" s="15"/>
      <c r="C1231" s="122" t="s">
        <v>776</v>
      </c>
      <c r="D1231" s="120" t="s">
        <v>579</v>
      </c>
      <c r="E1231" s="125">
        <v>1.1855</v>
      </c>
      <c r="F1231" s="125">
        <v>0</v>
      </c>
      <c r="G1231" s="125">
        <v>0</v>
      </c>
      <c r="H1231" s="125">
        <v>0.03</v>
      </c>
      <c r="I1231" s="125">
        <v>0.5</v>
      </c>
      <c r="J1231" s="125">
        <v>0.9</v>
      </c>
      <c r="K1231" s="125">
        <v>1.3</v>
      </c>
      <c r="L1231" s="125">
        <v>1.5</v>
      </c>
      <c r="M1231" s="125">
        <v>2</v>
      </c>
      <c r="N1231" s="131">
        <v>1.8</v>
      </c>
      <c r="O1231" s="94"/>
      <c r="P1231" s="14"/>
      <c r="Q1231" s="14"/>
      <c r="R1231" s="14"/>
      <c r="S1231" s="14"/>
      <c r="T1231" s="14"/>
      <c r="U1231" s="14"/>
    </row>
    <row r="1232" spans="2:21" ht="18.75" customHeight="1" x14ac:dyDescent="0.25">
      <c r="B1232" s="15"/>
      <c r="C1232" s="122" t="s">
        <v>777</v>
      </c>
      <c r="D1232" s="210" t="s">
        <v>778</v>
      </c>
      <c r="E1232" s="125">
        <v>1239.5351747331792</v>
      </c>
      <c r="F1232" s="132">
        <v>0</v>
      </c>
      <c r="G1232" s="132">
        <v>0</v>
      </c>
      <c r="H1232" s="132">
        <v>0</v>
      </c>
      <c r="I1232" s="132">
        <v>221.03627260044823</v>
      </c>
      <c r="J1232" s="132">
        <v>517.90974680049544</v>
      </c>
      <c r="K1232" s="132">
        <v>924.56296248891317</v>
      </c>
      <c r="L1232" s="132">
        <v>1540.9547028561944</v>
      </c>
      <c r="M1232" s="125">
        <v>2726.1050599435648</v>
      </c>
      <c r="N1232" s="133">
        <v>1958.0984287756169</v>
      </c>
      <c r="O1232" s="94"/>
      <c r="P1232" s="14"/>
      <c r="Q1232" s="14"/>
      <c r="R1232" s="14"/>
      <c r="S1232" s="14"/>
      <c r="T1232" s="14"/>
      <c r="U1232" s="14"/>
    </row>
    <row r="1233" spans="2:21" ht="18.75" customHeight="1" x14ac:dyDescent="0.25">
      <c r="B1233" s="15"/>
      <c r="C1233" s="119" t="s">
        <v>779</v>
      </c>
      <c r="D1233" s="120" t="s">
        <v>970</v>
      </c>
      <c r="E1233" s="132">
        <v>22.6</v>
      </c>
      <c r="F1233" s="125">
        <v>89.899557087406649</v>
      </c>
      <c r="G1233" s="125">
        <v>48.749143219925429</v>
      </c>
      <c r="H1233" s="125">
        <v>33.558984432599964</v>
      </c>
      <c r="I1233" s="125">
        <v>26.734953880688757</v>
      </c>
      <c r="J1233" s="125">
        <v>23.085248099741825</v>
      </c>
      <c r="K1233" s="125">
        <v>20.950605951206953</v>
      </c>
      <c r="L1233" s="125">
        <v>19.177326889658971</v>
      </c>
      <c r="M1233" s="125">
        <v>9.5008606350602207</v>
      </c>
      <c r="N1233" s="131">
        <v>14.449709767160101</v>
      </c>
      <c r="O1233" s="94"/>
      <c r="P1233" s="14"/>
      <c r="Q1233" s="14"/>
      <c r="R1233" s="14"/>
      <c r="S1233" s="14"/>
      <c r="T1233" s="14"/>
      <c r="U1233" s="14"/>
    </row>
    <row r="1234" spans="2:21" ht="18.75" customHeight="1" x14ac:dyDescent="0.25">
      <c r="B1234" s="15"/>
      <c r="C1234" s="119" t="s">
        <v>580</v>
      </c>
      <c r="D1234" s="120" t="s">
        <v>581</v>
      </c>
      <c r="E1234" s="125">
        <v>918</v>
      </c>
      <c r="F1234" s="125">
        <v>638.48647377461566</v>
      </c>
      <c r="G1234" s="125">
        <v>784.25128671775815</v>
      </c>
      <c r="H1234" s="125">
        <v>856.42488947775553</v>
      </c>
      <c r="I1234" s="125">
        <v>893.35901476350023</v>
      </c>
      <c r="J1234" s="125">
        <v>914.45092101408682</v>
      </c>
      <c r="K1234" s="125">
        <v>927.25523534648062</v>
      </c>
      <c r="L1234" s="125">
        <v>938.16784129385576</v>
      </c>
      <c r="M1234" s="125">
        <v>1002.5514870144723</v>
      </c>
      <c r="N1234" s="131">
        <v>968.55706479662558</v>
      </c>
      <c r="O1234" s="94"/>
      <c r="P1234" s="14"/>
      <c r="Q1234" s="14"/>
      <c r="R1234" s="14"/>
      <c r="S1234" s="14"/>
      <c r="T1234" s="14"/>
      <c r="U1234" s="14"/>
    </row>
    <row r="1235" spans="2:21" ht="18.75" customHeight="1" x14ac:dyDescent="0.25">
      <c r="B1235" s="15"/>
      <c r="C1235" s="119" t="s">
        <v>541</v>
      </c>
      <c r="D1235" s="120" t="s">
        <v>579</v>
      </c>
      <c r="E1235" s="125">
        <v>11.948169620342028</v>
      </c>
      <c r="F1235" s="125">
        <v>17.085403573307087</v>
      </c>
      <c r="G1235" s="125">
        <v>12.879489781140405</v>
      </c>
      <c r="H1235" s="125">
        <v>12.311271329395151</v>
      </c>
      <c r="I1235" s="125">
        <v>12.493204173569087</v>
      </c>
      <c r="J1235" s="125">
        <v>12.079395739183322</v>
      </c>
      <c r="K1235" s="125">
        <v>11.848251089978515</v>
      </c>
      <c r="L1235" s="125">
        <v>11.666812746591678</v>
      </c>
      <c r="M1235" s="125">
        <v>11.124786130751637</v>
      </c>
      <c r="N1235" s="131">
        <v>11.195909103555582</v>
      </c>
      <c r="O1235" s="94"/>
      <c r="P1235" s="14"/>
      <c r="Q1235" s="14"/>
      <c r="R1235" s="14"/>
      <c r="S1235" s="14"/>
      <c r="T1235" s="14"/>
      <c r="U1235" s="14"/>
    </row>
    <row r="1236" spans="2:21" ht="18.75" customHeight="1" x14ac:dyDescent="0.25">
      <c r="B1236" s="15"/>
      <c r="C1236" s="119" t="s">
        <v>544</v>
      </c>
      <c r="D1236" s="120" t="s">
        <v>579</v>
      </c>
      <c r="E1236" s="125">
        <v>4.3</v>
      </c>
      <c r="F1236" s="128"/>
      <c r="G1236" s="128"/>
      <c r="H1236" s="128"/>
      <c r="I1236" s="128"/>
      <c r="J1236" s="128"/>
      <c r="K1236" s="128"/>
      <c r="L1236" s="128"/>
      <c r="M1236" s="125">
        <v>7.9549999999999992</v>
      </c>
      <c r="N1236" s="131">
        <v>7.049180327868851</v>
      </c>
      <c r="O1236" s="94"/>
      <c r="P1236" s="14"/>
      <c r="Q1236" s="14"/>
      <c r="R1236" s="14"/>
      <c r="S1236" s="14"/>
      <c r="T1236" s="14"/>
      <c r="U1236" s="14"/>
    </row>
    <row r="1237" spans="2:21" ht="18.75" customHeight="1" x14ac:dyDescent="0.25">
      <c r="B1237" s="15"/>
      <c r="C1237" s="119" t="s">
        <v>780</v>
      </c>
      <c r="D1237" s="120" t="s">
        <v>783</v>
      </c>
      <c r="E1237" s="125">
        <v>12.415475618838384</v>
      </c>
      <c r="F1237" s="125">
        <v>13.128102103419485</v>
      </c>
      <c r="G1237" s="125">
        <v>11.303357608000031</v>
      </c>
      <c r="H1237" s="125">
        <v>11.285982941892792</v>
      </c>
      <c r="I1237" s="125">
        <v>11.364846648917441</v>
      </c>
      <c r="J1237" s="125">
        <v>11.471138775839684</v>
      </c>
      <c r="K1237" s="125">
        <v>11.5706543868568</v>
      </c>
      <c r="L1237" s="125">
        <v>11.680100557196862</v>
      </c>
      <c r="M1237" s="125">
        <v>12.053025809124845</v>
      </c>
      <c r="N1237" s="131">
        <v>11.99224751663527</v>
      </c>
      <c r="O1237" s="94"/>
      <c r="P1237" s="14"/>
      <c r="Q1237" s="14"/>
      <c r="R1237" s="14"/>
      <c r="S1237" s="14"/>
      <c r="T1237" s="14"/>
      <c r="U1237" s="14"/>
    </row>
    <row r="1238" spans="2:21" ht="18.75" customHeight="1" x14ac:dyDescent="0.25">
      <c r="B1238" s="15"/>
      <c r="C1238" s="122" t="s">
        <v>781</v>
      </c>
      <c r="D1238" s="120" t="s">
        <v>782</v>
      </c>
      <c r="E1238" s="125">
        <v>550</v>
      </c>
      <c r="F1238" s="134">
        <v>55</v>
      </c>
      <c r="G1238" s="134">
        <v>115</v>
      </c>
      <c r="H1238" s="134">
        <v>230</v>
      </c>
      <c r="I1238" s="134">
        <v>310</v>
      </c>
      <c r="J1238" s="134">
        <v>370</v>
      </c>
      <c r="K1238" s="134">
        <v>415</v>
      </c>
      <c r="L1238" s="134">
        <v>460</v>
      </c>
      <c r="M1238" s="134">
        <v>710</v>
      </c>
      <c r="N1238" s="135">
        <v>600</v>
      </c>
      <c r="O1238" s="94"/>
      <c r="P1238" s="14"/>
      <c r="Q1238" s="14"/>
      <c r="R1238" s="14"/>
      <c r="S1238" s="14"/>
      <c r="T1238" s="14"/>
      <c r="U1238" s="14"/>
    </row>
    <row r="1239" spans="2:21" ht="18.75" customHeight="1" x14ac:dyDescent="0.25">
      <c r="B1239" s="15"/>
      <c r="C1239" s="122"/>
      <c r="D1239" s="210"/>
      <c r="E1239" s="210"/>
      <c r="F1239" s="210"/>
      <c r="G1239" s="210"/>
      <c r="H1239" s="210"/>
      <c r="I1239" s="210"/>
      <c r="J1239" s="210"/>
      <c r="K1239" s="210"/>
      <c r="L1239" s="210"/>
      <c r="M1239" s="210"/>
      <c r="N1239" s="115"/>
      <c r="O1239" s="94"/>
      <c r="P1239" s="14"/>
      <c r="Q1239" s="14"/>
      <c r="R1239" s="14"/>
      <c r="S1239" s="14"/>
      <c r="T1239" s="14"/>
      <c r="U1239" s="14"/>
    </row>
    <row r="1240" spans="2:21" ht="18.75" customHeight="1" x14ac:dyDescent="0.25">
      <c r="B1240" s="15"/>
      <c r="C1240" s="2199" t="s">
        <v>2084</v>
      </c>
      <c r="D1240" s="2200"/>
      <c r="E1240" s="2200"/>
      <c r="F1240" s="2200"/>
      <c r="G1240" s="2200"/>
      <c r="H1240" s="2200"/>
      <c r="I1240" s="2200"/>
      <c r="J1240" s="2200"/>
      <c r="K1240" s="2200"/>
      <c r="L1240" s="2200"/>
      <c r="M1240" s="2200"/>
      <c r="N1240" s="2201"/>
      <c r="O1240" s="94"/>
      <c r="P1240" s="14"/>
      <c r="Q1240" s="14"/>
      <c r="R1240" s="14"/>
      <c r="S1240" s="14"/>
      <c r="T1240" s="14"/>
      <c r="U1240" s="14"/>
    </row>
    <row r="1241" spans="2:21" ht="18.75" customHeight="1" x14ac:dyDescent="0.25">
      <c r="B1241" s="15"/>
      <c r="C1241" s="2202" t="s">
        <v>1088</v>
      </c>
      <c r="D1241" s="210">
        <v>50</v>
      </c>
      <c r="E1241" s="104" t="s">
        <v>679</v>
      </c>
      <c r="F1241" s="210">
        <v>80</v>
      </c>
      <c r="G1241" s="210">
        <v>180</v>
      </c>
      <c r="H1241" s="210">
        <v>290</v>
      </c>
      <c r="I1241" s="210">
        <v>340</v>
      </c>
      <c r="J1241" s="210">
        <v>400</v>
      </c>
      <c r="K1241" s="210">
        <v>450</v>
      </c>
      <c r="L1241" s="210">
        <v>525</v>
      </c>
      <c r="M1241" s="210">
        <v>525</v>
      </c>
      <c r="N1241" s="115">
        <v>400</v>
      </c>
      <c r="O1241" s="94"/>
      <c r="P1241" s="14"/>
      <c r="Q1241" s="14"/>
      <c r="R1241" s="14"/>
      <c r="S1241" s="14"/>
      <c r="T1241" s="14"/>
      <c r="U1241" s="14"/>
    </row>
    <row r="1242" spans="2:21" ht="18.75" customHeight="1" x14ac:dyDescent="0.25">
      <c r="B1242" s="15"/>
      <c r="C1242" s="119" t="s">
        <v>568</v>
      </c>
      <c r="D1242" s="120" t="s">
        <v>623</v>
      </c>
      <c r="E1242" s="110" t="s">
        <v>608</v>
      </c>
      <c r="F1242" s="110" t="s">
        <v>957</v>
      </c>
      <c r="G1242" s="110" t="s">
        <v>572</v>
      </c>
      <c r="H1242" s="110" t="s">
        <v>530</v>
      </c>
      <c r="I1242" s="110" t="s">
        <v>573</v>
      </c>
      <c r="J1242" s="110" t="s">
        <v>574</v>
      </c>
      <c r="K1242" s="110" t="s">
        <v>575</v>
      </c>
      <c r="L1242" s="110" t="s">
        <v>576</v>
      </c>
      <c r="M1242" s="110" t="s">
        <v>577</v>
      </c>
      <c r="N1242" s="2203" t="s">
        <v>609</v>
      </c>
      <c r="O1242" s="94"/>
      <c r="P1242" s="14"/>
      <c r="Q1242" s="14"/>
      <c r="R1242" s="14"/>
      <c r="S1242" s="14"/>
      <c r="T1242" s="14"/>
      <c r="U1242" s="14"/>
    </row>
    <row r="1243" spans="2:21" ht="18.75" customHeight="1" x14ac:dyDescent="0.25">
      <c r="B1243" s="15"/>
      <c r="C1243" s="119" t="s">
        <v>582</v>
      </c>
      <c r="D1243" s="120" t="s">
        <v>566</v>
      </c>
      <c r="E1243" s="121">
        <v>100764.68809649546</v>
      </c>
      <c r="F1243" s="129">
        <v>8949.4930490272145</v>
      </c>
      <c r="G1243" s="129">
        <v>8371.1314190925386</v>
      </c>
      <c r="H1243" s="129">
        <v>9810.2912782441181</v>
      </c>
      <c r="I1243" s="129">
        <v>5226.4957138883128</v>
      </c>
      <c r="J1243" s="129">
        <v>8213.6101283846911</v>
      </c>
      <c r="K1243" s="129">
        <v>3046.4571842030286</v>
      </c>
      <c r="L1243" s="129">
        <v>2988.9793974187842</v>
      </c>
      <c r="M1243" s="129">
        <v>54158.229926236774</v>
      </c>
      <c r="N1243" s="130">
        <v>61004.69737830363</v>
      </c>
      <c r="O1243" s="94"/>
      <c r="P1243" s="14"/>
      <c r="Q1243" s="14"/>
      <c r="R1243" s="14"/>
      <c r="S1243" s="14"/>
      <c r="T1243" s="14"/>
      <c r="U1243" s="14"/>
    </row>
    <row r="1244" spans="2:21" ht="18.75" customHeight="1" x14ac:dyDescent="0.25">
      <c r="B1244" s="15"/>
      <c r="C1244" s="119" t="s">
        <v>582</v>
      </c>
      <c r="D1244" s="120" t="s">
        <v>628</v>
      </c>
      <c r="E1244" s="145">
        <v>16021.585407342778</v>
      </c>
      <c r="F1244" s="129">
        <v>1422.9693947953272</v>
      </c>
      <c r="G1244" s="129">
        <v>1331.0098956357135</v>
      </c>
      <c r="H1244" s="129">
        <v>1559.8363132408149</v>
      </c>
      <c r="I1244" s="129">
        <v>831.01281850824182</v>
      </c>
      <c r="J1244" s="129">
        <v>1305.9640104131659</v>
      </c>
      <c r="K1244" s="129">
        <v>484.38669228828155</v>
      </c>
      <c r="L1244" s="129">
        <v>475.24772418958668</v>
      </c>
      <c r="M1244" s="129">
        <v>8611.1585582716471</v>
      </c>
      <c r="N1244" s="130">
        <v>9699.7468831502774</v>
      </c>
      <c r="O1244" s="94"/>
      <c r="P1244" s="14"/>
      <c r="Q1244" s="14"/>
      <c r="R1244" s="14"/>
      <c r="S1244" s="14"/>
      <c r="T1244" s="14"/>
      <c r="U1244" s="14"/>
    </row>
    <row r="1245" spans="2:21" ht="18.75" customHeight="1" x14ac:dyDescent="0.25">
      <c r="B1245" s="15"/>
      <c r="C1245" s="119" t="s">
        <v>620</v>
      </c>
      <c r="D1245" s="120" t="s">
        <v>622</v>
      </c>
      <c r="E1245" s="129">
        <v>14900851.790999999</v>
      </c>
      <c r="F1245" s="129">
        <v>1043059.62537</v>
      </c>
      <c r="G1245" s="129">
        <v>1043059.62537</v>
      </c>
      <c r="H1245" s="129">
        <v>1341076.6611899999</v>
      </c>
      <c r="I1245" s="129">
        <v>745042.58955000003</v>
      </c>
      <c r="J1245" s="129">
        <v>1192068.14328</v>
      </c>
      <c r="K1245" s="129">
        <v>447025.55372999999</v>
      </c>
      <c r="L1245" s="129">
        <v>447025.55372999999</v>
      </c>
      <c r="M1245" s="129">
        <v>8642494.0387799982</v>
      </c>
      <c r="N1245" s="130">
        <v>9536545.1462399978</v>
      </c>
      <c r="O1245" s="94"/>
      <c r="P1245" s="14"/>
      <c r="Q1245" s="14"/>
      <c r="R1245" s="14"/>
      <c r="S1245" s="14"/>
      <c r="T1245" s="14"/>
      <c r="U1245" s="14"/>
    </row>
    <row r="1246" spans="2:21" ht="18.75" customHeight="1" x14ac:dyDescent="0.25">
      <c r="B1246" s="15"/>
      <c r="C1246" s="122" t="s">
        <v>776</v>
      </c>
      <c r="D1246" s="120" t="s">
        <v>579</v>
      </c>
      <c r="E1246" s="125">
        <v>1.56</v>
      </c>
      <c r="F1246" s="125">
        <v>0</v>
      </c>
      <c r="G1246" s="125">
        <v>0</v>
      </c>
      <c r="H1246" s="125">
        <v>0</v>
      </c>
      <c r="I1246" s="125">
        <v>0</v>
      </c>
      <c r="J1246" s="125">
        <v>0</v>
      </c>
      <c r="K1246" s="125">
        <v>0</v>
      </c>
      <c r="L1246" s="125">
        <v>0</v>
      </c>
      <c r="M1246" s="125">
        <v>0</v>
      </c>
      <c r="N1246" s="131">
        <v>0</v>
      </c>
      <c r="O1246" s="94"/>
      <c r="P1246" s="14"/>
      <c r="Q1246" s="14"/>
      <c r="R1246" s="14"/>
      <c r="S1246" s="14"/>
      <c r="T1246" s="14"/>
      <c r="U1246" s="14"/>
    </row>
    <row r="1247" spans="2:21" ht="18.75" customHeight="1" x14ac:dyDescent="0.25">
      <c r="B1247" s="15"/>
      <c r="C1247" s="122" t="s">
        <v>777</v>
      </c>
      <c r="D1247" s="210" t="s">
        <v>778</v>
      </c>
      <c r="E1247" s="125">
        <v>0</v>
      </c>
      <c r="F1247" s="132">
        <v>0</v>
      </c>
      <c r="G1247" s="132">
        <v>0</v>
      </c>
      <c r="H1247" s="132">
        <v>0</v>
      </c>
      <c r="I1247" s="132">
        <v>0</v>
      </c>
      <c r="J1247" s="132">
        <v>0</v>
      </c>
      <c r="K1247" s="132">
        <v>0</v>
      </c>
      <c r="L1247" s="132">
        <v>0</v>
      </c>
      <c r="M1247" s="125">
        <v>0</v>
      </c>
      <c r="N1247" s="133">
        <v>0</v>
      </c>
      <c r="O1247" s="94"/>
      <c r="P1247" s="14"/>
      <c r="Q1247" s="14"/>
      <c r="R1247" s="14"/>
      <c r="S1247" s="14"/>
      <c r="T1247" s="14"/>
      <c r="U1247" s="14"/>
    </row>
    <row r="1248" spans="2:21" ht="18.75" customHeight="1" x14ac:dyDescent="0.25">
      <c r="B1248" s="15"/>
      <c r="C1248" s="119" t="s">
        <v>779</v>
      </c>
      <c r="D1248" s="120" t="s">
        <v>970</v>
      </c>
      <c r="E1248" s="132">
        <v>19.399999999999999</v>
      </c>
      <c r="F1248" s="125">
        <v>61.347881898757244</v>
      </c>
      <c r="G1248" s="125">
        <v>48.885073704661899</v>
      </c>
      <c r="H1248" s="125">
        <v>32.919707402981118</v>
      </c>
      <c r="I1248" s="125">
        <v>26.172180057192506</v>
      </c>
      <c r="J1248" s="125">
        <v>23.366889544282436</v>
      </c>
      <c r="K1248" s="125">
        <v>21.675145763467285</v>
      </c>
      <c r="L1248" s="125">
        <v>18.785176255774587</v>
      </c>
      <c r="M1248" s="125">
        <v>9.3480849140761961</v>
      </c>
      <c r="N1248" s="131">
        <v>12.279768927657244</v>
      </c>
      <c r="O1248" s="94"/>
      <c r="P1248" s="14"/>
      <c r="Q1248" s="14"/>
      <c r="R1248" s="14"/>
      <c r="S1248" s="14"/>
      <c r="T1248" s="14"/>
      <c r="U1248" s="14"/>
    </row>
    <row r="1249" spans="2:21" ht="18.75" customHeight="1" x14ac:dyDescent="0.25">
      <c r="B1249" s="15"/>
      <c r="C1249" s="119" t="s">
        <v>580</v>
      </c>
      <c r="D1249" s="120" t="s">
        <v>581</v>
      </c>
      <c r="E1249" s="125">
        <v>937.16048999999998</v>
      </c>
      <c r="F1249" s="125">
        <v>733.01620483554291</v>
      </c>
      <c r="G1249" s="125">
        <v>783.66030845459386</v>
      </c>
      <c r="H1249" s="125">
        <v>859.7547382415363</v>
      </c>
      <c r="I1249" s="125">
        <v>896.54764999585962</v>
      </c>
      <c r="J1249" s="125">
        <v>912.78789750329122</v>
      </c>
      <c r="K1249" s="125">
        <v>922.86918870172804</v>
      </c>
      <c r="L1249" s="125">
        <v>940.61587457843723</v>
      </c>
      <c r="M1249" s="125">
        <v>1003.6389389762486</v>
      </c>
      <c r="N1249" s="131">
        <v>983.17463961933038</v>
      </c>
      <c r="O1249" s="94"/>
      <c r="P1249" s="14"/>
      <c r="Q1249" s="14"/>
      <c r="R1249" s="14"/>
      <c r="S1249" s="14"/>
      <c r="T1249" s="14"/>
      <c r="U1249" s="14"/>
    </row>
    <row r="1250" spans="2:21" ht="18.75" customHeight="1" x14ac:dyDescent="0.25">
      <c r="B1250" s="15"/>
      <c r="C1250" s="119" t="s">
        <v>541</v>
      </c>
      <c r="D1250" s="120" t="s">
        <v>579</v>
      </c>
      <c r="E1250" s="125">
        <v>11.553032308141574</v>
      </c>
      <c r="F1250" s="125">
        <v>13.343640886825039</v>
      </c>
      <c r="G1250" s="125">
        <v>12.897103021934601</v>
      </c>
      <c r="H1250" s="125">
        <v>12.232003833037943</v>
      </c>
      <c r="I1250" s="125">
        <v>12.421119971280401</v>
      </c>
      <c r="J1250" s="125">
        <v>12.123093148289673</v>
      </c>
      <c r="K1250" s="125">
        <v>11.963498332937583</v>
      </c>
      <c r="L1250" s="125">
        <v>11.731188513501827</v>
      </c>
      <c r="M1250" s="125">
        <v>10.88544109264588</v>
      </c>
      <c r="N1250" s="131">
        <v>10.975619436137176</v>
      </c>
      <c r="O1250" s="94"/>
      <c r="P1250" s="14"/>
      <c r="Q1250" s="14"/>
      <c r="R1250" s="14"/>
      <c r="S1250" s="14"/>
      <c r="T1250" s="14"/>
      <c r="U1250" s="14"/>
    </row>
    <row r="1251" spans="2:21" ht="18.75" customHeight="1" x14ac:dyDescent="0.25">
      <c r="B1251" s="15"/>
      <c r="C1251" s="119" t="s">
        <v>544</v>
      </c>
      <c r="D1251" s="120" t="s">
        <v>579</v>
      </c>
      <c r="E1251" s="125">
        <v>4.9000000000000004</v>
      </c>
      <c r="F1251" s="128"/>
      <c r="G1251" s="128"/>
      <c r="H1251" s="128"/>
      <c r="I1251" s="128"/>
      <c r="J1251" s="128"/>
      <c r="K1251" s="128"/>
      <c r="L1251" s="128"/>
      <c r="M1251" s="125">
        <v>8.4398275862068992</v>
      </c>
      <c r="N1251" s="131">
        <v>7.6562500000000027</v>
      </c>
      <c r="O1251" s="94"/>
      <c r="P1251" s="14"/>
      <c r="Q1251" s="14"/>
      <c r="R1251" s="14"/>
      <c r="S1251" s="14"/>
      <c r="T1251" s="14"/>
      <c r="U1251" s="14"/>
    </row>
    <row r="1252" spans="2:21" ht="18.75" customHeight="1" x14ac:dyDescent="0.25">
      <c r="B1252" s="15"/>
      <c r="C1252" s="119" t="s">
        <v>780</v>
      </c>
      <c r="D1252" s="120" t="s">
        <v>783</v>
      </c>
      <c r="E1252" s="125">
        <v>12.398997936667662</v>
      </c>
      <c r="F1252" s="125">
        <v>11.435102749530628</v>
      </c>
      <c r="G1252" s="125">
        <v>11.311881758802402</v>
      </c>
      <c r="H1252" s="125">
        <v>11.242272084975648</v>
      </c>
      <c r="I1252" s="125">
        <v>11.356700379483318</v>
      </c>
      <c r="J1252" s="125">
        <v>11.492038235102891</v>
      </c>
      <c r="K1252" s="125">
        <v>11.625645311326235</v>
      </c>
      <c r="L1252" s="125">
        <v>11.934021982414594</v>
      </c>
      <c r="M1252" s="125">
        <v>12.039966245518393</v>
      </c>
      <c r="N1252" s="131">
        <v>12.121576299651094</v>
      </c>
      <c r="O1252" s="94"/>
      <c r="P1252" s="14"/>
      <c r="Q1252" s="14"/>
      <c r="R1252" s="14"/>
      <c r="S1252" s="14"/>
      <c r="T1252" s="14"/>
      <c r="U1252" s="14"/>
    </row>
    <row r="1253" spans="2:21" ht="18.75" customHeight="1" x14ac:dyDescent="0.25">
      <c r="B1253" s="15"/>
      <c r="C1253" s="122" t="s">
        <v>781</v>
      </c>
      <c r="D1253" s="120" t="s">
        <v>782</v>
      </c>
      <c r="E1253" s="125">
        <v>600</v>
      </c>
      <c r="F1253" s="134">
        <v>55</v>
      </c>
      <c r="G1253" s="134">
        <v>115</v>
      </c>
      <c r="H1253" s="134">
        <v>230</v>
      </c>
      <c r="I1253" s="134">
        <v>315</v>
      </c>
      <c r="J1253" s="134">
        <v>370</v>
      </c>
      <c r="K1253" s="134">
        <v>415</v>
      </c>
      <c r="L1253" s="134">
        <v>515</v>
      </c>
      <c r="M1253" s="134">
        <v>710</v>
      </c>
      <c r="N1253" s="135">
        <v>670</v>
      </c>
      <c r="O1253" s="94"/>
      <c r="P1253" s="14"/>
      <c r="Q1253" s="14"/>
      <c r="R1253" s="14"/>
      <c r="S1253" s="14"/>
      <c r="T1253" s="14"/>
      <c r="U1253" s="14"/>
    </row>
    <row r="1254" spans="2:21" ht="18.75" customHeight="1" x14ac:dyDescent="0.25">
      <c r="B1254" s="15"/>
      <c r="C1254" s="122"/>
      <c r="D1254" s="210"/>
      <c r="E1254" s="210"/>
      <c r="F1254" s="210"/>
      <c r="G1254" s="210"/>
      <c r="H1254" s="210"/>
      <c r="I1254" s="210"/>
      <c r="J1254" s="210"/>
      <c r="K1254" s="210"/>
      <c r="L1254" s="210"/>
      <c r="M1254" s="210"/>
      <c r="N1254" s="115"/>
      <c r="O1254" s="94"/>
      <c r="P1254" s="14"/>
      <c r="Q1254" s="14"/>
      <c r="R1254" s="14"/>
      <c r="S1254" s="14"/>
      <c r="T1254" s="14"/>
      <c r="U1254" s="14"/>
    </row>
    <row r="1255" spans="2:21" ht="18.75" customHeight="1" x14ac:dyDescent="0.25">
      <c r="B1255" s="15"/>
      <c r="C1255" s="2199" t="s">
        <v>2085</v>
      </c>
      <c r="D1255" s="2200"/>
      <c r="E1255" s="2200"/>
      <c r="F1255" s="2200"/>
      <c r="G1255" s="2200"/>
      <c r="H1255" s="2200"/>
      <c r="I1255" s="2200"/>
      <c r="J1255" s="2200"/>
      <c r="K1255" s="2200"/>
      <c r="L1255" s="2200"/>
      <c r="M1255" s="2200"/>
      <c r="N1255" s="2201"/>
      <c r="O1255" s="94"/>
      <c r="P1255" s="14"/>
      <c r="Q1255" s="14"/>
      <c r="R1255" s="14"/>
      <c r="S1255" s="14"/>
      <c r="T1255" s="14"/>
      <c r="U1255" s="14"/>
    </row>
    <row r="1256" spans="2:21" ht="18.75" customHeight="1" x14ac:dyDescent="0.25">
      <c r="B1256" s="15"/>
      <c r="C1256" s="2202" t="s">
        <v>1088</v>
      </c>
      <c r="D1256" s="210">
        <v>128</v>
      </c>
      <c r="E1256" s="104" t="s">
        <v>679</v>
      </c>
      <c r="F1256" s="210">
        <v>80</v>
      </c>
      <c r="G1256" s="210">
        <v>180</v>
      </c>
      <c r="H1256" s="210">
        <v>290</v>
      </c>
      <c r="I1256" s="210">
        <v>340</v>
      </c>
      <c r="J1256" s="210">
        <v>400</v>
      </c>
      <c r="K1256" s="210">
        <v>450</v>
      </c>
      <c r="L1256" s="210">
        <v>525</v>
      </c>
      <c r="M1256" s="210">
        <v>525</v>
      </c>
      <c r="N1256" s="115">
        <v>400</v>
      </c>
      <c r="O1256" s="94"/>
      <c r="P1256" s="14"/>
      <c r="Q1256" s="14"/>
      <c r="R1256" s="14"/>
      <c r="S1256" s="14"/>
      <c r="T1256" s="14"/>
      <c r="U1256" s="14"/>
    </row>
    <row r="1257" spans="2:21" ht="18.75" customHeight="1" x14ac:dyDescent="0.25">
      <c r="B1257" s="15"/>
      <c r="C1257" s="119" t="s">
        <v>568</v>
      </c>
      <c r="D1257" s="120" t="s">
        <v>623</v>
      </c>
      <c r="E1257" s="110" t="s">
        <v>608</v>
      </c>
      <c r="F1257" s="110" t="s">
        <v>957</v>
      </c>
      <c r="G1257" s="110" t="s">
        <v>572</v>
      </c>
      <c r="H1257" s="110" t="s">
        <v>530</v>
      </c>
      <c r="I1257" s="110" t="s">
        <v>573</v>
      </c>
      <c r="J1257" s="110" t="s">
        <v>574</v>
      </c>
      <c r="K1257" s="110" t="s">
        <v>575</v>
      </c>
      <c r="L1257" s="110" t="s">
        <v>576</v>
      </c>
      <c r="M1257" s="110" t="s">
        <v>577</v>
      </c>
      <c r="N1257" s="2203" t="s">
        <v>609</v>
      </c>
      <c r="O1257" s="94"/>
      <c r="P1257" s="14"/>
      <c r="Q1257" s="14"/>
      <c r="R1257" s="14"/>
      <c r="S1257" s="14"/>
      <c r="T1257" s="14"/>
      <c r="U1257" s="14"/>
    </row>
    <row r="1258" spans="2:21" ht="18.75" customHeight="1" x14ac:dyDescent="0.25">
      <c r="B1258" s="15"/>
      <c r="C1258" s="119" t="s">
        <v>582</v>
      </c>
      <c r="D1258" s="120" t="s">
        <v>566</v>
      </c>
      <c r="E1258" s="121">
        <v>97134.291488996125</v>
      </c>
      <c r="F1258" s="129">
        <v>3955.4775959161234</v>
      </c>
      <c r="G1258" s="129">
        <v>9737.366115589808</v>
      </c>
      <c r="H1258" s="129">
        <v>16253.028908642127</v>
      </c>
      <c r="I1258" s="129">
        <v>6124.383287696538</v>
      </c>
      <c r="J1258" s="129">
        <v>8389.336689001153</v>
      </c>
      <c r="K1258" s="129">
        <v>6248.245943997018</v>
      </c>
      <c r="L1258" s="129">
        <v>9379.8569093548649</v>
      </c>
      <c r="M1258" s="129">
        <v>37046.596038798481</v>
      </c>
      <c r="N1258" s="130">
        <v>52941.023963822285</v>
      </c>
      <c r="O1258" s="94"/>
      <c r="P1258" s="14"/>
      <c r="Q1258" s="14"/>
      <c r="R1258" s="14"/>
      <c r="S1258" s="14"/>
      <c r="T1258" s="14"/>
      <c r="U1258" s="14"/>
    </row>
    <row r="1259" spans="2:21" ht="18.75" customHeight="1" x14ac:dyDescent="0.25">
      <c r="B1259" s="15"/>
      <c r="C1259" s="119" t="s">
        <v>582</v>
      </c>
      <c r="D1259" s="120" t="s">
        <v>628</v>
      </c>
      <c r="E1259" s="145">
        <v>15444.352346750384</v>
      </c>
      <c r="F1259" s="129">
        <v>628.9209377506636</v>
      </c>
      <c r="G1259" s="129">
        <v>1548.2412123787794</v>
      </c>
      <c r="H1259" s="129">
        <v>2584.2315964740983</v>
      </c>
      <c r="I1259" s="129">
        <v>973.7769427437496</v>
      </c>
      <c r="J1259" s="129">
        <v>1333.9045335511835</v>
      </c>
      <c r="K1259" s="129">
        <v>993.4711050955259</v>
      </c>
      <c r="L1259" s="129">
        <v>1491.3972485874235</v>
      </c>
      <c r="M1259" s="129">
        <v>5890.4087701689587</v>
      </c>
      <c r="N1259" s="130">
        <v>8417.6228102477435</v>
      </c>
      <c r="O1259" s="94"/>
      <c r="P1259" s="14"/>
      <c r="Q1259" s="14"/>
      <c r="R1259" s="14"/>
      <c r="S1259" s="14"/>
      <c r="T1259" s="14"/>
      <c r="U1259" s="14"/>
    </row>
    <row r="1260" spans="2:21" ht="18.75" customHeight="1" x14ac:dyDescent="0.25">
      <c r="B1260" s="15"/>
      <c r="C1260" s="119" t="s">
        <v>620</v>
      </c>
      <c r="D1260" s="120" t="s">
        <v>622</v>
      </c>
      <c r="E1260" s="129">
        <v>14390757.901728554</v>
      </c>
      <c r="F1260" s="129">
        <v>431722.73705185659</v>
      </c>
      <c r="G1260" s="129">
        <v>1151260.6321382844</v>
      </c>
      <c r="H1260" s="129">
        <v>2158613.6852592831</v>
      </c>
      <c r="I1260" s="129">
        <v>863445.47410371318</v>
      </c>
      <c r="J1260" s="129">
        <v>1223214.4216469273</v>
      </c>
      <c r="K1260" s="129">
        <v>935399.26361235604</v>
      </c>
      <c r="L1260" s="129">
        <v>1439075.7901728554</v>
      </c>
      <c r="M1260" s="129">
        <v>6188025.8977432782</v>
      </c>
      <c r="N1260" s="130">
        <v>8562500.9515284896</v>
      </c>
      <c r="O1260" s="94"/>
      <c r="P1260" s="14"/>
      <c r="Q1260" s="14"/>
      <c r="R1260" s="14"/>
      <c r="S1260" s="14"/>
      <c r="T1260" s="14"/>
      <c r="U1260" s="14"/>
    </row>
    <row r="1261" spans="2:21" ht="18.75" customHeight="1" x14ac:dyDescent="0.25">
      <c r="B1261" s="15"/>
      <c r="C1261" s="122" t="s">
        <v>1343</v>
      </c>
      <c r="D1261" s="120" t="s">
        <v>579</v>
      </c>
      <c r="E1261" s="125">
        <v>8.1333862383715907</v>
      </c>
      <c r="F1261" s="125">
        <v>0</v>
      </c>
      <c r="G1261" s="125">
        <v>0</v>
      </c>
      <c r="H1261" s="125">
        <v>1.5569363681399699</v>
      </c>
      <c r="I1261" s="125">
        <v>3.3753822218737897</v>
      </c>
      <c r="J1261" s="125">
        <v>4.9551406689472142</v>
      </c>
      <c r="K1261" s="125">
        <v>6.6000173698504225</v>
      </c>
      <c r="L1261" s="125">
        <v>8.4480356204012885</v>
      </c>
      <c r="M1261" s="125">
        <v>13.958909771854067</v>
      </c>
      <c r="N1261" s="131">
        <v>12.228799820130511</v>
      </c>
      <c r="O1261" s="94"/>
      <c r="P1261" s="14"/>
      <c r="Q1261" s="14"/>
      <c r="R1261" s="14"/>
      <c r="S1261" s="14"/>
      <c r="T1261" s="14"/>
      <c r="U1261" s="14"/>
    </row>
    <row r="1262" spans="2:21" ht="18.75" customHeight="1" x14ac:dyDescent="0.25">
      <c r="B1262" s="15"/>
      <c r="C1262" s="122" t="s">
        <v>888</v>
      </c>
      <c r="D1262" s="210" t="s">
        <v>778</v>
      </c>
      <c r="E1262" s="125">
        <v>35.900943967589512</v>
      </c>
      <c r="F1262" s="132">
        <v>17.838044445548306</v>
      </c>
      <c r="G1262" s="132">
        <v>34.125995453054287</v>
      </c>
      <c r="H1262" s="132">
        <v>45.302484604841268</v>
      </c>
      <c r="I1262" s="132">
        <v>43.38986430092173</v>
      </c>
      <c r="J1262" s="132">
        <v>39.325521257714726</v>
      </c>
      <c r="K1262" s="132">
        <v>34.818465402110505</v>
      </c>
      <c r="L1262" s="132">
        <v>30.817143847588554</v>
      </c>
      <c r="M1262" s="125">
        <v>33.835754666035889</v>
      </c>
      <c r="N1262" s="133">
        <v>33.435780071078099</v>
      </c>
      <c r="O1262" s="94"/>
      <c r="P1262" s="14"/>
      <c r="Q1262" s="14"/>
      <c r="R1262" s="14"/>
      <c r="S1262" s="14"/>
      <c r="T1262" s="14"/>
      <c r="U1262" s="14"/>
    </row>
    <row r="1263" spans="2:21" ht="18.75" customHeight="1" x14ac:dyDescent="0.25">
      <c r="B1263" s="15"/>
      <c r="C1263" s="119" t="s">
        <v>779</v>
      </c>
      <c r="D1263" s="120" t="s">
        <v>970</v>
      </c>
      <c r="E1263" s="132">
        <v>24.7</v>
      </c>
      <c r="F1263" s="125">
        <v>74.429981522003402</v>
      </c>
      <c r="G1263" s="125">
        <v>58.60494709223272</v>
      </c>
      <c r="H1263" s="125">
        <v>37.732961718144615</v>
      </c>
      <c r="I1263" s="125">
        <v>27.923749305412372</v>
      </c>
      <c r="J1263" s="125">
        <v>22.652511515102532</v>
      </c>
      <c r="K1263" s="125">
        <v>18.636630757778761</v>
      </c>
      <c r="L1263" s="125">
        <v>15.00016690905629</v>
      </c>
      <c r="M1263" s="125">
        <v>3.0617914809005526</v>
      </c>
      <c r="N1263" s="131">
        <v>7.4687904460212735</v>
      </c>
      <c r="O1263" s="94"/>
      <c r="P1263" s="14"/>
      <c r="Q1263" s="14"/>
      <c r="R1263" s="14"/>
      <c r="S1263" s="14"/>
      <c r="T1263" s="14"/>
      <c r="U1263" s="14"/>
    </row>
    <row r="1264" spans="2:21" ht="18.75" customHeight="1" x14ac:dyDescent="0.25">
      <c r="B1264" s="15"/>
      <c r="C1264" s="119" t="s">
        <v>580</v>
      </c>
      <c r="D1264" s="120" t="s">
        <v>581</v>
      </c>
      <c r="E1264" s="125">
        <v>905.07911331626121</v>
      </c>
      <c r="F1264" s="125">
        <v>686.44993533831678</v>
      </c>
      <c r="G1264" s="125">
        <v>743.59255065264779</v>
      </c>
      <c r="H1264" s="125">
        <v>835.30194747424173</v>
      </c>
      <c r="I1264" s="125">
        <v>886.69739054494096</v>
      </c>
      <c r="J1264" s="125">
        <v>917.01796558890771</v>
      </c>
      <c r="K1264" s="125">
        <v>941.54652190152422</v>
      </c>
      <c r="L1264" s="125">
        <v>964.9178255732171</v>
      </c>
      <c r="M1264" s="125">
        <v>1050.5257171762942</v>
      </c>
      <c r="N1264" s="131">
        <v>1017.211289285185</v>
      </c>
      <c r="O1264" s="94"/>
      <c r="P1264" s="14"/>
      <c r="Q1264" s="14"/>
      <c r="R1264" s="14"/>
      <c r="S1264" s="14"/>
      <c r="T1264" s="14"/>
      <c r="U1264" s="14"/>
    </row>
    <row r="1265" spans="2:21" ht="18.75" customHeight="1" x14ac:dyDescent="0.25">
      <c r="B1265" s="15"/>
      <c r="C1265" s="119" t="s">
        <v>541</v>
      </c>
      <c r="D1265" s="120" t="s">
        <v>579</v>
      </c>
      <c r="E1265" s="125">
        <v>11.259744760952795</v>
      </c>
      <c r="F1265" s="125">
        <v>15.401471680823651</v>
      </c>
      <c r="G1265" s="125">
        <v>14.367317768562065</v>
      </c>
      <c r="H1265" s="125">
        <v>12.908953819264813</v>
      </c>
      <c r="I1265" s="125">
        <v>12.686964223755702</v>
      </c>
      <c r="J1265" s="125">
        <v>12.023644379504987</v>
      </c>
      <c r="K1265" s="125">
        <v>11.507834934495467</v>
      </c>
      <c r="L1265" s="125">
        <v>11.034133323026229</v>
      </c>
      <c r="M1265" s="125">
        <v>9.4821439242448928</v>
      </c>
      <c r="N1265" s="131">
        <v>9.9642764545716496</v>
      </c>
      <c r="O1265" s="94"/>
      <c r="P1265" s="14"/>
      <c r="Q1265" s="14"/>
      <c r="R1265" s="14"/>
      <c r="S1265" s="14"/>
      <c r="T1265" s="14"/>
      <c r="U1265" s="14"/>
    </row>
    <row r="1266" spans="2:21" ht="18.75" customHeight="1" x14ac:dyDescent="0.25">
      <c r="B1266" s="15"/>
      <c r="C1266" s="119" t="s">
        <v>544</v>
      </c>
      <c r="D1266" s="120" t="s">
        <v>579</v>
      </c>
      <c r="E1266" s="125">
        <v>9.32</v>
      </c>
      <c r="F1266" s="128"/>
      <c r="G1266" s="128"/>
      <c r="H1266" s="128"/>
      <c r="I1266" s="128"/>
      <c r="J1266" s="128"/>
      <c r="K1266" s="128"/>
      <c r="L1266" s="128"/>
      <c r="M1266" s="125">
        <v>21.652744186046512</v>
      </c>
      <c r="N1266" s="131">
        <v>15.663865546218489</v>
      </c>
      <c r="O1266" s="94"/>
      <c r="P1266" s="14"/>
      <c r="Q1266" s="14"/>
      <c r="R1266" s="14"/>
      <c r="S1266" s="14"/>
      <c r="T1266" s="14"/>
      <c r="U1266" s="14"/>
    </row>
    <row r="1267" spans="2:21" ht="18.75" customHeight="1" x14ac:dyDescent="0.25">
      <c r="B1267" s="15"/>
      <c r="C1267" s="119" t="s">
        <v>780</v>
      </c>
      <c r="D1267" s="120" t="s">
        <v>783</v>
      </c>
      <c r="E1267" s="125">
        <v>11.560847770448571</v>
      </c>
      <c r="F1267" s="125">
        <v>12.297034277314387</v>
      </c>
      <c r="G1267" s="125">
        <v>12.172050144910177</v>
      </c>
      <c r="H1267" s="125">
        <v>11.759940152471392</v>
      </c>
      <c r="I1267" s="125">
        <v>11.547574765339805</v>
      </c>
      <c r="J1267" s="125">
        <v>11.40930678014354</v>
      </c>
      <c r="K1267" s="125">
        <v>11.449960141506176</v>
      </c>
      <c r="L1267" s="125">
        <v>11.483939461966655</v>
      </c>
      <c r="M1267" s="125">
        <v>10.971464965922486</v>
      </c>
      <c r="N1267" s="131">
        <v>11.173673689254745</v>
      </c>
      <c r="O1267" s="94"/>
      <c r="P1267" s="14"/>
      <c r="Q1267" s="14"/>
      <c r="R1267" s="14"/>
      <c r="S1267" s="14"/>
      <c r="T1267" s="14"/>
      <c r="U1267" s="14"/>
    </row>
    <row r="1268" spans="2:21" ht="18.75" customHeight="1" x14ac:dyDescent="0.25">
      <c r="B1268" s="15"/>
      <c r="C1268" s="122" t="s">
        <v>1893</v>
      </c>
      <c r="D1268" s="120" t="s">
        <v>782</v>
      </c>
      <c r="E1268" s="125">
        <v>365</v>
      </c>
      <c r="F1268" s="134">
        <v>62</v>
      </c>
      <c r="G1268" s="134">
        <v>140</v>
      </c>
      <c r="H1268" s="134">
        <v>255</v>
      </c>
      <c r="I1268" s="134">
        <v>325</v>
      </c>
      <c r="J1268" s="134">
        <v>365</v>
      </c>
      <c r="K1268" s="134">
        <v>425</v>
      </c>
      <c r="L1268" s="134">
        <v>485</v>
      </c>
      <c r="M1268" s="134">
        <v>580</v>
      </c>
      <c r="N1268" s="135">
        <v>545</v>
      </c>
      <c r="O1268" s="94"/>
      <c r="P1268" s="14"/>
      <c r="Q1268" s="14"/>
      <c r="R1268" s="14"/>
      <c r="S1268" s="14"/>
      <c r="T1268" s="14"/>
      <c r="U1268" s="14"/>
    </row>
    <row r="1269" spans="2:21" ht="18.75" customHeight="1" x14ac:dyDescent="0.25">
      <c r="B1269" s="15"/>
      <c r="C1269" s="122"/>
      <c r="D1269" s="210"/>
      <c r="E1269" s="210"/>
      <c r="F1269" s="210"/>
      <c r="G1269" s="210"/>
      <c r="H1269" s="210"/>
      <c r="I1269" s="210"/>
      <c r="J1269" s="210"/>
      <c r="K1269" s="210"/>
      <c r="L1269" s="210"/>
      <c r="M1269" s="210"/>
      <c r="N1269" s="115"/>
      <c r="O1269" s="94"/>
      <c r="P1269" s="14"/>
      <c r="Q1269" s="14"/>
      <c r="R1269" s="14"/>
      <c r="S1269" s="14"/>
      <c r="T1269" s="14"/>
      <c r="U1269" s="14"/>
    </row>
    <row r="1270" spans="2:21" ht="18.75" customHeight="1" x14ac:dyDescent="0.25">
      <c r="B1270" s="15"/>
      <c r="C1270" s="2199" t="s">
        <v>2086</v>
      </c>
      <c r="D1270" s="2200"/>
      <c r="E1270" s="2200"/>
      <c r="F1270" s="2200"/>
      <c r="G1270" s="2200"/>
      <c r="H1270" s="2200"/>
      <c r="I1270" s="2200"/>
      <c r="J1270" s="2200"/>
      <c r="K1270" s="2200"/>
      <c r="L1270" s="2200"/>
      <c r="M1270" s="2200"/>
      <c r="N1270" s="2201"/>
      <c r="O1270" s="94"/>
      <c r="P1270" s="14"/>
      <c r="Q1270" s="14"/>
      <c r="R1270" s="14"/>
      <c r="S1270" s="14"/>
      <c r="T1270" s="14"/>
      <c r="U1270" s="14"/>
    </row>
    <row r="1271" spans="2:21" ht="18.75" customHeight="1" x14ac:dyDescent="0.25">
      <c r="B1271" s="15"/>
      <c r="C1271" s="2202" t="s">
        <v>1088</v>
      </c>
      <c r="D1271" s="210">
        <v>133</v>
      </c>
      <c r="E1271" s="104" t="s">
        <v>679</v>
      </c>
      <c r="F1271" s="210">
        <v>80</v>
      </c>
      <c r="G1271" s="210">
        <v>180</v>
      </c>
      <c r="H1271" s="210">
        <v>290</v>
      </c>
      <c r="I1271" s="210">
        <v>340</v>
      </c>
      <c r="J1271" s="210">
        <v>400</v>
      </c>
      <c r="K1271" s="210">
        <v>450</v>
      </c>
      <c r="L1271" s="210">
        <v>525</v>
      </c>
      <c r="M1271" s="210">
        <v>525</v>
      </c>
      <c r="N1271" s="115">
        <v>400</v>
      </c>
      <c r="O1271" s="94"/>
      <c r="P1271" s="14"/>
      <c r="Q1271" s="14"/>
      <c r="R1271" s="14"/>
      <c r="S1271" s="14"/>
      <c r="T1271" s="14"/>
      <c r="U1271" s="14"/>
    </row>
    <row r="1272" spans="2:21" ht="18.75" customHeight="1" x14ac:dyDescent="0.25">
      <c r="B1272" s="15"/>
      <c r="C1272" s="119" t="s">
        <v>568</v>
      </c>
      <c r="D1272" s="120" t="s">
        <v>623</v>
      </c>
      <c r="E1272" s="110" t="s">
        <v>608</v>
      </c>
      <c r="F1272" s="110" t="s">
        <v>957</v>
      </c>
      <c r="G1272" s="110" t="s">
        <v>572</v>
      </c>
      <c r="H1272" s="110" t="s">
        <v>530</v>
      </c>
      <c r="I1272" s="110" t="s">
        <v>573</v>
      </c>
      <c r="J1272" s="110" t="s">
        <v>574</v>
      </c>
      <c r="K1272" s="110" t="s">
        <v>575</v>
      </c>
      <c r="L1272" s="110" t="s">
        <v>576</v>
      </c>
      <c r="M1272" s="110" t="s">
        <v>577</v>
      </c>
      <c r="N1272" s="2203" t="s">
        <v>609</v>
      </c>
      <c r="O1272" s="94"/>
      <c r="P1272" s="14"/>
      <c r="Q1272" s="14"/>
      <c r="R1272" s="14"/>
      <c r="S1272" s="14"/>
      <c r="T1272" s="14"/>
      <c r="U1272" s="14"/>
    </row>
    <row r="1273" spans="2:21" ht="18.75" customHeight="1" x14ac:dyDescent="0.25">
      <c r="B1273" s="15"/>
      <c r="C1273" s="119" t="s">
        <v>582</v>
      </c>
      <c r="D1273" s="120" t="s">
        <v>566</v>
      </c>
      <c r="E1273" s="121">
        <v>98587.773718987519</v>
      </c>
      <c r="F1273" s="129">
        <v>1362.0230706592379</v>
      </c>
      <c r="G1273" s="129">
        <v>9865.0778999953109</v>
      </c>
      <c r="H1273" s="129">
        <v>16004.478821830313</v>
      </c>
      <c r="I1273" s="129">
        <v>7088.1367502715602</v>
      </c>
      <c r="J1273" s="129">
        <v>10905.227822186298</v>
      </c>
      <c r="K1273" s="129">
        <v>7726.1031709329191</v>
      </c>
      <c r="L1273" s="129">
        <v>13298.85642628831</v>
      </c>
      <c r="M1273" s="129">
        <v>32337.86975682358</v>
      </c>
      <c r="N1273" s="130">
        <v>53613.353233171423</v>
      </c>
      <c r="O1273" s="94"/>
      <c r="P1273" s="14"/>
      <c r="Q1273" s="14"/>
      <c r="R1273" s="14"/>
      <c r="S1273" s="14"/>
      <c r="T1273" s="14"/>
      <c r="U1273" s="14"/>
    </row>
    <row r="1274" spans="2:21" ht="18.75" customHeight="1" x14ac:dyDescent="0.25">
      <c r="B1274" s="15"/>
      <c r="C1274" s="119" t="s">
        <v>582</v>
      </c>
      <c r="D1274" s="120" t="s">
        <v>628</v>
      </c>
      <c r="E1274" s="145">
        <v>15675.456021319016</v>
      </c>
      <c r="F1274" s="129">
        <v>216.56166823481882</v>
      </c>
      <c r="G1274" s="129">
        <v>1568.5473860992545</v>
      </c>
      <c r="H1274" s="129">
        <v>2544.7121326710198</v>
      </c>
      <c r="I1274" s="129">
        <v>1127.0137432931781</v>
      </c>
      <c r="J1274" s="129">
        <v>1733.9312237276215</v>
      </c>
      <c r="K1274" s="129">
        <v>1228.4504041783341</v>
      </c>
      <c r="L1274" s="129">
        <v>2114.5181717798414</v>
      </c>
      <c r="M1274" s="129">
        <v>5141.7212913349495</v>
      </c>
      <c r="N1274" s="130">
        <v>8524.5231640742568</v>
      </c>
      <c r="O1274" s="94"/>
      <c r="P1274" s="14"/>
      <c r="Q1274" s="14"/>
      <c r="R1274" s="14"/>
      <c r="S1274" s="14"/>
      <c r="T1274" s="14"/>
      <c r="U1274" s="14"/>
    </row>
    <row r="1275" spans="2:21" ht="18.75" customHeight="1" x14ac:dyDescent="0.25">
      <c r="B1275" s="15"/>
      <c r="C1275" s="119" t="s">
        <v>620</v>
      </c>
      <c r="D1275" s="120" t="s">
        <v>622</v>
      </c>
      <c r="E1275" s="129">
        <v>14520906.874999996</v>
      </c>
      <c r="F1275" s="129">
        <v>145209.06874999998</v>
      </c>
      <c r="G1275" s="129">
        <v>1161672.5499999998</v>
      </c>
      <c r="H1275" s="129">
        <v>2178136.0312499995</v>
      </c>
      <c r="I1275" s="129">
        <v>1016463.4812499998</v>
      </c>
      <c r="J1275" s="129">
        <v>1597299.7562499996</v>
      </c>
      <c r="K1275" s="129">
        <v>1161672.5499999998</v>
      </c>
      <c r="L1275" s="129">
        <v>2032926.9624999997</v>
      </c>
      <c r="M1275" s="129">
        <v>5227526.4749999987</v>
      </c>
      <c r="N1275" s="130">
        <v>8422125.9874999989</v>
      </c>
      <c r="O1275" s="94"/>
      <c r="P1275" s="14"/>
      <c r="Q1275" s="14"/>
      <c r="R1275" s="14"/>
      <c r="S1275" s="14"/>
      <c r="T1275" s="14"/>
      <c r="U1275" s="14"/>
    </row>
    <row r="1276" spans="2:21" ht="18.75" customHeight="1" x14ac:dyDescent="0.25">
      <c r="B1276" s="15"/>
      <c r="C1276" s="122" t="s">
        <v>1343</v>
      </c>
      <c r="D1276" s="120" t="s">
        <v>579</v>
      </c>
      <c r="E1276" s="125">
        <v>3.4339134807177172</v>
      </c>
      <c r="F1276" s="125">
        <v>0</v>
      </c>
      <c r="G1276" s="125">
        <v>0</v>
      </c>
      <c r="H1276" s="125">
        <v>1.2465596513430903</v>
      </c>
      <c r="I1276" s="125">
        <v>2.0253734227101496</v>
      </c>
      <c r="J1276" s="125">
        <v>2.4967289240175785</v>
      </c>
      <c r="K1276" s="125">
        <v>3.3271913223255751</v>
      </c>
      <c r="L1276" s="125">
        <v>4.0059628873496171</v>
      </c>
      <c r="M1276" s="125">
        <v>5.5652863938044943</v>
      </c>
      <c r="N1276" s="131">
        <v>4.8801951927320859</v>
      </c>
      <c r="O1276" s="94"/>
      <c r="P1276" s="14"/>
      <c r="Q1276" s="14"/>
      <c r="R1276" s="14"/>
      <c r="S1276" s="14"/>
      <c r="T1276" s="14"/>
      <c r="U1276" s="14"/>
    </row>
    <row r="1277" spans="2:21" ht="18.75" customHeight="1" x14ac:dyDescent="0.25">
      <c r="B1277" s="15"/>
      <c r="C1277" s="122" t="s">
        <v>888</v>
      </c>
      <c r="D1277" s="210" t="s">
        <v>778</v>
      </c>
      <c r="E1277" s="125">
        <v>171.95523879869819</v>
      </c>
      <c r="F1277" s="132">
        <v>0</v>
      </c>
      <c r="G1277" s="132">
        <v>71.91977231544962</v>
      </c>
      <c r="H1277" s="132">
        <v>167.85996681903782</v>
      </c>
      <c r="I1277" s="132">
        <v>190.53757917802238</v>
      </c>
      <c r="J1277" s="132">
        <v>195.70781397977322</v>
      </c>
      <c r="K1277" s="132">
        <v>195.54150928540787</v>
      </c>
      <c r="L1277" s="132">
        <v>190.28942095399589</v>
      </c>
      <c r="M1277" s="125">
        <v>177.42592287216078</v>
      </c>
      <c r="N1277" s="133">
        <v>183.02960674201711</v>
      </c>
      <c r="O1277" s="94"/>
      <c r="P1277" s="14"/>
      <c r="Q1277" s="14"/>
      <c r="R1277" s="14"/>
      <c r="S1277" s="14"/>
      <c r="T1277" s="14"/>
      <c r="U1277" s="14"/>
    </row>
    <row r="1278" spans="2:21" ht="18.75" customHeight="1" x14ac:dyDescent="0.25">
      <c r="B1278" s="15"/>
      <c r="C1278" s="119" t="s">
        <v>779</v>
      </c>
      <c r="D1278" s="120" t="s">
        <v>970</v>
      </c>
      <c r="E1278" s="132">
        <v>23.3</v>
      </c>
      <c r="F1278" s="125">
        <v>79.322178634159656</v>
      </c>
      <c r="G1278" s="125">
        <v>59.372061941842787</v>
      </c>
      <c r="H1278" s="125">
        <v>33.651343165302166</v>
      </c>
      <c r="I1278" s="125">
        <v>25.234961222669966</v>
      </c>
      <c r="J1278" s="125">
        <v>21.952472649072561</v>
      </c>
      <c r="K1278" s="125">
        <v>17.986629295859615</v>
      </c>
      <c r="L1278" s="125">
        <v>15.534109224846475</v>
      </c>
      <c r="M1278" s="125">
        <v>7.5403139880056642</v>
      </c>
      <c r="N1278" s="131">
        <v>11.579301209421232</v>
      </c>
      <c r="O1278" s="94"/>
      <c r="P1278" s="14"/>
      <c r="Q1278" s="14"/>
      <c r="R1278" s="14"/>
      <c r="S1278" s="14"/>
      <c r="T1278" s="14"/>
      <c r="U1278" s="14"/>
    </row>
    <row r="1279" spans="2:21" ht="18.75" customHeight="1" x14ac:dyDescent="0.25">
      <c r="B1279" s="15"/>
      <c r="C1279" s="119" t="s">
        <v>580</v>
      </c>
      <c r="D1279" s="120" t="s">
        <v>581</v>
      </c>
      <c r="E1279" s="125">
        <v>913.26458333333312</v>
      </c>
      <c r="F1279" s="125">
        <v>670.52064168876416</v>
      </c>
      <c r="G1279" s="125">
        <v>740.60405206431653</v>
      </c>
      <c r="H1279" s="125">
        <v>855.94594503848691</v>
      </c>
      <c r="I1279" s="125">
        <v>901.90868327821272</v>
      </c>
      <c r="J1279" s="125">
        <v>921.20133393532751</v>
      </c>
      <c r="K1279" s="125">
        <v>945.64057779524308</v>
      </c>
      <c r="L1279" s="125">
        <v>961.4138055805098</v>
      </c>
      <c r="M1279" s="125">
        <v>1016.688026986148</v>
      </c>
      <c r="N1279" s="131">
        <v>987.98792910719033</v>
      </c>
      <c r="O1279" s="94"/>
      <c r="P1279" s="14"/>
      <c r="Q1279" s="14"/>
      <c r="R1279" s="14"/>
      <c r="S1279" s="14"/>
      <c r="T1279" s="14"/>
      <c r="U1279" s="14"/>
    </row>
    <row r="1280" spans="2:21" ht="18.75" customHeight="1" x14ac:dyDescent="0.25">
      <c r="B1280" s="15"/>
      <c r="C1280" s="119" t="s">
        <v>541</v>
      </c>
      <c r="D1280" s="120" t="s">
        <v>579</v>
      </c>
      <c r="E1280" s="125">
        <v>11.527310926550536</v>
      </c>
      <c r="F1280" s="125">
        <v>16.02773379876232</v>
      </c>
      <c r="G1280" s="125">
        <v>14.463570891743034</v>
      </c>
      <c r="H1280" s="125">
        <v>12.483372991489613</v>
      </c>
      <c r="I1280" s="125">
        <v>12.291954094730229</v>
      </c>
      <c r="J1280" s="125">
        <v>11.878622687544887</v>
      </c>
      <c r="K1280" s="125">
        <v>11.400260005980762</v>
      </c>
      <c r="L1280" s="125">
        <v>11.126204537981529</v>
      </c>
      <c r="M1280" s="125">
        <v>10.27963125123083</v>
      </c>
      <c r="N1280" s="131">
        <v>10.638546010756851</v>
      </c>
      <c r="O1280" s="94"/>
      <c r="P1280" s="14"/>
      <c r="Q1280" s="14"/>
      <c r="R1280" s="14"/>
      <c r="S1280" s="14"/>
      <c r="T1280" s="14"/>
      <c r="U1280" s="14"/>
    </row>
    <row r="1281" spans="2:21" ht="18.75" customHeight="1" x14ac:dyDescent="0.25">
      <c r="B1281" s="15"/>
      <c r="C1281" s="119" t="s">
        <v>544</v>
      </c>
      <c r="D1281" s="120" t="s">
        <v>579</v>
      </c>
      <c r="E1281" s="125">
        <v>7.7</v>
      </c>
      <c r="F1281" s="128"/>
      <c r="G1281" s="128"/>
      <c r="H1281" s="128"/>
      <c r="I1281" s="128"/>
      <c r="J1281" s="128"/>
      <c r="K1281" s="128"/>
      <c r="L1281" s="128"/>
      <c r="M1281" s="125">
        <v>21.3675</v>
      </c>
      <c r="N1281" s="131">
        <v>13.275862068965516</v>
      </c>
      <c r="O1281" s="94"/>
      <c r="P1281" s="14"/>
      <c r="Q1281" s="14"/>
      <c r="R1281" s="14"/>
      <c r="S1281" s="14"/>
      <c r="T1281" s="14"/>
      <c r="U1281" s="14"/>
    </row>
    <row r="1282" spans="2:21" ht="18.75" customHeight="1" x14ac:dyDescent="0.25">
      <c r="B1282" s="15"/>
      <c r="C1282" s="119" t="s">
        <v>780</v>
      </c>
      <c r="D1282" s="120" t="s">
        <v>783</v>
      </c>
      <c r="E1282" s="125">
        <v>11.457229416552108</v>
      </c>
      <c r="F1282" s="125">
        <v>12.589170056354098</v>
      </c>
      <c r="G1282" s="125">
        <v>12.22116701724401</v>
      </c>
      <c r="H1282" s="125">
        <v>11.476309886716267</v>
      </c>
      <c r="I1282" s="125">
        <v>11.352817199112071</v>
      </c>
      <c r="J1282" s="125">
        <v>11.357494726599557</v>
      </c>
      <c r="K1282" s="125">
        <v>11.400388689200829</v>
      </c>
      <c r="L1282" s="125">
        <v>11.525794439746463</v>
      </c>
      <c r="M1282" s="125">
        <v>11.336620276691169</v>
      </c>
      <c r="N1282" s="131">
        <v>11.50417599713977</v>
      </c>
      <c r="O1282" s="94"/>
      <c r="P1282" s="14"/>
      <c r="Q1282" s="14"/>
      <c r="R1282" s="14"/>
      <c r="S1282" s="14"/>
      <c r="T1282" s="14"/>
      <c r="U1282" s="14"/>
    </row>
    <row r="1283" spans="2:21" ht="18.75" customHeight="1" x14ac:dyDescent="0.25">
      <c r="B1283" s="15"/>
      <c r="C1283" s="122" t="s">
        <v>1893</v>
      </c>
      <c r="D1283" s="120" t="s">
        <v>782</v>
      </c>
      <c r="E1283" s="125">
        <v>365</v>
      </c>
      <c r="F1283" s="134">
        <v>62</v>
      </c>
      <c r="G1283" s="134">
        <v>140</v>
      </c>
      <c r="H1283" s="134">
        <v>255</v>
      </c>
      <c r="I1283" s="134">
        <v>325</v>
      </c>
      <c r="J1283" s="134">
        <v>365</v>
      </c>
      <c r="K1283" s="134">
        <v>425</v>
      </c>
      <c r="L1283" s="134">
        <v>485</v>
      </c>
      <c r="M1283" s="134">
        <v>580</v>
      </c>
      <c r="N1283" s="135">
        <v>545</v>
      </c>
      <c r="O1283" s="94"/>
      <c r="P1283" s="14"/>
      <c r="Q1283" s="14"/>
      <c r="R1283" s="14"/>
      <c r="S1283" s="14"/>
      <c r="T1283" s="14"/>
      <c r="U1283" s="14"/>
    </row>
    <row r="1284" spans="2:21" ht="18.75" customHeight="1" x14ac:dyDescent="0.25">
      <c r="B1284" s="15"/>
      <c r="C1284" s="122"/>
      <c r="D1284" s="210"/>
      <c r="E1284" s="210"/>
      <c r="F1284" s="210"/>
      <c r="G1284" s="210"/>
      <c r="H1284" s="210"/>
      <c r="I1284" s="210"/>
      <c r="J1284" s="210"/>
      <c r="K1284" s="210"/>
      <c r="L1284" s="210"/>
      <c r="M1284" s="210"/>
      <c r="N1284" s="115"/>
      <c r="O1284" s="94"/>
      <c r="P1284" s="14"/>
      <c r="Q1284" s="14"/>
      <c r="R1284" s="14"/>
      <c r="S1284" s="14"/>
      <c r="T1284" s="14"/>
      <c r="U1284" s="14"/>
    </row>
    <row r="1285" spans="2:21" ht="18.75" customHeight="1" x14ac:dyDescent="0.25">
      <c r="B1285" s="15"/>
      <c r="C1285" s="2199" t="s">
        <v>2087</v>
      </c>
      <c r="D1285" s="2200"/>
      <c r="E1285" s="2200"/>
      <c r="F1285" s="2200"/>
      <c r="G1285" s="2200"/>
      <c r="H1285" s="2200"/>
      <c r="I1285" s="2200"/>
      <c r="J1285" s="2200"/>
      <c r="K1285" s="2200"/>
      <c r="L1285" s="2200"/>
      <c r="M1285" s="2200"/>
      <c r="N1285" s="2201"/>
      <c r="O1285" s="94"/>
      <c r="P1285" s="14"/>
      <c r="Q1285" s="14"/>
      <c r="R1285" s="14"/>
      <c r="S1285" s="14"/>
      <c r="T1285" s="14"/>
      <c r="U1285" s="14"/>
    </row>
    <row r="1286" spans="2:21" ht="18.75" customHeight="1" x14ac:dyDescent="0.25">
      <c r="B1286" s="15"/>
      <c r="C1286" s="2202" t="s">
        <v>1088</v>
      </c>
      <c r="D1286" s="210">
        <v>75</v>
      </c>
      <c r="E1286" s="104" t="s">
        <v>679</v>
      </c>
      <c r="F1286" s="210">
        <v>80</v>
      </c>
      <c r="G1286" s="210">
        <v>180</v>
      </c>
      <c r="H1286" s="210">
        <v>290</v>
      </c>
      <c r="I1286" s="210">
        <v>340</v>
      </c>
      <c r="J1286" s="210">
        <v>400</v>
      </c>
      <c r="K1286" s="210">
        <v>450</v>
      </c>
      <c r="L1286" s="210">
        <v>525</v>
      </c>
      <c r="M1286" s="210">
        <v>525</v>
      </c>
      <c r="N1286" s="115">
        <v>400</v>
      </c>
      <c r="O1286" s="94"/>
      <c r="P1286" s="14"/>
      <c r="Q1286" s="14"/>
      <c r="R1286" s="14"/>
      <c r="S1286" s="14"/>
      <c r="T1286" s="14"/>
      <c r="U1286" s="14"/>
    </row>
    <row r="1287" spans="2:21" ht="18.75" customHeight="1" x14ac:dyDescent="0.25">
      <c r="B1287" s="15"/>
      <c r="C1287" s="119" t="s">
        <v>568</v>
      </c>
      <c r="D1287" s="120" t="s">
        <v>623</v>
      </c>
      <c r="E1287" s="110" t="s">
        <v>608</v>
      </c>
      <c r="F1287" s="110" t="s">
        <v>957</v>
      </c>
      <c r="G1287" s="110" t="s">
        <v>572</v>
      </c>
      <c r="H1287" s="110" t="s">
        <v>530</v>
      </c>
      <c r="I1287" s="110" t="s">
        <v>573</v>
      </c>
      <c r="J1287" s="110" t="s">
        <v>574</v>
      </c>
      <c r="K1287" s="110" t="s">
        <v>575</v>
      </c>
      <c r="L1287" s="110" t="s">
        <v>576</v>
      </c>
      <c r="M1287" s="110" t="s">
        <v>577</v>
      </c>
      <c r="N1287" s="2203" t="s">
        <v>609</v>
      </c>
      <c r="O1287" s="94"/>
      <c r="P1287" s="14"/>
      <c r="Q1287" s="14"/>
      <c r="R1287" s="14"/>
      <c r="S1287" s="14"/>
      <c r="T1287" s="14"/>
      <c r="U1287" s="14"/>
    </row>
    <row r="1288" spans="2:21" ht="18.75" customHeight="1" x14ac:dyDescent="0.25">
      <c r="B1288" s="15"/>
      <c r="C1288" s="119" t="s">
        <v>582</v>
      </c>
      <c r="D1288" s="120" t="s">
        <v>566</v>
      </c>
      <c r="E1288" s="121">
        <v>97829.946275858005</v>
      </c>
      <c r="F1288" s="129">
        <v>8326.9207466321095</v>
      </c>
      <c r="G1288" s="129">
        <v>18709.904578021687</v>
      </c>
      <c r="H1288" s="129">
        <v>19910.39377975449</v>
      </c>
      <c r="I1288" s="129">
        <v>9326.096703594565</v>
      </c>
      <c r="J1288" s="129">
        <v>8642.1935553327985</v>
      </c>
      <c r="K1288" s="129">
        <v>7493.3227416564841</v>
      </c>
      <c r="L1288" s="129">
        <v>9039.8011497836997</v>
      </c>
      <c r="M1288" s="129">
        <v>16381.313021082167</v>
      </c>
      <c r="N1288" s="130">
        <v>33933.745757658093</v>
      </c>
      <c r="O1288" s="94"/>
      <c r="P1288" s="14"/>
      <c r="Q1288" s="14"/>
      <c r="R1288" s="14"/>
      <c r="S1288" s="14"/>
      <c r="T1288" s="14"/>
      <c r="U1288" s="14"/>
    </row>
    <row r="1289" spans="2:21" ht="18.75" customHeight="1" x14ac:dyDescent="0.25">
      <c r="B1289" s="15"/>
      <c r="C1289" s="119" t="s">
        <v>582</v>
      </c>
      <c r="D1289" s="120" t="s">
        <v>628</v>
      </c>
      <c r="E1289" s="145">
        <v>15554.961457861424</v>
      </c>
      <c r="F1289" s="129">
        <v>1323.9803987145053</v>
      </c>
      <c r="G1289" s="129">
        <v>2974.8748279054485</v>
      </c>
      <c r="H1289" s="129">
        <v>3165.7526109809637</v>
      </c>
      <c r="I1289" s="129">
        <v>1482.8493758715358</v>
      </c>
      <c r="J1289" s="129">
        <v>1374.1087752979149</v>
      </c>
      <c r="K1289" s="129">
        <v>1191.438315923381</v>
      </c>
      <c r="L1289" s="129">
        <v>1437.3283828156084</v>
      </c>
      <c r="M1289" s="129">
        <v>2604.6287703520647</v>
      </c>
      <c r="N1289" s="130">
        <v>5395.4655754676369</v>
      </c>
      <c r="O1289" s="94"/>
      <c r="P1289" s="14"/>
      <c r="Q1289" s="14"/>
      <c r="R1289" s="14"/>
      <c r="S1289" s="14"/>
      <c r="T1289" s="14"/>
      <c r="U1289" s="14"/>
    </row>
    <row r="1290" spans="2:21" ht="18.75" customHeight="1" x14ac:dyDescent="0.25">
      <c r="B1290" s="15"/>
      <c r="C1290" s="119" t="s">
        <v>620</v>
      </c>
      <c r="D1290" s="120" t="s">
        <v>622</v>
      </c>
      <c r="E1290" s="129">
        <v>13626300</v>
      </c>
      <c r="F1290" s="129">
        <v>953841.00000000012</v>
      </c>
      <c r="G1290" s="129">
        <v>2316471</v>
      </c>
      <c r="H1290" s="129">
        <v>2657128.5</v>
      </c>
      <c r="I1290" s="129">
        <v>1294498.5</v>
      </c>
      <c r="J1290" s="129">
        <v>1226367</v>
      </c>
      <c r="K1290" s="129">
        <v>1090104</v>
      </c>
      <c r="L1290" s="129">
        <v>1362630</v>
      </c>
      <c r="M1290" s="129">
        <v>2725260</v>
      </c>
      <c r="N1290" s="130">
        <v>5177994</v>
      </c>
      <c r="O1290" s="94"/>
      <c r="P1290" s="14"/>
      <c r="Q1290" s="14"/>
      <c r="R1290" s="14"/>
      <c r="S1290" s="14"/>
      <c r="T1290" s="14"/>
      <c r="U1290" s="14"/>
    </row>
    <row r="1291" spans="2:21" ht="18.75" customHeight="1" x14ac:dyDescent="0.25">
      <c r="B1291" s="15"/>
      <c r="C1291" s="122" t="s">
        <v>776</v>
      </c>
      <c r="D1291" s="120" t="s">
        <v>579</v>
      </c>
      <c r="E1291" s="125">
        <v>1.9737379728618876</v>
      </c>
      <c r="F1291" s="125">
        <v>0</v>
      </c>
      <c r="G1291" s="125">
        <v>0</v>
      </c>
      <c r="H1291" s="125">
        <v>1.3011212953211024</v>
      </c>
      <c r="I1291" s="125">
        <v>1.7844545388428728</v>
      </c>
      <c r="J1291" s="125">
        <v>2.0971246877898047</v>
      </c>
      <c r="K1291" s="125">
        <v>2.5226520787481395</v>
      </c>
      <c r="L1291" s="125">
        <v>3.2849312251438869</v>
      </c>
      <c r="M1291" s="125">
        <v>4.1572481418443878</v>
      </c>
      <c r="N1291" s="131">
        <v>3.5835655715345194</v>
      </c>
      <c r="O1291" s="94"/>
      <c r="P1291" s="14"/>
      <c r="Q1291" s="14"/>
      <c r="R1291" s="14"/>
      <c r="S1291" s="14"/>
      <c r="T1291" s="14"/>
      <c r="U1291" s="14"/>
    </row>
    <row r="1292" spans="2:21" ht="18.75" customHeight="1" x14ac:dyDescent="0.25">
      <c r="B1292" s="15"/>
      <c r="C1292" s="122" t="s">
        <v>777</v>
      </c>
      <c r="D1292" s="210" t="s">
        <v>778</v>
      </c>
      <c r="E1292" s="125">
        <v>583.23310624615897</v>
      </c>
      <c r="F1292" s="132">
        <v>0</v>
      </c>
      <c r="G1292" s="132">
        <v>0</v>
      </c>
      <c r="H1292" s="132">
        <v>60.321709722684091</v>
      </c>
      <c r="I1292" s="132">
        <v>311.11707792097741</v>
      </c>
      <c r="J1292" s="132">
        <v>516.88699100229587</v>
      </c>
      <c r="K1292" s="132">
        <v>783.81752390566862</v>
      </c>
      <c r="L1292" s="132">
        <v>1175.7806473137907</v>
      </c>
      <c r="M1292" s="125">
        <v>1575.5547730685175</v>
      </c>
      <c r="N1292" s="133">
        <v>1303.669529625095</v>
      </c>
      <c r="O1292" s="94"/>
      <c r="P1292" s="14"/>
      <c r="Q1292" s="14"/>
      <c r="R1292" s="14"/>
      <c r="S1292" s="14"/>
      <c r="T1292" s="14"/>
      <c r="U1292" s="14"/>
    </row>
    <row r="1293" spans="2:21" ht="18.75" customHeight="1" x14ac:dyDescent="0.25">
      <c r="B1293" s="15"/>
      <c r="C1293" s="119" t="s">
        <v>779</v>
      </c>
      <c r="D1293" s="120" t="s">
        <v>970</v>
      </c>
      <c r="E1293" s="132">
        <v>39.289296419136768</v>
      </c>
      <c r="F1293" s="125">
        <v>64.715819345237492</v>
      </c>
      <c r="G1293" s="125">
        <v>50.03914188103132</v>
      </c>
      <c r="H1293" s="125">
        <v>36.91969056794558</v>
      </c>
      <c r="I1293" s="125">
        <v>30.428739853261163</v>
      </c>
      <c r="J1293" s="125">
        <v>26.890491475085277</v>
      </c>
      <c r="K1293" s="125">
        <v>23.001278785584503</v>
      </c>
      <c r="L1293" s="125">
        <v>17.609908729246179</v>
      </c>
      <c r="M1293" s="125">
        <v>3.6034192548151083</v>
      </c>
      <c r="N1293" s="131">
        <v>15.797654733749354</v>
      </c>
      <c r="O1293" s="94"/>
      <c r="P1293" s="14"/>
      <c r="Q1293" s="14"/>
      <c r="R1293" s="14"/>
      <c r="S1293" s="14"/>
      <c r="T1293" s="14"/>
      <c r="U1293" s="14"/>
    </row>
    <row r="1294" spans="2:21" ht="18.75" customHeight="1" x14ac:dyDescent="0.25">
      <c r="B1294" s="15"/>
      <c r="C1294" s="119" t="s">
        <v>580</v>
      </c>
      <c r="D1294" s="120" t="s">
        <v>581</v>
      </c>
      <c r="E1294" s="125">
        <v>857</v>
      </c>
      <c r="F1294" s="125">
        <v>720.43438175226356</v>
      </c>
      <c r="G1294" s="125">
        <v>778.67847691292013</v>
      </c>
      <c r="H1294" s="125">
        <v>839.33548401201267</v>
      </c>
      <c r="I1294" s="125">
        <v>872.98043959398524</v>
      </c>
      <c r="J1294" s="125">
        <v>892.48174674826328</v>
      </c>
      <c r="K1294" s="125">
        <v>914.94791247766318</v>
      </c>
      <c r="L1294" s="125">
        <v>948.02970308755721</v>
      </c>
      <c r="M1294" s="125">
        <v>1046.3141738358474</v>
      </c>
      <c r="N1294" s="131">
        <v>959.69364044199506</v>
      </c>
      <c r="O1294" s="94"/>
      <c r="P1294" s="14"/>
      <c r="Q1294" s="14"/>
      <c r="R1294" s="14"/>
      <c r="S1294" s="14"/>
      <c r="T1294" s="14"/>
      <c r="U1294" s="14"/>
    </row>
    <row r="1295" spans="2:21" ht="18.75" customHeight="1" x14ac:dyDescent="0.25">
      <c r="B1295" s="15"/>
      <c r="C1295" s="119" t="s">
        <v>541</v>
      </c>
      <c r="D1295" s="120" t="s">
        <v>579</v>
      </c>
      <c r="E1295" s="125">
        <v>12.332783822606997</v>
      </c>
      <c r="F1295" s="125">
        <v>13.41179416349387</v>
      </c>
      <c r="G1295" s="125">
        <v>13.275694020910246</v>
      </c>
      <c r="H1295" s="125">
        <v>12.846525224361178</v>
      </c>
      <c r="I1295" s="125">
        <v>13.052069204824647</v>
      </c>
      <c r="J1295" s="125">
        <v>12.644955164194826</v>
      </c>
      <c r="K1295" s="125">
        <v>12.171636850258849</v>
      </c>
      <c r="L1295" s="125">
        <v>11.45448363232947</v>
      </c>
      <c r="M1295" s="125">
        <v>10.674229891838616</v>
      </c>
      <c r="N1295" s="131">
        <v>11.194803393740468</v>
      </c>
      <c r="O1295" s="94"/>
      <c r="P1295" s="14"/>
      <c r="Q1295" s="14"/>
      <c r="R1295" s="14"/>
      <c r="S1295" s="14"/>
      <c r="T1295" s="14"/>
      <c r="U1295" s="14"/>
    </row>
    <row r="1296" spans="2:21" ht="18.75" customHeight="1" x14ac:dyDescent="0.25">
      <c r="B1296" s="15"/>
      <c r="C1296" s="119" t="s">
        <v>544</v>
      </c>
      <c r="D1296" s="120" t="s">
        <v>579</v>
      </c>
      <c r="E1296" s="125">
        <v>5.4</v>
      </c>
      <c r="F1296" s="128"/>
      <c r="G1296" s="128"/>
      <c r="H1296" s="128"/>
      <c r="I1296" s="128"/>
      <c r="J1296" s="128"/>
      <c r="K1296" s="128"/>
      <c r="L1296" s="128"/>
      <c r="M1296" s="125">
        <v>26.973000000000003</v>
      </c>
      <c r="N1296" s="131">
        <v>14.210526315789474</v>
      </c>
      <c r="O1296" s="94"/>
      <c r="P1296" s="14"/>
      <c r="Q1296" s="14"/>
      <c r="R1296" s="14"/>
      <c r="S1296" s="14"/>
      <c r="T1296" s="14"/>
      <c r="U1296" s="14"/>
    </row>
    <row r="1297" spans="2:21" ht="18.75" customHeight="1" x14ac:dyDescent="0.25">
      <c r="B1297" s="15"/>
      <c r="C1297" s="119" t="s">
        <v>780</v>
      </c>
      <c r="D1297" s="120" t="s">
        <v>783</v>
      </c>
      <c r="E1297" s="125">
        <v>12.64064697006183</v>
      </c>
      <c r="F1297" s="125">
        <v>11.716956600522492</v>
      </c>
      <c r="G1297" s="125">
        <v>11.623598291567871</v>
      </c>
      <c r="H1297" s="125">
        <v>11.703426220687811</v>
      </c>
      <c r="I1297" s="125">
        <v>11.729019285141796</v>
      </c>
      <c r="J1297" s="125">
        <v>11.722972856786127</v>
      </c>
      <c r="K1297" s="125">
        <v>11.782823918306297</v>
      </c>
      <c r="L1297" s="125">
        <v>11.688513406875726</v>
      </c>
      <c r="M1297" s="125">
        <v>11.015626462887376</v>
      </c>
      <c r="N1297" s="131">
        <v>11.84334931537534</v>
      </c>
      <c r="O1297" s="94"/>
      <c r="P1297" s="14"/>
      <c r="Q1297" s="14"/>
      <c r="R1297" s="14"/>
      <c r="S1297" s="14"/>
      <c r="T1297" s="14"/>
      <c r="U1297" s="14"/>
    </row>
    <row r="1298" spans="2:21" ht="18.75" customHeight="1" x14ac:dyDescent="0.25">
      <c r="B1298" s="15"/>
      <c r="C1298" s="122" t="s">
        <v>781</v>
      </c>
      <c r="D1298" s="120" t="s">
        <v>782</v>
      </c>
      <c r="E1298" s="125">
        <v>365</v>
      </c>
      <c r="F1298" s="134">
        <v>62</v>
      </c>
      <c r="G1298" s="134">
        <v>140</v>
      </c>
      <c r="H1298" s="134">
        <v>255</v>
      </c>
      <c r="I1298" s="134">
        <v>325</v>
      </c>
      <c r="J1298" s="134">
        <v>365</v>
      </c>
      <c r="K1298" s="134">
        <v>425</v>
      </c>
      <c r="L1298" s="134">
        <v>485</v>
      </c>
      <c r="M1298" s="134">
        <v>580</v>
      </c>
      <c r="N1298" s="135">
        <v>545</v>
      </c>
      <c r="O1298" s="94"/>
      <c r="P1298" s="14"/>
      <c r="Q1298" s="14"/>
      <c r="R1298" s="14"/>
      <c r="S1298" s="14"/>
      <c r="T1298" s="14"/>
      <c r="U1298" s="14"/>
    </row>
    <row r="1299" spans="2:21" ht="18.75" customHeight="1" x14ac:dyDescent="0.25">
      <c r="B1299" s="15"/>
      <c r="C1299" s="122"/>
      <c r="D1299" s="210"/>
      <c r="E1299" s="210"/>
      <c r="F1299" s="210"/>
      <c r="G1299" s="210"/>
      <c r="H1299" s="210"/>
      <c r="I1299" s="210"/>
      <c r="J1299" s="210"/>
      <c r="K1299" s="210"/>
      <c r="L1299" s="210"/>
      <c r="M1299" s="210"/>
      <c r="N1299" s="115"/>
      <c r="O1299" s="94"/>
      <c r="P1299" s="14"/>
      <c r="Q1299" s="14"/>
      <c r="R1299" s="14"/>
      <c r="S1299" s="14"/>
      <c r="T1299" s="14"/>
      <c r="U1299" s="14"/>
    </row>
    <row r="1300" spans="2:21" ht="18.75" customHeight="1" x14ac:dyDescent="0.25">
      <c r="B1300" s="15"/>
      <c r="C1300" s="2199" t="s">
        <v>2088</v>
      </c>
      <c r="D1300" s="2200"/>
      <c r="E1300" s="2200"/>
      <c r="F1300" s="2200"/>
      <c r="G1300" s="2200"/>
      <c r="H1300" s="2200"/>
      <c r="I1300" s="2200"/>
      <c r="J1300" s="2200"/>
      <c r="K1300" s="2200"/>
      <c r="L1300" s="2200"/>
      <c r="M1300" s="2200"/>
      <c r="N1300" s="2201"/>
      <c r="O1300" s="94"/>
      <c r="P1300" s="14"/>
      <c r="Q1300" s="14"/>
      <c r="R1300" s="14"/>
      <c r="S1300" s="14"/>
      <c r="T1300" s="14"/>
      <c r="U1300" s="14"/>
    </row>
    <row r="1301" spans="2:21" ht="18.75" customHeight="1" x14ac:dyDescent="0.25">
      <c r="B1301" s="15"/>
      <c r="C1301" s="2202" t="s">
        <v>1088</v>
      </c>
      <c r="D1301" s="210">
        <v>131</v>
      </c>
      <c r="E1301" s="104" t="s">
        <v>679</v>
      </c>
      <c r="F1301" s="210">
        <v>80</v>
      </c>
      <c r="G1301" s="210">
        <v>180</v>
      </c>
      <c r="H1301" s="210">
        <v>290</v>
      </c>
      <c r="I1301" s="210">
        <v>340</v>
      </c>
      <c r="J1301" s="210">
        <v>400</v>
      </c>
      <c r="K1301" s="210">
        <v>450</v>
      </c>
      <c r="L1301" s="210">
        <v>525</v>
      </c>
      <c r="M1301" s="210">
        <v>525</v>
      </c>
      <c r="N1301" s="115">
        <v>400</v>
      </c>
      <c r="O1301" s="94"/>
      <c r="P1301" s="14"/>
      <c r="Q1301" s="14"/>
      <c r="R1301" s="14"/>
      <c r="S1301" s="14"/>
      <c r="T1301" s="14"/>
      <c r="U1301" s="14"/>
    </row>
    <row r="1302" spans="2:21" ht="18.75" customHeight="1" x14ac:dyDescent="0.25">
      <c r="B1302" s="15"/>
      <c r="C1302" s="119" t="s">
        <v>568</v>
      </c>
      <c r="D1302" s="120" t="s">
        <v>623</v>
      </c>
      <c r="E1302" s="110" t="s">
        <v>608</v>
      </c>
      <c r="F1302" s="110" t="s">
        <v>957</v>
      </c>
      <c r="G1302" s="110" t="s">
        <v>572</v>
      </c>
      <c r="H1302" s="110" t="s">
        <v>530</v>
      </c>
      <c r="I1302" s="110" t="s">
        <v>573</v>
      </c>
      <c r="J1302" s="110" t="s">
        <v>574</v>
      </c>
      <c r="K1302" s="110" t="s">
        <v>575</v>
      </c>
      <c r="L1302" s="110" t="s">
        <v>576</v>
      </c>
      <c r="M1302" s="110" t="s">
        <v>577</v>
      </c>
      <c r="N1302" s="2203" t="s">
        <v>609</v>
      </c>
      <c r="O1302" s="94"/>
      <c r="P1302" s="14"/>
      <c r="Q1302" s="14"/>
      <c r="R1302" s="14"/>
      <c r="S1302" s="14"/>
      <c r="T1302" s="14"/>
      <c r="U1302" s="14"/>
    </row>
    <row r="1303" spans="2:21" ht="18.75" customHeight="1" x14ac:dyDescent="0.25">
      <c r="B1303" s="15"/>
      <c r="C1303" s="119" t="s">
        <v>582</v>
      </c>
      <c r="D1303" s="120" t="s">
        <v>566</v>
      </c>
      <c r="E1303" s="121">
        <v>98259.053896587851</v>
      </c>
      <c r="F1303" s="129">
        <v>5960.6725549454623</v>
      </c>
      <c r="G1303" s="129">
        <v>14343.031227658665</v>
      </c>
      <c r="H1303" s="129">
        <v>16618.448305547634</v>
      </c>
      <c r="I1303" s="129">
        <v>5184.6326886251072</v>
      </c>
      <c r="J1303" s="129">
        <v>8312.5461999077525</v>
      </c>
      <c r="K1303" s="129">
        <v>5921.6130699604964</v>
      </c>
      <c r="L1303" s="129">
        <v>8643.5826856186122</v>
      </c>
      <c r="M1303" s="129">
        <v>33274.527164324121</v>
      </c>
      <c r="N1303" s="130">
        <v>48487.070689843931</v>
      </c>
      <c r="O1303" s="94"/>
      <c r="P1303" s="14"/>
      <c r="Q1303" s="14"/>
      <c r="R1303" s="14"/>
      <c r="S1303" s="14"/>
      <c r="T1303" s="14"/>
      <c r="U1303" s="14"/>
    </row>
    <row r="1304" spans="2:21" ht="18.75" customHeight="1" x14ac:dyDescent="0.25">
      <c r="B1304" s="15"/>
      <c r="C1304" s="119" t="s">
        <v>582</v>
      </c>
      <c r="D1304" s="120" t="s">
        <v>628</v>
      </c>
      <c r="E1304" s="145">
        <v>15623.189569557469</v>
      </c>
      <c r="F1304" s="129">
        <v>947.74693623632845</v>
      </c>
      <c r="G1304" s="129">
        <v>2280.5419651977277</v>
      </c>
      <c r="H1304" s="129">
        <v>2642.3332805820737</v>
      </c>
      <c r="I1304" s="129">
        <v>824.35659749139211</v>
      </c>
      <c r="J1304" s="129">
        <v>1321.6948457853325</v>
      </c>
      <c r="K1304" s="129">
        <v>941.53647812371889</v>
      </c>
      <c r="L1304" s="129">
        <v>1374.3296470133594</v>
      </c>
      <c r="M1304" s="129">
        <v>5290.6498191275359</v>
      </c>
      <c r="N1304" s="130">
        <v>7709.4442396851855</v>
      </c>
      <c r="O1304" s="94"/>
      <c r="P1304" s="14"/>
      <c r="Q1304" s="14"/>
      <c r="R1304" s="14"/>
      <c r="S1304" s="14"/>
      <c r="T1304" s="14"/>
      <c r="U1304" s="14"/>
    </row>
    <row r="1305" spans="2:21" ht="18.75" customHeight="1" x14ac:dyDescent="0.25">
      <c r="B1305" s="15"/>
      <c r="C1305" s="119" t="s">
        <v>620</v>
      </c>
      <c r="D1305" s="120" t="s">
        <v>622</v>
      </c>
      <c r="E1305" s="129">
        <v>13699440</v>
      </c>
      <c r="F1305" s="129">
        <v>623324.52</v>
      </c>
      <c r="G1305" s="129">
        <v>1705580.28</v>
      </c>
      <c r="H1305" s="129">
        <v>2260407.6</v>
      </c>
      <c r="I1305" s="129">
        <v>753469.2</v>
      </c>
      <c r="J1305" s="129">
        <v>1232949.5999999999</v>
      </c>
      <c r="K1305" s="129">
        <v>890463.6</v>
      </c>
      <c r="L1305" s="129">
        <v>1301446.8</v>
      </c>
      <c r="M1305" s="129">
        <v>4931798.3999999994</v>
      </c>
      <c r="N1305" s="130">
        <v>7123708.7999999998</v>
      </c>
      <c r="O1305" s="94"/>
      <c r="P1305" s="14"/>
      <c r="Q1305" s="14"/>
      <c r="R1305" s="14"/>
      <c r="S1305" s="14"/>
      <c r="T1305" s="14"/>
      <c r="U1305" s="14"/>
    </row>
    <row r="1306" spans="2:21" ht="18.75" customHeight="1" x14ac:dyDescent="0.25">
      <c r="B1306" s="15"/>
      <c r="C1306" s="122" t="s">
        <v>1343</v>
      </c>
      <c r="D1306" s="120" t="s">
        <v>579</v>
      </c>
      <c r="E1306" s="125">
        <v>2.0998001650797735</v>
      </c>
      <c r="F1306" s="125">
        <v>7.5003033075544789E-2</v>
      </c>
      <c r="G1306" s="125">
        <v>0</v>
      </c>
      <c r="H1306" s="125">
        <v>1.2246456613333319</v>
      </c>
      <c r="I1306" s="125">
        <v>2.6071655257318262</v>
      </c>
      <c r="J1306" s="125">
        <v>3.3281770251144822</v>
      </c>
      <c r="K1306" s="125">
        <v>4.1266420168235411</v>
      </c>
      <c r="L1306" s="125">
        <v>4.6071804621347043</v>
      </c>
      <c r="M1306" s="125">
        <v>2.0707696716193209</v>
      </c>
      <c r="N1306" s="131">
        <v>2.7911364553447742</v>
      </c>
      <c r="O1306" s="94"/>
      <c r="P1306" s="14"/>
      <c r="Q1306" s="14"/>
      <c r="R1306" s="14"/>
      <c r="S1306" s="14"/>
      <c r="T1306" s="14"/>
      <c r="U1306" s="14"/>
    </row>
    <row r="1307" spans="2:21" ht="18.75" customHeight="1" x14ac:dyDescent="0.25">
      <c r="B1307" s="15"/>
      <c r="C1307" s="122" t="s">
        <v>888</v>
      </c>
      <c r="D1307" s="210" t="s">
        <v>778</v>
      </c>
      <c r="E1307" s="125">
        <v>159.48187212889871</v>
      </c>
      <c r="F1307" s="132">
        <v>0</v>
      </c>
      <c r="G1307" s="132">
        <v>102.77050451551418</v>
      </c>
      <c r="H1307" s="132">
        <v>179.83999403845405</v>
      </c>
      <c r="I1307" s="132">
        <v>190.54245191444221</v>
      </c>
      <c r="J1307" s="132">
        <v>184.80409511873239</v>
      </c>
      <c r="K1307" s="132">
        <v>171.24333034879606</v>
      </c>
      <c r="L1307" s="132">
        <v>156.2837849409006</v>
      </c>
      <c r="M1307" s="125">
        <v>177.56490511759657</v>
      </c>
      <c r="N1307" s="133">
        <v>172.88681131613856</v>
      </c>
      <c r="O1307" s="94"/>
      <c r="P1307" s="14"/>
      <c r="Q1307" s="14"/>
      <c r="R1307" s="14"/>
      <c r="S1307" s="14"/>
      <c r="T1307" s="14"/>
      <c r="U1307" s="14"/>
    </row>
    <row r="1308" spans="2:21" ht="18.75" customHeight="1" x14ac:dyDescent="0.25">
      <c r="B1308" s="15"/>
      <c r="C1308" s="119" t="s">
        <v>779</v>
      </c>
      <c r="D1308" s="120" t="s">
        <v>970</v>
      </c>
      <c r="E1308" s="132">
        <v>32.649156751077498</v>
      </c>
      <c r="F1308" s="125">
        <v>83.434745193138241</v>
      </c>
      <c r="G1308" s="125">
        <v>57.514164632417106</v>
      </c>
      <c r="H1308" s="125">
        <v>33.745364329667382</v>
      </c>
      <c r="I1308" s="125">
        <v>23.160020321155983</v>
      </c>
      <c r="J1308" s="125">
        <v>20.03547732628823</v>
      </c>
      <c r="K1308" s="125">
        <v>17.968414715690272</v>
      </c>
      <c r="L1308" s="125">
        <v>17.777015719746458</v>
      </c>
      <c r="M1308" s="125">
        <v>20.146416013554187</v>
      </c>
      <c r="N1308" s="131">
        <v>21.483771157369176</v>
      </c>
      <c r="O1308" s="94"/>
      <c r="P1308" s="14"/>
      <c r="Q1308" s="14"/>
      <c r="R1308" s="14"/>
      <c r="S1308" s="14"/>
      <c r="T1308" s="14"/>
      <c r="U1308" s="14"/>
    </row>
    <row r="1309" spans="2:21" ht="18.75" customHeight="1" x14ac:dyDescent="0.25">
      <c r="B1309" s="15"/>
      <c r="C1309" s="119" t="s">
        <v>580</v>
      </c>
      <c r="D1309" s="120" t="s">
        <v>581</v>
      </c>
      <c r="E1309" s="125">
        <v>861.6</v>
      </c>
      <c r="F1309" s="125">
        <v>657.69088368181121</v>
      </c>
      <c r="G1309" s="125">
        <v>747.88375133106695</v>
      </c>
      <c r="H1309" s="125">
        <v>855.45892965555799</v>
      </c>
      <c r="I1309" s="125">
        <v>914.00881886903039</v>
      </c>
      <c r="J1309" s="125">
        <v>932.85496567658811</v>
      </c>
      <c r="K1309" s="125">
        <v>945.75581582829773</v>
      </c>
      <c r="L1309" s="125">
        <v>946.96843863352171</v>
      </c>
      <c r="M1309" s="125">
        <v>932.17252485126426</v>
      </c>
      <c r="N1309" s="131">
        <v>924.02364924438393</v>
      </c>
      <c r="O1309" s="94"/>
      <c r="P1309" s="14"/>
      <c r="Q1309" s="14"/>
      <c r="R1309" s="14"/>
      <c r="S1309" s="14"/>
      <c r="T1309" s="14"/>
      <c r="U1309" s="14"/>
    </row>
    <row r="1310" spans="2:21" ht="18.75" customHeight="1" x14ac:dyDescent="0.25">
      <c r="B1310" s="15"/>
      <c r="C1310" s="119" t="s">
        <v>541</v>
      </c>
      <c r="D1310" s="120" t="s">
        <v>579</v>
      </c>
      <c r="E1310" s="125">
        <v>12.745288310220184</v>
      </c>
      <c r="F1310" s="125">
        <v>16.250890515077117</v>
      </c>
      <c r="G1310" s="125">
        <v>14.227772636962408</v>
      </c>
      <c r="H1310" s="125">
        <v>12.376854652707422</v>
      </c>
      <c r="I1310" s="125">
        <v>11.974012362865381</v>
      </c>
      <c r="J1310" s="125">
        <v>11.584113238029026</v>
      </c>
      <c r="K1310" s="125">
        <v>11.385532025051862</v>
      </c>
      <c r="L1310" s="125">
        <v>11.5057692916223</v>
      </c>
      <c r="M1310" s="125">
        <v>12.939126514091486</v>
      </c>
      <c r="N1310" s="131">
        <v>12.483063864241199</v>
      </c>
      <c r="O1310" s="94"/>
      <c r="P1310" s="14"/>
      <c r="Q1310" s="14"/>
      <c r="R1310" s="14"/>
      <c r="S1310" s="14"/>
      <c r="T1310" s="14"/>
      <c r="U1310" s="14"/>
    </row>
    <row r="1311" spans="2:21" ht="18.75" customHeight="1" x14ac:dyDescent="0.25">
      <c r="B1311" s="15"/>
      <c r="C1311" s="119" t="s">
        <v>544</v>
      </c>
      <c r="D1311" s="120" t="s">
        <v>579</v>
      </c>
      <c r="E1311" s="125">
        <v>4.8499999999999996</v>
      </c>
      <c r="F1311" s="128"/>
      <c r="G1311" s="128"/>
      <c r="H1311" s="128"/>
      <c r="I1311" s="128"/>
      <c r="J1311" s="128"/>
      <c r="K1311" s="128"/>
      <c r="L1311" s="128"/>
      <c r="M1311" s="125">
        <v>13.458750000000002</v>
      </c>
      <c r="N1311" s="131">
        <v>9.3269230769230766</v>
      </c>
      <c r="O1311" s="94"/>
      <c r="P1311" s="14"/>
      <c r="Q1311" s="14"/>
      <c r="R1311" s="14"/>
      <c r="S1311" s="14"/>
      <c r="T1311" s="14"/>
      <c r="U1311" s="14"/>
    </row>
    <row r="1312" spans="2:21" ht="18.75" customHeight="1" x14ac:dyDescent="0.25">
      <c r="B1312" s="15"/>
      <c r="C1312" s="119" t="s">
        <v>780</v>
      </c>
      <c r="D1312" s="120" t="s">
        <v>783</v>
      </c>
      <c r="E1312" s="125">
        <v>12.149189582885452</v>
      </c>
      <c r="F1312" s="125">
        <v>12.834750479222697</v>
      </c>
      <c r="G1312" s="125">
        <v>12.102209464795617</v>
      </c>
      <c r="H1312" s="125">
        <v>11.482843385006289</v>
      </c>
      <c r="I1312" s="125">
        <v>11.202522557954229</v>
      </c>
      <c r="J1312" s="125">
        <v>11.215611941046603</v>
      </c>
      <c r="K1312" s="125">
        <v>11.398999579721812</v>
      </c>
      <c r="L1312" s="125">
        <v>11.701612685894078</v>
      </c>
      <c r="M1312" s="125">
        <v>12.364455929055987</v>
      </c>
      <c r="N1312" s="131">
        <v>12.300536927591898</v>
      </c>
      <c r="O1312" s="94"/>
      <c r="P1312" s="14"/>
      <c r="Q1312" s="14"/>
      <c r="R1312" s="14"/>
      <c r="S1312" s="14"/>
      <c r="T1312" s="14"/>
      <c r="U1312" s="14"/>
    </row>
    <row r="1313" spans="2:21" ht="18.75" customHeight="1" x14ac:dyDescent="0.25">
      <c r="B1313" s="15"/>
      <c r="C1313" s="122" t="s">
        <v>1893</v>
      </c>
      <c r="D1313" s="120" t="s">
        <v>782</v>
      </c>
      <c r="E1313" s="125">
        <v>365</v>
      </c>
      <c r="F1313" s="134">
        <v>62</v>
      </c>
      <c r="G1313" s="134">
        <v>140</v>
      </c>
      <c r="H1313" s="134">
        <v>255</v>
      </c>
      <c r="I1313" s="134">
        <v>325</v>
      </c>
      <c r="J1313" s="134">
        <v>365</v>
      </c>
      <c r="K1313" s="134">
        <v>425</v>
      </c>
      <c r="L1313" s="134">
        <v>485</v>
      </c>
      <c r="M1313" s="134">
        <v>580</v>
      </c>
      <c r="N1313" s="135">
        <v>545</v>
      </c>
      <c r="O1313" s="94"/>
      <c r="P1313" s="14"/>
      <c r="Q1313" s="14"/>
      <c r="R1313" s="14"/>
      <c r="S1313" s="14"/>
      <c r="T1313" s="14"/>
      <c r="U1313" s="14"/>
    </row>
    <row r="1314" spans="2:21" ht="18.75" customHeight="1" x14ac:dyDescent="0.25">
      <c r="B1314" s="15"/>
      <c r="C1314" s="122"/>
      <c r="D1314" s="210"/>
      <c r="E1314" s="210"/>
      <c r="F1314" s="210"/>
      <c r="G1314" s="210"/>
      <c r="H1314" s="210"/>
      <c r="I1314" s="210"/>
      <c r="J1314" s="210"/>
      <c r="K1314" s="210"/>
      <c r="L1314" s="210"/>
      <c r="M1314" s="210"/>
      <c r="N1314" s="115"/>
      <c r="O1314" s="94"/>
      <c r="P1314" s="14"/>
      <c r="Q1314" s="14"/>
      <c r="R1314" s="14"/>
      <c r="S1314" s="14"/>
      <c r="T1314" s="14"/>
      <c r="U1314" s="14"/>
    </row>
    <row r="1315" spans="2:21" ht="18.75" customHeight="1" x14ac:dyDescent="0.25">
      <c r="B1315" s="15"/>
      <c r="C1315" s="2199" t="s">
        <v>2089</v>
      </c>
      <c r="D1315" s="2200"/>
      <c r="E1315" s="2200"/>
      <c r="F1315" s="2200"/>
      <c r="G1315" s="2200"/>
      <c r="H1315" s="2200"/>
      <c r="I1315" s="2200"/>
      <c r="J1315" s="2200"/>
      <c r="K1315" s="2200"/>
      <c r="L1315" s="2200"/>
      <c r="M1315" s="2200"/>
      <c r="N1315" s="2201"/>
      <c r="O1315" s="94"/>
      <c r="P1315" s="14"/>
      <c r="Q1315" s="14"/>
      <c r="R1315" s="14"/>
      <c r="S1315" s="14"/>
      <c r="T1315" s="14"/>
      <c r="U1315" s="14"/>
    </row>
    <row r="1316" spans="2:21" ht="18.75" customHeight="1" x14ac:dyDescent="0.25">
      <c r="B1316" s="15"/>
      <c r="C1316" s="2202" t="s">
        <v>1088</v>
      </c>
      <c r="D1316" s="210">
        <v>125</v>
      </c>
      <c r="E1316" s="104" t="s">
        <v>679</v>
      </c>
      <c r="F1316" s="210">
        <v>80</v>
      </c>
      <c r="G1316" s="210">
        <v>180</v>
      </c>
      <c r="H1316" s="210">
        <v>290</v>
      </c>
      <c r="I1316" s="210">
        <v>340</v>
      </c>
      <c r="J1316" s="210">
        <v>400</v>
      </c>
      <c r="K1316" s="210">
        <v>450</v>
      </c>
      <c r="L1316" s="210">
        <v>525</v>
      </c>
      <c r="M1316" s="210">
        <v>525</v>
      </c>
      <c r="N1316" s="115">
        <v>400</v>
      </c>
      <c r="O1316" s="94"/>
      <c r="P1316" s="14"/>
      <c r="Q1316" s="14"/>
      <c r="R1316" s="14"/>
      <c r="S1316" s="14"/>
      <c r="T1316" s="14"/>
      <c r="U1316" s="14"/>
    </row>
    <row r="1317" spans="2:21" ht="18.75" customHeight="1" x14ac:dyDescent="0.25">
      <c r="B1317" s="15"/>
      <c r="C1317" s="119" t="s">
        <v>568</v>
      </c>
      <c r="D1317" s="120" t="s">
        <v>623</v>
      </c>
      <c r="E1317" s="110" t="s">
        <v>608</v>
      </c>
      <c r="F1317" s="110" t="s">
        <v>957</v>
      </c>
      <c r="G1317" s="110" t="s">
        <v>572</v>
      </c>
      <c r="H1317" s="110" t="s">
        <v>530</v>
      </c>
      <c r="I1317" s="110" t="s">
        <v>573</v>
      </c>
      <c r="J1317" s="110" t="s">
        <v>574</v>
      </c>
      <c r="K1317" s="110" t="s">
        <v>575</v>
      </c>
      <c r="L1317" s="110" t="s">
        <v>576</v>
      </c>
      <c r="M1317" s="110" t="s">
        <v>577</v>
      </c>
      <c r="N1317" s="2203" t="s">
        <v>609</v>
      </c>
      <c r="O1317" s="94"/>
      <c r="P1317" s="14"/>
      <c r="Q1317" s="14"/>
      <c r="R1317" s="14"/>
      <c r="S1317" s="14"/>
      <c r="T1317" s="14"/>
      <c r="U1317" s="14"/>
    </row>
    <row r="1318" spans="2:21" ht="18.75" customHeight="1" x14ac:dyDescent="0.25">
      <c r="B1318" s="15"/>
      <c r="C1318" s="119" t="s">
        <v>582</v>
      </c>
      <c r="D1318" s="120" t="s">
        <v>566</v>
      </c>
      <c r="E1318" s="121">
        <v>104211.57430743621</v>
      </c>
      <c r="F1318" s="129">
        <v>139.08645801407999</v>
      </c>
      <c r="G1318" s="129">
        <v>4754.5840313473709</v>
      </c>
      <c r="H1318" s="129">
        <v>12459.334299405997</v>
      </c>
      <c r="I1318" s="129">
        <v>6782.1130845097468</v>
      </c>
      <c r="J1318" s="129">
        <v>9108.5740332165533</v>
      </c>
      <c r="K1318" s="129">
        <v>8018.7563766265512</v>
      </c>
      <c r="L1318" s="129">
        <v>15843.917472698171</v>
      </c>
      <c r="M1318" s="129">
        <v>47105.208551617747</v>
      </c>
      <c r="N1318" s="130">
        <v>75609.364099009341</v>
      </c>
      <c r="O1318" s="94"/>
      <c r="P1318" s="14"/>
      <c r="Q1318" s="14"/>
      <c r="R1318" s="14"/>
      <c r="S1318" s="14"/>
      <c r="T1318" s="14"/>
      <c r="U1318" s="14"/>
    </row>
    <row r="1319" spans="2:21" ht="18.75" customHeight="1" x14ac:dyDescent="0.25">
      <c r="B1319" s="15"/>
      <c r="C1319" s="119" t="s">
        <v>582</v>
      </c>
      <c r="D1319" s="120" t="s">
        <v>628</v>
      </c>
      <c r="E1319" s="145">
        <v>16569.640314882359</v>
      </c>
      <c r="F1319" s="129">
        <v>22.114746824238718</v>
      </c>
      <c r="G1319" s="129">
        <v>755.97886098423191</v>
      </c>
      <c r="H1319" s="129">
        <v>1981.0341536055535</v>
      </c>
      <c r="I1319" s="129">
        <v>1078.3559804370498</v>
      </c>
      <c r="J1319" s="129">
        <v>1448.263271281432</v>
      </c>
      <c r="K1319" s="129">
        <v>1274.9822638836217</v>
      </c>
      <c r="L1319" s="129">
        <v>2519.1828781590093</v>
      </c>
      <c r="M1319" s="129">
        <v>7489.7281597072224</v>
      </c>
      <c r="N1319" s="130">
        <v>12021.888891742487</v>
      </c>
      <c r="O1319" s="94"/>
      <c r="P1319" s="14"/>
      <c r="Q1319" s="14"/>
      <c r="R1319" s="14"/>
      <c r="S1319" s="14"/>
      <c r="T1319" s="14"/>
      <c r="U1319" s="14"/>
    </row>
    <row r="1320" spans="2:21" ht="18.75" customHeight="1" x14ac:dyDescent="0.25">
      <c r="B1320" s="15"/>
      <c r="C1320" s="119" t="s">
        <v>620</v>
      </c>
      <c r="D1320" s="120" t="s">
        <v>622</v>
      </c>
      <c r="E1320" s="129">
        <v>15375077.867647057</v>
      </c>
      <c r="F1320" s="129">
        <v>15375.077867647058</v>
      </c>
      <c r="G1320" s="129">
        <v>599628.03683823522</v>
      </c>
      <c r="H1320" s="129">
        <v>1691258.5654411763</v>
      </c>
      <c r="I1320" s="129">
        <v>922504.6720588234</v>
      </c>
      <c r="J1320" s="129">
        <v>1230006.2294117645</v>
      </c>
      <c r="K1320" s="129">
        <v>1076255.450735294</v>
      </c>
      <c r="L1320" s="129">
        <v>2152510.9014705881</v>
      </c>
      <c r="M1320" s="129">
        <v>7687538.9338235287</v>
      </c>
      <c r="N1320" s="130">
        <v>10916305.28602941</v>
      </c>
      <c r="O1320" s="94"/>
      <c r="P1320" s="14"/>
      <c r="Q1320" s="14"/>
      <c r="R1320" s="14"/>
      <c r="S1320" s="14"/>
      <c r="T1320" s="14"/>
      <c r="U1320" s="14"/>
    </row>
    <row r="1321" spans="2:21" ht="18.75" customHeight="1" x14ac:dyDescent="0.25">
      <c r="B1321" s="15"/>
      <c r="C1321" s="122" t="s">
        <v>1343</v>
      </c>
      <c r="D1321" s="120" t="s">
        <v>579</v>
      </c>
      <c r="E1321" s="125">
        <v>2.1229890063950219</v>
      </c>
      <c r="F1321" s="125">
        <v>9.5783023414014457E-2</v>
      </c>
      <c r="G1321" s="125">
        <v>0</v>
      </c>
      <c r="H1321" s="125">
        <v>0.83636435182819557</v>
      </c>
      <c r="I1321" s="125">
        <v>1.6129985510876037</v>
      </c>
      <c r="J1321" s="125">
        <v>2.1408611655530438</v>
      </c>
      <c r="K1321" s="125">
        <v>2.6044565101878923</v>
      </c>
      <c r="L1321" s="125">
        <v>2.8683142371401282</v>
      </c>
      <c r="M1321" s="125">
        <v>2.3579367788964736</v>
      </c>
      <c r="N1321" s="131">
        <v>2.4828793498042354</v>
      </c>
      <c r="O1321" s="94"/>
      <c r="P1321" s="14"/>
      <c r="Q1321" s="14"/>
      <c r="R1321" s="14"/>
      <c r="S1321" s="14"/>
      <c r="T1321" s="14"/>
      <c r="U1321" s="14"/>
    </row>
    <row r="1322" spans="2:21" ht="18.75" customHeight="1" x14ac:dyDescent="0.25">
      <c r="B1322" s="15"/>
      <c r="C1322" s="122" t="s">
        <v>888</v>
      </c>
      <c r="D1322" s="210" t="s">
        <v>778</v>
      </c>
      <c r="E1322" s="125">
        <v>171.45650800287888</v>
      </c>
      <c r="F1322" s="132">
        <v>0</v>
      </c>
      <c r="G1322" s="132">
        <v>124.62364248925815</v>
      </c>
      <c r="H1322" s="132">
        <v>193.22382786150575</v>
      </c>
      <c r="I1322" s="132">
        <v>182.89524641449106</v>
      </c>
      <c r="J1322" s="132">
        <v>164.30805746336245</v>
      </c>
      <c r="K1322" s="132">
        <v>143.82175701146701</v>
      </c>
      <c r="L1322" s="132">
        <v>134.39489325069957</v>
      </c>
      <c r="M1322" s="125">
        <v>184.68079490638615</v>
      </c>
      <c r="N1322" s="133">
        <v>170.73690915365313</v>
      </c>
      <c r="O1322" s="94"/>
      <c r="P1322" s="14"/>
      <c r="Q1322" s="14"/>
      <c r="R1322" s="14"/>
      <c r="S1322" s="14"/>
      <c r="T1322" s="14"/>
      <c r="U1322" s="14"/>
    </row>
    <row r="1323" spans="2:21" ht="18.75" customHeight="1" x14ac:dyDescent="0.25">
      <c r="B1323" s="15"/>
      <c r="C1323" s="119" t="s">
        <v>779</v>
      </c>
      <c r="D1323" s="120" t="s">
        <v>970</v>
      </c>
      <c r="E1323" s="132">
        <v>14.7</v>
      </c>
      <c r="F1323" s="125">
        <v>71.826084226375201</v>
      </c>
      <c r="G1323" s="125">
        <v>46.719889365182723</v>
      </c>
      <c r="H1323" s="125">
        <v>34.080962526798061</v>
      </c>
      <c r="I1323" s="125">
        <v>33.742602328478029</v>
      </c>
      <c r="J1323" s="125">
        <v>34.944195709592464</v>
      </c>
      <c r="K1323" s="125">
        <v>35.962368135663297</v>
      </c>
      <c r="L1323" s="125">
        <v>33.940862392196863</v>
      </c>
      <c r="M1323" s="125">
        <v>6.2232224937042986</v>
      </c>
      <c r="N1323" s="131">
        <v>24.177370028983859</v>
      </c>
      <c r="O1323" s="94"/>
      <c r="P1323" s="14"/>
      <c r="Q1323" s="14"/>
      <c r="R1323" s="14"/>
      <c r="S1323" s="14"/>
      <c r="T1323" s="14"/>
      <c r="U1323" s="14"/>
    </row>
    <row r="1324" spans="2:21" ht="18.75" customHeight="1" x14ac:dyDescent="0.25">
      <c r="B1324" s="15"/>
      <c r="C1324" s="119" t="s">
        <v>580</v>
      </c>
      <c r="D1324" s="120" t="s">
        <v>581</v>
      </c>
      <c r="E1324" s="125">
        <v>966.98602941176466</v>
      </c>
      <c r="F1324" s="125">
        <v>695.24096250540424</v>
      </c>
      <c r="G1324" s="125">
        <v>793.18095754365561</v>
      </c>
      <c r="H1324" s="125">
        <v>853.72509220147708</v>
      </c>
      <c r="I1324" s="125">
        <v>855.47322850190801</v>
      </c>
      <c r="J1324" s="125">
        <v>849.29739903121867</v>
      </c>
      <c r="K1324" s="125">
        <v>844.13366461820272</v>
      </c>
      <c r="L1324" s="125">
        <v>854.44805144262455</v>
      </c>
      <c r="M1324" s="125">
        <v>1026.4109417455866</v>
      </c>
      <c r="N1324" s="131">
        <v>908.03578242413528</v>
      </c>
      <c r="O1324" s="94"/>
      <c r="P1324" s="14"/>
      <c r="Q1324" s="14"/>
      <c r="R1324" s="14"/>
      <c r="S1324" s="14"/>
      <c r="T1324" s="14"/>
      <c r="U1324" s="14"/>
    </row>
    <row r="1325" spans="2:21" ht="18.75" customHeight="1" x14ac:dyDescent="0.25">
      <c r="B1325" s="15"/>
      <c r="C1325" s="119" t="s">
        <v>541</v>
      </c>
      <c r="D1325" s="120" t="s">
        <v>579</v>
      </c>
      <c r="E1325" s="125">
        <v>12.850337394555488</v>
      </c>
      <c r="F1325" s="125">
        <v>14.844757320555695</v>
      </c>
      <c r="G1325" s="125">
        <v>12.992340855099407</v>
      </c>
      <c r="H1325" s="125">
        <v>12.528356215810907</v>
      </c>
      <c r="I1325" s="125">
        <v>13.512086613138862</v>
      </c>
      <c r="J1325" s="125">
        <v>13.79136197797882</v>
      </c>
      <c r="K1325" s="125">
        <v>14.055743652770161</v>
      </c>
      <c r="L1325" s="125">
        <v>13.960224044314756</v>
      </c>
      <c r="M1325" s="125">
        <v>12.196609166444487</v>
      </c>
      <c r="N1325" s="131">
        <v>12.727659162141158</v>
      </c>
      <c r="O1325" s="94"/>
      <c r="P1325" s="14"/>
      <c r="Q1325" s="14"/>
      <c r="R1325" s="14"/>
      <c r="S1325" s="14"/>
      <c r="T1325" s="14"/>
      <c r="U1325" s="14"/>
    </row>
    <row r="1326" spans="2:21" ht="18.75" customHeight="1" x14ac:dyDescent="0.25">
      <c r="B1326" s="15"/>
      <c r="C1326" s="119" t="s">
        <v>544</v>
      </c>
      <c r="D1326" s="120" t="s">
        <v>579</v>
      </c>
      <c r="E1326" s="125">
        <v>11.21</v>
      </c>
      <c r="F1326" s="128"/>
      <c r="G1326" s="128"/>
      <c r="H1326" s="128"/>
      <c r="I1326" s="128"/>
      <c r="J1326" s="128"/>
      <c r="K1326" s="128"/>
      <c r="L1326" s="128"/>
      <c r="M1326" s="125">
        <v>22.397580000000005</v>
      </c>
      <c r="N1326" s="131">
        <v>15.7887323943662</v>
      </c>
      <c r="O1326" s="94"/>
      <c r="P1326" s="14"/>
      <c r="Q1326" s="14"/>
      <c r="R1326" s="14"/>
      <c r="S1326" s="14"/>
      <c r="T1326" s="14"/>
      <c r="U1326" s="14"/>
    </row>
    <row r="1327" spans="2:21" ht="18.75" customHeight="1" x14ac:dyDescent="0.25">
      <c r="B1327" s="15"/>
      <c r="C1327" s="119" t="s">
        <v>780</v>
      </c>
      <c r="D1327" s="120" t="s">
        <v>783</v>
      </c>
      <c r="E1327" s="125">
        <v>10.8207166711881</v>
      </c>
      <c r="F1327" s="125">
        <v>12.141543493202773</v>
      </c>
      <c r="G1327" s="125">
        <v>11.411073006537141</v>
      </c>
      <c r="H1327" s="125">
        <v>11.506163987999145</v>
      </c>
      <c r="I1327" s="125">
        <v>11.969052999449389</v>
      </c>
      <c r="J1327" s="125">
        <v>12.31905255360658</v>
      </c>
      <c r="K1327" s="125">
        <v>12.771283268298827</v>
      </c>
      <c r="L1327" s="125">
        <v>12.968673608590246</v>
      </c>
      <c r="M1327" s="125">
        <v>11.229231522219264</v>
      </c>
      <c r="N1327" s="131">
        <v>12.517113575806002</v>
      </c>
      <c r="O1327" s="94"/>
      <c r="P1327" s="14"/>
      <c r="Q1327" s="14"/>
      <c r="R1327" s="14"/>
      <c r="S1327" s="14"/>
      <c r="T1327" s="14"/>
      <c r="U1327" s="14"/>
    </row>
    <row r="1328" spans="2:21" ht="18.75" customHeight="1" x14ac:dyDescent="0.25">
      <c r="B1328" s="15"/>
      <c r="C1328" s="122" t="s">
        <v>1893</v>
      </c>
      <c r="D1328" s="120" t="s">
        <v>782</v>
      </c>
      <c r="E1328" s="125">
        <v>365</v>
      </c>
      <c r="F1328" s="134">
        <v>62</v>
      </c>
      <c r="G1328" s="134">
        <v>140</v>
      </c>
      <c r="H1328" s="134">
        <v>255</v>
      </c>
      <c r="I1328" s="134">
        <v>325</v>
      </c>
      <c r="J1328" s="134">
        <v>365</v>
      </c>
      <c r="K1328" s="134">
        <v>425</v>
      </c>
      <c r="L1328" s="134">
        <v>485</v>
      </c>
      <c r="M1328" s="134">
        <v>580</v>
      </c>
      <c r="N1328" s="135">
        <v>545</v>
      </c>
      <c r="O1328" s="94"/>
      <c r="P1328" s="14"/>
      <c r="Q1328" s="14"/>
      <c r="R1328" s="14"/>
      <c r="S1328" s="14"/>
      <c r="T1328" s="14"/>
      <c r="U1328" s="14"/>
    </row>
    <row r="1329" spans="2:21" ht="18.75" customHeight="1" x14ac:dyDescent="0.25">
      <c r="B1329" s="15"/>
      <c r="C1329" s="122"/>
      <c r="D1329" s="210"/>
      <c r="E1329" s="210"/>
      <c r="F1329" s="210"/>
      <c r="G1329" s="210"/>
      <c r="H1329" s="210"/>
      <c r="I1329" s="210"/>
      <c r="J1329" s="210"/>
      <c r="K1329" s="210"/>
      <c r="L1329" s="210"/>
      <c r="M1329" s="210"/>
      <c r="N1329" s="115"/>
      <c r="O1329" s="94"/>
      <c r="P1329" s="14"/>
      <c r="Q1329" s="14"/>
      <c r="R1329" s="14"/>
      <c r="S1329" s="14"/>
      <c r="T1329" s="14"/>
      <c r="U1329" s="14"/>
    </row>
    <row r="1330" spans="2:21" ht="18.75" customHeight="1" x14ac:dyDescent="0.25">
      <c r="B1330" s="15"/>
      <c r="C1330" s="2199" t="s">
        <v>1987</v>
      </c>
      <c r="D1330" s="2200"/>
      <c r="E1330" s="2200"/>
      <c r="F1330" s="2200"/>
      <c r="G1330" s="2200"/>
      <c r="H1330" s="2200"/>
      <c r="I1330" s="2200"/>
      <c r="J1330" s="2200"/>
      <c r="K1330" s="2200"/>
      <c r="L1330" s="2200"/>
      <c r="M1330" s="2200"/>
      <c r="N1330" s="2201"/>
      <c r="O1330" s="94"/>
      <c r="P1330" s="14"/>
      <c r="Q1330" s="14"/>
      <c r="R1330" s="14"/>
      <c r="S1330" s="14"/>
      <c r="T1330" s="14"/>
      <c r="U1330" s="14"/>
    </row>
    <row r="1331" spans="2:21" ht="18.75" customHeight="1" x14ac:dyDescent="0.25">
      <c r="B1331" s="15"/>
      <c r="C1331" s="2202" t="s">
        <v>1088</v>
      </c>
      <c r="D1331" s="210">
        <v>125</v>
      </c>
      <c r="E1331" s="104" t="s">
        <v>679</v>
      </c>
      <c r="F1331" s="210">
        <v>80</v>
      </c>
      <c r="G1331" s="210">
        <v>180</v>
      </c>
      <c r="H1331" s="210">
        <v>290</v>
      </c>
      <c r="I1331" s="210">
        <v>340</v>
      </c>
      <c r="J1331" s="210">
        <v>400</v>
      </c>
      <c r="K1331" s="210">
        <v>450</v>
      </c>
      <c r="L1331" s="210">
        <v>525</v>
      </c>
      <c r="M1331" s="210">
        <v>525</v>
      </c>
      <c r="N1331" s="115">
        <v>400</v>
      </c>
      <c r="O1331" s="94"/>
      <c r="P1331" s="14"/>
      <c r="Q1331" s="14"/>
      <c r="R1331" s="14"/>
      <c r="S1331" s="14"/>
      <c r="T1331" s="14"/>
      <c r="U1331" s="14"/>
    </row>
    <row r="1332" spans="2:21" ht="18.75" customHeight="1" x14ac:dyDescent="0.25">
      <c r="B1332" s="15"/>
      <c r="C1332" s="119" t="s">
        <v>568</v>
      </c>
      <c r="D1332" s="120" t="s">
        <v>623</v>
      </c>
      <c r="E1332" s="110" t="s">
        <v>608</v>
      </c>
      <c r="F1332" s="110" t="s">
        <v>957</v>
      </c>
      <c r="G1332" s="110" t="s">
        <v>572</v>
      </c>
      <c r="H1332" s="110" t="s">
        <v>530</v>
      </c>
      <c r="I1332" s="110" t="s">
        <v>573</v>
      </c>
      <c r="J1332" s="110" t="s">
        <v>574</v>
      </c>
      <c r="K1332" s="110" t="s">
        <v>575</v>
      </c>
      <c r="L1332" s="110" t="s">
        <v>576</v>
      </c>
      <c r="M1332" s="110" t="s">
        <v>577</v>
      </c>
      <c r="N1332" s="2203" t="s">
        <v>609</v>
      </c>
      <c r="O1332" s="94"/>
      <c r="P1332" s="14"/>
      <c r="Q1332" s="14"/>
      <c r="R1332" s="14"/>
      <c r="S1332" s="14"/>
      <c r="T1332" s="14"/>
      <c r="U1332" s="14"/>
    </row>
    <row r="1333" spans="2:21" ht="18.75" customHeight="1" x14ac:dyDescent="0.25">
      <c r="B1333" s="15"/>
      <c r="C1333" s="119" t="s">
        <v>582</v>
      </c>
      <c r="D1333" s="120" t="s">
        <v>566</v>
      </c>
      <c r="E1333" s="121">
        <v>100000</v>
      </c>
      <c r="F1333" s="129">
        <v>13276.800910491687</v>
      </c>
      <c r="G1333" s="129">
        <v>24569.720498844148</v>
      </c>
      <c r="H1333" s="129">
        <v>24001.729190367485</v>
      </c>
      <c r="I1333" s="129">
        <v>9874.857824390645</v>
      </c>
      <c r="J1333" s="129">
        <v>8911.499577702245</v>
      </c>
      <c r="K1333" s="129">
        <v>6983.7673034780182</v>
      </c>
      <c r="L1333" s="129">
        <v>6023.6804163115921</v>
      </c>
      <c r="M1333" s="129">
        <v>6357.9442784141811</v>
      </c>
      <c r="N1333" s="130">
        <v>19365.391998203791</v>
      </c>
      <c r="O1333" s="94"/>
      <c r="P1333" s="14"/>
      <c r="Q1333" s="14"/>
      <c r="R1333" s="14"/>
      <c r="S1333" s="14"/>
      <c r="T1333" s="14"/>
      <c r="U1333" s="14"/>
    </row>
    <row r="1334" spans="2:21" ht="18.75" customHeight="1" x14ac:dyDescent="0.25">
      <c r="B1334" s="15"/>
      <c r="C1334" s="119" t="s">
        <v>582</v>
      </c>
      <c r="D1334" s="120" t="s">
        <v>628</v>
      </c>
      <c r="E1334" s="145">
        <v>15900</v>
      </c>
      <c r="F1334" s="129">
        <v>2111.0113447681783</v>
      </c>
      <c r="G1334" s="129">
        <v>3906.58555931622</v>
      </c>
      <c r="H1334" s="129">
        <v>3816.2749412684298</v>
      </c>
      <c r="I1334" s="129">
        <v>1570.1023940781126</v>
      </c>
      <c r="J1334" s="129">
        <v>1416.9284328546566</v>
      </c>
      <c r="K1334" s="129">
        <v>1110.4190012530048</v>
      </c>
      <c r="L1334" s="129">
        <v>957.76518619354317</v>
      </c>
      <c r="M1334" s="129">
        <v>1010.9131402678546</v>
      </c>
      <c r="N1334" s="130">
        <v>3079.0973277144026</v>
      </c>
      <c r="O1334" s="94"/>
      <c r="P1334" s="14"/>
      <c r="Q1334" s="14"/>
      <c r="R1334" s="14"/>
      <c r="S1334" s="14"/>
      <c r="T1334" s="14"/>
      <c r="U1334" s="14"/>
    </row>
    <row r="1335" spans="2:21" ht="18.75" customHeight="1" x14ac:dyDescent="0.25">
      <c r="B1335" s="15"/>
      <c r="C1335" s="119" t="s">
        <v>620</v>
      </c>
      <c r="D1335" s="120" t="s">
        <v>622</v>
      </c>
      <c r="E1335" s="129">
        <v>12872846.501959683</v>
      </c>
      <c r="F1335" s="129">
        <v>1452138.7916859863</v>
      </c>
      <c r="G1335" s="129">
        <v>2939867.1625520382</v>
      </c>
      <c r="H1335" s="129">
        <v>3134060.8998296619</v>
      </c>
      <c r="I1335" s="129">
        <v>1342664.3634630223</v>
      </c>
      <c r="J1335" s="129">
        <v>1235729.0294996353</v>
      </c>
      <c r="K1335" s="129">
        <v>981298.4372788578</v>
      </c>
      <c r="L1335" s="129">
        <v>858181.36775584309</v>
      </c>
      <c r="M1335" s="129">
        <v>928906.44989463955</v>
      </c>
      <c r="N1335" s="130">
        <v>2768386.2549293404</v>
      </c>
      <c r="O1335" s="94"/>
      <c r="P1335" s="14"/>
      <c r="Q1335" s="14"/>
      <c r="R1335" s="14"/>
      <c r="S1335" s="14"/>
      <c r="T1335" s="14"/>
      <c r="U1335" s="14"/>
    </row>
    <row r="1336" spans="2:21" ht="18.75" customHeight="1" x14ac:dyDescent="0.25">
      <c r="B1336" s="15"/>
      <c r="C1336" s="122" t="s">
        <v>1343</v>
      </c>
      <c r="D1336" s="120" t="s">
        <v>579</v>
      </c>
      <c r="E1336" s="125">
        <v>0.10682772706819418</v>
      </c>
      <c r="F1336" s="125">
        <v>1.0430394966379451E-3</v>
      </c>
      <c r="G1336" s="125">
        <v>1.2073809376869284E-2</v>
      </c>
      <c r="H1336" s="125">
        <v>2.0657495185134822E-2</v>
      </c>
      <c r="I1336" s="125">
        <v>5.3194203459290407E-2</v>
      </c>
      <c r="J1336" s="125">
        <v>0.10967950307368696</v>
      </c>
      <c r="K1336" s="125">
        <v>0.21033976056251252</v>
      </c>
      <c r="L1336" s="125">
        <v>0.35934041874823663</v>
      </c>
      <c r="M1336" s="125">
        <v>0.59390653750167177</v>
      </c>
      <c r="N1336" s="131">
        <v>0.38523126670271585</v>
      </c>
      <c r="O1336" s="94"/>
      <c r="P1336" s="14"/>
      <c r="Q1336" s="14"/>
      <c r="R1336" s="14"/>
      <c r="S1336" s="14"/>
      <c r="T1336" s="14"/>
      <c r="U1336" s="14"/>
    </row>
    <row r="1337" spans="2:21" ht="18.75" customHeight="1" x14ac:dyDescent="0.25">
      <c r="B1337" s="15"/>
      <c r="C1337" s="122" t="s">
        <v>888</v>
      </c>
      <c r="D1337" s="210" t="s">
        <v>778</v>
      </c>
      <c r="E1337" s="125">
        <v>882.04829216283758</v>
      </c>
      <c r="F1337" s="132">
        <v>0</v>
      </c>
      <c r="G1337" s="132">
        <v>28.416328171662371</v>
      </c>
      <c r="H1337" s="132">
        <v>735.51486582470034</v>
      </c>
      <c r="I1337" s="132">
        <v>1107.8239424065314</v>
      </c>
      <c r="J1337" s="132">
        <v>1364.6681779507712</v>
      </c>
      <c r="K1337" s="132">
        <v>1626.4460400306466</v>
      </c>
      <c r="L1337" s="132">
        <v>2017.4692547994805</v>
      </c>
      <c r="M1337" s="125">
        <v>2653.2320524122474</v>
      </c>
      <c r="N1337" s="133">
        <v>2092.1892088322052</v>
      </c>
      <c r="O1337" s="94"/>
      <c r="P1337" s="14"/>
      <c r="Q1337" s="14"/>
      <c r="R1337" s="14"/>
      <c r="S1337" s="14"/>
      <c r="T1337" s="14"/>
      <c r="U1337" s="14"/>
    </row>
    <row r="1338" spans="2:21" ht="18.75" customHeight="1" x14ac:dyDescent="0.25">
      <c r="B1338" s="15"/>
      <c r="C1338" s="119" t="s">
        <v>779</v>
      </c>
      <c r="D1338" s="120" t="s">
        <v>970</v>
      </c>
      <c r="E1338" s="132">
        <v>43.100089394201888</v>
      </c>
      <c r="F1338" s="125">
        <v>73.999556591641209</v>
      </c>
      <c r="G1338" s="125">
        <v>56.3443262841392</v>
      </c>
      <c r="H1338" s="125">
        <v>40.631626848149835</v>
      </c>
      <c r="I1338" s="125">
        <v>33.806131491539325</v>
      </c>
      <c r="J1338" s="125">
        <v>30.588840291618965</v>
      </c>
      <c r="K1338" s="125">
        <v>28.461042726440894</v>
      </c>
      <c r="L1338" s="125">
        <v>26.264183675060707</v>
      </c>
      <c r="M1338" s="125">
        <v>22.340368766846694</v>
      </c>
      <c r="N1338" s="131">
        <v>25.723934638710944</v>
      </c>
      <c r="O1338" s="94"/>
      <c r="P1338" s="14"/>
      <c r="Q1338" s="14"/>
      <c r="R1338" s="14"/>
      <c r="S1338" s="14"/>
      <c r="T1338" s="14"/>
      <c r="U1338" s="14"/>
    </row>
    <row r="1339" spans="2:21" ht="18.75" customHeight="1" x14ac:dyDescent="0.25">
      <c r="B1339" s="15"/>
      <c r="C1339" s="119" t="s">
        <v>580</v>
      </c>
      <c r="D1339" s="120" t="s">
        <v>581</v>
      </c>
      <c r="E1339" s="125">
        <v>809.61298754463417</v>
      </c>
      <c r="F1339" s="125">
        <v>687.8877251346338</v>
      </c>
      <c r="G1339" s="125">
        <v>752.54134791472757</v>
      </c>
      <c r="H1339" s="125">
        <v>821.23561537418539</v>
      </c>
      <c r="I1339" s="125">
        <v>855.14445970345082</v>
      </c>
      <c r="J1339" s="125">
        <v>872.11816831852082</v>
      </c>
      <c r="K1339" s="125">
        <v>883.71906115759327</v>
      </c>
      <c r="L1339" s="125">
        <v>896.02480871801458</v>
      </c>
      <c r="M1339" s="125">
        <v>918.87859885619218</v>
      </c>
      <c r="N1339" s="131">
        <v>899.09020738370054</v>
      </c>
      <c r="O1339" s="94"/>
      <c r="P1339" s="14"/>
      <c r="Q1339" s="14"/>
      <c r="R1339" s="14"/>
      <c r="S1339" s="14"/>
      <c r="T1339" s="14"/>
      <c r="U1339" s="14"/>
    </row>
    <row r="1340" spans="2:21" ht="18.75" customHeight="1" x14ac:dyDescent="0.25">
      <c r="B1340" s="15"/>
      <c r="C1340" s="119" t="s">
        <v>541</v>
      </c>
      <c r="D1340" s="120" t="s">
        <v>579</v>
      </c>
      <c r="E1340" s="125">
        <v>14.154757358759417</v>
      </c>
      <c r="F1340" s="125">
        <v>15.705718373180273</v>
      </c>
      <c r="G1340" s="125">
        <v>14.6991436898104</v>
      </c>
      <c r="H1340" s="125">
        <v>14.025892001012402</v>
      </c>
      <c r="I1340" s="125">
        <v>13.750823861110943</v>
      </c>
      <c r="J1340" s="125">
        <v>13.655036443824505</v>
      </c>
      <c r="K1340" s="125">
        <v>13.558490564103748</v>
      </c>
      <c r="L1340" s="125">
        <v>13.389045258652986</v>
      </c>
      <c r="M1340" s="125">
        <v>13.027991592427131</v>
      </c>
      <c r="N1340" s="131">
        <v>13.327959611528737</v>
      </c>
      <c r="O1340" s="94"/>
      <c r="P1340" s="14"/>
      <c r="Q1340" s="14"/>
      <c r="R1340" s="14"/>
      <c r="S1340" s="14"/>
      <c r="T1340" s="14"/>
      <c r="U1340" s="14"/>
    </row>
    <row r="1341" spans="2:21" ht="18.75" customHeight="1" x14ac:dyDescent="0.25">
      <c r="B1341" s="15"/>
      <c r="C1341" s="119" t="s">
        <v>544</v>
      </c>
      <c r="D1341" s="120" t="s">
        <v>579</v>
      </c>
      <c r="E1341" s="125">
        <v>1.0824021514043864E-2</v>
      </c>
      <c r="F1341" s="128"/>
      <c r="G1341" s="128"/>
      <c r="H1341" s="128"/>
      <c r="I1341" s="128"/>
      <c r="J1341" s="128"/>
      <c r="K1341" s="128"/>
      <c r="L1341" s="128"/>
      <c r="M1341" s="125">
        <v>0.15</v>
      </c>
      <c r="N1341" s="131">
        <v>0.17</v>
      </c>
      <c r="O1341" s="94"/>
      <c r="P1341" s="14"/>
      <c r="Q1341" s="14"/>
      <c r="R1341" s="14"/>
      <c r="S1341" s="14"/>
      <c r="T1341" s="14"/>
      <c r="U1341" s="14"/>
    </row>
    <row r="1342" spans="2:21" ht="18.75" customHeight="1" x14ac:dyDescent="0.25">
      <c r="B1342" s="15"/>
      <c r="C1342" s="119" t="s">
        <v>780</v>
      </c>
      <c r="D1342" s="120" t="s">
        <v>783</v>
      </c>
      <c r="E1342" s="125">
        <v>11.921093567088446</v>
      </c>
      <c r="F1342" s="125">
        <v>12.208270851519453</v>
      </c>
      <c r="G1342" s="125">
        <v>11.964840669544605</v>
      </c>
      <c r="H1342" s="125">
        <v>11.747104553426924</v>
      </c>
      <c r="I1342" s="125">
        <v>11.909353282232892</v>
      </c>
      <c r="J1342" s="125">
        <v>12.092452483251847</v>
      </c>
      <c r="K1342" s="125">
        <v>12.327639732773727</v>
      </c>
      <c r="L1342" s="125">
        <v>12.509519525945642</v>
      </c>
      <c r="M1342" s="125">
        <v>12.551494694271033</v>
      </c>
      <c r="N1342" s="131">
        <v>12.449343928897278</v>
      </c>
      <c r="O1342" s="94"/>
      <c r="P1342" s="14"/>
      <c r="Q1342" s="14"/>
      <c r="R1342" s="14"/>
      <c r="S1342" s="14"/>
      <c r="T1342" s="14"/>
      <c r="U1342" s="14"/>
    </row>
    <row r="1343" spans="2:21" ht="18.75" customHeight="1" x14ac:dyDescent="0.25">
      <c r="B1343" s="15"/>
      <c r="C1343" s="122" t="s">
        <v>1893</v>
      </c>
      <c r="D1343" s="120" t="s">
        <v>782</v>
      </c>
      <c r="E1343" s="125">
        <v>227.82</v>
      </c>
      <c r="F1343" s="134">
        <v>56.874496803310485</v>
      </c>
      <c r="G1343" s="134">
        <v>133.61435660090683</v>
      </c>
      <c r="H1343" s="134">
        <v>227.14580286670738</v>
      </c>
      <c r="I1343" s="134">
        <v>315.44155246030635</v>
      </c>
      <c r="J1343" s="134">
        <v>380.43217720700073</v>
      </c>
      <c r="K1343" s="134">
        <v>447.31601483489032</v>
      </c>
      <c r="L1343" s="134">
        <v>511.56692798654308</v>
      </c>
      <c r="M1343" s="134">
        <v>581.70367066955077</v>
      </c>
      <c r="N1343" s="135">
        <v>508.26227256216811</v>
      </c>
      <c r="O1343" s="94"/>
      <c r="P1343" s="14"/>
      <c r="Q1343" s="14"/>
      <c r="R1343" s="14"/>
      <c r="S1343" s="14"/>
      <c r="T1343" s="14"/>
      <c r="U1343" s="14"/>
    </row>
    <row r="1344" spans="2:21" ht="18.75" customHeight="1" x14ac:dyDescent="0.25">
      <c r="B1344" s="15"/>
      <c r="C1344" s="122"/>
      <c r="D1344" s="210"/>
      <c r="E1344" s="210"/>
      <c r="F1344" s="210"/>
      <c r="G1344" s="210"/>
      <c r="H1344" s="210"/>
      <c r="I1344" s="210"/>
      <c r="J1344" s="210"/>
      <c r="K1344" s="210"/>
      <c r="L1344" s="210"/>
      <c r="M1344" s="210"/>
      <c r="N1344" s="115"/>
      <c r="O1344" s="94"/>
      <c r="P1344" s="14"/>
      <c r="Q1344" s="14"/>
      <c r="R1344" s="14"/>
      <c r="S1344" s="14"/>
      <c r="T1344" s="14"/>
      <c r="U1344" s="14"/>
    </row>
    <row r="1345" spans="2:21" ht="18.75" customHeight="1" x14ac:dyDescent="0.25">
      <c r="B1345" s="15"/>
      <c r="C1345" s="2199" t="s">
        <v>2105</v>
      </c>
      <c r="D1345" s="2200"/>
      <c r="E1345" s="2200"/>
      <c r="F1345" s="2200"/>
      <c r="G1345" s="2200"/>
      <c r="H1345" s="2200"/>
      <c r="I1345" s="2200"/>
      <c r="J1345" s="2200"/>
      <c r="K1345" s="2200"/>
      <c r="L1345" s="2200"/>
      <c r="M1345" s="2200"/>
      <c r="N1345" s="2201"/>
      <c r="O1345" s="94"/>
      <c r="P1345" s="14"/>
      <c r="Q1345" s="14"/>
      <c r="R1345" s="14"/>
      <c r="S1345" s="14"/>
      <c r="T1345" s="14"/>
      <c r="U1345" s="14"/>
    </row>
    <row r="1346" spans="2:21" ht="18.75" customHeight="1" x14ac:dyDescent="0.25">
      <c r="B1346" s="15"/>
      <c r="C1346" s="2202" t="s">
        <v>1088</v>
      </c>
      <c r="D1346" s="210">
        <v>61</v>
      </c>
      <c r="E1346" s="104" t="s">
        <v>679</v>
      </c>
      <c r="F1346" s="210">
        <v>80</v>
      </c>
      <c r="G1346" s="210">
        <v>180</v>
      </c>
      <c r="H1346" s="210">
        <v>290</v>
      </c>
      <c r="I1346" s="210">
        <v>340</v>
      </c>
      <c r="J1346" s="210">
        <v>400</v>
      </c>
      <c r="K1346" s="210">
        <v>450</v>
      </c>
      <c r="L1346" s="210">
        <v>525</v>
      </c>
      <c r="M1346" s="210">
        <v>525</v>
      </c>
      <c r="N1346" s="115">
        <v>400</v>
      </c>
      <c r="O1346" s="94"/>
      <c r="P1346" s="14"/>
      <c r="Q1346" s="14"/>
      <c r="R1346" s="14"/>
      <c r="S1346" s="14"/>
      <c r="T1346" s="14"/>
      <c r="U1346" s="14"/>
    </row>
    <row r="1347" spans="2:21" ht="18.75" customHeight="1" x14ac:dyDescent="0.25">
      <c r="B1347" s="15"/>
      <c r="C1347" s="119" t="s">
        <v>568</v>
      </c>
      <c r="D1347" s="120" t="s">
        <v>623</v>
      </c>
      <c r="E1347" s="110" t="s">
        <v>608</v>
      </c>
      <c r="F1347" s="110" t="s">
        <v>957</v>
      </c>
      <c r="G1347" s="110" t="s">
        <v>572</v>
      </c>
      <c r="H1347" s="110" t="s">
        <v>530</v>
      </c>
      <c r="I1347" s="110" t="s">
        <v>573</v>
      </c>
      <c r="J1347" s="110" t="s">
        <v>574</v>
      </c>
      <c r="K1347" s="110" t="s">
        <v>575</v>
      </c>
      <c r="L1347" s="110" t="s">
        <v>576</v>
      </c>
      <c r="M1347" s="110" t="s">
        <v>577</v>
      </c>
      <c r="N1347" s="2203" t="s">
        <v>609</v>
      </c>
      <c r="O1347" s="94"/>
      <c r="P1347" s="14"/>
      <c r="Q1347" s="14"/>
      <c r="R1347" s="14"/>
      <c r="S1347" s="14"/>
      <c r="T1347" s="14"/>
      <c r="U1347" s="14"/>
    </row>
    <row r="1348" spans="2:21" ht="18.75" customHeight="1" x14ac:dyDescent="0.25">
      <c r="B1348" s="15"/>
      <c r="C1348" s="119" t="s">
        <v>582</v>
      </c>
      <c r="D1348" s="120" t="s">
        <v>566</v>
      </c>
      <c r="E1348" s="121">
        <v>97906.025386399589</v>
      </c>
      <c r="F1348" s="129">
        <v>2948.5255421780666</v>
      </c>
      <c r="G1348" s="129">
        <v>12411.978405987509</v>
      </c>
      <c r="H1348" s="129">
        <v>20656.871726253605</v>
      </c>
      <c r="I1348" s="129">
        <v>8218.6312136369561</v>
      </c>
      <c r="J1348" s="129">
        <v>10944.002081560835</v>
      </c>
      <c r="K1348" s="129">
        <v>7885.6239414815736</v>
      </c>
      <c r="L1348" s="129">
        <v>12122.714289150819</v>
      </c>
      <c r="M1348" s="129">
        <v>22717.678186150239</v>
      </c>
      <c r="N1348" s="130">
        <v>42810.927490561793</v>
      </c>
      <c r="O1348" s="94"/>
      <c r="P1348" s="14"/>
      <c r="Q1348" s="14"/>
      <c r="R1348" s="14"/>
      <c r="S1348" s="14"/>
      <c r="T1348" s="14"/>
      <c r="U1348" s="14"/>
    </row>
    <row r="1349" spans="2:21" ht="18.75" customHeight="1" x14ac:dyDescent="0.25">
      <c r="B1349" s="15"/>
      <c r="C1349" s="119" t="s">
        <v>582</v>
      </c>
      <c r="D1349" s="120" t="s">
        <v>628</v>
      </c>
      <c r="E1349" s="145">
        <v>15567.058036437535</v>
      </c>
      <c r="F1349" s="129">
        <v>468.81556120631262</v>
      </c>
      <c r="G1349" s="129">
        <v>1973.504566552014</v>
      </c>
      <c r="H1349" s="129">
        <v>3284.4426044743232</v>
      </c>
      <c r="I1349" s="129">
        <v>1306.762362968276</v>
      </c>
      <c r="J1349" s="129">
        <v>1740.0963309681727</v>
      </c>
      <c r="K1349" s="129">
        <v>1253.8142066955702</v>
      </c>
      <c r="L1349" s="129">
        <v>1927.5115719749804</v>
      </c>
      <c r="M1349" s="129">
        <v>3612.1108315978881</v>
      </c>
      <c r="N1349" s="130">
        <v>6806.9374709993253</v>
      </c>
      <c r="O1349" s="94"/>
      <c r="P1349" s="14"/>
      <c r="Q1349" s="14"/>
      <c r="R1349" s="14"/>
      <c r="S1349" s="14"/>
      <c r="T1349" s="14"/>
      <c r="U1349" s="14"/>
    </row>
    <row r="1350" spans="2:21" ht="18.75" customHeight="1" x14ac:dyDescent="0.25">
      <c r="B1350" s="15"/>
      <c r="C1350" s="119" t="s">
        <v>620</v>
      </c>
      <c r="D1350" s="120" t="s">
        <v>622</v>
      </c>
      <c r="E1350" s="129">
        <v>13939530</v>
      </c>
      <c r="F1350" s="129">
        <v>362427.77999999997</v>
      </c>
      <c r="G1350" s="129">
        <v>1603045.95</v>
      </c>
      <c r="H1350" s="129">
        <v>2815785.06</v>
      </c>
      <c r="I1350" s="129">
        <v>1141647.507</v>
      </c>
      <c r="J1350" s="129">
        <v>1547287.83</v>
      </c>
      <c r="K1350" s="129">
        <v>1138859.601</v>
      </c>
      <c r="L1350" s="129">
        <v>1784259.84</v>
      </c>
      <c r="M1350" s="129">
        <v>3484882.5</v>
      </c>
      <c r="N1350" s="130">
        <v>6408001.9409999996</v>
      </c>
      <c r="O1350" s="94"/>
      <c r="P1350" s="14"/>
      <c r="Q1350" s="14"/>
      <c r="R1350" s="14"/>
      <c r="S1350" s="14"/>
      <c r="T1350" s="14"/>
      <c r="U1350" s="14"/>
    </row>
    <row r="1351" spans="2:21" ht="18.75" customHeight="1" x14ac:dyDescent="0.25">
      <c r="B1351" s="15"/>
      <c r="C1351" s="122" t="s">
        <v>776</v>
      </c>
      <c r="D1351" s="120" t="s">
        <v>579</v>
      </c>
      <c r="E1351" s="125">
        <v>0.35295816452791506</v>
      </c>
      <c r="F1351" s="125">
        <v>1.0789978727117726E-3</v>
      </c>
      <c r="G1351" s="125">
        <v>0</v>
      </c>
      <c r="H1351" s="125">
        <v>0.17016695591072792</v>
      </c>
      <c r="I1351" s="125">
        <v>0.23033975459436554</v>
      </c>
      <c r="J1351" s="125">
        <v>0.29945618100299354</v>
      </c>
      <c r="K1351" s="125">
        <v>0.39903923388027351</v>
      </c>
      <c r="L1351" s="125">
        <v>0.49597168758215338</v>
      </c>
      <c r="M1351" s="125">
        <v>0.68146416831245071</v>
      </c>
      <c r="N1351" s="131">
        <v>0.57962132585739978</v>
      </c>
      <c r="O1351" s="94"/>
      <c r="P1351" s="14"/>
      <c r="Q1351" s="14"/>
      <c r="R1351" s="14"/>
      <c r="S1351" s="14"/>
      <c r="T1351" s="14"/>
      <c r="U1351" s="14"/>
    </row>
    <row r="1352" spans="2:21" ht="18.75" customHeight="1" x14ac:dyDescent="0.25">
      <c r="B1352" s="15"/>
      <c r="C1352" s="122" t="s">
        <v>777</v>
      </c>
      <c r="D1352" s="210" t="s">
        <v>778</v>
      </c>
      <c r="E1352" s="125">
        <v>1378.2822605424956</v>
      </c>
      <c r="F1352" s="132">
        <v>0</v>
      </c>
      <c r="G1352" s="132">
        <v>232.91301855272673</v>
      </c>
      <c r="H1352" s="132">
        <v>164.82564615407409</v>
      </c>
      <c r="I1352" s="132">
        <v>148.63369584969814</v>
      </c>
      <c r="J1352" s="132">
        <v>242.57486824427087</v>
      </c>
      <c r="K1352" s="132">
        <v>683.29415749230884</v>
      </c>
      <c r="L1352" s="132">
        <v>1565.5243359446913</v>
      </c>
      <c r="M1352" s="125">
        <v>4091.5653006102498</v>
      </c>
      <c r="N1352" s="133">
        <v>2782.4745982610502</v>
      </c>
      <c r="O1352" s="94"/>
      <c r="P1352" s="14"/>
      <c r="Q1352" s="14"/>
      <c r="R1352" s="14"/>
      <c r="S1352" s="14"/>
      <c r="T1352" s="14"/>
      <c r="U1352" s="14"/>
    </row>
    <row r="1353" spans="2:21" ht="18.75" customHeight="1" x14ac:dyDescent="0.25">
      <c r="B1353" s="15"/>
      <c r="C1353" s="119" t="s">
        <v>779</v>
      </c>
      <c r="D1353" s="120" t="s">
        <v>970</v>
      </c>
      <c r="E1353" s="132">
        <v>29.8057656049759</v>
      </c>
      <c r="F1353" s="125">
        <v>51.35590461584156</v>
      </c>
      <c r="G1353" s="125">
        <v>42.528594772586167</v>
      </c>
      <c r="H1353" s="125">
        <v>33.388598114094556</v>
      </c>
      <c r="I1353" s="125">
        <v>30.305408373537858</v>
      </c>
      <c r="J1353" s="125">
        <v>27.475657784128572</v>
      </c>
      <c r="K1353" s="125">
        <v>24.129330079142449</v>
      </c>
      <c r="L1353" s="125">
        <v>21.209952654842461</v>
      </c>
      <c r="M1353" s="125">
        <v>15.021507021734649</v>
      </c>
      <c r="N1353" s="131">
        <v>18.66114649754293</v>
      </c>
      <c r="O1353" s="94"/>
      <c r="P1353" s="14"/>
      <c r="Q1353" s="14"/>
      <c r="R1353" s="14"/>
      <c r="S1353" s="14"/>
      <c r="T1353" s="14"/>
      <c r="U1353" s="14"/>
    </row>
    <row r="1354" spans="2:21" ht="18.75" customHeight="1" x14ac:dyDescent="0.25">
      <c r="B1354" s="15"/>
      <c r="C1354" s="119" t="s">
        <v>580</v>
      </c>
      <c r="D1354" s="120" t="s">
        <v>581</v>
      </c>
      <c r="E1354" s="125">
        <v>876.7</v>
      </c>
      <c r="F1354" s="125">
        <v>773.07113925022986</v>
      </c>
      <c r="G1354" s="125">
        <v>812.28388176508929</v>
      </c>
      <c r="H1354" s="125">
        <v>857.30986931058521</v>
      </c>
      <c r="I1354" s="125">
        <v>873.6458436151911</v>
      </c>
      <c r="J1354" s="125">
        <v>889.19665104925787</v>
      </c>
      <c r="K1354" s="125">
        <v>908.31607659117753</v>
      </c>
      <c r="L1354" s="125">
        <v>925.68048147788772</v>
      </c>
      <c r="M1354" s="125">
        <v>964.77729019693277</v>
      </c>
      <c r="N1354" s="131">
        <v>941.39280231396663</v>
      </c>
      <c r="O1354" s="94"/>
      <c r="P1354" s="14"/>
      <c r="Q1354" s="14"/>
      <c r="R1354" s="14"/>
      <c r="S1354" s="14"/>
      <c r="T1354" s="14"/>
      <c r="U1354" s="14"/>
    </row>
    <row r="1355" spans="2:21" ht="18.75" customHeight="1" x14ac:dyDescent="0.25">
      <c r="B1355" s="15"/>
      <c r="C1355" s="119" t="s">
        <v>541</v>
      </c>
      <c r="D1355" s="120" t="s">
        <v>579</v>
      </c>
      <c r="E1355" s="125">
        <v>12.140710675227428</v>
      </c>
      <c r="F1355" s="125">
        <v>12.122302558615299</v>
      </c>
      <c r="G1355" s="125">
        <v>12.426877570589387</v>
      </c>
      <c r="H1355" s="125">
        <v>12.443133603307059</v>
      </c>
      <c r="I1355" s="125">
        <v>12.983105127451775</v>
      </c>
      <c r="J1355" s="125">
        <v>12.696173950298029</v>
      </c>
      <c r="K1355" s="125">
        <v>12.357594185754561</v>
      </c>
      <c r="L1355" s="125">
        <v>12.053429136404809</v>
      </c>
      <c r="M1355" s="125">
        <v>11.431523629441124</v>
      </c>
      <c r="N1355" s="131">
        <v>11.769274052199794</v>
      </c>
      <c r="O1355" s="94"/>
      <c r="P1355" s="14"/>
      <c r="Q1355" s="14"/>
      <c r="R1355" s="14"/>
      <c r="S1355" s="14"/>
      <c r="T1355" s="14"/>
      <c r="U1355" s="14"/>
    </row>
    <row r="1356" spans="2:21" ht="18.75" customHeight="1" x14ac:dyDescent="0.25">
      <c r="B1356" s="15"/>
      <c r="C1356" s="119" t="s">
        <v>544</v>
      </c>
      <c r="D1356" s="120" t="s">
        <v>579</v>
      </c>
      <c r="E1356" s="125">
        <v>3.2</v>
      </c>
      <c r="F1356" s="128"/>
      <c r="G1356" s="128"/>
      <c r="H1356" s="128"/>
      <c r="I1356" s="128"/>
      <c r="J1356" s="128"/>
      <c r="K1356" s="128"/>
      <c r="L1356" s="128"/>
      <c r="M1356" s="125">
        <v>12.7872</v>
      </c>
      <c r="N1356" s="131">
        <v>6.9610615618881884</v>
      </c>
      <c r="O1356" s="94"/>
      <c r="P1356" s="14"/>
      <c r="Q1356" s="14"/>
      <c r="R1356" s="14"/>
      <c r="S1356" s="14"/>
      <c r="T1356" s="14"/>
      <c r="U1356" s="14"/>
    </row>
    <row r="1357" spans="2:21" ht="18.75" customHeight="1" x14ac:dyDescent="0.25">
      <c r="B1357" s="15"/>
      <c r="C1357" s="119" t="s">
        <v>780</v>
      </c>
      <c r="D1357" s="120" t="s">
        <v>783</v>
      </c>
      <c r="E1357" s="125">
        <v>12.00077963584458</v>
      </c>
      <c r="F1357" s="125">
        <v>10.897410807522187</v>
      </c>
      <c r="G1357" s="125">
        <v>11.124703379452791</v>
      </c>
      <c r="H1357" s="125">
        <v>11.414497086817853</v>
      </c>
      <c r="I1357" s="125">
        <v>11.541019002584584</v>
      </c>
      <c r="J1357" s="125">
        <v>11.67336035232027</v>
      </c>
      <c r="K1357" s="125">
        <v>11.84045120404098</v>
      </c>
      <c r="L1357" s="125">
        <v>11.970715723598225</v>
      </c>
      <c r="M1357" s="125">
        <v>12.085016929732802</v>
      </c>
      <c r="N1357" s="131">
        <v>12.048940492019218</v>
      </c>
      <c r="O1357" s="94"/>
      <c r="P1357" s="14"/>
      <c r="Q1357" s="14"/>
      <c r="R1357" s="14"/>
      <c r="S1357" s="14"/>
      <c r="T1357" s="14"/>
      <c r="U1357" s="14"/>
    </row>
    <row r="1358" spans="2:21" ht="18.75" customHeight="1" x14ac:dyDescent="0.25">
      <c r="B1358" s="15"/>
      <c r="C1358" s="122" t="s">
        <v>781</v>
      </c>
      <c r="D1358" s="120" t="s">
        <v>782</v>
      </c>
      <c r="E1358" s="125">
        <v>375</v>
      </c>
      <c r="F1358" s="134">
        <v>60</v>
      </c>
      <c r="G1358" s="134">
        <v>138</v>
      </c>
      <c r="H1358" s="134">
        <v>249</v>
      </c>
      <c r="I1358" s="134">
        <v>298</v>
      </c>
      <c r="J1358" s="134">
        <v>350</v>
      </c>
      <c r="K1358" s="134">
        <v>420</v>
      </c>
      <c r="L1358" s="134">
        <v>485</v>
      </c>
      <c r="M1358" s="134">
        <v>610</v>
      </c>
      <c r="N1358" s="135">
        <v>540</v>
      </c>
      <c r="O1358" s="94"/>
      <c r="P1358" s="14"/>
      <c r="Q1358" s="14"/>
      <c r="R1358" s="14"/>
      <c r="S1358" s="14"/>
      <c r="T1358" s="14"/>
      <c r="U1358" s="14"/>
    </row>
    <row r="1359" spans="2:21" ht="18.75" customHeight="1" x14ac:dyDescent="0.25">
      <c r="B1359" s="15"/>
      <c r="C1359" s="122"/>
      <c r="D1359" s="210"/>
      <c r="E1359" s="210"/>
      <c r="F1359" s="210"/>
      <c r="G1359" s="210"/>
      <c r="H1359" s="210"/>
      <c r="I1359" s="210"/>
      <c r="J1359" s="210"/>
      <c r="K1359" s="210"/>
      <c r="L1359" s="210"/>
      <c r="M1359" s="210"/>
      <c r="N1359" s="115"/>
      <c r="O1359" s="94"/>
      <c r="P1359" s="14"/>
      <c r="Q1359" s="14"/>
      <c r="R1359" s="14"/>
      <c r="S1359" s="14"/>
      <c r="T1359" s="14"/>
      <c r="U1359" s="14"/>
    </row>
    <row r="1360" spans="2:21" ht="18.75" customHeight="1" x14ac:dyDescent="0.25">
      <c r="B1360" s="15"/>
      <c r="C1360" s="2199" t="s">
        <v>2106</v>
      </c>
      <c r="D1360" s="2200"/>
      <c r="E1360" s="2200"/>
      <c r="F1360" s="2200"/>
      <c r="G1360" s="2200"/>
      <c r="H1360" s="2200"/>
      <c r="I1360" s="2200"/>
      <c r="J1360" s="2200"/>
      <c r="K1360" s="2200"/>
      <c r="L1360" s="2200"/>
      <c r="M1360" s="2200"/>
      <c r="N1360" s="2201"/>
      <c r="O1360" s="94"/>
      <c r="P1360" s="14"/>
      <c r="Q1360" s="14"/>
      <c r="R1360" s="14"/>
      <c r="S1360" s="14"/>
      <c r="T1360" s="14"/>
      <c r="U1360" s="14"/>
    </row>
    <row r="1361" spans="2:21" ht="18.75" customHeight="1" x14ac:dyDescent="0.25">
      <c r="B1361" s="15"/>
      <c r="C1361" s="2202" t="s">
        <v>1088</v>
      </c>
      <c r="D1361" s="210">
        <v>56</v>
      </c>
      <c r="E1361" s="104" t="s">
        <v>679</v>
      </c>
      <c r="F1361" s="210">
        <v>80</v>
      </c>
      <c r="G1361" s="210">
        <v>180</v>
      </c>
      <c r="H1361" s="210">
        <v>290</v>
      </c>
      <c r="I1361" s="210">
        <v>340</v>
      </c>
      <c r="J1361" s="210">
        <v>400</v>
      </c>
      <c r="K1361" s="210">
        <v>450</v>
      </c>
      <c r="L1361" s="210">
        <v>525</v>
      </c>
      <c r="M1361" s="210">
        <v>525</v>
      </c>
      <c r="N1361" s="115">
        <v>400</v>
      </c>
      <c r="O1361" s="94"/>
      <c r="P1361" s="14"/>
      <c r="Q1361" s="14"/>
      <c r="R1361" s="14"/>
      <c r="S1361" s="14"/>
      <c r="T1361" s="14"/>
      <c r="U1361" s="14"/>
    </row>
    <row r="1362" spans="2:21" ht="18.75" customHeight="1" x14ac:dyDescent="0.25">
      <c r="B1362" s="15"/>
      <c r="C1362" s="119" t="s">
        <v>568</v>
      </c>
      <c r="D1362" s="120" t="s">
        <v>623</v>
      </c>
      <c r="E1362" s="110" t="s">
        <v>608</v>
      </c>
      <c r="F1362" s="110" t="s">
        <v>957</v>
      </c>
      <c r="G1362" s="110" t="s">
        <v>572</v>
      </c>
      <c r="H1362" s="110" t="s">
        <v>530</v>
      </c>
      <c r="I1362" s="110" t="s">
        <v>573</v>
      </c>
      <c r="J1362" s="110" t="s">
        <v>574</v>
      </c>
      <c r="K1362" s="110" t="s">
        <v>575</v>
      </c>
      <c r="L1362" s="110" t="s">
        <v>576</v>
      </c>
      <c r="M1362" s="110" t="s">
        <v>577</v>
      </c>
      <c r="N1362" s="2203" t="s">
        <v>609</v>
      </c>
      <c r="O1362" s="94"/>
      <c r="P1362" s="14"/>
      <c r="Q1362" s="14"/>
      <c r="R1362" s="14"/>
      <c r="S1362" s="14"/>
      <c r="T1362" s="14"/>
      <c r="U1362" s="14"/>
    </row>
    <row r="1363" spans="2:21" ht="18.75" customHeight="1" x14ac:dyDescent="0.25">
      <c r="B1363" s="15"/>
      <c r="C1363" s="119" t="s">
        <v>582</v>
      </c>
      <c r="D1363" s="120" t="s">
        <v>566</v>
      </c>
      <c r="E1363" s="121">
        <v>97602.818625260712</v>
      </c>
      <c r="F1363" s="129">
        <v>3974.276182028425</v>
      </c>
      <c r="G1363" s="129">
        <v>13764.22460155877</v>
      </c>
      <c r="H1363" s="129">
        <v>23209.782301169071</v>
      </c>
      <c r="I1363" s="129">
        <v>9975.1963911992298</v>
      </c>
      <c r="J1363" s="129">
        <v>11613.912638317554</v>
      </c>
      <c r="K1363" s="129">
        <v>8939.0603916442487</v>
      </c>
      <c r="L1363" s="129">
        <v>11066.59606187797</v>
      </c>
      <c r="M1363" s="129">
        <v>15059.770057465463</v>
      </c>
      <c r="N1363" s="130">
        <v>35312.198655761764</v>
      </c>
      <c r="O1363" s="94"/>
      <c r="P1363" s="14"/>
      <c r="Q1363" s="14"/>
      <c r="R1363" s="14"/>
      <c r="S1363" s="14"/>
      <c r="T1363" s="14"/>
      <c r="U1363" s="14"/>
    </row>
    <row r="1364" spans="2:21" ht="18.75" customHeight="1" x14ac:dyDescent="0.25">
      <c r="B1364" s="15"/>
      <c r="C1364" s="119" t="s">
        <v>582</v>
      </c>
      <c r="D1364" s="120" t="s">
        <v>628</v>
      </c>
      <c r="E1364" s="145">
        <v>15518.848161416454</v>
      </c>
      <c r="F1364" s="129">
        <v>631.90991294251955</v>
      </c>
      <c r="G1364" s="129">
        <v>2188.5117116478445</v>
      </c>
      <c r="H1364" s="129">
        <v>3690.3553858858822</v>
      </c>
      <c r="I1364" s="129">
        <v>1586.0562262006777</v>
      </c>
      <c r="J1364" s="129">
        <v>1846.6121094924911</v>
      </c>
      <c r="K1364" s="129">
        <v>1421.3106022714355</v>
      </c>
      <c r="L1364" s="129">
        <v>1759.5887738385973</v>
      </c>
      <c r="M1364" s="129">
        <v>2394.5034391370086</v>
      </c>
      <c r="N1364" s="130">
        <v>5614.6395862661202</v>
      </c>
      <c r="O1364" s="94"/>
      <c r="P1364" s="14"/>
      <c r="Q1364" s="14"/>
      <c r="R1364" s="14"/>
      <c r="S1364" s="14"/>
      <c r="T1364" s="14"/>
      <c r="U1364" s="14"/>
    </row>
    <row r="1365" spans="2:21" ht="18.75" customHeight="1" x14ac:dyDescent="0.25">
      <c r="B1365" s="15"/>
      <c r="C1365" s="119" t="s">
        <v>620</v>
      </c>
      <c r="D1365" s="120" t="s">
        <v>622</v>
      </c>
      <c r="E1365" s="129">
        <v>13523268.695343809</v>
      </c>
      <c r="F1365" s="129">
        <v>480076.03868470516</v>
      </c>
      <c r="G1365" s="129">
        <v>1744501.6616993514</v>
      </c>
      <c r="H1365" s="129">
        <v>3096828.5312337326</v>
      </c>
      <c r="I1365" s="129">
        <v>1365850.1382297247</v>
      </c>
      <c r="J1365" s="129">
        <v>1622792.2434412572</v>
      </c>
      <c r="K1365" s="129">
        <v>1271187.257362318</v>
      </c>
      <c r="L1365" s="129">
        <v>1609268.9747459132</v>
      </c>
      <c r="M1365" s="129">
        <v>2298955.6782084475</v>
      </c>
      <c r="N1365" s="130">
        <v>5179411.9103166787</v>
      </c>
      <c r="O1365" s="94"/>
      <c r="P1365" s="14"/>
      <c r="Q1365" s="14"/>
      <c r="R1365" s="14"/>
      <c r="S1365" s="14"/>
      <c r="T1365" s="14"/>
      <c r="U1365" s="14"/>
    </row>
    <row r="1366" spans="2:21" ht="18.75" customHeight="1" x14ac:dyDescent="0.25">
      <c r="B1366" s="15"/>
      <c r="C1366" s="122" t="s">
        <v>776</v>
      </c>
      <c r="D1366" s="120" t="s">
        <v>579</v>
      </c>
      <c r="E1366" s="125">
        <v>0.15048254662568319</v>
      </c>
      <c r="F1366" s="125">
        <v>4.8753825083998788E-3</v>
      </c>
      <c r="G1366" s="125">
        <v>0</v>
      </c>
      <c r="H1366" s="125">
        <v>8.127199224993302E-2</v>
      </c>
      <c r="I1366" s="125">
        <v>0.11191557557562598</v>
      </c>
      <c r="J1366" s="125">
        <v>0.14443154044963874</v>
      </c>
      <c r="K1366" s="125">
        <v>0.18107295667831255</v>
      </c>
      <c r="L1366" s="125">
        <v>0.24141203824798513</v>
      </c>
      <c r="M1366" s="125">
        <v>0.33714138738255212</v>
      </c>
      <c r="N1366" s="131">
        <v>0.26909380243943987</v>
      </c>
      <c r="O1366" s="94"/>
      <c r="P1366" s="14"/>
      <c r="Q1366" s="14"/>
      <c r="R1366" s="14"/>
      <c r="S1366" s="14"/>
      <c r="T1366" s="14"/>
      <c r="U1366" s="14"/>
    </row>
    <row r="1367" spans="2:21" ht="18.75" customHeight="1" x14ac:dyDescent="0.25">
      <c r="B1367" s="15"/>
      <c r="C1367" s="122" t="s">
        <v>777</v>
      </c>
      <c r="D1367" s="210" t="s">
        <v>778</v>
      </c>
      <c r="E1367" s="125">
        <v>969.17829233677003</v>
      </c>
      <c r="F1367" s="132">
        <v>0</v>
      </c>
      <c r="G1367" s="132">
        <v>141.12152972370961</v>
      </c>
      <c r="H1367" s="132">
        <v>173.34363819933651</v>
      </c>
      <c r="I1367" s="132">
        <v>278.98617715787896</v>
      </c>
      <c r="J1367" s="132">
        <v>512.91379531485973</v>
      </c>
      <c r="K1367" s="132">
        <v>895.72483680582764</v>
      </c>
      <c r="L1367" s="132">
        <v>1714.2003656207621</v>
      </c>
      <c r="M1367" s="125">
        <v>3137.4275550318594</v>
      </c>
      <c r="N1367" s="133">
        <v>2145.040894318628</v>
      </c>
      <c r="O1367" s="94"/>
      <c r="P1367" s="14"/>
      <c r="Q1367" s="14"/>
      <c r="R1367" s="14"/>
      <c r="S1367" s="14"/>
      <c r="T1367" s="14"/>
      <c r="U1367" s="14"/>
    </row>
    <row r="1368" spans="2:21" ht="18.75" customHeight="1" x14ac:dyDescent="0.25">
      <c r="B1368" s="15"/>
      <c r="C1368" s="119" t="s">
        <v>779</v>
      </c>
      <c r="D1368" s="120" t="s">
        <v>970</v>
      </c>
      <c r="E1368" s="132">
        <v>34.799999999999997</v>
      </c>
      <c r="F1368" s="125">
        <v>54.56881297848301</v>
      </c>
      <c r="G1368" s="125">
        <v>45.839686570270906</v>
      </c>
      <c r="H1368" s="125">
        <v>36.953283523330796</v>
      </c>
      <c r="I1368" s="125">
        <v>32.651167965119051</v>
      </c>
      <c r="J1368" s="125">
        <v>29.357459338322212</v>
      </c>
      <c r="K1368" s="125">
        <v>26.55488163863329</v>
      </c>
      <c r="L1368" s="125">
        <v>23.064941173434832</v>
      </c>
      <c r="M1368" s="125">
        <v>15.735764457442272</v>
      </c>
      <c r="N1368" s="131">
        <v>21.739201818801412</v>
      </c>
      <c r="O1368" s="94"/>
      <c r="P1368" s="14"/>
      <c r="Q1368" s="14"/>
      <c r="R1368" s="14"/>
      <c r="S1368" s="14"/>
      <c r="T1368" s="14"/>
      <c r="U1368" s="14"/>
    </row>
    <row r="1369" spans="2:21" ht="18.75" customHeight="1" x14ac:dyDescent="0.25">
      <c r="B1369" s="15"/>
      <c r="C1369" s="119" t="s">
        <v>580</v>
      </c>
      <c r="D1369" s="120" t="s">
        <v>581</v>
      </c>
      <c r="E1369" s="125">
        <v>850.520043732315</v>
      </c>
      <c r="F1369" s="125">
        <v>759.72227821084095</v>
      </c>
      <c r="G1369" s="125">
        <v>797.11780952080221</v>
      </c>
      <c r="H1369" s="125">
        <v>839.16810372189354</v>
      </c>
      <c r="I1369" s="125">
        <v>861.1612348078944</v>
      </c>
      <c r="J1369" s="125">
        <v>878.79432561895908</v>
      </c>
      <c r="K1369" s="125">
        <v>894.37682047175235</v>
      </c>
      <c r="L1369" s="125">
        <v>914.57106266667256</v>
      </c>
      <c r="M1369" s="125">
        <v>960.09704585640645</v>
      </c>
      <c r="N1369" s="131">
        <v>922.48341692064344</v>
      </c>
      <c r="O1369" s="94"/>
      <c r="P1369" s="14"/>
      <c r="Q1369" s="14"/>
      <c r="R1369" s="14"/>
      <c r="S1369" s="14"/>
      <c r="T1369" s="14"/>
      <c r="U1369" s="14"/>
    </row>
    <row r="1370" spans="2:21" ht="18.75" customHeight="1" x14ac:dyDescent="0.25">
      <c r="B1370" s="15"/>
      <c r="C1370" s="119" t="s">
        <v>541</v>
      </c>
      <c r="D1370" s="120" t="s">
        <v>579</v>
      </c>
      <c r="E1370" s="125">
        <v>12.627559267053069</v>
      </c>
      <c r="F1370" s="125">
        <v>12.303522022743456</v>
      </c>
      <c r="G1370" s="125">
        <v>12.851998978213864</v>
      </c>
      <c r="H1370" s="125">
        <v>12.888353577440174</v>
      </c>
      <c r="I1370" s="125">
        <v>13.350929232086379</v>
      </c>
      <c r="J1370" s="125">
        <v>13.016304223162141</v>
      </c>
      <c r="K1370" s="125">
        <v>12.723860431141176</v>
      </c>
      <c r="L1370" s="125">
        <v>12.345338911327506</v>
      </c>
      <c r="M1370" s="125">
        <v>11.799440162510953</v>
      </c>
      <c r="N1370" s="131">
        <v>12.195934826637352</v>
      </c>
      <c r="O1370" s="94"/>
      <c r="P1370" s="14"/>
      <c r="Q1370" s="14"/>
      <c r="R1370" s="14"/>
      <c r="S1370" s="14"/>
      <c r="T1370" s="14"/>
      <c r="U1370" s="14"/>
    </row>
    <row r="1371" spans="2:21" ht="18.75" customHeight="1" x14ac:dyDescent="0.25">
      <c r="B1371" s="15"/>
      <c r="C1371" s="119" t="s">
        <v>544</v>
      </c>
      <c r="D1371" s="120" t="s">
        <v>579</v>
      </c>
      <c r="E1371" s="125">
        <v>1.4</v>
      </c>
      <c r="F1371" s="128"/>
      <c r="G1371" s="128"/>
      <c r="H1371" s="128"/>
      <c r="I1371" s="128"/>
      <c r="J1371" s="128"/>
      <c r="K1371" s="128"/>
      <c r="L1371" s="128"/>
      <c r="M1371" s="125">
        <v>8.2270588235294113</v>
      </c>
      <c r="N1371" s="131">
        <v>3.6553524804177542</v>
      </c>
      <c r="O1371" s="94"/>
      <c r="P1371" s="14"/>
      <c r="Q1371" s="14"/>
      <c r="R1371" s="14"/>
      <c r="S1371" s="14"/>
      <c r="T1371" s="14"/>
      <c r="U1371" s="14"/>
    </row>
    <row r="1372" spans="2:21" ht="18.75" customHeight="1" x14ac:dyDescent="0.25">
      <c r="B1372" s="15"/>
      <c r="C1372" s="119" t="s">
        <v>780</v>
      </c>
      <c r="D1372" s="120" t="s">
        <v>783</v>
      </c>
      <c r="E1372" s="125">
        <v>12.178429010660325</v>
      </c>
      <c r="F1372" s="125">
        <v>10.976807186581055</v>
      </c>
      <c r="G1372" s="125">
        <v>11.336363504385229</v>
      </c>
      <c r="H1372" s="125">
        <v>11.668703890060231</v>
      </c>
      <c r="I1372" s="125">
        <v>11.823364342688032</v>
      </c>
      <c r="J1372" s="125">
        <v>11.936573909098412</v>
      </c>
      <c r="K1372" s="125">
        <v>12.024989843823287</v>
      </c>
      <c r="L1372" s="125">
        <v>12.116125631993633</v>
      </c>
      <c r="M1372" s="125">
        <v>12.189592245674495</v>
      </c>
      <c r="N1372" s="131">
        <v>12.142811701247371</v>
      </c>
      <c r="O1372" s="94"/>
      <c r="P1372" s="14"/>
      <c r="Q1372" s="14"/>
      <c r="R1372" s="14"/>
      <c r="S1372" s="14"/>
      <c r="T1372" s="14"/>
      <c r="U1372" s="14"/>
    </row>
    <row r="1373" spans="2:21" ht="18.75" customHeight="1" x14ac:dyDescent="0.25">
      <c r="B1373" s="15"/>
      <c r="C1373" s="122" t="s">
        <v>781</v>
      </c>
      <c r="D1373" s="120" t="s">
        <v>782</v>
      </c>
      <c r="E1373" s="125">
        <v>345</v>
      </c>
      <c r="F1373" s="134">
        <v>50</v>
      </c>
      <c r="G1373" s="134">
        <v>138</v>
      </c>
      <c r="H1373" s="134">
        <v>250</v>
      </c>
      <c r="I1373" s="134">
        <v>315</v>
      </c>
      <c r="J1373" s="134">
        <v>370</v>
      </c>
      <c r="K1373" s="134">
        <v>420</v>
      </c>
      <c r="L1373" s="134">
        <v>485</v>
      </c>
      <c r="M1373" s="134">
        <v>620</v>
      </c>
      <c r="N1373" s="135">
        <v>510</v>
      </c>
      <c r="O1373" s="94"/>
      <c r="P1373" s="14"/>
      <c r="Q1373" s="14"/>
      <c r="R1373" s="14"/>
      <c r="S1373" s="14"/>
      <c r="T1373" s="14"/>
      <c r="U1373" s="14"/>
    </row>
    <row r="1374" spans="2:21" ht="18.75" customHeight="1" x14ac:dyDescent="0.25">
      <c r="B1374" s="15"/>
      <c r="C1374" s="122"/>
      <c r="D1374" s="210"/>
      <c r="E1374" s="210"/>
      <c r="F1374" s="210"/>
      <c r="G1374" s="210"/>
      <c r="H1374" s="210"/>
      <c r="I1374" s="210"/>
      <c r="J1374" s="210"/>
      <c r="K1374" s="210"/>
      <c r="L1374" s="210"/>
      <c r="M1374" s="210"/>
      <c r="N1374" s="115"/>
      <c r="O1374" s="94"/>
      <c r="P1374" s="14"/>
      <c r="Q1374" s="14"/>
      <c r="R1374" s="14"/>
      <c r="S1374" s="14"/>
      <c r="T1374" s="14"/>
      <c r="U1374" s="14"/>
    </row>
    <row r="1375" spans="2:21" ht="18.75" customHeight="1" x14ac:dyDescent="0.25">
      <c r="B1375" s="15"/>
      <c r="C1375" s="2199" t="s">
        <v>2107</v>
      </c>
      <c r="D1375" s="2200"/>
      <c r="E1375" s="2200"/>
      <c r="F1375" s="2200"/>
      <c r="G1375" s="2200"/>
      <c r="H1375" s="2200"/>
      <c r="I1375" s="2200"/>
      <c r="J1375" s="2200"/>
      <c r="K1375" s="2200"/>
      <c r="L1375" s="2200"/>
      <c r="M1375" s="2200"/>
      <c r="N1375" s="2201"/>
      <c r="O1375" s="94"/>
      <c r="P1375" s="14"/>
      <c r="Q1375" s="14"/>
      <c r="R1375" s="14"/>
      <c r="S1375" s="14"/>
      <c r="T1375" s="14"/>
      <c r="U1375" s="14"/>
    </row>
    <row r="1376" spans="2:21" ht="18.75" customHeight="1" x14ac:dyDescent="0.25">
      <c r="B1376" s="15"/>
      <c r="C1376" s="2202" t="s">
        <v>1088</v>
      </c>
      <c r="D1376" s="210">
        <v>54</v>
      </c>
      <c r="E1376" s="104" t="s">
        <v>679</v>
      </c>
      <c r="F1376" s="210">
        <v>80</v>
      </c>
      <c r="G1376" s="210">
        <v>180</v>
      </c>
      <c r="H1376" s="210">
        <v>290</v>
      </c>
      <c r="I1376" s="210">
        <v>340</v>
      </c>
      <c r="J1376" s="210">
        <v>400</v>
      </c>
      <c r="K1376" s="210">
        <v>450</v>
      </c>
      <c r="L1376" s="210">
        <v>525</v>
      </c>
      <c r="M1376" s="210">
        <v>525</v>
      </c>
      <c r="N1376" s="115">
        <v>400</v>
      </c>
      <c r="O1376" s="94"/>
      <c r="P1376" s="14"/>
      <c r="Q1376" s="14"/>
      <c r="R1376" s="14"/>
      <c r="S1376" s="14"/>
      <c r="T1376" s="14"/>
      <c r="U1376" s="14"/>
    </row>
    <row r="1377" spans="2:21" ht="18.75" customHeight="1" x14ac:dyDescent="0.25">
      <c r="B1377" s="15"/>
      <c r="C1377" s="119" t="s">
        <v>568</v>
      </c>
      <c r="D1377" s="120" t="s">
        <v>623</v>
      </c>
      <c r="E1377" s="110" t="s">
        <v>608</v>
      </c>
      <c r="F1377" s="110" t="s">
        <v>957</v>
      </c>
      <c r="G1377" s="110" t="s">
        <v>572</v>
      </c>
      <c r="H1377" s="110" t="s">
        <v>530</v>
      </c>
      <c r="I1377" s="110" t="s">
        <v>573</v>
      </c>
      <c r="J1377" s="110" t="s">
        <v>574</v>
      </c>
      <c r="K1377" s="110" t="s">
        <v>575</v>
      </c>
      <c r="L1377" s="110" t="s">
        <v>576</v>
      </c>
      <c r="M1377" s="110" t="s">
        <v>577</v>
      </c>
      <c r="N1377" s="2203" t="s">
        <v>609</v>
      </c>
      <c r="O1377" s="94"/>
      <c r="P1377" s="14"/>
      <c r="Q1377" s="14"/>
      <c r="R1377" s="14"/>
      <c r="S1377" s="14"/>
      <c r="T1377" s="14"/>
      <c r="U1377" s="14"/>
    </row>
    <row r="1378" spans="2:21" ht="18.75" customHeight="1" x14ac:dyDescent="0.25">
      <c r="B1378" s="15"/>
      <c r="C1378" s="119" t="s">
        <v>582</v>
      </c>
      <c r="D1378" s="120" t="s">
        <v>566</v>
      </c>
      <c r="E1378" s="121">
        <v>96711.420667401486</v>
      </c>
      <c r="F1378" s="129">
        <v>10246.737759732325</v>
      </c>
      <c r="G1378" s="129">
        <v>18635.895871971145</v>
      </c>
      <c r="H1378" s="129">
        <v>20468.933817172285</v>
      </c>
      <c r="I1378" s="129">
        <v>7636.8594490404685</v>
      </c>
      <c r="J1378" s="129">
        <v>9191.5372726495007</v>
      </c>
      <c r="K1378" s="129">
        <v>6791.1220092992198</v>
      </c>
      <c r="L1378" s="129">
        <v>9123.0799048859371</v>
      </c>
      <c r="M1378" s="129">
        <v>14617.25458265063</v>
      </c>
      <c r="N1378" s="130">
        <v>30590.924187155037</v>
      </c>
      <c r="O1378" s="94"/>
      <c r="P1378" s="14"/>
      <c r="Q1378" s="14"/>
      <c r="R1378" s="14"/>
      <c r="S1378" s="14"/>
      <c r="T1378" s="14"/>
      <c r="U1378" s="14"/>
    </row>
    <row r="1379" spans="2:21" ht="18.75" customHeight="1" x14ac:dyDescent="0.25">
      <c r="B1379" s="15"/>
      <c r="C1379" s="119" t="s">
        <v>582</v>
      </c>
      <c r="D1379" s="120" t="s">
        <v>628</v>
      </c>
      <c r="E1379" s="145">
        <v>15377.115886116837</v>
      </c>
      <c r="F1379" s="129">
        <v>1629.2313037974395</v>
      </c>
      <c r="G1379" s="129">
        <v>2963.1074436434119</v>
      </c>
      <c r="H1379" s="129">
        <v>3254.5604769303932</v>
      </c>
      <c r="I1379" s="129">
        <v>1214.2606523974346</v>
      </c>
      <c r="J1379" s="129">
        <v>1461.4544263512705</v>
      </c>
      <c r="K1379" s="129">
        <v>1079.7883994785759</v>
      </c>
      <c r="L1379" s="129">
        <v>1450.5697048768641</v>
      </c>
      <c r="M1379" s="129">
        <v>2324.1434786414502</v>
      </c>
      <c r="N1379" s="130">
        <v>4863.9569457576508</v>
      </c>
      <c r="O1379" s="94"/>
      <c r="P1379" s="14"/>
      <c r="Q1379" s="14"/>
      <c r="R1379" s="14"/>
      <c r="S1379" s="14"/>
      <c r="T1379" s="14"/>
      <c r="U1379" s="14"/>
    </row>
    <row r="1380" spans="2:21" ht="18.75" customHeight="1" x14ac:dyDescent="0.25">
      <c r="B1380" s="15"/>
      <c r="C1380" s="119" t="s">
        <v>620</v>
      </c>
      <c r="D1380" s="120" t="s">
        <v>622</v>
      </c>
      <c r="E1380" s="129">
        <v>13235166.812540766</v>
      </c>
      <c r="F1380" s="129">
        <v>1234841.0636100534</v>
      </c>
      <c r="G1380" s="129">
        <v>2355859.6926322561</v>
      </c>
      <c r="H1380" s="129">
        <v>2726444.3633833975</v>
      </c>
      <c r="I1380" s="129">
        <v>1050872.2449157368</v>
      </c>
      <c r="J1380" s="129">
        <v>1289105.2475414707</v>
      </c>
      <c r="K1380" s="129">
        <v>970137.7273592382</v>
      </c>
      <c r="L1380" s="129">
        <v>1336751.8480666175</v>
      </c>
      <c r="M1380" s="129">
        <v>2249978.3581319302</v>
      </c>
      <c r="N1380" s="130">
        <v>4556867.933557786</v>
      </c>
      <c r="O1380" s="94"/>
      <c r="P1380" s="14"/>
      <c r="Q1380" s="14"/>
      <c r="R1380" s="14"/>
      <c r="S1380" s="14"/>
      <c r="T1380" s="14"/>
      <c r="U1380" s="14"/>
    </row>
    <row r="1381" spans="2:21" ht="18.75" customHeight="1" x14ac:dyDescent="0.25">
      <c r="B1381" s="15"/>
      <c r="C1381" s="122" t="s">
        <v>776</v>
      </c>
      <c r="D1381" s="120" t="s">
        <v>579</v>
      </c>
      <c r="E1381" s="125">
        <v>0.24297896246601475</v>
      </c>
      <c r="F1381" s="125">
        <v>0</v>
      </c>
      <c r="G1381" s="125">
        <v>0</v>
      </c>
      <c r="H1381" s="125">
        <v>0.12125634904035065</v>
      </c>
      <c r="I1381" s="125">
        <v>0.20343144652735867</v>
      </c>
      <c r="J1381" s="125">
        <v>0.26337813579504332</v>
      </c>
      <c r="K1381" s="125">
        <v>0.33024677351711007</v>
      </c>
      <c r="L1381" s="125">
        <v>0.43599371181992586</v>
      </c>
      <c r="M1381" s="125">
        <v>0.63501302288456685</v>
      </c>
      <c r="N1381" s="131">
        <v>0.51174750880915776</v>
      </c>
      <c r="O1381" s="94"/>
      <c r="P1381" s="14"/>
      <c r="Q1381" s="14"/>
      <c r="R1381" s="14"/>
      <c r="S1381" s="14"/>
      <c r="T1381" s="14"/>
      <c r="U1381" s="14"/>
    </row>
    <row r="1382" spans="2:21" ht="18.75" customHeight="1" x14ac:dyDescent="0.25">
      <c r="B1382" s="15"/>
      <c r="C1382" s="122" t="s">
        <v>777</v>
      </c>
      <c r="D1382" s="210" t="s">
        <v>778</v>
      </c>
      <c r="E1382" s="125">
        <v>1048.1475487501148</v>
      </c>
      <c r="F1382" s="132">
        <v>0</v>
      </c>
      <c r="G1382" s="132">
        <v>80.598014505906406</v>
      </c>
      <c r="H1382" s="132">
        <v>125.71954218374549</v>
      </c>
      <c r="I1382" s="132">
        <v>296.6484487548471</v>
      </c>
      <c r="J1382" s="132">
        <v>546.07262455850491</v>
      </c>
      <c r="K1382" s="132">
        <v>953.09491056582283</v>
      </c>
      <c r="L1382" s="132">
        <v>1863.7092761602307</v>
      </c>
      <c r="M1382" s="125">
        <v>3959.2060128142366</v>
      </c>
      <c r="N1382" s="133">
        <v>2704.5062910690626</v>
      </c>
      <c r="O1382" s="94"/>
      <c r="P1382" s="14"/>
      <c r="Q1382" s="14"/>
      <c r="R1382" s="14"/>
      <c r="S1382" s="14"/>
      <c r="T1382" s="14"/>
      <c r="U1382" s="14"/>
    </row>
    <row r="1383" spans="2:21" ht="18.75" customHeight="1" x14ac:dyDescent="0.25">
      <c r="B1383" s="15"/>
      <c r="C1383" s="119" t="s">
        <v>779</v>
      </c>
      <c r="D1383" s="120" t="s">
        <v>970</v>
      </c>
      <c r="E1383" s="132">
        <v>38.417520813124241</v>
      </c>
      <c r="F1383" s="125">
        <v>55.009145256300997</v>
      </c>
      <c r="G1383" s="125">
        <v>46.297817959102218</v>
      </c>
      <c r="H1383" s="125">
        <v>37.242374193124803</v>
      </c>
      <c r="I1383" s="125">
        <v>31.839209433512963</v>
      </c>
      <c r="J1383" s="125">
        <v>28.760077955931134</v>
      </c>
      <c r="K1383" s="125">
        <v>25.838031512352806</v>
      </c>
      <c r="L1383" s="125">
        <v>21.896785467407021</v>
      </c>
      <c r="M1383" s="125">
        <v>14.520235142549005</v>
      </c>
      <c r="N1383" s="131">
        <v>19.386967033226412</v>
      </c>
      <c r="O1383" s="94"/>
      <c r="P1383" s="14"/>
      <c r="Q1383" s="14"/>
      <c r="R1383" s="14"/>
      <c r="S1383" s="14"/>
      <c r="T1383" s="14"/>
      <c r="U1383" s="14"/>
    </row>
    <row r="1384" spans="2:21" ht="18.75" customHeight="1" x14ac:dyDescent="0.25">
      <c r="B1384" s="15"/>
      <c r="C1384" s="119" t="s">
        <v>580</v>
      </c>
      <c r="D1384" s="120" t="s">
        <v>581</v>
      </c>
      <c r="E1384" s="125">
        <v>832.40042846168342</v>
      </c>
      <c r="F1384" s="125">
        <v>757.92863832892556</v>
      </c>
      <c r="G1384" s="125">
        <v>795.0638771760199</v>
      </c>
      <c r="H1384" s="125">
        <v>837.73043478820239</v>
      </c>
      <c r="I1384" s="125">
        <v>865.44206372898282</v>
      </c>
      <c r="J1384" s="125">
        <v>882.07009695123088</v>
      </c>
      <c r="K1384" s="125">
        <v>898.45170389653424</v>
      </c>
      <c r="L1384" s="125">
        <v>921.53575493298456</v>
      </c>
      <c r="M1384" s="125">
        <v>968.08926764156911</v>
      </c>
      <c r="N1384" s="131">
        <v>936.86436462647794</v>
      </c>
      <c r="O1384" s="94"/>
      <c r="P1384" s="14"/>
      <c r="Q1384" s="14"/>
      <c r="R1384" s="14"/>
      <c r="S1384" s="14"/>
      <c r="T1384" s="14"/>
      <c r="U1384" s="14"/>
    </row>
    <row r="1385" spans="2:21" ht="18.75" customHeight="1" x14ac:dyDescent="0.25">
      <c r="B1385" s="15"/>
      <c r="C1385" s="119" t="s">
        <v>541</v>
      </c>
      <c r="D1385" s="120" t="s">
        <v>579</v>
      </c>
      <c r="E1385" s="125">
        <v>12.439294517766413</v>
      </c>
      <c r="F1385" s="125">
        <v>12.031224836103867</v>
      </c>
      <c r="G1385" s="125">
        <v>12.750662486232486</v>
      </c>
      <c r="H1385" s="125">
        <v>12.847556667139809</v>
      </c>
      <c r="I1385" s="125">
        <v>13.25014667759163</v>
      </c>
      <c r="J1385" s="125">
        <v>12.930230443016562</v>
      </c>
      <c r="K1385" s="125">
        <v>12.616789276152986</v>
      </c>
      <c r="L1385" s="125">
        <v>12.174035480957901</v>
      </c>
      <c r="M1385" s="125">
        <v>11.380660680637583</v>
      </c>
      <c r="N1385" s="131">
        <v>11.876562745359138</v>
      </c>
      <c r="O1385" s="94"/>
      <c r="P1385" s="14"/>
      <c r="Q1385" s="14"/>
      <c r="R1385" s="14"/>
      <c r="S1385" s="14"/>
      <c r="T1385" s="14"/>
      <c r="U1385" s="14"/>
    </row>
    <row r="1386" spans="2:21" ht="18.75" customHeight="1" x14ac:dyDescent="0.25">
      <c r="B1386" s="15"/>
      <c r="C1386" s="119" t="s">
        <v>544</v>
      </c>
      <c r="D1386" s="120" t="s">
        <v>579</v>
      </c>
      <c r="E1386" s="125">
        <v>1.8</v>
      </c>
      <c r="F1386" s="128"/>
      <c r="G1386" s="128"/>
      <c r="H1386" s="128"/>
      <c r="I1386" s="128"/>
      <c r="J1386" s="128"/>
      <c r="K1386" s="128"/>
      <c r="L1386" s="128"/>
      <c r="M1386" s="125">
        <v>10.57764705882353</v>
      </c>
      <c r="N1386" s="131">
        <v>5.2279988382224802</v>
      </c>
      <c r="O1386" s="94"/>
      <c r="P1386" s="14"/>
      <c r="Q1386" s="14"/>
      <c r="R1386" s="14"/>
      <c r="S1386" s="14"/>
      <c r="T1386" s="14"/>
      <c r="U1386" s="14"/>
    </row>
    <row r="1387" spans="2:21" ht="18.75" customHeight="1" x14ac:dyDescent="0.25">
      <c r="B1387" s="15"/>
      <c r="C1387" s="119" t="s">
        <v>780</v>
      </c>
      <c r="D1387" s="120" t="s">
        <v>783</v>
      </c>
      <c r="E1387" s="125">
        <v>12.168939577211079</v>
      </c>
      <c r="F1387" s="125">
        <v>10.864868193383455</v>
      </c>
      <c r="G1387" s="125">
        <v>11.263372026578613</v>
      </c>
      <c r="H1387" s="125">
        <v>11.61377286795474</v>
      </c>
      <c r="I1387" s="125">
        <v>11.798125801783803</v>
      </c>
      <c r="J1387" s="125">
        <v>11.892244680897482</v>
      </c>
      <c r="K1387" s="125">
        <v>11.970451095012134</v>
      </c>
      <c r="L1387" s="125">
        <v>12.050931656250482</v>
      </c>
      <c r="M1387" s="125">
        <v>12.088959041739216</v>
      </c>
      <c r="N1387" s="131">
        <v>12.082313953974039</v>
      </c>
      <c r="O1387" s="94"/>
      <c r="P1387" s="14"/>
      <c r="Q1387" s="14"/>
      <c r="R1387" s="14"/>
      <c r="S1387" s="14"/>
      <c r="T1387" s="14"/>
      <c r="U1387" s="14"/>
    </row>
    <row r="1388" spans="2:21" ht="18.75" customHeight="1" x14ac:dyDescent="0.25">
      <c r="B1388" s="15"/>
      <c r="C1388" s="122" t="s">
        <v>781</v>
      </c>
      <c r="D1388" s="120" t="s">
        <v>782</v>
      </c>
      <c r="E1388" s="125">
        <v>305</v>
      </c>
      <c r="F1388" s="134">
        <v>38</v>
      </c>
      <c r="G1388" s="134">
        <v>127</v>
      </c>
      <c r="H1388" s="134">
        <v>240</v>
      </c>
      <c r="I1388" s="134">
        <v>320</v>
      </c>
      <c r="J1388" s="134">
        <v>370</v>
      </c>
      <c r="K1388" s="134">
        <v>420</v>
      </c>
      <c r="L1388" s="134">
        <v>490</v>
      </c>
      <c r="M1388" s="134">
        <v>620</v>
      </c>
      <c r="N1388" s="135">
        <v>535</v>
      </c>
      <c r="O1388" s="94"/>
      <c r="P1388" s="14"/>
      <c r="Q1388" s="14"/>
      <c r="R1388" s="14"/>
      <c r="S1388" s="14"/>
      <c r="T1388" s="14"/>
      <c r="U1388" s="14"/>
    </row>
    <row r="1389" spans="2:21" ht="18.75" customHeight="1" x14ac:dyDescent="0.25">
      <c r="B1389" s="15"/>
      <c r="C1389" s="122"/>
      <c r="D1389" s="210"/>
      <c r="E1389" s="210"/>
      <c r="F1389" s="210"/>
      <c r="G1389" s="210"/>
      <c r="H1389" s="210"/>
      <c r="I1389" s="210"/>
      <c r="J1389" s="210"/>
      <c r="K1389" s="210"/>
      <c r="L1389" s="210"/>
      <c r="M1389" s="210"/>
      <c r="N1389" s="115"/>
      <c r="O1389" s="94"/>
      <c r="P1389" s="14"/>
      <c r="Q1389" s="14"/>
      <c r="R1389" s="14"/>
      <c r="S1389" s="14"/>
      <c r="T1389" s="14"/>
      <c r="U1389" s="14"/>
    </row>
    <row r="1390" spans="2:21" ht="18.75" customHeight="1" x14ac:dyDescent="0.25">
      <c r="B1390" s="15"/>
      <c r="C1390" s="2199" t="s">
        <v>2108</v>
      </c>
      <c r="D1390" s="2200"/>
      <c r="E1390" s="2200"/>
      <c r="F1390" s="2200"/>
      <c r="G1390" s="2200"/>
      <c r="H1390" s="2200"/>
      <c r="I1390" s="2200"/>
      <c r="J1390" s="2200"/>
      <c r="K1390" s="2200"/>
      <c r="L1390" s="2200"/>
      <c r="M1390" s="2200"/>
      <c r="N1390" s="2201"/>
      <c r="O1390" s="94"/>
      <c r="P1390" s="14"/>
      <c r="Q1390" s="14"/>
      <c r="R1390" s="14"/>
      <c r="S1390" s="14"/>
      <c r="T1390" s="14"/>
      <c r="U1390" s="14"/>
    </row>
    <row r="1391" spans="2:21" ht="18.75" customHeight="1" x14ac:dyDescent="0.25">
      <c r="B1391" s="15"/>
      <c r="C1391" s="2202" t="s">
        <v>1088</v>
      </c>
      <c r="D1391" s="210">
        <v>62</v>
      </c>
      <c r="E1391" s="104" t="s">
        <v>679</v>
      </c>
      <c r="F1391" s="210">
        <v>80</v>
      </c>
      <c r="G1391" s="210">
        <v>180</v>
      </c>
      <c r="H1391" s="210">
        <v>290</v>
      </c>
      <c r="I1391" s="210">
        <v>340</v>
      </c>
      <c r="J1391" s="210">
        <v>400</v>
      </c>
      <c r="K1391" s="210">
        <v>450</v>
      </c>
      <c r="L1391" s="210">
        <v>525</v>
      </c>
      <c r="M1391" s="210">
        <v>525</v>
      </c>
      <c r="N1391" s="115">
        <v>400</v>
      </c>
      <c r="O1391" s="94"/>
      <c r="P1391" s="14"/>
      <c r="Q1391" s="14"/>
      <c r="R1391" s="14"/>
      <c r="S1391" s="14"/>
      <c r="T1391" s="14"/>
      <c r="U1391" s="14"/>
    </row>
    <row r="1392" spans="2:21" ht="18.75" customHeight="1" x14ac:dyDescent="0.25">
      <c r="B1392" s="15"/>
      <c r="C1392" s="119" t="s">
        <v>568</v>
      </c>
      <c r="D1392" s="120" t="s">
        <v>623</v>
      </c>
      <c r="E1392" s="110" t="s">
        <v>608</v>
      </c>
      <c r="F1392" s="110" t="s">
        <v>957</v>
      </c>
      <c r="G1392" s="110" t="s">
        <v>572</v>
      </c>
      <c r="H1392" s="110" t="s">
        <v>530</v>
      </c>
      <c r="I1392" s="110" t="s">
        <v>573</v>
      </c>
      <c r="J1392" s="110" t="s">
        <v>574</v>
      </c>
      <c r="K1392" s="110" t="s">
        <v>575</v>
      </c>
      <c r="L1392" s="110" t="s">
        <v>576</v>
      </c>
      <c r="M1392" s="110" t="s">
        <v>577</v>
      </c>
      <c r="N1392" s="2203" t="s">
        <v>609</v>
      </c>
      <c r="O1392" s="94"/>
      <c r="P1392" s="14"/>
      <c r="Q1392" s="14"/>
      <c r="R1392" s="14"/>
      <c r="S1392" s="14"/>
      <c r="T1392" s="14"/>
      <c r="U1392" s="14"/>
    </row>
    <row r="1393" spans="2:21" ht="18.75" customHeight="1" x14ac:dyDescent="0.25">
      <c r="B1393" s="15"/>
      <c r="C1393" s="119" t="s">
        <v>582</v>
      </c>
      <c r="D1393" s="120" t="s">
        <v>566</v>
      </c>
      <c r="E1393" s="121">
        <v>96947.748858264502</v>
      </c>
      <c r="F1393" s="129">
        <v>6650.259309843952</v>
      </c>
      <c r="G1393" s="129">
        <v>17248.160836268537</v>
      </c>
      <c r="H1393" s="129">
        <v>20746.495470211546</v>
      </c>
      <c r="I1393" s="129">
        <v>6892.3239221978347</v>
      </c>
      <c r="J1393" s="129">
        <v>9751.0082659608797</v>
      </c>
      <c r="K1393" s="129">
        <v>7627.9625225056079</v>
      </c>
      <c r="L1393" s="129">
        <v>10541.729211378364</v>
      </c>
      <c r="M1393" s="129">
        <v>17489.809319897766</v>
      </c>
      <c r="N1393" s="130">
        <v>35807.93024703487</v>
      </c>
      <c r="O1393" s="94"/>
      <c r="P1393" s="14"/>
      <c r="Q1393" s="14"/>
      <c r="R1393" s="14"/>
      <c r="S1393" s="14"/>
      <c r="T1393" s="14"/>
      <c r="U1393" s="14"/>
    </row>
    <row r="1394" spans="2:21" ht="18.75" customHeight="1" x14ac:dyDescent="0.25">
      <c r="B1394" s="15"/>
      <c r="C1394" s="119" t="s">
        <v>582</v>
      </c>
      <c r="D1394" s="120" t="s">
        <v>628</v>
      </c>
      <c r="E1394" s="145">
        <v>15414.692068464055</v>
      </c>
      <c r="F1394" s="129">
        <v>1057.3912302651884</v>
      </c>
      <c r="G1394" s="129">
        <v>2742.4575729666972</v>
      </c>
      <c r="H1394" s="129">
        <v>3298.6927797636358</v>
      </c>
      <c r="I1394" s="129">
        <v>1095.8795036294557</v>
      </c>
      <c r="J1394" s="129">
        <v>1550.41031428778</v>
      </c>
      <c r="K1394" s="129">
        <v>1212.8460410783916</v>
      </c>
      <c r="L1394" s="129">
        <v>1676.1349446091599</v>
      </c>
      <c r="M1394" s="129">
        <v>2780.8796818637447</v>
      </c>
      <c r="N1394" s="130">
        <v>5693.4609092785449</v>
      </c>
      <c r="O1394" s="94"/>
      <c r="P1394" s="14"/>
      <c r="Q1394" s="14"/>
      <c r="R1394" s="14"/>
      <c r="S1394" s="14"/>
      <c r="T1394" s="14"/>
      <c r="U1394" s="14"/>
    </row>
    <row r="1395" spans="2:21" ht="18.75" customHeight="1" x14ac:dyDescent="0.25">
      <c r="B1395" s="15"/>
      <c r="C1395" s="119" t="s">
        <v>620</v>
      </c>
      <c r="D1395" s="120" t="s">
        <v>622</v>
      </c>
      <c r="E1395" s="129">
        <v>13505786.285074582</v>
      </c>
      <c r="F1395" s="129">
        <v>803594.28396193765</v>
      </c>
      <c r="G1395" s="129">
        <v>2174431.591897008</v>
      </c>
      <c r="H1395" s="129">
        <v>2782191.9747253638</v>
      </c>
      <c r="I1395" s="129">
        <v>954859.09035477298</v>
      </c>
      <c r="J1395" s="129">
        <v>1377590.2010776072</v>
      </c>
      <c r="K1395" s="129">
        <v>1099371.003605071</v>
      </c>
      <c r="L1395" s="129">
        <v>1553165.4227835771</v>
      </c>
      <c r="M1395" s="129">
        <v>2701157.2570149167</v>
      </c>
      <c r="N1395" s="130">
        <v>5353693.6834035646</v>
      </c>
      <c r="O1395" s="94"/>
      <c r="P1395" s="14"/>
      <c r="Q1395" s="14"/>
      <c r="R1395" s="14"/>
      <c r="S1395" s="14"/>
      <c r="T1395" s="14"/>
      <c r="U1395" s="14"/>
    </row>
    <row r="1396" spans="2:21" ht="18.75" customHeight="1" x14ac:dyDescent="0.25">
      <c r="B1396" s="15"/>
      <c r="C1396" s="122" t="s">
        <v>776</v>
      </c>
      <c r="D1396" s="120" t="s">
        <v>579</v>
      </c>
      <c r="E1396" s="125">
        <v>0.47789702795069061</v>
      </c>
      <c r="F1396" s="125">
        <v>0</v>
      </c>
      <c r="G1396" s="125">
        <v>0</v>
      </c>
      <c r="H1396" s="125">
        <v>0.19916849647926332</v>
      </c>
      <c r="I1396" s="125">
        <v>0.35452948543173235</v>
      </c>
      <c r="J1396" s="125">
        <v>0.47314717012102953</v>
      </c>
      <c r="K1396" s="125">
        <v>0.61420629717394837</v>
      </c>
      <c r="L1396" s="125">
        <v>0.79096604201614062</v>
      </c>
      <c r="M1396" s="125">
        <v>1.1129229214088916</v>
      </c>
      <c r="N1396" s="131">
        <v>0.91710916171441448</v>
      </c>
      <c r="O1396" s="94"/>
      <c r="P1396" s="14"/>
      <c r="Q1396" s="14"/>
      <c r="R1396" s="14"/>
      <c r="S1396" s="14"/>
      <c r="T1396" s="14"/>
      <c r="U1396" s="14"/>
    </row>
    <row r="1397" spans="2:21" ht="18.75" customHeight="1" x14ac:dyDescent="0.25">
      <c r="B1397" s="15"/>
      <c r="C1397" s="122" t="s">
        <v>777</v>
      </c>
      <c r="D1397" s="210" t="s">
        <v>778</v>
      </c>
      <c r="E1397" s="125">
        <v>864.46040403696099</v>
      </c>
      <c r="F1397" s="132">
        <v>0</v>
      </c>
      <c r="G1397" s="132">
        <v>0</v>
      </c>
      <c r="H1397" s="132">
        <v>74.523060515952693</v>
      </c>
      <c r="I1397" s="132">
        <v>314.87434756279526</v>
      </c>
      <c r="J1397" s="132">
        <v>559.46227344900717</v>
      </c>
      <c r="K1397" s="132">
        <v>916.20627116796311</v>
      </c>
      <c r="L1397" s="132">
        <v>1468.7039657409673</v>
      </c>
      <c r="M1397" s="125">
        <v>2631.508693864515</v>
      </c>
      <c r="N1397" s="133">
        <v>1941.9321021851322</v>
      </c>
      <c r="O1397" s="94"/>
      <c r="P1397" s="14"/>
      <c r="Q1397" s="14"/>
      <c r="R1397" s="14"/>
      <c r="S1397" s="14"/>
      <c r="T1397" s="14"/>
      <c r="U1397" s="14"/>
    </row>
    <row r="1398" spans="2:21" ht="18.75" customHeight="1" x14ac:dyDescent="0.25">
      <c r="B1398" s="15"/>
      <c r="C1398" s="119" t="s">
        <v>779</v>
      </c>
      <c r="D1398" s="120" t="s">
        <v>970</v>
      </c>
      <c r="E1398" s="132">
        <v>35</v>
      </c>
      <c r="F1398" s="125">
        <v>54.506154497992554</v>
      </c>
      <c r="G1398" s="125">
        <v>46.78820696823913</v>
      </c>
      <c r="H1398" s="125">
        <v>36.103554686291183</v>
      </c>
      <c r="I1398" s="125">
        <v>30.737769303210264</v>
      </c>
      <c r="J1398" s="125">
        <v>27.594458560100009</v>
      </c>
      <c r="K1398" s="125">
        <v>24.451603963798753</v>
      </c>
      <c r="L1398" s="125">
        <v>21.052635854661148</v>
      </c>
      <c r="M1398" s="125">
        <v>14.032764486392146</v>
      </c>
      <c r="N1398" s="131">
        <v>18.831943870827999</v>
      </c>
      <c r="O1398" s="94"/>
      <c r="P1398" s="14"/>
      <c r="Q1398" s="14"/>
      <c r="R1398" s="14"/>
      <c r="S1398" s="14"/>
      <c r="T1398" s="14"/>
      <c r="U1398" s="14"/>
    </row>
    <row r="1399" spans="2:21" ht="18.75" customHeight="1" x14ac:dyDescent="0.25">
      <c r="B1399" s="15"/>
      <c r="C1399" s="119" t="s">
        <v>580</v>
      </c>
      <c r="D1399" s="120" t="s">
        <v>581</v>
      </c>
      <c r="E1399" s="125">
        <v>849.42052107387315</v>
      </c>
      <c r="F1399" s="125">
        <v>759.97820008437202</v>
      </c>
      <c r="G1399" s="125">
        <v>792.87702144641821</v>
      </c>
      <c r="H1399" s="125">
        <v>843.42257993626151</v>
      </c>
      <c r="I1399" s="125">
        <v>871.3175921188091</v>
      </c>
      <c r="J1399" s="125">
        <v>888.53266027866823</v>
      </c>
      <c r="K1399" s="125">
        <v>906.43904203007889</v>
      </c>
      <c r="L1399" s="125">
        <v>926.63507063015334</v>
      </c>
      <c r="M1399" s="125">
        <v>971.33194026021363</v>
      </c>
      <c r="N1399" s="131">
        <v>940.32325306365635</v>
      </c>
      <c r="O1399" s="94"/>
      <c r="P1399" s="14"/>
      <c r="Q1399" s="14"/>
      <c r="R1399" s="14"/>
      <c r="S1399" s="14"/>
      <c r="T1399" s="14"/>
      <c r="U1399" s="14"/>
    </row>
    <row r="1400" spans="2:21" ht="18.75" customHeight="1" x14ac:dyDescent="0.25">
      <c r="B1400" s="15"/>
      <c r="C1400" s="119" t="s">
        <v>541</v>
      </c>
      <c r="D1400" s="120" t="s">
        <v>579</v>
      </c>
      <c r="E1400" s="125">
        <v>12.287516379248542</v>
      </c>
      <c r="F1400" s="125">
        <v>12.295004014292182</v>
      </c>
      <c r="G1400" s="125">
        <v>12.705695139797445</v>
      </c>
      <c r="H1400" s="125">
        <v>12.707424112202343</v>
      </c>
      <c r="I1400" s="125">
        <v>13.084061988439878</v>
      </c>
      <c r="J1400" s="125">
        <v>12.748720893264828</v>
      </c>
      <c r="K1400" s="125">
        <v>12.406914923910485</v>
      </c>
      <c r="L1400" s="125">
        <v>12.028346464726233</v>
      </c>
      <c r="M1400" s="125">
        <v>11.370109619157716</v>
      </c>
      <c r="N1400" s="131">
        <v>11.773977401819813</v>
      </c>
      <c r="O1400" s="94"/>
      <c r="P1400" s="14"/>
      <c r="Q1400" s="14"/>
      <c r="R1400" s="14"/>
      <c r="S1400" s="14"/>
      <c r="T1400" s="14"/>
      <c r="U1400" s="14"/>
    </row>
    <row r="1401" spans="2:21" ht="18.75" customHeight="1" x14ac:dyDescent="0.25">
      <c r="B1401" s="15"/>
      <c r="C1401" s="119" t="s">
        <v>544</v>
      </c>
      <c r="D1401" s="120" t="s">
        <v>579</v>
      </c>
      <c r="E1401" s="125">
        <v>2.2000000000000002</v>
      </c>
      <c r="F1401" s="128"/>
      <c r="G1401" s="128"/>
      <c r="H1401" s="128"/>
      <c r="I1401" s="128"/>
      <c r="J1401" s="128"/>
      <c r="K1401" s="128"/>
      <c r="L1401" s="128"/>
      <c r="M1401" s="125">
        <v>10.989000000000001</v>
      </c>
      <c r="N1401" s="131">
        <v>5.5499495459132193</v>
      </c>
      <c r="O1401" s="94"/>
      <c r="P1401" s="14"/>
      <c r="Q1401" s="14"/>
      <c r="R1401" s="14"/>
      <c r="S1401" s="14"/>
      <c r="T1401" s="14"/>
      <c r="U1401" s="14"/>
    </row>
    <row r="1402" spans="2:21" ht="18.75" customHeight="1" x14ac:dyDescent="0.25">
      <c r="B1402" s="15"/>
      <c r="C1402" s="119" t="s">
        <v>780</v>
      </c>
      <c r="D1402" s="120" t="s">
        <v>783</v>
      </c>
      <c r="E1402" s="125">
        <v>12.126967212493593</v>
      </c>
      <c r="F1402" s="125">
        <v>10.973110758104204</v>
      </c>
      <c r="G1402" s="125">
        <v>11.228190503712183</v>
      </c>
      <c r="H1402" s="125">
        <v>11.535393082478777</v>
      </c>
      <c r="I1402" s="125">
        <v>11.685547415808983</v>
      </c>
      <c r="J1402" s="125">
        <v>11.775075650033642</v>
      </c>
      <c r="K1402" s="125">
        <v>11.864970156886626</v>
      </c>
      <c r="L1402" s="125">
        <v>11.958383883657362</v>
      </c>
      <c r="M1402" s="125">
        <v>12.093401445992592</v>
      </c>
      <c r="N1402" s="131">
        <v>12.012992969116414</v>
      </c>
      <c r="O1402" s="94"/>
      <c r="P1402" s="14"/>
      <c r="Q1402" s="14"/>
      <c r="R1402" s="14"/>
      <c r="S1402" s="14"/>
      <c r="T1402" s="14"/>
      <c r="U1402" s="14"/>
    </row>
    <row r="1403" spans="2:21" ht="18.75" customHeight="1" x14ac:dyDescent="0.25">
      <c r="B1403" s="15"/>
      <c r="C1403" s="122" t="s">
        <v>781</v>
      </c>
      <c r="D1403" s="120" t="s">
        <v>782</v>
      </c>
      <c r="E1403" s="125">
        <v>335</v>
      </c>
      <c r="F1403" s="134">
        <v>50</v>
      </c>
      <c r="G1403" s="134">
        <v>120</v>
      </c>
      <c r="H1403" s="134">
        <v>240</v>
      </c>
      <c r="I1403" s="134">
        <v>315</v>
      </c>
      <c r="J1403" s="134">
        <v>365</v>
      </c>
      <c r="K1403" s="134">
        <v>420</v>
      </c>
      <c r="L1403" s="134">
        <v>485</v>
      </c>
      <c r="M1403" s="134">
        <v>630</v>
      </c>
      <c r="N1403" s="135">
        <v>530</v>
      </c>
      <c r="O1403" s="94"/>
      <c r="P1403" s="14"/>
      <c r="Q1403" s="14"/>
      <c r="R1403" s="14"/>
      <c r="S1403" s="14"/>
      <c r="T1403" s="14"/>
      <c r="U1403" s="14"/>
    </row>
    <row r="1404" spans="2:21" ht="18.75" customHeight="1" x14ac:dyDescent="0.25">
      <c r="B1404" s="15"/>
      <c r="C1404" s="122"/>
      <c r="D1404" s="210"/>
      <c r="E1404" s="210"/>
      <c r="F1404" s="210"/>
      <c r="G1404" s="210"/>
      <c r="H1404" s="210"/>
      <c r="I1404" s="210"/>
      <c r="J1404" s="210"/>
      <c r="K1404" s="210"/>
      <c r="L1404" s="210"/>
      <c r="M1404" s="210"/>
      <c r="N1404" s="115"/>
      <c r="O1404" s="94"/>
      <c r="P1404" s="14"/>
      <c r="Q1404" s="14"/>
      <c r="R1404" s="14"/>
      <c r="S1404" s="14"/>
      <c r="T1404" s="14"/>
      <c r="U1404" s="14"/>
    </row>
    <row r="1405" spans="2:21" ht="18.75" customHeight="1" x14ac:dyDescent="0.25">
      <c r="B1405" s="15"/>
      <c r="C1405" s="2199" t="s">
        <v>2109</v>
      </c>
      <c r="D1405" s="2200"/>
      <c r="E1405" s="2200"/>
      <c r="F1405" s="2200"/>
      <c r="G1405" s="2200"/>
      <c r="H1405" s="2200"/>
      <c r="I1405" s="2200"/>
      <c r="J1405" s="2200"/>
      <c r="K1405" s="2200"/>
      <c r="L1405" s="2200"/>
      <c r="M1405" s="2200"/>
      <c r="N1405" s="2201"/>
      <c r="O1405" s="94"/>
      <c r="P1405" s="14"/>
      <c r="Q1405" s="14"/>
      <c r="R1405" s="14"/>
      <c r="S1405" s="14"/>
      <c r="T1405" s="14"/>
      <c r="U1405" s="14"/>
    </row>
    <row r="1406" spans="2:21" ht="18.75" customHeight="1" x14ac:dyDescent="0.25">
      <c r="B1406" s="15"/>
      <c r="C1406" s="2202" t="s">
        <v>1088</v>
      </c>
      <c r="D1406" s="210">
        <v>49</v>
      </c>
      <c r="E1406" s="104" t="s">
        <v>679</v>
      </c>
      <c r="F1406" s="210">
        <v>80</v>
      </c>
      <c r="G1406" s="210">
        <v>180</v>
      </c>
      <c r="H1406" s="210">
        <v>290</v>
      </c>
      <c r="I1406" s="210">
        <v>340</v>
      </c>
      <c r="J1406" s="210">
        <v>400</v>
      </c>
      <c r="K1406" s="210">
        <v>450</v>
      </c>
      <c r="L1406" s="210">
        <v>525</v>
      </c>
      <c r="M1406" s="210">
        <v>525</v>
      </c>
      <c r="N1406" s="115">
        <v>400</v>
      </c>
      <c r="O1406" s="94"/>
      <c r="P1406" s="14"/>
      <c r="Q1406" s="14"/>
      <c r="R1406" s="14"/>
      <c r="S1406" s="14"/>
      <c r="T1406" s="14"/>
      <c r="U1406" s="14"/>
    </row>
    <row r="1407" spans="2:21" ht="18.75" customHeight="1" x14ac:dyDescent="0.25">
      <c r="B1407" s="15"/>
      <c r="C1407" s="119" t="s">
        <v>568</v>
      </c>
      <c r="D1407" s="120" t="s">
        <v>623</v>
      </c>
      <c r="E1407" s="110" t="s">
        <v>608</v>
      </c>
      <c r="F1407" s="110" t="s">
        <v>957</v>
      </c>
      <c r="G1407" s="110" t="s">
        <v>572</v>
      </c>
      <c r="H1407" s="110" t="s">
        <v>530</v>
      </c>
      <c r="I1407" s="110" t="s">
        <v>573</v>
      </c>
      <c r="J1407" s="110" t="s">
        <v>574</v>
      </c>
      <c r="K1407" s="110" t="s">
        <v>575</v>
      </c>
      <c r="L1407" s="110" t="s">
        <v>576</v>
      </c>
      <c r="M1407" s="110" t="s">
        <v>577</v>
      </c>
      <c r="N1407" s="2203" t="s">
        <v>609</v>
      </c>
      <c r="O1407" s="94"/>
      <c r="P1407" s="14"/>
      <c r="Q1407" s="14"/>
      <c r="R1407" s="14"/>
      <c r="S1407" s="14"/>
      <c r="T1407" s="14"/>
      <c r="U1407" s="14"/>
    </row>
    <row r="1408" spans="2:21" ht="18.75" customHeight="1" x14ac:dyDescent="0.25">
      <c r="B1408" s="15"/>
      <c r="C1408" s="119" t="s">
        <v>582</v>
      </c>
      <c r="D1408" s="120" t="s">
        <v>566</v>
      </c>
      <c r="E1408" s="121">
        <v>96186.764126980095</v>
      </c>
      <c r="F1408" s="129">
        <v>10868.844131999616</v>
      </c>
      <c r="G1408" s="129">
        <v>21053.290268975627</v>
      </c>
      <c r="H1408" s="129">
        <v>19693.030732239506</v>
      </c>
      <c r="I1408" s="129">
        <v>8188.2079002719211</v>
      </c>
      <c r="J1408" s="129">
        <v>8748.7050119079486</v>
      </c>
      <c r="K1408" s="129">
        <v>6441.241870681436</v>
      </c>
      <c r="L1408" s="129">
        <v>7816.0817363519263</v>
      </c>
      <c r="M1408" s="129">
        <v>13377.362474552117</v>
      </c>
      <c r="N1408" s="130">
        <v>27880.853036436787</v>
      </c>
      <c r="O1408" s="94"/>
      <c r="P1408" s="14"/>
      <c r="Q1408" s="14"/>
      <c r="R1408" s="14"/>
      <c r="S1408" s="14"/>
      <c r="T1408" s="14"/>
      <c r="U1408" s="14"/>
    </row>
    <row r="1409" spans="2:21" ht="18.75" customHeight="1" x14ac:dyDescent="0.25">
      <c r="B1409" s="15"/>
      <c r="C1409" s="119" t="s">
        <v>582</v>
      </c>
      <c r="D1409" s="120" t="s">
        <v>628</v>
      </c>
      <c r="E1409" s="145">
        <v>15293.695496189835</v>
      </c>
      <c r="F1409" s="129">
        <v>1728.1462169879389</v>
      </c>
      <c r="G1409" s="129">
        <v>3347.4731527671247</v>
      </c>
      <c r="H1409" s="129">
        <v>3131.1918864260815</v>
      </c>
      <c r="I1409" s="129">
        <v>1301.9250561432355</v>
      </c>
      <c r="J1409" s="129">
        <v>1391.0440968933638</v>
      </c>
      <c r="K1409" s="129">
        <v>1024.1574574383483</v>
      </c>
      <c r="L1409" s="129">
        <v>1242.7569960799563</v>
      </c>
      <c r="M1409" s="129">
        <v>2127.0006334537866</v>
      </c>
      <c r="N1409" s="130">
        <v>4433.0556327934491</v>
      </c>
      <c r="O1409" s="94"/>
      <c r="P1409" s="14"/>
      <c r="Q1409" s="14"/>
      <c r="R1409" s="14"/>
      <c r="S1409" s="14"/>
      <c r="T1409" s="14"/>
      <c r="U1409" s="14"/>
    </row>
    <row r="1410" spans="2:21" ht="18.75" customHeight="1" x14ac:dyDescent="0.25">
      <c r="B1410" s="15"/>
      <c r="C1410" s="119" t="s">
        <v>620</v>
      </c>
      <c r="D1410" s="120" t="s">
        <v>622</v>
      </c>
      <c r="E1410" s="129">
        <v>13212914.322180586</v>
      </c>
      <c r="F1410" s="129">
        <v>1308078.5178958781</v>
      </c>
      <c r="G1410" s="129">
        <v>2669008.6930804783</v>
      </c>
      <c r="H1410" s="129">
        <v>2642582.8644361175</v>
      </c>
      <c r="I1410" s="129">
        <v>1136310.6317075302</v>
      </c>
      <c r="J1410" s="129">
        <v>1242013.9462849752</v>
      </c>
      <c r="K1410" s="129">
        <v>938116.91687482153</v>
      </c>
      <c r="L1410" s="129">
        <v>1162736.4603518916</v>
      </c>
      <c r="M1410" s="129">
        <v>2114066.2915488938</v>
      </c>
      <c r="N1410" s="130">
        <v>4214919.668775606</v>
      </c>
      <c r="O1410" s="94"/>
      <c r="P1410" s="14"/>
      <c r="Q1410" s="14"/>
      <c r="R1410" s="14"/>
      <c r="S1410" s="14"/>
      <c r="T1410" s="14"/>
      <c r="U1410" s="14"/>
    </row>
    <row r="1411" spans="2:21" ht="18.75" customHeight="1" x14ac:dyDescent="0.25">
      <c r="B1411" s="15"/>
      <c r="C1411" s="122" t="s">
        <v>776</v>
      </c>
      <c r="D1411" s="120" t="s">
        <v>579</v>
      </c>
      <c r="E1411" s="125">
        <v>0.84880108420814893</v>
      </c>
      <c r="F1411" s="125">
        <v>0</v>
      </c>
      <c r="G1411" s="125">
        <v>0</v>
      </c>
      <c r="H1411" s="125">
        <v>0.48117064607215176</v>
      </c>
      <c r="I1411" s="125">
        <v>0.76314788068682693</v>
      </c>
      <c r="J1411" s="125">
        <v>0.99870142661716799</v>
      </c>
      <c r="K1411" s="125">
        <v>1.3120193014476624</v>
      </c>
      <c r="L1411" s="125">
        <v>1.6107369570421917</v>
      </c>
      <c r="M1411" s="125">
        <v>2.23850050331338</v>
      </c>
      <c r="N1411" s="131">
        <v>1.8591169377825636</v>
      </c>
      <c r="O1411" s="94"/>
      <c r="P1411" s="14"/>
      <c r="Q1411" s="14"/>
      <c r="R1411" s="14"/>
      <c r="S1411" s="14"/>
      <c r="T1411" s="14"/>
      <c r="U1411" s="14"/>
    </row>
    <row r="1412" spans="2:21" ht="18.75" customHeight="1" x14ac:dyDescent="0.25">
      <c r="B1412" s="15"/>
      <c r="C1412" s="122" t="s">
        <v>777</v>
      </c>
      <c r="D1412" s="210" t="s">
        <v>778</v>
      </c>
      <c r="E1412" s="125">
        <v>870.48058539827878</v>
      </c>
      <c r="F1412" s="132">
        <v>0</v>
      </c>
      <c r="G1412" s="132">
        <v>78.150720764203243</v>
      </c>
      <c r="H1412" s="132">
        <v>140.53074090166047</v>
      </c>
      <c r="I1412" s="132">
        <v>295.77301358973409</v>
      </c>
      <c r="J1412" s="132">
        <v>544.28317652496958</v>
      </c>
      <c r="K1412" s="132">
        <v>1046.4732508187046</v>
      </c>
      <c r="L1412" s="132">
        <v>1695.8990862517594</v>
      </c>
      <c r="M1412" s="125">
        <v>3290.3135841451895</v>
      </c>
      <c r="N1412" s="133">
        <v>2351.0623632022362</v>
      </c>
      <c r="O1412" s="94"/>
      <c r="P1412" s="14"/>
      <c r="Q1412" s="14"/>
      <c r="R1412" s="14"/>
      <c r="S1412" s="14"/>
      <c r="T1412" s="14"/>
      <c r="U1412" s="14"/>
    </row>
    <row r="1413" spans="2:21" ht="18.75" customHeight="1" x14ac:dyDescent="0.25">
      <c r="B1413" s="15"/>
      <c r="C1413" s="119" t="s">
        <v>779</v>
      </c>
      <c r="D1413" s="120" t="s">
        <v>970</v>
      </c>
      <c r="E1413" s="132">
        <v>38.70396958304076</v>
      </c>
      <c r="F1413" s="125">
        <v>55.256239524056276</v>
      </c>
      <c r="G1413" s="125">
        <v>45.79462249560757</v>
      </c>
      <c r="H1413" s="125">
        <v>35.997958224515088</v>
      </c>
      <c r="I1413" s="125">
        <v>30.46357866351871</v>
      </c>
      <c r="J1413" s="125">
        <v>26.822585708452429</v>
      </c>
      <c r="K1413" s="125">
        <v>22.82568490908092</v>
      </c>
      <c r="L1413" s="125">
        <v>19.589183639193401</v>
      </c>
      <c r="M1413" s="125">
        <v>10.725499174214377</v>
      </c>
      <c r="N1413" s="131">
        <v>17.176499927423791</v>
      </c>
      <c r="O1413" s="94"/>
      <c r="P1413" s="14"/>
      <c r="Q1413" s="14"/>
      <c r="R1413" s="14"/>
      <c r="S1413" s="14"/>
      <c r="T1413" s="14"/>
      <c r="U1413" s="14"/>
    </row>
    <row r="1414" spans="2:21" ht="18.75" customHeight="1" x14ac:dyDescent="0.25">
      <c r="B1414" s="15"/>
      <c r="C1414" s="119" t="s">
        <v>580</v>
      </c>
      <c r="D1414" s="120" t="s">
        <v>581</v>
      </c>
      <c r="E1414" s="125">
        <v>831.00090076607455</v>
      </c>
      <c r="F1414" s="125">
        <v>756.92583476864877</v>
      </c>
      <c r="G1414" s="125">
        <v>797.32041790214009</v>
      </c>
      <c r="H1414" s="125">
        <v>843.95430247883701</v>
      </c>
      <c r="I1414" s="125">
        <v>872.79265910565243</v>
      </c>
      <c r="J1414" s="125">
        <v>892.86453898821787</v>
      </c>
      <c r="K1414" s="125">
        <v>915.98895273512562</v>
      </c>
      <c r="L1414" s="125">
        <v>935.61047253769289</v>
      </c>
      <c r="M1414" s="125">
        <v>993.91897599772199</v>
      </c>
      <c r="N1414" s="131">
        <v>950.79331682549014</v>
      </c>
      <c r="O1414" s="94"/>
      <c r="P1414" s="14"/>
      <c r="Q1414" s="14"/>
      <c r="R1414" s="14"/>
      <c r="S1414" s="14"/>
      <c r="T1414" s="14"/>
      <c r="U1414" s="14"/>
    </row>
    <row r="1415" spans="2:21" ht="18.75" customHeight="1" x14ac:dyDescent="0.25">
      <c r="B1415" s="15"/>
      <c r="C1415" s="119" t="s">
        <v>541</v>
      </c>
      <c r="D1415" s="120" t="s">
        <v>579</v>
      </c>
      <c r="E1415" s="125">
        <v>12.267829708431339</v>
      </c>
      <c r="F1415" s="125">
        <v>12.035968352286481</v>
      </c>
      <c r="G1415" s="125">
        <v>12.685751471807922</v>
      </c>
      <c r="H1415" s="125">
        <v>12.6944222745253</v>
      </c>
      <c r="I1415" s="125">
        <v>13.045303302729817</v>
      </c>
      <c r="J1415" s="125">
        <v>12.644256960565439</v>
      </c>
      <c r="K1415" s="125">
        <v>12.184062599563525</v>
      </c>
      <c r="L1415" s="125">
        <v>11.792509865603183</v>
      </c>
      <c r="M1415" s="125">
        <v>11.009981489216955</v>
      </c>
      <c r="N1415" s="131">
        <v>11.487167244566784</v>
      </c>
      <c r="O1415" s="94"/>
      <c r="P1415" s="14"/>
      <c r="Q1415" s="14"/>
      <c r="R1415" s="14"/>
      <c r="S1415" s="14"/>
      <c r="T1415" s="14"/>
      <c r="U1415" s="14"/>
    </row>
    <row r="1416" spans="2:21" ht="18.75" customHeight="1" x14ac:dyDescent="0.25">
      <c r="B1416" s="15"/>
      <c r="C1416" s="119" t="s">
        <v>544</v>
      </c>
      <c r="D1416" s="120" t="s">
        <v>579</v>
      </c>
      <c r="E1416" s="125">
        <v>1.8</v>
      </c>
      <c r="F1416" s="128"/>
      <c r="G1416" s="128"/>
      <c r="H1416" s="128"/>
      <c r="I1416" s="128"/>
      <c r="J1416" s="128"/>
      <c r="K1416" s="128"/>
      <c r="L1416" s="128"/>
      <c r="M1416" s="125">
        <v>11.23875</v>
      </c>
      <c r="N1416" s="131">
        <v>5.6426332288401273</v>
      </c>
      <c r="O1416" s="94"/>
      <c r="P1416" s="14"/>
      <c r="Q1416" s="14"/>
      <c r="R1416" s="14"/>
      <c r="S1416" s="14"/>
      <c r="T1416" s="14"/>
      <c r="U1416" s="14"/>
    </row>
    <row r="1417" spans="2:21" ht="18.75" customHeight="1" x14ac:dyDescent="0.25">
      <c r="B1417" s="15"/>
      <c r="C1417" s="119" t="s">
        <v>780</v>
      </c>
      <c r="D1417" s="120" t="s">
        <v>783</v>
      </c>
      <c r="E1417" s="125">
        <v>12.083111304118768</v>
      </c>
      <c r="F1417" s="125">
        <v>10.867594971901299</v>
      </c>
      <c r="G1417" s="125">
        <v>11.23149493285224</v>
      </c>
      <c r="H1417" s="125">
        <v>11.528125356582471</v>
      </c>
      <c r="I1417" s="125">
        <v>11.665798206146846</v>
      </c>
      <c r="J1417" s="125">
        <v>11.74237912385083</v>
      </c>
      <c r="K1417" s="125">
        <v>11.808637158421204</v>
      </c>
      <c r="L1417" s="125">
        <v>11.843665948500703</v>
      </c>
      <c r="M1417" s="125">
        <v>11.818576136037654</v>
      </c>
      <c r="N1417" s="131">
        <v>11.85600106792559</v>
      </c>
      <c r="O1417" s="94"/>
      <c r="P1417" s="14"/>
      <c r="Q1417" s="14"/>
      <c r="R1417" s="14"/>
      <c r="S1417" s="14"/>
      <c r="T1417" s="14"/>
      <c r="U1417" s="14"/>
    </row>
    <row r="1418" spans="2:21" ht="18.75" customHeight="1" x14ac:dyDescent="0.25">
      <c r="B1418" s="15"/>
      <c r="C1418" s="122" t="s">
        <v>781</v>
      </c>
      <c r="D1418" s="120" t="s">
        <v>782</v>
      </c>
      <c r="E1418" s="125">
        <v>290</v>
      </c>
      <c r="F1418" s="134">
        <v>37</v>
      </c>
      <c r="G1418" s="134">
        <v>127</v>
      </c>
      <c r="H1418" s="134">
        <v>240</v>
      </c>
      <c r="I1418" s="134">
        <v>315</v>
      </c>
      <c r="J1418" s="134">
        <v>369</v>
      </c>
      <c r="K1418" s="134">
        <v>432</v>
      </c>
      <c r="L1418" s="134">
        <v>485</v>
      </c>
      <c r="M1418" s="134">
        <v>630</v>
      </c>
      <c r="N1418" s="135">
        <v>525</v>
      </c>
      <c r="O1418" s="94"/>
      <c r="P1418" s="14"/>
      <c r="Q1418" s="14"/>
      <c r="R1418" s="14"/>
      <c r="S1418" s="14"/>
      <c r="T1418" s="14"/>
      <c r="U1418" s="14"/>
    </row>
    <row r="1419" spans="2:21" ht="18.75" customHeight="1" x14ac:dyDescent="0.25">
      <c r="B1419" s="15"/>
      <c r="C1419" s="122"/>
      <c r="D1419" s="210"/>
      <c r="E1419" s="210"/>
      <c r="F1419" s="210"/>
      <c r="G1419" s="210"/>
      <c r="H1419" s="210"/>
      <c r="I1419" s="210"/>
      <c r="J1419" s="210"/>
      <c r="K1419" s="210"/>
      <c r="L1419" s="210"/>
      <c r="M1419" s="210"/>
      <c r="N1419" s="115"/>
      <c r="O1419" s="94"/>
      <c r="P1419" s="14"/>
      <c r="Q1419" s="14"/>
      <c r="R1419" s="14"/>
      <c r="S1419" s="14"/>
      <c r="T1419" s="14"/>
      <c r="U1419" s="14"/>
    </row>
    <row r="1420" spans="2:21" ht="18.75" customHeight="1" x14ac:dyDescent="0.25">
      <c r="B1420" s="15"/>
      <c r="C1420" s="2199" t="s">
        <v>2110</v>
      </c>
      <c r="D1420" s="2200"/>
      <c r="E1420" s="2200"/>
      <c r="F1420" s="2200"/>
      <c r="G1420" s="2200"/>
      <c r="H1420" s="2200"/>
      <c r="I1420" s="2200"/>
      <c r="J1420" s="2200"/>
      <c r="K1420" s="2200"/>
      <c r="L1420" s="2200"/>
      <c r="M1420" s="2200"/>
      <c r="N1420" s="2201"/>
      <c r="O1420" s="94"/>
      <c r="P1420" s="14"/>
      <c r="Q1420" s="14"/>
      <c r="R1420" s="14"/>
      <c r="S1420" s="14"/>
      <c r="T1420" s="14"/>
      <c r="U1420" s="14"/>
    </row>
    <row r="1421" spans="2:21" ht="18.75" customHeight="1" x14ac:dyDescent="0.25">
      <c r="B1421" s="15"/>
      <c r="C1421" s="2202" t="s">
        <v>1088</v>
      </c>
      <c r="D1421" s="210">
        <v>55</v>
      </c>
      <c r="E1421" s="104" t="s">
        <v>679</v>
      </c>
      <c r="F1421" s="210">
        <v>80</v>
      </c>
      <c r="G1421" s="210">
        <v>180</v>
      </c>
      <c r="H1421" s="210">
        <v>290</v>
      </c>
      <c r="I1421" s="210">
        <v>340</v>
      </c>
      <c r="J1421" s="210">
        <v>400</v>
      </c>
      <c r="K1421" s="210">
        <v>450</v>
      </c>
      <c r="L1421" s="210">
        <v>525</v>
      </c>
      <c r="M1421" s="210">
        <v>525</v>
      </c>
      <c r="N1421" s="115">
        <v>400</v>
      </c>
      <c r="O1421" s="94"/>
      <c r="P1421" s="14"/>
      <c r="Q1421" s="14"/>
      <c r="R1421" s="14"/>
      <c r="S1421" s="14"/>
      <c r="T1421" s="14"/>
      <c r="U1421" s="14"/>
    </row>
    <row r="1422" spans="2:21" ht="18.75" customHeight="1" x14ac:dyDescent="0.25">
      <c r="B1422" s="15"/>
      <c r="C1422" s="119" t="s">
        <v>568</v>
      </c>
      <c r="D1422" s="120" t="s">
        <v>623</v>
      </c>
      <c r="E1422" s="110" t="s">
        <v>608</v>
      </c>
      <c r="F1422" s="110" t="s">
        <v>957</v>
      </c>
      <c r="G1422" s="110" t="s">
        <v>572</v>
      </c>
      <c r="H1422" s="110" t="s">
        <v>530</v>
      </c>
      <c r="I1422" s="110" t="s">
        <v>573</v>
      </c>
      <c r="J1422" s="110" t="s">
        <v>574</v>
      </c>
      <c r="K1422" s="110" t="s">
        <v>575</v>
      </c>
      <c r="L1422" s="110" t="s">
        <v>576</v>
      </c>
      <c r="M1422" s="110" t="s">
        <v>577</v>
      </c>
      <c r="N1422" s="2203" t="s">
        <v>609</v>
      </c>
      <c r="O1422" s="94"/>
      <c r="P1422" s="14"/>
      <c r="Q1422" s="14"/>
      <c r="R1422" s="14"/>
      <c r="S1422" s="14"/>
      <c r="T1422" s="14"/>
      <c r="U1422" s="14"/>
    </row>
    <row r="1423" spans="2:21" ht="18.75" customHeight="1" x14ac:dyDescent="0.25">
      <c r="B1423" s="15"/>
      <c r="C1423" s="119" t="s">
        <v>582</v>
      </c>
      <c r="D1423" s="120" t="s">
        <v>566</v>
      </c>
      <c r="E1423" s="121">
        <v>95915.130925231657</v>
      </c>
      <c r="F1423" s="129">
        <v>11603.931228340783</v>
      </c>
      <c r="G1423" s="129">
        <v>27226.547684906396</v>
      </c>
      <c r="H1423" s="129">
        <v>28960.263977595139</v>
      </c>
      <c r="I1423" s="129">
        <v>10008.128793897349</v>
      </c>
      <c r="J1423" s="129">
        <v>9227.3939421457762</v>
      </c>
      <c r="K1423" s="129">
        <v>3922.5878395891827</v>
      </c>
      <c r="L1423" s="129">
        <v>2699.5571464465961</v>
      </c>
      <c r="M1423" s="129">
        <v>2266.7203123104373</v>
      </c>
      <c r="N1423" s="130">
        <v>8623.2543471417066</v>
      </c>
      <c r="O1423" s="94"/>
      <c r="P1423" s="14"/>
      <c r="Q1423" s="14"/>
      <c r="R1423" s="14"/>
      <c r="S1423" s="14"/>
      <c r="T1423" s="14"/>
      <c r="U1423" s="14"/>
    </row>
    <row r="1424" spans="2:21" ht="18.75" customHeight="1" x14ac:dyDescent="0.25">
      <c r="B1424" s="15"/>
      <c r="C1424" s="119" t="s">
        <v>582</v>
      </c>
      <c r="D1424" s="120" t="s">
        <v>628</v>
      </c>
      <c r="E1424" s="145">
        <v>15250.505817111834</v>
      </c>
      <c r="F1424" s="129">
        <v>1845.0250653061846</v>
      </c>
      <c r="G1424" s="129">
        <v>4329.0210819001168</v>
      </c>
      <c r="H1424" s="129">
        <v>4604.6819724376273</v>
      </c>
      <c r="I1424" s="129">
        <v>1591.2924782296784</v>
      </c>
      <c r="J1424" s="129">
        <v>1467.1556368011784</v>
      </c>
      <c r="K1424" s="129">
        <v>623.69146649468007</v>
      </c>
      <c r="L1424" s="129">
        <v>429.22958628500879</v>
      </c>
      <c r="M1424" s="129">
        <v>360.40852965735957</v>
      </c>
      <c r="N1424" s="130">
        <v>1371.0974411955315</v>
      </c>
      <c r="O1424" s="94"/>
      <c r="P1424" s="14"/>
      <c r="Q1424" s="14"/>
      <c r="R1424" s="14"/>
      <c r="S1424" s="14"/>
      <c r="T1424" s="14"/>
      <c r="U1424" s="14"/>
    </row>
    <row r="1425" spans="2:21" ht="18.75" customHeight="1" x14ac:dyDescent="0.25">
      <c r="B1425" s="15"/>
      <c r="C1425" s="119" t="s">
        <v>620</v>
      </c>
      <c r="D1425" s="120" t="s">
        <v>622</v>
      </c>
      <c r="E1425" s="129">
        <v>12527041.482638542</v>
      </c>
      <c r="F1425" s="129">
        <v>1390501.6045728782</v>
      </c>
      <c r="G1425" s="129">
        <v>3344720.0758644906</v>
      </c>
      <c r="H1425" s="129">
        <v>3758112.4447915624</v>
      </c>
      <c r="I1425" s="129">
        <v>1365447.5216076011</v>
      </c>
      <c r="J1425" s="129">
        <v>1302812.3141944082</v>
      </c>
      <c r="K1425" s="129">
        <v>573738.49990484526</v>
      </c>
      <c r="L1425" s="129">
        <v>414645.07307533571</v>
      </c>
      <c r="M1425" s="129">
        <v>375811.24447915622</v>
      </c>
      <c r="N1425" s="130">
        <v>1364194.8174593372</v>
      </c>
      <c r="O1425" s="94"/>
      <c r="P1425" s="14"/>
      <c r="Q1425" s="14"/>
      <c r="R1425" s="14"/>
      <c r="S1425" s="14"/>
      <c r="T1425" s="14"/>
      <c r="U1425" s="14"/>
    </row>
    <row r="1426" spans="2:21" ht="18.75" customHeight="1" x14ac:dyDescent="0.25">
      <c r="B1426" s="15"/>
      <c r="C1426" s="122" t="s">
        <v>776</v>
      </c>
      <c r="D1426" s="120" t="s">
        <v>579</v>
      </c>
      <c r="E1426" s="125">
        <v>7.2767513270385026E-2</v>
      </c>
      <c r="F1426" s="125">
        <v>0</v>
      </c>
      <c r="G1426" s="125">
        <v>0</v>
      </c>
      <c r="H1426" s="125">
        <v>4.2070723234555289E-2</v>
      </c>
      <c r="I1426" s="125">
        <v>9.4073214614058862E-2</v>
      </c>
      <c r="J1426" s="125">
        <v>0.13632918841243441</v>
      </c>
      <c r="K1426" s="125">
        <v>0.18599761305146689</v>
      </c>
      <c r="L1426" s="125">
        <v>0.26784202300347798</v>
      </c>
      <c r="M1426" s="125">
        <v>0.61099395576735149</v>
      </c>
      <c r="N1426" s="131">
        <v>0.32795298725613259</v>
      </c>
      <c r="O1426" s="94"/>
      <c r="P1426" s="14"/>
      <c r="Q1426" s="14"/>
      <c r="R1426" s="14"/>
      <c r="S1426" s="14"/>
      <c r="T1426" s="14"/>
      <c r="U1426" s="14"/>
    </row>
    <row r="1427" spans="2:21" ht="18.75" customHeight="1" x14ac:dyDescent="0.25">
      <c r="B1427" s="15"/>
      <c r="C1427" s="122" t="s">
        <v>777</v>
      </c>
      <c r="D1427" s="210" t="s">
        <v>778</v>
      </c>
      <c r="E1427" s="125">
        <v>710.41959416964676</v>
      </c>
      <c r="F1427" s="132">
        <v>0</v>
      </c>
      <c r="G1427" s="132">
        <v>61.007870207163023</v>
      </c>
      <c r="H1427" s="132">
        <v>144.86876168931053</v>
      </c>
      <c r="I1427" s="132">
        <v>489.63896993929598</v>
      </c>
      <c r="J1427" s="132">
        <v>946.85678277879992</v>
      </c>
      <c r="K1427" s="132">
        <v>1659.3063869852749</v>
      </c>
      <c r="L1427" s="132">
        <v>3195.4506027314883</v>
      </c>
      <c r="M1427" s="125">
        <v>10568.682123694156</v>
      </c>
      <c r="N1427" s="133">
        <v>4580.588716117195</v>
      </c>
      <c r="O1427" s="94"/>
      <c r="P1427" s="14"/>
      <c r="Q1427" s="14"/>
      <c r="R1427" s="14"/>
      <c r="S1427" s="14"/>
      <c r="T1427" s="14"/>
      <c r="U1427" s="14"/>
    </row>
    <row r="1428" spans="2:21" ht="18.75" customHeight="1" x14ac:dyDescent="0.25">
      <c r="B1428" s="15"/>
      <c r="C1428" s="119" t="s">
        <v>779</v>
      </c>
      <c r="D1428" s="120" t="s">
        <v>970</v>
      </c>
      <c r="E1428" s="132">
        <v>48.032856618736986</v>
      </c>
      <c r="F1428" s="125">
        <v>56.068206251656825</v>
      </c>
      <c r="G1428" s="125">
        <v>51.460935765261581</v>
      </c>
      <c r="H1428" s="125">
        <v>41.704160226880354</v>
      </c>
      <c r="I1428" s="125">
        <v>33.241662892526357</v>
      </c>
      <c r="J1428" s="125">
        <v>27.692565086278513</v>
      </c>
      <c r="K1428" s="125">
        <v>22.168289588807667</v>
      </c>
      <c r="L1428" s="125">
        <v>14.832768559490908</v>
      </c>
      <c r="M1428" s="125">
        <v>4.0669231698568709</v>
      </c>
      <c r="N1428" s="131">
        <v>10.575886314041576</v>
      </c>
      <c r="O1428" s="94"/>
      <c r="P1428" s="14"/>
      <c r="Q1428" s="14"/>
      <c r="R1428" s="14"/>
      <c r="S1428" s="14"/>
      <c r="T1428" s="14"/>
      <c r="U1428" s="14"/>
    </row>
    <row r="1429" spans="2:21" ht="18.75" customHeight="1" x14ac:dyDescent="0.25">
      <c r="B1429" s="15"/>
      <c r="C1429" s="119" t="s">
        <v>580</v>
      </c>
      <c r="D1429" s="120" t="s">
        <v>581</v>
      </c>
      <c r="E1429" s="125">
        <v>787.86424419110324</v>
      </c>
      <c r="F1429" s="125">
        <v>753.64916754782541</v>
      </c>
      <c r="G1429" s="125">
        <v>772.62734751950165</v>
      </c>
      <c r="H1429" s="125">
        <v>816.15027211142933</v>
      </c>
      <c r="I1429" s="125">
        <v>858.07451508013719</v>
      </c>
      <c r="J1429" s="125">
        <v>887.98507909829812</v>
      </c>
      <c r="K1429" s="125">
        <v>919.90756764625235</v>
      </c>
      <c r="L1429" s="125">
        <v>966.02164977511836</v>
      </c>
      <c r="M1429" s="125">
        <v>1042.7368210082043</v>
      </c>
      <c r="N1429" s="131">
        <v>994.96562131267956</v>
      </c>
      <c r="O1429" s="94"/>
      <c r="P1429" s="14"/>
      <c r="Q1429" s="14"/>
      <c r="R1429" s="14"/>
      <c r="S1429" s="14"/>
      <c r="T1429" s="14"/>
      <c r="U1429" s="14"/>
    </row>
    <row r="1430" spans="2:21" ht="18.75" customHeight="1" x14ac:dyDescent="0.25">
      <c r="B1430" s="15"/>
      <c r="C1430" s="119" t="s">
        <v>541</v>
      </c>
      <c r="D1430" s="120" t="s">
        <v>579</v>
      </c>
      <c r="E1430" s="125">
        <v>12.872789778004464</v>
      </c>
      <c r="F1430" s="125">
        <v>12.176860564935453</v>
      </c>
      <c r="G1430" s="125">
        <v>13.414134639315284</v>
      </c>
      <c r="H1430" s="125">
        <v>13.395109245485298</v>
      </c>
      <c r="I1430" s="125">
        <v>13.443735514628308</v>
      </c>
      <c r="J1430" s="125">
        <v>12.774809071605205</v>
      </c>
      <c r="K1430" s="125">
        <v>12.053017537560375</v>
      </c>
      <c r="L1430" s="125">
        <v>11.00512936883144</v>
      </c>
      <c r="M1430" s="125">
        <v>7.0268744361280877</v>
      </c>
      <c r="N1430" s="131">
        <v>10.349900995522759</v>
      </c>
      <c r="O1430" s="94"/>
      <c r="P1430" s="14"/>
      <c r="Q1430" s="14"/>
      <c r="R1430" s="14"/>
      <c r="S1430" s="14"/>
      <c r="T1430" s="14"/>
      <c r="U1430" s="14"/>
    </row>
    <row r="1431" spans="2:21" ht="18.75" customHeight="1" x14ac:dyDescent="0.25">
      <c r="B1431" s="15"/>
      <c r="C1431" s="119" t="s">
        <v>544</v>
      </c>
      <c r="D1431" s="120" t="s">
        <v>579</v>
      </c>
      <c r="E1431" s="125">
        <v>0.7</v>
      </c>
      <c r="F1431" s="128"/>
      <c r="G1431" s="128"/>
      <c r="H1431" s="128"/>
      <c r="I1431" s="128"/>
      <c r="J1431" s="128"/>
      <c r="K1431" s="128"/>
      <c r="L1431" s="128"/>
      <c r="M1431" s="125">
        <v>23.31</v>
      </c>
      <c r="N1431" s="131">
        <v>6.4279155188246095</v>
      </c>
      <c r="O1431" s="94"/>
      <c r="P1431" s="14"/>
      <c r="Q1431" s="14"/>
      <c r="R1431" s="14"/>
      <c r="S1431" s="14"/>
      <c r="T1431" s="14"/>
      <c r="U1431" s="14"/>
    </row>
    <row r="1432" spans="2:21" ht="18.75" customHeight="1" x14ac:dyDescent="0.25">
      <c r="B1432" s="15"/>
      <c r="C1432" s="119" t="s">
        <v>780</v>
      </c>
      <c r="D1432" s="120" t="s">
        <v>783</v>
      </c>
      <c r="E1432" s="125">
        <v>12.234842449619221</v>
      </c>
      <c r="F1432" s="125">
        <v>10.926562530717328</v>
      </c>
      <c r="G1432" s="125">
        <v>11.590452062404486</v>
      </c>
      <c r="H1432" s="125">
        <v>11.920857379650325</v>
      </c>
      <c r="I1432" s="125">
        <v>11.899426171719302</v>
      </c>
      <c r="J1432" s="125">
        <v>11.813028918570154</v>
      </c>
      <c r="K1432" s="125">
        <v>11.691253079091464</v>
      </c>
      <c r="L1432" s="125">
        <v>11.495978795168641</v>
      </c>
      <c r="M1432" s="125">
        <v>11.223533368612255</v>
      </c>
      <c r="N1432" s="131">
        <v>11.376764325558776</v>
      </c>
      <c r="O1432" s="94"/>
      <c r="P1432" s="14"/>
      <c r="Q1432" s="14"/>
      <c r="R1432" s="14"/>
      <c r="S1432" s="14"/>
      <c r="T1432" s="14"/>
      <c r="U1432" s="14"/>
    </row>
    <row r="1433" spans="2:21" ht="18.75" customHeight="1" x14ac:dyDescent="0.25">
      <c r="B1433" s="15"/>
      <c r="C1433" s="122" t="s">
        <v>781</v>
      </c>
      <c r="D1433" s="120" t="s">
        <v>782</v>
      </c>
      <c r="E1433" s="125">
        <v>225</v>
      </c>
      <c r="F1433" s="134">
        <v>38</v>
      </c>
      <c r="G1433" s="134">
        <v>127</v>
      </c>
      <c r="H1433" s="134">
        <v>240</v>
      </c>
      <c r="I1433" s="134">
        <v>320</v>
      </c>
      <c r="J1433" s="134">
        <v>370</v>
      </c>
      <c r="K1433" s="134">
        <v>420</v>
      </c>
      <c r="L1433" s="134">
        <v>490</v>
      </c>
      <c r="M1433" s="134">
        <v>620</v>
      </c>
      <c r="N1433" s="135">
        <v>535</v>
      </c>
      <c r="O1433" s="94"/>
      <c r="P1433" s="14"/>
      <c r="Q1433" s="14"/>
      <c r="R1433" s="14"/>
      <c r="S1433" s="14"/>
      <c r="T1433" s="14"/>
      <c r="U1433" s="14"/>
    </row>
    <row r="1434" spans="2:21" ht="18.75" customHeight="1" x14ac:dyDescent="0.25">
      <c r="B1434" s="15"/>
      <c r="C1434" s="122"/>
      <c r="D1434" s="210"/>
      <c r="E1434" s="210"/>
      <c r="F1434" s="210"/>
      <c r="G1434" s="210"/>
      <c r="H1434" s="210"/>
      <c r="I1434" s="210"/>
      <c r="J1434" s="210"/>
      <c r="K1434" s="210"/>
      <c r="L1434" s="210"/>
      <c r="M1434" s="210"/>
      <c r="N1434" s="115"/>
      <c r="O1434" s="94"/>
      <c r="P1434" s="14"/>
      <c r="Q1434" s="14"/>
      <c r="R1434" s="14"/>
      <c r="S1434" s="14"/>
      <c r="T1434" s="14"/>
      <c r="U1434" s="14"/>
    </row>
    <row r="1435" spans="2:21" ht="18.75" customHeight="1" x14ac:dyDescent="0.25">
      <c r="B1435" s="15"/>
      <c r="C1435" s="2199" t="s">
        <v>2111</v>
      </c>
      <c r="D1435" s="2200"/>
      <c r="E1435" s="2200"/>
      <c r="F1435" s="2200"/>
      <c r="G1435" s="2200"/>
      <c r="H1435" s="2200"/>
      <c r="I1435" s="2200"/>
      <c r="J1435" s="2200"/>
      <c r="K1435" s="2200"/>
      <c r="L1435" s="2200"/>
      <c r="M1435" s="2200"/>
      <c r="N1435" s="2201"/>
      <c r="O1435" s="94"/>
      <c r="P1435" s="14"/>
      <c r="Q1435" s="14"/>
      <c r="R1435" s="14"/>
      <c r="S1435" s="14"/>
      <c r="T1435" s="14"/>
      <c r="U1435" s="14"/>
    </row>
    <row r="1436" spans="2:21" ht="18.75" customHeight="1" x14ac:dyDescent="0.25">
      <c r="B1436" s="15"/>
      <c r="C1436" s="2202" t="s">
        <v>1088</v>
      </c>
      <c r="D1436" s="210">
        <v>38</v>
      </c>
      <c r="E1436" s="104" t="s">
        <v>679</v>
      </c>
      <c r="F1436" s="210">
        <v>80</v>
      </c>
      <c r="G1436" s="210">
        <v>180</v>
      </c>
      <c r="H1436" s="210">
        <v>290</v>
      </c>
      <c r="I1436" s="210">
        <v>340</v>
      </c>
      <c r="J1436" s="210">
        <v>400</v>
      </c>
      <c r="K1436" s="210">
        <v>450</v>
      </c>
      <c r="L1436" s="210">
        <v>525</v>
      </c>
      <c r="M1436" s="210">
        <v>525</v>
      </c>
      <c r="N1436" s="115">
        <v>400</v>
      </c>
      <c r="O1436" s="94"/>
      <c r="P1436" s="14"/>
      <c r="Q1436" s="14"/>
      <c r="R1436" s="14"/>
      <c r="S1436" s="14"/>
      <c r="T1436" s="14"/>
      <c r="U1436" s="14"/>
    </row>
    <row r="1437" spans="2:21" ht="18.75" customHeight="1" x14ac:dyDescent="0.25">
      <c r="B1437" s="15"/>
      <c r="C1437" s="119" t="s">
        <v>568</v>
      </c>
      <c r="D1437" s="120" t="s">
        <v>623</v>
      </c>
      <c r="E1437" s="110" t="s">
        <v>608</v>
      </c>
      <c r="F1437" s="110" t="s">
        <v>957</v>
      </c>
      <c r="G1437" s="110" t="s">
        <v>572</v>
      </c>
      <c r="H1437" s="110" t="s">
        <v>530</v>
      </c>
      <c r="I1437" s="110" t="s">
        <v>573</v>
      </c>
      <c r="J1437" s="110" t="s">
        <v>574</v>
      </c>
      <c r="K1437" s="110" t="s">
        <v>575</v>
      </c>
      <c r="L1437" s="110" t="s">
        <v>576</v>
      </c>
      <c r="M1437" s="110" t="s">
        <v>577</v>
      </c>
      <c r="N1437" s="2203" t="s">
        <v>609</v>
      </c>
      <c r="O1437" s="94"/>
      <c r="P1437" s="14"/>
      <c r="Q1437" s="14"/>
      <c r="R1437" s="14"/>
      <c r="S1437" s="14"/>
      <c r="T1437" s="14"/>
      <c r="U1437" s="14"/>
    </row>
    <row r="1438" spans="2:21" ht="18.75" customHeight="1" x14ac:dyDescent="0.25">
      <c r="B1438" s="15"/>
      <c r="C1438" s="119" t="s">
        <v>582</v>
      </c>
      <c r="D1438" s="120" t="s">
        <v>566</v>
      </c>
      <c r="E1438" s="121">
        <v>96545.526079303891</v>
      </c>
      <c r="F1438" s="129">
        <v>2555.910959876283</v>
      </c>
      <c r="G1438" s="129">
        <v>16614.245495053572</v>
      </c>
      <c r="H1438" s="129">
        <v>17202.051298693612</v>
      </c>
      <c r="I1438" s="129">
        <v>7665.6826397871919</v>
      </c>
      <c r="J1438" s="129">
        <v>8492.9209420648731</v>
      </c>
      <c r="K1438" s="129">
        <v>6577.9622399672689</v>
      </c>
      <c r="L1438" s="129">
        <v>10314.381466523111</v>
      </c>
      <c r="M1438" s="129">
        <v>27122.371037337969</v>
      </c>
      <c r="N1438" s="130">
        <v>47913.878756937083</v>
      </c>
      <c r="O1438" s="94"/>
      <c r="P1438" s="14"/>
      <c r="Q1438" s="14"/>
      <c r="R1438" s="14"/>
      <c r="S1438" s="14"/>
      <c r="T1438" s="14"/>
      <c r="U1438" s="14"/>
    </row>
    <row r="1439" spans="2:21" ht="18.75" customHeight="1" x14ac:dyDescent="0.25">
      <c r="B1439" s="15"/>
      <c r="C1439" s="119" t="s">
        <v>582</v>
      </c>
      <c r="D1439" s="120" t="s">
        <v>628</v>
      </c>
      <c r="E1439" s="145">
        <v>15350.738646609319</v>
      </c>
      <c r="F1439" s="129">
        <v>406.38984262032898</v>
      </c>
      <c r="G1439" s="129">
        <v>2641.6650337135179</v>
      </c>
      <c r="H1439" s="129">
        <v>2735.1261564922843</v>
      </c>
      <c r="I1439" s="129">
        <v>1218.8435397261635</v>
      </c>
      <c r="J1439" s="129">
        <v>1350.374429788315</v>
      </c>
      <c r="K1439" s="129">
        <v>1045.8959961547957</v>
      </c>
      <c r="L1439" s="129">
        <v>1639.9866531771747</v>
      </c>
      <c r="M1439" s="129">
        <v>4312.4569949367369</v>
      </c>
      <c r="N1439" s="130">
        <v>7618.3067223529961</v>
      </c>
      <c r="O1439" s="94"/>
      <c r="P1439" s="14"/>
      <c r="Q1439" s="14"/>
      <c r="R1439" s="14"/>
      <c r="S1439" s="14"/>
      <c r="T1439" s="14"/>
      <c r="U1439" s="14"/>
    </row>
    <row r="1440" spans="2:21" ht="18.75" customHeight="1" x14ac:dyDescent="0.25">
      <c r="B1440" s="15"/>
      <c r="C1440" s="119" t="s">
        <v>620</v>
      </c>
      <c r="D1440" s="120" t="s">
        <v>622</v>
      </c>
      <c r="E1440" s="129">
        <v>13622294.282532956</v>
      </c>
      <c r="F1440" s="129">
        <v>272445.88565065915</v>
      </c>
      <c r="G1440" s="129">
        <v>2043344.1423799433</v>
      </c>
      <c r="H1440" s="129">
        <v>2315790.0280306027</v>
      </c>
      <c r="I1440" s="129">
        <v>1089783.5426026366</v>
      </c>
      <c r="J1440" s="129">
        <v>1226006.4854279661</v>
      </c>
      <c r="K1440" s="129">
        <v>953560.59977730701</v>
      </c>
      <c r="L1440" s="129">
        <v>1498452.3710786253</v>
      </c>
      <c r="M1440" s="129">
        <v>4222911.2275852161</v>
      </c>
      <c r="N1440" s="130">
        <v>7083593.0269171372</v>
      </c>
      <c r="O1440" s="94"/>
      <c r="P1440" s="14"/>
      <c r="Q1440" s="14"/>
      <c r="R1440" s="14"/>
      <c r="S1440" s="14"/>
      <c r="T1440" s="14"/>
      <c r="U1440" s="14"/>
    </row>
    <row r="1441" spans="2:21" ht="18.75" customHeight="1" x14ac:dyDescent="0.25">
      <c r="B1441" s="15"/>
      <c r="C1441" s="122" t="s">
        <v>776</v>
      </c>
      <c r="D1441" s="120" t="s">
        <v>579</v>
      </c>
      <c r="E1441" s="125">
        <v>0.32149463495277603</v>
      </c>
      <c r="F1441" s="125">
        <v>0</v>
      </c>
      <c r="G1441" s="125">
        <v>0</v>
      </c>
      <c r="H1441" s="125">
        <v>9.1125593998543308E-2</v>
      </c>
      <c r="I1441" s="125">
        <v>0.17629103232148013</v>
      </c>
      <c r="J1441" s="125">
        <v>0.24570520454500405</v>
      </c>
      <c r="K1441" s="125">
        <v>0.30780673035100409</v>
      </c>
      <c r="L1441" s="125">
        <v>0.39234605471480011</v>
      </c>
      <c r="M1441" s="125">
        <v>0.66155482527437637</v>
      </c>
      <c r="N1441" s="131">
        <v>0.5188202557274133</v>
      </c>
      <c r="O1441" s="94"/>
      <c r="P1441" s="14"/>
      <c r="Q1441" s="14"/>
      <c r="R1441" s="14"/>
      <c r="S1441" s="14"/>
      <c r="T1441" s="14"/>
      <c r="U1441" s="14"/>
    </row>
    <row r="1442" spans="2:21" ht="18.75" customHeight="1" x14ac:dyDescent="0.25">
      <c r="B1442" s="15"/>
      <c r="C1442" s="122" t="s">
        <v>777</v>
      </c>
      <c r="D1442" s="210" t="s">
        <v>778</v>
      </c>
      <c r="E1442" s="125">
        <v>1808.0079746946715</v>
      </c>
      <c r="F1442" s="132">
        <v>0</v>
      </c>
      <c r="G1442" s="132">
        <v>0</v>
      </c>
      <c r="H1442" s="132">
        <v>0</v>
      </c>
      <c r="I1442" s="132">
        <v>216.6965860320725</v>
      </c>
      <c r="J1442" s="132">
        <v>545.95140154048738</v>
      </c>
      <c r="K1442" s="132">
        <v>957.1338245688587</v>
      </c>
      <c r="L1442" s="132">
        <v>1712.2701585762115</v>
      </c>
      <c r="M1442" s="125">
        <v>4794.1533435814799</v>
      </c>
      <c r="N1442" s="133">
        <v>3349.1088878335804</v>
      </c>
      <c r="O1442" s="94"/>
      <c r="P1442" s="14"/>
      <c r="Q1442" s="14"/>
      <c r="R1442" s="14"/>
      <c r="S1442" s="14"/>
      <c r="T1442" s="14"/>
      <c r="U1442" s="14"/>
    </row>
    <row r="1443" spans="2:21" ht="18.75" customHeight="1" x14ac:dyDescent="0.25">
      <c r="B1443" s="15"/>
      <c r="C1443" s="119" t="s">
        <v>779</v>
      </c>
      <c r="D1443" s="120" t="s">
        <v>970</v>
      </c>
      <c r="E1443" s="132">
        <v>33.496721633888427</v>
      </c>
      <c r="F1443" s="125">
        <v>79.358464583855778</v>
      </c>
      <c r="G1443" s="125">
        <v>51.253069273629251</v>
      </c>
      <c r="H1443" s="125">
        <v>35.457768803671684</v>
      </c>
      <c r="I1443" s="125">
        <v>26.601563081337275</v>
      </c>
      <c r="J1443" s="125">
        <v>24.200456948499948</v>
      </c>
      <c r="K1443" s="125">
        <v>23.548886375158332</v>
      </c>
      <c r="L1443" s="125">
        <v>23.212647968877405</v>
      </c>
      <c r="M1443" s="125">
        <v>12.858138841893236</v>
      </c>
      <c r="N1443" s="131">
        <v>20.531402224196682</v>
      </c>
      <c r="O1443" s="94"/>
      <c r="P1443" s="14"/>
      <c r="Q1443" s="14"/>
      <c r="R1443" s="14"/>
      <c r="S1443" s="14"/>
      <c r="T1443" s="14"/>
      <c r="U1443" s="14"/>
    </row>
    <row r="1444" spans="2:21" ht="18.75" customHeight="1" x14ac:dyDescent="0.25">
      <c r="B1444" s="15"/>
      <c r="C1444" s="119" t="s">
        <v>580</v>
      </c>
      <c r="D1444" s="120" t="s">
        <v>581</v>
      </c>
      <c r="E1444" s="125">
        <v>856.74806808383369</v>
      </c>
      <c r="F1444" s="125">
        <v>670.40525396495354</v>
      </c>
      <c r="G1444" s="125">
        <v>773.50614718457109</v>
      </c>
      <c r="H1444" s="125">
        <v>846.68490428994789</v>
      </c>
      <c r="I1444" s="125">
        <v>894.11274464930693</v>
      </c>
      <c r="J1444" s="125">
        <v>907.9011408859061</v>
      </c>
      <c r="K1444" s="125">
        <v>911.71646443149518</v>
      </c>
      <c r="L1444" s="125">
        <v>913.69790612359407</v>
      </c>
      <c r="M1444" s="125">
        <v>979.2355570254598</v>
      </c>
      <c r="N1444" s="131">
        <v>929.81200220425012</v>
      </c>
      <c r="O1444" s="94"/>
      <c r="P1444" s="14"/>
      <c r="Q1444" s="14"/>
      <c r="R1444" s="14"/>
      <c r="S1444" s="14"/>
      <c r="T1444" s="14"/>
      <c r="U1444" s="14"/>
    </row>
    <row r="1445" spans="2:21" ht="18.75" customHeight="1" x14ac:dyDescent="0.25">
      <c r="B1445" s="15"/>
      <c r="C1445" s="119" t="s">
        <v>541</v>
      </c>
      <c r="D1445" s="120" t="s">
        <v>579</v>
      </c>
      <c r="E1445" s="125">
        <v>10.907532421355301</v>
      </c>
      <c r="F1445" s="125">
        <v>16.440946754937045</v>
      </c>
      <c r="G1445" s="125">
        <v>13.716627574862889</v>
      </c>
      <c r="H1445" s="125">
        <v>13.009791479587667</v>
      </c>
      <c r="I1445" s="125">
        <v>13.272790559954448</v>
      </c>
      <c r="J1445" s="125">
        <v>13.495880636642326</v>
      </c>
      <c r="K1445" s="125">
        <v>13.345015951651238</v>
      </c>
      <c r="L1445" s="125">
        <v>12.251553725749069</v>
      </c>
      <c r="M1445" s="125">
        <v>5.6492911934034558</v>
      </c>
      <c r="N1445" s="131">
        <v>7.75596595462126</v>
      </c>
      <c r="O1445" s="94"/>
      <c r="P1445" s="14"/>
      <c r="Q1445" s="14"/>
      <c r="R1445" s="14"/>
      <c r="S1445" s="14"/>
      <c r="T1445" s="14"/>
      <c r="U1445" s="14"/>
    </row>
    <row r="1446" spans="2:21" ht="18.75" customHeight="1" x14ac:dyDescent="0.25">
      <c r="B1446" s="15"/>
      <c r="C1446" s="119" t="s">
        <v>544</v>
      </c>
      <c r="D1446" s="120" t="s">
        <v>579</v>
      </c>
      <c r="E1446" s="125">
        <v>1.78</v>
      </c>
      <c r="F1446" s="128"/>
      <c r="G1446" s="128"/>
      <c r="H1446" s="128"/>
      <c r="I1446" s="128"/>
      <c r="J1446" s="128"/>
      <c r="K1446" s="128"/>
      <c r="L1446" s="128"/>
      <c r="M1446" s="125">
        <v>5.7361935483870976</v>
      </c>
      <c r="N1446" s="131">
        <v>3.4230769230769229</v>
      </c>
      <c r="O1446" s="94"/>
      <c r="P1446" s="14"/>
      <c r="Q1446" s="14"/>
      <c r="R1446" s="14"/>
      <c r="S1446" s="14"/>
      <c r="T1446" s="14"/>
      <c r="U1446" s="14"/>
    </row>
    <row r="1447" spans="2:21" ht="18.75" customHeight="1" x14ac:dyDescent="0.25">
      <c r="B1447" s="15"/>
      <c r="C1447" s="119" t="s">
        <v>780</v>
      </c>
      <c r="D1447" s="120" t="s">
        <v>783</v>
      </c>
      <c r="E1447" s="125">
        <v>13.293398926890367</v>
      </c>
      <c r="F1447" s="125">
        <v>12.690734819393125</v>
      </c>
      <c r="G1447" s="125">
        <v>11.794979482414146</v>
      </c>
      <c r="H1447" s="125">
        <v>11.377872750004952</v>
      </c>
      <c r="I1447" s="125">
        <v>11.355266174175121</v>
      </c>
      <c r="J1447" s="125">
        <v>11.553893861628302</v>
      </c>
      <c r="K1447" s="125">
        <v>11.796290406392993</v>
      </c>
      <c r="L1447" s="125">
        <v>12.127704157348058</v>
      </c>
      <c r="M1447" s="125">
        <v>12.127170668102806</v>
      </c>
      <c r="N1447" s="131">
        <v>12.395845691899824</v>
      </c>
      <c r="O1447" s="94"/>
      <c r="P1447" s="14"/>
      <c r="Q1447" s="14"/>
      <c r="R1447" s="14"/>
      <c r="S1447" s="14"/>
      <c r="T1447" s="14"/>
      <c r="U1447" s="14"/>
    </row>
    <row r="1448" spans="2:21" ht="18.75" customHeight="1" x14ac:dyDescent="0.25">
      <c r="B1448" s="15"/>
      <c r="C1448" s="122" t="s">
        <v>781</v>
      </c>
      <c r="D1448" s="120" t="s">
        <v>782</v>
      </c>
      <c r="E1448" s="125">
        <v>550</v>
      </c>
      <c r="F1448" s="134">
        <v>70</v>
      </c>
      <c r="G1448" s="134">
        <v>150</v>
      </c>
      <c r="H1448" s="134">
        <v>225</v>
      </c>
      <c r="I1448" s="134">
        <v>310</v>
      </c>
      <c r="J1448" s="134">
        <v>370</v>
      </c>
      <c r="K1448" s="134">
        <v>420</v>
      </c>
      <c r="L1448" s="134">
        <v>485</v>
      </c>
      <c r="M1448" s="134">
        <v>660</v>
      </c>
      <c r="N1448" s="135">
        <v>580</v>
      </c>
      <c r="O1448" s="94"/>
      <c r="P1448" s="14"/>
      <c r="Q1448" s="14"/>
      <c r="R1448" s="14"/>
      <c r="S1448" s="14"/>
      <c r="T1448" s="14"/>
      <c r="U1448" s="14"/>
    </row>
    <row r="1449" spans="2:21" ht="18.75" customHeight="1" x14ac:dyDescent="0.25">
      <c r="B1449" s="15"/>
      <c r="C1449" s="122"/>
      <c r="D1449" s="210"/>
      <c r="E1449" s="210"/>
      <c r="F1449" s="210"/>
      <c r="G1449" s="210"/>
      <c r="H1449" s="210"/>
      <c r="I1449" s="210"/>
      <c r="J1449" s="210"/>
      <c r="K1449" s="210"/>
      <c r="L1449" s="210"/>
      <c r="M1449" s="210"/>
      <c r="N1449" s="115"/>
      <c r="O1449" s="94"/>
      <c r="P1449" s="14"/>
      <c r="Q1449" s="14"/>
      <c r="R1449" s="14"/>
      <c r="S1449" s="14"/>
      <c r="T1449" s="14"/>
      <c r="U1449" s="14"/>
    </row>
    <row r="1450" spans="2:21" ht="18.75" customHeight="1" x14ac:dyDescent="0.25">
      <c r="B1450" s="15"/>
      <c r="C1450" s="2199" t="s">
        <v>2114</v>
      </c>
      <c r="D1450" s="2200"/>
      <c r="E1450" s="2200"/>
      <c r="F1450" s="2200"/>
      <c r="G1450" s="2200"/>
      <c r="H1450" s="2200"/>
      <c r="I1450" s="2200"/>
      <c r="J1450" s="2200"/>
      <c r="K1450" s="2200"/>
      <c r="L1450" s="2200"/>
      <c r="M1450" s="2200"/>
      <c r="N1450" s="2201"/>
      <c r="O1450" s="94"/>
      <c r="P1450" s="14"/>
      <c r="Q1450" s="14"/>
      <c r="R1450" s="14"/>
      <c r="S1450" s="14"/>
      <c r="T1450" s="14"/>
      <c r="U1450" s="14"/>
    </row>
    <row r="1451" spans="2:21" ht="18.75" customHeight="1" x14ac:dyDescent="0.25">
      <c r="B1451" s="15"/>
      <c r="C1451" s="2202" t="s">
        <v>1088</v>
      </c>
      <c r="D1451" s="210"/>
      <c r="E1451" s="104" t="s">
        <v>679</v>
      </c>
      <c r="F1451" s="210">
        <v>80</v>
      </c>
      <c r="G1451" s="210">
        <v>180</v>
      </c>
      <c r="H1451" s="210">
        <v>290</v>
      </c>
      <c r="I1451" s="210">
        <v>340</v>
      </c>
      <c r="J1451" s="210">
        <v>400</v>
      </c>
      <c r="K1451" s="210">
        <v>450</v>
      </c>
      <c r="L1451" s="210">
        <v>525</v>
      </c>
      <c r="M1451" s="210">
        <v>525</v>
      </c>
      <c r="N1451" s="115">
        <v>400</v>
      </c>
      <c r="O1451" s="94"/>
      <c r="P1451" s="14"/>
      <c r="Q1451" s="14"/>
      <c r="R1451" s="14"/>
      <c r="S1451" s="14"/>
      <c r="T1451" s="14"/>
      <c r="U1451" s="14"/>
    </row>
    <row r="1452" spans="2:21" ht="18.75" customHeight="1" x14ac:dyDescent="0.25">
      <c r="B1452" s="15"/>
      <c r="C1452" s="119" t="s">
        <v>568</v>
      </c>
      <c r="D1452" s="120" t="s">
        <v>623</v>
      </c>
      <c r="E1452" s="110" t="s">
        <v>608</v>
      </c>
      <c r="F1452" s="110" t="s">
        <v>957</v>
      </c>
      <c r="G1452" s="110" t="s">
        <v>572</v>
      </c>
      <c r="H1452" s="110" t="s">
        <v>530</v>
      </c>
      <c r="I1452" s="110" t="s">
        <v>573</v>
      </c>
      <c r="J1452" s="110" t="s">
        <v>574</v>
      </c>
      <c r="K1452" s="110" t="s">
        <v>575</v>
      </c>
      <c r="L1452" s="110" t="s">
        <v>576</v>
      </c>
      <c r="M1452" s="110" t="s">
        <v>577</v>
      </c>
      <c r="N1452" s="2203" t="s">
        <v>609</v>
      </c>
      <c r="O1452" s="94"/>
      <c r="P1452" s="14"/>
      <c r="Q1452" s="14"/>
      <c r="R1452" s="14"/>
      <c r="S1452" s="14"/>
      <c r="T1452" s="14"/>
      <c r="U1452" s="14"/>
    </row>
    <row r="1453" spans="2:21" ht="18.75" customHeight="1" x14ac:dyDescent="0.25">
      <c r="B1453" s="15"/>
      <c r="C1453" s="119" t="s">
        <v>582</v>
      </c>
      <c r="D1453" s="120" t="s">
        <v>566</v>
      </c>
      <c r="E1453" s="121">
        <v>99452.392664586747</v>
      </c>
      <c r="F1453" s="129">
        <v>10352.230969038006</v>
      </c>
      <c r="G1453" s="129">
        <v>25040.040043061847</v>
      </c>
      <c r="H1453" s="129">
        <v>22963.242587879748</v>
      </c>
      <c r="I1453" s="129">
        <v>8022.8821347478906</v>
      </c>
      <c r="J1453" s="129">
        <v>8402.4493556733687</v>
      </c>
      <c r="K1453" s="129">
        <v>6392.9272384988917</v>
      </c>
      <c r="L1453" s="129">
        <v>8379.6900565561828</v>
      </c>
      <c r="M1453" s="129">
        <v>9898.9302791308182</v>
      </c>
      <c r="N1453" s="130">
        <v>24904.918473375525</v>
      </c>
      <c r="O1453" s="94"/>
      <c r="P1453" s="14"/>
      <c r="Q1453" s="14"/>
      <c r="R1453" s="14"/>
      <c r="S1453" s="14"/>
      <c r="T1453" s="14"/>
      <c r="U1453" s="14"/>
    </row>
    <row r="1454" spans="2:21" ht="18.75" customHeight="1" x14ac:dyDescent="0.25">
      <c r="B1454" s="15"/>
      <c r="C1454" s="119" t="s">
        <v>582</v>
      </c>
      <c r="D1454" s="120" t="s">
        <v>628</v>
      </c>
      <c r="E1454" s="145">
        <v>15812.930433669293</v>
      </c>
      <c r="F1454" s="129">
        <v>1646.004724077043</v>
      </c>
      <c r="G1454" s="129">
        <v>3981.3663668468339</v>
      </c>
      <c r="H1454" s="129">
        <v>3651.1555714728802</v>
      </c>
      <c r="I1454" s="129">
        <v>1275.6382594249146</v>
      </c>
      <c r="J1454" s="129">
        <v>1335.9894475520657</v>
      </c>
      <c r="K1454" s="129">
        <v>1016.4754309213238</v>
      </c>
      <c r="L1454" s="129">
        <v>1332.370718992433</v>
      </c>
      <c r="M1454" s="129">
        <v>1573.9299143818002</v>
      </c>
      <c r="N1454" s="130">
        <v>3959.8820372667087</v>
      </c>
      <c r="O1454" s="94"/>
      <c r="P1454" s="14"/>
      <c r="Q1454" s="14"/>
      <c r="R1454" s="14"/>
      <c r="S1454" s="14"/>
      <c r="T1454" s="14"/>
      <c r="U1454" s="14"/>
    </row>
    <row r="1455" spans="2:21" ht="18.75" customHeight="1" x14ac:dyDescent="0.25">
      <c r="B1455" s="15"/>
      <c r="C1455" s="119" t="s">
        <v>620</v>
      </c>
      <c r="D1455" s="120" t="s">
        <v>622</v>
      </c>
      <c r="E1455" s="129">
        <v>13133400</v>
      </c>
      <c r="F1455" s="129">
        <v>1120279.02</v>
      </c>
      <c r="G1455" s="129">
        <v>3020682</v>
      </c>
      <c r="H1455" s="129">
        <v>3033815.4000000004</v>
      </c>
      <c r="I1455" s="129">
        <v>1105832.28</v>
      </c>
      <c r="J1455" s="129">
        <v>1180692.6599999999</v>
      </c>
      <c r="K1455" s="129">
        <v>915397.98</v>
      </c>
      <c r="L1455" s="129">
        <v>1224032.8800000001</v>
      </c>
      <c r="M1455" s="129">
        <v>1532667.78</v>
      </c>
      <c r="N1455" s="130">
        <v>3672098.6399999997</v>
      </c>
      <c r="O1455" s="94"/>
      <c r="P1455" s="14"/>
      <c r="Q1455" s="14"/>
      <c r="R1455" s="14"/>
      <c r="S1455" s="14"/>
      <c r="T1455" s="14"/>
      <c r="U1455" s="14"/>
    </row>
    <row r="1456" spans="2:21" ht="18.75" customHeight="1" x14ac:dyDescent="0.25">
      <c r="B1456" s="15"/>
      <c r="C1456" s="122" t="s">
        <v>1343</v>
      </c>
      <c r="D1456" s="120" t="s">
        <v>579</v>
      </c>
      <c r="E1456" s="125">
        <v>0.20394785022694598</v>
      </c>
      <c r="F1456" s="125">
        <v>0</v>
      </c>
      <c r="G1456" s="125">
        <v>0</v>
      </c>
      <c r="H1456" s="125">
        <v>0.1041448712123746</v>
      </c>
      <c r="I1456" s="125">
        <v>0.19226988153610791</v>
      </c>
      <c r="J1456" s="125">
        <v>0.25779367657326152</v>
      </c>
      <c r="K1456" s="125">
        <v>0.34476124665883157</v>
      </c>
      <c r="L1456" s="125">
        <v>0.45238317579193199</v>
      </c>
      <c r="M1456" s="125">
        <v>0.63696348373335321</v>
      </c>
      <c r="N1456" s="131">
        <v>0.50259516962664863</v>
      </c>
      <c r="O1456" s="94"/>
      <c r="P1456" s="14"/>
      <c r="Q1456" s="14"/>
      <c r="R1456" s="14"/>
      <c r="S1456" s="14"/>
      <c r="T1456" s="14"/>
      <c r="U1456" s="14"/>
    </row>
    <row r="1457" spans="2:21" ht="18.75" customHeight="1" x14ac:dyDescent="0.25">
      <c r="B1457" s="15"/>
      <c r="C1457" s="122" t="s">
        <v>888</v>
      </c>
      <c r="D1457" s="210" t="s">
        <v>778</v>
      </c>
      <c r="E1457" s="125">
        <v>561.2121385907202</v>
      </c>
      <c r="F1457" s="132">
        <v>0</v>
      </c>
      <c r="G1457" s="132">
        <v>75.83949150522983</v>
      </c>
      <c r="H1457" s="132">
        <v>129.15312360345888</v>
      </c>
      <c r="I1457" s="132">
        <v>154.86228407317276</v>
      </c>
      <c r="J1457" s="132">
        <v>285.28948475127618</v>
      </c>
      <c r="K1457" s="132">
        <v>628.02374819253237</v>
      </c>
      <c r="L1457" s="132">
        <v>1301.4850241132945</v>
      </c>
      <c r="M1457" s="125">
        <v>2657.8928491657157</v>
      </c>
      <c r="N1457" s="133">
        <v>1699.7416129972016</v>
      </c>
      <c r="O1457" s="94"/>
      <c r="P1457" s="14"/>
      <c r="Q1457" s="14"/>
      <c r="R1457" s="14"/>
      <c r="S1457" s="14"/>
      <c r="T1457" s="14"/>
      <c r="U1457" s="14"/>
    </row>
    <row r="1458" spans="2:21" ht="18.75" customHeight="1" x14ac:dyDescent="0.25">
      <c r="B1458" s="15"/>
      <c r="C1458" s="119" t="s">
        <v>779</v>
      </c>
      <c r="D1458" s="120" t="s">
        <v>970</v>
      </c>
      <c r="E1458" s="132">
        <v>39.700000000000003</v>
      </c>
      <c r="F1458" s="125">
        <v>76.198482502574691</v>
      </c>
      <c r="G1458" s="125">
        <v>54.818330767035974</v>
      </c>
      <c r="H1458" s="125">
        <v>38.625586556040801</v>
      </c>
      <c r="I1458" s="125">
        <v>31.56724057388017</v>
      </c>
      <c r="J1458" s="125">
        <v>28.453818938275703</v>
      </c>
      <c r="K1458" s="125">
        <v>25.469539818073542</v>
      </c>
      <c r="L1458" s="125">
        <v>22.372299768240595</v>
      </c>
      <c r="M1458" s="125">
        <v>13.666301119987651</v>
      </c>
      <c r="N1458" s="131">
        <v>20.939094014802976</v>
      </c>
      <c r="O1458" s="94"/>
      <c r="P1458" s="14"/>
      <c r="Q1458" s="14"/>
      <c r="R1458" s="14"/>
      <c r="S1458" s="14"/>
      <c r="T1458" s="14"/>
      <c r="U1458" s="14"/>
    </row>
    <row r="1459" spans="2:21" ht="18.75" customHeight="1" x14ac:dyDescent="0.25">
      <c r="B1459" s="15"/>
      <c r="C1459" s="119" t="s">
        <v>580</v>
      </c>
      <c r="D1459" s="120" t="s">
        <v>581</v>
      </c>
      <c r="E1459" s="125">
        <v>826</v>
      </c>
      <c r="F1459" s="125">
        <v>680.60498467169907</v>
      </c>
      <c r="G1459" s="125">
        <v>758.70485699418873</v>
      </c>
      <c r="H1459" s="125">
        <v>830.91923655725134</v>
      </c>
      <c r="I1459" s="125">
        <v>866.88547621528164</v>
      </c>
      <c r="J1459" s="125">
        <v>883.75897142255405</v>
      </c>
      <c r="K1459" s="125">
        <v>900.5608518941691</v>
      </c>
      <c r="L1459" s="125">
        <v>918.68791662251465</v>
      </c>
      <c r="M1459" s="125">
        <v>973.784007785374</v>
      </c>
      <c r="N1459" s="131">
        <v>927.32526005614295</v>
      </c>
      <c r="O1459" s="94"/>
      <c r="P1459" s="14"/>
      <c r="Q1459" s="14"/>
      <c r="R1459" s="14"/>
      <c r="S1459" s="14"/>
      <c r="T1459" s="14"/>
      <c r="U1459" s="14"/>
    </row>
    <row r="1460" spans="2:21" ht="18.75" customHeight="1" x14ac:dyDescent="0.25">
      <c r="B1460" s="15"/>
      <c r="C1460" s="119" t="s">
        <v>541</v>
      </c>
      <c r="D1460" s="120" t="s">
        <v>579</v>
      </c>
      <c r="E1460" s="125">
        <v>13.100395673486185</v>
      </c>
      <c r="F1460" s="125">
        <v>14.887242948495903</v>
      </c>
      <c r="G1460" s="125">
        <v>13.844965325092884</v>
      </c>
      <c r="H1460" s="125">
        <v>12.994233007446091</v>
      </c>
      <c r="I1460" s="125">
        <v>13.207539741794527</v>
      </c>
      <c r="J1460" s="125">
        <v>12.881173777128428</v>
      </c>
      <c r="K1460" s="125">
        <v>12.573069552787562</v>
      </c>
      <c r="L1460" s="125">
        <v>12.237164943628468</v>
      </c>
      <c r="M1460" s="125">
        <v>11.632946967349302</v>
      </c>
      <c r="N1460" s="131">
        <v>12.068711128988305</v>
      </c>
      <c r="O1460" s="94"/>
      <c r="P1460" s="14"/>
      <c r="Q1460" s="14"/>
      <c r="R1460" s="14"/>
      <c r="S1460" s="14"/>
      <c r="T1460" s="14"/>
      <c r="U1460" s="14"/>
    </row>
    <row r="1461" spans="2:21" ht="18.75" customHeight="1" x14ac:dyDescent="0.25">
      <c r="B1461" s="15"/>
      <c r="C1461" s="119" t="s">
        <v>544</v>
      </c>
      <c r="D1461" s="120" t="s">
        <v>579</v>
      </c>
      <c r="E1461" s="125">
        <v>1.5682028653931508</v>
      </c>
      <c r="F1461" s="128"/>
      <c r="G1461" s="128"/>
      <c r="H1461" s="128"/>
      <c r="I1461" s="128"/>
      <c r="J1461" s="128"/>
      <c r="K1461" s="128"/>
      <c r="L1461" s="128"/>
      <c r="M1461" s="125">
        <v>13.424461546938797</v>
      </c>
      <c r="N1461" s="131">
        <v>5.6087370006908115</v>
      </c>
      <c r="O1461" s="94"/>
      <c r="P1461" s="14"/>
      <c r="Q1461" s="14"/>
      <c r="R1461" s="14"/>
      <c r="S1461" s="14"/>
      <c r="T1461" s="14"/>
      <c r="U1461" s="14"/>
    </row>
    <row r="1462" spans="2:21" ht="18.75" customHeight="1" x14ac:dyDescent="0.25">
      <c r="B1462" s="15"/>
      <c r="C1462" s="119" t="s">
        <v>780</v>
      </c>
      <c r="D1462" s="120" t="s">
        <v>783</v>
      </c>
      <c r="E1462" s="125">
        <v>12.044939649462469</v>
      </c>
      <c r="F1462" s="125">
        <v>12.092743412332393</v>
      </c>
      <c r="G1462" s="125">
        <v>11.803140774668993</v>
      </c>
      <c r="H1462" s="125">
        <v>11.686110657818734</v>
      </c>
      <c r="I1462" s="125">
        <v>11.765228020579046</v>
      </c>
      <c r="J1462" s="125">
        <v>11.857202151468554</v>
      </c>
      <c r="K1462" s="125">
        <v>11.971062393475142</v>
      </c>
      <c r="L1462" s="125">
        <v>12.061830458589226</v>
      </c>
      <c r="M1462" s="125">
        <v>11.950601772935141</v>
      </c>
      <c r="N1462" s="131">
        <v>12.079410441717583</v>
      </c>
      <c r="O1462" s="94"/>
      <c r="P1462" s="14"/>
      <c r="Q1462" s="14"/>
      <c r="R1462" s="14"/>
      <c r="S1462" s="14"/>
      <c r="T1462" s="14"/>
      <c r="U1462" s="14"/>
    </row>
    <row r="1463" spans="2:21" ht="18.75" customHeight="1" x14ac:dyDescent="0.25">
      <c r="B1463" s="15"/>
      <c r="C1463" s="122" t="s">
        <v>1893</v>
      </c>
      <c r="D1463" s="120" t="s">
        <v>782</v>
      </c>
      <c r="E1463" s="125">
        <v>275</v>
      </c>
      <c r="F1463" s="134">
        <v>37.5</v>
      </c>
      <c r="G1463" s="134">
        <v>127</v>
      </c>
      <c r="H1463" s="134">
        <v>237</v>
      </c>
      <c r="I1463" s="134">
        <v>318</v>
      </c>
      <c r="J1463" s="134">
        <v>368</v>
      </c>
      <c r="K1463" s="134">
        <v>425</v>
      </c>
      <c r="L1463" s="134">
        <v>485</v>
      </c>
      <c r="M1463" s="134">
        <v>605</v>
      </c>
      <c r="N1463" s="135">
        <v>510</v>
      </c>
      <c r="O1463" s="94"/>
      <c r="P1463" s="14"/>
      <c r="Q1463" s="14"/>
      <c r="R1463" s="14"/>
      <c r="S1463" s="14"/>
      <c r="T1463" s="14"/>
      <c r="U1463" s="14"/>
    </row>
    <row r="1464" spans="2:21" ht="18.75" customHeight="1" x14ac:dyDescent="0.25">
      <c r="B1464" s="15"/>
      <c r="C1464" s="122"/>
      <c r="D1464" s="210"/>
      <c r="E1464" s="210"/>
      <c r="F1464" s="210"/>
      <c r="G1464" s="210"/>
      <c r="H1464" s="210"/>
      <c r="I1464" s="210"/>
      <c r="J1464" s="210"/>
      <c r="K1464" s="210"/>
      <c r="L1464" s="210"/>
      <c r="M1464" s="210"/>
      <c r="N1464" s="115"/>
      <c r="O1464" s="94"/>
      <c r="P1464" s="14"/>
      <c r="Q1464" s="14"/>
      <c r="R1464" s="14"/>
      <c r="S1464" s="14"/>
      <c r="T1464" s="14"/>
      <c r="U1464" s="14"/>
    </row>
    <row r="1465" spans="2:21" ht="18.75" customHeight="1" x14ac:dyDescent="0.25">
      <c r="B1465" s="15"/>
      <c r="C1465" s="2199" t="s">
        <v>2113</v>
      </c>
      <c r="D1465" s="2200"/>
      <c r="E1465" s="2200"/>
      <c r="F1465" s="2200"/>
      <c r="G1465" s="2200"/>
      <c r="H1465" s="2200"/>
      <c r="I1465" s="2200"/>
      <c r="J1465" s="2200"/>
      <c r="K1465" s="2200"/>
      <c r="L1465" s="2200"/>
      <c r="M1465" s="2200"/>
      <c r="N1465" s="2201"/>
      <c r="O1465" s="94"/>
      <c r="P1465" s="14"/>
      <c r="Q1465" s="14"/>
      <c r="R1465" s="14"/>
      <c r="S1465" s="14"/>
      <c r="T1465" s="14"/>
      <c r="U1465" s="14"/>
    </row>
    <row r="1466" spans="2:21" ht="18.75" customHeight="1" x14ac:dyDescent="0.25">
      <c r="B1466" s="15"/>
      <c r="C1466" s="2202"/>
      <c r="D1466" s="210"/>
      <c r="E1466" s="104" t="s">
        <v>679</v>
      </c>
      <c r="F1466" s="210">
        <v>80</v>
      </c>
      <c r="G1466" s="210">
        <v>180</v>
      </c>
      <c r="H1466" s="210">
        <v>290</v>
      </c>
      <c r="I1466" s="210">
        <v>340</v>
      </c>
      <c r="J1466" s="210">
        <v>400</v>
      </c>
      <c r="K1466" s="210">
        <v>450</v>
      </c>
      <c r="L1466" s="210">
        <v>525</v>
      </c>
      <c r="M1466" s="210">
        <v>525</v>
      </c>
      <c r="N1466" s="115">
        <v>400</v>
      </c>
      <c r="O1466" s="94"/>
      <c r="P1466" s="14"/>
      <c r="Q1466" s="14"/>
      <c r="R1466" s="14"/>
      <c r="S1466" s="14"/>
      <c r="T1466" s="14"/>
      <c r="U1466" s="14"/>
    </row>
    <row r="1467" spans="2:21" ht="18.75" customHeight="1" x14ac:dyDescent="0.25">
      <c r="B1467" s="15"/>
      <c r="C1467" s="119" t="s">
        <v>568</v>
      </c>
      <c r="D1467" s="120" t="s">
        <v>623</v>
      </c>
      <c r="E1467" s="110" t="s">
        <v>608</v>
      </c>
      <c r="F1467" s="110" t="s">
        <v>957</v>
      </c>
      <c r="G1467" s="110" t="s">
        <v>572</v>
      </c>
      <c r="H1467" s="110" t="s">
        <v>530</v>
      </c>
      <c r="I1467" s="110" t="s">
        <v>573</v>
      </c>
      <c r="J1467" s="110" t="s">
        <v>574</v>
      </c>
      <c r="K1467" s="110" t="s">
        <v>575</v>
      </c>
      <c r="L1467" s="110" t="s">
        <v>576</v>
      </c>
      <c r="M1467" s="110" t="s">
        <v>577</v>
      </c>
      <c r="N1467" s="2203" t="s">
        <v>609</v>
      </c>
      <c r="O1467" s="94"/>
      <c r="P1467" s="14"/>
      <c r="Q1467" s="14"/>
      <c r="R1467" s="14"/>
      <c r="S1467" s="14"/>
      <c r="T1467" s="14"/>
      <c r="U1467" s="14"/>
    </row>
    <row r="1468" spans="2:21" ht="18.75" customHeight="1" x14ac:dyDescent="0.25">
      <c r="B1468" s="15"/>
      <c r="C1468" s="119" t="s">
        <v>582</v>
      </c>
      <c r="D1468" s="120" t="s">
        <v>566</v>
      </c>
      <c r="E1468" s="121">
        <v>100000</v>
      </c>
      <c r="F1468" s="129">
        <v>36296.53631169747</v>
      </c>
      <c r="G1468" s="129">
        <v>48333.30548138771</v>
      </c>
      <c r="H1468" s="129">
        <v>14385.960823131702</v>
      </c>
      <c r="I1468" s="129">
        <v>1472.6075492881969</v>
      </c>
      <c r="J1468" s="129">
        <v>853.43982816506207</v>
      </c>
      <c r="K1468" s="129">
        <v>320.42532065608964</v>
      </c>
      <c r="L1468" s="129">
        <v>82.62002273746117</v>
      </c>
      <c r="M1468" s="129">
        <v>82.62002273746117</v>
      </c>
      <c r="N1468" s="130">
        <v>589.42543401925991</v>
      </c>
      <c r="O1468" s="94"/>
      <c r="P1468" s="14"/>
      <c r="Q1468" s="14"/>
      <c r="R1468" s="14"/>
      <c r="S1468" s="14"/>
      <c r="T1468" s="14"/>
      <c r="U1468" s="14"/>
    </row>
    <row r="1469" spans="2:21" ht="18.75" customHeight="1" x14ac:dyDescent="0.25">
      <c r="B1469" s="15"/>
      <c r="C1469" s="119" t="s">
        <v>582</v>
      </c>
      <c r="D1469" s="120" t="s">
        <v>628</v>
      </c>
      <c r="E1469" s="145">
        <v>15900</v>
      </c>
      <c r="F1469" s="129">
        <v>5771.1492735598977</v>
      </c>
      <c r="G1469" s="129">
        <v>7684.9955715406459</v>
      </c>
      <c r="H1469" s="129">
        <v>2287.3677708779405</v>
      </c>
      <c r="I1469" s="129">
        <v>234.14460033682332</v>
      </c>
      <c r="J1469" s="129">
        <v>135.69693267824488</v>
      </c>
      <c r="K1469" s="129">
        <v>50.94762598431825</v>
      </c>
      <c r="L1469" s="129">
        <v>13.136583615256326</v>
      </c>
      <c r="M1469" s="129">
        <v>13.136583615256326</v>
      </c>
      <c r="N1469" s="130">
        <v>93.718644009062331</v>
      </c>
      <c r="O1469" s="94"/>
      <c r="P1469" s="14"/>
      <c r="Q1469" s="14"/>
      <c r="R1469" s="14"/>
      <c r="S1469" s="14"/>
      <c r="T1469" s="14"/>
      <c r="U1469" s="14"/>
    </row>
    <row r="1470" spans="2:21" ht="18.75" customHeight="1" x14ac:dyDescent="0.25">
      <c r="B1470" s="15"/>
      <c r="C1470" s="119" t="s">
        <v>620</v>
      </c>
      <c r="D1470" s="120" t="s">
        <v>622</v>
      </c>
      <c r="E1470" s="129">
        <v>11669016.151494058</v>
      </c>
      <c r="F1470" s="129">
        <v>3780761.2330840747</v>
      </c>
      <c r="G1470" s="129">
        <v>5659472.8334746175</v>
      </c>
      <c r="H1470" s="129">
        <v>1846038.35516636</v>
      </c>
      <c r="I1470" s="129">
        <v>198373.274575399</v>
      </c>
      <c r="J1470" s="129">
        <v>116690.16151494058</v>
      </c>
      <c r="K1470" s="129">
        <v>44342.261375677423</v>
      </c>
      <c r="L1470" s="129">
        <v>11669.016151494057</v>
      </c>
      <c r="M1470" s="129">
        <v>11669.016151494057</v>
      </c>
      <c r="N1470" s="130">
        <v>67680.293678665548</v>
      </c>
      <c r="O1470" s="94"/>
      <c r="P1470" s="14"/>
      <c r="Q1470" s="14"/>
      <c r="R1470" s="14"/>
      <c r="S1470" s="14"/>
      <c r="T1470" s="14"/>
      <c r="U1470" s="14"/>
    </row>
    <row r="1471" spans="2:21" ht="18.75" customHeight="1" x14ac:dyDescent="0.25">
      <c r="B1471" s="15"/>
      <c r="C1471" s="122" t="s">
        <v>1343</v>
      </c>
      <c r="D1471" s="120" t="s">
        <v>579</v>
      </c>
      <c r="E1471" s="125">
        <v>1.6455699220775426E-2</v>
      </c>
      <c r="F1471" s="125">
        <v>0</v>
      </c>
      <c r="G1471" s="125">
        <v>0</v>
      </c>
      <c r="H1471" s="125">
        <v>7.355038876252433E-2</v>
      </c>
      <c r="I1471" s="125">
        <v>0.16451087595280181</v>
      </c>
      <c r="J1471" s="125">
        <v>0.20443390657736449</v>
      </c>
      <c r="K1471" s="125">
        <v>0.23478837682262954</v>
      </c>
      <c r="L1471" s="125">
        <v>0.26574815118357642</v>
      </c>
      <c r="M1471" s="125">
        <v>-1.1789402215367655</v>
      </c>
      <c r="N1471" s="131">
        <v>-3.6200411081373507E-3</v>
      </c>
      <c r="O1471" s="94"/>
      <c r="P1471" s="14"/>
      <c r="Q1471" s="14"/>
      <c r="R1471" s="14"/>
      <c r="S1471" s="14"/>
      <c r="T1471" s="14"/>
      <c r="U1471" s="14"/>
    </row>
    <row r="1472" spans="2:21" ht="18.75" customHeight="1" x14ac:dyDescent="0.25">
      <c r="B1472" s="15"/>
      <c r="C1472" s="122" t="s">
        <v>888</v>
      </c>
      <c r="D1472" s="210" t="s">
        <v>778</v>
      </c>
      <c r="E1472" s="125">
        <v>3.9062235574859296</v>
      </c>
      <c r="F1472" s="132">
        <v>0</v>
      </c>
      <c r="G1472" s="132">
        <v>0</v>
      </c>
      <c r="H1472" s="132">
        <v>0</v>
      </c>
      <c r="I1472" s="132">
        <v>100.56656460059418</v>
      </c>
      <c r="J1472" s="132">
        <v>219.65919592758286</v>
      </c>
      <c r="K1472" s="132">
        <v>359.07776537998103</v>
      </c>
      <c r="L1472" s="132">
        <v>631.78896440406083</v>
      </c>
      <c r="M1472" s="125">
        <v>-1996.284472847989</v>
      </c>
      <c r="N1472" s="133">
        <v>0</v>
      </c>
      <c r="O1472" s="94"/>
      <c r="P1472" s="14"/>
      <c r="Q1472" s="14"/>
      <c r="R1472" s="14"/>
      <c r="S1472" s="14"/>
      <c r="T1472" s="14"/>
      <c r="U1472" s="14"/>
    </row>
    <row r="1473" spans="2:21" ht="18.75" customHeight="1" x14ac:dyDescent="0.25">
      <c r="B1473" s="15"/>
      <c r="C1473" s="119" t="s">
        <v>779</v>
      </c>
      <c r="D1473" s="120" t="s">
        <v>970</v>
      </c>
      <c r="E1473" s="132">
        <v>61.250110715410585</v>
      </c>
      <c r="F1473" s="125">
        <v>84.280157369358065</v>
      </c>
      <c r="G1473" s="125">
        <v>60.453524624618446</v>
      </c>
      <c r="H1473" s="125">
        <v>43.65547879751621</v>
      </c>
      <c r="I1473" s="125">
        <v>35.351238048432933</v>
      </c>
      <c r="J1473" s="125">
        <v>32.885777050118065</v>
      </c>
      <c r="K1473" s="125">
        <v>30.918151456543242</v>
      </c>
      <c r="L1473" s="125">
        <v>27.639006516686678</v>
      </c>
      <c r="M1473" s="125">
        <v>27.639006516686678</v>
      </c>
      <c r="N1473" s="131">
        <v>64.24569105560893</v>
      </c>
      <c r="O1473" s="94"/>
      <c r="P1473" s="14"/>
      <c r="Q1473" s="14"/>
      <c r="R1473" s="14"/>
      <c r="S1473" s="14"/>
      <c r="T1473" s="14"/>
      <c r="U1473" s="14"/>
    </row>
    <row r="1474" spans="2:21" ht="18.75" customHeight="1" x14ac:dyDescent="0.25">
      <c r="B1474" s="15"/>
      <c r="C1474" s="119" t="s">
        <v>580</v>
      </c>
      <c r="D1474" s="120" t="s">
        <v>581</v>
      </c>
      <c r="E1474" s="125">
        <v>733.90038688641869</v>
      </c>
      <c r="F1474" s="125">
        <v>655.11409493519056</v>
      </c>
      <c r="G1474" s="125">
        <v>736.43150224223712</v>
      </c>
      <c r="H1474" s="125">
        <v>807.05795485516137</v>
      </c>
      <c r="I1474" s="125">
        <v>847.22549351996031</v>
      </c>
      <c r="J1474" s="125">
        <v>859.93219752157677</v>
      </c>
      <c r="K1474" s="125">
        <v>870.34990382723686</v>
      </c>
      <c r="L1474" s="125">
        <v>888.28393235681983</v>
      </c>
      <c r="M1474" s="125">
        <v>888.28393235681983</v>
      </c>
      <c r="N1474" s="131">
        <v>722.16467058700778</v>
      </c>
      <c r="O1474" s="94"/>
      <c r="P1474" s="14"/>
      <c r="Q1474" s="14"/>
      <c r="R1474" s="14"/>
      <c r="S1474" s="14"/>
      <c r="T1474" s="14"/>
      <c r="U1474" s="14"/>
    </row>
    <row r="1475" spans="2:21" ht="18.75" customHeight="1" x14ac:dyDescent="0.25">
      <c r="B1475" s="15"/>
      <c r="C1475" s="119" t="s">
        <v>541</v>
      </c>
      <c r="D1475" s="120" t="s">
        <v>579</v>
      </c>
      <c r="E1475" s="125">
        <v>14.744994248918738</v>
      </c>
      <c r="F1475" s="125">
        <v>15.90145975663564</v>
      </c>
      <c r="G1475" s="125">
        <v>14.433288426687117</v>
      </c>
      <c r="H1475" s="125">
        <v>13.457476417504084</v>
      </c>
      <c r="I1475" s="125">
        <v>13.717103122176386</v>
      </c>
      <c r="J1475" s="125">
        <v>13.488523270480037</v>
      </c>
      <c r="K1475" s="125">
        <v>13.308388851553811</v>
      </c>
      <c r="L1475" s="125">
        <v>12.977556438725628</v>
      </c>
      <c r="M1475" s="125">
        <v>32.178211719965667</v>
      </c>
      <c r="N1475" s="131">
        <v>16.504766516309616</v>
      </c>
      <c r="O1475" s="94"/>
      <c r="P1475" s="14"/>
      <c r="Q1475" s="14"/>
      <c r="R1475" s="14"/>
      <c r="S1475" s="14"/>
      <c r="T1475" s="14"/>
      <c r="U1475" s="14"/>
    </row>
    <row r="1476" spans="2:21" ht="18.75" customHeight="1" x14ac:dyDescent="0.25">
      <c r="B1476" s="15"/>
      <c r="C1476" s="119" t="s">
        <v>544</v>
      </c>
      <c r="D1476" s="120" t="s">
        <v>579</v>
      </c>
      <c r="E1476" s="125">
        <v>3.2041455785844177E-4</v>
      </c>
      <c r="F1476" s="128"/>
      <c r="G1476" s="128"/>
      <c r="H1476" s="128"/>
      <c r="I1476" s="128"/>
      <c r="J1476" s="128"/>
      <c r="K1476" s="128"/>
      <c r="L1476" s="128"/>
      <c r="M1476" s="125">
        <v>0.32009414330058333</v>
      </c>
      <c r="N1476" s="131">
        <v>5.5243889285938229E-2</v>
      </c>
      <c r="O1476" s="94"/>
      <c r="P1476" s="14"/>
      <c r="Q1476" s="14"/>
      <c r="R1476" s="14"/>
      <c r="S1476" s="14"/>
      <c r="T1476" s="14"/>
      <c r="U1476" s="14"/>
    </row>
    <row r="1477" spans="2:21" ht="18.75" customHeight="1" x14ac:dyDescent="0.25">
      <c r="B1477" s="15"/>
      <c r="C1477" s="119" t="s">
        <v>780</v>
      </c>
      <c r="D1477" s="120" t="s">
        <v>783</v>
      </c>
      <c r="E1477" s="125">
        <v>14.26603513263745</v>
      </c>
      <c r="F1477" s="125">
        <v>12.885233961193597</v>
      </c>
      <c r="G1477" s="125">
        <v>12.290410970154964</v>
      </c>
      <c r="H1477" s="125">
        <v>12.171493822030151</v>
      </c>
      <c r="I1477" s="125">
        <v>12.085571656972551</v>
      </c>
      <c r="J1477" s="125">
        <v>12.166702587089073</v>
      </c>
      <c r="K1477" s="125">
        <v>12.386593138851167</v>
      </c>
      <c r="L1477" s="125">
        <v>12.474680100601114</v>
      </c>
      <c r="M1477" s="125">
        <v>12.975362586171871</v>
      </c>
      <c r="N1477" s="131">
        <v>15.738774662377191</v>
      </c>
      <c r="O1477" s="94"/>
      <c r="P1477" s="14"/>
      <c r="Q1477" s="14"/>
      <c r="R1477" s="14"/>
      <c r="S1477" s="14"/>
      <c r="T1477" s="14"/>
      <c r="U1477" s="14"/>
    </row>
    <row r="1478" spans="2:21" ht="18.75" customHeight="1" x14ac:dyDescent="0.25">
      <c r="B1478" s="15"/>
      <c r="C1478" s="122" t="s">
        <v>1893</v>
      </c>
      <c r="D1478" s="120" t="s">
        <v>782</v>
      </c>
      <c r="E1478" s="125">
        <v>365</v>
      </c>
      <c r="F1478" s="134">
        <v>62</v>
      </c>
      <c r="G1478" s="134">
        <v>140</v>
      </c>
      <c r="H1478" s="134">
        <v>255</v>
      </c>
      <c r="I1478" s="134">
        <v>325</v>
      </c>
      <c r="J1478" s="134">
        <v>365</v>
      </c>
      <c r="K1478" s="134">
        <v>425</v>
      </c>
      <c r="L1478" s="134">
        <v>485</v>
      </c>
      <c r="M1478" s="134">
        <v>580</v>
      </c>
      <c r="N1478" s="135">
        <v>545</v>
      </c>
      <c r="O1478" s="94"/>
      <c r="P1478" s="14"/>
      <c r="Q1478" s="14"/>
      <c r="R1478" s="14"/>
      <c r="S1478" s="14"/>
      <c r="T1478" s="14"/>
      <c r="U1478" s="14"/>
    </row>
    <row r="1479" spans="2:21" ht="18.75" customHeight="1" x14ac:dyDescent="0.25">
      <c r="B1479" s="15"/>
      <c r="C1479" s="122"/>
      <c r="D1479" s="210"/>
      <c r="E1479" s="210"/>
      <c r="F1479" s="210"/>
      <c r="G1479" s="210"/>
      <c r="H1479" s="210"/>
      <c r="I1479" s="210"/>
      <c r="J1479" s="210"/>
      <c r="K1479" s="210"/>
      <c r="L1479" s="210"/>
      <c r="M1479" s="210"/>
      <c r="N1479" s="115"/>
      <c r="O1479" s="94"/>
      <c r="P1479" s="14"/>
      <c r="Q1479" s="14"/>
      <c r="R1479" s="14"/>
      <c r="S1479" s="14"/>
      <c r="T1479" s="14"/>
      <c r="U1479" s="14"/>
    </row>
    <row r="1480" spans="2:21" ht="18.75" customHeight="1" x14ac:dyDescent="0.25">
      <c r="B1480" s="15"/>
      <c r="C1480" s="2199" t="s">
        <v>2090</v>
      </c>
      <c r="D1480" s="2200"/>
      <c r="E1480" s="2200"/>
      <c r="F1480" s="2200"/>
      <c r="G1480" s="2200"/>
      <c r="H1480" s="2200"/>
      <c r="I1480" s="2200"/>
      <c r="J1480" s="2200"/>
      <c r="K1480" s="2200"/>
      <c r="L1480" s="2200"/>
      <c r="M1480" s="2200"/>
      <c r="N1480" s="2201"/>
      <c r="O1480" s="94"/>
      <c r="P1480" s="14"/>
      <c r="Q1480" s="14"/>
      <c r="R1480" s="14"/>
      <c r="S1480" s="14"/>
      <c r="T1480" s="14"/>
      <c r="U1480" s="14"/>
    </row>
    <row r="1481" spans="2:21" ht="18.75" customHeight="1" x14ac:dyDescent="0.25">
      <c r="B1481" s="15"/>
      <c r="C1481" s="2202" t="s">
        <v>1088</v>
      </c>
      <c r="D1481" s="210">
        <v>83</v>
      </c>
      <c r="E1481" s="104" t="s">
        <v>679</v>
      </c>
      <c r="F1481" s="210">
        <v>80</v>
      </c>
      <c r="G1481" s="210">
        <v>180</v>
      </c>
      <c r="H1481" s="210">
        <v>290</v>
      </c>
      <c r="I1481" s="210">
        <v>340</v>
      </c>
      <c r="J1481" s="210">
        <v>400</v>
      </c>
      <c r="K1481" s="210">
        <v>450</v>
      </c>
      <c r="L1481" s="210">
        <v>525</v>
      </c>
      <c r="M1481" s="210">
        <v>525</v>
      </c>
      <c r="N1481" s="115">
        <v>400</v>
      </c>
      <c r="O1481" s="94"/>
      <c r="P1481" s="14"/>
      <c r="Q1481" s="14"/>
      <c r="R1481" s="14"/>
      <c r="S1481" s="14"/>
      <c r="T1481" s="14"/>
      <c r="U1481" s="14"/>
    </row>
    <row r="1482" spans="2:21" ht="18.75" customHeight="1" x14ac:dyDescent="0.25">
      <c r="B1482" s="15"/>
      <c r="C1482" s="119" t="s">
        <v>568</v>
      </c>
      <c r="D1482" s="120" t="s">
        <v>623</v>
      </c>
      <c r="E1482" s="110" t="s">
        <v>608</v>
      </c>
      <c r="F1482" s="110" t="s">
        <v>957</v>
      </c>
      <c r="G1482" s="110" t="s">
        <v>572</v>
      </c>
      <c r="H1482" s="110" t="s">
        <v>530</v>
      </c>
      <c r="I1482" s="110" t="s">
        <v>573</v>
      </c>
      <c r="J1482" s="110" t="s">
        <v>574</v>
      </c>
      <c r="K1482" s="110" t="s">
        <v>575</v>
      </c>
      <c r="L1482" s="110" t="s">
        <v>576</v>
      </c>
      <c r="M1482" s="110" t="s">
        <v>577</v>
      </c>
      <c r="N1482" s="2203" t="s">
        <v>609</v>
      </c>
      <c r="O1482" s="94"/>
      <c r="P1482" s="14"/>
      <c r="Q1482" s="14"/>
      <c r="R1482" s="14"/>
      <c r="S1482" s="14"/>
      <c r="T1482" s="14"/>
      <c r="U1482" s="14"/>
    </row>
    <row r="1483" spans="2:21" ht="18.75" customHeight="1" x14ac:dyDescent="0.25">
      <c r="B1483" s="15"/>
      <c r="C1483" s="119" t="s">
        <v>582</v>
      </c>
      <c r="D1483" s="120" t="s">
        <v>566</v>
      </c>
      <c r="E1483" s="121">
        <v>101173.34773724803</v>
      </c>
      <c r="F1483" s="129">
        <v>5053.6442684709746</v>
      </c>
      <c r="G1483" s="129">
        <v>12770.526847725181</v>
      </c>
      <c r="H1483" s="129">
        <v>15901.150847402298</v>
      </c>
      <c r="I1483" s="129">
        <v>9133.157971119881</v>
      </c>
      <c r="J1483" s="129">
        <v>9943.3805948855952</v>
      </c>
      <c r="K1483" s="129">
        <v>7833.9455740430203</v>
      </c>
      <c r="L1483" s="129">
        <v>13516.846482525671</v>
      </c>
      <c r="M1483" s="129">
        <v>27020.695151075408</v>
      </c>
      <c r="N1483" s="130">
        <v>48496.438535432215</v>
      </c>
      <c r="O1483" s="94"/>
      <c r="P1483" s="14"/>
      <c r="Q1483" s="14"/>
      <c r="R1483" s="14"/>
      <c r="S1483" s="14"/>
      <c r="T1483" s="14"/>
      <c r="U1483" s="14"/>
    </row>
    <row r="1484" spans="2:21" ht="18.75" customHeight="1" x14ac:dyDescent="0.25">
      <c r="B1484" s="15"/>
      <c r="C1484" s="119" t="s">
        <v>582</v>
      </c>
      <c r="D1484" s="120" t="s">
        <v>628</v>
      </c>
      <c r="E1484" s="145">
        <v>16086.562290222437</v>
      </c>
      <c r="F1484" s="129">
        <v>803.52943868688499</v>
      </c>
      <c r="G1484" s="129">
        <v>2030.5137687883039</v>
      </c>
      <c r="H1484" s="129">
        <v>2528.2829847369653</v>
      </c>
      <c r="I1484" s="129">
        <v>1452.172117408061</v>
      </c>
      <c r="J1484" s="129">
        <v>1580.9975145868095</v>
      </c>
      <c r="K1484" s="129">
        <v>1245.5973462728402</v>
      </c>
      <c r="L1484" s="129">
        <v>2149.1785907215817</v>
      </c>
      <c r="M1484" s="129">
        <v>4296.2905290209901</v>
      </c>
      <c r="N1484" s="130">
        <v>7710.9337271337226</v>
      </c>
      <c r="O1484" s="94"/>
      <c r="P1484" s="14"/>
      <c r="Q1484" s="14"/>
      <c r="R1484" s="14"/>
      <c r="S1484" s="14"/>
      <c r="T1484" s="14"/>
      <c r="U1484" s="14"/>
    </row>
    <row r="1485" spans="2:21" ht="18.75" customHeight="1" x14ac:dyDescent="0.25">
      <c r="B1485" s="15"/>
      <c r="C1485" s="119" t="s">
        <v>620</v>
      </c>
      <c r="D1485" s="120" t="s">
        <v>622</v>
      </c>
      <c r="E1485" s="129">
        <v>13785300</v>
      </c>
      <c r="F1485" s="129">
        <v>551412</v>
      </c>
      <c r="G1485" s="129">
        <v>1516383</v>
      </c>
      <c r="H1485" s="129">
        <v>2067795</v>
      </c>
      <c r="I1485" s="129">
        <v>1240677</v>
      </c>
      <c r="J1485" s="129">
        <v>1378530</v>
      </c>
      <c r="K1485" s="129">
        <v>1102824</v>
      </c>
      <c r="L1485" s="129">
        <v>1929942.0000000002</v>
      </c>
      <c r="M1485" s="129">
        <v>3997736.9999999995</v>
      </c>
      <c r="N1485" s="130">
        <v>7030503</v>
      </c>
      <c r="O1485" s="94"/>
      <c r="P1485" s="14"/>
      <c r="Q1485" s="14"/>
      <c r="R1485" s="14"/>
      <c r="S1485" s="14"/>
      <c r="T1485" s="14"/>
      <c r="U1485" s="14"/>
    </row>
    <row r="1486" spans="2:21" ht="18.75" customHeight="1" x14ac:dyDescent="0.25">
      <c r="B1486" s="15"/>
      <c r="C1486" s="122" t="s">
        <v>776</v>
      </c>
      <c r="D1486" s="120" t="s">
        <v>579</v>
      </c>
      <c r="E1486" s="125">
        <v>0.31365132997148065</v>
      </c>
      <c r="F1486" s="125">
        <v>0</v>
      </c>
      <c r="G1486" s="125">
        <v>0</v>
      </c>
      <c r="H1486" s="125">
        <v>0.35709917349145259</v>
      </c>
      <c r="I1486" s="125">
        <v>0.20848602042291109</v>
      </c>
      <c r="J1486" s="125">
        <v>8.4245233031931654E-2</v>
      </c>
      <c r="K1486" s="125">
        <v>2.3771249659652938E-2</v>
      </c>
      <c r="L1486" s="125">
        <v>0.11394581220727851</v>
      </c>
      <c r="M1486" s="125">
        <v>0.74153129353350478</v>
      </c>
      <c r="N1486" s="131">
        <v>0.45666311530687764</v>
      </c>
      <c r="O1486" s="94"/>
      <c r="P1486" s="14"/>
      <c r="Q1486" s="14"/>
      <c r="R1486" s="14"/>
      <c r="S1486" s="14"/>
      <c r="T1486" s="14"/>
      <c r="U1486" s="14"/>
    </row>
    <row r="1487" spans="2:21" ht="18.75" customHeight="1" x14ac:dyDescent="0.25">
      <c r="B1487" s="15"/>
      <c r="C1487" s="122" t="s">
        <v>777</v>
      </c>
      <c r="D1487" s="210" t="s">
        <v>778</v>
      </c>
      <c r="E1487" s="125">
        <v>1570.8229327921538</v>
      </c>
      <c r="F1487" s="132">
        <v>0</v>
      </c>
      <c r="G1487" s="132">
        <v>0</v>
      </c>
      <c r="H1487" s="132">
        <v>737.41139883527921</v>
      </c>
      <c r="I1487" s="132">
        <v>1119.4554584803795</v>
      </c>
      <c r="J1487" s="132">
        <v>1352.5689379476598</v>
      </c>
      <c r="K1487" s="132">
        <v>1604.5647513643426</v>
      </c>
      <c r="L1487" s="132">
        <v>1944.8360645777875</v>
      </c>
      <c r="M1487" s="125">
        <v>2839.8658922718073</v>
      </c>
      <c r="N1487" s="133">
        <v>2400.3987017820818</v>
      </c>
      <c r="O1487" s="94"/>
      <c r="P1487" s="14"/>
      <c r="Q1487" s="14"/>
      <c r="R1487" s="14"/>
      <c r="S1487" s="14"/>
      <c r="T1487" s="14"/>
      <c r="U1487" s="14"/>
    </row>
    <row r="1488" spans="2:21" ht="18.75" customHeight="1" x14ac:dyDescent="0.25">
      <c r="B1488" s="15"/>
      <c r="C1488" s="119" t="s">
        <v>779</v>
      </c>
      <c r="D1488" s="120" t="s">
        <v>970</v>
      </c>
      <c r="E1488" s="132">
        <v>31.7</v>
      </c>
      <c r="F1488" s="125">
        <v>74.493742700292415</v>
      </c>
      <c r="G1488" s="125">
        <v>57.789045281261878</v>
      </c>
      <c r="H1488" s="125">
        <v>41.340952114970499</v>
      </c>
      <c r="I1488" s="125">
        <v>33.958015659149488</v>
      </c>
      <c r="J1488" s="125">
        <v>30.622545634077028</v>
      </c>
      <c r="K1488" s="125">
        <v>28.16139316289518</v>
      </c>
      <c r="L1488" s="125">
        <v>25.918836135011048</v>
      </c>
      <c r="M1488" s="125">
        <v>20.417523244591024</v>
      </c>
      <c r="N1488" s="131">
        <v>23.541878472119009</v>
      </c>
      <c r="O1488" s="94"/>
      <c r="P1488" s="14"/>
      <c r="Q1488" s="14"/>
      <c r="R1488" s="14"/>
      <c r="S1488" s="14"/>
      <c r="T1488" s="14"/>
      <c r="U1488" s="14"/>
    </row>
    <row r="1489" spans="2:21" ht="18.75" customHeight="1" x14ac:dyDescent="0.25">
      <c r="B1489" s="15"/>
      <c r="C1489" s="119" t="s">
        <v>580</v>
      </c>
      <c r="D1489" s="120" t="s">
        <v>581</v>
      </c>
      <c r="E1489" s="125">
        <v>867</v>
      </c>
      <c r="F1489" s="125">
        <v>686.23745870606649</v>
      </c>
      <c r="G1489" s="125">
        <v>746.7976939180727</v>
      </c>
      <c r="H1489" s="125">
        <v>817.86533093135017</v>
      </c>
      <c r="I1489" s="125">
        <v>854.35946960230001</v>
      </c>
      <c r="J1489" s="125">
        <v>871.9368546004805</v>
      </c>
      <c r="K1489" s="125">
        <v>885.37760882354462</v>
      </c>
      <c r="L1489" s="125">
        <v>897.99051988137785</v>
      </c>
      <c r="M1489" s="125">
        <v>930.50899909950385</v>
      </c>
      <c r="N1489" s="131">
        <v>911.75767407527053</v>
      </c>
      <c r="O1489" s="94"/>
      <c r="P1489" s="14"/>
      <c r="Q1489" s="14"/>
      <c r="R1489" s="14"/>
      <c r="S1489" s="14"/>
      <c r="T1489" s="14"/>
      <c r="U1489" s="14"/>
    </row>
    <row r="1490" spans="2:21" ht="18.75" customHeight="1" x14ac:dyDescent="0.25">
      <c r="B1490" s="15"/>
      <c r="C1490" s="119" t="s">
        <v>541</v>
      </c>
      <c r="D1490" s="120" t="s">
        <v>579</v>
      </c>
      <c r="E1490" s="125">
        <v>13.142064876389879</v>
      </c>
      <c r="F1490" s="125">
        <v>15.301504338756462</v>
      </c>
      <c r="G1490" s="125">
        <v>14.331596774333299</v>
      </c>
      <c r="H1490" s="125">
        <v>13.350621068456004</v>
      </c>
      <c r="I1490" s="125">
        <v>13.541351610275747</v>
      </c>
      <c r="J1490" s="125">
        <v>13.208190320703281</v>
      </c>
      <c r="K1490" s="125">
        <v>12.983722652194366</v>
      </c>
      <c r="L1490" s="125">
        <v>12.792707292797239</v>
      </c>
      <c r="M1490" s="125">
        <v>12.350753059421548</v>
      </c>
      <c r="N1490" s="131">
        <v>12.571363177253748</v>
      </c>
      <c r="O1490" s="94"/>
      <c r="P1490" s="14"/>
      <c r="Q1490" s="14"/>
      <c r="R1490" s="14"/>
      <c r="S1490" s="14"/>
      <c r="T1490" s="14"/>
      <c r="U1490" s="14"/>
    </row>
    <row r="1491" spans="2:21" ht="18.75" customHeight="1" x14ac:dyDescent="0.25">
      <c r="B1491" s="15"/>
      <c r="C1491" s="119" t="s">
        <v>544</v>
      </c>
      <c r="D1491" s="120" t="s">
        <v>579</v>
      </c>
      <c r="E1491" s="125">
        <v>3.6</v>
      </c>
      <c r="F1491" s="128"/>
      <c r="G1491" s="128"/>
      <c r="H1491" s="128"/>
      <c r="I1491" s="128"/>
      <c r="J1491" s="128"/>
      <c r="K1491" s="128"/>
      <c r="L1491" s="128"/>
      <c r="M1491" s="125">
        <v>12.401379310344829</v>
      </c>
      <c r="N1491" s="131">
        <v>7.0588235294117645</v>
      </c>
      <c r="O1491" s="94"/>
      <c r="P1491" s="14"/>
      <c r="Q1491" s="14"/>
      <c r="R1491" s="14"/>
      <c r="S1491" s="14"/>
      <c r="T1491" s="14"/>
      <c r="U1491" s="14"/>
    </row>
    <row r="1492" spans="2:21" ht="18.75" customHeight="1" x14ac:dyDescent="0.25">
      <c r="B1492" s="15"/>
      <c r="C1492" s="119" t="s">
        <v>780</v>
      </c>
      <c r="D1492" s="120" t="s">
        <v>783</v>
      </c>
      <c r="E1492" s="125">
        <v>12.356436466348207</v>
      </c>
      <c r="F1492" s="125">
        <v>12.337435280339371</v>
      </c>
      <c r="G1492" s="125">
        <v>12.070719083577439</v>
      </c>
      <c r="H1492" s="125">
        <v>11.895859411382485</v>
      </c>
      <c r="I1492" s="125">
        <v>11.95116892282228</v>
      </c>
      <c r="J1492" s="125">
        <v>12.061546199912758</v>
      </c>
      <c r="K1492" s="125">
        <v>12.205351844317509</v>
      </c>
      <c r="L1492" s="125">
        <v>12.366906059270622</v>
      </c>
      <c r="M1492" s="125">
        <v>12.530077513205091</v>
      </c>
      <c r="N1492" s="131">
        <v>12.491360558530159</v>
      </c>
      <c r="O1492" s="94"/>
      <c r="P1492" s="14"/>
      <c r="Q1492" s="14"/>
      <c r="R1492" s="14"/>
      <c r="S1492" s="14"/>
      <c r="T1492" s="14"/>
      <c r="U1492" s="14"/>
    </row>
    <row r="1493" spans="2:21" ht="18.75" customHeight="1" x14ac:dyDescent="0.25">
      <c r="B1493" s="15"/>
      <c r="C1493" s="122" t="s">
        <v>781</v>
      </c>
      <c r="D1493" s="120" t="s">
        <v>782</v>
      </c>
      <c r="E1493" s="125">
        <v>410</v>
      </c>
      <c r="F1493" s="134">
        <v>65</v>
      </c>
      <c r="G1493" s="134">
        <v>135</v>
      </c>
      <c r="H1493" s="134">
        <v>240</v>
      </c>
      <c r="I1493" s="134">
        <v>320</v>
      </c>
      <c r="J1493" s="134">
        <v>375</v>
      </c>
      <c r="K1493" s="134">
        <v>430</v>
      </c>
      <c r="L1493" s="134">
        <v>490</v>
      </c>
      <c r="M1493" s="134">
        <v>610</v>
      </c>
      <c r="N1493" s="135">
        <v>550</v>
      </c>
      <c r="O1493" s="94"/>
      <c r="P1493" s="14"/>
      <c r="Q1493" s="14"/>
      <c r="R1493" s="14"/>
      <c r="S1493" s="14"/>
      <c r="T1493" s="14"/>
      <c r="U1493" s="14"/>
    </row>
    <row r="1494" spans="2:21" ht="18.75" customHeight="1" x14ac:dyDescent="0.25">
      <c r="B1494" s="15"/>
      <c r="C1494" s="122"/>
      <c r="D1494" s="210"/>
      <c r="E1494" s="210"/>
      <c r="F1494" s="210"/>
      <c r="G1494" s="210"/>
      <c r="H1494" s="210"/>
      <c r="I1494" s="210"/>
      <c r="J1494" s="210"/>
      <c r="K1494" s="210"/>
      <c r="L1494" s="210"/>
      <c r="M1494" s="210"/>
      <c r="N1494" s="115"/>
      <c r="O1494" s="94"/>
      <c r="P1494" s="14"/>
      <c r="Q1494" s="14"/>
      <c r="R1494" s="14"/>
      <c r="S1494" s="14"/>
      <c r="T1494" s="14"/>
      <c r="U1494" s="14"/>
    </row>
    <row r="1495" spans="2:21" ht="18.75" customHeight="1" x14ac:dyDescent="0.25">
      <c r="B1495" s="15"/>
      <c r="C1495" s="2199" t="s">
        <v>2091</v>
      </c>
      <c r="D1495" s="2200"/>
      <c r="E1495" s="2200"/>
      <c r="F1495" s="2200"/>
      <c r="G1495" s="2200"/>
      <c r="H1495" s="2200"/>
      <c r="I1495" s="2200"/>
      <c r="J1495" s="2200"/>
      <c r="K1495" s="2200"/>
      <c r="L1495" s="2200"/>
      <c r="M1495" s="2200"/>
      <c r="N1495" s="2201"/>
      <c r="O1495" s="94"/>
      <c r="P1495" s="14"/>
      <c r="Q1495" s="14"/>
      <c r="R1495" s="14"/>
      <c r="S1495" s="14"/>
      <c r="T1495" s="14"/>
      <c r="U1495" s="14"/>
    </row>
    <row r="1496" spans="2:21" ht="18.75" customHeight="1" x14ac:dyDescent="0.25">
      <c r="B1496" s="15"/>
      <c r="C1496" s="2202" t="s">
        <v>1088</v>
      </c>
      <c r="D1496" s="210">
        <v>79</v>
      </c>
      <c r="E1496" s="104" t="s">
        <v>679</v>
      </c>
      <c r="F1496" s="210">
        <v>80</v>
      </c>
      <c r="G1496" s="210">
        <v>180</v>
      </c>
      <c r="H1496" s="210">
        <v>290</v>
      </c>
      <c r="I1496" s="210">
        <v>340</v>
      </c>
      <c r="J1496" s="210">
        <v>400</v>
      </c>
      <c r="K1496" s="210">
        <v>450</v>
      </c>
      <c r="L1496" s="210">
        <v>525</v>
      </c>
      <c r="M1496" s="210">
        <v>525</v>
      </c>
      <c r="N1496" s="115">
        <v>400</v>
      </c>
      <c r="O1496" s="94"/>
      <c r="P1496" s="14"/>
      <c r="Q1496" s="14"/>
      <c r="R1496" s="14"/>
      <c r="S1496" s="14"/>
      <c r="T1496" s="14"/>
      <c r="U1496" s="14"/>
    </row>
    <row r="1497" spans="2:21" ht="18.75" customHeight="1" x14ac:dyDescent="0.25">
      <c r="B1497" s="15"/>
      <c r="C1497" s="119" t="s">
        <v>568</v>
      </c>
      <c r="D1497" s="120" t="s">
        <v>623</v>
      </c>
      <c r="E1497" s="110" t="s">
        <v>608</v>
      </c>
      <c r="F1497" s="110" t="s">
        <v>957</v>
      </c>
      <c r="G1497" s="110" t="s">
        <v>572</v>
      </c>
      <c r="H1497" s="110" t="s">
        <v>530</v>
      </c>
      <c r="I1497" s="110" t="s">
        <v>573</v>
      </c>
      <c r="J1497" s="110" t="s">
        <v>574</v>
      </c>
      <c r="K1497" s="110" t="s">
        <v>575</v>
      </c>
      <c r="L1497" s="110" t="s">
        <v>576</v>
      </c>
      <c r="M1497" s="110" t="s">
        <v>577</v>
      </c>
      <c r="N1497" s="2203" t="s">
        <v>609</v>
      </c>
      <c r="O1497" s="94"/>
      <c r="P1497" s="14"/>
      <c r="Q1497" s="14"/>
      <c r="R1497" s="14"/>
      <c r="S1497" s="14"/>
      <c r="T1497" s="14"/>
      <c r="U1497" s="14"/>
    </row>
    <row r="1498" spans="2:21" ht="18.75" customHeight="1" x14ac:dyDescent="0.25">
      <c r="B1498" s="15"/>
      <c r="C1498" s="119" t="s">
        <v>582</v>
      </c>
      <c r="D1498" s="120" t="s">
        <v>566</v>
      </c>
      <c r="E1498" s="121">
        <v>101078.82949735578</v>
      </c>
      <c r="F1498" s="129">
        <v>6390.5763671036775</v>
      </c>
      <c r="G1498" s="129">
        <v>17329.511032557024</v>
      </c>
      <c r="H1498" s="129">
        <v>22069.648867732976</v>
      </c>
      <c r="I1498" s="129">
        <v>7987.7341056017713</v>
      </c>
      <c r="J1498" s="129">
        <v>8732.7574965504864</v>
      </c>
      <c r="K1498" s="129">
        <v>6676.0002125500296</v>
      </c>
      <c r="L1498" s="129">
        <v>10260.487602845637</v>
      </c>
      <c r="M1498" s="129">
        <v>21632.113812414191</v>
      </c>
      <c r="N1498" s="130">
        <v>38504.659336491146</v>
      </c>
      <c r="O1498" s="94"/>
      <c r="P1498" s="14"/>
      <c r="Q1498" s="14"/>
      <c r="R1498" s="14"/>
      <c r="S1498" s="14"/>
      <c r="T1498" s="14"/>
      <c r="U1498" s="14"/>
    </row>
    <row r="1499" spans="2:21" ht="18.75" customHeight="1" x14ac:dyDescent="0.25">
      <c r="B1499" s="15"/>
      <c r="C1499" s="119" t="s">
        <v>582</v>
      </c>
      <c r="D1499" s="120" t="s">
        <v>628</v>
      </c>
      <c r="E1499" s="145">
        <v>16071.533890079569</v>
      </c>
      <c r="F1499" s="129">
        <v>1016.1016423694847</v>
      </c>
      <c r="G1499" s="129">
        <v>2755.3922541765669</v>
      </c>
      <c r="H1499" s="129">
        <v>3509.0741699695432</v>
      </c>
      <c r="I1499" s="129">
        <v>1270.0497227906817</v>
      </c>
      <c r="J1499" s="129">
        <v>1388.5084419515274</v>
      </c>
      <c r="K1499" s="129">
        <v>1061.4840337954547</v>
      </c>
      <c r="L1499" s="129">
        <v>1631.4175288524564</v>
      </c>
      <c r="M1499" s="129">
        <v>3439.5060961738563</v>
      </c>
      <c r="N1499" s="130">
        <v>6122.2408345020922</v>
      </c>
      <c r="O1499" s="94"/>
      <c r="P1499" s="14"/>
      <c r="Q1499" s="14"/>
      <c r="R1499" s="14"/>
      <c r="S1499" s="14"/>
      <c r="T1499" s="14"/>
      <c r="U1499" s="14"/>
    </row>
    <row r="1500" spans="2:21" ht="18.75" customHeight="1" x14ac:dyDescent="0.25">
      <c r="B1500" s="15"/>
      <c r="C1500" s="119" t="s">
        <v>620</v>
      </c>
      <c r="D1500" s="120" t="s">
        <v>622</v>
      </c>
      <c r="E1500" s="129">
        <v>13642200</v>
      </c>
      <c r="F1500" s="129">
        <v>682110</v>
      </c>
      <c r="G1500" s="129">
        <v>2046330</v>
      </c>
      <c r="H1500" s="129">
        <v>2864862</v>
      </c>
      <c r="I1500" s="129">
        <v>1091376</v>
      </c>
      <c r="J1500" s="129">
        <v>1227798</v>
      </c>
      <c r="K1500" s="129">
        <v>954954.00000000012</v>
      </c>
      <c r="L1500" s="129">
        <v>1500642</v>
      </c>
      <c r="M1500" s="129">
        <v>3274128</v>
      </c>
      <c r="N1500" s="130">
        <v>5729724</v>
      </c>
      <c r="O1500" s="94"/>
      <c r="P1500" s="14"/>
      <c r="Q1500" s="14"/>
      <c r="R1500" s="14"/>
      <c r="S1500" s="14"/>
      <c r="T1500" s="14"/>
      <c r="U1500" s="14"/>
    </row>
    <row r="1501" spans="2:21" ht="18.75" customHeight="1" x14ac:dyDescent="0.25">
      <c r="B1501" s="15"/>
      <c r="C1501" s="122" t="s">
        <v>776</v>
      </c>
      <c r="D1501" s="120" t="s">
        <v>579</v>
      </c>
      <c r="E1501" s="125">
        <v>1.6280560945570124</v>
      </c>
      <c r="F1501" s="125">
        <v>0</v>
      </c>
      <c r="G1501" s="125">
        <v>0</v>
      </c>
      <c r="H1501" s="125">
        <v>0.74061327066976335</v>
      </c>
      <c r="I1501" s="125">
        <v>1.2736502758469652</v>
      </c>
      <c r="J1501" s="125">
        <v>1.6886625723324933</v>
      </c>
      <c r="K1501" s="125">
        <v>2.0036234326678533</v>
      </c>
      <c r="L1501" s="125">
        <v>2.4920240525650574</v>
      </c>
      <c r="M1501" s="125">
        <v>3.3511640336240602</v>
      </c>
      <c r="N1501" s="131">
        <v>2.9015610812825727</v>
      </c>
      <c r="O1501" s="94"/>
      <c r="P1501" s="14"/>
      <c r="Q1501" s="14"/>
      <c r="R1501" s="14"/>
      <c r="S1501" s="14"/>
      <c r="T1501" s="14"/>
      <c r="U1501" s="14"/>
    </row>
    <row r="1502" spans="2:21" ht="18.75" customHeight="1" x14ac:dyDescent="0.25">
      <c r="B1502" s="15"/>
      <c r="C1502" s="122" t="s">
        <v>777</v>
      </c>
      <c r="D1502" s="210" t="s">
        <v>778</v>
      </c>
      <c r="E1502" s="125">
        <v>1402.4731983111192</v>
      </c>
      <c r="F1502" s="132">
        <v>0</v>
      </c>
      <c r="G1502" s="132">
        <v>28.416328171662371</v>
      </c>
      <c r="H1502" s="132">
        <v>735.51486582470034</v>
      </c>
      <c r="I1502" s="132">
        <v>1107.8239424065314</v>
      </c>
      <c r="J1502" s="132">
        <v>1364.6681779507712</v>
      </c>
      <c r="K1502" s="132">
        <v>1575.3214991287959</v>
      </c>
      <c r="L1502" s="132">
        <v>1983.0419441289901</v>
      </c>
      <c r="M1502" s="125">
        <v>2932.9144044203595</v>
      </c>
      <c r="N1502" s="133">
        <v>2457.8727996525972</v>
      </c>
      <c r="O1502" s="94"/>
      <c r="P1502" s="14"/>
      <c r="Q1502" s="14"/>
      <c r="R1502" s="14"/>
      <c r="S1502" s="14"/>
      <c r="T1502" s="14"/>
      <c r="U1502" s="14"/>
    </row>
    <row r="1503" spans="2:21" ht="18.75" customHeight="1" x14ac:dyDescent="0.25">
      <c r="B1503" s="15"/>
      <c r="C1503" s="119" t="s">
        <v>779</v>
      </c>
      <c r="D1503" s="120" t="s">
        <v>970</v>
      </c>
      <c r="E1503" s="132">
        <v>33.4</v>
      </c>
      <c r="F1503" s="125">
        <v>79.077122001763243</v>
      </c>
      <c r="G1503" s="125">
        <v>58.842693642803312</v>
      </c>
      <c r="H1503" s="125">
        <v>41.647924425527449</v>
      </c>
      <c r="I1503" s="125">
        <v>33.003360363104179</v>
      </c>
      <c r="J1503" s="125">
        <v>28.363770506852944</v>
      </c>
      <c r="K1503" s="125">
        <v>25.630127515185578</v>
      </c>
      <c r="L1503" s="125">
        <v>22.179690049988579</v>
      </c>
      <c r="M1503" s="125">
        <v>17.000829181901622</v>
      </c>
      <c r="N1503" s="131">
        <v>19.544583554135457</v>
      </c>
      <c r="O1503" s="94"/>
      <c r="P1503" s="14"/>
      <c r="Q1503" s="14"/>
      <c r="R1503" s="14"/>
      <c r="S1503" s="14"/>
      <c r="T1503" s="14"/>
      <c r="U1503" s="14"/>
    </row>
    <row r="1504" spans="2:21" ht="18.75" customHeight="1" x14ac:dyDescent="0.25">
      <c r="B1504" s="15"/>
      <c r="C1504" s="119" t="s">
        <v>580</v>
      </c>
      <c r="D1504" s="120" t="s">
        <v>581</v>
      </c>
      <c r="E1504" s="125">
        <v>858</v>
      </c>
      <c r="F1504" s="125">
        <v>671.30095214624657</v>
      </c>
      <c r="G1504" s="125">
        <v>742.66377024839755</v>
      </c>
      <c r="H1504" s="125">
        <v>816.41534525469024</v>
      </c>
      <c r="I1504" s="125">
        <v>859.31753727083878</v>
      </c>
      <c r="J1504" s="125">
        <v>884.2567772035643</v>
      </c>
      <c r="K1504" s="125">
        <v>899.64047465269482</v>
      </c>
      <c r="L1504" s="125">
        <v>919.83932589933352</v>
      </c>
      <c r="M1504" s="125">
        <v>951.91806859774874</v>
      </c>
      <c r="N1504" s="131">
        <v>935.88673737072702</v>
      </c>
      <c r="O1504" s="94"/>
      <c r="P1504" s="14"/>
      <c r="Q1504" s="14"/>
      <c r="R1504" s="14"/>
      <c r="S1504" s="14"/>
      <c r="T1504" s="14"/>
      <c r="U1504" s="14"/>
    </row>
    <row r="1505" spans="2:21" ht="18.75" customHeight="1" x14ac:dyDescent="0.25">
      <c r="B1505" s="15"/>
      <c r="C1505" s="119" t="s">
        <v>541</v>
      </c>
      <c r="D1505" s="120" t="s">
        <v>579</v>
      </c>
      <c r="E1505" s="125">
        <v>13.011884157688351</v>
      </c>
      <c r="F1505" s="125">
        <v>15.569953807288819</v>
      </c>
      <c r="G1505" s="125">
        <v>14.464779758603633</v>
      </c>
      <c r="H1505" s="125">
        <v>13.388222132356709</v>
      </c>
      <c r="I1505" s="125">
        <v>13.411074010540865</v>
      </c>
      <c r="J1505" s="125">
        <v>12.896173491295368</v>
      </c>
      <c r="K1505" s="125">
        <v>12.597253276343963</v>
      </c>
      <c r="L1505" s="125">
        <v>12.230310649632386</v>
      </c>
      <c r="M1505" s="125">
        <v>11.631080916145683</v>
      </c>
      <c r="N1505" s="131">
        <v>11.949050763520486</v>
      </c>
      <c r="O1505" s="94"/>
      <c r="P1505" s="14"/>
      <c r="Q1505" s="14"/>
      <c r="R1505" s="14"/>
      <c r="S1505" s="14"/>
      <c r="T1505" s="14"/>
      <c r="U1505" s="14"/>
    </row>
    <row r="1506" spans="2:21" ht="18.75" customHeight="1" x14ac:dyDescent="0.25">
      <c r="B1506" s="15"/>
      <c r="C1506" s="119" t="s">
        <v>544</v>
      </c>
      <c r="D1506" s="120" t="s">
        <v>579</v>
      </c>
      <c r="E1506" s="125">
        <v>3.6</v>
      </c>
      <c r="F1506" s="128"/>
      <c r="G1506" s="128"/>
      <c r="H1506" s="128"/>
      <c r="I1506" s="128"/>
      <c r="J1506" s="128"/>
      <c r="K1506" s="128"/>
      <c r="L1506" s="128"/>
      <c r="M1506" s="125">
        <v>14.984999999999999</v>
      </c>
      <c r="N1506" s="131">
        <v>8.5714285714285712</v>
      </c>
      <c r="O1506" s="94"/>
      <c r="P1506" s="14"/>
      <c r="Q1506" s="14"/>
      <c r="R1506" s="14"/>
      <c r="S1506" s="14"/>
      <c r="T1506" s="14"/>
      <c r="U1506" s="14"/>
    </row>
    <row r="1507" spans="2:21" ht="18.75" customHeight="1" x14ac:dyDescent="0.25">
      <c r="B1507" s="15"/>
      <c r="C1507" s="119" t="s">
        <v>780</v>
      </c>
      <c r="D1507" s="120" t="s">
        <v>783</v>
      </c>
      <c r="E1507" s="125">
        <v>12.108376520834813</v>
      </c>
      <c r="F1507" s="125">
        <v>12.42263240742987</v>
      </c>
      <c r="G1507" s="125">
        <v>12.137908885111598</v>
      </c>
      <c r="H1507" s="125">
        <v>11.916986924306295</v>
      </c>
      <c r="I1507" s="125">
        <v>11.882213383493148</v>
      </c>
      <c r="J1507" s="125">
        <v>11.924003389652041</v>
      </c>
      <c r="K1507" s="125">
        <v>11.983309389573753</v>
      </c>
      <c r="L1507" s="125">
        <v>12.099466350285921</v>
      </c>
      <c r="M1507" s="125">
        <v>12.248270381742856</v>
      </c>
      <c r="N1507" s="131">
        <v>12.193897872737612</v>
      </c>
      <c r="O1507" s="94"/>
      <c r="P1507" s="14"/>
      <c r="Q1507" s="14"/>
      <c r="R1507" s="14"/>
      <c r="S1507" s="14"/>
      <c r="T1507" s="14"/>
      <c r="U1507" s="14"/>
    </row>
    <row r="1508" spans="2:21" ht="18.75" customHeight="1" x14ac:dyDescent="0.25">
      <c r="B1508" s="15"/>
      <c r="C1508" s="122" t="s">
        <v>781</v>
      </c>
      <c r="D1508" s="120" t="s">
        <v>782</v>
      </c>
      <c r="E1508" s="125">
        <v>350</v>
      </c>
      <c r="F1508" s="134">
        <v>50</v>
      </c>
      <c r="G1508" s="134">
        <v>135</v>
      </c>
      <c r="H1508" s="134">
        <v>240</v>
      </c>
      <c r="I1508" s="134">
        <v>320</v>
      </c>
      <c r="J1508" s="134">
        <v>380</v>
      </c>
      <c r="K1508" s="134">
        <v>425</v>
      </c>
      <c r="L1508" s="134">
        <v>495</v>
      </c>
      <c r="M1508" s="134">
        <v>610</v>
      </c>
      <c r="N1508" s="135">
        <v>555</v>
      </c>
      <c r="O1508" s="94"/>
      <c r="P1508" s="14"/>
      <c r="Q1508" s="14"/>
      <c r="R1508" s="14"/>
      <c r="S1508" s="14"/>
      <c r="T1508" s="14"/>
      <c r="U1508" s="14"/>
    </row>
    <row r="1509" spans="2:21" ht="18.75" customHeight="1" x14ac:dyDescent="0.25">
      <c r="B1509" s="15"/>
      <c r="C1509" s="122"/>
      <c r="D1509" s="210"/>
      <c r="E1509" s="210"/>
      <c r="F1509" s="210"/>
      <c r="G1509" s="210"/>
      <c r="H1509" s="210"/>
      <c r="I1509" s="210"/>
      <c r="J1509" s="210"/>
      <c r="K1509" s="210"/>
      <c r="L1509" s="210"/>
      <c r="M1509" s="210"/>
      <c r="N1509" s="115"/>
      <c r="O1509" s="94"/>
      <c r="P1509" s="14"/>
      <c r="Q1509" s="14"/>
      <c r="R1509" s="14"/>
      <c r="S1509" s="14"/>
      <c r="T1509" s="14"/>
      <c r="U1509" s="14"/>
    </row>
    <row r="1510" spans="2:21" ht="18.75" customHeight="1" x14ac:dyDescent="0.25">
      <c r="B1510" s="15"/>
      <c r="C1510" s="2199" t="s">
        <v>2092</v>
      </c>
      <c r="D1510" s="2200"/>
      <c r="E1510" s="2200"/>
      <c r="F1510" s="2200"/>
      <c r="G1510" s="2200"/>
      <c r="H1510" s="2200"/>
      <c r="I1510" s="2200"/>
      <c r="J1510" s="2200"/>
      <c r="K1510" s="2200"/>
      <c r="L1510" s="2200"/>
      <c r="M1510" s="2200"/>
      <c r="N1510" s="2201"/>
      <c r="O1510" s="94"/>
      <c r="P1510" s="14"/>
      <c r="Q1510" s="14"/>
      <c r="R1510" s="14"/>
      <c r="S1510" s="14"/>
      <c r="T1510" s="14"/>
      <c r="U1510" s="14"/>
    </row>
    <row r="1511" spans="2:21" ht="18.75" customHeight="1" x14ac:dyDescent="0.25">
      <c r="B1511" s="15"/>
      <c r="C1511" s="2202" t="s">
        <v>1088</v>
      </c>
      <c r="D1511" s="210">
        <v>78</v>
      </c>
      <c r="E1511" s="104" t="s">
        <v>679</v>
      </c>
      <c r="F1511" s="210">
        <v>80</v>
      </c>
      <c r="G1511" s="210">
        <v>180</v>
      </c>
      <c r="H1511" s="210">
        <v>290</v>
      </c>
      <c r="I1511" s="210">
        <v>340</v>
      </c>
      <c r="J1511" s="210">
        <v>400</v>
      </c>
      <c r="K1511" s="210">
        <v>450</v>
      </c>
      <c r="L1511" s="210">
        <v>525</v>
      </c>
      <c r="M1511" s="210">
        <v>525</v>
      </c>
      <c r="N1511" s="115">
        <v>400</v>
      </c>
      <c r="O1511" s="94"/>
      <c r="P1511" s="14"/>
      <c r="Q1511" s="14"/>
      <c r="R1511" s="14"/>
      <c r="S1511" s="14"/>
      <c r="T1511" s="14"/>
      <c r="U1511" s="14"/>
    </row>
    <row r="1512" spans="2:21" ht="18.75" customHeight="1" x14ac:dyDescent="0.25">
      <c r="B1512" s="15"/>
      <c r="C1512" s="119" t="s">
        <v>568</v>
      </c>
      <c r="D1512" s="120" t="s">
        <v>623</v>
      </c>
      <c r="E1512" s="110" t="s">
        <v>608</v>
      </c>
      <c r="F1512" s="110" t="s">
        <v>957</v>
      </c>
      <c r="G1512" s="110" t="s">
        <v>572</v>
      </c>
      <c r="H1512" s="110" t="s">
        <v>530</v>
      </c>
      <c r="I1512" s="110" t="s">
        <v>573</v>
      </c>
      <c r="J1512" s="110" t="s">
        <v>574</v>
      </c>
      <c r="K1512" s="110" t="s">
        <v>575</v>
      </c>
      <c r="L1512" s="110" t="s">
        <v>576</v>
      </c>
      <c r="M1512" s="110" t="s">
        <v>577</v>
      </c>
      <c r="N1512" s="2203" t="s">
        <v>609</v>
      </c>
      <c r="O1512" s="94"/>
      <c r="P1512" s="14"/>
      <c r="Q1512" s="14"/>
      <c r="R1512" s="14"/>
      <c r="S1512" s="14"/>
      <c r="T1512" s="14"/>
      <c r="U1512" s="14"/>
    </row>
    <row r="1513" spans="2:21" ht="18.75" customHeight="1" x14ac:dyDescent="0.25">
      <c r="B1513" s="15"/>
      <c r="C1513" s="119" t="s">
        <v>582</v>
      </c>
      <c r="D1513" s="120" t="s">
        <v>566</v>
      </c>
      <c r="E1513" s="121">
        <v>101977.46733193999</v>
      </c>
      <c r="F1513" s="129">
        <v>5242.2557107593475</v>
      </c>
      <c r="G1513" s="129">
        <v>14811.135582206469</v>
      </c>
      <c r="H1513" s="129">
        <v>19999.498303152839</v>
      </c>
      <c r="I1513" s="129">
        <v>8176.0225544259492</v>
      </c>
      <c r="J1513" s="129">
        <v>7973.9300390317194</v>
      </c>
      <c r="K1513" s="129">
        <v>6824.5789643317021</v>
      </c>
      <c r="L1513" s="129">
        <v>11439.658479087004</v>
      </c>
      <c r="M1513" s="129">
        <v>27510.387698944945</v>
      </c>
      <c r="N1513" s="130">
        <v>45613.737982975668</v>
      </c>
      <c r="O1513" s="94"/>
      <c r="P1513" s="14"/>
      <c r="Q1513" s="14"/>
      <c r="R1513" s="14"/>
      <c r="S1513" s="14"/>
      <c r="T1513" s="14"/>
      <c r="U1513" s="14"/>
    </row>
    <row r="1514" spans="2:21" ht="18.75" customHeight="1" x14ac:dyDescent="0.25">
      <c r="B1514" s="15"/>
      <c r="C1514" s="119" t="s">
        <v>582</v>
      </c>
      <c r="D1514" s="120" t="s">
        <v>628</v>
      </c>
      <c r="E1514" s="145">
        <v>16214.417305778459</v>
      </c>
      <c r="F1514" s="129">
        <v>833.51865801073632</v>
      </c>
      <c r="G1514" s="129">
        <v>2354.9705575708285</v>
      </c>
      <c r="H1514" s="129">
        <v>3179.9202302013014</v>
      </c>
      <c r="I1514" s="129">
        <v>1299.9875861537259</v>
      </c>
      <c r="J1514" s="129">
        <v>1267.8548762060434</v>
      </c>
      <c r="K1514" s="129">
        <v>1085.1080553287406</v>
      </c>
      <c r="L1514" s="129">
        <v>1818.9056981748336</v>
      </c>
      <c r="M1514" s="129">
        <v>4374.1516441322465</v>
      </c>
      <c r="N1514" s="130">
        <v>7252.5843392931311</v>
      </c>
      <c r="O1514" s="94"/>
      <c r="P1514" s="14"/>
      <c r="Q1514" s="14"/>
      <c r="R1514" s="14"/>
      <c r="S1514" s="14"/>
      <c r="T1514" s="14"/>
      <c r="U1514" s="14"/>
    </row>
    <row r="1515" spans="2:21" ht="18.75" customHeight="1" x14ac:dyDescent="0.25">
      <c r="B1515" s="15"/>
      <c r="C1515" s="119" t="s">
        <v>620</v>
      </c>
      <c r="D1515" s="120" t="s">
        <v>622</v>
      </c>
      <c r="E1515" s="129">
        <v>14055600</v>
      </c>
      <c r="F1515" s="129">
        <v>562224</v>
      </c>
      <c r="G1515" s="129">
        <v>1756950</v>
      </c>
      <c r="H1515" s="129">
        <v>2600286</v>
      </c>
      <c r="I1515" s="129">
        <v>1124448</v>
      </c>
      <c r="J1515" s="129">
        <v>1124448</v>
      </c>
      <c r="K1515" s="129">
        <v>983892.00000000012</v>
      </c>
      <c r="L1515" s="129">
        <v>1686672</v>
      </c>
      <c r="M1515" s="129">
        <v>4216680</v>
      </c>
      <c r="N1515" s="130">
        <v>6887244</v>
      </c>
      <c r="O1515" s="94"/>
      <c r="P1515" s="14"/>
      <c r="Q1515" s="14"/>
      <c r="R1515" s="14"/>
      <c r="S1515" s="14"/>
      <c r="T1515" s="14"/>
      <c r="U1515" s="14"/>
    </row>
    <row r="1516" spans="2:21" ht="18.75" customHeight="1" x14ac:dyDescent="0.25">
      <c r="B1516" s="15"/>
      <c r="C1516" s="122" t="s">
        <v>776</v>
      </c>
      <c r="D1516" s="120" t="s">
        <v>579</v>
      </c>
      <c r="E1516" s="125">
        <v>2.4016444961042933</v>
      </c>
      <c r="F1516" s="125">
        <v>0</v>
      </c>
      <c r="G1516" s="125">
        <v>0</v>
      </c>
      <c r="H1516" s="125">
        <v>0.97743861771183238</v>
      </c>
      <c r="I1516" s="125">
        <v>1.7897994207961636</v>
      </c>
      <c r="J1516" s="125">
        <v>2.2740056344982649</v>
      </c>
      <c r="K1516" s="125">
        <v>2.7835081734537823</v>
      </c>
      <c r="L1516" s="125">
        <v>3.3570804422086766</v>
      </c>
      <c r="M1516" s="125">
        <v>4.3267290739908129</v>
      </c>
      <c r="N1516" s="131">
        <v>3.8688039742939795</v>
      </c>
      <c r="O1516" s="94"/>
      <c r="P1516" s="14"/>
      <c r="Q1516" s="14"/>
      <c r="R1516" s="14"/>
      <c r="S1516" s="14"/>
      <c r="T1516" s="14"/>
      <c r="U1516" s="14"/>
    </row>
    <row r="1517" spans="2:21" ht="18.75" customHeight="1" x14ac:dyDescent="0.25">
      <c r="B1517" s="15"/>
      <c r="C1517" s="122" t="s">
        <v>777</v>
      </c>
      <c r="D1517" s="210" t="s">
        <v>778</v>
      </c>
      <c r="E1517" s="125">
        <v>1652.6967268316118</v>
      </c>
      <c r="F1517" s="132">
        <v>0</v>
      </c>
      <c r="G1517" s="132">
        <v>28.416328171662371</v>
      </c>
      <c r="H1517" s="132">
        <v>708.95464512653734</v>
      </c>
      <c r="I1517" s="132">
        <v>1107.8239424065314</v>
      </c>
      <c r="J1517" s="132">
        <v>1320.9170025388626</v>
      </c>
      <c r="K1517" s="132">
        <v>1575.3214991287959</v>
      </c>
      <c r="L1517" s="132">
        <v>1983.0419441289901</v>
      </c>
      <c r="M1517" s="125">
        <v>3251.5042087720626</v>
      </c>
      <c r="N1517" s="133">
        <v>2701.4057160532925</v>
      </c>
      <c r="O1517" s="94"/>
      <c r="P1517" s="14"/>
      <c r="Q1517" s="14"/>
      <c r="R1517" s="14"/>
      <c r="S1517" s="14"/>
      <c r="T1517" s="14"/>
      <c r="U1517" s="14"/>
    </row>
    <row r="1518" spans="2:21" ht="18.75" customHeight="1" x14ac:dyDescent="0.25">
      <c r="B1518" s="15"/>
      <c r="C1518" s="119" t="s">
        <v>779</v>
      </c>
      <c r="D1518" s="120" t="s">
        <v>970</v>
      </c>
      <c r="E1518" s="132">
        <v>28.5</v>
      </c>
      <c r="F1518" s="125">
        <v>78.072548240136115</v>
      </c>
      <c r="G1518" s="125">
        <v>57.976139894353537</v>
      </c>
      <c r="H1518" s="125">
        <v>41.371562297993087</v>
      </c>
      <c r="I1518" s="125">
        <v>31.928681825182743</v>
      </c>
      <c r="J1518" s="125">
        <v>27.889099842897792</v>
      </c>
      <c r="K1518" s="125">
        <v>24.402833015244752</v>
      </c>
      <c r="L1518" s="125">
        <v>20.943179090416834</v>
      </c>
      <c r="M1518" s="125">
        <v>15.139725880060354</v>
      </c>
      <c r="N1518" s="131">
        <v>17.35922974940749</v>
      </c>
      <c r="O1518" s="94"/>
      <c r="P1518" s="14"/>
      <c r="Q1518" s="14"/>
      <c r="R1518" s="14"/>
      <c r="S1518" s="14"/>
      <c r="T1518" s="14"/>
      <c r="U1518" s="14"/>
    </row>
    <row r="1519" spans="2:21" ht="18.75" customHeight="1" x14ac:dyDescent="0.25">
      <c r="B1519" s="15"/>
      <c r="C1519" s="119" t="s">
        <v>580</v>
      </c>
      <c r="D1519" s="120" t="s">
        <v>581</v>
      </c>
      <c r="E1519" s="125">
        <v>884</v>
      </c>
      <c r="F1519" s="125">
        <v>674.51879402651377</v>
      </c>
      <c r="G1519" s="125">
        <v>746.06028272910055</v>
      </c>
      <c r="H1519" s="125">
        <v>817.72051239014627</v>
      </c>
      <c r="I1519" s="125">
        <v>864.96825967923667</v>
      </c>
      <c r="J1519" s="125">
        <v>886.8901489457711</v>
      </c>
      <c r="K1519" s="125">
        <v>906.72260257244477</v>
      </c>
      <c r="L1519" s="125">
        <v>927.30041018205486</v>
      </c>
      <c r="M1519" s="125">
        <v>963.99950048748565</v>
      </c>
      <c r="N1519" s="131">
        <v>949.6261853428183</v>
      </c>
      <c r="O1519" s="94"/>
      <c r="P1519" s="14"/>
      <c r="Q1519" s="14"/>
      <c r="R1519" s="14"/>
      <c r="S1519" s="14"/>
      <c r="T1519" s="14"/>
      <c r="U1519" s="14"/>
    </row>
    <row r="1520" spans="2:21" ht="18.75" customHeight="1" x14ac:dyDescent="0.25">
      <c r="B1520" s="15"/>
      <c r="C1520" s="119" t="s">
        <v>541</v>
      </c>
      <c r="D1520" s="120" t="s">
        <v>579</v>
      </c>
      <c r="E1520" s="125">
        <v>12.667423429903597</v>
      </c>
      <c r="F1520" s="125">
        <v>15.43832048651525</v>
      </c>
      <c r="G1520" s="125">
        <v>14.355258059321493</v>
      </c>
      <c r="H1520" s="125">
        <v>13.315607151257934</v>
      </c>
      <c r="I1520" s="125">
        <v>13.262596296772358</v>
      </c>
      <c r="J1520" s="125">
        <v>12.803579326810418</v>
      </c>
      <c r="K1520" s="125">
        <v>12.411164120632154</v>
      </c>
      <c r="L1520" s="125">
        <v>12.034264081341181</v>
      </c>
      <c r="M1520" s="125">
        <v>11.313029339844217</v>
      </c>
      <c r="N1520" s="131">
        <v>11.646534653384609</v>
      </c>
      <c r="O1520" s="94"/>
      <c r="P1520" s="14"/>
      <c r="Q1520" s="14"/>
      <c r="R1520" s="14"/>
      <c r="S1520" s="14"/>
      <c r="T1520" s="14"/>
      <c r="U1520" s="14"/>
    </row>
    <row r="1521" spans="2:21" ht="18.75" customHeight="1" x14ac:dyDescent="0.25">
      <c r="B1521" s="15"/>
      <c r="C1521" s="119" t="s">
        <v>544</v>
      </c>
      <c r="D1521" s="120" t="s">
        <v>579</v>
      </c>
      <c r="E1521" s="125">
        <v>5.9</v>
      </c>
      <c r="F1521" s="128"/>
      <c r="G1521" s="128"/>
      <c r="H1521" s="128"/>
      <c r="I1521" s="128"/>
      <c r="J1521" s="128"/>
      <c r="K1521" s="128"/>
      <c r="L1521" s="128"/>
      <c r="M1521" s="125">
        <v>19.646999999999998</v>
      </c>
      <c r="N1521" s="131">
        <v>12.040816326530612</v>
      </c>
      <c r="O1521" s="94"/>
      <c r="P1521" s="14"/>
      <c r="Q1521" s="14"/>
      <c r="R1521" s="14"/>
      <c r="S1521" s="14"/>
      <c r="T1521" s="14"/>
      <c r="U1521" s="14"/>
    </row>
    <row r="1522" spans="2:21" ht="18.75" customHeight="1" x14ac:dyDescent="0.25">
      <c r="B1522" s="15"/>
      <c r="C1522" s="119" t="s">
        <v>780</v>
      </c>
      <c r="D1522" s="120" t="s">
        <v>783</v>
      </c>
      <c r="E1522" s="125">
        <v>11.994762019238207</v>
      </c>
      <c r="F1522" s="125">
        <v>12.363369319169319</v>
      </c>
      <c r="G1522" s="125">
        <v>12.082649866541262</v>
      </c>
      <c r="H1522" s="125">
        <v>11.859196415190185</v>
      </c>
      <c r="I1522" s="125">
        <v>11.804588466421199</v>
      </c>
      <c r="J1522" s="125">
        <v>11.827612958736786</v>
      </c>
      <c r="K1522" s="125">
        <v>11.889711491210873</v>
      </c>
      <c r="L1522" s="125">
        <v>12.002113715450236</v>
      </c>
      <c r="M1522" s="125">
        <v>12.185387113729268</v>
      </c>
      <c r="N1522" s="131">
        <v>12.137203332950902</v>
      </c>
      <c r="O1522" s="94"/>
      <c r="P1522" s="14"/>
      <c r="Q1522" s="14"/>
      <c r="R1522" s="14"/>
      <c r="S1522" s="14"/>
      <c r="T1522" s="14"/>
      <c r="U1522" s="14"/>
    </row>
    <row r="1523" spans="2:21" ht="18.75" customHeight="1" x14ac:dyDescent="0.25">
      <c r="B1523" s="15"/>
      <c r="C1523" s="122" t="s">
        <v>781</v>
      </c>
      <c r="D1523" s="120" t="s">
        <v>782</v>
      </c>
      <c r="E1523" s="125">
        <v>390</v>
      </c>
      <c r="F1523" s="134">
        <v>50</v>
      </c>
      <c r="G1523" s="134">
        <v>135</v>
      </c>
      <c r="H1523" s="134">
        <v>235</v>
      </c>
      <c r="I1523" s="134">
        <v>320</v>
      </c>
      <c r="J1523" s="134">
        <v>370</v>
      </c>
      <c r="K1523" s="134">
        <v>425</v>
      </c>
      <c r="L1523" s="134">
        <v>495</v>
      </c>
      <c r="M1523" s="134">
        <v>630</v>
      </c>
      <c r="N1523" s="135">
        <v>580</v>
      </c>
      <c r="O1523" s="94"/>
      <c r="P1523" s="14"/>
      <c r="Q1523" s="14"/>
      <c r="R1523" s="14"/>
      <c r="S1523" s="14"/>
      <c r="T1523" s="14"/>
      <c r="U1523" s="14"/>
    </row>
    <row r="1524" spans="2:21" ht="18.75" customHeight="1" x14ac:dyDescent="0.25">
      <c r="B1524" s="15"/>
      <c r="C1524" s="122"/>
      <c r="D1524" s="210"/>
      <c r="E1524" s="210"/>
      <c r="F1524" s="210"/>
      <c r="G1524" s="210"/>
      <c r="H1524" s="210"/>
      <c r="I1524" s="210"/>
      <c r="J1524" s="210"/>
      <c r="K1524" s="210"/>
      <c r="L1524" s="210"/>
      <c r="M1524" s="210"/>
      <c r="N1524" s="115"/>
      <c r="O1524" s="94"/>
      <c r="P1524" s="14"/>
      <c r="Q1524" s="14"/>
      <c r="R1524" s="14"/>
      <c r="S1524" s="14"/>
      <c r="T1524" s="14"/>
      <c r="U1524" s="14"/>
    </row>
    <row r="1525" spans="2:21" ht="18.75" customHeight="1" x14ac:dyDescent="0.25">
      <c r="B1525" s="15"/>
      <c r="C1525" s="2199" t="s">
        <v>2093</v>
      </c>
      <c r="D1525" s="2200"/>
      <c r="E1525" s="2200"/>
      <c r="F1525" s="2200"/>
      <c r="G1525" s="2200"/>
      <c r="H1525" s="2200"/>
      <c r="I1525" s="2200"/>
      <c r="J1525" s="2200"/>
      <c r="K1525" s="2200"/>
      <c r="L1525" s="2200"/>
      <c r="M1525" s="2200"/>
      <c r="N1525" s="2201"/>
      <c r="O1525" s="94"/>
      <c r="P1525" s="14"/>
      <c r="Q1525" s="14"/>
      <c r="R1525" s="14"/>
      <c r="S1525" s="14"/>
      <c r="T1525" s="14"/>
      <c r="U1525" s="14"/>
    </row>
    <row r="1526" spans="2:21" ht="18.75" customHeight="1" x14ac:dyDescent="0.25">
      <c r="B1526" s="15"/>
      <c r="C1526" s="2202" t="s">
        <v>1088</v>
      </c>
      <c r="D1526" s="210">
        <v>76</v>
      </c>
      <c r="E1526" s="104" t="s">
        <v>679</v>
      </c>
      <c r="F1526" s="210">
        <v>80</v>
      </c>
      <c r="G1526" s="210">
        <v>180</v>
      </c>
      <c r="H1526" s="210">
        <v>290</v>
      </c>
      <c r="I1526" s="210">
        <v>340</v>
      </c>
      <c r="J1526" s="210">
        <v>400</v>
      </c>
      <c r="K1526" s="210">
        <v>450</v>
      </c>
      <c r="L1526" s="210">
        <v>525</v>
      </c>
      <c r="M1526" s="210">
        <v>525</v>
      </c>
      <c r="N1526" s="115">
        <v>400</v>
      </c>
      <c r="O1526" s="94"/>
      <c r="P1526" s="14"/>
      <c r="Q1526" s="14"/>
      <c r="R1526" s="14"/>
      <c r="S1526" s="14"/>
      <c r="T1526" s="14"/>
      <c r="U1526" s="14"/>
    </row>
    <row r="1527" spans="2:21" ht="18.75" customHeight="1" x14ac:dyDescent="0.25">
      <c r="B1527" s="15"/>
      <c r="C1527" s="119" t="s">
        <v>568</v>
      </c>
      <c r="D1527" s="120" t="s">
        <v>623</v>
      </c>
      <c r="E1527" s="110" t="s">
        <v>608</v>
      </c>
      <c r="F1527" s="110" t="s">
        <v>957</v>
      </c>
      <c r="G1527" s="110" t="s">
        <v>572</v>
      </c>
      <c r="H1527" s="110" t="s">
        <v>530</v>
      </c>
      <c r="I1527" s="110" t="s">
        <v>573</v>
      </c>
      <c r="J1527" s="110" t="s">
        <v>574</v>
      </c>
      <c r="K1527" s="110" t="s">
        <v>575</v>
      </c>
      <c r="L1527" s="110" t="s">
        <v>576</v>
      </c>
      <c r="M1527" s="110" t="s">
        <v>577</v>
      </c>
      <c r="N1527" s="2203" t="s">
        <v>609</v>
      </c>
      <c r="O1527" s="94"/>
      <c r="P1527" s="14"/>
      <c r="Q1527" s="14"/>
      <c r="R1527" s="14"/>
      <c r="S1527" s="14"/>
      <c r="T1527" s="14"/>
      <c r="U1527" s="14"/>
    </row>
    <row r="1528" spans="2:21" ht="18.75" customHeight="1" x14ac:dyDescent="0.25">
      <c r="B1528" s="15"/>
      <c r="C1528" s="119" t="s">
        <v>582</v>
      </c>
      <c r="D1528" s="120" t="s">
        <v>566</v>
      </c>
      <c r="E1528" s="121">
        <v>101947.61983925849</v>
      </c>
      <c r="F1528" s="129">
        <v>6744.6610120480991</v>
      </c>
      <c r="G1528" s="129">
        <v>13281.139727614558</v>
      </c>
      <c r="H1528" s="129">
        <v>17402.84359895168</v>
      </c>
      <c r="I1528" s="129">
        <v>7219.9121568998899</v>
      </c>
      <c r="J1528" s="129">
        <v>8014.7341906044039</v>
      </c>
      <c r="K1528" s="129">
        <v>6857.3582105131427</v>
      </c>
      <c r="L1528" s="129">
        <v>10542.604811027351</v>
      </c>
      <c r="M1528" s="129">
        <v>31884.366131599374</v>
      </c>
      <c r="N1528" s="130">
        <v>49391.260796149116</v>
      </c>
      <c r="O1528" s="94"/>
      <c r="P1528" s="14"/>
      <c r="Q1528" s="14"/>
      <c r="R1528" s="14"/>
      <c r="S1528" s="14"/>
      <c r="T1528" s="14"/>
      <c r="U1528" s="14"/>
    </row>
    <row r="1529" spans="2:21" ht="18.75" customHeight="1" x14ac:dyDescent="0.25">
      <c r="B1529" s="15"/>
      <c r="C1529" s="119" t="s">
        <v>582</v>
      </c>
      <c r="D1529" s="120" t="s">
        <v>628</v>
      </c>
      <c r="E1529" s="145">
        <v>16209.6715544421</v>
      </c>
      <c r="F1529" s="129">
        <v>1072.4011009156477</v>
      </c>
      <c r="G1529" s="129">
        <v>2111.7012166907148</v>
      </c>
      <c r="H1529" s="129">
        <v>2767.052132233317</v>
      </c>
      <c r="I1529" s="129">
        <v>1147.9660329470826</v>
      </c>
      <c r="J1529" s="129">
        <v>1274.3427363061003</v>
      </c>
      <c r="K1529" s="129">
        <v>1090.3199554715898</v>
      </c>
      <c r="L1529" s="129">
        <v>1676.2741649533489</v>
      </c>
      <c r="M1529" s="129">
        <v>5069.6142149243005</v>
      </c>
      <c r="N1529" s="130">
        <v>7853.2104665877096</v>
      </c>
      <c r="O1529" s="94"/>
      <c r="P1529" s="14"/>
      <c r="Q1529" s="14"/>
      <c r="R1529" s="14"/>
      <c r="S1529" s="14"/>
      <c r="T1529" s="14"/>
      <c r="U1529" s="14"/>
    </row>
    <row r="1530" spans="2:21" ht="18.75" customHeight="1" x14ac:dyDescent="0.25">
      <c r="B1530" s="15"/>
      <c r="C1530" s="119" t="s">
        <v>620</v>
      </c>
      <c r="D1530" s="120" t="s">
        <v>622</v>
      </c>
      <c r="E1530" s="129">
        <v>14151000</v>
      </c>
      <c r="F1530" s="129">
        <v>707550</v>
      </c>
      <c r="G1530" s="129">
        <v>1556610</v>
      </c>
      <c r="H1530" s="129">
        <v>2264160</v>
      </c>
      <c r="I1530" s="129">
        <v>990570.00000000012</v>
      </c>
      <c r="J1530" s="129">
        <v>1132080</v>
      </c>
      <c r="K1530" s="129">
        <v>990570.00000000012</v>
      </c>
      <c r="L1530" s="129">
        <v>1556610</v>
      </c>
      <c r="M1530" s="129">
        <v>4952850</v>
      </c>
      <c r="N1530" s="130">
        <v>7500030</v>
      </c>
      <c r="O1530" s="94"/>
      <c r="P1530" s="14"/>
      <c r="Q1530" s="14"/>
      <c r="R1530" s="14"/>
      <c r="S1530" s="14"/>
      <c r="T1530" s="14"/>
      <c r="U1530" s="14"/>
    </row>
    <row r="1531" spans="2:21" ht="18.75" customHeight="1" x14ac:dyDescent="0.25">
      <c r="B1531" s="15"/>
      <c r="C1531" s="122" t="s">
        <v>776</v>
      </c>
      <c r="D1531" s="120" t="s">
        <v>579</v>
      </c>
      <c r="E1531" s="125">
        <v>2.3281770100390475</v>
      </c>
      <c r="F1531" s="125">
        <v>0</v>
      </c>
      <c r="G1531" s="125">
        <v>0</v>
      </c>
      <c r="H1531" s="125">
        <v>0.89583426725941706</v>
      </c>
      <c r="I1531" s="125">
        <v>1.5125815976488335</v>
      </c>
      <c r="J1531" s="125">
        <v>1.9781159190172604</v>
      </c>
      <c r="K1531" s="125">
        <v>2.4348294793752916</v>
      </c>
      <c r="L1531" s="125">
        <v>2.9751511790835008</v>
      </c>
      <c r="M1531" s="125">
        <v>4.0657395676151022</v>
      </c>
      <c r="N1531" s="131">
        <v>3.6239878149447953</v>
      </c>
      <c r="O1531" s="94"/>
      <c r="P1531" s="14"/>
      <c r="Q1531" s="14"/>
      <c r="R1531" s="14"/>
      <c r="S1531" s="14"/>
      <c r="T1531" s="14"/>
      <c r="U1531" s="14"/>
    </row>
    <row r="1532" spans="2:21" ht="18.75" customHeight="1" x14ac:dyDescent="0.25">
      <c r="B1532" s="15"/>
      <c r="C1532" s="122" t="s">
        <v>777</v>
      </c>
      <c r="D1532" s="210" t="s">
        <v>778</v>
      </c>
      <c r="E1532" s="125">
        <v>1849.542438585343</v>
      </c>
      <c r="F1532" s="132">
        <v>0</v>
      </c>
      <c r="G1532" s="132">
        <v>28.416328171662371</v>
      </c>
      <c r="H1532" s="132">
        <v>735.51486582470034</v>
      </c>
      <c r="I1532" s="132">
        <v>1086.4077189387522</v>
      </c>
      <c r="J1532" s="132">
        <v>1320.9170025388626</v>
      </c>
      <c r="K1532" s="132">
        <v>1575.3214991287959</v>
      </c>
      <c r="L1532" s="132">
        <v>1983.0419441289901</v>
      </c>
      <c r="M1532" s="125">
        <v>3481.7292703785197</v>
      </c>
      <c r="N1532" s="133">
        <v>2918.8912517465783</v>
      </c>
      <c r="O1532" s="94"/>
      <c r="P1532" s="14"/>
      <c r="Q1532" s="14"/>
      <c r="R1532" s="14"/>
      <c r="S1532" s="14"/>
      <c r="T1532" s="14"/>
      <c r="U1532" s="14"/>
    </row>
    <row r="1533" spans="2:21" ht="18.75" customHeight="1" x14ac:dyDescent="0.25">
      <c r="B1533" s="15"/>
      <c r="C1533" s="119" t="s">
        <v>779</v>
      </c>
      <c r="D1533" s="120" t="s">
        <v>970</v>
      </c>
      <c r="E1533" s="132">
        <v>27.4</v>
      </c>
      <c r="F1533" s="125">
        <v>82.753815553842514</v>
      </c>
      <c r="G1533" s="125">
        <v>60.270191971917683</v>
      </c>
      <c r="H1533" s="125">
        <v>41.258202557440278</v>
      </c>
      <c r="I1533" s="125">
        <v>32.322034814556361</v>
      </c>
      <c r="J1533" s="125">
        <v>27.624693027510162</v>
      </c>
      <c r="K1533" s="125">
        <v>24.095573891432394</v>
      </c>
      <c r="L1533" s="125">
        <v>20.727699576948027</v>
      </c>
      <c r="M1533" s="125">
        <v>13.193221328436749</v>
      </c>
      <c r="N1533" s="131">
        <v>16.517370621231379</v>
      </c>
      <c r="O1533" s="94"/>
      <c r="P1533" s="14"/>
      <c r="Q1533" s="14"/>
      <c r="R1533" s="14"/>
      <c r="S1533" s="14"/>
      <c r="T1533" s="14"/>
      <c r="U1533" s="14"/>
    </row>
    <row r="1534" spans="2:21" ht="18.75" customHeight="1" x14ac:dyDescent="0.25">
      <c r="B1534" s="15"/>
      <c r="C1534" s="119" t="s">
        <v>580</v>
      </c>
      <c r="D1534" s="120" t="s">
        <v>581</v>
      </c>
      <c r="E1534" s="125">
        <v>890</v>
      </c>
      <c r="F1534" s="125">
        <v>659.78112051160053</v>
      </c>
      <c r="G1534" s="125">
        <v>737.1355320992767</v>
      </c>
      <c r="H1534" s="125">
        <v>818.25708074844715</v>
      </c>
      <c r="I1534" s="125">
        <v>862.89138491056906</v>
      </c>
      <c r="J1534" s="125">
        <v>888.36383474160721</v>
      </c>
      <c r="K1534" s="125">
        <v>908.51313417588017</v>
      </c>
      <c r="L1534" s="125">
        <v>928.61301125124771</v>
      </c>
      <c r="M1534" s="125">
        <v>976.96783029750827</v>
      </c>
      <c r="N1534" s="131">
        <v>955.02725056327574</v>
      </c>
      <c r="O1534" s="94"/>
      <c r="P1534" s="14"/>
      <c r="Q1534" s="14"/>
      <c r="R1534" s="14"/>
      <c r="S1534" s="14"/>
      <c r="T1534" s="14"/>
      <c r="U1534" s="14"/>
    </row>
    <row r="1535" spans="2:21" ht="18.75" customHeight="1" x14ac:dyDescent="0.25">
      <c r="B1535" s="15"/>
      <c r="C1535" s="119" t="s">
        <v>541</v>
      </c>
      <c r="D1535" s="120" t="s">
        <v>579</v>
      </c>
      <c r="E1535" s="125">
        <v>12.622761654498948</v>
      </c>
      <c r="F1535" s="125">
        <v>16.050302974426874</v>
      </c>
      <c r="G1535" s="125">
        <v>14.644971788924664</v>
      </c>
      <c r="H1535" s="125">
        <v>13.340483345083339</v>
      </c>
      <c r="I1535" s="125">
        <v>13.305468012589966</v>
      </c>
      <c r="J1535" s="125">
        <v>12.764856933111929</v>
      </c>
      <c r="K1535" s="125">
        <v>12.36411632396225</v>
      </c>
      <c r="L1535" s="125">
        <v>11.999774330870657</v>
      </c>
      <c r="M1535" s="125">
        <v>11.247964683369068</v>
      </c>
      <c r="N1535" s="131">
        <v>11.551416902362838</v>
      </c>
      <c r="O1535" s="94"/>
      <c r="P1535" s="14"/>
      <c r="Q1535" s="14"/>
      <c r="R1535" s="14"/>
      <c r="S1535" s="14"/>
      <c r="T1535" s="14"/>
      <c r="U1535" s="14"/>
    </row>
    <row r="1536" spans="2:21" ht="18.75" customHeight="1" x14ac:dyDescent="0.25">
      <c r="B1536" s="15"/>
      <c r="C1536" s="119" t="s">
        <v>544</v>
      </c>
      <c r="D1536" s="120" t="s">
        <v>579</v>
      </c>
      <c r="E1536" s="125">
        <v>6.8</v>
      </c>
      <c r="F1536" s="128"/>
      <c r="G1536" s="128"/>
      <c r="H1536" s="128"/>
      <c r="I1536" s="128"/>
      <c r="J1536" s="128"/>
      <c r="K1536" s="128"/>
      <c r="L1536" s="128"/>
      <c r="M1536" s="125">
        <v>19.409142857142857</v>
      </c>
      <c r="N1536" s="131">
        <v>12.830188679245284</v>
      </c>
      <c r="O1536" s="94"/>
      <c r="P1536" s="14"/>
      <c r="Q1536" s="14"/>
      <c r="R1536" s="14"/>
      <c r="S1536" s="14"/>
      <c r="T1536" s="14"/>
      <c r="U1536" s="14"/>
    </row>
    <row r="1537" spans="2:21" ht="18.75" customHeight="1" x14ac:dyDescent="0.25">
      <c r="B1537" s="15"/>
      <c r="C1537" s="119" t="s">
        <v>780</v>
      </c>
      <c r="D1537" s="120" t="s">
        <v>783</v>
      </c>
      <c r="E1537" s="125">
        <v>12.089287381532364</v>
      </c>
      <c r="F1537" s="125">
        <v>12.639532572262903</v>
      </c>
      <c r="G1537" s="125">
        <v>12.228938618487941</v>
      </c>
      <c r="H1537" s="125">
        <v>11.890164134362264</v>
      </c>
      <c r="I1537" s="125">
        <v>11.799657772673337</v>
      </c>
      <c r="J1537" s="125">
        <v>11.807992410787525</v>
      </c>
      <c r="K1537" s="125">
        <v>11.86627880391125</v>
      </c>
      <c r="L1537" s="125">
        <v>11.985148642697004</v>
      </c>
      <c r="M1537" s="125">
        <v>12.198586320287024</v>
      </c>
      <c r="N1537" s="131">
        <v>12.16214097364891</v>
      </c>
      <c r="O1537" s="94"/>
      <c r="P1537" s="14"/>
      <c r="Q1537" s="14"/>
      <c r="R1537" s="14"/>
      <c r="S1537" s="14"/>
      <c r="T1537" s="14"/>
      <c r="U1537" s="14"/>
    </row>
    <row r="1538" spans="2:21" ht="18.75" customHeight="1" x14ac:dyDescent="0.25">
      <c r="B1538" s="15"/>
      <c r="C1538" s="122" t="s">
        <v>781</v>
      </c>
      <c r="D1538" s="120" t="s">
        <v>782</v>
      </c>
      <c r="E1538" s="125">
        <v>420</v>
      </c>
      <c r="F1538" s="134">
        <v>50</v>
      </c>
      <c r="G1538" s="134">
        <v>135</v>
      </c>
      <c r="H1538" s="134">
        <v>240</v>
      </c>
      <c r="I1538" s="134">
        <v>315</v>
      </c>
      <c r="J1538" s="134">
        <v>370</v>
      </c>
      <c r="K1538" s="134">
        <v>425</v>
      </c>
      <c r="L1538" s="134">
        <v>495</v>
      </c>
      <c r="M1538" s="134">
        <v>670</v>
      </c>
      <c r="N1538" s="135">
        <v>600</v>
      </c>
      <c r="O1538" s="94"/>
      <c r="P1538" s="14"/>
      <c r="Q1538" s="14"/>
      <c r="R1538" s="14"/>
      <c r="S1538" s="14"/>
      <c r="T1538" s="14"/>
      <c r="U1538" s="14"/>
    </row>
    <row r="1539" spans="2:21" ht="18.75" customHeight="1" x14ac:dyDescent="0.25">
      <c r="B1539" s="15"/>
      <c r="C1539" s="122"/>
      <c r="D1539" s="210"/>
      <c r="E1539" s="210"/>
      <c r="F1539" s="210"/>
      <c r="G1539" s="210"/>
      <c r="H1539" s="210"/>
      <c r="I1539" s="210"/>
      <c r="J1539" s="210"/>
      <c r="K1539" s="210"/>
      <c r="L1539" s="210"/>
      <c r="M1539" s="210"/>
      <c r="N1539" s="115"/>
      <c r="O1539" s="94"/>
      <c r="P1539" s="14"/>
      <c r="Q1539" s="14"/>
      <c r="R1539" s="14"/>
      <c r="S1539" s="14"/>
      <c r="T1539" s="14"/>
      <c r="U1539" s="14"/>
    </row>
    <row r="1540" spans="2:21" ht="18.75" customHeight="1" x14ac:dyDescent="0.25">
      <c r="B1540" s="15"/>
      <c r="C1540" s="2199" t="s">
        <v>2094</v>
      </c>
      <c r="D1540" s="2200"/>
      <c r="E1540" s="2200"/>
      <c r="F1540" s="2200"/>
      <c r="G1540" s="2200"/>
      <c r="H1540" s="2200"/>
      <c r="I1540" s="2200"/>
      <c r="J1540" s="2200"/>
      <c r="K1540" s="2200"/>
      <c r="L1540" s="2200"/>
      <c r="M1540" s="2200"/>
      <c r="N1540" s="2201"/>
      <c r="O1540" s="94"/>
      <c r="P1540" s="14"/>
      <c r="Q1540" s="14"/>
      <c r="R1540" s="14"/>
      <c r="S1540" s="14"/>
      <c r="T1540" s="14"/>
      <c r="U1540" s="14"/>
    </row>
    <row r="1541" spans="2:21" ht="18.75" customHeight="1" x14ac:dyDescent="0.25">
      <c r="B1541" s="15"/>
      <c r="C1541" s="2202" t="s">
        <v>407</v>
      </c>
      <c r="D1541" s="210">
        <v>85</v>
      </c>
      <c r="E1541" s="104" t="s">
        <v>679</v>
      </c>
      <c r="F1541" s="210">
        <v>80</v>
      </c>
      <c r="G1541" s="210">
        <v>180</v>
      </c>
      <c r="H1541" s="210">
        <v>290</v>
      </c>
      <c r="I1541" s="210">
        <v>340</v>
      </c>
      <c r="J1541" s="210">
        <v>400</v>
      </c>
      <c r="K1541" s="210">
        <v>450</v>
      </c>
      <c r="L1541" s="210">
        <v>525</v>
      </c>
      <c r="M1541" s="210">
        <v>525</v>
      </c>
      <c r="N1541" s="115">
        <v>400</v>
      </c>
      <c r="O1541" s="94"/>
      <c r="P1541" s="14"/>
      <c r="Q1541" s="14"/>
      <c r="R1541" s="14"/>
      <c r="S1541" s="14"/>
      <c r="T1541" s="14"/>
      <c r="U1541" s="14"/>
    </row>
    <row r="1542" spans="2:21" ht="18.75" customHeight="1" x14ac:dyDescent="0.25">
      <c r="B1542" s="15"/>
      <c r="C1542" s="119" t="s">
        <v>568</v>
      </c>
      <c r="D1542" s="120" t="s">
        <v>623</v>
      </c>
      <c r="E1542" s="110" t="s">
        <v>608</v>
      </c>
      <c r="F1542" s="110" t="s">
        <v>957</v>
      </c>
      <c r="G1542" s="110" t="s">
        <v>572</v>
      </c>
      <c r="H1542" s="110" t="s">
        <v>530</v>
      </c>
      <c r="I1542" s="110" t="s">
        <v>573</v>
      </c>
      <c r="J1542" s="110" t="s">
        <v>574</v>
      </c>
      <c r="K1542" s="110" t="s">
        <v>575</v>
      </c>
      <c r="L1542" s="110" t="s">
        <v>576</v>
      </c>
      <c r="M1542" s="110" t="s">
        <v>577</v>
      </c>
      <c r="N1542" s="2203" t="s">
        <v>609</v>
      </c>
      <c r="O1542" s="94"/>
      <c r="P1542" s="14"/>
      <c r="Q1542" s="14"/>
      <c r="R1542" s="14"/>
      <c r="S1542" s="14"/>
      <c r="T1542" s="14"/>
      <c r="U1542" s="14"/>
    </row>
    <row r="1543" spans="2:21" ht="18.75" customHeight="1" x14ac:dyDescent="0.25">
      <c r="B1543" s="15"/>
      <c r="C1543" s="119" t="s">
        <v>582</v>
      </c>
      <c r="D1543" s="120" t="s">
        <v>566</v>
      </c>
      <c r="E1543" s="121">
        <v>102166.47552778179</v>
      </c>
      <c r="F1543" s="129">
        <v>1890.7445832202588</v>
      </c>
      <c r="G1543" s="129">
        <v>14079.131109427037</v>
      </c>
      <c r="H1543" s="129">
        <v>22070.437501344379</v>
      </c>
      <c r="I1543" s="129">
        <v>9296.5279127896447</v>
      </c>
      <c r="J1543" s="129">
        <v>9092.3290457231615</v>
      </c>
      <c r="K1543" s="129">
        <v>6939.0960882229438</v>
      </c>
      <c r="L1543" s="129">
        <v>10728.289674992426</v>
      </c>
      <c r="M1543" s="129">
        <v>28069.919612061931</v>
      </c>
      <c r="N1543" s="130">
        <v>45748.0214925662</v>
      </c>
      <c r="O1543" s="94"/>
      <c r="P1543" s="14"/>
      <c r="Q1543" s="14"/>
      <c r="R1543" s="14"/>
      <c r="S1543" s="14"/>
      <c r="T1543" s="14"/>
      <c r="U1543" s="14"/>
    </row>
    <row r="1544" spans="2:21" ht="18.75" customHeight="1" x14ac:dyDescent="0.25">
      <c r="B1544" s="15"/>
      <c r="C1544" s="119" t="s">
        <v>582</v>
      </c>
      <c r="D1544" s="120" t="s">
        <v>628</v>
      </c>
      <c r="E1544" s="145">
        <v>16244.469608917305</v>
      </c>
      <c r="F1544" s="129">
        <v>300.62838873202116</v>
      </c>
      <c r="G1544" s="129">
        <v>2238.581846398899</v>
      </c>
      <c r="H1544" s="129">
        <v>3509.1995627137562</v>
      </c>
      <c r="I1544" s="129">
        <v>1478.1479381335535</v>
      </c>
      <c r="J1544" s="129">
        <v>1445.6803182699828</v>
      </c>
      <c r="K1544" s="129">
        <v>1103.3162780274481</v>
      </c>
      <c r="L1544" s="129">
        <v>1705.7980583237957</v>
      </c>
      <c r="M1544" s="129">
        <v>4463.1172183178469</v>
      </c>
      <c r="N1544" s="130">
        <v>7273.9354173180254</v>
      </c>
      <c r="O1544" s="94"/>
      <c r="P1544" s="14"/>
      <c r="Q1544" s="14"/>
      <c r="R1544" s="14"/>
      <c r="S1544" s="14"/>
      <c r="T1544" s="14"/>
      <c r="U1544" s="14"/>
    </row>
    <row r="1545" spans="2:21" ht="18.75" customHeight="1" x14ac:dyDescent="0.25">
      <c r="B1545" s="15"/>
      <c r="C1545" s="119" t="s">
        <v>620</v>
      </c>
      <c r="D1545" s="120" t="s">
        <v>622</v>
      </c>
      <c r="E1545" s="129">
        <v>13992000</v>
      </c>
      <c r="F1545" s="129">
        <v>209880</v>
      </c>
      <c r="G1545" s="129">
        <v>1679040</v>
      </c>
      <c r="H1545" s="129">
        <v>2868360</v>
      </c>
      <c r="I1545" s="129">
        <v>1259280</v>
      </c>
      <c r="J1545" s="129">
        <v>1259280</v>
      </c>
      <c r="K1545" s="129">
        <v>979440.00000000012</v>
      </c>
      <c r="L1545" s="129">
        <v>1539120</v>
      </c>
      <c r="M1545" s="129">
        <v>4197600</v>
      </c>
      <c r="N1545" s="130">
        <v>6716160</v>
      </c>
      <c r="O1545" s="94"/>
      <c r="P1545" s="14"/>
      <c r="Q1545" s="14"/>
      <c r="R1545" s="14"/>
      <c r="S1545" s="14"/>
      <c r="T1545" s="14"/>
      <c r="U1545" s="14"/>
    </row>
    <row r="1546" spans="2:21" ht="18.75" customHeight="1" x14ac:dyDescent="0.25">
      <c r="B1546" s="15"/>
      <c r="C1546" s="122" t="s">
        <v>776</v>
      </c>
      <c r="D1546" s="120" t="s">
        <v>579</v>
      </c>
      <c r="E1546" s="125">
        <v>0.64117087221145885</v>
      </c>
      <c r="F1546" s="125">
        <v>0</v>
      </c>
      <c r="G1546" s="125">
        <v>0</v>
      </c>
      <c r="H1546" s="125">
        <v>0.22691618249499945</v>
      </c>
      <c r="I1546" s="125">
        <v>0.23126578477114679</v>
      </c>
      <c r="J1546" s="125">
        <v>0.24558015177239323</v>
      </c>
      <c r="K1546" s="125">
        <v>0.33210421355773745</v>
      </c>
      <c r="L1546" s="125">
        <v>0.55045152698823507</v>
      </c>
      <c r="M1546" s="125">
        <v>1.5597998586443926</v>
      </c>
      <c r="N1546" s="131">
        <v>1.149451917731386</v>
      </c>
      <c r="O1546" s="94"/>
      <c r="P1546" s="14"/>
      <c r="Q1546" s="14"/>
      <c r="R1546" s="14"/>
      <c r="S1546" s="14"/>
      <c r="T1546" s="14"/>
      <c r="U1546" s="14"/>
    </row>
    <row r="1547" spans="2:21" ht="18.75" customHeight="1" x14ac:dyDescent="0.25">
      <c r="B1547" s="15"/>
      <c r="C1547" s="122" t="s">
        <v>777</v>
      </c>
      <c r="D1547" s="210" t="s">
        <v>778</v>
      </c>
      <c r="E1547" s="125">
        <v>1606.3296138984624</v>
      </c>
      <c r="F1547" s="132">
        <v>0</v>
      </c>
      <c r="G1547" s="132">
        <v>0</v>
      </c>
      <c r="H1547" s="132">
        <v>739.05612521521107</v>
      </c>
      <c r="I1547" s="132">
        <v>1110.5112951290912</v>
      </c>
      <c r="J1547" s="132">
        <v>1342.5504170029749</v>
      </c>
      <c r="K1547" s="132">
        <v>1609.1190187827015</v>
      </c>
      <c r="L1547" s="132">
        <v>1940.0540158378199</v>
      </c>
      <c r="M1547" s="125">
        <v>3026.6776036016959</v>
      </c>
      <c r="N1547" s="133">
        <v>2570.9324044530376</v>
      </c>
      <c r="O1547" s="94"/>
      <c r="P1547" s="14"/>
      <c r="Q1547" s="14"/>
      <c r="R1547" s="14"/>
      <c r="S1547" s="14"/>
      <c r="T1547" s="14"/>
      <c r="U1547" s="14"/>
    </row>
    <row r="1548" spans="2:21" ht="18.75" customHeight="1" x14ac:dyDescent="0.25">
      <c r="B1548" s="15"/>
      <c r="C1548" s="119" t="s">
        <v>779</v>
      </c>
      <c r="D1548" s="120" t="s">
        <v>970</v>
      </c>
      <c r="E1548" s="132">
        <v>29.3</v>
      </c>
      <c r="F1548" s="125">
        <v>70.982447933726419</v>
      </c>
      <c r="G1548" s="125">
        <v>56.969198663610008</v>
      </c>
      <c r="H1548" s="125">
        <v>41.442948117371742</v>
      </c>
      <c r="I1548" s="125">
        <v>34.429668287950747</v>
      </c>
      <c r="J1548" s="125">
        <v>30.785011853315304</v>
      </c>
      <c r="K1548" s="125">
        <v>27.73943873677112</v>
      </c>
      <c r="L1548" s="125">
        <v>25.169184588559091</v>
      </c>
      <c r="M1548" s="125">
        <v>18.802322344167905</v>
      </c>
      <c r="N1548" s="131">
        <v>21.600587034387743</v>
      </c>
      <c r="O1548" s="94"/>
      <c r="P1548" s="14"/>
      <c r="Q1548" s="14"/>
      <c r="R1548" s="14"/>
      <c r="S1548" s="14"/>
      <c r="T1548" s="14"/>
      <c r="U1548" s="14"/>
    </row>
    <row r="1549" spans="2:21" ht="18.75" customHeight="1" x14ac:dyDescent="0.25">
      <c r="B1549" s="15"/>
      <c r="C1549" s="119" t="s">
        <v>580</v>
      </c>
      <c r="D1549" s="120" t="s">
        <v>581</v>
      </c>
      <c r="E1549" s="125">
        <v>880</v>
      </c>
      <c r="F1549" s="125">
        <v>698.13766053573249</v>
      </c>
      <c r="G1549" s="125">
        <v>750.04628609000486</v>
      </c>
      <c r="H1549" s="125">
        <v>817.38298114394547</v>
      </c>
      <c r="I1549" s="125">
        <v>851.93096544185119</v>
      </c>
      <c r="J1549" s="125">
        <v>871.06394414150679</v>
      </c>
      <c r="K1549" s="125">
        <v>887.72369220463338</v>
      </c>
      <c r="L1549" s="125">
        <v>902.28734432516467</v>
      </c>
      <c r="M1549" s="125">
        <v>940.50857162610646</v>
      </c>
      <c r="N1549" s="131">
        <v>923.31861842077183</v>
      </c>
      <c r="O1549" s="94"/>
      <c r="P1549" s="14"/>
      <c r="Q1549" s="14"/>
      <c r="R1549" s="14"/>
      <c r="S1549" s="14"/>
      <c r="T1549" s="14"/>
      <c r="U1549" s="14"/>
    </row>
    <row r="1550" spans="2:21" ht="18.75" customHeight="1" x14ac:dyDescent="0.25">
      <c r="B1550" s="15"/>
      <c r="C1550" s="119" t="s">
        <v>541</v>
      </c>
      <c r="D1550" s="120" t="s">
        <v>579</v>
      </c>
      <c r="E1550" s="125">
        <v>12.99506601021279</v>
      </c>
      <c r="F1550" s="125">
        <v>14.947831354765905</v>
      </c>
      <c r="G1550" s="125">
        <v>14.227857869929412</v>
      </c>
      <c r="H1550" s="125">
        <v>13.363115792790603</v>
      </c>
      <c r="I1550" s="125">
        <v>13.593462698409343</v>
      </c>
      <c r="J1550" s="125">
        <v>13.219426812695954</v>
      </c>
      <c r="K1550" s="125">
        <v>12.922077242712444</v>
      </c>
      <c r="L1550" s="125">
        <v>12.679804441839639</v>
      </c>
      <c r="M1550" s="125">
        <v>12.038609687953313</v>
      </c>
      <c r="N1550" s="131">
        <v>12.314389170787969</v>
      </c>
      <c r="O1550" s="94"/>
      <c r="P1550" s="14"/>
      <c r="Q1550" s="14"/>
      <c r="R1550" s="14"/>
      <c r="S1550" s="14"/>
      <c r="T1550" s="14"/>
      <c r="U1550" s="14"/>
    </row>
    <row r="1551" spans="2:21" ht="18.75" customHeight="1" x14ac:dyDescent="0.25">
      <c r="B1551" s="15"/>
      <c r="C1551" s="119" t="s">
        <v>544</v>
      </c>
      <c r="D1551" s="120" t="s">
        <v>579</v>
      </c>
      <c r="E1551" s="125">
        <v>3.3</v>
      </c>
      <c r="F1551" s="128"/>
      <c r="G1551" s="128"/>
      <c r="H1551" s="128"/>
      <c r="I1551" s="128"/>
      <c r="J1551" s="128"/>
      <c r="K1551" s="128"/>
      <c r="L1551" s="128"/>
      <c r="M1551" s="125">
        <v>10.989000000000001</v>
      </c>
      <c r="N1551" s="131">
        <v>6.875</v>
      </c>
      <c r="O1551" s="94"/>
      <c r="P1551" s="14"/>
      <c r="Q1551" s="14"/>
      <c r="R1551" s="14"/>
      <c r="S1551" s="14"/>
      <c r="T1551" s="14"/>
      <c r="U1551" s="14"/>
    </row>
    <row r="1552" spans="2:21" ht="18.75" customHeight="1" x14ac:dyDescent="0.25">
      <c r="B1552" s="15"/>
      <c r="C1552" s="119" t="s">
        <v>780</v>
      </c>
      <c r="D1552" s="120" t="s">
        <v>783</v>
      </c>
      <c r="E1552" s="125">
        <v>12.024362711058783</v>
      </c>
      <c r="F1552" s="125">
        <v>12.186615592501289</v>
      </c>
      <c r="G1552" s="125">
        <v>12.018438518695344</v>
      </c>
      <c r="H1552" s="125">
        <v>11.902879333977456</v>
      </c>
      <c r="I1552" s="125">
        <v>11.951464907314509</v>
      </c>
      <c r="J1552" s="125">
        <v>12.042506740404015</v>
      </c>
      <c r="K1552" s="125">
        <v>12.173095441369446</v>
      </c>
      <c r="L1552" s="125">
        <v>12.308013041892403</v>
      </c>
      <c r="M1552" s="125">
        <v>12.44347139232536</v>
      </c>
      <c r="N1552" s="131">
        <v>12.434057342241191</v>
      </c>
      <c r="O1552" s="94"/>
      <c r="P1552" s="14"/>
      <c r="Q1552" s="14"/>
      <c r="R1552" s="14"/>
      <c r="S1552" s="14"/>
      <c r="T1552" s="14"/>
      <c r="U1552" s="14"/>
    </row>
    <row r="1553" spans="2:21" ht="18.75" customHeight="1" x14ac:dyDescent="0.25">
      <c r="B1553" s="15"/>
      <c r="C1553" s="122" t="s">
        <v>781</v>
      </c>
      <c r="D1553" s="120" t="s">
        <v>782</v>
      </c>
      <c r="E1553" s="125">
        <v>385</v>
      </c>
      <c r="F1553" s="134">
        <v>70</v>
      </c>
      <c r="G1553" s="134">
        <v>135</v>
      </c>
      <c r="H1553" s="134">
        <v>240</v>
      </c>
      <c r="I1553" s="134">
        <v>315</v>
      </c>
      <c r="J1553" s="134">
        <v>370</v>
      </c>
      <c r="K1553" s="134">
        <v>430</v>
      </c>
      <c r="L1553" s="134">
        <v>490</v>
      </c>
      <c r="M1553" s="134">
        <v>620</v>
      </c>
      <c r="N1553" s="135">
        <v>570</v>
      </c>
      <c r="O1553" s="94"/>
      <c r="P1553" s="14"/>
      <c r="Q1553" s="14"/>
      <c r="R1553" s="14"/>
      <c r="S1553" s="14"/>
      <c r="T1553" s="14"/>
      <c r="U1553" s="14"/>
    </row>
    <row r="1554" spans="2:21" ht="18.75" customHeight="1" x14ac:dyDescent="0.25">
      <c r="B1554" s="15"/>
      <c r="C1554" s="122"/>
      <c r="D1554" s="210"/>
      <c r="E1554" s="210"/>
      <c r="F1554" s="210"/>
      <c r="G1554" s="210"/>
      <c r="H1554" s="210"/>
      <c r="I1554" s="210"/>
      <c r="J1554" s="210"/>
      <c r="K1554" s="210"/>
      <c r="L1554" s="210"/>
      <c r="M1554" s="210"/>
      <c r="N1554" s="115"/>
      <c r="O1554" s="94"/>
      <c r="P1554" s="14"/>
      <c r="Q1554" s="14"/>
      <c r="R1554" s="14"/>
      <c r="S1554" s="14"/>
      <c r="T1554" s="14"/>
      <c r="U1554" s="14"/>
    </row>
    <row r="1555" spans="2:21" ht="18.75" customHeight="1" x14ac:dyDescent="0.25">
      <c r="B1555" s="15"/>
      <c r="C1555" s="2199" t="s">
        <v>2095</v>
      </c>
      <c r="D1555" s="2200"/>
      <c r="E1555" s="2200"/>
      <c r="F1555" s="2200"/>
      <c r="G1555" s="2200"/>
      <c r="H1555" s="2200"/>
      <c r="I1555" s="2200"/>
      <c r="J1555" s="2200"/>
      <c r="K1555" s="2200"/>
      <c r="L1555" s="2200"/>
      <c r="M1555" s="2200"/>
      <c r="N1555" s="2201"/>
      <c r="O1555" s="94"/>
      <c r="P1555" s="14"/>
      <c r="Q1555" s="14"/>
      <c r="R1555" s="14"/>
      <c r="S1555" s="14"/>
      <c r="T1555" s="14"/>
      <c r="U1555" s="14"/>
    </row>
    <row r="1556" spans="2:21" ht="18.75" customHeight="1" x14ac:dyDescent="0.25">
      <c r="B1556" s="15"/>
      <c r="C1556" s="2202" t="s">
        <v>407</v>
      </c>
      <c r="D1556" s="210">
        <v>88</v>
      </c>
      <c r="E1556" s="104" t="s">
        <v>679</v>
      </c>
      <c r="F1556" s="210">
        <v>80</v>
      </c>
      <c r="G1556" s="210">
        <v>180</v>
      </c>
      <c r="H1556" s="210">
        <v>290</v>
      </c>
      <c r="I1556" s="210">
        <v>340</v>
      </c>
      <c r="J1556" s="210">
        <v>400</v>
      </c>
      <c r="K1556" s="210">
        <v>450</v>
      </c>
      <c r="L1556" s="210">
        <v>525</v>
      </c>
      <c r="M1556" s="210">
        <v>525</v>
      </c>
      <c r="N1556" s="115">
        <v>400</v>
      </c>
      <c r="O1556" s="94"/>
      <c r="P1556" s="14"/>
      <c r="Q1556" s="14"/>
      <c r="R1556" s="14"/>
      <c r="S1556" s="14"/>
      <c r="T1556" s="14"/>
      <c r="U1556" s="14"/>
    </row>
    <row r="1557" spans="2:21" ht="18.75" customHeight="1" x14ac:dyDescent="0.25">
      <c r="B1557" s="15"/>
      <c r="C1557" s="119" t="s">
        <v>568</v>
      </c>
      <c r="D1557" s="120" t="s">
        <v>623</v>
      </c>
      <c r="E1557" s="110" t="s">
        <v>608</v>
      </c>
      <c r="F1557" s="110" t="s">
        <v>957</v>
      </c>
      <c r="G1557" s="110" t="s">
        <v>572</v>
      </c>
      <c r="H1557" s="110" t="s">
        <v>530</v>
      </c>
      <c r="I1557" s="110" t="s">
        <v>573</v>
      </c>
      <c r="J1557" s="110" t="s">
        <v>574</v>
      </c>
      <c r="K1557" s="110" t="s">
        <v>575</v>
      </c>
      <c r="L1557" s="110" t="s">
        <v>576</v>
      </c>
      <c r="M1557" s="110" t="s">
        <v>577</v>
      </c>
      <c r="N1557" s="2203" t="s">
        <v>609</v>
      </c>
      <c r="O1557" s="94"/>
      <c r="P1557" s="14"/>
      <c r="Q1557" s="14"/>
      <c r="R1557" s="14"/>
      <c r="S1557" s="14"/>
      <c r="T1557" s="14"/>
      <c r="U1557" s="14"/>
    </row>
    <row r="1558" spans="2:21" ht="18.75" customHeight="1" x14ac:dyDescent="0.25">
      <c r="B1558" s="15"/>
      <c r="C1558" s="119" t="s">
        <v>582</v>
      </c>
      <c r="D1558" s="120" t="s">
        <v>566</v>
      </c>
      <c r="E1558" s="121">
        <v>100960.41183750372</v>
      </c>
      <c r="F1558" s="129">
        <v>2678.8850650033405</v>
      </c>
      <c r="G1558" s="129">
        <v>12070.344295916964</v>
      </c>
      <c r="H1558" s="129">
        <v>13844.198279267379</v>
      </c>
      <c r="I1558" s="129">
        <v>6065.8119397332657</v>
      </c>
      <c r="J1558" s="129">
        <v>5953.0172691391572</v>
      </c>
      <c r="K1558" s="129">
        <v>5883.1412192534071</v>
      </c>
      <c r="L1558" s="129">
        <v>8759.8813906730338</v>
      </c>
      <c r="M1558" s="129">
        <v>45705.132378517177</v>
      </c>
      <c r="N1558" s="130">
        <v>60397.433933712266</v>
      </c>
      <c r="O1558" s="94"/>
      <c r="P1558" s="14"/>
      <c r="Q1558" s="14"/>
      <c r="R1558" s="14"/>
      <c r="S1558" s="14"/>
      <c r="T1558" s="14"/>
      <c r="U1558" s="14"/>
    </row>
    <row r="1559" spans="2:21" ht="18.75" customHeight="1" x14ac:dyDescent="0.25">
      <c r="B1559" s="15"/>
      <c r="C1559" s="119" t="s">
        <v>582</v>
      </c>
      <c r="D1559" s="120" t="s">
        <v>628</v>
      </c>
      <c r="E1559" s="145">
        <v>16052.705482163092</v>
      </c>
      <c r="F1559" s="129">
        <v>425.94272533553112</v>
      </c>
      <c r="G1559" s="129">
        <v>1919.1847430507974</v>
      </c>
      <c r="H1559" s="129">
        <v>2201.2275264035134</v>
      </c>
      <c r="I1559" s="129">
        <v>964.4640984175893</v>
      </c>
      <c r="J1559" s="129">
        <v>946.52974579312604</v>
      </c>
      <c r="K1559" s="129">
        <v>935.41945386129169</v>
      </c>
      <c r="L1559" s="129">
        <v>1392.8211411170123</v>
      </c>
      <c r="M1559" s="129">
        <v>7267.1160481842317</v>
      </c>
      <c r="N1559" s="130">
        <v>9603.1919954602508</v>
      </c>
      <c r="O1559" s="94"/>
      <c r="P1559" s="14"/>
      <c r="Q1559" s="14"/>
      <c r="R1559" s="14"/>
      <c r="S1559" s="14"/>
      <c r="T1559" s="14"/>
      <c r="U1559" s="14"/>
    </row>
    <row r="1560" spans="2:21" ht="18.75" customHeight="1" x14ac:dyDescent="0.25">
      <c r="B1560" s="15"/>
      <c r="C1560" s="119" t="s">
        <v>620</v>
      </c>
      <c r="D1560" s="120" t="s">
        <v>622</v>
      </c>
      <c r="E1560" s="129">
        <v>14500800</v>
      </c>
      <c r="F1560" s="129">
        <v>290016</v>
      </c>
      <c r="G1560" s="129">
        <v>1450080</v>
      </c>
      <c r="H1560" s="129">
        <v>1885104</v>
      </c>
      <c r="I1560" s="129">
        <v>870048</v>
      </c>
      <c r="J1560" s="129">
        <v>870048</v>
      </c>
      <c r="K1560" s="129">
        <v>870048</v>
      </c>
      <c r="L1560" s="129">
        <v>1305072</v>
      </c>
      <c r="M1560" s="129">
        <v>6960384</v>
      </c>
      <c r="N1560" s="130">
        <v>9135504</v>
      </c>
      <c r="O1560" s="94"/>
      <c r="P1560" s="14"/>
      <c r="Q1560" s="14"/>
      <c r="R1560" s="14"/>
      <c r="S1560" s="14"/>
      <c r="T1560" s="14"/>
      <c r="U1560" s="14"/>
    </row>
    <row r="1561" spans="2:21" ht="18.75" customHeight="1" x14ac:dyDescent="0.25">
      <c r="B1561" s="15"/>
      <c r="C1561" s="122" t="s">
        <v>776</v>
      </c>
      <c r="D1561" s="120" t="s">
        <v>579</v>
      </c>
      <c r="E1561" s="125">
        <v>0.7747176390652023</v>
      </c>
      <c r="F1561" s="125">
        <v>0</v>
      </c>
      <c r="G1561" s="125">
        <v>0</v>
      </c>
      <c r="H1561" s="125">
        <v>0.42041843261349943</v>
      </c>
      <c r="I1561" s="125">
        <v>0.20643742412431365</v>
      </c>
      <c r="J1561" s="125">
        <v>5.4594690936643708E-2</v>
      </c>
      <c r="K1561" s="125">
        <v>-4.9331272856821151E-2</v>
      </c>
      <c r="L1561" s="125">
        <v>2.7500817117513954E-2</v>
      </c>
      <c r="M1561" s="125">
        <v>1.4685127474012978</v>
      </c>
      <c r="N1561" s="131">
        <v>1.1180973268599841</v>
      </c>
      <c r="O1561" s="94"/>
      <c r="P1561" s="14"/>
      <c r="Q1561" s="14"/>
      <c r="R1561" s="14"/>
      <c r="S1561" s="14"/>
      <c r="T1561" s="14"/>
      <c r="U1561" s="14"/>
    </row>
    <row r="1562" spans="2:21" ht="18.75" customHeight="1" x14ac:dyDescent="0.25">
      <c r="B1562" s="15"/>
      <c r="C1562" s="122" t="s">
        <v>777</v>
      </c>
      <c r="D1562" s="210" t="s">
        <v>778</v>
      </c>
      <c r="E1562" s="125">
        <v>2183.4232814230431</v>
      </c>
      <c r="F1562" s="132">
        <v>0</v>
      </c>
      <c r="G1562" s="132">
        <v>0</v>
      </c>
      <c r="H1562" s="132">
        <v>737.41139883527921</v>
      </c>
      <c r="I1562" s="132">
        <v>1119.4554584803795</v>
      </c>
      <c r="J1562" s="132">
        <v>1331.1570476717015</v>
      </c>
      <c r="K1562" s="132">
        <v>1579.8948938998883</v>
      </c>
      <c r="L1562" s="132">
        <v>1977.7281933465856</v>
      </c>
      <c r="M1562" s="125">
        <v>3474.4454545211374</v>
      </c>
      <c r="N1562" s="133">
        <v>3080.1953161989395</v>
      </c>
      <c r="O1562" s="94"/>
      <c r="P1562" s="14"/>
      <c r="Q1562" s="14"/>
      <c r="R1562" s="14"/>
      <c r="S1562" s="14"/>
      <c r="T1562" s="14"/>
      <c r="U1562" s="14"/>
    </row>
    <row r="1563" spans="2:21" ht="18.75" customHeight="1" x14ac:dyDescent="0.25">
      <c r="B1563" s="15"/>
      <c r="C1563" s="119" t="s">
        <v>779</v>
      </c>
      <c r="D1563" s="120" t="s">
        <v>970</v>
      </c>
      <c r="E1563" s="132">
        <v>23.6</v>
      </c>
      <c r="F1563" s="125">
        <v>76.114506795408516</v>
      </c>
      <c r="G1563" s="125">
        <v>55.591160467121298</v>
      </c>
      <c r="H1563" s="125">
        <v>33.566167912505563</v>
      </c>
      <c r="I1563" s="125">
        <v>25.200831829061954</v>
      </c>
      <c r="J1563" s="125">
        <v>22.28695667375024</v>
      </c>
      <c r="K1563" s="125">
        <v>20.481817435868138</v>
      </c>
      <c r="L1563" s="125">
        <v>19.36528830551967</v>
      </c>
      <c r="M1563" s="125">
        <v>16.090139904790163</v>
      </c>
      <c r="N1563" s="131">
        <v>17.097515634088523</v>
      </c>
      <c r="O1563" s="94"/>
      <c r="P1563" s="14"/>
      <c r="Q1563" s="14"/>
      <c r="R1563" s="14"/>
      <c r="S1563" s="14"/>
      <c r="T1563" s="14"/>
      <c r="U1563" s="14"/>
    </row>
    <row r="1564" spans="2:21" ht="18.75" customHeight="1" x14ac:dyDescent="0.25">
      <c r="B1564" s="15"/>
      <c r="C1564" s="119" t="s">
        <v>580</v>
      </c>
      <c r="D1564" s="120" t="s">
        <v>581</v>
      </c>
      <c r="E1564" s="125">
        <v>912</v>
      </c>
      <c r="F1564" s="125">
        <v>680.88027509225208</v>
      </c>
      <c r="G1564" s="125">
        <v>755.57082519054757</v>
      </c>
      <c r="H1564" s="125">
        <v>856.38761890279761</v>
      </c>
      <c r="I1564" s="125">
        <v>902.10511871566894</v>
      </c>
      <c r="J1564" s="125">
        <v>919.19773664477952</v>
      </c>
      <c r="K1564" s="125">
        <v>930.11535777725521</v>
      </c>
      <c r="L1564" s="125">
        <v>936.99898822138834</v>
      </c>
      <c r="M1564" s="125">
        <v>957.79177790055076</v>
      </c>
      <c r="N1564" s="131">
        <v>951.29869363422677</v>
      </c>
      <c r="O1564" s="94"/>
      <c r="P1564" s="14"/>
      <c r="Q1564" s="14"/>
      <c r="R1564" s="14"/>
      <c r="S1564" s="14"/>
      <c r="T1564" s="14"/>
      <c r="U1564" s="14"/>
    </row>
    <row r="1565" spans="2:21" ht="18.75" customHeight="1" x14ac:dyDescent="0.25">
      <c r="B1565" s="15"/>
      <c r="C1565" s="119" t="s">
        <v>541</v>
      </c>
      <c r="D1565" s="120" t="s">
        <v>579</v>
      </c>
      <c r="E1565" s="125">
        <v>12.135684980949373</v>
      </c>
      <c r="F1565" s="125">
        <v>15.512092111843518</v>
      </c>
      <c r="G1565" s="125">
        <v>13.984275371608703</v>
      </c>
      <c r="H1565" s="125">
        <v>12.394618874343807</v>
      </c>
      <c r="I1565" s="125">
        <v>12.28679258040539</v>
      </c>
      <c r="J1565" s="125">
        <v>11.954668973012954</v>
      </c>
      <c r="K1565" s="125">
        <v>11.7964988512155</v>
      </c>
      <c r="L1565" s="125">
        <v>11.77942539169938</v>
      </c>
      <c r="M1565" s="125">
        <v>11.652685913241589</v>
      </c>
      <c r="N1565" s="131">
        <v>11.684488023304503</v>
      </c>
      <c r="O1565" s="94"/>
      <c r="P1565" s="14"/>
      <c r="Q1565" s="14"/>
      <c r="R1565" s="14"/>
      <c r="S1565" s="14"/>
      <c r="T1565" s="14"/>
      <c r="U1565" s="14"/>
    </row>
    <row r="1566" spans="2:21" ht="18.75" customHeight="1" x14ac:dyDescent="0.25">
      <c r="B1566" s="15"/>
      <c r="C1566" s="119" t="s">
        <v>544</v>
      </c>
      <c r="D1566" s="120" t="s">
        <v>579</v>
      </c>
      <c r="E1566" s="125">
        <v>7.57</v>
      </c>
      <c r="F1566" s="128"/>
      <c r="G1566" s="128"/>
      <c r="H1566" s="128"/>
      <c r="I1566" s="128"/>
      <c r="J1566" s="128"/>
      <c r="K1566" s="128"/>
      <c r="L1566" s="128"/>
      <c r="M1566" s="125">
        <v>15.755062500000001</v>
      </c>
      <c r="N1566" s="131">
        <v>12.015873015873016</v>
      </c>
      <c r="O1566" s="94"/>
      <c r="P1566" s="14"/>
      <c r="Q1566" s="14"/>
      <c r="R1566" s="14"/>
      <c r="S1566" s="14"/>
      <c r="T1566" s="14"/>
      <c r="U1566" s="14"/>
    </row>
    <row r="1567" spans="2:21" ht="18.75" customHeight="1" x14ac:dyDescent="0.25">
      <c r="B1567" s="15"/>
      <c r="C1567" s="119" t="s">
        <v>780</v>
      </c>
      <c r="D1567" s="120" t="s">
        <v>783</v>
      </c>
      <c r="E1567" s="125">
        <v>12.316363167597387</v>
      </c>
      <c r="F1567" s="125">
        <v>12.434506540204216</v>
      </c>
      <c r="G1567" s="125">
        <v>11.881644442730535</v>
      </c>
      <c r="H1567" s="125">
        <v>11.360756250386014</v>
      </c>
      <c r="I1567" s="125">
        <v>11.318630312803016</v>
      </c>
      <c r="J1567" s="125">
        <v>11.411900835326731</v>
      </c>
      <c r="K1567" s="125">
        <v>11.590680722560425</v>
      </c>
      <c r="L1567" s="125">
        <v>11.87788365974099</v>
      </c>
      <c r="M1567" s="125">
        <v>12.309463193395782</v>
      </c>
      <c r="N1567" s="131">
        <v>12.279331307275484</v>
      </c>
      <c r="O1567" s="94"/>
      <c r="P1567" s="14"/>
      <c r="Q1567" s="14"/>
      <c r="R1567" s="14"/>
      <c r="S1567" s="14"/>
      <c r="T1567" s="14"/>
      <c r="U1567" s="14"/>
    </row>
    <row r="1568" spans="2:21" ht="18.75" customHeight="1" x14ac:dyDescent="0.25">
      <c r="B1568" s="15"/>
      <c r="C1568" s="122" t="s">
        <v>781</v>
      </c>
      <c r="D1568" s="120" t="s">
        <v>782</v>
      </c>
      <c r="E1568" s="125">
        <v>515</v>
      </c>
      <c r="F1568" s="134">
        <v>65</v>
      </c>
      <c r="G1568" s="134">
        <v>130</v>
      </c>
      <c r="H1568" s="134">
        <v>240</v>
      </c>
      <c r="I1568" s="134">
        <v>320</v>
      </c>
      <c r="J1568" s="134">
        <v>370</v>
      </c>
      <c r="K1568" s="134">
        <v>425</v>
      </c>
      <c r="L1568" s="134">
        <v>495</v>
      </c>
      <c r="M1568" s="134">
        <v>640</v>
      </c>
      <c r="N1568" s="135">
        <v>615</v>
      </c>
      <c r="O1568" s="94"/>
      <c r="P1568" s="14"/>
      <c r="Q1568" s="14"/>
      <c r="R1568" s="14"/>
      <c r="S1568" s="14"/>
      <c r="T1568" s="14"/>
      <c r="U1568" s="14"/>
    </row>
    <row r="1569" spans="2:21" ht="18.75" customHeight="1" x14ac:dyDescent="0.25">
      <c r="B1569" s="15"/>
      <c r="C1569" s="122"/>
      <c r="D1569" s="210"/>
      <c r="E1569" s="210"/>
      <c r="F1569" s="210"/>
      <c r="G1569" s="210"/>
      <c r="H1569" s="210"/>
      <c r="I1569" s="210"/>
      <c r="J1569" s="210"/>
      <c r="K1569" s="210"/>
      <c r="L1569" s="210"/>
      <c r="M1569" s="210"/>
      <c r="N1569" s="115"/>
      <c r="O1569" s="94"/>
      <c r="P1569" s="14"/>
      <c r="Q1569" s="14"/>
      <c r="R1569" s="14"/>
      <c r="S1569" s="14"/>
      <c r="T1569" s="14"/>
      <c r="U1569" s="14"/>
    </row>
    <row r="1570" spans="2:21" ht="18.75" customHeight="1" x14ac:dyDescent="0.25">
      <c r="B1570" s="15"/>
      <c r="C1570" s="2199" t="s">
        <v>2096</v>
      </c>
      <c r="D1570" s="2200"/>
      <c r="E1570" s="2200"/>
      <c r="F1570" s="2200"/>
      <c r="G1570" s="2200"/>
      <c r="H1570" s="2200"/>
      <c r="I1570" s="2200"/>
      <c r="J1570" s="2200"/>
      <c r="K1570" s="2200"/>
      <c r="L1570" s="2200"/>
      <c r="M1570" s="2200"/>
      <c r="N1570" s="2201"/>
      <c r="O1570" s="94"/>
      <c r="P1570" s="14"/>
      <c r="Q1570" s="14"/>
      <c r="R1570" s="14"/>
      <c r="S1570" s="14"/>
      <c r="T1570" s="14"/>
      <c r="U1570" s="14"/>
    </row>
    <row r="1571" spans="2:21" ht="18.75" customHeight="1" x14ac:dyDescent="0.25">
      <c r="B1571" s="15"/>
      <c r="C1571" s="2202" t="s">
        <v>407</v>
      </c>
      <c r="D1571" s="210">
        <v>86</v>
      </c>
      <c r="E1571" s="104" t="s">
        <v>679</v>
      </c>
      <c r="F1571" s="210">
        <v>80</v>
      </c>
      <c r="G1571" s="210">
        <v>180</v>
      </c>
      <c r="H1571" s="210">
        <v>290</v>
      </c>
      <c r="I1571" s="210">
        <v>340</v>
      </c>
      <c r="J1571" s="210">
        <v>400</v>
      </c>
      <c r="K1571" s="210">
        <v>450</v>
      </c>
      <c r="L1571" s="210">
        <v>525</v>
      </c>
      <c r="M1571" s="210">
        <v>525</v>
      </c>
      <c r="N1571" s="115">
        <v>400</v>
      </c>
      <c r="O1571" s="94"/>
      <c r="P1571" s="14"/>
      <c r="Q1571" s="14"/>
      <c r="R1571" s="14"/>
      <c r="S1571" s="14"/>
      <c r="T1571" s="14"/>
      <c r="U1571" s="14"/>
    </row>
    <row r="1572" spans="2:21" ht="18.75" customHeight="1" x14ac:dyDescent="0.25">
      <c r="B1572" s="15"/>
      <c r="C1572" s="119" t="s">
        <v>568</v>
      </c>
      <c r="D1572" s="120" t="s">
        <v>623</v>
      </c>
      <c r="E1572" s="110" t="s">
        <v>608</v>
      </c>
      <c r="F1572" s="110" t="s">
        <v>957</v>
      </c>
      <c r="G1572" s="110" t="s">
        <v>572</v>
      </c>
      <c r="H1572" s="110" t="s">
        <v>530</v>
      </c>
      <c r="I1572" s="110" t="s">
        <v>573</v>
      </c>
      <c r="J1572" s="110" t="s">
        <v>574</v>
      </c>
      <c r="K1572" s="110" t="s">
        <v>575</v>
      </c>
      <c r="L1572" s="110" t="s">
        <v>576</v>
      </c>
      <c r="M1572" s="110" t="s">
        <v>577</v>
      </c>
      <c r="N1572" s="2203" t="s">
        <v>609</v>
      </c>
      <c r="O1572" s="94"/>
      <c r="P1572" s="14"/>
      <c r="Q1572" s="14"/>
      <c r="R1572" s="14"/>
      <c r="S1572" s="14"/>
      <c r="T1572" s="14"/>
      <c r="U1572" s="14"/>
    </row>
    <row r="1573" spans="2:21" ht="18.75" customHeight="1" x14ac:dyDescent="0.25">
      <c r="B1573" s="15"/>
      <c r="C1573" s="119" t="s">
        <v>582</v>
      </c>
      <c r="D1573" s="120" t="s">
        <v>566</v>
      </c>
      <c r="E1573" s="121">
        <v>101332.39690763774</v>
      </c>
      <c r="F1573" s="129">
        <v>5089.7734263779084</v>
      </c>
      <c r="G1573" s="129">
        <v>14940.80051557313</v>
      </c>
      <c r="H1573" s="129">
        <v>23057.570457343063</v>
      </c>
      <c r="I1573" s="129">
        <v>9082.8685775586328</v>
      </c>
      <c r="J1573" s="129">
        <v>6919.1286171794554</v>
      </c>
      <c r="K1573" s="129">
        <v>5840.8836190481297</v>
      </c>
      <c r="L1573" s="129">
        <v>8637.6967074611985</v>
      </c>
      <c r="M1573" s="129">
        <v>27763.674987096216</v>
      </c>
      <c r="N1573" s="130">
        <v>42310.67594341567</v>
      </c>
      <c r="O1573" s="94"/>
      <c r="P1573" s="14"/>
      <c r="Q1573" s="14"/>
      <c r="R1573" s="14"/>
      <c r="S1573" s="14"/>
      <c r="T1573" s="14"/>
      <c r="U1573" s="14"/>
    </row>
    <row r="1574" spans="2:21" ht="18.75" customHeight="1" x14ac:dyDescent="0.25">
      <c r="B1574" s="15"/>
      <c r="C1574" s="119" t="s">
        <v>582</v>
      </c>
      <c r="D1574" s="120" t="s">
        <v>628</v>
      </c>
      <c r="E1574" s="145">
        <v>16111.8511083144</v>
      </c>
      <c r="F1574" s="129">
        <v>809.27397479408739</v>
      </c>
      <c r="G1574" s="129">
        <v>2375.5872819761275</v>
      </c>
      <c r="H1574" s="129">
        <v>3666.1537027175473</v>
      </c>
      <c r="I1574" s="129">
        <v>1444.1761038318227</v>
      </c>
      <c r="J1574" s="129">
        <v>1100.1414501315335</v>
      </c>
      <c r="K1574" s="129">
        <v>928.70049542865263</v>
      </c>
      <c r="L1574" s="129">
        <v>1373.3937764863306</v>
      </c>
      <c r="M1574" s="129">
        <v>4414.4243229482981</v>
      </c>
      <c r="N1574" s="130">
        <v>6727.397475003092</v>
      </c>
      <c r="O1574" s="94"/>
      <c r="P1574" s="14"/>
      <c r="Q1574" s="14"/>
      <c r="R1574" s="14"/>
      <c r="S1574" s="14"/>
      <c r="T1574" s="14"/>
      <c r="U1574" s="14"/>
    </row>
    <row r="1575" spans="2:21" ht="18.75" customHeight="1" x14ac:dyDescent="0.25">
      <c r="B1575" s="15"/>
      <c r="C1575" s="119" t="s">
        <v>620</v>
      </c>
      <c r="D1575" s="120" t="s">
        <v>622</v>
      </c>
      <c r="E1575" s="129">
        <v>14007900</v>
      </c>
      <c r="F1575" s="129">
        <v>560316</v>
      </c>
      <c r="G1575" s="129">
        <v>1821027</v>
      </c>
      <c r="H1575" s="129">
        <v>3081738</v>
      </c>
      <c r="I1575" s="129">
        <v>1260711</v>
      </c>
      <c r="J1575" s="129">
        <v>980553.00000000012</v>
      </c>
      <c r="K1575" s="129">
        <v>840474</v>
      </c>
      <c r="L1575" s="129">
        <v>1260711</v>
      </c>
      <c r="M1575" s="129">
        <v>4202370</v>
      </c>
      <c r="N1575" s="130">
        <v>6303554.9999999991</v>
      </c>
      <c r="O1575" s="94"/>
      <c r="P1575" s="14"/>
      <c r="Q1575" s="14"/>
      <c r="R1575" s="14"/>
      <c r="S1575" s="14"/>
      <c r="T1575" s="14"/>
      <c r="U1575" s="14"/>
    </row>
    <row r="1576" spans="2:21" ht="18.75" customHeight="1" x14ac:dyDescent="0.25">
      <c r="B1576" s="15"/>
      <c r="C1576" s="122" t="s">
        <v>776</v>
      </c>
      <c r="D1576" s="120" t="s">
        <v>579</v>
      </c>
      <c r="E1576" s="125">
        <v>0.94908828738069062</v>
      </c>
      <c r="F1576" s="125">
        <v>0</v>
      </c>
      <c r="G1576" s="125">
        <v>0</v>
      </c>
      <c r="H1576" s="125">
        <v>0.43455763984235318</v>
      </c>
      <c r="I1576" s="125">
        <v>0.53544413183077211</v>
      </c>
      <c r="J1576" s="125">
        <v>0.62444783606890653</v>
      </c>
      <c r="K1576" s="125">
        <v>0.75994862987667</v>
      </c>
      <c r="L1576" s="125">
        <v>1.027575245355751</v>
      </c>
      <c r="M1576" s="125">
        <v>2.0783519878372081</v>
      </c>
      <c r="N1576" s="131">
        <v>1.6924095249461781</v>
      </c>
      <c r="O1576" s="94"/>
      <c r="P1576" s="14"/>
      <c r="Q1576" s="14"/>
      <c r="R1576" s="14"/>
      <c r="S1576" s="14"/>
      <c r="T1576" s="14"/>
      <c r="U1576" s="14"/>
    </row>
    <row r="1577" spans="2:21" ht="18.75" customHeight="1" x14ac:dyDescent="0.25">
      <c r="B1577" s="15"/>
      <c r="C1577" s="122" t="s">
        <v>777</v>
      </c>
      <c r="D1577" s="210" t="s">
        <v>778</v>
      </c>
      <c r="E1577" s="125">
        <v>1594.1376795964125</v>
      </c>
      <c r="F1577" s="132">
        <v>0</v>
      </c>
      <c r="G1577" s="132">
        <v>101.89984775045923</v>
      </c>
      <c r="H1577" s="132">
        <v>755.30015782829196</v>
      </c>
      <c r="I1577" s="132">
        <v>1066.2586122970915</v>
      </c>
      <c r="J1577" s="132">
        <v>1303.3966267629435</v>
      </c>
      <c r="K1577" s="132">
        <v>1567.9253542748852</v>
      </c>
      <c r="L1577" s="132">
        <v>1958.123483828384</v>
      </c>
      <c r="M1577" s="125">
        <v>3190.7233029514537</v>
      </c>
      <c r="N1577" s="133">
        <v>2727.8302793032976</v>
      </c>
      <c r="O1577" s="94"/>
      <c r="P1577" s="14"/>
      <c r="Q1577" s="14"/>
      <c r="R1577" s="14"/>
      <c r="S1577" s="14"/>
      <c r="T1577" s="14"/>
      <c r="U1577" s="14"/>
    </row>
    <row r="1578" spans="2:21" ht="18.75" customHeight="1" x14ac:dyDescent="0.25">
      <c r="B1578" s="15"/>
      <c r="C1578" s="119" t="s">
        <v>779</v>
      </c>
      <c r="D1578" s="120" t="s">
        <v>970</v>
      </c>
      <c r="E1578" s="132">
        <v>29.2</v>
      </c>
      <c r="F1578" s="125">
        <v>72.669562978643313</v>
      </c>
      <c r="G1578" s="125">
        <v>52.909400290730659</v>
      </c>
      <c r="H1578" s="125">
        <v>36.668017396946908</v>
      </c>
      <c r="I1578" s="125">
        <v>30.432142288986988</v>
      </c>
      <c r="J1578" s="125">
        <v>27.100993754183861</v>
      </c>
      <c r="K1578" s="125">
        <v>24.699573276333041</v>
      </c>
      <c r="L1578" s="125">
        <v>22.49548285192526</v>
      </c>
      <c r="M1578" s="125">
        <v>16.993771436382929</v>
      </c>
      <c r="N1578" s="131">
        <v>19.365518722588348</v>
      </c>
      <c r="O1578" s="94"/>
      <c r="P1578" s="14"/>
      <c r="Q1578" s="14"/>
      <c r="R1578" s="14"/>
      <c r="S1578" s="14"/>
      <c r="T1578" s="14"/>
      <c r="U1578" s="14"/>
    </row>
    <row r="1579" spans="2:21" ht="18.75" customHeight="1" x14ac:dyDescent="0.25">
      <c r="B1579" s="15"/>
      <c r="C1579" s="119" t="s">
        <v>580</v>
      </c>
      <c r="D1579" s="120" t="s">
        <v>581</v>
      </c>
      <c r="E1579" s="125">
        <v>881</v>
      </c>
      <c r="F1579" s="125">
        <v>692.36873722841199</v>
      </c>
      <c r="G1579" s="125">
        <v>766.55865849104157</v>
      </c>
      <c r="H1579" s="125">
        <v>840.59159814157613</v>
      </c>
      <c r="I1579" s="125">
        <v>872.9620969734674</v>
      </c>
      <c r="J1579" s="125">
        <v>891.29720535733361</v>
      </c>
      <c r="K1579" s="125">
        <v>905.00005560142336</v>
      </c>
      <c r="L1579" s="125">
        <v>917.95304564826529</v>
      </c>
      <c r="M1579" s="125">
        <v>951.96331221583341</v>
      </c>
      <c r="N1579" s="131">
        <v>936.997557141828</v>
      </c>
      <c r="O1579" s="94"/>
      <c r="P1579" s="14"/>
      <c r="Q1579" s="14"/>
      <c r="R1579" s="14"/>
      <c r="S1579" s="14"/>
      <c r="T1579" s="14"/>
      <c r="U1579" s="14"/>
    </row>
    <row r="1580" spans="2:21" ht="18.75" customHeight="1" x14ac:dyDescent="0.25">
      <c r="B1580" s="15"/>
      <c r="C1580" s="119" t="s">
        <v>541</v>
      </c>
      <c r="D1580" s="120" t="s">
        <v>579</v>
      </c>
      <c r="E1580" s="125">
        <v>12.643278419001426</v>
      </c>
      <c r="F1580" s="125">
        <v>14.727340216104967</v>
      </c>
      <c r="G1580" s="125">
        <v>13.712703896693117</v>
      </c>
      <c r="H1580" s="125">
        <v>12.815676128484977</v>
      </c>
      <c r="I1580" s="125">
        <v>13.040851173352234</v>
      </c>
      <c r="J1580" s="125">
        <v>12.687780033703195</v>
      </c>
      <c r="K1580" s="125">
        <v>12.456425561140364</v>
      </c>
      <c r="L1580" s="125">
        <v>12.268174326444583</v>
      </c>
      <c r="M1580" s="125">
        <v>11.795807081703565</v>
      </c>
      <c r="N1580" s="131">
        <v>11.978362994576678</v>
      </c>
      <c r="O1580" s="94"/>
      <c r="P1580" s="14"/>
      <c r="Q1580" s="14"/>
      <c r="R1580" s="14"/>
      <c r="S1580" s="14"/>
      <c r="T1580" s="14"/>
      <c r="U1580" s="14"/>
    </row>
    <row r="1581" spans="2:21" ht="18.75" customHeight="1" x14ac:dyDescent="0.25">
      <c r="B1581" s="15"/>
      <c r="C1581" s="119" t="s">
        <v>544</v>
      </c>
      <c r="D1581" s="120" t="s">
        <v>579</v>
      </c>
      <c r="E1581" s="125">
        <v>6.3</v>
      </c>
      <c r="F1581" s="128"/>
      <c r="G1581" s="128"/>
      <c r="H1581" s="128"/>
      <c r="I1581" s="128"/>
      <c r="J1581" s="128"/>
      <c r="K1581" s="128"/>
      <c r="L1581" s="128"/>
      <c r="M1581" s="125">
        <v>20.979000000000003</v>
      </c>
      <c r="N1581" s="131">
        <v>14.000000000000002</v>
      </c>
      <c r="O1581" s="94"/>
      <c r="P1581" s="14"/>
      <c r="Q1581" s="14"/>
      <c r="R1581" s="14"/>
      <c r="S1581" s="14"/>
      <c r="T1581" s="14"/>
      <c r="U1581" s="14"/>
    </row>
    <row r="1582" spans="2:21" ht="18.75" customHeight="1" x14ac:dyDescent="0.25">
      <c r="B1582" s="15"/>
      <c r="C1582" s="119" t="s">
        <v>780</v>
      </c>
      <c r="D1582" s="120" t="s">
        <v>783</v>
      </c>
      <c r="E1582" s="125">
        <v>11.862761772561566</v>
      </c>
      <c r="F1582" s="125">
        <v>12.044629566397298</v>
      </c>
      <c r="G1582" s="125">
        <v>11.759550395390715</v>
      </c>
      <c r="H1582" s="125">
        <v>11.611713188511349</v>
      </c>
      <c r="I1582" s="125">
        <v>11.663533929173925</v>
      </c>
      <c r="J1582" s="125">
        <v>11.769130830429896</v>
      </c>
      <c r="K1582" s="125">
        <v>11.912341972158073</v>
      </c>
      <c r="L1582" s="125">
        <v>12.097965635754166</v>
      </c>
      <c r="M1582" s="125">
        <v>12.339453569423265</v>
      </c>
      <c r="N1582" s="131">
        <v>12.300785646611571</v>
      </c>
      <c r="O1582" s="94"/>
      <c r="P1582" s="14"/>
      <c r="Q1582" s="14"/>
      <c r="R1582" s="14"/>
      <c r="S1582" s="14"/>
      <c r="T1582" s="14"/>
      <c r="U1582" s="14"/>
    </row>
    <row r="1583" spans="2:21" ht="18.75" customHeight="1" x14ac:dyDescent="0.25">
      <c r="B1583" s="15"/>
      <c r="C1583" s="122" t="s">
        <v>781</v>
      </c>
      <c r="D1583" s="120" t="s">
        <v>782</v>
      </c>
      <c r="E1583" s="125">
        <v>360</v>
      </c>
      <c r="F1583" s="134">
        <v>50</v>
      </c>
      <c r="G1583" s="134">
        <v>135</v>
      </c>
      <c r="H1583" s="134">
        <v>245</v>
      </c>
      <c r="I1583" s="134">
        <v>315</v>
      </c>
      <c r="J1583" s="134">
        <v>370</v>
      </c>
      <c r="K1583" s="134">
        <v>425</v>
      </c>
      <c r="L1583" s="134">
        <v>490</v>
      </c>
      <c r="M1583" s="134">
        <v>630</v>
      </c>
      <c r="N1583" s="135">
        <v>580</v>
      </c>
      <c r="O1583" s="94"/>
      <c r="P1583" s="14"/>
      <c r="Q1583" s="14"/>
      <c r="R1583" s="14"/>
      <c r="S1583" s="14"/>
      <c r="T1583" s="14"/>
      <c r="U1583" s="14"/>
    </row>
    <row r="1584" spans="2:21" ht="18.75" customHeight="1" x14ac:dyDescent="0.25">
      <c r="B1584" s="15"/>
      <c r="C1584" s="122"/>
      <c r="D1584" s="210"/>
      <c r="E1584" s="210"/>
      <c r="F1584" s="210"/>
      <c r="G1584" s="210"/>
      <c r="H1584" s="210"/>
      <c r="I1584" s="210"/>
      <c r="J1584" s="210"/>
      <c r="K1584" s="210"/>
      <c r="L1584" s="210"/>
      <c r="M1584" s="210"/>
      <c r="N1584" s="115"/>
      <c r="O1584" s="94"/>
      <c r="P1584" s="14"/>
      <c r="Q1584" s="14"/>
      <c r="R1584" s="14"/>
      <c r="S1584" s="14"/>
      <c r="T1584" s="14"/>
      <c r="U1584" s="14"/>
    </row>
    <row r="1585" spans="2:21" ht="18.75" customHeight="1" x14ac:dyDescent="0.25">
      <c r="B1585" s="15"/>
      <c r="C1585" s="2199" t="s">
        <v>2097</v>
      </c>
      <c r="D1585" s="2200"/>
      <c r="E1585" s="2200"/>
      <c r="F1585" s="2200"/>
      <c r="G1585" s="2200"/>
      <c r="H1585" s="2200"/>
      <c r="I1585" s="2200"/>
      <c r="J1585" s="2200"/>
      <c r="K1585" s="2200"/>
      <c r="L1585" s="2200"/>
      <c r="M1585" s="2200"/>
      <c r="N1585" s="2201"/>
      <c r="O1585" s="94"/>
      <c r="P1585" s="14"/>
      <c r="Q1585" s="14"/>
      <c r="R1585" s="14"/>
      <c r="S1585" s="14"/>
      <c r="T1585" s="14"/>
      <c r="U1585" s="14"/>
    </row>
    <row r="1586" spans="2:21" ht="18.75" customHeight="1" x14ac:dyDescent="0.25">
      <c r="B1586" s="15"/>
      <c r="C1586" s="2202" t="s">
        <v>1088</v>
      </c>
      <c r="D1586" s="210">
        <v>80</v>
      </c>
      <c r="E1586" s="104" t="s">
        <v>679</v>
      </c>
      <c r="F1586" s="210">
        <v>80</v>
      </c>
      <c r="G1586" s="210">
        <v>180</v>
      </c>
      <c r="H1586" s="210">
        <v>290</v>
      </c>
      <c r="I1586" s="210">
        <v>340</v>
      </c>
      <c r="J1586" s="210">
        <v>400</v>
      </c>
      <c r="K1586" s="210">
        <v>450</v>
      </c>
      <c r="L1586" s="210">
        <v>525</v>
      </c>
      <c r="M1586" s="210">
        <v>525</v>
      </c>
      <c r="N1586" s="115">
        <v>400</v>
      </c>
      <c r="O1586" s="94"/>
      <c r="P1586" s="14"/>
      <c r="Q1586" s="14"/>
      <c r="R1586" s="14"/>
      <c r="S1586" s="14"/>
      <c r="T1586" s="14"/>
      <c r="U1586" s="14"/>
    </row>
    <row r="1587" spans="2:21" ht="18.75" customHeight="1" x14ac:dyDescent="0.25">
      <c r="B1587" s="15"/>
      <c r="C1587" s="119" t="s">
        <v>568</v>
      </c>
      <c r="D1587" s="120" t="s">
        <v>623</v>
      </c>
      <c r="E1587" s="110" t="s">
        <v>608</v>
      </c>
      <c r="F1587" s="110" t="s">
        <v>957</v>
      </c>
      <c r="G1587" s="110" t="s">
        <v>572</v>
      </c>
      <c r="H1587" s="110" t="s">
        <v>530</v>
      </c>
      <c r="I1587" s="110" t="s">
        <v>573</v>
      </c>
      <c r="J1587" s="110" t="s">
        <v>574</v>
      </c>
      <c r="K1587" s="110" t="s">
        <v>575</v>
      </c>
      <c r="L1587" s="110" t="s">
        <v>576</v>
      </c>
      <c r="M1587" s="110" t="s">
        <v>577</v>
      </c>
      <c r="N1587" s="2203" t="s">
        <v>609</v>
      </c>
      <c r="O1587" s="94"/>
      <c r="P1587" s="14"/>
      <c r="Q1587" s="14"/>
      <c r="R1587" s="14"/>
      <c r="S1587" s="14"/>
      <c r="T1587" s="14"/>
      <c r="U1587" s="14"/>
    </row>
    <row r="1588" spans="2:21" ht="18.75" customHeight="1" x14ac:dyDescent="0.25">
      <c r="B1588" s="15"/>
      <c r="C1588" s="119" t="s">
        <v>582</v>
      </c>
      <c r="D1588" s="120" t="s">
        <v>566</v>
      </c>
      <c r="E1588" s="121">
        <v>101889.29480440839</v>
      </c>
      <c r="F1588" s="129">
        <v>6611.0830356291408</v>
      </c>
      <c r="G1588" s="129">
        <v>21083.842880732773</v>
      </c>
      <c r="H1588" s="129">
        <v>19825.02144313122</v>
      </c>
      <c r="I1588" s="129">
        <v>7937.0430775370678</v>
      </c>
      <c r="J1588" s="129">
        <v>7725.6437956397467</v>
      </c>
      <c r="K1588" s="129">
        <v>6635.4057151168463</v>
      </c>
      <c r="L1588" s="129">
        <v>10268.937144288342</v>
      </c>
      <c r="M1588" s="129">
        <v>21802.317712333239</v>
      </c>
      <c r="N1588" s="130">
        <v>38605.578444075669</v>
      </c>
      <c r="O1588" s="94"/>
      <c r="P1588" s="14"/>
      <c r="Q1588" s="14"/>
      <c r="R1588" s="14"/>
      <c r="S1588" s="14"/>
      <c r="T1588" s="14"/>
      <c r="U1588" s="14"/>
    </row>
    <row r="1589" spans="2:21" ht="18.75" customHeight="1" x14ac:dyDescent="0.25">
      <c r="B1589" s="15"/>
      <c r="C1589" s="119" t="s">
        <v>582</v>
      </c>
      <c r="D1589" s="120" t="s">
        <v>628</v>
      </c>
      <c r="E1589" s="145">
        <v>16200.397873900934</v>
      </c>
      <c r="F1589" s="129">
        <v>1051.1622026650334</v>
      </c>
      <c r="G1589" s="129">
        <v>3352.3310180365111</v>
      </c>
      <c r="H1589" s="129">
        <v>3152.1784094578638</v>
      </c>
      <c r="I1589" s="129">
        <v>1261.9898493283938</v>
      </c>
      <c r="J1589" s="129">
        <v>1228.3773635067198</v>
      </c>
      <c r="K1589" s="129">
        <v>1055.0295087035786</v>
      </c>
      <c r="L1589" s="129">
        <v>1632.7610059418464</v>
      </c>
      <c r="M1589" s="129">
        <v>3466.5685162609852</v>
      </c>
      <c r="N1589" s="130">
        <v>6138.2869726080316</v>
      </c>
      <c r="O1589" s="94"/>
      <c r="P1589" s="14"/>
      <c r="Q1589" s="14"/>
      <c r="R1589" s="14"/>
      <c r="S1589" s="14"/>
      <c r="T1589" s="14"/>
      <c r="U1589" s="14"/>
    </row>
    <row r="1590" spans="2:21" ht="18.75" customHeight="1" x14ac:dyDescent="0.25">
      <c r="B1590" s="15"/>
      <c r="C1590" s="119" t="s">
        <v>620</v>
      </c>
      <c r="D1590" s="120" t="s">
        <v>622</v>
      </c>
      <c r="E1590" s="129">
        <v>13658100</v>
      </c>
      <c r="F1590" s="129">
        <v>682905</v>
      </c>
      <c r="G1590" s="129">
        <v>2458458</v>
      </c>
      <c r="H1590" s="129">
        <v>2595039</v>
      </c>
      <c r="I1590" s="129">
        <v>1092648</v>
      </c>
      <c r="J1590" s="129">
        <v>1092648</v>
      </c>
      <c r="K1590" s="129">
        <v>956067.00000000012</v>
      </c>
      <c r="L1590" s="129">
        <v>1502391</v>
      </c>
      <c r="M1590" s="129">
        <v>3277944</v>
      </c>
      <c r="N1590" s="130">
        <v>5736402</v>
      </c>
      <c r="O1590" s="94"/>
      <c r="P1590" s="14"/>
      <c r="Q1590" s="14"/>
      <c r="R1590" s="14"/>
      <c r="S1590" s="14"/>
      <c r="T1590" s="14"/>
      <c r="U1590" s="14"/>
    </row>
    <row r="1591" spans="2:21" ht="18.75" customHeight="1" x14ac:dyDescent="0.25">
      <c r="B1591" s="15"/>
      <c r="C1591" s="122" t="s">
        <v>776</v>
      </c>
      <c r="D1591" s="120" t="s">
        <v>579</v>
      </c>
      <c r="E1591" s="125">
        <v>1.3316692939872448</v>
      </c>
      <c r="F1591" s="125">
        <v>0</v>
      </c>
      <c r="G1591" s="125">
        <v>0</v>
      </c>
      <c r="H1591" s="125">
        <v>0.65218005131356382</v>
      </c>
      <c r="I1591" s="125">
        <v>0.99182047613661717</v>
      </c>
      <c r="J1591" s="125">
        <v>1.2651226078492643</v>
      </c>
      <c r="K1591" s="125">
        <v>1.5556768745052876</v>
      </c>
      <c r="L1591" s="125">
        <v>1.935820690096911</v>
      </c>
      <c r="M1591" s="125">
        <v>2.9390082516365283</v>
      </c>
      <c r="N1591" s="131">
        <v>2.4457134226638031</v>
      </c>
      <c r="O1591" s="94"/>
      <c r="P1591" s="14"/>
      <c r="Q1591" s="14"/>
      <c r="R1591" s="14"/>
      <c r="S1591" s="14"/>
      <c r="T1591" s="14"/>
      <c r="U1591" s="14"/>
    </row>
    <row r="1592" spans="2:21" ht="18.75" customHeight="1" x14ac:dyDescent="0.25">
      <c r="B1592" s="15"/>
      <c r="C1592" s="122" t="s">
        <v>777</v>
      </c>
      <c r="D1592" s="210" t="s">
        <v>778</v>
      </c>
      <c r="E1592" s="125">
        <v>1410.9828953816416</v>
      </c>
      <c r="F1592" s="132">
        <v>0</v>
      </c>
      <c r="G1592" s="132">
        <v>30.177132284668915</v>
      </c>
      <c r="H1592" s="132">
        <v>764.60280759904435</v>
      </c>
      <c r="I1592" s="132">
        <v>1097.9104743681064</v>
      </c>
      <c r="J1592" s="132">
        <v>1331.1570476717015</v>
      </c>
      <c r="K1592" s="132">
        <v>1579.8948938998883</v>
      </c>
      <c r="L1592" s="132">
        <v>1944.8360645777875</v>
      </c>
      <c r="M1592" s="125">
        <v>3089.2769445285389</v>
      </c>
      <c r="N1592" s="133">
        <v>2537.978753246186</v>
      </c>
      <c r="O1592" s="94"/>
      <c r="P1592" s="14"/>
      <c r="Q1592" s="14"/>
      <c r="R1592" s="14"/>
      <c r="S1592" s="14"/>
      <c r="T1592" s="14"/>
      <c r="U1592" s="14"/>
    </row>
    <row r="1593" spans="2:21" ht="18.75" customHeight="1" x14ac:dyDescent="0.25">
      <c r="B1593" s="15"/>
      <c r="C1593" s="119" t="s">
        <v>779</v>
      </c>
      <c r="D1593" s="120" t="s">
        <v>970</v>
      </c>
      <c r="E1593" s="132">
        <v>33.299999999999997</v>
      </c>
      <c r="F1593" s="125">
        <v>86.089479235325996</v>
      </c>
      <c r="G1593" s="125">
        <v>61.258061978565351</v>
      </c>
      <c r="H1593" s="125">
        <v>40.209905782542592</v>
      </c>
      <c r="I1593" s="125">
        <v>31.769113831483637</v>
      </c>
      <c r="J1593" s="125">
        <v>27.420520396521738</v>
      </c>
      <c r="K1593" s="125">
        <v>24.492862536001169</v>
      </c>
      <c r="L1593" s="125">
        <v>22.127193050055254</v>
      </c>
      <c r="M1593" s="125">
        <v>17.995013763979571</v>
      </c>
      <c r="N1593" s="131">
        <v>19.764166551003868</v>
      </c>
      <c r="O1593" s="94"/>
      <c r="P1593" s="14"/>
      <c r="Q1593" s="14"/>
      <c r="R1593" s="14"/>
      <c r="S1593" s="14"/>
      <c r="T1593" s="14"/>
      <c r="U1593" s="14"/>
    </row>
    <row r="1594" spans="2:21" ht="18.75" customHeight="1" x14ac:dyDescent="0.25">
      <c r="B1594" s="15"/>
      <c r="C1594" s="119" t="s">
        <v>580</v>
      </c>
      <c r="D1594" s="120" t="s">
        <v>581</v>
      </c>
      <c r="E1594" s="125">
        <v>859</v>
      </c>
      <c r="F1594" s="125">
        <v>649.6666244929819</v>
      </c>
      <c r="G1594" s="125">
        <v>733.3577700927458</v>
      </c>
      <c r="H1594" s="125">
        <v>823.25257739656774</v>
      </c>
      <c r="I1594" s="125">
        <v>865.81362011864508</v>
      </c>
      <c r="J1594" s="125">
        <v>889.50515734086366</v>
      </c>
      <c r="K1594" s="125">
        <v>906.19929785169347</v>
      </c>
      <c r="L1594" s="125">
        <v>920.15365049299214</v>
      </c>
      <c r="M1594" s="125">
        <v>945.58754128868793</v>
      </c>
      <c r="N1594" s="131">
        <v>934.52815510232176</v>
      </c>
      <c r="O1594" s="94"/>
      <c r="P1594" s="14"/>
      <c r="Q1594" s="14"/>
      <c r="R1594" s="14"/>
      <c r="S1594" s="14"/>
      <c r="T1594" s="14"/>
      <c r="U1594" s="14"/>
    </row>
    <row r="1595" spans="2:21" ht="18.75" customHeight="1" x14ac:dyDescent="0.25">
      <c r="B1595" s="15"/>
      <c r="C1595" s="119" t="s">
        <v>541</v>
      </c>
      <c r="D1595" s="120" t="s">
        <v>579</v>
      </c>
      <c r="E1595" s="125">
        <v>13.143072151997297</v>
      </c>
      <c r="F1595" s="125">
        <v>16.698687864585693</v>
      </c>
      <c r="G1595" s="125">
        <v>14.834122463477939</v>
      </c>
      <c r="H1595" s="125">
        <v>13.249942875840253</v>
      </c>
      <c r="I1595" s="125">
        <v>13.22868370583582</v>
      </c>
      <c r="J1595" s="125">
        <v>12.73486767546266</v>
      </c>
      <c r="K1595" s="125">
        <v>12.424914413590436</v>
      </c>
      <c r="L1595" s="125">
        <v>12.21035149378033</v>
      </c>
      <c r="M1595" s="125">
        <v>11.793915771505366</v>
      </c>
      <c r="N1595" s="131">
        <v>12.008148710543942</v>
      </c>
      <c r="O1595" s="94"/>
      <c r="P1595" s="14"/>
      <c r="Q1595" s="14"/>
      <c r="R1595" s="14"/>
      <c r="S1595" s="14"/>
      <c r="T1595" s="14"/>
      <c r="U1595" s="14"/>
    </row>
    <row r="1596" spans="2:21" ht="18.75" customHeight="1" x14ac:dyDescent="0.25">
      <c r="B1596" s="15"/>
      <c r="C1596" s="119" t="s">
        <v>544</v>
      </c>
      <c r="D1596" s="120" t="s">
        <v>579</v>
      </c>
      <c r="E1596" s="125">
        <v>4.3</v>
      </c>
      <c r="F1596" s="128"/>
      <c r="G1596" s="128"/>
      <c r="H1596" s="128"/>
      <c r="I1596" s="128"/>
      <c r="J1596" s="128"/>
      <c r="K1596" s="128"/>
      <c r="L1596" s="128"/>
      <c r="M1596" s="125">
        <v>17.89875</v>
      </c>
      <c r="N1596" s="131">
        <v>10.238095238095239</v>
      </c>
      <c r="O1596" s="94"/>
      <c r="P1596" s="14"/>
      <c r="Q1596" s="14"/>
      <c r="R1596" s="14"/>
      <c r="S1596" s="14"/>
      <c r="T1596" s="14"/>
      <c r="U1596" s="14"/>
    </row>
    <row r="1597" spans="2:21" ht="18.75" customHeight="1" x14ac:dyDescent="0.25">
      <c r="B1597" s="15"/>
      <c r="C1597" s="119" t="s">
        <v>780</v>
      </c>
      <c r="D1597" s="120" t="s">
        <v>783</v>
      </c>
      <c r="E1597" s="125">
        <v>12.035953837948295</v>
      </c>
      <c r="F1597" s="125">
        <v>12.967379684039706</v>
      </c>
      <c r="G1597" s="125">
        <v>12.341923932681627</v>
      </c>
      <c r="H1597" s="125">
        <v>11.856274507101306</v>
      </c>
      <c r="I1597" s="125">
        <v>11.759832370779302</v>
      </c>
      <c r="J1597" s="125">
        <v>11.792841595214327</v>
      </c>
      <c r="K1597" s="125">
        <v>11.896577466682793</v>
      </c>
      <c r="L1597" s="125">
        <v>12.069032596391537</v>
      </c>
      <c r="M1597" s="125">
        <v>12.330270203816136</v>
      </c>
      <c r="N1597" s="131">
        <v>12.260580611472006</v>
      </c>
      <c r="O1597" s="94"/>
      <c r="P1597" s="14"/>
      <c r="Q1597" s="14"/>
      <c r="R1597" s="14"/>
      <c r="S1597" s="14"/>
      <c r="T1597" s="14"/>
      <c r="U1597" s="14"/>
    </row>
    <row r="1598" spans="2:21" ht="18.75" customHeight="1" x14ac:dyDescent="0.25">
      <c r="B1598" s="15"/>
      <c r="C1598" s="122" t="s">
        <v>781</v>
      </c>
      <c r="D1598" s="120" t="s">
        <v>782</v>
      </c>
      <c r="E1598" s="125">
        <v>340</v>
      </c>
      <c r="F1598" s="134">
        <v>60</v>
      </c>
      <c r="G1598" s="134">
        <v>140</v>
      </c>
      <c r="H1598" s="134">
        <v>245</v>
      </c>
      <c r="I1598" s="134">
        <v>315</v>
      </c>
      <c r="J1598" s="134">
        <v>370</v>
      </c>
      <c r="K1598" s="134">
        <v>425</v>
      </c>
      <c r="L1598" s="134">
        <v>490</v>
      </c>
      <c r="M1598" s="134">
        <v>610</v>
      </c>
      <c r="N1598" s="135">
        <v>565</v>
      </c>
      <c r="O1598" s="94"/>
      <c r="P1598" s="14"/>
      <c r="Q1598" s="14"/>
      <c r="R1598" s="14"/>
      <c r="S1598" s="14"/>
      <c r="T1598" s="14"/>
      <c r="U1598" s="14"/>
    </row>
    <row r="1599" spans="2:21" ht="18.75" customHeight="1" x14ac:dyDescent="0.25">
      <c r="B1599" s="15"/>
      <c r="C1599" s="122"/>
      <c r="D1599" s="210"/>
      <c r="E1599" s="210"/>
      <c r="F1599" s="210"/>
      <c r="G1599" s="210"/>
      <c r="H1599" s="210"/>
      <c r="I1599" s="210"/>
      <c r="J1599" s="210"/>
      <c r="K1599" s="210"/>
      <c r="L1599" s="210"/>
      <c r="M1599" s="210"/>
      <c r="N1599" s="115"/>
      <c r="O1599" s="94"/>
      <c r="P1599" s="14"/>
      <c r="Q1599" s="14"/>
      <c r="R1599" s="14"/>
      <c r="S1599" s="14"/>
      <c r="T1599" s="14"/>
      <c r="U1599" s="14"/>
    </row>
    <row r="1600" spans="2:21" ht="18.75" customHeight="1" x14ac:dyDescent="0.25">
      <c r="B1600" s="15"/>
      <c r="C1600" s="2199" t="s">
        <v>2098</v>
      </c>
      <c r="D1600" s="2200"/>
      <c r="E1600" s="2200"/>
      <c r="F1600" s="2200"/>
      <c r="G1600" s="2200"/>
      <c r="H1600" s="2200"/>
      <c r="I1600" s="2200"/>
      <c r="J1600" s="2200"/>
      <c r="K1600" s="2200"/>
      <c r="L1600" s="2200"/>
      <c r="M1600" s="2200"/>
      <c r="N1600" s="2201"/>
      <c r="O1600" s="94"/>
      <c r="P1600" s="14"/>
      <c r="Q1600" s="14"/>
      <c r="R1600" s="14"/>
      <c r="S1600" s="14"/>
      <c r="T1600" s="14"/>
      <c r="U1600" s="14"/>
    </row>
    <row r="1601" spans="2:21" ht="18.75" customHeight="1" x14ac:dyDescent="0.25">
      <c r="B1601" s="15"/>
      <c r="C1601" s="2202" t="s">
        <v>1088</v>
      </c>
      <c r="D1601" s="210">
        <v>77</v>
      </c>
      <c r="E1601" s="104" t="s">
        <v>679</v>
      </c>
      <c r="F1601" s="210">
        <v>80</v>
      </c>
      <c r="G1601" s="210">
        <v>180</v>
      </c>
      <c r="H1601" s="210">
        <v>290</v>
      </c>
      <c r="I1601" s="210">
        <v>340</v>
      </c>
      <c r="J1601" s="210">
        <v>400</v>
      </c>
      <c r="K1601" s="210">
        <v>450</v>
      </c>
      <c r="L1601" s="210">
        <v>525</v>
      </c>
      <c r="M1601" s="210">
        <v>525</v>
      </c>
      <c r="N1601" s="115">
        <v>400</v>
      </c>
      <c r="O1601" s="94"/>
      <c r="P1601" s="14"/>
      <c r="Q1601" s="14"/>
      <c r="R1601" s="14"/>
      <c r="S1601" s="14"/>
      <c r="T1601" s="14"/>
      <c r="U1601" s="14"/>
    </row>
    <row r="1602" spans="2:21" ht="18.75" customHeight="1" x14ac:dyDescent="0.25">
      <c r="B1602" s="15"/>
      <c r="C1602" s="119" t="s">
        <v>568</v>
      </c>
      <c r="D1602" s="120" t="s">
        <v>623</v>
      </c>
      <c r="E1602" s="110" t="s">
        <v>608</v>
      </c>
      <c r="F1602" s="110" t="s">
        <v>957</v>
      </c>
      <c r="G1602" s="110" t="s">
        <v>572</v>
      </c>
      <c r="H1602" s="110" t="s">
        <v>530</v>
      </c>
      <c r="I1602" s="110" t="s">
        <v>573</v>
      </c>
      <c r="J1602" s="110" t="s">
        <v>574</v>
      </c>
      <c r="K1602" s="110" t="s">
        <v>575</v>
      </c>
      <c r="L1602" s="110" t="s">
        <v>576</v>
      </c>
      <c r="M1602" s="110" t="s">
        <v>577</v>
      </c>
      <c r="N1602" s="2203" t="s">
        <v>609</v>
      </c>
      <c r="O1602" s="94"/>
      <c r="P1602" s="14"/>
      <c r="Q1602" s="14"/>
      <c r="R1602" s="14"/>
      <c r="S1602" s="14"/>
      <c r="T1602" s="14"/>
      <c r="U1602" s="14"/>
    </row>
    <row r="1603" spans="2:21" ht="18.75" customHeight="1" x14ac:dyDescent="0.25">
      <c r="B1603" s="15"/>
      <c r="C1603" s="119" t="s">
        <v>582</v>
      </c>
      <c r="D1603" s="120" t="s">
        <v>566</v>
      </c>
      <c r="E1603" s="121">
        <v>101116.9241752541</v>
      </c>
      <c r="F1603" s="129">
        <v>6470.0495166570545</v>
      </c>
      <c r="G1603" s="129">
        <v>15314.546078853289</v>
      </c>
      <c r="H1603" s="129">
        <v>18108.517281559423</v>
      </c>
      <c r="I1603" s="129">
        <v>8098.3212045829168</v>
      </c>
      <c r="J1603" s="129">
        <v>8859.5130936179412</v>
      </c>
      <c r="K1603" s="129">
        <v>6742.5243884960564</v>
      </c>
      <c r="L1603" s="129">
        <v>11293.888050948048</v>
      </c>
      <c r="M1603" s="129">
        <v>26229.564560539362</v>
      </c>
      <c r="N1603" s="130">
        <v>44372.672488552365</v>
      </c>
      <c r="O1603" s="94"/>
      <c r="P1603" s="14"/>
      <c r="Q1603" s="14"/>
      <c r="R1603" s="14"/>
      <c r="S1603" s="14"/>
      <c r="T1603" s="14"/>
      <c r="U1603" s="14"/>
    </row>
    <row r="1604" spans="2:21" ht="18.75" customHeight="1" x14ac:dyDescent="0.25">
      <c r="B1604" s="15"/>
      <c r="C1604" s="119" t="s">
        <v>582</v>
      </c>
      <c r="D1604" s="120" t="s">
        <v>628</v>
      </c>
      <c r="E1604" s="145">
        <v>16077.590943865402</v>
      </c>
      <c r="F1604" s="129">
        <v>1028.7378731484716</v>
      </c>
      <c r="G1604" s="129">
        <v>2435.0128265376729</v>
      </c>
      <c r="H1604" s="129">
        <v>2879.2542477679485</v>
      </c>
      <c r="I1604" s="129">
        <v>1287.6330715286838</v>
      </c>
      <c r="J1604" s="129">
        <v>1408.6625818852526</v>
      </c>
      <c r="K1604" s="129">
        <v>1072.0613777708729</v>
      </c>
      <c r="L1604" s="129">
        <v>1795.7282001007397</v>
      </c>
      <c r="M1604" s="129">
        <v>4170.5007651257583</v>
      </c>
      <c r="N1604" s="130">
        <v>7055.2549256798266</v>
      </c>
      <c r="O1604" s="94"/>
      <c r="P1604" s="14"/>
      <c r="Q1604" s="14"/>
      <c r="R1604" s="14"/>
      <c r="S1604" s="14"/>
      <c r="T1604" s="14"/>
      <c r="U1604" s="14"/>
    </row>
    <row r="1605" spans="2:21" ht="18.75" customHeight="1" x14ac:dyDescent="0.25">
      <c r="B1605" s="15"/>
      <c r="C1605" s="119" t="s">
        <v>620</v>
      </c>
      <c r="D1605" s="120" t="s">
        <v>622</v>
      </c>
      <c r="E1605" s="129">
        <v>13817100</v>
      </c>
      <c r="F1605" s="129">
        <v>690855</v>
      </c>
      <c r="G1605" s="129">
        <v>1796223</v>
      </c>
      <c r="H1605" s="129">
        <v>2348907</v>
      </c>
      <c r="I1605" s="129">
        <v>1105368</v>
      </c>
      <c r="J1605" s="129">
        <v>1243539</v>
      </c>
      <c r="K1605" s="129">
        <v>967197.00000000012</v>
      </c>
      <c r="L1605" s="129">
        <v>1658052</v>
      </c>
      <c r="M1605" s="129">
        <v>4006958.9999999995</v>
      </c>
      <c r="N1605" s="130">
        <v>6632208</v>
      </c>
      <c r="O1605" s="94"/>
      <c r="P1605" s="14"/>
      <c r="Q1605" s="14"/>
      <c r="R1605" s="14"/>
      <c r="S1605" s="14"/>
      <c r="T1605" s="14"/>
      <c r="U1605" s="14"/>
    </row>
    <row r="1606" spans="2:21" ht="18.75" customHeight="1" x14ac:dyDescent="0.25">
      <c r="B1606" s="15"/>
      <c r="C1606" s="122" t="s">
        <v>776</v>
      </c>
      <c r="D1606" s="120" t="s">
        <v>579</v>
      </c>
      <c r="E1606" s="125">
        <v>2.3214420460380971</v>
      </c>
      <c r="F1606" s="125">
        <v>0</v>
      </c>
      <c r="G1606" s="125">
        <v>0</v>
      </c>
      <c r="H1606" s="125">
        <v>1.0529440595090878</v>
      </c>
      <c r="I1606" s="125">
        <v>1.7579415491498893</v>
      </c>
      <c r="J1606" s="125">
        <v>2.2740630096003382</v>
      </c>
      <c r="K1606" s="125">
        <v>2.7644401229345847</v>
      </c>
      <c r="L1606" s="125">
        <v>3.3513540369597523</v>
      </c>
      <c r="M1606" s="125">
        <v>4.1429905796032411</v>
      </c>
      <c r="N1606" s="131">
        <v>3.7440428356781892</v>
      </c>
      <c r="O1606" s="94"/>
      <c r="P1606" s="14"/>
      <c r="Q1606" s="14"/>
      <c r="R1606" s="14"/>
      <c r="S1606" s="14"/>
      <c r="T1606" s="14"/>
      <c r="U1606" s="14"/>
    </row>
    <row r="1607" spans="2:21" ht="18.75" customHeight="1" x14ac:dyDescent="0.25">
      <c r="B1607" s="15"/>
      <c r="C1607" s="122" t="s">
        <v>777</v>
      </c>
      <c r="D1607" s="210" t="s">
        <v>778</v>
      </c>
      <c r="E1607" s="125">
        <v>1559.3395793092939</v>
      </c>
      <c r="F1607" s="132">
        <v>0</v>
      </c>
      <c r="G1607" s="132">
        <v>28.416328171662371</v>
      </c>
      <c r="H1607" s="132">
        <v>735.51486582470034</v>
      </c>
      <c r="I1607" s="132">
        <v>1086.4077189387522</v>
      </c>
      <c r="J1607" s="132">
        <v>1320.9170025388626</v>
      </c>
      <c r="K1607" s="132">
        <v>1575.3214991287959</v>
      </c>
      <c r="L1607" s="132">
        <v>2017.4692547994805</v>
      </c>
      <c r="M1607" s="125">
        <v>3008.4274696490606</v>
      </c>
      <c r="N1607" s="133">
        <v>2551.6932952357934</v>
      </c>
      <c r="O1607" s="94"/>
      <c r="P1607" s="14"/>
      <c r="Q1607" s="14"/>
      <c r="R1607" s="14"/>
      <c r="S1607" s="14"/>
      <c r="T1607" s="14"/>
      <c r="U1607" s="14"/>
    </row>
    <row r="1608" spans="2:21" ht="18.75" customHeight="1" x14ac:dyDescent="0.25">
      <c r="B1608" s="15"/>
      <c r="C1608" s="119" t="s">
        <v>779</v>
      </c>
      <c r="D1608" s="120" t="s">
        <v>970</v>
      </c>
      <c r="E1608" s="132">
        <v>31.4</v>
      </c>
      <c r="F1608" s="125">
        <v>78.997175438542044</v>
      </c>
      <c r="G1608" s="125">
        <v>60.13262521126272</v>
      </c>
      <c r="H1608" s="125">
        <v>41.777687367037672</v>
      </c>
      <c r="I1608" s="125">
        <v>33.169696013347391</v>
      </c>
      <c r="J1608" s="125">
        <v>28.63122183361881</v>
      </c>
      <c r="K1608" s="125">
        <v>25.187069666157214</v>
      </c>
      <c r="L1608" s="125">
        <v>21.598489195179141</v>
      </c>
      <c r="M1608" s="125">
        <v>15.630176349421987</v>
      </c>
      <c r="N1608" s="131">
        <v>18.877555738645626</v>
      </c>
      <c r="O1608" s="94"/>
      <c r="P1608" s="14"/>
      <c r="Q1608" s="14"/>
      <c r="R1608" s="14"/>
      <c r="S1608" s="14"/>
      <c r="T1608" s="14"/>
      <c r="U1608" s="14"/>
    </row>
    <row r="1609" spans="2:21" ht="18.75" customHeight="1" x14ac:dyDescent="0.25">
      <c r="B1609" s="15"/>
      <c r="C1609" s="119" t="s">
        <v>580</v>
      </c>
      <c r="D1609" s="120" t="s">
        <v>581</v>
      </c>
      <c r="E1609" s="125">
        <v>869</v>
      </c>
      <c r="F1609" s="125">
        <v>671.55591140591071</v>
      </c>
      <c r="G1609" s="125">
        <v>737.66469746035648</v>
      </c>
      <c r="H1609" s="125">
        <v>815.80395403459647</v>
      </c>
      <c r="I1609" s="125">
        <v>858.44952606545132</v>
      </c>
      <c r="J1609" s="125">
        <v>882.77989065041891</v>
      </c>
      <c r="K1609" s="125">
        <v>902.18435255179475</v>
      </c>
      <c r="L1609" s="125">
        <v>923.33127023732425</v>
      </c>
      <c r="M1609" s="125">
        <v>960.78606039511726</v>
      </c>
      <c r="N1609" s="131">
        <v>940.03803829397941</v>
      </c>
      <c r="O1609" s="94"/>
      <c r="P1609" s="14"/>
      <c r="Q1609" s="14"/>
      <c r="R1609" s="14"/>
      <c r="S1609" s="14"/>
      <c r="T1609" s="14"/>
      <c r="U1609" s="14"/>
    </row>
    <row r="1610" spans="2:21" ht="18.75" customHeight="1" x14ac:dyDescent="0.25">
      <c r="B1610" s="15"/>
      <c r="C1610" s="119" t="s">
        <v>541</v>
      </c>
      <c r="D1610" s="120" t="s">
        <v>579</v>
      </c>
      <c r="E1610" s="125">
        <v>12.899597826909234</v>
      </c>
      <c r="F1610" s="125">
        <v>15.781458003877525</v>
      </c>
      <c r="G1610" s="125">
        <v>14.627619032347667</v>
      </c>
      <c r="H1610" s="125">
        <v>13.404113586633644</v>
      </c>
      <c r="I1610" s="125">
        <v>13.422181770325679</v>
      </c>
      <c r="J1610" s="125">
        <v>12.911579987714401</v>
      </c>
      <c r="K1610" s="125">
        <v>12.530410641497266</v>
      </c>
      <c r="L1610" s="125">
        <v>12.150256733152396</v>
      </c>
      <c r="M1610" s="125">
        <v>11.583651204755155</v>
      </c>
      <c r="N1610" s="131">
        <v>11.863371671379355</v>
      </c>
      <c r="O1610" s="94"/>
      <c r="P1610" s="14"/>
      <c r="Q1610" s="14"/>
      <c r="R1610" s="14"/>
      <c r="S1610" s="14"/>
      <c r="T1610" s="14"/>
      <c r="U1610" s="14"/>
    </row>
    <row r="1611" spans="2:21" ht="18.75" customHeight="1" x14ac:dyDescent="0.25">
      <c r="B1611" s="15"/>
      <c r="C1611" s="119" t="s">
        <v>544</v>
      </c>
      <c r="D1611" s="120" t="s">
        <v>579</v>
      </c>
      <c r="E1611" s="125">
        <v>5.7</v>
      </c>
      <c r="F1611" s="128"/>
      <c r="G1611" s="128"/>
      <c r="H1611" s="128"/>
      <c r="I1611" s="128"/>
      <c r="J1611" s="128"/>
      <c r="K1611" s="128"/>
      <c r="L1611" s="128"/>
      <c r="M1611" s="125">
        <v>19.635517241379311</v>
      </c>
      <c r="N1611" s="131">
        <v>11.875</v>
      </c>
      <c r="O1611" s="94"/>
      <c r="P1611" s="14"/>
      <c r="Q1611" s="14"/>
      <c r="R1611" s="14"/>
      <c r="S1611" s="14"/>
      <c r="T1611" s="14"/>
      <c r="U1611" s="14"/>
    </row>
    <row r="1612" spans="2:21" ht="18.75" customHeight="1" x14ac:dyDescent="0.25">
      <c r="B1612" s="15"/>
      <c r="C1612" s="119" t="s">
        <v>780</v>
      </c>
      <c r="D1612" s="120" t="s">
        <v>783</v>
      </c>
      <c r="E1612" s="125">
        <v>12.212167080836899</v>
      </c>
      <c r="F1612" s="125">
        <v>12.544709449749616</v>
      </c>
      <c r="G1612" s="125">
        <v>12.220166163005183</v>
      </c>
      <c r="H1612" s="125">
        <v>11.925917919479167</v>
      </c>
      <c r="I1612" s="125">
        <v>11.860712514571947</v>
      </c>
      <c r="J1612" s="125">
        <v>11.882682795275592</v>
      </c>
      <c r="K1612" s="125">
        <v>11.949520202443662</v>
      </c>
      <c r="L1612" s="125">
        <v>12.079803977915528</v>
      </c>
      <c r="M1612" s="125">
        <v>12.248662825381908</v>
      </c>
      <c r="N1612" s="131">
        <v>12.188717171611943</v>
      </c>
      <c r="O1612" s="94"/>
      <c r="P1612" s="14"/>
      <c r="Q1612" s="14"/>
      <c r="R1612" s="14"/>
      <c r="S1612" s="14"/>
      <c r="T1612" s="14"/>
      <c r="U1612" s="14"/>
    </row>
    <row r="1613" spans="2:21" ht="18.75" customHeight="1" x14ac:dyDescent="0.25">
      <c r="B1613" s="15"/>
      <c r="C1613" s="122" t="s">
        <v>781</v>
      </c>
      <c r="D1613" s="120" t="s">
        <v>782</v>
      </c>
      <c r="E1613" s="125">
        <v>390</v>
      </c>
      <c r="F1613" s="134">
        <v>60</v>
      </c>
      <c r="G1613" s="134">
        <v>135</v>
      </c>
      <c r="H1613" s="134">
        <v>240</v>
      </c>
      <c r="I1613" s="134">
        <v>315</v>
      </c>
      <c r="J1613" s="134">
        <v>370</v>
      </c>
      <c r="K1613" s="134">
        <v>425</v>
      </c>
      <c r="L1613" s="134">
        <v>500</v>
      </c>
      <c r="M1613" s="134">
        <v>635</v>
      </c>
      <c r="N1613" s="135">
        <v>565</v>
      </c>
      <c r="O1613" s="94"/>
      <c r="P1613" s="14"/>
      <c r="Q1613" s="14"/>
      <c r="R1613" s="14"/>
      <c r="S1613" s="14"/>
      <c r="T1613" s="14"/>
      <c r="U1613" s="14"/>
    </row>
    <row r="1614" spans="2:21" ht="18.75" customHeight="1" x14ac:dyDescent="0.25">
      <c r="B1614" s="15"/>
      <c r="C1614" s="122"/>
      <c r="D1614" s="210"/>
      <c r="E1614" s="210"/>
      <c r="F1614" s="210"/>
      <c r="G1614" s="210"/>
      <c r="H1614" s="210"/>
      <c r="I1614" s="210"/>
      <c r="J1614" s="210"/>
      <c r="K1614" s="210"/>
      <c r="L1614" s="210"/>
      <c r="M1614" s="210"/>
      <c r="N1614" s="115"/>
      <c r="O1614" s="94"/>
      <c r="P1614" s="14"/>
      <c r="Q1614" s="14"/>
      <c r="R1614" s="14"/>
      <c r="S1614" s="14"/>
      <c r="T1614" s="14"/>
      <c r="U1614" s="14"/>
    </row>
    <row r="1615" spans="2:21" ht="18.75" customHeight="1" x14ac:dyDescent="0.25">
      <c r="B1615" s="15"/>
      <c r="C1615" s="2199" t="s">
        <v>2099</v>
      </c>
      <c r="D1615" s="2200"/>
      <c r="E1615" s="2200"/>
      <c r="F1615" s="2200"/>
      <c r="G1615" s="2200"/>
      <c r="H1615" s="2200"/>
      <c r="I1615" s="2200"/>
      <c r="J1615" s="2200"/>
      <c r="K1615" s="2200"/>
      <c r="L1615" s="2200"/>
      <c r="M1615" s="2200"/>
      <c r="N1615" s="2201"/>
      <c r="O1615" s="94"/>
      <c r="P1615" s="14"/>
      <c r="Q1615" s="14"/>
      <c r="R1615" s="14"/>
      <c r="S1615" s="14"/>
      <c r="T1615" s="14"/>
      <c r="U1615" s="14"/>
    </row>
    <row r="1616" spans="2:21" ht="18.75" customHeight="1" x14ac:dyDescent="0.25">
      <c r="B1616" s="15"/>
      <c r="C1616" s="2202" t="s">
        <v>1088</v>
      </c>
      <c r="D1616" s="210">
        <v>81</v>
      </c>
      <c r="E1616" s="104" t="s">
        <v>679</v>
      </c>
      <c r="F1616" s="210">
        <v>80</v>
      </c>
      <c r="G1616" s="210">
        <v>180</v>
      </c>
      <c r="H1616" s="210">
        <v>290</v>
      </c>
      <c r="I1616" s="210">
        <v>340</v>
      </c>
      <c r="J1616" s="210">
        <v>400</v>
      </c>
      <c r="K1616" s="210">
        <v>450</v>
      </c>
      <c r="L1616" s="210">
        <v>525</v>
      </c>
      <c r="M1616" s="210">
        <v>525</v>
      </c>
      <c r="N1616" s="115">
        <v>400</v>
      </c>
      <c r="O1616" s="94"/>
      <c r="P1616" s="14"/>
      <c r="Q1616" s="14"/>
      <c r="R1616" s="14"/>
      <c r="S1616" s="14"/>
      <c r="T1616" s="14"/>
      <c r="U1616" s="14"/>
    </row>
    <row r="1617" spans="2:21" ht="18.75" customHeight="1" x14ac:dyDescent="0.25">
      <c r="B1617" s="15"/>
      <c r="C1617" s="119" t="s">
        <v>568</v>
      </c>
      <c r="D1617" s="120" t="s">
        <v>623</v>
      </c>
      <c r="E1617" s="110" t="s">
        <v>608</v>
      </c>
      <c r="F1617" s="110" t="s">
        <v>957</v>
      </c>
      <c r="G1617" s="110" t="s">
        <v>572</v>
      </c>
      <c r="H1617" s="110" t="s">
        <v>530</v>
      </c>
      <c r="I1617" s="110" t="s">
        <v>573</v>
      </c>
      <c r="J1617" s="110" t="s">
        <v>574</v>
      </c>
      <c r="K1617" s="110" t="s">
        <v>575</v>
      </c>
      <c r="L1617" s="110" t="s">
        <v>576</v>
      </c>
      <c r="M1617" s="110" t="s">
        <v>577</v>
      </c>
      <c r="N1617" s="2203" t="s">
        <v>609</v>
      </c>
      <c r="O1617" s="94"/>
      <c r="P1617" s="14"/>
      <c r="Q1617" s="14"/>
      <c r="R1617" s="14"/>
      <c r="S1617" s="14"/>
      <c r="T1617" s="14"/>
      <c r="U1617" s="14"/>
    </row>
    <row r="1618" spans="2:21" ht="18.75" customHeight="1" x14ac:dyDescent="0.25">
      <c r="B1618" s="15"/>
      <c r="C1618" s="119" t="s">
        <v>582</v>
      </c>
      <c r="D1618" s="120" t="s">
        <v>566</v>
      </c>
      <c r="E1618" s="121">
        <v>100581.8056292429</v>
      </c>
      <c r="F1618" s="129">
        <v>4811.7326397898478</v>
      </c>
      <c r="G1618" s="129">
        <v>19987.041862558708</v>
      </c>
      <c r="H1618" s="129">
        <v>27627.089032102496</v>
      </c>
      <c r="I1618" s="129">
        <v>10820.546073648791</v>
      </c>
      <c r="J1618" s="129">
        <v>8667.3146157159917</v>
      </c>
      <c r="K1618" s="129">
        <v>6628.9094903680643</v>
      </c>
      <c r="L1618" s="129">
        <v>10240.546527048129</v>
      </c>
      <c r="M1618" s="129">
        <v>11798.625388010854</v>
      </c>
      <c r="N1618" s="130">
        <v>29159.263917270917</v>
      </c>
      <c r="O1618" s="94"/>
      <c r="P1618" s="14"/>
      <c r="Q1618" s="14"/>
      <c r="R1618" s="14"/>
      <c r="S1618" s="14"/>
      <c r="T1618" s="14"/>
      <c r="U1618" s="14"/>
    </row>
    <row r="1619" spans="2:21" ht="18.75" customHeight="1" x14ac:dyDescent="0.25">
      <c r="B1619" s="15"/>
      <c r="C1619" s="119" t="s">
        <v>582</v>
      </c>
      <c r="D1619" s="120" t="s">
        <v>628</v>
      </c>
      <c r="E1619" s="145">
        <v>15992.507095049621</v>
      </c>
      <c r="F1619" s="129">
        <v>765.06548972658584</v>
      </c>
      <c r="G1619" s="129">
        <v>3177.9396561468347</v>
      </c>
      <c r="H1619" s="129">
        <v>4392.7071561042967</v>
      </c>
      <c r="I1619" s="129">
        <v>1720.4668257101578</v>
      </c>
      <c r="J1619" s="129">
        <v>1378.1030238988428</v>
      </c>
      <c r="K1619" s="129">
        <v>1053.9966089685222</v>
      </c>
      <c r="L1619" s="129">
        <v>1628.2468978006525</v>
      </c>
      <c r="M1619" s="129">
        <v>1875.9814366937258</v>
      </c>
      <c r="N1619" s="130">
        <v>4636.3229628460758</v>
      </c>
      <c r="O1619" s="94"/>
      <c r="P1619" s="14"/>
      <c r="Q1619" s="14"/>
      <c r="R1619" s="14"/>
      <c r="S1619" s="14"/>
      <c r="T1619" s="14"/>
      <c r="U1619" s="14"/>
    </row>
    <row r="1620" spans="2:21" ht="18.75" customHeight="1" x14ac:dyDescent="0.25">
      <c r="B1620" s="15"/>
      <c r="C1620" s="119" t="s">
        <v>620</v>
      </c>
      <c r="D1620" s="120" t="s">
        <v>622</v>
      </c>
      <c r="E1620" s="129">
        <v>13419600</v>
      </c>
      <c r="F1620" s="129">
        <v>536784</v>
      </c>
      <c r="G1620" s="129">
        <v>2415528</v>
      </c>
      <c r="H1620" s="129">
        <v>3623292.0000000005</v>
      </c>
      <c r="I1620" s="129">
        <v>1476156</v>
      </c>
      <c r="J1620" s="129">
        <v>1207764</v>
      </c>
      <c r="K1620" s="129">
        <v>939372.00000000012</v>
      </c>
      <c r="L1620" s="129">
        <v>1476156</v>
      </c>
      <c r="M1620" s="129">
        <v>1744548</v>
      </c>
      <c r="N1620" s="130">
        <v>4160076</v>
      </c>
      <c r="O1620" s="94"/>
      <c r="P1620" s="14"/>
      <c r="Q1620" s="14"/>
      <c r="R1620" s="14"/>
      <c r="S1620" s="14"/>
      <c r="T1620" s="14"/>
      <c r="U1620" s="14"/>
    </row>
    <row r="1621" spans="2:21" ht="18.75" customHeight="1" x14ac:dyDescent="0.25">
      <c r="B1621" s="15"/>
      <c r="C1621" s="122" t="s">
        <v>776</v>
      </c>
      <c r="D1621" s="120" t="s">
        <v>579</v>
      </c>
      <c r="E1621" s="125">
        <v>0.3036960329751085</v>
      </c>
      <c r="F1621" s="125">
        <v>0</v>
      </c>
      <c r="G1621" s="125">
        <v>0</v>
      </c>
      <c r="H1621" s="125">
        <v>0.22313214392754732</v>
      </c>
      <c r="I1621" s="125">
        <v>0.28208564068938591</v>
      </c>
      <c r="J1621" s="125">
        <v>0.35476291022836826</v>
      </c>
      <c r="K1621" s="125">
        <v>0.49049328225892941</v>
      </c>
      <c r="L1621" s="125">
        <v>0.77870576994222285</v>
      </c>
      <c r="M1621" s="125">
        <v>0.46538544051165803</v>
      </c>
      <c r="N1621" s="131">
        <v>0.58223313457511328</v>
      </c>
      <c r="O1621" s="94"/>
      <c r="P1621" s="14"/>
      <c r="Q1621" s="14"/>
      <c r="R1621" s="14"/>
      <c r="S1621" s="14"/>
      <c r="T1621" s="14"/>
      <c r="U1621" s="14"/>
    </row>
    <row r="1622" spans="2:21" ht="18.75" customHeight="1" x14ac:dyDescent="0.25">
      <c r="B1622" s="15"/>
      <c r="C1622" s="122" t="s">
        <v>777</v>
      </c>
      <c r="D1622" s="210" t="s">
        <v>778</v>
      </c>
      <c r="E1622" s="125">
        <v>971.25904961204685</v>
      </c>
      <c r="F1622" s="132">
        <v>0</v>
      </c>
      <c r="G1622" s="132">
        <v>28.416328171662371</v>
      </c>
      <c r="H1622" s="132">
        <v>735.51486582470034</v>
      </c>
      <c r="I1622" s="132">
        <v>1086.4077189387522</v>
      </c>
      <c r="J1622" s="132">
        <v>1320.9170025388626</v>
      </c>
      <c r="K1622" s="132">
        <v>1575.3214991287959</v>
      </c>
      <c r="L1622" s="132">
        <v>1949.4357095100672</v>
      </c>
      <c r="M1622" s="125">
        <v>1572.7483420891924</v>
      </c>
      <c r="N1622" s="133">
        <v>1706.9926369571554</v>
      </c>
      <c r="O1622" s="94"/>
      <c r="P1622" s="14"/>
      <c r="Q1622" s="14"/>
      <c r="R1622" s="14"/>
      <c r="S1622" s="14"/>
      <c r="T1622" s="14"/>
      <c r="U1622" s="14"/>
    </row>
    <row r="1623" spans="2:21" ht="18.75" customHeight="1" x14ac:dyDescent="0.25">
      <c r="B1623" s="15"/>
      <c r="C1623" s="119" t="s">
        <v>779</v>
      </c>
      <c r="D1623" s="120" t="s">
        <v>970</v>
      </c>
      <c r="E1623" s="132">
        <v>36.1</v>
      </c>
      <c r="F1623" s="125">
        <v>69.977938763110558</v>
      </c>
      <c r="G1623" s="125">
        <v>54.478191128545177</v>
      </c>
      <c r="H1623" s="125">
        <v>39.878905715329537</v>
      </c>
      <c r="I1623" s="125">
        <v>33.256476600702719</v>
      </c>
      <c r="J1623" s="125">
        <v>29.797655276587818</v>
      </c>
      <c r="K1623" s="125">
        <v>27.109812466924055</v>
      </c>
      <c r="L1623" s="125">
        <v>24.425251163694156</v>
      </c>
      <c r="M1623" s="125">
        <v>20.51066619518032</v>
      </c>
      <c r="N1623" s="131">
        <v>26.04363625543516</v>
      </c>
      <c r="O1623" s="94"/>
      <c r="P1623" s="14"/>
      <c r="Q1623" s="14"/>
      <c r="R1623" s="14"/>
      <c r="S1623" s="14"/>
      <c r="T1623" s="14"/>
      <c r="U1623" s="14"/>
    </row>
    <row r="1624" spans="2:21" ht="18.75" customHeight="1" x14ac:dyDescent="0.25">
      <c r="B1624" s="15"/>
      <c r="C1624" s="119" t="s">
        <v>580</v>
      </c>
      <c r="D1624" s="120" t="s">
        <v>581</v>
      </c>
      <c r="E1624" s="125">
        <v>844</v>
      </c>
      <c r="F1624" s="125">
        <v>701.61836758815559</v>
      </c>
      <c r="G1624" s="125">
        <v>760.09246913415654</v>
      </c>
      <c r="H1624" s="125">
        <v>824.84260189412282</v>
      </c>
      <c r="I1624" s="125">
        <v>857.9973632392979</v>
      </c>
      <c r="J1624" s="125">
        <v>876.39601615782658</v>
      </c>
      <c r="K1624" s="125">
        <v>891.24764919244114</v>
      </c>
      <c r="L1624" s="125">
        <v>906.59223855664106</v>
      </c>
      <c r="M1624" s="125">
        <v>929.93883941337549</v>
      </c>
      <c r="N1624" s="131">
        <v>897.27916569605736</v>
      </c>
      <c r="O1624" s="94"/>
      <c r="P1624" s="14"/>
      <c r="Q1624" s="14"/>
      <c r="R1624" s="14"/>
      <c r="S1624" s="14"/>
      <c r="T1624" s="14"/>
      <c r="U1624" s="14"/>
    </row>
    <row r="1625" spans="2:21" ht="18.75" customHeight="1" x14ac:dyDescent="0.25">
      <c r="B1625" s="15"/>
      <c r="C1625" s="119" t="s">
        <v>541</v>
      </c>
      <c r="D1625" s="120" t="s">
        <v>579</v>
      </c>
      <c r="E1625" s="125">
        <v>13.241988503372715</v>
      </c>
      <c r="F1625" s="125">
        <v>14.603463927241801</v>
      </c>
      <c r="G1625" s="125">
        <v>13.912061510697015</v>
      </c>
      <c r="H1625" s="125">
        <v>13.171390320611504</v>
      </c>
      <c r="I1625" s="125">
        <v>13.434062747274499</v>
      </c>
      <c r="J1625" s="125">
        <v>13.079321918947215</v>
      </c>
      <c r="K1625" s="125">
        <v>12.81778216563157</v>
      </c>
      <c r="L1625" s="125">
        <v>12.566689550095017</v>
      </c>
      <c r="M1625" s="125">
        <v>12.791823159864355</v>
      </c>
      <c r="N1625" s="131">
        <v>12.717798751248477</v>
      </c>
      <c r="O1625" s="94"/>
      <c r="P1625" s="14"/>
      <c r="Q1625" s="14"/>
      <c r="R1625" s="14"/>
      <c r="S1625" s="14"/>
      <c r="T1625" s="14"/>
      <c r="U1625" s="14"/>
    </row>
    <row r="1626" spans="2:21" ht="18.75" customHeight="1" x14ac:dyDescent="0.25">
      <c r="B1626" s="15"/>
      <c r="C1626" s="119" t="s">
        <v>544</v>
      </c>
      <c r="D1626" s="120" t="s">
        <v>579</v>
      </c>
      <c r="E1626" s="125">
        <v>1.1000000000000001</v>
      </c>
      <c r="F1626" s="128"/>
      <c r="G1626" s="128"/>
      <c r="H1626" s="128"/>
      <c r="I1626" s="128"/>
      <c r="J1626" s="128"/>
      <c r="K1626" s="128"/>
      <c r="L1626" s="128"/>
      <c r="M1626" s="125">
        <v>8.4530769230769245</v>
      </c>
      <c r="N1626" s="131">
        <v>3.5483870967741935</v>
      </c>
      <c r="O1626" s="94"/>
      <c r="P1626" s="14"/>
      <c r="Q1626" s="14"/>
      <c r="R1626" s="14"/>
      <c r="S1626" s="14"/>
      <c r="T1626" s="14"/>
      <c r="U1626" s="14"/>
    </row>
    <row r="1627" spans="2:21" ht="18.75" customHeight="1" x14ac:dyDescent="0.25">
      <c r="B1627" s="15"/>
      <c r="C1627" s="119" t="s">
        <v>780</v>
      </c>
      <c r="D1627" s="120" t="s">
        <v>783</v>
      </c>
      <c r="E1627" s="125">
        <v>11.968264402612933</v>
      </c>
      <c r="F1627" s="125">
        <v>12.007202457952248</v>
      </c>
      <c r="G1627" s="125">
        <v>11.859590170413149</v>
      </c>
      <c r="H1627" s="125">
        <v>11.79523338375289</v>
      </c>
      <c r="I1627" s="125">
        <v>11.866963085401833</v>
      </c>
      <c r="J1627" s="125">
        <v>11.969239048615139</v>
      </c>
      <c r="K1627" s="125">
        <v>12.096155492712471</v>
      </c>
      <c r="L1627" s="125">
        <v>12.249569243135275</v>
      </c>
      <c r="M1627" s="125">
        <v>12.394154984505239</v>
      </c>
      <c r="N1627" s="131">
        <v>12.156579386827525</v>
      </c>
      <c r="O1627" s="94"/>
      <c r="P1627" s="14"/>
      <c r="Q1627" s="14"/>
      <c r="R1627" s="14"/>
      <c r="S1627" s="14"/>
      <c r="T1627" s="14"/>
      <c r="U1627" s="14"/>
    </row>
    <row r="1628" spans="2:21" ht="18.75" customHeight="1" x14ac:dyDescent="0.25">
      <c r="B1628" s="15"/>
      <c r="C1628" s="122" t="s">
        <v>781</v>
      </c>
      <c r="D1628" s="120" t="s">
        <v>782</v>
      </c>
      <c r="E1628" s="125">
        <v>300</v>
      </c>
      <c r="F1628" s="134">
        <v>60</v>
      </c>
      <c r="G1628" s="134">
        <v>135</v>
      </c>
      <c r="H1628" s="134">
        <v>240</v>
      </c>
      <c r="I1628" s="134">
        <v>315</v>
      </c>
      <c r="J1628" s="134">
        <v>370</v>
      </c>
      <c r="K1628" s="134">
        <v>425</v>
      </c>
      <c r="L1628" s="134">
        <v>490</v>
      </c>
      <c r="M1628" s="134">
        <v>580</v>
      </c>
      <c r="N1628" s="135">
        <v>450</v>
      </c>
      <c r="O1628" s="94"/>
      <c r="P1628" s="14"/>
      <c r="Q1628" s="14"/>
      <c r="R1628" s="14"/>
      <c r="S1628" s="14"/>
      <c r="T1628" s="14"/>
      <c r="U1628" s="14"/>
    </row>
    <row r="1629" spans="2:21" ht="18.75" customHeight="1" x14ac:dyDescent="0.25">
      <c r="B1629" s="15"/>
      <c r="C1629" s="122"/>
      <c r="D1629" s="210"/>
      <c r="E1629" s="210"/>
      <c r="F1629" s="210"/>
      <c r="G1629" s="210"/>
      <c r="H1629" s="210"/>
      <c r="I1629" s="210"/>
      <c r="J1629" s="210"/>
      <c r="K1629" s="210"/>
      <c r="L1629" s="210"/>
      <c r="M1629" s="210"/>
      <c r="N1629" s="115"/>
      <c r="O1629" s="94"/>
      <c r="P1629" s="14"/>
      <c r="Q1629" s="14"/>
      <c r="R1629" s="14"/>
      <c r="S1629" s="14"/>
      <c r="T1629" s="14"/>
      <c r="U1629" s="14"/>
    </row>
    <row r="1630" spans="2:21" ht="18.75" customHeight="1" x14ac:dyDescent="0.25">
      <c r="B1630" s="15"/>
      <c r="C1630" s="2199" t="s">
        <v>2100</v>
      </c>
      <c r="D1630" s="2200"/>
      <c r="E1630" s="2200"/>
      <c r="F1630" s="2200"/>
      <c r="G1630" s="2200"/>
      <c r="H1630" s="2200"/>
      <c r="I1630" s="2200"/>
      <c r="J1630" s="2200"/>
      <c r="K1630" s="2200"/>
      <c r="L1630" s="2200"/>
      <c r="M1630" s="2200"/>
      <c r="N1630" s="2201"/>
      <c r="O1630" s="94"/>
      <c r="P1630" s="14"/>
      <c r="Q1630" s="14"/>
      <c r="R1630" s="14"/>
      <c r="S1630" s="14"/>
      <c r="T1630" s="14"/>
      <c r="U1630" s="14"/>
    </row>
    <row r="1631" spans="2:21" ht="18.75" customHeight="1" x14ac:dyDescent="0.25">
      <c r="B1631" s="15"/>
      <c r="C1631" s="2202" t="s">
        <v>1088</v>
      </c>
      <c r="D1631" s="210">
        <v>74</v>
      </c>
      <c r="E1631" s="104" t="s">
        <v>679</v>
      </c>
      <c r="F1631" s="210">
        <v>80</v>
      </c>
      <c r="G1631" s="210">
        <v>180</v>
      </c>
      <c r="H1631" s="210">
        <v>290</v>
      </c>
      <c r="I1631" s="210">
        <v>340</v>
      </c>
      <c r="J1631" s="210">
        <v>400</v>
      </c>
      <c r="K1631" s="210">
        <v>450</v>
      </c>
      <c r="L1631" s="210">
        <v>525</v>
      </c>
      <c r="M1631" s="210">
        <v>525</v>
      </c>
      <c r="N1631" s="115">
        <v>400</v>
      </c>
      <c r="O1631" s="94"/>
      <c r="P1631" s="14"/>
      <c r="Q1631" s="14"/>
      <c r="R1631" s="14"/>
      <c r="S1631" s="14"/>
      <c r="T1631" s="14"/>
      <c r="U1631" s="14"/>
    </row>
    <row r="1632" spans="2:21" ht="18.75" customHeight="1" x14ac:dyDescent="0.25">
      <c r="B1632" s="15"/>
      <c r="C1632" s="119" t="s">
        <v>568</v>
      </c>
      <c r="D1632" s="120" t="s">
        <v>623</v>
      </c>
      <c r="E1632" s="110" t="s">
        <v>608</v>
      </c>
      <c r="F1632" s="110" t="s">
        <v>957</v>
      </c>
      <c r="G1632" s="110" t="s">
        <v>572</v>
      </c>
      <c r="H1632" s="110" t="s">
        <v>530</v>
      </c>
      <c r="I1632" s="110" t="s">
        <v>573</v>
      </c>
      <c r="J1632" s="110" t="s">
        <v>574</v>
      </c>
      <c r="K1632" s="110" t="s">
        <v>575</v>
      </c>
      <c r="L1632" s="110" t="s">
        <v>576</v>
      </c>
      <c r="M1632" s="110" t="s">
        <v>577</v>
      </c>
      <c r="N1632" s="2203" t="s">
        <v>609</v>
      </c>
      <c r="O1632" s="94"/>
      <c r="P1632" s="14"/>
      <c r="Q1632" s="14"/>
      <c r="R1632" s="14"/>
      <c r="S1632" s="14"/>
      <c r="T1632" s="14"/>
      <c r="U1632" s="14"/>
    </row>
    <row r="1633" spans="2:21" ht="18.75" customHeight="1" x14ac:dyDescent="0.25">
      <c r="B1633" s="15"/>
      <c r="C1633" s="119" t="s">
        <v>582</v>
      </c>
      <c r="D1633" s="120" t="s">
        <v>566</v>
      </c>
      <c r="E1633" s="121">
        <v>100675.3967804334</v>
      </c>
      <c r="F1633" s="129">
        <v>4075.0595272750384</v>
      </c>
      <c r="G1633" s="129">
        <v>12353.746137584836</v>
      </c>
      <c r="H1633" s="129">
        <v>15495.130787568371</v>
      </c>
      <c r="I1633" s="129">
        <v>8405.631678317035</v>
      </c>
      <c r="J1633" s="129">
        <v>5134.1170478106405</v>
      </c>
      <c r="K1633" s="129">
        <v>5539.4865735742451</v>
      </c>
      <c r="L1633" s="129">
        <v>8899.2805578475763</v>
      </c>
      <c r="M1633" s="129">
        <v>40772.944470455659</v>
      </c>
      <c r="N1633" s="130">
        <v>55784.262291734718</v>
      </c>
      <c r="O1633" s="94"/>
      <c r="P1633" s="14"/>
      <c r="Q1633" s="14"/>
      <c r="R1633" s="14"/>
      <c r="S1633" s="14"/>
      <c r="T1633" s="14"/>
      <c r="U1633" s="14"/>
    </row>
    <row r="1634" spans="2:21" ht="18.75" customHeight="1" x14ac:dyDescent="0.25">
      <c r="B1634" s="15"/>
      <c r="C1634" s="119" t="s">
        <v>582</v>
      </c>
      <c r="D1634" s="120" t="s">
        <v>628</v>
      </c>
      <c r="E1634" s="145">
        <v>16007.38808808891</v>
      </c>
      <c r="F1634" s="129">
        <v>647.93446483673108</v>
      </c>
      <c r="G1634" s="129">
        <v>1964.2456358759889</v>
      </c>
      <c r="H1634" s="129">
        <v>2463.7257952233708</v>
      </c>
      <c r="I1634" s="129">
        <v>1336.4954368524086</v>
      </c>
      <c r="J1634" s="129">
        <v>816.32461060189189</v>
      </c>
      <c r="K1634" s="129">
        <v>880.77836519830498</v>
      </c>
      <c r="L1634" s="129">
        <v>1414.9856086977645</v>
      </c>
      <c r="M1634" s="129">
        <v>6482.8981708024494</v>
      </c>
      <c r="N1634" s="130">
        <v>8869.6977043858205</v>
      </c>
      <c r="O1634" s="94"/>
      <c r="P1634" s="14"/>
      <c r="Q1634" s="14"/>
      <c r="R1634" s="14"/>
      <c r="S1634" s="14"/>
      <c r="T1634" s="14"/>
      <c r="U1634" s="14"/>
    </row>
    <row r="1635" spans="2:21" ht="18.75" customHeight="1" x14ac:dyDescent="0.25">
      <c r="B1635" s="15"/>
      <c r="C1635" s="119" t="s">
        <v>620</v>
      </c>
      <c r="D1635" s="120" t="s">
        <v>622</v>
      </c>
      <c r="E1635" s="129">
        <v>14643900</v>
      </c>
      <c r="F1635" s="129">
        <v>439317</v>
      </c>
      <c r="G1635" s="129">
        <v>1464390</v>
      </c>
      <c r="H1635" s="129">
        <v>2050146.0000000002</v>
      </c>
      <c r="I1635" s="129">
        <v>1171512</v>
      </c>
      <c r="J1635" s="129">
        <v>732195</v>
      </c>
      <c r="K1635" s="129">
        <v>805414.5</v>
      </c>
      <c r="L1635" s="129">
        <v>1317951</v>
      </c>
      <c r="M1635" s="129">
        <v>6662974.5</v>
      </c>
      <c r="N1635" s="130">
        <v>8786340</v>
      </c>
      <c r="O1635" s="94"/>
      <c r="P1635" s="14"/>
      <c r="Q1635" s="14"/>
      <c r="R1635" s="14"/>
      <c r="S1635" s="14"/>
      <c r="T1635" s="14"/>
      <c r="U1635" s="14"/>
    </row>
    <row r="1636" spans="2:21" ht="18.75" customHeight="1" x14ac:dyDescent="0.25">
      <c r="B1636" s="15"/>
      <c r="C1636" s="122" t="s">
        <v>776</v>
      </c>
      <c r="D1636" s="120" t="s">
        <v>579</v>
      </c>
      <c r="E1636" s="125">
        <v>3.2746476488488221</v>
      </c>
      <c r="F1636" s="125">
        <v>0</v>
      </c>
      <c r="G1636" s="125">
        <v>0</v>
      </c>
      <c r="H1636" s="125">
        <v>1.1054740251239996</v>
      </c>
      <c r="I1636" s="125">
        <v>1.725950729387707</v>
      </c>
      <c r="J1636" s="125">
        <v>2.1055000962975825</v>
      </c>
      <c r="K1636" s="125">
        <v>2.5314763945113867</v>
      </c>
      <c r="L1636" s="125">
        <v>3.0659562548292385</v>
      </c>
      <c r="M1636" s="125">
        <v>5.4095889176545251</v>
      </c>
      <c r="N1636" s="131">
        <v>4.7942170369426105</v>
      </c>
      <c r="O1636" s="94"/>
      <c r="P1636" s="14"/>
      <c r="Q1636" s="14"/>
      <c r="R1636" s="14"/>
      <c r="S1636" s="14"/>
      <c r="T1636" s="14"/>
      <c r="U1636" s="14"/>
    </row>
    <row r="1637" spans="2:21" ht="18.75" customHeight="1" x14ac:dyDescent="0.25">
      <c r="B1637" s="15"/>
      <c r="C1637" s="122" t="s">
        <v>777</v>
      </c>
      <c r="D1637" s="210" t="s">
        <v>778</v>
      </c>
      <c r="E1637" s="125">
        <v>2481.4329198508854</v>
      </c>
      <c r="F1637" s="132">
        <v>0</v>
      </c>
      <c r="G1637" s="132">
        <v>0</v>
      </c>
      <c r="H1637" s="132">
        <v>741.68266319726581</v>
      </c>
      <c r="I1637" s="132">
        <v>1113.5719197548237</v>
      </c>
      <c r="J1637" s="132">
        <v>1324.4946217229667</v>
      </c>
      <c r="K1637" s="132">
        <v>1575.6399713715109</v>
      </c>
      <c r="L1637" s="132">
        <v>1945.7469893964649</v>
      </c>
      <c r="M1637" s="125">
        <v>4308.8119447596018</v>
      </c>
      <c r="N1637" s="133">
        <v>3703.8114372278901</v>
      </c>
      <c r="O1637" s="94"/>
      <c r="P1637" s="14"/>
      <c r="Q1637" s="14"/>
      <c r="R1637" s="14"/>
      <c r="S1637" s="14"/>
      <c r="T1637" s="14"/>
      <c r="U1637" s="14"/>
    </row>
    <row r="1638" spans="2:21" ht="18.75" customHeight="1" x14ac:dyDescent="0.25">
      <c r="B1638" s="15"/>
      <c r="C1638" s="119" t="s">
        <v>779</v>
      </c>
      <c r="D1638" s="120" t="s">
        <v>970</v>
      </c>
      <c r="E1638" s="132">
        <v>22.2</v>
      </c>
      <c r="F1638" s="125">
        <v>76.988219869762986</v>
      </c>
      <c r="G1638" s="125">
        <v>58.11273009945311</v>
      </c>
      <c r="H1638" s="125">
        <v>38.377565832912964</v>
      </c>
      <c r="I1638" s="125">
        <v>29.76836679595759</v>
      </c>
      <c r="J1638" s="125">
        <v>26.103036235911929</v>
      </c>
      <c r="K1638" s="125">
        <v>23.087951904224127</v>
      </c>
      <c r="L1638" s="125">
        <v>20.268348348350884</v>
      </c>
      <c r="M1638" s="125">
        <v>6.0401513286214197</v>
      </c>
      <c r="N1638" s="131">
        <v>11.201738025025264</v>
      </c>
      <c r="O1638" s="94"/>
      <c r="P1638" s="14"/>
      <c r="Q1638" s="14"/>
      <c r="R1638" s="14"/>
      <c r="S1638" s="14"/>
      <c r="T1638" s="14"/>
      <c r="U1638" s="14"/>
    </row>
    <row r="1639" spans="2:21" ht="18.75" customHeight="1" x14ac:dyDescent="0.25">
      <c r="B1639" s="15"/>
      <c r="C1639" s="119" t="s">
        <v>580</v>
      </c>
      <c r="D1639" s="120" t="s">
        <v>581</v>
      </c>
      <c r="E1639" s="125">
        <v>921</v>
      </c>
      <c r="F1639" s="125">
        <v>678.0269052529884</v>
      </c>
      <c r="G1639" s="125">
        <v>745.5228476793485</v>
      </c>
      <c r="H1639" s="125">
        <v>832.13237608454153</v>
      </c>
      <c r="I1639" s="125">
        <v>876.55518133233409</v>
      </c>
      <c r="J1639" s="125">
        <v>896.9409846165712</v>
      </c>
      <c r="K1639" s="125">
        <v>914.43492690543439</v>
      </c>
      <c r="L1639" s="125">
        <v>931.42360734886404</v>
      </c>
      <c r="M1639" s="125">
        <v>1027.7771336913133</v>
      </c>
      <c r="N1639" s="131">
        <v>990.60196782753917</v>
      </c>
      <c r="O1639" s="94"/>
      <c r="P1639" s="14"/>
      <c r="Q1639" s="14"/>
      <c r="R1639" s="14"/>
      <c r="S1639" s="14"/>
      <c r="T1639" s="14"/>
      <c r="U1639" s="14"/>
    </row>
    <row r="1640" spans="2:21" ht="18.75" customHeight="1" x14ac:dyDescent="0.25">
      <c r="B1640" s="15"/>
      <c r="C1640" s="119" t="s">
        <v>541</v>
      </c>
      <c r="D1640" s="120" t="s">
        <v>579</v>
      </c>
      <c r="E1640" s="125">
        <v>11.832108714767084</v>
      </c>
      <c r="F1640" s="125">
        <v>15.520240725178454</v>
      </c>
      <c r="G1640" s="125">
        <v>14.304479350097468</v>
      </c>
      <c r="H1640" s="125">
        <v>12.98708742831864</v>
      </c>
      <c r="I1640" s="125">
        <v>12.958139713644172</v>
      </c>
      <c r="J1640" s="125">
        <v>12.539484757300947</v>
      </c>
      <c r="K1640" s="125">
        <v>12.208515998490867</v>
      </c>
      <c r="L1640" s="125">
        <v>11.914223440180898</v>
      </c>
      <c r="M1640" s="125">
        <v>10.352719590214319</v>
      </c>
      <c r="N1640" s="131">
        <v>10.757059838467988</v>
      </c>
      <c r="O1640" s="94"/>
      <c r="P1640" s="14"/>
      <c r="Q1640" s="14"/>
      <c r="R1640" s="14"/>
      <c r="S1640" s="14"/>
      <c r="T1640" s="14"/>
      <c r="U1640" s="14"/>
    </row>
    <row r="1641" spans="2:21" ht="18.75" customHeight="1" x14ac:dyDescent="0.25">
      <c r="B1641" s="15"/>
      <c r="C1641" s="119" t="s">
        <v>544</v>
      </c>
      <c r="D1641" s="120" t="s">
        <v>579</v>
      </c>
      <c r="E1641" s="125">
        <v>12</v>
      </c>
      <c r="F1641" s="128"/>
      <c r="G1641" s="128"/>
      <c r="H1641" s="128"/>
      <c r="I1641" s="128"/>
      <c r="J1641" s="128"/>
      <c r="K1641" s="128"/>
      <c r="L1641" s="128"/>
      <c r="M1641" s="125">
        <v>26.34725274725275</v>
      </c>
      <c r="N1641" s="131">
        <v>20</v>
      </c>
      <c r="O1641" s="94"/>
      <c r="P1641" s="14"/>
      <c r="Q1641" s="14"/>
      <c r="R1641" s="14"/>
      <c r="S1641" s="14"/>
      <c r="T1641" s="14"/>
      <c r="U1641" s="14"/>
    </row>
    <row r="1642" spans="2:21" ht="18.75" customHeight="1" x14ac:dyDescent="0.25">
      <c r="B1642" s="15"/>
      <c r="C1642" s="119" t="s">
        <v>780</v>
      </c>
      <c r="D1642" s="120" t="s">
        <v>783</v>
      </c>
      <c r="E1642" s="125">
        <v>12.074752348439862</v>
      </c>
      <c r="F1642" s="125">
        <v>12.42498449925902</v>
      </c>
      <c r="G1642" s="125">
        <v>12.041782386897159</v>
      </c>
      <c r="H1642" s="125">
        <v>11.691902963783617</v>
      </c>
      <c r="I1642" s="125">
        <v>11.648547130267573</v>
      </c>
      <c r="J1642" s="125">
        <v>11.695076486142764</v>
      </c>
      <c r="K1642" s="125">
        <v>11.789433922465541</v>
      </c>
      <c r="L1642" s="125">
        <v>11.923000784893228</v>
      </c>
      <c r="M1642" s="125">
        <v>11.777095172633226</v>
      </c>
      <c r="N1642" s="131">
        <v>11.988020526918572</v>
      </c>
      <c r="O1642" s="94"/>
      <c r="P1642" s="14"/>
      <c r="Q1642" s="14"/>
      <c r="R1642" s="14"/>
      <c r="S1642" s="14"/>
      <c r="T1642" s="14"/>
      <c r="U1642" s="14"/>
    </row>
    <row r="1643" spans="2:21" ht="18.75" customHeight="1" x14ac:dyDescent="0.25">
      <c r="B1643" s="15"/>
      <c r="C1643" s="122" t="s">
        <v>781</v>
      </c>
      <c r="D1643" s="120" t="s">
        <v>782</v>
      </c>
      <c r="E1643" s="125">
        <v>490</v>
      </c>
      <c r="F1643" s="134">
        <v>60</v>
      </c>
      <c r="G1643" s="134">
        <v>130</v>
      </c>
      <c r="H1643" s="134">
        <v>240</v>
      </c>
      <c r="I1643" s="134">
        <v>320</v>
      </c>
      <c r="J1643" s="134">
        <v>370</v>
      </c>
      <c r="K1643" s="134">
        <v>425</v>
      </c>
      <c r="L1643" s="134">
        <v>490</v>
      </c>
      <c r="M1643" s="134">
        <v>715</v>
      </c>
      <c r="N1643" s="135">
        <v>660</v>
      </c>
      <c r="O1643" s="94"/>
      <c r="P1643" s="14"/>
      <c r="Q1643" s="14"/>
      <c r="R1643" s="14"/>
      <c r="S1643" s="14"/>
      <c r="T1643" s="14"/>
      <c r="U1643" s="14"/>
    </row>
    <row r="1644" spans="2:21" ht="18.75" customHeight="1" x14ac:dyDescent="0.25">
      <c r="B1644" s="15"/>
      <c r="C1644" s="122"/>
      <c r="D1644" s="210"/>
      <c r="E1644" s="210"/>
      <c r="F1644" s="210"/>
      <c r="G1644" s="210"/>
      <c r="H1644" s="210"/>
      <c r="I1644" s="210"/>
      <c r="J1644" s="210"/>
      <c r="K1644" s="210"/>
      <c r="L1644" s="210"/>
      <c r="M1644" s="210"/>
      <c r="N1644" s="115"/>
      <c r="O1644" s="94"/>
      <c r="P1644" s="14"/>
      <c r="Q1644" s="14"/>
      <c r="R1644" s="14"/>
      <c r="S1644" s="14"/>
      <c r="T1644" s="14"/>
      <c r="U1644" s="14"/>
    </row>
    <row r="1645" spans="2:21" ht="18.75" customHeight="1" x14ac:dyDescent="0.25">
      <c r="B1645" s="15"/>
      <c r="C1645" s="2199" t="s">
        <v>2101</v>
      </c>
      <c r="D1645" s="2200"/>
      <c r="E1645" s="2200"/>
      <c r="F1645" s="2200"/>
      <c r="G1645" s="2200"/>
      <c r="H1645" s="2200"/>
      <c r="I1645" s="2200"/>
      <c r="J1645" s="2200"/>
      <c r="K1645" s="2200"/>
      <c r="L1645" s="2200"/>
      <c r="M1645" s="2200"/>
      <c r="N1645" s="2201"/>
      <c r="O1645" s="94"/>
      <c r="P1645" s="14"/>
      <c r="Q1645" s="14"/>
      <c r="R1645" s="14"/>
      <c r="S1645" s="14"/>
      <c r="T1645" s="14"/>
      <c r="U1645" s="14"/>
    </row>
    <row r="1646" spans="2:21" ht="18.75" customHeight="1" x14ac:dyDescent="0.25">
      <c r="B1646" s="15"/>
      <c r="C1646" s="2202" t="s">
        <v>407</v>
      </c>
      <c r="D1646" s="210">
        <v>90</v>
      </c>
      <c r="E1646" s="104" t="s">
        <v>679</v>
      </c>
      <c r="F1646" s="210">
        <v>80</v>
      </c>
      <c r="G1646" s="210">
        <v>180</v>
      </c>
      <c r="H1646" s="210">
        <v>290</v>
      </c>
      <c r="I1646" s="210">
        <v>340</v>
      </c>
      <c r="J1646" s="210">
        <v>400</v>
      </c>
      <c r="K1646" s="210">
        <v>450</v>
      </c>
      <c r="L1646" s="210">
        <v>525</v>
      </c>
      <c r="M1646" s="210">
        <v>525</v>
      </c>
      <c r="N1646" s="115">
        <v>400</v>
      </c>
      <c r="O1646" s="94"/>
      <c r="P1646" s="14"/>
      <c r="Q1646" s="14"/>
      <c r="R1646" s="14"/>
      <c r="S1646" s="14"/>
      <c r="T1646" s="14"/>
      <c r="U1646" s="14"/>
    </row>
    <row r="1647" spans="2:21" ht="18.75" customHeight="1" x14ac:dyDescent="0.25">
      <c r="B1647" s="15"/>
      <c r="C1647" s="119" t="s">
        <v>568</v>
      </c>
      <c r="D1647" s="120" t="s">
        <v>623</v>
      </c>
      <c r="E1647" s="110" t="s">
        <v>608</v>
      </c>
      <c r="F1647" s="110" t="s">
        <v>957</v>
      </c>
      <c r="G1647" s="110" t="s">
        <v>572</v>
      </c>
      <c r="H1647" s="110" t="s">
        <v>530</v>
      </c>
      <c r="I1647" s="110" t="s">
        <v>573</v>
      </c>
      <c r="J1647" s="110" t="s">
        <v>574</v>
      </c>
      <c r="K1647" s="110" t="s">
        <v>575</v>
      </c>
      <c r="L1647" s="110" t="s">
        <v>576</v>
      </c>
      <c r="M1647" s="110" t="s">
        <v>577</v>
      </c>
      <c r="N1647" s="2203" t="s">
        <v>609</v>
      </c>
      <c r="O1647" s="94"/>
      <c r="P1647" s="14"/>
      <c r="Q1647" s="14"/>
      <c r="R1647" s="14"/>
      <c r="S1647" s="14"/>
      <c r="T1647" s="14"/>
      <c r="U1647" s="14"/>
    </row>
    <row r="1648" spans="2:21" ht="18.75" customHeight="1" x14ac:dyDescent="0.25">
      <c r="B1648" s="15"/>
      <c r="C1648" s="119" t="s">
        <v>582</v>
      </c>
      <c r="D1648" s="120" t="s">
        <v>566</v>
      </c>
      <c r="E1648" s="121">
        <v>100717.80110083365</v>
      </c>
      <c r="F1648" s="129">
        <v>6382.8799954924143</v>
      </c>
      <c r="G1648" s="129">
        <v>16124.064498592817</v>
      </c>
      <c r="H1648" s="129">
        <v>19919.737396996672</v>
      </c>
      <c r="I1648" s="129">
        <v>8008.1382127873312</v>
      </c>
      <c r="J1648" s="129">
        <v>8771.1340303839352</v>
      </c>
      <c r="K1648" s="129">
        <v>6716.5577145675252</v>
      </c>
      <c r="L1648" s="129">
        <v>10351.41468533793</v>
      </c>
      <c r="M1648" s="129">
        <v>24443.874566675018</v>
      </c>
      <c r="N1648" s="130">
        <v>41603.513274350953</v>
      </c>
      <c r="O1648" s="94"/>
      <c r="P1648" s="14"/>
      <c r="Q1648" s="14"/>
      <c r="R1648" s="14"/>
      <c r="S1648" s="14"/>
      <c r="T1648" s="14"/>
      <c r="U1648" s="14"/>
    </row>
    <row r="1649" spans="2:21" ht="18.75" customHeight="1" x14ac:dyDescent="0.25">
      <c r="B1649" s="15"/>
      <c r="C1649" s="119" t="s">
        <v>582</v>
      </c>
      <c r="D1649" s="120" t="s">
        <v>628</v>
      </c>
      <c r="E1649" s="145">
        <v>16014.13037503255</v>
      </c>
      <c r="F1649" s="129">
        <v>1014.8779192832939</v>
      </c>
      <c r="G1649" s="129">
        <v>2563.7262552762581</v>
      </c>
      <c r="H1649" s="129">
        <v>3167.2382461224711</v>
      </c>
      <c r="I1649" s="129">
        <v>1273.2939758331856</v>
      </c>
      <c r="J1649" s="129">
        <v>1394.6103108310456</v>
      </c>
      <c r="K1649" s="129">
        <v>1067.9326766162364</v>
      </c>
      <c r="L1649" s="129">
        <v>1645.8749349687309</v>
      </c>
      <c r="M1649" s="129">
        <v>3886.576056101328</v>
      </c>
      <c r="N1649" s="130">
        <v>6614.9586106218012</v>
      </c>
      <c r="O1649" s="94"/>
      <c r="P1649" s="14"/>
      <c r="Q1649" s="14"/>
      <c r="R1649" s="14"/>
      <c r="S1649" s="14"/>
      <c r="T1649" s="14"/>
      <c r="U1649" s="14"/>
    </row>
    <row r="1650" spans="2:21" ht="18.75" customHeight="1" x14ac:dyDescent="0.25">
      <c r="B1650" s="15"/>
      <c r="C1650" s="119" t="s">
        <v>620</v>
      </c>
      <c r="D1650" s="120" t="s">
        <v>622</v>
      </c>
      <c r="E1650" s="129">
        <v>13785300</v>
      </c>
      <c r="F1650" s="129">
        <v>689265</v>
      </c>
      <c r="G1650" s="129">
        <v>1929942.0000000002</v>
      </c>
      <c r="H1650" s="129">
        <v>2619207</v>
      </c>
      <c r="I1650" s="129">
        <v>1102824</v>
      </c>
      <c r="J1650" s="129">
        <v>1240677</v>
      </c>
      <c r="K1650" s="129">
        <v>964971.00000000012</v>
      </c>
      <c r="L1650" s="129">
        <v>1516383</v>
      </c>
      <c r="M1650" s="129">
        <v>3722031.0000000005</v>
      </c>
      <c r="N1650" s="130">
        <v>6203385</v>
      </c>
      <c r="O1650" s="94"/>
      <c r="P1650" s="14"/>
      <c r="Q1650" s="14"/>
      <c r="R1650" s="14"/>
      <c r="S1650" s="14"/>
      <c r="T1650" s="14"/>
      <c r="U1650" s="14"/>
    </row>
    <row r="1651" spans="2:21" ht="18.75" customHeight="1" x14ac:dyDescent="0.25">
      <c r="B1651" s="15"/>
      <c r="C1651" s="122" t="s">
        <v>776</v>
      </c>
      <c r="D1651" s="120" t="s">
        <v>579</v>
      </c>
      <c r="E1651" s="125">
        <v>1.3317311697819783</v>
      </c>
      <c r="F1651" s="125">
        <v>0</v>
      </c>
      <c r="G1651" s="125">
        <v>0</v>
      </c>
      <c r="H1651" s="125">
        <v>0.60429994104795814</v>
      </c>
      <c r="I1651" s="125">
        <v>0.92516280203604007</v>
      </c>
      <c r="J1651" s="125">
        <v>1.1977005978656277</v>
      </c>
      <c r="K1651" s="125">
        <v>1.4215243709297378</v>
      </c>
      <c r="L1651" s="125">
        <v>1.8196367232495256</v>
      </c>
      <c r="M1651" s="125">
        <v>2.7238568795909135</v>
      </c>
      <c r="N1651" s="131">
        <v>2.3002402289157251</v>
      </c>
      <c r="O1651" s="94"/>
      <c r="P1651" s="14"/>
      <c r="Q1651" s="14"/>
      <c r="R1651" s="14"/>
      <c r="S1651" s="14"/>
      <c r="T1651" s="14"/>
      <c r="U1651" s="14"/>
    </row>
    <row r="1652" spans="2:21" ht="18.75" customHeight="1" x14ac:dyDescent="0.25">
      <c r="B1652" s="15"/>
      <c r="C1652" s="122" t="s">
        <v>777</v>
      </c>
      <c r="D1652" s="210" t="s">
        <v>778</v>
      </c>
      <c r="E1652" s="125">
        <v>1491.4512393691675</v>
      </c>
      <c r="F1652" s="132">
        <v>0</v>
      </c>
      <c r="G1652" s="132">
        <v>85.138410924862001</v>
      </c>
      <c r="H1652" s="132">
        <v>732.32180453736964</v>
      </c>
      <c r="I1652" s="132">
        <v>1070.9695960175945</v>
      </c>
      <c r="J1652" s="132">
        <v>1329.7330672943131</v>
      </c>
      <c r="K1652" s="132">
        <v>1543.8495256767733</v>
      </c>
      <c r="L1652" s="132">
        <v>1956.0127586848207</v>
      </c>
      <c r="M1652" s="125">
        <v>3006.69001847032</v>
      </c>
      <c r="N1652" s="133">
        <v>2522.3048338659796</v>
      </c>
      <c r="O1652" s="94"/>
      <c r="P1652" s="14"/>
      <c r="Q1652" s="14"/>
      <c r="R1652" s="14"/>
      <c r="S1652" s="14"/>
      <c r="T1652" s="14"/>
      <c r="U1652" s="14"/>
    </row>
    <row r="1653" spans="2:21" ht="18.75" customHeight="1" x14ac:dyDescent="0.25">
      <c r="B1653" s="15"/>
      <c r="C1653" s="119" t="s">
        <v>779</v>
      </c>
      <c r="D1653" s="120" t="s">
        <v>970</v>
      </c>
      <c r="E1653" s="132">
        <v>31.8</v>
      </c>
      <c r="F1653" s="125">
        <v>76.640228259655075</v>
      </c>
      <c r="G1653" s="125">
        <v>56.28281386976694</v>
      </c>
      <c r="H1653" s="125">
        <v>39.438291657620312</v>
      </c>
      <c r="I1653" s="125">
        <v>31.711563267827962</v>
      </c>
      <c r="J1653" s="125">
        <v>27.399521538639846</v>
      </c>
      <c r="K1653" s="125">
        <v>24.943694115742687</v>
      </c>
      <c r="L1653" s="125">
        <v>21.932150956801024</v>
      </c>
      <c r="M1653" s="125">
        <v>16.109950235255582</v>
      </c>
      <c r="N1653" s="131">
        <v>19.2394216237156</v>
      </c>
      <c r="O1653" s="94"/>
      <c r="P1653" s="14"/>
      <c r="Q1653" s="14"/>
      <c r="R1653" s="14"/>
      <c r="S1653" s="14"/>
      <c r="T1653" s="14"/>
      <c r="U1653" s="14"/>
    </row>
    <row r="1654" spans="2:21" ht="18.75" customHeight="1" x14ac:dyDescent="0.25">
      <c r="B1654" s="15"/>
      <c r="C1654" s="119" t="s">
        <v>580</v>
      </c>
      <c r="D1654" s="120" t="s">
        <v>581</v>
      </c>
      <c r="E1654" s="125">
        <v>867</v>
      </c>
      <c r="F1654" s="125">
        <v>679.16050482875664</v>
      </c>
      <c r="G1654" s="125">
        <v>752.7878594791847</v>
      </c>
      <c r="H1654" s="125">
        <v>826.96873315627431</v>
      </c>
      <c r="I1654" s="125">
        <v>866.11891749378776</v>
      </c>
      <c r="J1654" s="125">
        <v>889.62270704902721</v>
      </c>
      <c r="K1654" s="125">
        <v>903.58785823234462</v>
      </c>
      <c r="L1654" s="125">
        <v>921.32334467370026</v>
      </c>
      <c r="M1654" s="125">
        <v>957.66323526770634</v>
      </c>
      <c r="N1654" s="131">
        <v>937.78137780621523</v>
      </c>
      <c r="O1654" s="94"/>
      <c r="P1654" s="14"/>
      <c r="Q1654" s="14"/>
      <c r="R1654" s="14"/>
      <c r="S1654" s="14"/>
      <c r="T1654" s="14"/>
      <c r="U1654" s="14"/>
    </row>
    <row r="1655" spans="2:21" ht="18.75" customHeight="1" x14ac:dyDescent="0.25">
      <c r="B1655" s="15"/>
      <c r="C1655" s="119" t="s">
        <v>541</v>
      </c>
      <c r="D1655" s="120" t="s">
        <v>579</v>
      </c>
      <c r="E1655" s="125">
        <v>12.799041279599114</v>
      </c>
      <c r="F1655" s="125">
        <v>15.25034080466569</v>
      </c>
      <c r="G1655" s="125">
        <v>14.140932294025708</v>
      </c>
      <c r="H1655" s="125">
        <v>13.11732808206081</v>
      </c>
      <c r="I1655" s="125">
        <v>13.220661748109961</v>
      </c>
      <c r="J1655" s="125">
        <v>12.743478953231971</v>
      </c>
      <c r="K1655" s="125">
        <v>12.481832292208779</v>
      </c>
      <c r="L1655" s="125">
        <v>12.179616747811963</v>
      </c>
      <c r="M1655" s="125">
        <v>11.653515682433596</v>
      </c>
      <c r="N1655" s="131">
        <v>11.910967415491115</v>
      </c>
      <c r="O1655" s="94"/>
      <c r="P1655" s="14"/>
      <c r="Q1655" s="14"/>
      <c r="R1655" s="14"/>
      <c r="S1655" s="14"/>
      <c r="T1655" s="14"/>
      <c r="U1655" s="14"/>
    </row>
    <row r="1656" spans="2:21" ht="18.75" customHeight="1" x14ac:dyDescent="0.25">
      <c r="B1656" s="15"/>
      <c r="C1656" s="119" t="s">
        <v>544</v>
      </c>
      <c r="D1656" s="120" t="s">
        <v>579</v>
      </c>
      <c r="E1656" s="125">
        <v>3.9</v>
      </c>
      <c r="F1656" s="128"/>
      <c r="G1656" s="128"/>
      <c r="H1656" s="128"/>
      <c r="I1656" s="128"/>
      <c r="J1656" s="128"/>
      <c r="K1656" s="128"/>
      <c r="L1656" s="128"/>
      <c r="M1656" s="125">
        <v>14.429999999999996</v>
      </c>
      <c r="N1656" s="131">
        <v>8.6666666666666661</v>
      </c>
      <c r="O1656" s="94"/>
      <c r="P1656" s="14"/>
      <c r="Q1656" s="14"/>
      <c r="R1656" s="14"/>
      <c r="S1656" s="14"/>
      <c r="T1656" s="14"/>
      <c r="U1656" s="14"/>
    </row>
    <row r="1657" spans="2:21" ht="18.75" customHeight="1" x14ac:dyDescent="0.25">
      <c r="B1657" s="15"/>
      <c r="C1657" s="119" t="s">
        <v>780</v>
      </c>
      <c r="D1657" s="120" t="s">
        <v>783</v>
      </c>
      <c r="E1657" s="125">
        <v>12.086340850923508</v>
      </c>
      <c r="F1657" s="125">
        <v>12.278872083960721</v>
      </c>
      <c r="G1657" s="125">
        <v>11.974668642750288</v>
      </c>
      <c r="H1657" s="125">
        <v>11.764907915042782</v>
      </c>
      <c r="I1657" s="125">
        <v>11.755687159443536</v>
      </c>
      <c r="J1657" s="125">
        <v>11.821760586637906</v>
      </c>
      <c r="K1657" s="125">
        <v>11.902408918777574</v>
      </c>
      <c r="L1657" s="125">
        <v>12.053709987584989</v>
      </c>
      <c r="M1657" s="125">
        <v>12.266010282412031</v>
      </c>
      <c r="N1657" s="131">
        <v>12.193703744940539</v>
      </c>
      <c r="O1657" s="94"/>
      <c r="P1657" s="14"/>
      <c r="Q1657" s="14"/>
      <c r="R1657" s="14"/>
      <c r="S1657" s="14"/>
      <c r="T1657" s="14"/>
      <c r="U1657" s="14"/>
    </row>
    <row r="1658" spans="2:21" ht="18.75" customHeight="1" x14ac:dyDescent="0.25">
      <c r="B1658" s="15"/>
      <c r="C1658" s="122" t="s">
        <v>781</v>
      </c>
      <c r="D1658" s="120" t="s">
        <v>782</v>
      </c>
      <c r="E1658" s="125">
        <v>365</v>
      </c>
      <c r="F1658" s="134">
        <v>50</v>
      </c>
      <c r="G1658" s="134">
        <v>135</v>
      </c>
      <c r="H1658" s="134">
        <v>240</v>
      </c>
      <c r="I1658" s="134">
        <v>315</v>
      </c>
      <c r="J1658" s="134">
        <v>375</v>
      </c>
      <c r="K1658" s="134">
        <v>420</v>
      </c>
      <c r="L1658" s="134">
        <v>490</v>
      </c>
      <c r="M1658" s="134">
        <v>630</v>
      </c>
      <c r="N1658" s="135">
        <v>560</v>
      </c>
      <c r="O1658" s="94"/>
      <c r="P1658" s="14"/>
      <c r="Q1658" s="14"/>
      <c r="R1658" s="14"/>
      <c r="S1658" s="14"/>
      <c r="T1658" s="14"/>
      <c r="U1658" s="14"/>
    </row>
    <row r="1659" spans="2:21" ht="18.75" customHeight="1" x14ac:dyDescent="0.25">
      <c r="B1659" s="15"/>
      <c r="C1659" s="122"/>
      <c r="D1659" s="210"/>
      <c r="E1659" s="210"/>
      <c r="F1659" s="210"/>
      <c r="G1659" s="210"/>
      <c r="H1659" s="210"/>
      <c r="I1659" s="210"/>
      <c r="J1659" s="210"/>
      <c r="K1659" s="210"/>
      <c r="L1659" s="210"/>
      <c r="M1659" s="210"/>
      <c r="N1659" s="115"/>
      <c r="O1659" s="94"/>
      <c r="P1659" s="14"/>
      <c r="Q1659" s="14"/>
      <c r="R1659" s="14"/>
      <c r="S1659" s="14"/>
      <c r="T1659" s="14"/>
      <c r="U1659" s="14"/>
    </row>
    <row r="1660" spans="2:21" ht="18.75" customHeight="1" x14ac:dyDescent="0.25">
      <c r="B1660" s="15"/>
      <c r="C1660" s="2199" t="s">
        <v>2102</v>
      </c>
      <c r="D1660" s="2200"/>
      <c r="E1660" s="2200"/>
      <c r="F1660" s="2200"/>
      <c r="G1660" s="2200"/>
      <c r="H1660" s="2200"/>
      <c r="I1660" s="2200"/>
      <c r="J1660" s="2200"/>
      <c r="K1660" s="2200"/>
      <c r="L1660" s="2200"/>
      <c r="M1660" s="2200"/>
      <c r="N1660" s="2201"/>
      <c r="O1660" s="94"/>
      <c r="P1660" s="14"/>
      <c r="Q1660" s="14"/>
      <c r="R1660" s="14"/>
      <c r="S1660" s="14"/>
      <c r="T1660" s="14"/>
      <c r="U1660" s="14"/>
    </row>
    <row r="1661" spans="2:21" ht="18.75" customHeight="1" x14ac:dyDescent="0.25">
      <c r="B1661" s="15"/>
      <c r="C1661" s="2202" t="s">
        <v>407</v>
      </c>
      <c r="D1661" s="210">
        <v>89</v>
      </c>
      <c r="E1661" s="104" t="s">
        <v>679</v>
      </c>
      <c r="F1661" s="210">
        <v>80</v>
      </c>
      <c r="G1661" s="210">
        <v>180</v>
      </c>
      <c r="H1661" s="210">
        <v>290</v>
      </c>
      <c r="I1661" s="210">
        <v>340</v>
      </c>
      <c r="J1661" s="210">
        <v>400</v>
      </c>
      <c r="K1661" s="210">
        <v>450</v>
      </c>
      <c r="L1661" s="210">
        <v>525</v>
      </c>
      <c r="M1661" s="210">
        <v>525</v>
      </c>
      <c r="N1661" s="115">
        <v>400</v>
      </c>
      <c r="O1661" s="94"/>
      <c r="P1661" s="14"/>
      <c r="Q1661" s="14"/>
      <c r="R1661" s="14"/>
      <c r="S1661" s="14"/>
      <c r="T1661" s="14"/>
      <c r="U1661" s="14"/>
    </row>
    <row r="1662" spans="2:21" ht="18.75" customHeight="1" x14ac:dyDescent="0.25">
      <c r="B1662" s="15"/>
      <c r="C1662" s="119" t="s">
        <v>568</v>
      </c>
      <c r="D1662" s="120" t="s">
        <v>623</v>
      </c>
      <c r="E1662" s="110" t="s">
        <v>608</v>
      </c>
      <c r="F1662" s="110" t="s">
        <v>957</v>
      </c>
      <c r="G1662" s="110" t="s">
        <v>572</v>
      </c>
      <c r="H1662" s="110" t="s">
        <v>530</v>
      </c>
      <c r="I1662" s="110" t="s">
        <v>573</v>
      </c>
      <c r="J1662" s="110" t="s">
        <v>574</v>
      </c>
      <c r="K1662" s="110" t="s">
        <v>575</v>
      </c>
      <c r="L1662" s="110" t="s">
        <v>576</v>
      </c>
      <c r="M1662" s="110" t="s">
        <v>577</v>
      </c>
      <c r="N1662" s="2203" t="s">
        <v>609</v>
      </c>
      <c r="O1662" s="94"/>
      <c r="P1662" s="14"/>
      <c r="Q1662" s="14"/>
      <c r="R1662" s="14"/>
      <c r="S1662" s="14"/>
      <c r="T1662" s="14"/>
      <c r="U1662" s="14"/>
    </row>
    <row r="1663" spans="2:21" ht="18.75" customHeight="1" x14ac:dyDescent="0.25">
      <c r="B1663" s="15"/>
      <c r="C1663" s="119" t="s">
        <v>582</v>
      </c>
      <c r="D1663" s="120" t="s">
        <v>566</v>
      </c>
      <c r="E1663" s="121">
        <v>102779.44106437522</v>
      </c>
      <c r="F1663" s="129">
        <v>671.17645468598857</v>
      </c>
      <c r="G1663" s="129">
        <v>607.67148895679293</v>
      </c>
      <c r="H1663" s="129">
        <v>9541.0567074943847</v>
      </c>
      <c r="I1663" s="129">
        <v>7008.9674283350569</v>
      </c>
      <c r="J1663" s="129">
        <v>10558.562863567409</v>
      </c>
      <c r="K1663" s="129">
        <v>9328.4103528433589</v>
      </c>
      <c r="L1663" s="129">
        <v>15799.651601937552</v>
      </c>
      <c r="M1663" s="129">
        <v>49263.944166554669</v>
      </c>
      <c r="N1663" s="130">
        <v>74134.504235195694</v>
      </c>
      <c r="O1663" s="94"/>
      <c r="P1663" s="14"/>
      <c r="Q1663" s="14"/>
      <c r="R1663" s="14"/>
      <c r="S1663" s="14"/>
      <c r="T1663" s="14"/>
      <c r="U1663" s="14"/>
    </row>
    <row r="1664" spans="2:21" ht="18.75" customHeight="1" x14ac:dyDescent="0.25">
      <c r="B1664" s="15"/>
      <c r="C1664" s="119" t="s">
        <v>582</v>
      </c>
      <c r="D1664" s="120" t="s">
        <v>628</v>
      </c>
      <c r="E1664" s="145">
        <v>16341.93112923566</v>
      </c>
      <c r="F1664" s="129">
        <v>106.71705629507218</v>
      </c>
      <c r="G1664" s="129">
        <v>96.619766744130075</v>
      </c>
      <c r="H1664" s="129">
        <v>1517.0280164916073</v>
      </c>
      <c r="I1664" s="129">
        <v>1114.4258211052741</v>
      </c>
      <c r="J1664" s="129">
        <v>1678.8114953072181</v>
      </c>
      <c r="K1664" s="129">
        <v>1483.2172461020941</v>
      </c>
      <c r="L1664" s="129">
        <v>2512.1446047080708</v>
      </c>
      <c r="M1664" s="129">
        <v>7832.9671224821923</v>
      </c>
      <c r="N1664" s="130">
        <v>11787.386173396115</v>
      </c>
      <c r="O1664" s="94"/>
      <c r="P1664" s="14"/>
      <c r="Q1664" s="14"/>
      <c r="R1664" s="14"/>
      <c r="S1664" s="14"/>
      <c r="T1664" s="14"/>
      <c r="U1664" s="14"/>
    </row>
    <row r="1665" spans="2:21" ht="18.75" customHeight="1" x14ac:dyDescent="0.25">
      <c r="B1665" s="15"/>
      <c r="C1665" s="119" t="s">
        <v>620</v>
      </c>
      <c r="D1665" s="120" t="s">
        <v>622</v>
      </c>
      <c r="E1665" s="129">
        <v>15661500</v>
      </c>
      <c r="F1665" s="129">
        <v>78307.5</v>
      </c>
      <c r="G1665" s="129">
        <v>78307.5</v>
      </c>
      <c r="H1665" s="129">
        <v>1331227.5</v>
      </c>
      <c r="I1665" s="129">
        <v>1017997.5</v>
      </c>
      <c r="J1665" s="129">
        <v>1566150</v>
      </c>
      <c r="K1665" s="129">
        <v>1409535</v>
      </c>
      <c r="L1665" s="129">
        <v>2427532.5</v>
      </c>
      <c r="M1665" s="129">
        <v>7752442.5</v>
      </c>
      <c r="N1665" s="130">
        <v>11589510</v>
      </c>
      <c r="O1665" s="94"/>
      <c r="P1665" s="14"/>
      <c r="Q1665" s="14"/>
      <c r="R1665" s="14"/>
      <c r="S1665" s="14"/>
      <c r="T1665" s="14"/>
      <c r="U1665" s="14"/>
    </row>
    <row r="1666" spans="2:21" ht="18.75" customHeight="1" x14ac:dyDescent="0.25">
      <c r="B1666" s="15"/>
      <c r="C1666" s="122" t="s">
        <v>776</v>
      </c>
      <c r="D1666" s="120" t="s">
        <v>579</v>
      </c>
      <c r="E1666" s="125">
        <v>2.4921773489163406</v>
      </c>
      <c r="F1666" s="125">
        <v>0</v>
      </c>
      <c r="G1666" s="125">
        <v>0</v>
      </c>
      <c r="H1666" s="125">
        <v>0.87947704294272888</v>
      </c>
      <c r="I1666" s="125">
        <v>1.2846024704326915</v>
      </c>
      <c r="J1666" s="125">
        <v>1.5713872183361395</v>
      </c>
      <c r="K1666" s="125">
        <v>1.9014661369318691</v>
      </c>
      <c r="L1666" s="125">
        <v>2.3102589955393995</v>
      </c>
      <c r="M1666" s="125">
        <v>3.3284077196403938</v>
      </c>
      <c r="N1666" s="131">
        <v>2.9415998889925263</v>
      </c>
      <c r="O1666" s="94"/>
      <c r="P1666" s="14"/>
      <c r="Q1666" s="14"/>
      <c r="R1666" s="14"/>
      <c r="S1666" s="14"/>
      <c r="T1666" s="14"/>
      <c r="U1666" s="14"/>
    </row>
    <row r="1667" spans="2:21" ht="18.75" customHeight="1" x14ac:dyDescent="0.25">
      <c r="B1667" s="15"/>
      <c r="C1667" s="122" t="s">
        <v>777</v>
      </c>
      <c r="D1667" s="210" t="s">
        <v>778</v>
      </c>
      <c r="E1667" s="125">
        <v>2337.8520020078968</v>
      </c>
      <c r="F1667" s="132">
        <v>0</v>
      </c>
      <c r="G1667" s="132">
        <v>159.88565789523864</v>
      </c>
      <c r="H1667" s="132">
        <v>749.00382554548491</v>
      </c>
      <c r="I1667" s="132">
        <v>1070.4516485124973</v>
      </c>
      <c r="J1667" s="132">
        <v>1289.1358139305521</v>
      </c>
      <c r="K1667" s="132">
        <v>1562.4202176371018</v>
      </c>
      <c r="L1667" s="132">
        <v>1966.1858745841041</v>
      </c>
      <c r="M1667" s="125">
        <v>3291.9549087935588</v>
      </c>
      <c r="N1667" s="133">
        <v>2803.9112297306583</v>
      </c>
      <c r="O1667" s="94"/>
      <c r="P1667" s="14"/>
      <c r="Q1667" s="14"/>
      <c r="R1667" s="14"/>
      <c r="S1667" s="14"/>
      <c r="T1667" s="14"/>
      <c r="U1667" s="14"/>
    </row>
    <row r="1668" spans="2:21" ht="18.75" customHeight="1" x14ac:dyDescent="0.25">
      <c r="B1668" s="15"/>
      <c r="C1668" s="119" t="s">
        <v>779</v>
      </c>
      <c r="D1668" s="120" t="s">
        <v>970</v>
      </c>
      <c r="E1668" s="132">
        <v>12.1</v>
      </c>
      <c r="F1668" s="125">
        <v>61.14552577005967</v>
      </c>
      <c r="G1668" s="125">
        <v>42.917908536922084</v>
      </c>
      <c r="H1668" s="125">
        <v>29.590440785811509</v>
      </c>
      <c r="I1668" s="125">
        <v>23.250800273591217</v>
      </c>
      <c r="J1668" s="125">
        <v>20.029443563377839</v>
      </c>
      <c r="K1668" s="125">
        <v>17.250129093444102</v>
      </c>
      <c r="L1668" s="125">
        <v>14.787773750320255</v>
      </c>
      <c r="M1668" s="125">
        <v>11.328935326655625</v>
      </c>
      <c r="N1668" s="131">
        <v>12.274175708823549</v>
      </c>
      <c r="O1668" s="94"/>
      <c r="P1668" s="14"/>
      <c r="Q1668" s="14"/>
      <c r="R1668" s="14"/>
      <c r="S1668" s="14"/>
      <c r="T1668" s="14"/>
      <c r="U1668" s="14"/>
    </row>
    <row r="1669" spans="2:21" ht="18.75" customHeight="1" x14ac:dyDescent="0.25">
      <c r="B1669" s="15"/>
      <c r="C1669" s="119" t="s">
        <v>580</v>
      </c>
      <c r="D1669" s="120" t="s">
        <v>581</v>
      </c>
      <c r="E1669" s="125">
        <v>985</v>
      </c>
      <c r="F1669" s="125">
        <v>733.78616988347312</v>
      </c>
      <c r="G1669" s="125">
        <v>810.470803633537</v>
      </c>
      <c r="H1669" s="125">
        <v>877.52334533589988</v>
      </c>
      <c r="I1669" s="125">
        <v>913.47264279139051</v>
      </c>
      <c r="J1669" s="125">
        <v>932.89211110232395</v>
      </c>
      <c r="K1669" s="125">
        <v>950.32268786266366</v>
      </c>
      <c r="L1669" s="125">
        <v>966.3187761765397</v>
      </c>
      <c r="M1669" s="125">
        <v>989.71978035614745</v>
      </c>
      <c r="N1669" s="131">
        <v>983.21288787138258</v>
      </c>
      <c r="O1669" s="94"/>
      <c r="P1669" s="14"/>
      <c r="Q1669" s="14"/>
      <c r="R1669" s="14"/>
      <c r="S1669" s="14"/>
      <c r="T1669" s="14"/>
      <c r="U1669" s="14"/>
    </row>
    <row r="1670" spans="2:21" ht="18.75" customHeight="1" x14ac:dyDescent="0.25">
      <c r="B1670" s="15"/>
      <c r="C1670" s="119" t="s">
        <v>541</v>
      </c>
      <c r="D1670" s="120" t="s">
        <v>579</v>
      </c>
      <c r="E1670" s="125">
        <v>11.053276255865519</v>
      </c>
      <c r="F1670" s="125">
        <v>12.637082471817166</v>
      </c>
      <c r="G1670" s="125">
        <v>12.433691139917942</v>
      </c>
      <c r="H1670" s="125">
        <v>11.94333450534508</v>
      </c>
      <c r="I1670" s="125">
        <v>11.988100862075143</v>
      </c>
      <c r="J1670" s="125">
        <v>11.594837209215076</v>
      </c>
      <c r="K1670" s="125">
        <v>11.265533435539091</v>
      </c>
      <c r="L1670" s="125">
        <v>10.997322110644816</v>
      </c>
      <c r="M1670" s="125">
        <v>10.617264124338702</v>
      </c>
      <c r="N1670" s="131">
        <v>10.775714429589353</v>
      </c>
      <c r="O1670" s="94"/>
      <c r="P1670" s="14"/>
      <c r="Q1670" s="14"/>
      <c r="R1670" s="14"/>
      <c r="S1670" s="14"/>
      <c r="T1670" s="14"/>
      <c r="U1670" s="14"/>
    </row>
    <row r="1671" spans="2:21" ht="18.75" customHeight="1" x14ac:dyDescent="0.25">
      <c r="B1671" s="15"/>
      <c r="C1671" s="119" t="s">
        <v>544</v>
      </c>
      <c r="D1671" s="120" t="s">
        <v>579</v>
      </c>
      <c r="E1671" s="125">
        <v>11.2</v>
      </c>
      <c r="F1671" s="128"/>
      <c r="G1671" s="128"/>
      <c r="H1671" s="128"/>
      <c r="I1671" s="128"/>
      <c r="J1671" s="128"/>
      <c r="K1671" s="128"/>
      <c r="L1671" s="128"/>
      <c r="M1671" s="125">
        <v>22.603636363636362</v>
      </c>
      <c r="N1671" s="131">
        <v>15.135135135135135</v>
      </c>
      <c r="O1671" s="94"/>
      <c r="P1671" s="14"/>
      <c r="Q1671" s="14"/>
      <c r="R1671" s="14"/>
      <c r="S1671" s="14"/>
      <c r="T1671" s="14"/>
      <c r="U1671" s="14"/>
    </row>
    <row r="1672" spans="2:21" ht="18.75" customHeight="1" x14ac:dyDescent="0.25">
      <c r="B1672" s="15"/>
      <c r="C1672" s="119" t="s">
        <v>780</v>
      </c>
      <c r="D1672" s="120" t="s">
        <v>783</v>
      </c>
      <c r="E1672" s="125">
        <v>11.451182629300517</v>
      </c>
      <c r="F1672" s="125">
        <v>11.125320035449988</v>
      </c>
      <c r="G1672" s="125">
        <v>11.122405810468225</v>
      </c>
      <c r="H1672" s="125">
        <v>11.123018661749848</v>
      </c>
      <c r="I1672" s="125">
        <v>11.17777792537759</v>
      </c>
      <c r="J1672" s="125">
        <v>11.244380024022341</v>
      </c>
      <c r="K1672" s="125">
        <v>11.344220531441421</v>
      </c>
      <c r="L1672" s="125">
        <v>11.49244397943864</v>
      </c>
      <c r="M1672" s="125">
        <v>11.868720140820711</v>
      </c>
      <c r="N1672" s="131">
        <v>11.745450632368595</v>
      </c>
      <c r="O1672" s="94"/>
      <c r="P1672" s="14"/>
      <c r="Q1672" s="14"/>
      <c r="R1672" s="14"/>
      <c r="S1672" s="14"/>
      <c r="T1672" s="14"/>
      <c r="U1672" s="14"/>
    </row>
    <row r="1673" spans="2:21" ht="18.75" customHeight="1" x14ac:dyDescent="0.25">
      <c r="B1673" s="15"/>
      <c r="C1673" s="122" t="s">
        <v>781</v>
      </c>
      <c r="D1673" s="120" t="s">
        <v>782</v>
      </c>
      <c r="E1673" s="125">
        <v>525</v>
      </c>
      <c r="F1673" s="134">
        <v>30</v>
      </c>
      <c r="G1673" s="134">
        <v>135</v>
      </c>
      <c r="H1673" s="134">
        <v>245</v>
      </c>
      <c r="I1673" s="134">
        <v>320</v>
      </c>
      <c r="J1673" s="134">
        <v>370</v>
      </c>
      <c r="K1673" s="134">
        <v>425</v>
      </c>
      <c r="L1673" s="134">
        <v>490</v>
      </c>
      <c r="M1673" s="134">
        <v>630</v>
      </c>
      <c r="N1673" s="135">
        <v>585</v>
      </c>
      <c r="O1673" s="94"/>
      <c r="P1673" s="14"/>
      <c r="Q1673" s="14"/>
      <c r="R1673" s="14"/>
      <c r="S1673" s="14"/>
      <c r="T1673" s="14"/>
      <c r="U1673" s="14"/>
    </row>
    <row r="1674" spans="2:21" ht="18.75" customHeight="1" x14ac:dyDescent="0.25">
      <c r="B1674" s="15"/>
      <c r="C1674" s="122"/>
      <c r="D1674" s="210"/>
      <c r="E1674" s="210"/>
      <c r="F1674" s="210"/>
      <c r="G1674" s="210"/>
      <c r="H1674" s="210"/>
      <c r="I1674" s="210"/>
      <c r="J1674" s="210"/>
      <c r="K1674" s="210"/>
      <c r="L1674" s="210"/>
      <c r="M1674" s="210"/>
      <c r="N1674" s="115"/>
      <c r="O1674" s="94"/>
      <c r="P1674" s="14"/>
      <c r="Q1674" s="14"/>
      <c r="R1674" s="14"/>
      <c r="S1674" s="14"/>
      <c r="T1674" s="14"/>
      <c r="U1674" s="14"/>
    </row>
    <row r="1675" spans="2:21" ht="18.75" customHeight="1" x14ac:dyDescent="0.25">
      <c r="B1675" s="15"/>
      <c r="C1675" s="2199" t="s">
        <v>2103</v>
      </c>
      <c r="D1675" s="2200"/>
      <c r="E1675" s="2200"/>
      <c r="F1675" s="2200"/>
      <c r="G1675" s="2200"/>
      <c r="H1675" s="2200"/>
      <c r="I1675" s="2200"/>
      <c r="J1675" s="2200"/>
      <c r="K1675" s="2200"/>
      <c r="L1675" s="2200"/>
      <c r="M1675" s="2200"/>
      <c r="N1675" s="2201"/>
      <c r="O1675" s="94"/>
      <c r="P1675" s="14"/>
      <c r="Q1675" s="14"/>
      <c r="R1675" s="14"/>
      <c r="S1675" s="14"/>
      <c r="T1675" s="14"/>
      <c r="U1675" s="14"/>
    </row>
    <row r="1676" spans="2:21" ht="18.75" customHeight="1" x14ac:dyDescent="0.25">
      <c r="B1676" s="15"/>
      <c r="C1676" s="2202" t="s">
        <v>1088</v>
      </c>
      <c r="D1676" s="210">
        <v>82</v>
      </c>
      <c r="E1676" s="104" t="s">
        <v>679</v>
      </c>
      <c r="F1676" s="210">
        <v>80</v>
      </c>
      <c r="G1676" s="210">
        <v>180</v>
      </c>
      <c r="H1676" s="210">
        <v>290</v>
      </c>
      <c r="I1676" s="210">
        <v>340</v>
      </c>
      <c r="J1676" s="210">
        <v>400</v>
      </c>
      <c r="K1676" s="210">
        <v>450</v>
      </c>
      <c r="L1676" s="210">
        <v>525</v>
      </c>
      <c r="M1676" s="210">
        <v>525</v>
      </c>
      <c r="N1676" s="115">
        <v>400</v>
      </c>
      <c r="O1676" s="94"/>
      <c r="P1676" s="14"/>
      <c r="Q1676" s="14"/>
      <c r="R1676" s="14"/>
      <c r="S1676" s="14"/>
      <c r="T1676" s="14"/>
      <c r="U1676" s="14"/>
    </row>
    <row r="1677" spans="2:21" ht="18.75" customHeight="1" x14ac:dyDescent="0.25">
      <c r="B1677" s="15"/>
      <c r="C1677" s="119" t="s">
        <v>568</v>
      </c>
      <c r="D1677" s="120" t="s">
        <v>623</v>
      </c>
      <c r="E1677" s="110" t="s">
        <v>608</v>
      </c>
      <c r="F1677" s="110" t="s">
        <v>957</v>
      </c>
      <c r="G1677" s="110" t="s">
        <v>572</v>
      </c>
      <c r="H1677" s="110" t="s">
        <v>530</v>
      </c>
      <c r="I1677" s="110" t="s">
        <v>573</v>
      </c>
      <c r="J1677" s="110" t="s">
        <v>574</v>
      </c>
      <c r="K1677" s="110" t="s">
        <v>575</v>
      </c>
      <c r="L1677" s="110" t="s">
        <v>576</v>
      </c>
      <c r="M1677" s="110" t="s">
        <v>577</v>
      </c>
      <c r="N1677" s="2203" t="s">
        <v>609</v>
      </c>
      <c r="O1677" s="94"/>
      <c r="P1677" s="14"/>
      <c r="Q1677" s="14"/>
      <c r="R1677" s="14"/>
      <c r="S1677" s="14"/>
      <c r="T1677" s="14"/>
      <c r="U1677" s="14"/>
    </row>
    <row r="1678" spans="2:21" ht="18.75" customHeight="1" x14ac:dyDescent="0.25">
      <c r="B1678" s="15"/>
      <c r="C1678" s="119" t="s">
        <v>582</v>
      </c>
      <c r="D1678" s="120" t="s">
        <v>566</v>
      </c>
      <c r="E1678" s="121">
        <v>99745.023630239841</v>
      </c>
      <c r="F1678" s="129">
        <v>8354.5610570027166</v>
      </c>
      <c r="G1678" s="129">
        <v>25092.308950630155</v>
      </c>
      <c r="H1678" s="129">
        <v>22993.401219449312</v>
      </c>
      <c r="I1678" s="129">
        <v>7680.5736451565954</v>
      </c>
      <c r="J1678" s="129">
        <v>8472.4757130633934</v>
      </c>
      <c r="K1678" s="129">
        <v>3716.1131227590049</v>
      </c>
      <c r="L1678" s="129">
        <v>8246.4234562565234</v>
      </c>
      <c r="M1678" s="129">
        <v>15189.166465922142</v>
      </c>
      <c r="N1678" s="130">
        <v>27224.374361636346</v>
      </c>
      <c r="O1678" s="94"/>
      <c r="P1678" s="14"/>
      <c r="Q1678" s="14"/>
      <c r="R1678" s="14"/>
      <c r="S1678" s="14"/>
      <c r="T1678" s="14"/>
      <c r="U1678" s="14"/>
    </row>
    <row r="1679" spans="2:21" ht="18.75" customHeight="1" x14ac:dyDescent="0.25">
      <c r="B1679" s="15"/>
      <c r="C1679" s="119" t="s">
        <v>582</v>
      </c>
      <c r="D1679" s="120" t="s">
        <v>628</v>
      </c>
      <c r="E1679" s="145">
        <v>15859.458757208135</v>
      </c>
      <c r="F1679" s="129">
        <v>1328.375208063432</v>
      </c>
      <c r="G1679" s="129">
        <v>3989.6771231501948</v>
      </c>
      <c r="H1679" s="129">
        <v>3655.9507938924407</v>
      </c>
      <c r="I1679" s="129">
        <v>1221.2112095798987</v>
      </c>
      <c r="J1679" s="129">
        <v>1347.1236383770795</v>
      </c>
      <c r="K1679" s="129">
        <v>590.86198651868176</v>
      </c>
      <c r="L1679" s="129">
        <v>1311.1813295447871</v>
      </c>
      <c r="M1679" s="129">
        <v>2415.0774680816207</v>
      </c>
      <c r="N1679" s="130">
        <v>4328.6755235001792</v>
      </c>
      <c r="O1679" s="94"/>
      <c r="P1679" s="14"/>
      <c r="Q1679" s="14"/>
      <c r="R1679" s="14"/>
      <c r="S1679" s="14"/>
      <c r="T1679" s="14"/>
      <c r="U1679" s="14"/>
    </row>
    <row r="1680" spans="2:21" ht="18.75" customHeight="1" x14ac:dyDescent="0.25">
      <c r="B1680" s="15"/>
      <c r="C1680" s="119" t="s">
        <v>620</v>
      </c>
      <c r="D1680" s="120" t="s">
        <v>622</v>
      </c>
      <c r="E1680" s="129">
        <v>13053900</v>
      </c>
      <c r="F1680" s="129">
        <v>913773.00000000012</v>
      </c>
      <c r="G1680" s="129">
        <v>3002397</v>
      </c>
      <c r="H1680" s="129">
        <v>3002397</v>
      </c>
      <c r="I1680" s="129">
        <v>1044312</v>
      </c>
      <c r="J1680" s="129">
        <v>1174851</v>
      </c>
      <c r="K1680" s="129">
        <v>522156</v>
      </c>
      <c r="L1680" s="129">
        <v>1174851</v>
      </c>
      <c r="M1680" s="129">
        <v>2219163</v>
      </c>
      <c r="N1680" s="130">
        <v>3916170.0000000005</v>
      </c>
      <c r="O1680" s="94"/>
      <c r="P1680" s="14"/>
      <c r="Q1680" s="14"/>
      <c r="R1680" s="14"/>
      <c r="S1680" s="14"/>
      <c r="T1680" s="14"/>
      <c r="U1680" s="14"/>
    </row>
    <row r="1681" spans="2:21" ht="18.75" customHeight="1" x14ac:dyDescent="0.25">
      <c r="B1681" s="15"/>
      <c r="C1681" s="122" t="s">
        <v>776</v>
      </c>
      <c r="D1681" s="120" t="s">
        <v>579</v>
      </c>
      <c r="E1681" s="125">
        <v>0.30833945461742673</v>
      </c>
      <c r="F1681" s="125">
        <v>0</v>
      </c>
      <c r="G1681" s="125">
        <v>0</v>
      </c>
      <c r="H1681" s="125">
        <v>0.21702891682826464</v>
      </c>
      <c r="I1681" s="125">
        <v>0.17863160365447062</v>
      </c>
      <c r="J1681" s="125">
        <v>0.17240109838444395</v>
      </c>
      <c r="K1681" s="125">
        <v>0.24344742299632927</v>
      </c>
      <c r="L1681" s="125">
        <v>0.49010159127623698</v>
      </c>
      <c r="M1681" s="125">
        <v>1.0280537439132575</v>
      </c>
      <c r="N1681" s="131">
        <v>0.76205392199989408</v>
      </c>
      <c r="O1681" s="94"/>
      <c r="P1681" s="14"/>
      <c r="Q1681" s="14"/>
      <c r="R1681" s="14"/>
      <c r="S1681" s="14"/>
      <c r="T1681" s="14"/>
      <c r="U1681" s="14"/>
    </row>
    <row r="1682" spans="2:21" ht="18.75" customHeight="1" x14ac:dyDescent="0.25">
      <c r="B1682" s="15"/>
      <c r="C1682" s="122" t="s">
        <v>777</v>
      </c>
      <c r="D1682" s="210" t="s">
        <v>778</v>
      </c>
      <c r="E1682" s="125">
        <v>1084.8297494705166</v>
      </c>
      <c r="F1682" s="132">
        <v>0</v>
      </c>
      <c r="G1682" s="132">
        <v>28.416328171662371</v>
      </c>
      <c r="H1682" s="132">
        <v>735.51486582470034</v>
      </c>
      <c r="I1682" s="132">
        <v>1107.8239424065314</v>
      </c>
      <c r="J1682" s="132">
        <v>1364.6681779507712</v>
      </c>
      <c r="K1682" s="132">
        <v>1626.4460400306466</v>
      </c>
      <c r="L1682" s="132">
        <v>2017.4692547994805</v>
      </c>
      <c r="M1682" s="125">
        <v>2653.2320524122474</v>
      </c>
      <c r="N1682" s="133">
        <v>2325.598411477537</v>
      </c>
      <c r="O1682" s="94"/>
      <c r="P1682" s="14"/>
      <c r="Q1682" s="14"/>
      <c r="R1682" s="14"/>
      <c r="S1682" s="14"/>
      <c r="T1682" s="14"/>
      <c r="U1682" s="14"/>
    </row>
    <row r="1683" spans="2:21" ht="18.75" customHeight="1" x14ac:dyDescent="0.25">
      <c r="B1683" s="15"/>
      <c r="C1683" s="119" t="s">
        <v>779</v>
      </c>
      <c r="D1683" s="120" t="s">
        <v>970</v>
      </c>
      <c r="E1683" s="132">
        <v>40.799999999999997</v>
      </c>
      <c r="F1683" s="125">
        <v>73.999556591641209</v>
      </c>
      <c r="G1683" s="125">
        <v>56.3443262841392</v>
      </c>
      <c r="H1683" s="125">
        <v>40.631626848149835</v>
      </c>
      <c r="I1683" s="125">
        <v>33.806131491539325</v>
      </c>
      <c r="J1683" s="125">
        <v>30.588840291618965</v>
      </c>
      <c r="K1683" s="125">
        <v>28.461042726440894</v>
      </c>
      <c r="L1683" s="125">
        <v>26.264183675060707</v>
      </c>
      <c r="M1683" s="125">
        <v>22.340368766846694</v>
      </c>
      <c r="N1683" s="131">
        <v>24.750690496709481</v>
      </c>
      <c r="O1683" s="94"/>
      <c r="P1683" s="14"/>
      <c r="Q1683" s="14"/>
      <c r="R1683" s="14"/>
      <c r="S1683" s="14"/>
      <c r="T1683" s="14"/>
      <c r="U1683" s="14"/>
    </row>
    <row r="1684" spans="2:21" ht="18.75" customHeight="1" x14ac:dyDescent="0.25">
      <c r="B1684" s="15"/>
      <c r="C1684" s="119" t="s">
        <v>580</v>
      </c>
      <c r="D1684" s="120" t="s">
        <v>581</v>
      </c>
      <c r="E1684" s="125">
        <v>821</v>
      </c>
      <c r="F1684" s="125">
        <v>687.8877251346338</v>
      </c>
      <c r="G1684" s="125">
        <v>752.54134791472757</v>
      </c>
      <c r="H1684" s="125">
        <v>821.23561537418539</v>
      </c>
      <c r="I1684" s="125">
        <v>855.14445970345082</v>
      </c>
      <c r="J1684" s="125">
        <v>872.11816831852082</v>
      </c>
      <c r="K1684" s="125">
        <v>883.71906115759327</v>
      </c>
      <c r="L1684" s="125">
        <v>896.02480871801458</v>
      </c>
      <c r="M1684" s="125">
        <v>918.87859885619218</v>
      </c>
      <c r="N1684" s="131">
        <v>904.70398595119786</v>
      </c>
      <c r="O1684" s="94"/>
      <c r="P1684" s="14"/>
      <c r="Q1684" s="14"/>
      <c r="R1684" s="14"/>
      <c r="S1684" s="14"/>
      <c r="T1684" s="14"/>
      <c r="U1684" s="14"/>
    </row>
    <row r="1685" spans="2:21" ht="18.75" customHeight="1" x14ac:dyDescent="0.25">
      <c r="B1685" s="15"/>
      <c r="C1685" s="119" t="s">
        <v>541</v>
      </c>
      <c r="D1685" s="120" t="s">
        <v>579</v>
      </c>
      <c r="E1685" s="125">
        <v>13.454997081864912</v>
      </c>
      <c r="F1685" s="125">
        <v>15.130419223197542</v>
      </c>
      <c r="G1685" s="125">
        <v>14.148725207447651</v>
      </c>
      <c r="H1685" s="125">
        <v>13.263695851018074</v>
      </c>
      <c r="I1685" s="125">
        <v>13.520725303208081</v>
      </c>
      <c r="J1685" s="125">
        <v>13.215126142889577</v>
      </c>
      <c r="K1685" s="125">
        <v>13.039002454530895</v>
      </c>
      <c r="L1685" s="125">
        <v>12.867758086867685</v>
      </c>
      <c r="M1685" s="125">
        <v>12.590195233399605</v>
      </c>
      <c r="N1685" s="131">
        <v>12.733305052257531</v>
      </c>
      <c r="O1685" s="94"/>
      <c r="P1685" s="14"/>
      <c r="Q1685" s="14"/>
      <c r="R1685" s="14"/>
      <c r="S1685" s="14"/>
      <c r="T1685" s="14"/>
      <c r="U1685" s="14"/>
    </row>
    <row r="1686" spans="2:21" ht="18.75" customHeight="1" x14ac:dyDescent="0.25">
      <c r="B1686" s="15"/>
      <c r="C1686" s="119" t="s">
        <v>544</v>
      </c>
      <c r="D1686" s="120" t="s">
        <v>579</v>
      </c>
      <c r="E1686" s="125">
        <v>1.1000000000000001</v>
      </c>
      <c r="F1686" s="128"/>
      <c r="G1686" s="128"/>
      <c r="H1686" s="128"/>
      <c r="I1686" s="128"/>
      <c r="J1686" s="128"/>
      <c r="K1686" s="128"/>
      <c r="L1686" s="128"/>
      <c r="M1686" s="125">
        <v>6.4641176470588251</v>
      </c>
      <c r="N1686" s="131">
        <v>3.6666666666666665</v>
      </c>
      <c r="O1686" s="94"/>
      <c r="P1686" s="14"/>
      <c r="Q1686" s="14"/>
      <c r="R1686" s="14"/>
      <c r="S1686" s="14"/>
      <c r="T1686" s="14"/>
      <c r="U1686" s="14"/>
    </row>
    <row r="1687" spans="2:21" ht="18.75" customHeight="1" x14ac:dyDescent="0.25">
      <c r="B1687" s="15"/>
      <c r="C1687" s="119" t="s">
        <v>780</v>
      </c>
      <c r="D1687" s="120" t="s">
        <v>783</v>
      </c>
      <c r="E1687" s="125">
        <v>12.159078011551113</v>
      </c>
      <c r="F1687" s="125">
        <v>12.246873261476068</v>
      </c>
      <c r="G1687" s="125">
        <v>11.978591210339644</v>
      </c>
      <c r="H1687" s="125">
        <v>11.847039767960091</v>
      </c>
      <c r="I1687" s="125">
        <v>11.940198204138269</v>
      </c>
      <c r="J1687" s="125">
        <v>12.08996807052778</v>
      </c>
      <c r="K1687" s="125">
        <v>12.257174663974324</v>
      </c>
      <c r="L1687" s="125">
        <v>12.447937426090581</v>
      </c>
      <c r="M1687" s="125">
        <v>12.592157073435597</v>
      </c>
      <c r="N1687" s="131">
        <v>12.537565911982238</v>
      </c>
      <c r="O1687" s="94"/>
      <c r="P1687" s="14"/>
      <c r="Q1687" s="14"/>
      <c r="R1687" s="14"/>
      <c r="S1687" s="14"/>
      <c r="T1687" s="14"/>
      <c r="U1687" s="14"/>
    </row>
    <row r="1688" spans="2:21" ht="18.75" customHeight="1" x14ac:dyDescent="0.25">
      <c r="B1688" s="15"/>
      <c r="C1688" s="122" t="s">
        <v>781</v>
      </c>
      <c r="D1688" s="120" t="s">
        <v>782</v>
      </c>
      <c r="E1688" s="125">
        <v>280</v>
      </c>
      <c r="F1688" s="134">
        <v>60</v>
      </c>
      <c r="G1688" s="134">
        <v>135</v>
      </c>
      <c r="H1688" s="134">
        <v>240</v>
      </c>
      <c r="I1688" s="134">
        <v>320</v>
      </c>
      <c r="J1688" s="134">
        <v>380</v>
      </c>
      <c r="K1688" s="134">
        <v>435</v>
      </c>
      <c r="L1688" s="134">
        <v>500</v>
      </c>
      <c r="M1688" s="134">
        <v>590</v>
      </c>
      <c r="N1688" s="135">
        <v>540</v>
      </c>
      <c r="O1688" s="94"/>
      <c r="P1688" s="14"/>
      <c r="Q1688" s="14"/>
      <c r="R1688" s="14"/>
      <c r="S1688" s="14"/>
      <c r="T1688" s="14"/>
      <c r="U1688" s="14"/>
    </row>
    <row r="1689" spans="2:21" ht="18.75" customHeight="1" x14ac:dyDescent="0.25">
      <c r="B1689" s="15"/>
      <c r="C1689" s="122"/>
      <c r="D1689" s="210"/>
      <c r="E1689" s="210"/>
      <c r="F1689" s="210"/>
      <c r="G1689" s="210"/>
      <c r="H1689" s="210"/>
      <c r="I1689" s="210"/>
      <c r="J1689" s="210"/>
      <c r="K1689" s="210"/>
      <c r="L1689" s="210"/>
      <c r="M1689" s="210"/>
      <c r="N1689" s="115"/>
      <c r="O1689" s="94"/>
      <c r="P1689" s="14"/>
      <c r="Q1689" s="14"/>
      <c r="R1689" s="14"/>
      <c r="S1689" s="14"/>
      <c r="T1689" s="14"/>
      <c r="U1689" s="14"/>
    </row>
    <row r="1690" spans="2:21" ht="18.75" customHeight="1" x14ac:dyDescent="0.25">
      <c r="B1690" s="15"/>
      <c r="C1690" s="2199" t="s">
        <v>2104</v>
      </c>
      <c r="D1690" s="2200"/>
      <c r="E1690" s="2200"/>
      <c r="F1690" s="2200"/>
      <c r="G1690" s="2200"/>
      <c r="H1690" s="2200"/>
      <c r="I1690" s="2200"/>
      <c r="J1690" s="2200"/>
      <c r="K1690" s="2200"/>
      <c r="L1690" s="2200"/>
      <c r="M1690" s="2200"/>
      <c r="N1690" s="2201"/>
      <c r="O1690" s="94"/>
      <c r="P1690" s="14"/>
      <c r="Q1690" s="14"/>
      <c r="R1690" s="14"/>
      <c r="S1690" s="14"/>
      <c r="T1690" s="14"/>
      <c r="U1690" s="14"/>
    </row>
    <row r="1691" spans="2:21" ht="18.75" customHeight="1" x14ac:dyDescent="0.25">
      <c r="B1691" s="15"/>
      <c r="C1691" s="2202" t="s">
        <v>407</v>
      </c>
      <c r="D1691" s="210">
        <v>84</v>
      </c>
      <c r="E1691" s="104" t="s">
        <v>679</v>
      </c>
      <c r="F1691" s="210">
        <v>80</v>
      </c>
      <c r="G1691" s="210">
        <v>180</v>
      </c>
      <c r="H1691" s="210">
        <v>290</v>
      </c>
      <c r="I1691" s="210">
        <v>340</v>
      </c>
      <c r="J1691" s="210">
        <v>400</v>
      </c>
      <c r="K1691" s="210">
        <v>450</v>
      </c>
      <c r="L1691" s="210">
        <v>525</v>
      </c>
      <c r="M1691" s="210">
        <v>525</v>
      </c>
      <c r="N1691" s="115">
        <v>400</v>
      </c>
      <c r="O1691" s="94"/>
    </row>
    <row r="1692" spans="2:21" ht="18.75" customHeight="1" x14ac:dyDescent="0.25">
      <c r="B1692" s="15"/>
      <c r="C1692" s="119" t="s">
        <v>568</v>
      </c>
      <c r="D1692" s="120" t="s">
        <v>623</v>
      </c>
      <c r="E1692" s="110" t="s">
        <v>608</v>
      </c>
      <c r="F1692" s="110" t="s">
        <v>957</v>
      </c>
      <c r="G1692" s="110" t="s">
        <v>572</v>
      </c>
      <c r="H1692" s="110" t="s">
        <v>530</v>
      </c>
      <c r="I1692" s="110" t="s">
        <v>573</v>
      </c>
      <c r="J1692" s="110" t="s">
        <v>574</v>
      </c>
      <c r="K1692" s="110" t="s">
        <v>575</v>
      </c>
      <c r="L1692" s="110" t="s">
        <v>576</v>
      </c>
      <c r="M1692" s="110" t="s">
        <v>577</v>
      </c>
      <c r="N1692" s="2203" t="s">
        <v>609</v>
      </c>
      <c r="O1692" s="94"/>
    </row>
    <row r="1693" spans="2:21" ht="18.75" customHeight="1" x14ac:dyDescent="0.25">
      <c r="B1693" s="15"/>
      <c r="C1693" s="119" t="s">
        <v>582</v>
      </c>
      <c r="D1693" s="120" t="s">
        <v>566</v>
      </c>
      <c r="E1693" s="121">
        <v>100805.85895243363</v>
      </c>
      <c r="F1693" s="129">
        <v>7470.8096398523448</v>
      </c>
      <c r="G1693" s="129">
        <v>20515.575078991937</v>
      </c>
      <c r="H1693" s="129">
        <v>21603.193440455987</v>
      </c>
      <c r="I1693" s="129">
        <v>6859.7970364580906</v>
      </c>
      <c r="J1693" s="129">
        <v>8633.5059020519766</v>
      </c>
      <c r="K1693" s="129">
        <v>6588.6541426288286</v>
      </c>
      <c r="L1693" s="129">
        <v>12030.81359591975</v>
      </c>
      <c r="M1693" s="129">
        <v>17103.510116074722</v>
      </c>
      <c r="N1693" s="130">
        <v>35724.828713062539</v>
      </c>
      <c r="O1693" s="94"/>
    </row>
    <row r="1694" spans="2:21" ht="18.75" customHeight="1" x14ac:dyDescent="0.25">
      <c r="B1694" s="15"/>
      <c r="C1694" s="119" t="s">
        <v>582</v>
      </c>
      <c r="D1694" s="120" t="s">
        <v>628</v>
      </c>
      <c r="E1694" s="145">
        <v>16028.131573436947</v>
      </c>
      <c r="F1694" s="129">
        <v>1187.8587327365228</v>
      </c>
      <c r="G1694" s="129">
        <v>3261.9764375597179</v>
      </c>
      <c r="H1694" s="129">
        <v>3434.9077570325021</v>
      </c>
      <c r="I1694" s="129">
        <v>1090.7077287968364</v>
      </c>
      <c r="J1694" s="129">
        <v>1372.7274384262644</v>
      </c>
      <c r="K1694" s="129">
        <v>1047.5960086779837</v>
      </c>
      <c r="L1694" s="129">
        <v>1912.8993617512401</v>
      </c>
      <c r="M1694" s="129">
        <v>2719.4581084558808</v>
      </c>
      <c r="N1694" s="130">
        <v>5680.2477653769438</v>
      </c>
      <c r="O1694" s="94"/>
    </row>
    <row r="1695" spans="2:21" ht="18.75" customHeight="1" x14ac:dyDescent="0.25">
      <c r="B1695" s="15"/>
      <c r="C1695" s="119" t="s">
        <v>620</v>
      </c>
      <c r="D1695" s="120" t="s">
        <v>622</v>
      </c>
      <c r="E1695" s="129">
        <v>13578600</v>
      </c>
      <c r="F1695" s="129">
        <v>814716</v>
      </c>
      <c r="G1695" s="129">
        <v>2444148</v>
      </c>
      <c r="H1695" s="129">
        <v>2851506</v>
      </c>
      <c r="I1695" s="129">
        <v>950502.00000000012</v>
      </c>
      <c r="J1695" s="129">
        <v>1222074</v>
      </c>
      <c r="K1695" s="129">
        <v>950502.00000000012</v>
      </c>
      <c r="L1695" s="129">
        <v>1765218</v>
      </c>
      <c r="M1695" s="129">
        <v>2579934</v>
      </c>
      <c r="N1695" s="130">
        <v>5295654</v>
      </c>
      <c r="O1695" s="94"/>
    </row>
    <row r="1696" spans="2:21" ht="18.75" customHeight="1" x14ac:dyDescent="0.25">
      <c r="B1696" s="15"/>
      <c r="C1696" s="122" t="s">
        <v>776</v>
      </c>
      <c r="D1696" s="120" t="s">
        <v>579</v>
      </c>
      <c r="E1696" s="125">
        <v>1.3133100514447711</v>
      </c>
      <c r="F1696" s="125">
        <v>0</v>
      </c>
      <c r="G1696" s="125">
        <v>0</v>
      </c>
      <c r="H1696" s="125">
        <v>0.85632962587529549</v>
      </c>
      <c r="I1696" s="125">
        <v>1.2030695546247445</v>
      </c>
      <c r="J1696" s="125">
        <v>1.4233604932679744</v>
      </c>
      <c r="K1696" s="125">
        <v>1.7065779721176433</v>
      </c>
      <c r="L1696" s="125">
        <v>2.082913842239992</v>
      </c>
      <c r="M1696" s="125">
        <v>2.7943382065982894</v>
      </c>
      <c r="N1696" s="131">
        <v>2.3619577353669463</v>
      </c>
      <c r="O1696" s="94"/>
    </row>
    <row r="1697" spans="2:15" ht="18.75" customHeight="1" x14ac:dyDescent="0.25">
      <c r="B1697" s="15"/>
      <c r="C1697" s="122" t="s">
        <v>777</v>
      </c>
      <c r="D1697" s="210" t="s">
        <v>778</v>
      </c>
      <c r="E1697" s="125">
        <v>957</v>
      </c>
      <c r="F1697" s="132">
        <v>0</v>
      </c>
      <c r="G1697" s="132">
        <v>0</v>
      </c>
      <c r="H1697" s="132">
        <v>0</v>
      </c>
      <c r="I1697" s="132">
        <v>154.49868668069155</v>
      </c>
      <c r="J1697" s="132">
        <v>431.46346194679609</v>
      </c>
      <c r="K1697" s="132">
        <v>856.80609667268709</v>
      </c>
      <c r="L1697" s="132">
        <v>1510.4418151767518</v>
      </c>
      <c r="M1697" s="125">
        <v>3610.4251923198508</v>
      </c>
      <c r="N1697" s="133">
        <v>2492.1683649518827</v>
      </c>
      <c r="O1697" s="94"/>
    </row>
    <row r="1698" spans="2:15" ht="18.75" customHeight="1" x14ac:dyDescent="0.25">
      <c r="B1698" s="15"/>
      <c r="C1698" s="119" t="s">
        <v>779</v>
      </c>
      <c r="D1698" s="120" t="s">
        <v>970</v>
      </c>
      <c r="E1698" s="132">
        <v>34.1</v>
      </c>
      <c r="F1698" s="125">
        <v>74.604274252249866</v>
      </c>
      <c r="G1698" s="125">
        <v>57.16084205775352</v>
      </c>
      <c r="H1698" s="125">
        <v>38.78219430861914</v>
      </c>
      <c r="I1698" s="125">
        <v>30.71230834683351</v>
      </c>
      <c r="J1698" s="125">
        <v>27.287115361890642</v>
      </c>
      <c r="K1698" s="125">
        <v>24.300644201942916</v>
      </c>
      <c r="L1698" s="125">
        <v>21.687110349547751</v>
      </c>
      <c r="M1698" s="125">
        <v>17.505474974939588</v>
      </c>
      <c r="N1698" s="131">
        <v>20.12685478845836</v>
      </c>
      <c r="O1698" s="94"/>
    </row>
    <row r="1699" spans="2:15" ht="18.75" customHeight="1" x14ac:dyDescent="0.25">
      <c r="B1699" s="15"/>
      <c r="C1699" s="119" t="s">
        <v>580</v>
      </c>
      <c r="D1699" s="120" t="s">
        <v>581</v>
      </c>
      <c r="E1699" s="125">
        <v>854</v>
      </c>
      <c r="F1699" s="125">
        <v>685.86943678319608</v>
      </c>
      <c r="G1699" s="125">
        <v>749.28438227115623</v>
      </c>
      <c r="H1699" s="125">
        <v>830.15504394897732</v>
      </c>
      <c r="I1699" s="125">
        <v>871.45435473213558</v>
      </c>
      <c r="J1699" s="125">
        <v>890.25247532097274</v>
      </c>
      <c r="K1699" s="125">
        <v>907.31731710154986</v>
      </c>
      <c r="L1699" s="125">
        <v>922.79710856506358</v>
      </c>
      <c r="M1699" s="125">
        <v>948.69415049195106</v>
      </c>
      <c r="N1699" s="131">
        <v>932.29278347307763</v>
      </c>
      <c r="O1699" s="94"/>
    </row>
    <row r="1700" spans="2:15" ht="18.75" customHeight="1" x14ac:dyDescent="0.25">
      <c r="B1700" s="15"/>
      <c r="C1700" s="119" t="s">
        <v>541</v>
      </c>
      <c r="D1700" s="120" t="s">
        <v>579</v>
      </c>
      <c r="E1700" s="125">
        <v>12.952013887195767</v>
      </c>
      <c r="F1700" s="125">
        <v>15.209414535706841</v>
      </c>
      <c r="G1700" s="125">
        <v>14.183713244189917</v>
      </c>
      <c r="H1700" s="125">
        <v>13.036785009302088</v>
      </c>
      <c r="I1700" s="125">
        <v>13.092168430185176</v>
      </c>
      <c r="J1700" s="125">
        <v>12.715231236592512</v>
      </c>
      <c r="K1700" s="125">
        <v>12.407237471994232</v>
      </c>
      <c r="L1700" s="125">
        <v>12.164292302084636</v>
      </c>
      <c r="M1700" s="125">
        <v>11.778781870678122</v>
      </c>
      <c r="N1700" s="131">
        <v>12.020085071126775</v>
      </c>
      <c r="O1700" s="94"/>
    </row>
    <row r="1701" spans="2:15" ht="18.75" customHeight="1" x14ac:dyDescent="0.25">
      <c r="B1701" s="15"/>
      <c r="C1701" s="119" t="s">
        <v>544</v>
      </c>
      <c r="D1701" s="120" t="s">
        <v>579</v>
      </c>
      <c r="E1701" s="125">
        <v>3.3</v>
      </c>
      <c r="F1701" s="128"/>
      <c r="G1701" s="128"/>
      <c r="H1701" s="128"/>
      <c r="I1701" s="128"/>
      <c r="J1701" s="128"/>
      <c r="K1701" s="128"/>
      <c r="L1701" s="128"/>
      <c r="M1701" s="125">
        <v>17.351052631578948</v>
      </c>
      <c r="N1701" s="131">
        <v>8.4615384615384617</v>
      </c>
      <c r="O1701" s="94"/>
    </row>
    <row r="1702" spans="2:15" ht="18.75" customHeight="1" x14ac:dyDescent="0.25">
      <c r="B1702" s="15"/>
      <c r="C1702" s="119" t="s">
        <v>780</v>
      </c>
      <c r="D1702" s="120" t="s">
        <v>783</v>
      </c>
      <c r="E1702" s="125">
        <v>11.99494046195632</v>
      </c>
      <c r="F1702" s="125">
        <v>12.28291178472781</v>
      </c>
      <c r="G1702" s="125">
        <v>11.981330598407936</v>
      </c>
      <c r="H1702" s="125">
        <v>11.719751707972669</v>
      </c>
      <c r="I1702" s="125">
        <v>11.716728806947586</v>
      </c>
      <c r="J1702" s="125">
        <v>11.782942153421139</v>
      </c>
      <c r="K1702" s="125">
        <v>11.910216003914753</v>
      </c>
      <c r="L1702" s="125">
        <v>12.086796379856903</v>
      </c>
      <c r="M1702" s="125">
        <v>12.289893301656432</v>
      </c>
      <c r="N1702" s="131">
        <v>12.191435159625465</v>
      </c>
      <c r="O1702" s="94"/>
    </row>
    <row r="1703" spans="2:15" ht="18.75" customHeight="1" x14ac:dyDescent="0.25">
      <c r="B1703" s="15"/>
      <c r="C1703" s="122" t="s">
        <v>781</v>
      </c>
      <c r="D1703" s="120" t="s">
        <v>782</v>
      </c>
      <c r="E1703" s="125">
        <v>325</v>
      </c>
      <c r="F1703" s="134">
        <v>60</v>
      </c>
      <c r="G1703" s="134">
        <v>130</v>
      </c>
      <c r="H1703" s="134">
        <v>240</v>
      </c>
      <c r="I1703" s="134">
        <v>320</v>
      </c>
      <c r="J1703" s="134">
        <v>370</v>
      </c>
      <c r="K1703" s="134">
        <v>430</v>
      </c>
      <c r="L1703" s="134">
        <v>500</v>
      </c>
      <c r="M1703" s="134">
        <v>610</v>
      </c>
      <c r="N1703" s="135">
        <v>545</v>
      </c>
      <c r="O1703" s="94"/>
    </row>
    <row r="1704" spans="2:15" ht="18.75" customHeight="1" x14ac:dyDescent="0.25">
      <c r="B1704" s="15"/>
      <c r="C1704" s="122"/>
      <c r="D1704" s="210"/>
      <c r="E1704" s="210"/>
      <c r="F1704" s="210"/>
      <c r="G1704" s="210"/>
      <c r="H1704" s="210"/>
      <c r="I1704" s="210"/>
      <c r="J1704" s="210"/>
      <c r="K1704" s="210"/>
      <c r="L1704" s="210"/>
      <c r="M1704" s="210"/>
      <c r="N1704" s="115"/>
      <c r="O1704" s="94"/>
    </row>
    <row r="1705" spans="2:15" ht="18.75" customHeight="1" x14ac:dyDescent="0.25">
      <c r="B1705" s="15"/>
      <c r="C1705" s="2199" t="s">
        <v>2112</v>
      </c>
      <c r="D1705" s="2200"/>
      <c r="E1705" s="2200"/>
      <c r="F1705" s="2200"/>
      <c r="G1705" s="2200"/>
      <c r="H1705" s="2200"/>
      <c r="I1705" s="2200"/>
      <c r="J1705" s="2200"/>
      <c r="K1705" s="2200"/>
      <c r="L1705" s="2200"/>
      <c r="M1705" s="2200"/>
      <c r="N1705" s="2201"/>
      <c r="O1705" s="94"/>
    </row>
    <row r="1706" spans="2:15" ht="18.75" customHeight="1" x14ac:dyDescent="0.25">
      <c r="B1706" s="15"/>
      <c r="C1706" s="2202" t="s">
        <v>1088</v>
      </c>
      <c r="D1706" s="210">
        <v>132</v>
      </c>
      <c r="E1706" s="104" t="s">
        <v>679</v>
      </c>
      <c r="F1706" s="210">
        <v>80</v>
      </c>
      <c r="G1706" s="210">
        <v>180</v>
      </c>
      <c r="H1706" s="210">
        <v>290</v>
      </c>
      <c r="I1706" s="210">
        <v>340</v>
      </c>
      <c r="J1706" s="210">
        <v>400</v>
      </c>
      <c r="K1706" s="210">
        <v>450</v>
      </c>
      <c r="L1706" s="210">
        <v>525</v>
      </c>
      <c r="M1706" s="210">
        <v>525</v>
      </c>
      <c r="N1706" s="115">
        <v>400</v>
      </c>
      <c r="O1706" s="94"/>
    </row>
    <row r="1707" spans="2:15" ht="18.75" customHeight="1" x14ac:dyDescent="0.25">
      <c r="B1707" s="15"/>
      <c r="C1707" s="119" t="s">
        <v>568</v>
      </c>
      <c r="D1707" s="120" t="s">
        <v>623</v>
      </c>
      <c r="E1707" s="110" t="s">
        <v>608</v>
      </c>
      <c r="F1707" s="110" t="s">
        <v>957</v>
      </c>
      <c r="G1707" s="110" t="s">
        <v>572</v>
      </c>
      <c r="H1707" s="110" t="s">
        <v>530</v>
      </c>
      <c r="I1707" s="110" t="s">
        <v>573</v>
      </c>
      <c r="J1707" s="110" t="s">
        <v>574</v>
      </c>
      <c r="K1707" s="110" t="s">
        <v>575</v>
      </c>
      <c r="L1707" s="110" t="s">
        <v>576</v>
      </c>
      <c r="M1707" s="110" t="s">
        <v>577</v>
      </c>
      <c r="N1707" s="2203" t="s">
        <v>609</v>
      </c>
      <c r="O1707" s="94"/>
    </row>
    <row r="1708" spans="2:15" ht="18.75" customHeight="1" x14ac:dyDescent="0.25">
      <c r="B1708" s="15"/>
      <c r="C1708" s="119" t="s">
        <v>582</v>
      </c>
      <c r="D1708" s="120" t="s">
        <v>566</v>
      </c>
      <c r="E1708" s="121">
        <v>100082.60181110604</v>
      </c>
      <c r="F1708" s="129">
        <v>7203.8792343922596</v>
      </c>
      <c r="G1708" s="129">
        <v>24181.64112747752</v>
      </c>
      <c r="H1708" s="129">
        <v>24263.978709140778</v>
      </c>
      <c r="I1708" s="129">
        <v>9672.406782556387</v>
      </c>
      <c r="J1708" s="129">
        <v>9439.5599943123398</v>
      </c>
      <c r="K1708" s="129">
        <v>10194.540739224531</v>
      </c>
      <c r="L1708" s="129">
        <v>9849.3523088164529</v>
      </c>
      <c r="M1708" s="129">
        <v>5277.242915185775</v>
      </c>
      <c r="N1708" s="130">
        <v>26160.81774132212</v>
      </c>
      <c r="O1708" s="94"/>
    </row>
    <row r="1709" spans="2:15" ht="18.75" customHeight="1" x14ac:dyDescent="0.25">
      <c r="B1709" s="15"/>
      <c r="C1709" s="119" t="s">
        <v>582</v>
      </c>
      <c r="D1709" s="120" t="s">
        <v>628</v>
      </c>
      <c r="E1709" s="145">
        <v>15913.133687965861</v>
      </c>
      <c r="F1709" s="129">
        <v>1145.4167982683693</v>
      </c>
      <c r="G1709" s="129">
        <v>3844.8809392689259</v>
      </c>
      <c r="H1709" s="129">
        <v>3857.9726147533838</v>
      </c>
      <c r="I1709" s="129">
        <v>1537.9126784264656</v>
      </c>
      <c r="J1709" s="129">
        <v>1500.8900390956619</v>
      </c>
      <c r="K1709" s="129">
        <v>1620.9319775367003</v>
      </c>
      <c r="L1709" s="129">
        <v>1566.047017101816</v>
      </c>
      <c r="M1709" s="129">
        <v>839.08162351453825</v>
      </c>
      <c r="N1709" s="130">
        <v>4159.5700208702174</v>
      </c>
      <c r="O1709" s="94"/>
    </row>
    <row r="1710" spans="2:15" ht="18.75" customHeight="1" x14ac:dyDescent="0.25">
      <c r="B1710" s="15"/>
      <c r="C1710" s="119" t="s">
        <v>620</v>
      </c>
      <c r="D1710" s="120" t="s">
        <v>622</v>
      </c>
      <c r="E1710" s="129">
        <v>13230349.524720423</v>
      </c>
      <c r="F1710" s="129">
        <v>793820.97148322535</v>
      </c>
      <c r="G1710" s="129">
        <v>2910676.8954384932</v>
      </c>
      <c r="H1710" s="129">
        <v>3175283.8859329014</v>
      </c>
      <c r="I1710" s="129">
        <v>1323034.9524720423</v>
      </c>
      <c r="J1710" s="129">
        <v>1323034.9524720423</v>
      </c>
      <c r="K1710" s="129">
        <v>1455338.4477192466</v>
      </c>
      <c r="L1710" s="129">
        <v>1455338.4477192466</v>
      </c>
      <c r="M1710" s="129">
        <v>793820.97148322535</v>
      </c>
      <c r="N1710" s="130">
        <v>3704497.8669217187</v>
      </c>
      <c r="O1710" s="94"/>
    </row>
    <row r="1711" spans="2:15" ht="18.75" customHeight="1" x14ac:dyDescent="0.25">
      <c r="B1711" s="15"/>
      <c r="C1711" s="122" t="s">
        <v>1343</v>
      </c>
      <c r="D1711" s="120" t="s">
        <v>579</v>
      </c>
      <c r="E1711" s="125">
        <v>7.2870615056124563E-2</v>
      </c>
      <c r="F1711" s="125">
        <v>0</v>
      </c>
      <c r="G1711" s="125">
        <v>0</v>
      </c>
      <c r="H1711" s="125">
        <v>7.5917071444291329E-2</v>
      </c>
      <c r="I1711" s="125">
        <v>9.5611152896697638E-2</v>
      </c>
      <c r="J1711" s="125">
        <v>0.11116870104036103</v>
      </c>
      <c r="K1711" s="125">
        <v>0.13156670142065463</v>
      </c>
      <c r="L1711" s="125">
        <v>0.19919702414648643</v>
      </c>
      <c r="M1711" s="125">
        <v>0</v>
      </c>
      <c r="N1711" s="131">
        <v>0.12133047327067426</v>
      </c>
      <c r="O1711" s="94"/>
    </row>
    <row r="1712" spans="2:15" ht="18.75" customHeight="1" x14ac:dyDescent="0.25">
      <c r="B1712" s="15"/>
      <c r="C1712" s="122" t="s">
        <v>888</v>
      </c>
      <c r="D1712" s="210" t="s">
        <v>778</v>
      </c>
      <c r="E1712" s="125">
        <v>0</v>
      </c>
      <c r="F1712" s="132">
        <v>0</v>
      </c>
      <c r="G1712" s="132">
        <v>0</v>
      </c>
      <c r="H1712" s="132">
        <v>0</v>
      </c>
      <c r="I1712" s="132">
        <v>0</v>
      </c>
      <c r="J1712" s="132">
        <v>0</v>
      </c>
      <c r="K1712" s="132">
        <v>0</v>
      </c>
      <c r="L1712" s="132">
        <v>0</v>
      </c>
      <c r="M1712" s="125">
        <v>0</v>
      </c>
      <c r="N1712" s="133">
        <v>0</v>
      </c>
      <c r="O1712" s="94"/>
    </row>
    <row r="1713" spans="2:15" ht="18.75" customHeight="1" x14ac:dyDescent="0.25">
      <c r="B1713" s="15"/>
      <c r="C1713" s="119" t="s">
        <v>779</v>
      </c>
      <c r="D1713" s="120" t="s">
        <v>970</v>
      </c>
      <c r="E1713" s="132">
        <v>38.4</v>
      </c>
      <c r="F1713" s="125">
        <v>72.471471454877204</v>
      </c>
      <c r="G1713" s="125">
        <v>55.23139703868079</v>
      </c>
      <c r="H1713" s="125">
        <v>40.253276242657037</v>
      </c>
      <c r="I1713" s="125">
        <v>32.819387909444892</v>
      </c>
      <c r="J1713" s="125">
        <v>28.863677342149074</v>
      </c>
      <c r="K1713" s="125">
        <v>25.945131566363472</v>
      </c>
      <c r="L1713" s="125">
        <v>20.61401962802222</v>
      </c>
      <c r="M1713" s="125">
        <v>17.920467447088939</v>
      </c>
      <c r="N1713" s="131">
        <v>27.22580538726416</v>
      </c>
      <c r="O1713" s="94"/>
    </row>
    <row r="1714" spans="2:15" ht="18.75" customHeight="1" x14ac:dyDescent="0.25">
      <c r="B1714" s="15"/>
      <c r="C1714" s="119" t="s">
        <v>580</v>
      </c>
      <c r="D1714" s="120" t="s">
        <v>581</v>
      </c>
      <c r="E1714" s="125">
        <v>832.09745438493223</v>
      </c>
      <c r="F1714" s="125">
        <v>693.04114684132162</v>
      </c>
      <c r="G1714" s="125">
        <v>757.02653512905283</v>
      </c>
      <c r="H1714" s="125">
        <v>823.0446929017088</v>
      </c>
      <c r="I1714" s="125">
        <v>860.2796316275394</v>
      </c>
      <c r="J1714" s="125">
        <v>881.50025518805933</v>
      </c>
      <c r="K1714" s="125">
        <v>897.84054351922714</v>
      </c>
      <c r="L1714" s="125">
        <v>929.30699514536241</v>
      </c>
      <c r="M1714" s="125">
        <v>946.05929773347168</v>
      </c>
      <c r="N1714" s="131">
        <v>890.59634729906679</v>
      </c>
      <c r="O1714" s="94"/>
    </row>
    <row r="1715" spans="2:15" ht="18.75" customHeight="1" x14ac:dyDescent="0.25">
      <c r="B1715" s="15"/>
      <c r="C1715" s="119" t="s">
        <v>541</v>
      </c>
      <c r="D1715" s="120" t="s">
        <v>579</v>
      </c>
      <c r="E1715" s="125">
        <v>13.317376026277426</v>
      </c>
      <c r="F1715" s="125">
        <v>14.701173762496968</v>
      </c>
      <c r="G1715" s="125">
        <v>13.938513096958662</v>
      </c>
      <c r="H1715" s="125">
        <v>13.178283987133064</v>
      </c>
      <c r="I1715" s="125">
        <v>13.374094132998099</v>
      </c>
      <c r="J1715" s="125">
        <v>12.945203537798175</v>
      </c>
      <c r="K1715" s="125">
        <v>12.621148053953434</v>
      </c>
      <c r="L1715" s="125">
        <v>11.981539292136993</v>
      </c>
      <c r="M1715" s="125">
        <v>14.463653118919837</v>
      </c>
      <c r="N1715" s="131">
        <v>12.764695697161205</v>
      </c>
      <c r="O1715" s="94"/>
    </row>
    <row r="1716" spans="2:15" ht="18.75" customHeight="1" x14ac:dyDescent="0.25">
      <c r="B1716" s="15"/>
      <c r="C1716" s="119" t="s">
        <v>544</v>
      </c>
      <c r="D1716" s="120" t="s">
        <v>579</v>
      </c>
      <c r="E1716" s="125">
        <v>0.75</v>
      </c>
      <c r="F1716" s="128"/>
      <c r="G1716" s="128"/>
      <c r="H1716" s="128"/>
      <c r="I1716" s="128"/>
      <c r="J1716" s="128"/>
      <c r="K1716" s="128"/>
      <c r="L1716" s="128"/>
      <c r="M1716" s="125">
        <v>12.487499999999999</v>
      </c>
      <c r="N1716" s="131">
        <v>2.6785714285714284</v>
      </c>
      <c r="O1716" s="94"/>
    </row>
    <row r="1717" spans="2:15" ht="18.75" customHeight="1" x14ac:dyDescent="0.25">
      <c r="B1717" s="15"/>
      <c r="C1717" s="119" t="s">
        <v>780</v>
      </c>
      <c r="D1717" s="120" t="s">
        <v>783</v>
      </c>
      <c r="E1717" s="125">
        <v>11.989711863972918</v>
      </c>
      <c r="F1717" s="125">
        <v>12.032943500221725</v>
      </c>
      <c r="G1717" s="125">
        <v>11.858796858004697</v>
      </c>
      <c r="H1717" s="125">
        <v>11.782480651172634</v>
      </c>
      <c r="I1717" s="125">
        <v>11.835480769979576</v>
      </c>
      <c r="J1717" s="125">
        <v>11.899932367471758</v>
      </c>
      <c r="K1717" s="125">
        <v>11.949727525718416</v>
      </c>
      <c r="L1717" s="125">
        <v>11.976198424771118</v>
      </c>
      <c r="M1717" s="125">
        <v>11.940157086149974</v>
      </c>
      <c r="N1717" s="131">
        <v>11.929070140439114</v>
      </c>
      <c r="O1717" s="94"/>
    </row>
    <row r="1718" spans="2:15" ht="18.75" customHeight="1" x14ac:dyDescent="0.25">
      <c r="B1718" s="15"/>
      <c r="C1718" s="122" t="s">
        <v>1893</v>
      </c>
      <c r="D1718" s="120" t="s">
        <v>782</v>
      </c>
      <c r="E1718" s="125">
        <v>280</v>
      </c>
      <c r="F1718" s="134">
        <v>50</v>
      </c>
      <c r="G1718" s="134">
        <v>130</v>
      </c>
      <c r="H1718" s="134">
        <v>235</v>
      </c>
      <c r="I1718" s="134">
        <v>315</v>
      </c>
      <c r="J1718" s="134">
        <v>370</v>
      </c>
      <c r="K1718" s="134">
        <v>415</v>
      </c>
      <c r="L1718" s="134">
        <v>495</v>
      </c>
      <c r="M1718" s="134">
        <v>530</v>
      </c>
      <c r="N1718" s="135">
        <v>395</v>
      </c>
      <c r="O1718" s="94"/>
    </row>
    <row r="1719" spans="2:15" ht="18.75" customHeight="1" x14ac:dyDescent="0.25">
      <c r="B1719" s="15"/>
      <c r="C1719" s="122"/>
      <c r="D1719" s="210"/>
      <c r="E1719" s="210"/>
      <c r="F1719" s="210"/>
      <c r="G1719" s="210"/>
      <c r="H1719" s="210"/>
      <c r="I1719" s="210"/>
      <c r="J1719" s="210"/>
      <c r="K1719" s="210"/>
      <c r="L1719" s="210"/>
      <c r="M1719" s="210"/>
      <c r="N1719" s="115"/>
      <c r="O1719" s="94"/>
    </row>
    <row r="1720" spans="2:15" ht="18.75" customHeight="1" x14ac:dyDescent="0.25">
      <c r="B1720" s="15"/>
      <c r="C1720" s="214" t="s">
        <v>1251</v>
      </c>
      <c r="D1720" s="226" t="s">
        <v>1535</v>
      </c>
      <c r="E1720" s="225"/>
      <c r="F1720" s="215"/>
      <c r="G1720" s="215"/>
      <c r="H1720" s="215"/>
      <c r="I1720" s="215"/>
      <c r="J1720" s="215"/>
      <c r="K1720" s="215"/>
      <c r="L1720" s="215"/>
      <c r="M1720" s="215"/>
      <c r="N1720" s="216"/>
      <c r="O1720" s="94"/>
    </row>
    <row r="1721" spans="2:15" ht="18.75" customHeight="1" x14ac:dyDescent="0.25">
      <c r="B1721" s="15"/>
      <c r="C1721" s="109" t="s">
        <v>1088</v>
      </c>
      <c r="D1721" s="210">
        <v>999</v>
      </c>
      <c r="E1721" s="140" t="s">
        <v>679</v>
      </c>
      <c r="F1721" s="125">
        <v>80</v>
      </c>
      <c r="G1721" s="125">
        <v>180</v>
      </c>
      <c r="H1721" s="125">
        <v>290</v>
      </c>
      <c r="I1721" s="125">
        <v>340</v>
      </c>
      <c r="J1721" s="125">
        <v>400</v>
      </c>
      <c r="K1721" s="125">
        <v>450</v>
      </c>
      <c r="L1721" s="125">
        <v>525</v>
      </c>
      <c r="M1721" s="126">
        <v>525</v>
      </c>
      <c r="N1721" s="127">
        <v>400</v>
      </c>
      <c r="O1721" s="94"/>
    </row>
    <row r="1722" spans="2:15" ht="18.75" customHeight="1" x14ac:dyDescent="0.25">
      <c r="B1722" s="15"/>
      <c r="C1722" s="119" t="s">
        <v>568</v>
      </c>
      <c r="D1722" s="120" t="str">
        <f>'Expert Input'!D8</f>
        <v>Units</v>
      </c>
      <c r="E1722" s="123" t="str">
        <f>'Expert Input'!E8</f>
        <v>Full crude</v>
      </c>
      <c r="F1722" s="123" t="str">
        <f>'Expert Input'!F8</f>
        <v>LSR</v>
      </c>
      <c r="G1722" s="123" t="str">
        <f>'Expert Input'!G8</f>
        <v>Naphtha</v>
      </c>
      <c r="H1722" s="123" t="str">
        <f>'Expert Input'!H8</f>
        <v>Kerosene</v>
      </c>
      <c r="I1722" s="123" t="str">
        <f>'Expert Input'!I8</f>
        <v>Diesel</v>
      </c>
      <c r="J1722" s="123" t="str">
        <f>'Expert Input'!J8</f>
        <v>AGO</v>
      </c>
      <c r="K1722" s="123" t="str">
        <f>'Expert Input'!K8</f>
        <v>LVGO</v>
      </c>
      <c r="L1722" s="123" t="str">
        <f>'Expert Input'!L8</f>
        <v>HVGO</v>
      </c>
      <c r="M1722" s="123" t="str">
        <f>'Expert Input'!M8</f>
        <v>VR</v>
      </c>
      <c r="N1722" s="124" t="str">
        <f>'Expert Input'!N8</f>
        <v>AR</v>
      </c>
      <c r="O1722" s="94"/>
    </row>
    <row r="1723" spans="2:15" ht="18.75" customHeight="1" x14ac:dyDescent="0.25">
      <c r="B1723" s="15"/>
      <c r="C1723" s="119" t="s">
        <v>582</v>
      </c>
      <c r="D1723" s="120" t="str">
        <f>'Expert Input'!D9</f>
        <v>bpd</v>
      </c>
      <c r="E1723" s="121" t="str">
        <f>'Expert Input'!E9</f>
        <v/>
      </c>
      <c r="F1723" s="129" t="str">
        <f>'Expert Input'!F9</f>
        <v/>
      </c>
      <c r="G1723" s="129" t="str">
        <f>'Expert Input'!G9</f>
        <v/>
      </c>
      <c r="H1723" s="129" t="str">
        <f>'Expert Input'!H9</f>
        <v/>
      </c>
      <c r="I1723" s="129" t="str">
        <f>'Expert Input'!I9</f>
        <v/>
      </c>
      <c r="J1723" s="129" t="str">
        <f>'Expert Input'!J9</f>
        <v/>
      </c>
      <c r="K1723" s="129" t="str">
        <f>'Expert Input'!K9</f>
        <v/>
      </c>
      <c r="L1723" s="129" t="str">
        <f>'Expert Input'!L9</f>
        <v/>
      </c>
      <c r="M1723" s="129" t="str">
        <f>'Expert Input'!M9</f>
        <v/>
      </c>
      <c r="N1723" s="130" t="str">
        <f>'Expert Input'!N9</f>
        <v/>
      </c>
      <c r="O1723" s="94"/>
    </row>
    <row r="1724" spans="2:15" ht="18.75" customHeight="1" x14ac:dyDescent="0.25">
      <c r="B1724" s="15"/>
      <c r="C1724" s="119" t="s">
        <v>582</v>
      </c>
      <c r="D1724" s="120" t="str">
        <f>'Expert Input'!D10</f>
        <v>m^3/d</v>
      </c>
      <c r="E1724" s="145" t="str">
        <f>'Expert Input'!E10</f>
        <v/>
      </c>
      <c r="F1724" s="129" t="str">
        <f>'Expert Input'!F10</f>
        <v/>
      </c>
      <c r="G1724" s="129" t="str">
        <f>'Expert Input'!G10</f>
        <v/>
      </c>
      <c r="H1724" s="129" t="str">
        <f>'Expert Input'!H10</f>
        <v/>
      </c>
      <c r="I1724" s="129" t="str">
        <f>'Expert Input'!I10</f>
        <v/>
      </c>
      <c r="J1724" s="129" t="str">
        <f>'Expert Input'!J10</f>
        <v/>
      </c>
      <c r="K1724" s="129" t="str">
        <f>'Expert Input'!K10</f>
        <v/>
      </c>
      <c r="L1724" s="129" t="str">
        <f>'Expert Input'!L10</f>
        <v/>
      </c>
      <c r="M1724" s="129" t="str">
        <f>'Expert Input'!M10</f>
        <v/>
      </c>
      <c r="N1724" s="130" t="str">
        <f>'Expert Input'!N10</f>
        <v/>
      </c>
      <c r="O1724" s="94"/>
    </row>
    <row r="1725" spans="2:15" ht="18.75" customHeight="1" x14ac:dyDescent="0.25">
      <c r="B1725" s="15"/>
      <c r="C1725" s="119" t="s">
        <v>620</v>
      </c>
      <c r="D1725" s="120" t="str">
        <f>'Expert Input'!D11</f>
        <v>kg/d</v>
      </c>
      <c r="E1725" s="129">
        <f>'Expert Input'!E11</f>
        <v>0</v>
      </c>
      <c r="F1725" s="129">
        <f>'Expert Input'!F11</f>
        <v>0</v>
      </c>
      <c r="G1725" s="129">
        <f>'Expert Input'!G11</f>
        <v>0</v>
      </c>
      <c r="H1725" s="129">
        <f>'Expert Input'!H11</f>
        <v>0</v>
      </c>
      <c r="I1725" s="129">
        <f>'Expert Input'!I11</f>
        <v>0</v>
      </c>
      <c r="J1725" s="129">
        <f>'Expert Input'!J11</f>
        <v>0</v>
      </c>
      <c r="K1725" s="129">
        <f>'Expert Input'!K11</f>
        <v>0</v>
      </c>
      <c r="L1725" s="129">
        <f>'Expert Input'!L11</f>
        <v>0</v>
      </c>
      <c r="M1725" s="129">
        <f>'Expert Input'!M11</f>
        <v>0</v>
      </c>
      <c r="N1725" s="130">
        <f>'Expert Input'!N11</f>
        <v>0</v>
      </c>
      <c r="O1725" s="94"/>
    </row>
    <row r="1726" spans="2:15" ht="18.75" customHeight="1" x14ac:dyDescent="0.25">
      <c r="B1726" s="15"/>
      <c r="C1726" s="122" t="s">
        <v>776</v>
      </c>
      <c r="D1726" s="120" t="str">
        <f>'Expert Input'!D12</f>
        <v>wt%</v>
      </c>
      <c r="E1726" s="125">
        <f>'Expert Input'!E12</f>
        <v>0</v>
      </c>
      <c r="F1726" s="125">
        <f>'Expert Input'!F12</f>
        <v>0</v>
      </c>
      <c r="G1726" s="125">
        <f>'Expert Input'!G12</f>
        <v>0</v>
      </c>
      <c r="H1726" s="125">
        <f>'Expert Input'!H12</f>
        <v>0</v>
      </c>
      <c r="I1726" s="125">
        <f>'Expert Input'!I12</f>
        <v>0</v>
      </c>
      <c r="J1726" s="125">
        <f>'Expert Input'!J12</f>
        <v>0</v>
      </c>
      <c r="K1726" s="125">
        <f>'Expert Input'!K12</f>
        <v>0</v>
      </c>
      <c r="L1726" s="125">
        <f>'Expert Input'!L12</f>
        <v>0</v>
      </c>
      <c r="M1726" s="125">
        <f>'Expert Input'!M12</f>
        <v>0</v>
      </c>
      <c r="N1726" s="131">
        <f>'Expert Input'!N12</f>
        <v>0</v>
      </c>
      <c r="O1726" s="94"/>
    </row>
    <row r="1727" spans="2:15" ht="18.75" customHeight="1" x14ac:dyDescent="0.25">
      <c r="B1727" s="15"/>
      <c r="C1727" s="122" t="s">
        <v>777</v>
      </c>
      <c r="D1727" s="120" t="str">
        <f>'Expert Input'!D13</f>
        <v>mass ppm</v>
      </c>
      <c r="E1727" s="125">
        <f>'Expert Input'!E13</f>
        <v>0</v>
      </c>
      <c r="F1727" s="132">
        <f>'Expert Input'!F13</f>
        <v>0</v>
      </c>
      <c r="G1727" s="132">
        <f>'Expert Input'!G13</f>
        <v>0</v>
      </c>
      <c r="H1727" s="132">
        <f>'Expert Input'!H13</f>
        <v>0</v>
      </c>
      <c r="I1727" s="132">
        <f>'Expert Input'!I13</f>
        <v>0</v>
      </c>
      <c r="J1727" s="132">
        <f>'Expert Input'!J13</f>
        <v>0</v>
      </c>
      <c r="K1727" s="132">
        <f>'Expert Input'!K13</f>
        <v>0</v>
      </c>
      <c r="L1727" s="132">
        <f>'Expert Input'!L13</f>
        <v>0</v>
      </c>
      <c r="M1727" s="125">
        <f>'Expert Input'!M13</f>
        <v>0</v>
      </c>
      <c r="N1727" s="133">
        <f>'Expert Input'!N13</f>
        <v>0</v>
      </c>
      <c r="O1727" s="94"/>
    </row>
    <row r="1728" spans="2:15" ht="18.75" customHeight="1" x14ac:dyDescent="0.25">
      <c r="B1728" s="15"/>
      <c r="C1728" s="119" t="s">
        <v>779</v>
      </c>
      <c r="D1728" s="120" t="str">
        <f>'Expert Input'!D14</f>
        <v>oAPI</v>
      </c>
      <c r="E1728" s="132" t="str">
        <f>'Expert Input'!E14</f>
        <v/>
      </c>
      <c r="F1728" s="125" t="str">
        <f>'Expert Input'!F14</f>
        <v/>
      </c>
      <c r="G1728" s="125" t="str">
        <f>'Expert Input'!G14</f>
        <v/>
      </c>
      <c r="H1728" s="125" t="str">
        <f>'Expert Input'!H14</f>
        <v/>
      </c>
      <c r="I1728" s="125" t="str">
        <f>'Expert Input'!I14</f>
        <v/>
      </c>
      <c r="J1728" s="125" t="str">
        <f>'Expert Input'!J14</f>
        <v/>
      </c>
      <c r="K1728" s="125" t="str">
        <f>'Expert Input'!K14</f>
        <v/>
      </c>
      <c r="L1728" s="125" t="str">
        <f>'Expert Input'!L14</f>
        <v/>
      </c>
      <c r="M1728" s="125" t="str">
        <f>'Expert Input'!M14</f>
        <v/>
      </c>
      <c r="N1728" s="131" t="str">
        <f>'Expert Input'!N14</f>
        <v/>
      </c>
      <c r="O1728" s="94"/>
    </row>
    <row r="1729" spans="2:15" ht="18.75" customHeight="1" x14ac:dyDescent="0.25">
      <c r="B1729" s="15"/>
      <c r="C1729" s="119" t="s">
        <v>580</v>
      </c>
      <c r="D1729" s="120" t="str">
        <f>'Expert Input'!D15</f>
        <v>kg/m^3</v>
      </c>
      <c r="E1729" s="125">
        <f>'Expert Input'!E15</f>
        <v>0</v>
      </c>
      <c r="F1729" s="125">
        <f>'Expert Input'!F15</f>
        <v>0</v>
      </c>
      <c r="G1729" s="125">
        <f>'Expert Input'!G15</f>
        <v>0</v>
      </c>
      <c r="H1729" s="125">
        <f>'Expert Input'!H15</f>
        <v>0</v>
      </c>
      <c r="I1729" s="125">
        <f>'Expert Input'!I15</f>
        <v>0</v>
      </c>
      <c r="J1729" s="125">
        <f>'Expert Input'!J15</f>
        <v>0</v>
      </c>
      <c r="K1729" s="125">
        <f>'Expert Input'!K15</f>
        <v>0</v>
      </c>
      <c r="L1729" s="125">
        <f>'Expert Input'!L15</f>
        <v>0</v>
      </c>
      <c r="M1729" s="125">
        <f>'Expert Input'!M15</f>
        <v>0</v>
      </c>
      <c r="N1729" s="131">
        <f>'Expert Input'!N15</f>
        <v>0</v>
      </c>
      <c r="O1729" s="94"/>
    </row>
    <row r="1730" spans="2:15" ht="18.75" customHeight="1" x14ac:dyDescent="0.25">
      <c r="B1730" s="15"/>
      <c r="C1730" s="119" t="s">
        <v>541</v>
      </c>
      <c r="D1730" s="120" t="str">
        <f>'Expert Input'!D16</f>
        <v>wt%</v>
      </c>
      <c r="E1730" s="125">
        <f>'Expert Input'!E16</f>
        <v>0</v>
      </c>
      <c r="F1730" s="125">
        <f>'Expert Input'!F16</f>
        <v>0</v>
      </c>
      <c r="G1730" s="125">
        <f>'Expert Input'!G16</f>
        <v>0</v>
      </c>
      <c r="H1730" s="125">
        <f>'Expert Input'!H16</f>
        <v>0</v>
      </c>
      <c r="I1730" s="125">
        <f>'Expert Input'!I16</f>
        <v>0</v>
      </c>
      <c r="J1730" s="125">
        <f>'Expert Input'!J16</f>
        <v>0</v>
      </c>
      <c r="K1730" s="125">
        <f>'Expert Input'!K16</f>
        <v>0</v>
      </c>
      <c r="L1730" s="125">
        <f>'Expert Input'!L16</f>
        <v>0</v>
      </c>
      <c r="M1730" s="125">
        <f>'Expert Input'!M16</f>
        <v>0</v>
      </c>
      <c r="N1730" s="131">
        <f>'Expert Input'!N16</f>
        <v>0</v>
      </c>
      <c r="O1730" s="94"/>
    </row>
    <row r="1731" spans="2:15" ht="18.75" customHeight="1" x14ac:dyDescent="0.25">
      <c r="B1731" s="15"/>
      <c r="C1731" s="119" t="s">
        <v>544</v>
      </c>
      <c r="D1731" s="120" t="str">
        <f>'Expert Input'!D17</f>
        <v>wt%</v>
      </c>
      <c r="E1731" s="125">
        <f>'Expert Input'!E17</f>
        <v>0</v>
      </c>
      <c r="F1731" s="128">
        <f>'Expert Input'!F17</f>
        <v>0</v>
      </c>
      <c r="G1731" s="128">
        <f>'Expert Input'!G17</f>
        <v>0</v>
      </c>
      <c r="H1731" s="128">
        <f>'Expert Input'!H17</f>
        <v>0</v>
      </c>
      <c r="I1731" s="128">
        <f>'Expert Input'!I17</f>
        <v>0</v>
      </c>
      <c r="J1731" s="128">
        <f>'Expert Input'!J17</f>
        <v>0</v>
      </c>
      <c r="K1731" s="128">
        <f>'Expert Input'!K17</f>
        <v>0</v>
      </c>
      <c r="L1731" s="128">
        <f>'Expert Input'!L17</f>
        <v>0</v>
      </c>
      <c r="M1731" s="125">
        <f>'Expert Input'!M17</f>
        <v>0</v>
      </c>
      <c r="N1731" s="131">
        <f>'Expert Input'!N17</f>
        <v>0</v>
      </c>
      <c r="O1731" s="94"/>
    </row>
    <row r="1732" spans="2:15" ht="18.75" customHeight="1" x14ac:dyDescent="0.25">
      <c r="B1732" s="15"/>
      <c r="C1732" s="119" t="s">
        <v>780</v>
      </c>
      <c r="D1732" s="120" t="str">
        <f>'Expert Input'!D18</f>
        <v xml:space="preserve">Kw (Approximate) </v>
      </c>
      <c r="E1732" s="125">
        <f>'Expert Input'!E18</f>
        <v>0</v>
      </c>
      <c r="F1732" s="125">
        <f>'Expert Input'!F18</f>
        <v>0</v>
      </c>
      <c r="G1732" s="125">
        <f>'Expert Input'!G18</f>
        <v>0</v>
      </c>
      <c r="H1732" s="125">
        <f>'Expert Input'!H18</f>
        <v>0</v>
      </c>
      <c r="I1732" s="125">
        <f>'Expert Input'!I18</f>
        <v>0</v>
      </c>
      <c r="J1732" s="125">
        <f>'Expert Input'!J18</f>
        <v>0</v>
      </c>
      <c r="K1732" s="125">
        <f>'Expert Input'!K18</f>
        <v>0</v>
      </c>
      <c r="L1732" s="125">
        <f>'Expert Input'!L18</f>
        <v>0</v>
      </c>
      <c r="M1732" s="125">
        <f>'Expert Input'!M18</f>
        <v>0</v>
      </c>
      <c r="N1732" s="131">
        <f>'Expert Input'!N18</f>
        <v>0</v>
      </c>
      <c r="O1732" s="94"/>
    </row>
    <row r="1733" spans="2:15" ht="18.75" customHeight="1" x14ac:dyDescent="0.25">
      <c r="B1733" s="15"/>
      <c r="C1733" s="122" t="s">
        <v>781</v>
      </c>
      <c r="D1733" s="120" t="str">
        <f>'Expert Input'!D19</f>
        <v xml:space="preserve"> [°C]</v>
      </c>
      <c r="E1733" s="125">
        <f>'Expert Input'!E19</f>
        <v>0</v>
      </c>
      <c r="F1733" s="134">
        <f>'Expert Input'!F19</f>
        <v>0</v>
      </c>
      <c r="G1733" s="134">
        <f>'Expert Input'!G19</f>
        <v>0</v>
      </c>
      <c r="H1733" s="134">
        <f>'Expert Input'!H19</f>
        <v>0</v>
      </c>
      <c r="I1733" s="134">
        <f>'Expert Input'!I19</f>
        <v>0</v>
      </c>
      <c r="J1733" s="134">
        <f>'Expert Input'!J19</f>
        <v>0</v>
      </c>
      <c r="K1733" s="134">
        <f>'Expert Input'!K19</f>
        <v>0</v>
      </c>
      <c r="L1733" s="134">
        <f>'Expert Input'!L19</f>
        <v>0</v>
      </c>
      <c r="M1733" s="134">
        <f>'Expert Input'!M19</f>
        <v>0</v>
      </c>
      <c r="N1733" s="135">
        <f>'Expert Input'!N19</f>
        <v>0</v>
      </c>
      <c r="O1733" s="94"/>
    </row>
    <row r="1734" spans="2:15" ht="18.75" customHeight="1" x14ac:dyDescent="0.25">
      <c r="B1734" s="15"/>
      <c r="C1734" s="122"/>
      <c r="D1734" s="120"/>
      <c r="E1734" s="120"/>
      <c r="F1734" s="120"/>
      <c r="G1734" s="120"/>
      <c r="H1734" s="120"/>
      <c r="I1734" s="120"/>
      <c r="J1734" s="120"/>
      <c r="K1734" s="120"/>
      <c r="L1734" s="120"/>
      <c r="M1734" s="120"/>
      <c r="N1734" s="173"/>
      <c r="O1734" s="94"/>
    </row>
    <row r="1735" spans="2:15" ht="18.75" customHeight="1" x14ac:dyDescent="0.25">
      <c r="B1735" s="15"/>
      <c r="C1735" s="214" t="s">
        <v>1252</v>
      </c>
      <c r="D1735" s="226"/>
      <c r="E1735" s="225"/>
      <c r="F1735" s="215"/>
      <c r="G1735" s="215"/>
      <c r="H1735" s="215"/>
      <c r="I1735" s="215"/>
      <c r="J1735" s="215"/>
      <c r="K1735" s="215"/>
      <c r="L1735" s="215"/>
      <c r="M1735" s="215"/>
      <c r="N1735" s="216"/>
      <c r="O1735" s="94"/>
    </row>
    <row r="1736" spans="2:15" ht="18.75" customHeight="1" x14ac:dyDescent="0.25">
      <c r="B1736" s="15"/>
      <c r="C1736" s="109" t="s">
        <v>1088</v>
      </c>
      <c r="D1736" s="210"/>
      <c r="E1736" s="140" t="s">
        <v>679</v>
      </c>
      <c r="F1736" s="125">
        <v>80</v>
      </c>
      <c r="G1736" s="125">
        <v>180</v>
      </c>
      <c r="H1736" s="125">
        <v>290</v>
      </c>
      <c r="I1736" s="125">
        <v>340</v>
      </c>
      <c r="J1736" s="125">
        <v>400</v>
      </c>
      <c r="K1736" s="125">
        <v>450</v>
      </c>
      <c r="L1736" s="125">
        <v>525</v>
      </c>
      <c r="M1736" s="126">
        <v>525</v>
      </c>
      <c r="N1736" s="127">
        <v>400</v>
      </c>
      <c r="O1736" s="94"/>
    </row>
    <row r="1737" spans="2:15" ht="18.75" customHeight="1" x14ac:dyDescent="0.25">
      <c r="B1737" s="15"/>
      <c r="C1737" s="119" t="s">
        <v>568</v>
      </c>
      <c r="D1737" s="120" t="s">
        <v>623</v>
      </c>
      <c r="E1737" s="123" t="s">
        <v>608</v>
      </c>
      <c r="F1737" s="123" t="s">
        <v>957</v>
      </c>
      <c r="G1737" s="123" t="s">
        <v>572</v>
      </c>
      <c r="H1737" s="123" t="s">
        <v>530</v>
      </c>
      <c r="I1737" s="123" t="s">
        <v>573</v>
      </c>
      <c r="J1737" s="123" t="s">
        <v>574</v>
      </c>
      <c r="K1737" s="123" t="s">
        <v>575</v>
      </c>
      <c r="L1737" s="123" t="s">
        <v>576</v>
      </c>
      <c r="M1737" s="123" t="s">
        <v>577</v>
      </c>
      <c r="N1737" s="124" t="s">
        <v>609</v>
      </c>
      <c r="O1737" s="94"/>
    </row>
    <row r="1738" spans="2:15" ht="18.75" customHeight="1" x14ac:dyDescent="0.25">
      <c r="B1738" s="15"/>
      <c r="C1738" s="119" t="s">
        <v>582</v>
      </c>
      <c r="D1738" s="120" t="s">
        <v>566</v>
      </c>
      <c r="E1738" s="121"/>
      <c r="F1738" s="129"/>
      <c r="G1738" s="129"/>
      <c r="H1738" s="129"/>
      <c r="I1738" s="129"/>
      <c r="J1738" s="129"/>
      <c r="K1738" s="129"/>
      <c r="L1738" s="129"/>
      <c r="M1738" s="129"/>
      <c r="N1738" s="130"/>
      <c r="O1738" s="94"/>
    </row>
    <row r="1739" spans="2:15" ht="18.75" customHeight="1" x14ac:dyDescent="0.25">
      <c r="B1739" s="15"/>
      <c r="C1739" s="119" t="s">
        <v>582</v>
      </c>
      <c r="D1739" s="120" t="s">
        <v>628</v>
      </c>
      <c r="E1739" s="145"/>
      <c r="F1739" s="129"/>
      <c r="G1739" s="129"/>
      <c r="H1739" s="129"/>
      <c r="I1739" s="129"/>
      <c r="J1739" s="129"/>
      <c r="K1739" s="129"/>
      <c r="L1739" s="129"/>
      <c r="M1739" s="129"/>
      <c r="N1739" s="130"/>
      <c r="O1739" s="94"/>
    </row>
    <row r="1740" spans="2:15" ht="18.75" customHeight="1" x14ac:dyDescent="0.25">
      <c r="B1740" s="15"/>
      <c r="C1740" s="119" t="s">
        <v>620</v>
      </c>
      <c r="D1740" s="120" t="s">
        <v>622</v>
      </c>
      <c r="E1740" s="129"/>
      <c r="F1740" s="129"/>
      <c r="G1740" s="129"/>
      <c r="H1740" s="129"/>
      <c r="I1740" s="129"/>
      <c r="J1740" s="129"/>
      <c r="K1740" s="129"/>
      <c r="L1740" s="129"/>
      <c r="M1740" s="129"/>
      <c r="N1740" s="130"/>
      <c r="O1740" s="94"/>
    </row>
    <row r="1741" spans="2:15" ht="18.75" customHeight="1" x14ac:dyDescent="0.25">
      <c r="B1741" s="15"/>
      <c r="C1741" s="122" t="s">
        <v>776</v>
      </c>
      <c r="D1741" s="120" t="s">
        <v>579</v>
      </c>
      <c r="E1741" s="125"/>
      <c r="F1741" s="125"/>
      <c r="G1741" s="125"/>
      <c r="H1741" s="125"/>
      <c r="I1741" s="125"/>
      <c r="J1741" s="125"/>
      <c r="K1741" s="125"/>
      <c r="L1741" s="125"/>
      <c r="M1741" s="125"/>
      <c r="N1741" s="131"/>
      <c r="O1741" s="94"/>
    </row>
    <row r="1742" spans="2:15" ht="18.75" customHeight="1" x14ac:dyDescent="0.25">
      <c r="B1742" s="15"/>
      <c r="C1742" s="122" t="s">
        <v>777</v>
      </c>
      <c r="D1742" s="120" t="s">
        <v>778</v>
      </c>
      <c r="E1742" s="125"/>
      <c r="F1742" s="132"/>
      <c r="G1742" s="132"/>
      <c r="H1742" s="132"/>
      <c r="I1742" s="132"/>
      <c r="J1742" s="132"/>
      <c r="K1742" s="132"/>
      <c r="L1742" s="132"/>
      <c r="M1742" s="125"/>
      <c r="N1742" s="133"/>
      <c r="O1742" s="94"/>
    </row>
    <row r="1743" spans="2:15" ht="18.75" customHeight="1" x14ac:dyDescent="0.25">
      <c r="B1743" s="15"/>
      <c r="C1743" s="119" t="s">
        <v>779</v>
      </c>
      <c r="D1743" s="120" t="s">
        <v>970</v>
      </c>
      <c r="E1743" s="132"/>
      <c r="F1743" s="125"/>
      <c r="G1743" s="125"/>
      <c r="H1743" s="125"/>
      <c r="I1743" s="125"/>
      <c r="J1743" s="125"/>
      <c r="K1743" s="125"/>
      <c r="L1743" s="125"/>
      <c r="M1743" s="125"/>
      <c r="N1743" s="131"/>
      <c r="O1743" s="94"/>
    </row>
    <row r="1744" spans="2:15" ht="18.75" customHeight="1" x14ac:dyDescent="0.25">
      <c r="B1744" s="15"/>
      <c r="C1744" s="119" t="s">
        <v>580</v>
      </c>
      <c r="D1744" s="120" t="s">
        <v>581</v>
      </c>
      <c r="E1744" s="125"/>
      <c r="F1744" s="125"/>
      <c r="G1744" s="125"/>
      <c r="H1744" s="125"/>
      <c r="I1744" s="125"/>
      <c r="J1744" s="125"/>
      <c r="K1744" s="125"/>
      <c r="L1744" s="125"/>
      <c r="M1744" s="125"/>
      <c r="N1744" s="131"/>
      <c r="O1744" s="94"/>
    </row>
    <row r="1745" spans="2:15" ht="18.75" customHeight="1" x14ac:dyDescent="0.25">
      <c r="B1745" s="15"/>
      <c r="C1745" s="119" t="s">
        <v>541</v>
      </c>
      <c r="D1745" s="120" t="s">
        <v>579</v>
      </c>
      <c r="E1745" s="125"/>
      <c r="F1745" s="125"/>
      <c r="G1745" s="125"/>
      <c r="H1745" s="125"/>
      <c r="I1745" s="125"/>
      <c r="J1745" s="125"/>
      <c r="K1745" s="125"/>
      <c r="L1745" s="125"/>
      <c r="M1745" s="125"/>
      <c r="N1745" s="131"/>
      <c r="O1745" s="94"/>
    </row>
    <row r="1746" spans="2:15" ht="18.75" customHeight="1" x14ac:dyDescent="0.25">
      <c r="B1746" s="15"/>
      <c r="C1746" s="119" t="s">
        <v>544</v>
      </c>
      <c r="D1746" s="120" t="s">
        <v>579</v>
      </c>
      <c r="E1746" s="125"/>
      <c r="F1746" s="128"/>
      <c r="G1746" s="128"/>
      <c r="H1746" s="128"/>
      <c r="I1746" s="128"/>
      <c r="J1746" s="128"/>
      <c r="K1746" s="128"/>
      <c r="L1746" s="128"/>
      <c r="M1746" s="125"/>
      <c r="N1746" s="131"/>
      <c r="O1746" s="94"/>
    </row>
    <row r="1747" spans="2:15" ht="18.75" customHeight="1" x14ac:dyDescent="0.25">
      <c r="B1747" s="15"/>
      <c r="C1747" s="119" t="s">
        <v>780</v>
      </c>
      <c r="D1747" s="120" t="s">
        <v>783</v>
      </c>
      <c r="E1747" s="125"/>
      <c r="F1747" s="125"/>
      <c r="G1747" s="125"/>
      <c r="H1747" s="125"/>
      <c r="I1747" s="125"/>
      <c r="J1747" s="125"/>
      <c r="K1747" s="125"/>
      <c r="L1747" s="125"/>
      <c r="M1747" s="125"/>
      <c r="N1747" s="131"/>
      <c r="O1747" s="94"/>
    </row>
    <row r="1748" spans="2:15" ht="18.75" customHeight="1" x14ac:dyDescent="0.25">
      <c r="B1748" s="15"/>
      <c r="C1748" s="122" t="s">
        <v>781</v>
      </c>
      <c r="D1748" s="120" t="s">
        <v>782</v>
      </c>
      <c r="E1748" s="125"/>
      <c r="F1748" s="134"/>
      <c r="G1748" s="134"/>
      <c r="H1748" s="134"/>
      <c r="I1748" s="134"/>
      <c r="J1748" s="134"/>
      <c r="K1748" s="134"/>
      <c r="L1748" s="134"/>
      <c r="M1748" s="134"/>
      <c r="N1748" s="135"/>
      <c r="O1748" s="94"/>
    </row>
    <row r="1749" spans="2:15" ht="18.75" customHeight="1" x14ac:dyDescent="0.25">
      <c r="B1749" s="15"/>
      <c r="C1749" s="1518"/>
      <c r="D1749" s="137"/>
      <c r="E1749" s="1519"/>
      <c r="F1749" s="1519"/>
      <c r="G1749" s="1519"/>
      <c r="H1749" s="1519"/>
      <c r="I1749" s="1519"/>
      <c r="J1749" s="1519"/>
      <c r="K1749" s="1519"/>
      <c r="L1749" s="1519"/>
      <c r="M1749" s="1519"/>
      <c r="N1749" s="1520"/>
      <c r="O1749" s="84"/>
    </row>
    <row r="1750" spans="2:15" ht="18.75" customHeight="1" thickBot="1" x14ac:dyDescent="0.25">
      <c r="B1750" s="24"/>
      <c r="C1750" s="95"/>
      <c r="D1750" s="95"/>
      <c r="E1750" s="95"/>
      <c r="F1750" s="95"/>
      <c r="G1750" s="95"/>
      <c r="H1750" s="95"/>
      <c r="I1750" s="95"/>
      <c r="J1750" s="95"/>
      <c r="K1750" s="95"/>
      <c r="L1750" s="95"/>
      <c r="M1750" s="95"/>
      <c r="N1750" s="95"/>
      <c r="O1750" s="25"/>
    </row>
  </sheetData>
  <mergeCells count="7">
    <mergeCell ref="Q9:U9"/>
    <mergeCell ref="Q2:U2"/>
    <mergeCell ref="Q3:U3"/>
    <mergeCell ref="F9:N9"/>
    <mergeCell ref="B2:O3"/>
    <mergeCell ref="C5:N5"/>
    <mergeCell ref="C6:N6"/>
  </mergeCells>
  <phoneticPr fontId="23" type="noConversion"/>
  <pageMargins left="0.75" right="0.75" top="1" bottom="1" header="0.5" footer="0.5"/>
  <pageSetup orientation="portrait" horizontalDpi="4294967292" verticalDpi="4294967292"/>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90</vt:i4>
      </vt:variant>
    </vt:vector>
  </HeadingPairs>
  <TitlesOfParts>
    <vt:vector size="111" baseType="lpstr">
      <vt:lpstr>Overview</vt:lpstr>
      <vt:lpstr>Changelog</vt:lpstr>
      <vt:lpstr>Main Input &amp; Output</vt:lpstr>
      <vt:lpstr>Expert Input</vt:lpstr>
      <vt:lpstr>Results Single Assay</vt:lpstr>
      <vt:lpstr>Results All Assays</vt:lpstr>
      <vt:lpstr>CokingRefinery Detailed Results</vt:lpstr>
      <vt:lpstr>HydroRefinery Detailed Results</vt:lpstr>
      <vt:lpstr>CokingRefineryPFD</vt:lpstr>
      <vt:lpstr>CokingRefineryCalcs</vt:lpstr>
      <vt:lpstr>CokingRefineryAllocation</vt:lpstr>
      <vt:lpstr>CAtemp</vt:lpstr>
      <vt:lpstr>HydroRefineryPFD </vt:lpstr>
      <vt:lpstr>HydroRefineryCalcs</vt:lpstr>
      <vt:lpstr>CokingRefineryControls</vt:lpstr>
      <vt:lpstr>HydroRefineryControls</vt:lpstr>
      <vt:lpstr>Constants</vt:lpstr>
      <vt:lpstr>Energy &amp; Unit Conversions</vt:lpstr>
      <vt:lpstr>Process Correlations</vt:lpstr>
      <vt:lpstr>Emission Factors</vt:lpstr>
      <vt:lpstr>Assay Inventory</vt:lpstr>
      <vt:lpstr>activeFloat</vt:lpstr>
      <vt:lpstr>allocationMethod</vt:lpstr>
      <vt:lpstr>Coker_HT_Inlet_Flow</vt:lpstr>
      <vt:lpstr>Coker_HT_Input_H</vt:lpstr>
      <vt:lpstr>Coker_HT_Output_H</vt:lpstr>
      <vt:lpstr>CokerrefineryPFD</vt:lpstr>
      <vt:lpstr>CokingRefineryConfig</vt:lpstr>
      <vt:lpstr>Diesel_HT_Input_H</vt:lpstr>
      <vt:lpstr>Diesel_HT_Output_H</vt:lpstr>
      <vt:lpstr>dynamicOffset</vt:lpstr>
      <vt:lpstr>FCC_HT_Inlet_Flow</vt:lpstr>
      <vt:lpstr>FCC_HT_Input_H</vt:lpstr>
      <vt:lpstr>FCC_HT_Output_H</vt:lpstr>
      <vt:lpstr>HCR_Diesel_HT_Input_H</vt:lpstr>
      <vt:lpstr>HCR_Diesel_HT_Output_H</vt:lpstr>
      <vt:lpstr>HCR_FCC_HT_Inlet_Flow</vt:lpstr>
      <vt:lpstr>HCR_FCC_HT_Input_H</vt:lpstr>
      <vt:lpstr>HCR_FCC_HT_Output_H</vt:lpstr>
      <vt:lpstr>HCR_HCNaphtha_HT_Inlet_Flow</vt:lpstr>
      <vt:lpstr>HCR_HCNaphtha_HT_Input_H</vt:lpstr>
      <vt:lpstr>HCR_HCNaphtha_HT_Output_H</vt:lpstr>
      <vt:lpstr>HCR_Kero_HT_Input_H</vt:lpstr>
      <vt:lpstr>HCR_Kero_HT_Output_H</vt:lpstr>
      <vt:lpstr>HCR_Naphtha_HT_Input_H</vt:lpstr>
      <vt:lpstr>HCR_Naphtha_HT_Output_H</vt:lpstr>
      <vt:lpstr>HCR_Total_Refinery_GHG</vt:lpstr>
      <vt:lpstr>heatingValue</vt:lpstr>
      <vt:lpstr>Hydro_Alkylation_Unit</vt:lpstr>
      <vt:lpstr>Hydro_Atmospheric_tower</vt:lpstr>
      <vt:lpstr>Hydro_Atmospheric_Tower_Furnace</vt:lpstr>
      <vt:lpstr>Hydro_Desalter</vt:lpstr>
      <vt:lpstr>Hydro_Diesel_Hydrotreater_and_Blending</vt:lpstr>
      <vt:lpstr>Hydro_FCC_Feed_Hydrotreater</vt:lpstr>
      <vt:lpstr>Hydro_Fluid_Catalytic_Cracking</vt:lpstr>
      <vt:lpstr>Hydro_Fluid_Catalytic_Cracking_Main_Fractionator</vt:lpstr>
      <vt:lpstr>Hydro_Fuel_Gas_treatment__Sulfur_Recovery_and_Pollution_control</vt:lpstr>
      <vt:lpstr>Hydro_Gas_Oil_Hydrocracker</vt:lpstr>
      <vt:lpstr>Hydro_Gas_Oil_Hydrocracker_Fractionator</vt:lpstr>
      <vt:lpstr>Hydro_Gasoline_Blending</vt:lpstr>
      <vt:lpstr>Hydro_HC_Naphtha_Hydrotreater</vt:lpstr>
      <vt:lpstr>Hydro_Isomerisation_Unit</vt:lpstr>
      <vt:lpstr>Hydro_Kero_Hydrotreater</vt:lpstr>
      <vt:lpstr>Hydro_Kero_Merox_Unit</vt:lpstr>
      <vt:lpstr>Hydro_Naphtha_Hydrotreater</vt:lpstr>
      <vt:lpstr>Hydro_Reformer</vt:lpstr>
      <vt:lpstr>Hydro_Resid_Hydrocracker</vt:lpstr>
      <vt:lpstr>Hydro_Resid_Hydrocracker_Fractionator</vt:lpstr>
      <vt:lpstr>Hydro_Resid_Hydrocracker_Furnace</vt:lpstr>
      <vt:lpstr>Hydro_Steam_Generation</vt:lpstr>
      <vt:lpstr>Hydro_Steam_Methane_Reformer</vt:lpstr>
      <vt:lpstr>Hydro_Vacuum_tower</vt:lpstr>
      <vt:lpstr>Hydro_Vacuum_tower_furnace</vt:lpstr>
      <vt:lpstr>HydroRefineryConfig</vt:lpstr>
      <vt:lpstr>HydrorefineryPFD</vt:lpstr>
      <vt:lpstr>Kero_HT_Input_H</vt:lpstr>
      <vt:lpstr>Kero_HT_Output_H</vt:lpstr>
      <vt:lpstr>Naphtha_HT_Input_H</vt:lpstr>
      <vt:lpstr>Naphtha_HT_Output_H</vt:lpstr>
      <vt:lpstr>'Expert Input'!Print_Area</vt:lpstr>
      <vt:lpstr>'HydroRefineryPFD '!Print_Area</vt:lpstr>
      <vt:lpstr>'Main Input &amp; Output'!Print_Area</vt:lpstr>
      <vt:lpstr>Overview!Print_Area</vt:lpstr>
      <vt:lpstr>'Results Single Assay'!Print_Area</vt:lpstr>
      <vt:lpstr>reformerFeedstockActive</vt:lpstr>
      <vt:lpstr>selectedCrude</vt:lpstr>
      <vt:lpstr>staticOffset</vt:lpstr>
      <vt:lpstr>Total_assays</vt:lpstr>
      <vt:lpstr>Total_Refinery_Energy</vt:lpstr>
      <vt:lpstr>Total_Refinery_GHG</vt:lpstr>
      <vt:lpstr>Unit_Alkylation_Unit</vt:lpstr>
      <vt:lpstr>Unit_Atm_Tow</vt:lpstr>
      <vt:lpstr>Unit_Atm_Tow_Furnace</vt:lpstr>
      <vt:lpstr>Unit_Coker__and_Coker_Fractionator</vt:lpstr>
      <vt:lpstr>Unit_Coker_Furnace</vt:lpstr>
      <vt:lpstr>Unit_Coker_Naptha_Hydrotreater</vt:lpstr>
      <vt:lpstr>Unit_desalter</vt:lpstr>
      <vt:lpstr>Unit_Diesel_Hydrotreater_and_Blending</vt:lpstr>
      <vt:lpstr>Unit_FCC</vt:lpstr>
      <vt:lpstr>Unit_FCC_Feed_Hydrotreater</vt:lpstr>
      <vt:lpstr>Unit_FCC_Main_Fractionator</vt:lpstr>
      <vt:lpstr>Unit_Gas_Oil_Hydrocracker</vt:lpstr>
      <vt:lpstr>Unit_Gas_Oil_Hydrocracker_Fractionator</vt:lpstr>
      <vt:lpstr>Unit_Isomerisation_Unit</vt:lpstr>
      <vt:lpstr>Unit_Kero_Hydrotreater</vt:lpstr>
      <vt:lpstr>Unit_Kero_Merox_Unit</vt:lpstr>
      <vt:lpstr>Unit_Kerosene_Merox_Unit</vt:lpstr>
      <vt:lpstr>Unit_Naphta_catalytic_reformer</vt:lpstr>
      <vt:lpstr>Unit_Naphtha_Hydrotreater</vt:lpstr>
      <vt:lpstr>Unit_Vac_Tow_Furnace</vt:lpstr>
      <vt:lpstr>Unit_Vac_Tower</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PRELIM model</dc:title>
  <dc:creator>Jessica P. Abella, Kavan Motazedi, Dr Joule A. Bergerson</dc:creator>
  <cp:lastModifiedBy>Liang [Liam] Jing</cp:lastModifiedBy>
  <cp:lastPrinted>2014-07-31T16:17:58Z</cp:lastPrinted>
  <dcterms:created xsi:type="dcterms:W3CDTF">2008-11-12T16:07:47Z</dcterms:created>
  <dcterms:modified xsi:type="dcterms:W3CDTF">2021-04-29T16:37:36Z</dcterms:modified>
</cp:coreProperties>
</file>